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drawings/drawing5.xml" ContentType="application/vnd.openxmlformats-officedocument.drawingml.chartshapes+xml"/>
  <Override PartName="/xl/charts/chart2.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ml.chartshapes+xml"/>
  <Override PartName="/xl/charts/chart4.xml" ContentType="application/vnd.openxmlformats-officedocument.drawingml.chart+xml"/>
  <Override PartName="/xl/drawings/drawing10.xml" ContentType="application/vnd.openxmlformats-officedocument.drawingml.chartshapes+xml"/>
  <Override PartName="/xl/charts/chart5.xml" ContentType="application/vnd.openxmlformats-officedocument.drawingml.chart+xml"/>
  <Override PartName="/xl/drawings/drawing11.xml" ContentType="application/vnd.openxmlformats-officedocument.drawingml.chartshapes+xml"/>
  <Override PartName="/xl/charts/chart6.xml" ContentType="application/vnd.openxmlformats-officedocument.drawingml.chart+xml"/>
  <Override PartName="/xl/drawings/drawing1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13.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14.xml" ContentType="application/vnd.openxmlformats-officedocument.drawing+xml"/>
  <Override PartName="/xl/activeX/activeX9.xml" ContentType="application/vnd.ms-office.activeX+xml"/>
  <Override PartName="/xl/activeX/activeX9.bin" ContentType="application/vnd.ms-office.activeX"/>
  <Override PartName="/xl/comments4.xml" ContentType="application/vnd.openxmlformats-officedocument.spreadsheetml.comments+xml"/>
  <Override PartName="/xl/drawings/drawing15.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827" codeName="{2E6947BB-A706-504E-29CB-9DD9B7763434}"/>
  <workbookPr codeName="ThisWorkbook"/>
  <mc:AlternateContent xmlns:mc="http://schemas.openxmlformats.org/markup-compatibility/2006">
    <mc:Choice Requires="x15">
      <x15ac:absPath xmlns:x15ac="http://schemas.microsoft.com/office/spreadsheetml/2010/11/ac" url="C:\Users\abartlin\Documents\Models\Humbird 2011\DW1102A\V10\"/>
    </mc:Choice>
  </mc:AlternateContent>
  <xr:revisionPtr revIDLastSave="0" documentId="13_ncr:1_{AFADA2F8-C0F6-447E-93C4-C4706C1A1638}" xr6:coauthVersionLast="45" xr6:coauthVersionMax="45" xr10:uidLastSave="{00000000-0000-0000-0000-000000000000}"/>
  <bookViews>
    <workbookView xWindow="19090" yWindow="-10830" windowWidth="38620" windowHeight="21220" activeTab="5" xr2:uid="{00000000-000D-0000-FFFF-FFFF00000000}"/>
  </bookViews>
  <sheets>
    <sheet name="Set-up" sheetId="18" r:id="rId1"/>
    <sheet name="Summary" sheetId="1" r:id="rId2"/>
    <sheet name="CB_DATA_" sheetId="31" state="veryHidden" r:id="rId3"/>
    <sheet name="OPEX" sheetId="3" r:id="rId4"/>
    <sheet name="CAPEX" sheetId="23" r:id="rId5"/>
    <sheet name="DCFROR" sheetId="2" r:id="rId6"/>
    <sheet name="Operating Summaries" sheetId="17" r:id="rId7"/>
    <sheet name="LCI" sheetId="35" r:id="rId8"/>
    <sheet name="aspen" sheetId="6" r:id="rId9"/>
    <sheet name="Cost Breakdown" sheetId="13" r:id="rId10"/>
    <sheet name="Energy Bal" sheetId="33" r:id="rId11"/>
    <sheet name="aspen2" sheetId="8" r:id="rId12"/>
    <sheet name="aspenqw" sheetId="9" r:id="rId13"/>
    <sheet name="SUGAR" sheetId="28" r:id="rId14"/>
    <sheet name="INDICES" sheetId="12" r:id="rId15"/>
    <sheet name="PFD tables" sheetId="34" r:id="rId16"/>
  </sheets>
  <definedNames>
    <definedName name="_xlnm._FilterDatabase" localSheetId="4" hidden="1">CAPEX!$A$3:$L$237</definedName>
    <definedName name="asptkdir">'Set-up'!#REF!</definedName>
    <definedName name="BASECASE">'Set-up'!$C$15</definedName>
    <definedName name="BKPDIR">'Set-up'!$B$15</definedName>
    <definedName name="BKPEXT">'Set-up'!$D$15</definedName>
    <definedName name="BKPNAME">'Set-up'!$B$14</definedName>
    <definedName name="CAPEX">DCFROR!$K$13</definedName>
    <definedName name="CAPEX100">DCFROR!$K$3</definedName>
    <definedName name="CAPEX200">DCFROR!$M$5</definedName>
    <definedName name="CAPEX300">DCFROR!$K$6</definedName>
    <definedName name="CAPEX400">DCFROR!$K$7</definedName>
    <definedName name="CAPEX500">DCFROR!$K$8</definedName>
    <definedName name="CAPEX600">DCFROR!$K$9</definedName>
    <definedName name="CAPEX700">DCFROR!$K$10</definedName>
    <definedName name="CAPEX800">DCFROR!$K$11</definedName>
    <definedName name="CAPEX900">DCFROR!$K$12</definedName>
    <definedName name="CAPEXnc">DCFROR!$K$5</definedName>
    <definedName name="CAPEXpt">DCFROR!$K$4</definedName>
    <definedName name="CASEID">'Set-up'!$B$24</definedName>
    <definedName name="CB_1857409a1c9948a6a1f63f68f6a7bd06" localSheetId="2" hidden="1">#N/A</definedName>
    <definedName name="CB_3e92aab68aa94ecd85f4265eb051da95" localSheetId="2" hidden="1">#N/A</definedName>
    <definedName name="CB_73652fb7e2304a45ae810de0e25967ab" localSheetId="2" hidden="1">#N/A</definedName>
    <definedName name="CB_75e7d33a9b1e465fa12cc01ec6dbe5f7" localSheetId="2" hidden="1">#N/A</definedName>
    <definedName name="CB_805fabbfb1ea4c519030358a76f68203" localSheetId="2" hidden="1">#N/A</definedName>
    <definedName name="CB_Block_00000000000000000000000000000000" localSheetId="2" hidden="1">"'7.0.0.0"</definedName>
    <definedName name="CB_Block_00000000000000000000000000000001" localSheetId="2" hidden="1">"'634187646737732500"</definedName>
    <definedName name="CB_Block_00000000000000000000000000000003" localSheetId="2" hidden="1">"'11.1.1448.0"</definedName>
    <definedName name="CB_BlockExt_00000000000000000000000000000003" localSheetId="2" hidden="1">"'11.1.2.0.00"</definedName>
    <definedName name="CB_c11ebdc7d28a459a9611fdd8c987e06a" localSheetId="2" hidden="1">#N/A</definedName>
    <definedName name="CBWorkbookPriority" localSheetId="2" hidden="1">-1801361830</definedName>
    <definedName name="CBx_4bf45a576292458b8940e5e9c9582e73" localSheetId="2" hidden="1">"'CB_DATA_'!$A$1"</definedName>
    <definedName name="CBx_c56c15b3aa1a46af82d56065da42a48b" localSheetId="2" hidden="1">"'crystal'!$A$1"</definedName>
    <definedName name="CBx_Sheet_Guid" localSheetId="2" hidden="1">"'4bf45a57-6292-458b-8940-e5e9c9582e73"</definedName>
    <definedName name="CBx_SheetRef" localSheetId="2" hidden="1">CB_DATA_!$A$14</definedName>
    <definedName name="CBx_StorageType" localSheetId="2" hidden="1">2</definedName>
    <definedName name="cc_per_gal">2.54^3*231</definedName>
    <definedName name="costyear">DCFROR!$B$34</definedName>
    <definedName name="E_Co">2824</definedName>
    <definedName name="E_Cu">4000</definedName>
    <definedName name="E_Fe">3125</definedName>
    <definedName name="E_Ni">1720</definedName>
    <definedName name="ETHMMGAL">OPEX!$B$3</definedName>
    <definedName name="ETOHDEN">'Set-up'!$B$39</definedName>
    <definedName name="ETOHRATE">OPEX!$B$2</definedName>
    <definedName name="FCI">DCFROR!$B$4</definedName>
    <definedName name="ISBL">DCFROR!$M$8</definedName>
    <definedName name="IX_CAP">'Set-up'!$G$34</definedName>
    <definedName name="IX_CHEM">'Set-up'!$G$35</definedName>
    <definedName name="IX_ELEC">'Set-up'!$G$37</definedName>
    <definedName name="IX_LABOR">'Set-up'!$G$36</definedName>
    <definedName name="k0_Co">272.3</definedName>
    <definedName name="k0_Cu">0</definedName>
    <definedName name="k0_Fe">3576</definedName>
    <definedName name="k0_Ni">59.91</definedName>
    <definedName name="kg_per_lb">0.4535924</definedName>
    <definedName name="LU_HEAT">'Set-up'!$G$31</definedName>
    <definedName name="LU_MAT">'Set-up'!$G$30</definedName>
    <definedName name="LU_SENS">'Set-up'!$G$29</definedName>
    <definedName name="LU_WORK">'Set-up'!$G$32</definedName>
    <definedName name="n_Co">0.25</definedName>
    <definedName name="n_Cu">1</definedName>
    <definedName name="n_Fe">0.9</definedName>
    <definedName name="n_Ni">1.3</definedName>
    <definedName name="OPHOURS">OPEX!$B$7</definedName>
    <definedName name="_xlnm.Print_Area" localSheetId="4">CAPEX!$A$1:$W$218</definedName>
    <definedName name="_xlnm.Print_Area" localSheetId="5">DCFROR!$A$39:$Y$80</definedName>
    <definedName name="_xlnm.Print_Titles" localSheetId="4">CAPEX!$1:$2</definedName>
    <definedName name="_xlnm.Print_Titles" localSheetId="5">DCFROR!$A:$A</definedName>
    <definedName name="solver_adj" localSheetId="5" hidden="1">DCFROR!$B$35</definedName>
    <definedName name="solver_lin" localSheetId="5" hidden="1">0</definedName>
    <definedName name="solver_num" localSheetId="5" hidden="1">0</definedName>
    <definedName name="solver_opt" localSheetId="5" hidden="1">DCFROR!$B$37</definedName>
    <definedName name="solver_tmp" localSheetId="5" hidden="1">DCFROR!$B$40:$Y$40,DCFROR!#REF!,DCFROR!$B$21:$B$22,DCFROR!$B$18:$B$19,DCFROR!$B$24:$B$32,DCFROR!$B$35</definedName>
    <definedName name="solver_typ" localSheetId="5" hidden="1">3</definedName>
    <definedName name="solver_val" localSheetId="5" hidden="1">0</definedName>
    <definedName name="TPI">DCFROR!$K$27</definedName>
    <definedName name="unitstart">'Set-up'!$A$43</definedName>
    <definedName name="Z_07F2506C_7EE2_4A70_B144_34A6C2AAB4C2_.wvu.Cols" localSheetId="4" hidden="1">CAPEX!#REF!</definedName>
    <definedName name="Z_07F2506C_7EE2_4A70_B144_34A6C2AAB4C2_.wvu.FilterData" localSheetId="4" hidden="1">CAPEX!$A$3:$L$237</definedName>
    <definedName name="Z_07F2506C_7EE2_4A70_B144_34A6C2AAB4C2_.wvu.PrintArea" localSheetId="4" hidden="1">CAPEX!$A$1:$Z$216</definedName>
    <definedName name="Z_07F2506C_7EE2_4A70_B144_34A6C2AAB4C2_.wvu.PrintTitles" localSheetId="4" hidden="1">CAPEX!$A$1:$C$65535,CAPEX!$A$1:$IP$2</definedName>
    <definedName name="Z_18BED316_13D2_4BDC_8000_ED8C0D1479C5_.wvu.FilterData" localSheetId="4" hidden="1">CAPEX!$A$3:$Z$235</definedName>
    <definedName name="Z_216A5C1C_6CB6_4F47_8B91_96270C74F482_.wvu.Cols" localSheetId="4" hidden="1">CAPEX!#REF!</definedName>
    <definedName name="Z_216A5C1C_6CB6_4F47_8B91_96270C74F482_.wvu.PrintArea" localSheetId="4" hidden="1">CAPEX!$A$1:$Z$215</definedName>
    <definedName name="Z_216A5C1C_6CB6_4F47_8B91_96270C74F482_.wvu.PrintTitles" localSheetId="4" hidden="1">CAPEX!$A$1:$IP$2</definedName>
    <definedName name="Z_42D71670_6049_41BA_BB9F_D3E7334AB960_.wvu.FilterData" localSheetId="4" hidden="1">CAPEX!$A$3:$Z$235</definedName>
    <definedName name="Z_46250AB8_D414_4D00_B8B8_1C71164D8045_.wvu.Cols" localSheetId="4" hidden="1">CAPEX!#REF!</definedName>
    <definedName name="Z_46250AB8_D414_4D00_B8B8_1C71164D8045_.wvu.PrintArea" localSheetId="4" hidden="1">CAPEX!$A$1:$Z$215</definedName>
    <definedName name="Z_46250AB8_D414_4D00_B8B8_1C71164D8045_.wvu.PrintTitles" localSheetId="4" hidden="1">CAPEX!$A$1:$IP$2</definedName>
    <definedName name="Z_92BA5A55_7B2D_4994_98BA_4C0375A5534F_.wvu.Cols" localSheetId="4" hidden="1">CAPEX!#REF!</definedName>
    <definedName name="Z_92BA5A55_7B2D_4994_98BA_4C0375A5534F_.wvu.FilterData" localSheetId="4" hidden="1">CAPEX!$A$3:$Z$235</definedName>
    <definedName name="Z_92BA5A55_7B2D_4994_98BA_4C0375A5534F_.wvu.PrintArea" localSheetId="4" hidden="1">CAPEX!$A$1:$Z$215</definedName>
    <definedName name="Z_92BA5A55_7B2D_4994_98BA_4C0375A5534F_.wvu.PrintTitles" localSheetId="4" hidden="1">CAPEX!$A$1:$IP$2</definedName>
    <definedName name="Z_ABB43926_BC69_4DE3_A1E2_7F3205DAC82A_.wvu.Cols" localSheetId="4" hidden="1">CAPEX!#REF!</definedName>
    <definedName name="Z_ABB43926_BC69_4DE3_A1E2_7F3205DAC82A_.wvu.FilterData" localSheetId="4" hidden="1">CAPEX!$A$3:$Z$235</definedName>
    <definedName name="Z_ABB43926_BC69_4DE3_A1E2_7F3205DAC82A_.wvu.PrintArea" localSheetId="4" hidden="1">CAPEX!$A$1:$Z$215</definedName>
    <definedName name="Z_ABB43926_BC69_4DE3_A1E2_7F3205DAC82A_.wvu.PrintTitles" localSheetId="4" hidden="1">CAPEX!$A$1:$IP$2</definedName>
    <definedName name="Z_CDBF0419_DB04_4A19_98A3_80E86B13A6A3_.wvu.Cols" localSheetId="4" hidden="1">CAPEX!#REF!</definedName>
    <definedName name="Z_CDBF0419_DB04_4A19_98A3_80E86B13A6A3_.wvu.FilterData" localSheetId="4" hidden="1">CAPEX!$A$3:$Z$235</definedName>
    <definedName name="Z_CDBF0419_DB04_4A19_98A3_80E86B13A6A3_.wvu.PrintArea" localSheetId="4" hidden="1">CAPEX!$A$1:$Z$215</definedName>
    <definedName name="Z_CDBF0419_DB04_4A19_98A3_80E86B13A6A3_.wvu.PrintTitles" localSheetId="4" hidden="1">CAPEX!$A$1:$IP$2</definedName>
    <definedName name="Z_D112B4C9_0798_4285_9D70_E1E05BC97449_.wvu.FilterData" localSheetId="4" hidden="1">CAPEX!$A$3:$Z$235</definedName>
    <definedName name="Z_EA0DFC62_88CC_481B_B75B_D59953ACAE3D_.wvu.FilterData" localSheetId="4" hidden="1">CAPEX!$A$3:$Z$235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7" i="35" l="1"/>
  <c r="C13" i="35"/>
  <c r="C14" i="35"/>
  <c r="C15" i="35"/>
  <c r="C16" i="35"/>
  <c r="C17" i="35"/>
  <c r="C18" i="35"/>
  <c r="C19" i="35"/>
  <c r="C20" i="35"/>
  <c r="C21" i="35"/>
  <c r="C22" i="35"/>
  <c r="C23" i="35"/>
  <c r="C24" i="35"/>
  <c r="C25" i="35"/>
  <c r="C26" i="35"/>
  <c r="C12" i="35"/>
  <c r="U36" i="35"/>
  <c r="R36" i="35"/>
  <c r="O36" i="35"/>
  <c r="L36" i="35"/>
  <c r="I36" i="35"/>
  <c r="U35" i="35"/>
  <c r="R35" i="35"/>
  <c r="O35" i="35"/>
  <c r="L35" i="35"/>
  <c r="I35" i="35"/>
  <c r="U34" i="35"/>
  <c r="R34" i="35"/>
  <c r="O34" i="35"/>
  <c r="L34" i="35"/>
  <c r="I34" i="35"/>
  <c r="U33" i="35"/>
  <c r="R33" i="35"/>
  <c r="O33" i="35"/>
  <c r="L33" i="35"/>
  <c r="I33" i="35"/>
  <c r="U32" i="35"/>
  <c r="R32" i="35"/>
  <c r="O32" i="35"/>
  <c r="L32" i="35"/>
  <c r="I32" i="35"/>
  <c r="U31" i="35"/>
  <c r="R31" i="35"/>
  <c r="O31" i="35"/>
  <c r="L31" i="35"/>
  <c r="I31" i="35"/>
  <c r="U30" i="35"/>
  <c r="R30" i="35"/>
  <c r="O30" i="35"/>
  <c r="L30" i="35"/>
  <c r="I30" i="35"/>
  <c r="U29" i="35"/>
  <c r="R29" i="35"/>
  <c r="O29" i="35"/>
  <c r="L29" i="35"/>
  <c r="I29" i="35"/>
  <c r="U28" i="35"/>
  <c r="R28" i="35"/>
  <c r="O28" i="35"/>
  <c r="L28" i="35"/>
  <c r="I28" i="35"/>
  <c r="U27" i="35"/>
  <c r="R27" i="35"/>
  <c r="O27" i="35"/>
  <c r="L27" i="35"/>
  <c r="I27" i="35"/>
  <c r="E145" i="12" l="1"/>
  <c r="E144" i="12"/>
  <c r="E143" i="12"/>
  <c r="E142" i="12"/>
  <c r="E141" i="12"/>
  <c r="E140" i="12"/>
  <c r="D140" i="12"/>
  <c r="E139" i="12"/>
  <c r="E138" i="12"/>
  <c r="E137" i="12"/>
  <c r="E136" i="12"/>
  <c r="E93" i="12"/>
  <c r="E92" i="12"/>
  <c r="E91" i="12"/>
  <c r="E90" i="12"/>
  <c r="E89" i="12"/>
  <c r="E87" i="12"/>
  <c r="E86" i="12"/>
  <c r="E85" i="12"/>
  <c r="E84" i="12"/>
  <c r="E40" i="12"/>
  <c r="E39" i="12"/>
  <c r="E38" i="12"/>
  <c r="E37" i="12"/>
  <c r="E36" i="12"/>
  <c r="E35" i="12"/>
  <c r="E34" i="12"/>
  <c r="E33" i="12"/>
  <c r="E32" i="12"/>
  <c r="N11" i="13" l="1"/>
  <c r="BD131" i="28"/>
  <c r="E5" i="28"/>
  <c r="I10" i="3" l="1"/>
  <c r="GO10" i="33" l="1"/>
  <c r="GI10" i="33"/>
  <c r="GH10" i="33"/>
  <c r="GA10" i="33"/>
  <c r="FV10" i="33"/>
  <c r="FU10" i="33"/>
  <c r="FM10" i="33"/>
  <c r="FA10" i="33"/>
  <c r="EG10" i="33"/>
  <c r="EF10" i="33"/>
  <c r="EA10" i="33"/>
  <c r="DU10" i="33"/>
  <c r="DP10" i="33"/>
  <c r="DN10" i="33"/>
  <c r="DA10" i="33"/>
  <c r="CZ10" i="33"/>
  <c r="CO10" i="33"/>
  <c r="CL10" i="33"/>
  <c r="CK10" i="33"/>
  <c r="M152" i="23"/>
  <c r="M143" i="23"/>
  <c r="M142" i="23"/>
  <c r="E188" i="34"/>
  <c r="E187" i="34"/>
  <c r="E186" i="34"/>
  <c r="E183" i="34" l="1"/>
  <c r="E181" i="34"/>
  <c r="E169" i="34"/>
  <c r="T7" i="17"/>
  <c r="EZ23" i="33"/>
  <c r="EZ20" i="33"/>
  <c r="FA23" i="33"/>
  <c r="FA20" i="33"/>
  <c r="BB20" i="33" l="1"/>
  <c r="BC20" i="33"/>
  <c r="BB23" i="33"/>
  <c r="BC23" i="33"/>
  <c r="AU20" i="33"/>
  <c r="AU23" i="33"/>
  <c r="BA23" i="33"/>
  <c r="AZ23" i="33"/>
  <c r="AY23" i="33"/>
  <c r="AX23" i="33"/>
  <c r="AW23" i="33"/>
  <c r="AT23" i="33"/>
  <c r="AS23" i="33"/>
  <c r="AR23" i="33"/>
  <c r="AQ23" i="33"/>
  <c r="AP23" i="33"/>
  <c r="BA20" i="33"/>
  <c r="AZ20" i="33"/>
  <c r="AY20" i="33"/>
  <c r="AT20" i="33"/>
  <c r="AS20" i="33"/>
  <c r="AR20" i="33"/>
  <c r="AQ20" i="33"/>
  <c r="AP20" i="33"/>
  <c r="CZ9" i="33"/>
  <c r="CZ14" i="33" s="1"/>
  <c r="DA9" i="33"/>
  <c r="DA11" i="33" s="1"/>
  <c r="CZ20" i="33"/>
  <c r="DA20" i="33"/>
  <c r="CZ23" i="33"/>
  <c r="DA23" i="33"/>
  <c r="DU20" i="33"/>
  <c r="DS20" i="33"/>
  <c r="DU9" i="33"/>
  <c r="CZ13" i="33" l="1"/>
  <c r="CZ16" i="33"/>
  <c r="CZ11" i="33"/>
  <c r="CZ15" i="33"/>
  <c r="CZ17" i="33"/>
  <c r="CZ12" i="33"/>
  <c r="DA16" i="33"/>
  <c r="DA14" i="33"/>
  <c r="DA12" i="33"/>
  <c r="DA17" i="33"/>
  <c r="DA15" i="33"/>
  <c r="DA13" i="33"/>
  <c r="DU16" i="33"/>
  <c r="DU17" i="33"/>
  <c r="DU15" i="33"/>
  <c r="DU13" i="33"/>
  <c r="DU14" i="33"/>
  <c r="DU12" i="33"/>
  <c r="DU11" i="33"/>
  <c r="EW20" i="33"/>
  <c r="EV20" i="33"/>
  <c r="EP23" i="33" l="1"/>
  <c r="M147" i="23" l="1"/>
  <c r="GI23" i="33" l="1"/>
  <c r="FV20" i="33"/>
  <c r="FV23" i="33"/>
  <c r="CS20" i="33" l="1"/>
  <c r="FN20" i="33"/>
  <c r="FO20" i="33"/>
  <c r="FN23" i="33"/>
  <c r="FO23" i="33"/>
  <c r="BW20" i="33"/>
  <c r="BW23" i="33"/>
  <c r="BS20" i="33"/>
  <c r="BS23" i="33"/>
  <c r="BN20" i="33"/>
  <c r="BN23" i="33"/>
  <c r="K20" i="33"/>
  <c r="K23" i="33"/>
  <c r="N111" i="28" l="1"/>
  <c r="M159" i="23" l="1"/>
  <c r="M160" i="23"/>
  <c r="M144" i="23"/>
  <c r="M150" i="23"/>
  <c r="M151" i="23"/>
  <c r="M161" i="23"/>
  <c r="M141" i="23"/>
  <c r="M157" i="23"/>
  <c r="M158" i="23"/>
  <c r="M154" i="23"/>
  <c r="M155" i="23"/>
  <c r="M145" i="23"/>
  <c r="M146" i="23"/>
  <c r="M148" i="23"/>
  <c r="B24" i="18"/>
  <c r="N34" i="13" s="1"/>
  <c r="GA20" i="33"/>
  <c r="GA23" i="33"/>
  <c r="EA20" i="33"/>
  <c r="DP23" i="33"/>
  <c r="DN23" i="33"/>
  <c r="DM23" i="33"/>
  <c r="DL23" i="33"/>
  <c r="DK23" i="33"/>
  <c r="DJ23" i="33"/>
  <c r="DP20" i="33"/>
  <c r="DN20" i="33"/>
  <c r="DM20" i="33"/>
  <c r="DL20" i="33"/>
  <c r="DK20" i="33"/>
  <c r="DJ20" i="33"/>
  <c r="EG9" i="33" l="1"/>
  <c r="EF9" i="33"/>
  <c r="EG16" i="33" l="1"/>
  <c r="EG17" i="33"/>
  <c r="EG15" i="33"/>
  <c r="EG13" i="33"/>
  <c r="EG12" i="33"/>
  <c r="EG14" i="33"/>
  <c r="EG11" i="33"/>
  <c r="EF17" i="33"/>
  <c r="EF15" i="33"/>
  <c r="EF16" i="33"/>
  <c r="EF13" i="33"/>
  <c r="EF14" i="33"/>
  <c r="EF12" i="33"/>
  <c r="EF11" i="33"/>
  <c r="B93" i="33"/>
  <c r="B91" i="33"/>
  <c r="O212" i="23" l="1"/>
  <c r="O211" i="23"/>
  <c r="K210" i="23"/>
  <c r="O210" i="23"/>
  <c r="O206" i="23"/>
  <c r="O97" i="23"/>
  <c r="O96" i="23"/>
  <c r="K96" i="23"/>
  <c r="O95" i="23"/>
  <c r="K25" i="2" l="1"/>
  <c r="C42" i="2" s="1"/>
  <c r="U25" i="2" l="1"/>
  <c r="AI42" i="2"/>
  <c r="DF23" i="33" l="1"/>
  <c r="C92" i="33" l="1"/>
  <c r="C90" i="33"/>
  <c r="C73" i="33"/>
  <c r="GO23" i="33"/>
  <c r="GN23" i="33"/>
  <c r="GM23" i="33"/>
  <c r="GL23" i="33"/>
  <c r="GK23" i="33"/>
  <c r="GJ23" i="33"/>
  <c r="GH23" i="33"/>
  <c r="GG23" i="33"/>
  <c r="GB23" i="33"/>
  <c r="FZ23" i="33"/>
  <c r="FY23" i="33"/>
  <c r="FX23" i="33"/>
  <c r="FW23" i="33"/>
  <c r="FU23" i="33"/>
  <c r="FT23" i="33"/>
  <c r="FS23" i="33"/>
  <c r="FR23" i="33"/>
  <c r="FQ23" i="33"/>
  <c r="FP23" i="33"/>
  <c r="FE23" i="33"/>
  <c r="FD23" i="33"/>
  <c r="FC23" i="33"/>
  <c r="DH23" i="33"/>
  <c r="DG23" i="33"/>
  <c r="DE23" i="33"/>
  <c r="DC23" i="33"/>
  <c r="DB23" i="33"/>
  <c r="CY23" i="33"/>
  <c r="CX23" i="33"/>
  <c r="CW23" i="33"/>
  <c r="CV23" i="33"/>
  <c r="CU23" i="33"/>
  <c r="CL23" i="33"/>
  <c r="CK23" i="33"/>
  <c r="CJ23" i="33"/>
  <c r="CI23" i="33"/>
  <c r="CH23" i="33"/>
  <c r="CF23" i="33"/>
  <c r="CD23" i="33"/>
  <c r="CC23" i="33"/>
  <c r="CB23" i="33"/>
  <c r="CA23" i="33"/>
  <c r="BZ23" i="33"/>
  <c r="BY23" i="33"/>
  <c r="BV23" i="33"/>
  <c r="BR23" i="33"/>
  <c r="BQ23" i="33"/>
  <c r="BO23" i="33"/>
  <c r="BM23" i="33"/>
  <c r="BL23" i="33"/>
  <c r="BK23" i="33"/>
  <c r="BI23" i="33"/>
  <c r="BH23" i="33"/>
  <c r="BG23" i="33"/>
  <c r="BF23" i="33"/>
  <c r="BE23" i="33"/>
  <c r="AN23" i="33"/>
  <c r="AK23" i="33"/>
  <c r="AJ23" i="33"/>
  <c r="AI23" i="33"/>
  <c r="AH23" i="33"/>
  <c r="AG23" i="33"/>
  <c r="AF23" i="33"/>
  <c r="AE23" i="33"/>
  <c r="AD23" i="33"/>
  <c r="AC23" i="33"/>
  <c r="AA23" i="33"/>
  <c r="Z23" i="33"/>
  <c r="X23" i="33"/>
  <c r="W23" i="33"/>
  <c r="V23" i="33"/>
  <c r="U23" i="33"/>
  <c r="T23" i="33"/>
  <c r="S23" i="33"/>
  <c r="R23" i="33"/>
  <c r="N23" i="33"/>
  <c r="M23" i="33"/>
  <c r="J23" i="33"/>
  <c r="I23" i="33"/>
  <c r="H23" i="33"/>
  <c r="G23" i="33"/>
  <c r="F23" i="33"/>
  <c r="GO20" i="33"/>
  <c r="GN20" i="33"/>
  <c r="GB20" i="33"/>
  <c r="FZ20" i="33"/>
  <c r="FY20" i="33"/>
  <c r="FX20" i="33"/>
  <c r="FW20" i="33"/>
  <c r="FU20" i="33"/>
  <c r="FT20" i="33"/>
  <c r="FS20" i="33"/>
  <c r="FR20" i="33"/>
  <c r="FQ20" i="33"/>
  <c r="FP20" i="33"/>
  <c r="FM20" i="33"/>
  <c r="FL20" i="33"/>
  <c r="FK20" i="33"/>
  <c r="FJ20" i="33"/>
  <c r="FI20" i="33"/>
  <c r="FH20" i="33"/>
  <c r="FG20" i="33"/>
  <c r="FF20" i="33"/>
  <c r="FE20" i="33"/>
  <c r="DH20" i="33"/>
  <c r="DC20" i="33"/>
  <c r="DB20" i="33"/>
  <c r="CY20" i="33"/>
  <c r="CX20" i="33"/>
  <c r="CW20" i="33"/>
  <c r="CV20" i="33"/>
  <c r="CU20" i="33"/>
  <c r="CR20" i="33"/>
  <c r="CL20" i="33"/>
  <c r="CK20" i="33"/>
  <c r="CI20" i="33"/>
  <c r="CH20" i="33"/>
  <c r="CD20" i="33"/>
  <c r="CC20" i="33"/>
  <c r="CB20" i="33"/>
  <c r="CA20" i="33"/>
  <c r="BZ20" i="33"/>
  <c r="BY20" i="33"/>
  <c r="BV20" i="33"/>
  <c r="BU20" i="33"/>
  <c r="BR20" i="33"/>
  <c r="BQ20" i="33"/>
  <c r="BO20" i="33"/>
  <c r="BM20" i="33"/>
  <c r="BI20" i="33"/>
  <c r="BH20" i="33"/>
  <c r="BG20" i="33"/>
  <c r="BF20" i="33"/>
  <c r="BE20" i="33"/>
  <c r="AK20" i="33"/>
  <c r="AJ20" i="33"/>
  <c r="AI20" i="33"/>
  <c r="AH20" i="33"/>
  <c r="AG20" i="33"/>
  <c r="AF20" i="33"/>
  <c r="AE20" i="33"/>
  <c r="X20" i="33"/>
  <c r="W20" i="33"/>
  <c r="V20" i="33"/>
  <c r="U20" i="33"/>
  <c r="T20" i="33"/>
  <c r="S20" i="33"/>
  <c r="R20" i="33"/>
  <c r="P20" i="33"/>
  <c r="N20" i="33"/>
  <c r="M20" i="33"/>
  <c r="L20" i="33"/>
  <c r="J20" i="33"/>
  <c r="I20" i="33"/>
  <c r="H20" i="33"/>
  <c r="G20" i="33"/>
  <c r="EA9" i="33"/>
  <c r="EA16" i="33" l="1"/>
  <c r="EA17" i="33"/>
  <c r="EA15" i="33"/>
  <c r="EA14" i="33"/>
  <c r="EA13" i="33"/>
  <c r="EA12" i="33"/>
  <c r="EA11" i="33"/>
  <c r="CO9" i="33"/>
  <c r="CO17" i="33" l="1"/>
  <c r="CO16" i="33"/>
  <c r="CO15" i="33"/>
  <c r="CO14" i="33"/>
  <c r="CO13" i="33"/>
  <c r="CO12" i="33"/>
  <c r="CO11" i="33"/>
  <c r="CL9" i="33"/>
  <c r="CK9" i="33"/>
  <c r="CK17" i="33" l="1"/>
  <c r="CK16" i="33"/>
  <c r="CK15" i="33"/>
  <c r="CK14" i="33"/>
  <c r="CK13" i="33"/>
  <c r="CK12" i="33"/>
  <c r="CK11" i="33"/>
  <c r="CL17" i="33"/>
  <c r="CL16" i="33"/>
  <c r="CL15" i="33"/>
  <c r="CL14" i="33"/>
  <c r="CL13" i="33"/>
  <c r="CL12" i="33"/>
  <c r="CL11" i="33"/>
  <c r="F80" i="28" l="1"/>
  <c r="F81" i="28"/>
  <c r="F82" i="28"/>
  <c r="F83" i="28"/>
  <c r="F84" i="28"/>
  <c r="F85" i="28"/>
  <c r="F86" i="28"/>
  <c r="F87" i="28"/>
  <c r="F88" i="28"/>
  <c r="F89" i="28"/>
  <c r="F90" i="28"/>
  <c r="F91" i="28"/>
  <c r="X116" i="28" l="1"/>
  <c r="X115" i="28"/>
  <c r="AA101" i="28"/>
  <c r="AA102" i="28"/>
  <c r="AA103" i="28"/>
  <c r="AA104" i="28"/>
  <c r="AA105" i="28"/>
  <c r="AA106" i="28"/>
  <c r="AA107" i="28"/>
  <c r="AA108" i="28"/>
  <c r="AA109" i="28"/>
  <c r="AA110" i="28"/>
  <c r="AA111" i="28"/>
  <c r="AA100" i="28"/>
  <c r="Y101" i="28"/>
  <c r="Y102" i="28"/>
  <c r="Y103" i="28"/>
  <c r="Y104" i="28"/>
  <c r="Y105" i="28"/>
  <c r="Y106" i="28"/>
  <c r="Y107" i="28"/>
  <c r="Y108" i="28"/>
  <c r="Y109" i="28"/>
  <c r="Y110" i="28"/>
  <c r="Y111" i="28"/>
  <c r="Y100" i="28"/>
  <c r="X101" i="28"/>
  <c r="X102" i="28"/>
  <c r="X103" i="28"/>
  <c r="X104" i="28"/>
  <c r="X105" i="28"/>
  <c r="X106" i="28"/>
  <c r="X107" i="28"/>
  <c r="X108" i="28"/>
  <c r="X109" i="28"/>
  <c r="X110" i="28"/>
  <c r="X111" i="28"/>
  <c r="X100" i="28"/>
  <c r="O116" i="28"/>
  <c r="N116" i="28"/>
  <c r="O110" i="28"/>
  <c r="N110" i="28"/>
  <c r="O109" i="28"/>
  <c r="N109" i="28"/>
  <c r="O108" i="28"/>
  <c r="N108" i="28"/>
  <c r="O107" i="28"/>
  <c r="N107" i="28"/>
  <c r="O106" i="28"/>
  <c r="N106" i="28"/>
  <c r="O103" i="28"/>
  <c r="N103" i="28"/>
  <c r="O101" i="28"/>
  <c r="N101" i="28"/>
  <c r="O100" i="28"/>
  <c r="N100" i="28"/>
  <c r="Z108" i="28" l="1"/>
  <c r="Z106" i="28"/>
  <c r="Z107" i="28"/>
  <c r="Z109" i="28"/>
  <c r="R27" i="28"/>
  <c r="R22" i="28"/>
  <c r="R23" i="28"/>
  <c r="R24" i="28"/>
  <c r="R25" i="28"/>
  <c r="R21" i="28"/>
  <c r="R17" i="28"/>
  <c r="R16" i="28"/>
  <c r="R15" i="28"/>
  <c r="AB108" i="28"/>
  <c r="AB107" i="28"/>
  <c r="AB106" i="28"/>
  <c r="AB109" i="28"/>
  <c r="AX187" i="28" l="1"/>
  <c r="AY187" i="28"/>
  <c r="AX188" i="28"/>
  <c r="AY188" i="28"/>
  <c r="AX189" i="28"/>
  <c r="AY189" i="28"/>
  <c r="AX190" i="28"/>
  <c r="AY190" i="28"/>
  <c r="AX191" i="28"/>
  <c r="AY191" i="28"/>
  <c r="AX192" i="28"/>
  <c r="AY192" i="28"/>
  <c r="AX193" i="28"/>
  <c r="AY193" i="28"/>
  <c r="AX194" i="28"/>
  <c r="AY194" i="28"/>
  <c r="AX195" i="28"/>
  <c r="AY195" i="28"/>
  <c r="AY186" i="28"/>
  <c r="AX186" i="28"/>
  <c r="AX165" i="28"/>
  <c r="AY165" i="28"/>
  <c r="AX166" i="28"/>
  <c r="AY166" i="28"/>
  <c r="AX167" i="28"/>
  <c r="AY167" i="28"/>
  <c r="AX168" i="28"/>
  <c r="AY168" i="28"/>
  <c r="AX169" i="28"/>
  <c r="AY169" i="28"/>
  <c r="AX170" i="28"/>
  <c r="AY170" i="28"/>
  <c r="AX171" i="28"/>
  <c r="AY171" i="28"/>
  <c r="AX172" i="28"/>
  <c r="AY172" i="28"/>
  <c r="AX173" i="28"/>
  <c r="AY173" i="28"/>
  <c r="AX174" i="28"/>
  <c r="AY174" i="28"/>
  <c r="AX175" i="28"/>
  <c r="AY175" i="28"/>
  <c r="AX176" i="28"/>
  <c r="AY176" i="28"/>
  <c r="AX177" i="28"/>
  <c r="AY177" i="28"/>
  <c r="AX178" i="28"/>
  <c r="AY178" i="28"/>
  <c r="AX179" i="28"/>
  <c r="AY179" i="28"/>
  <c r="AX180" i="28"/>
  <c r="AY180" i="28"/>
  <c r="AX181" i="28"/>
  <c r="AY181" i="28"/>
  <c r="AX182" i="28"/>
  <c r="AY182" i="28"/>
  <c r="AX183" i="28"/>
  <c r="AY183" i="28"/>
  <c r="AX184" i="28"/>
  <c r="AY184" i="28"/>
  <c r="AY164" i="28"/>
  <c r="AX164" i="28"/>
  <c r="AX146" i="28"/>
  <c r="AY146" i="28"/>
  <c r="AX147" i="28"/>
  <c r="AY147" i="28"/>
  <c r="AX148" i="28"/>
  <c r="AY148" i="28"/>
  <c r="AX149" i="28"/>
  <c r="AY149" i="28"/>
  <c r="AX150" i="28"/>
  <c r="AY150" i="28"/>
  <c r="AX151" i="28"/>
  <c r="AY151" i="28"/>
  <c r="AX152" i="28"/>
  <c r="AY152" i="28"/>
  <c r="AX153" i="28"/>
  <c r="AY153" i="28"/>
  <c r="AX154" i="28"/>
  <c r="AY154" i="28"/>
  <c r="AX155" i="28"/>
  <c r="AY155" i="28"/>
  <c r="AX156" i="28"/>
  <c r="AY156" i="28"/>
  <c r="AX157" i="28"/>
  <c r="AY157" i="28"/>
  <c r="AX158" i="28"/>
  <c r="AY158" i="28"/>
  <c r="AX159" i="28"/>
  <c r="AY159" i="28"/>
  <c r="AX160" i="28"/>
  <c r="AY160" i="28"/>
  <c r="AX161" i="28"/>
  <c r="AY161" i="28"/>
  <c r="AX162" i="28"/>
  <c r="AY162" i="28"/>
  <c r="AY145" i="28"/>
  <c r="AX145" i="28"/>
  <c r="AX133" i="28"/>
  <c r="AY133" i="28"/>
  <c r="AX134" i="28"/>
  <c r="AY134" i="28"/>
  <c r="AX135" i="28"/>
  <c r="AY135" i="28"/>
  <c r="AX136" i="28"/>
  <c r="AY136" i="28"/>
  <c r="AX137" i="28"/>
  <c r="AY137" i="28"/>
  <c r="AX138" i="28"/>
  <c r="AY138" i="28"/>
  <c r="AX139" i="28"/>
  <c r="AY139" i="28"/>
  <c r="AX140" i="28"/>
  <c r="AY140" i="28"/>
  <c r="AX141" i="28"/>
  <c r="AY141" i="28"/>
  <c r="AY130" i="28"/>
  <c r="AX130" i="28"/>
  <c r="AX107" i="28"/>
  <c r="AY107" i="28"/>
  <c r="AX108" i="28"/>
  <c r="AY108" i="28"/>
  <c r="AX109" i="28"/>
  <c r="AY109" i="28"/>
  <c r="AX110" i="28"/>
  <c r="AY110" i="28"/>
  <c r="AX111" i="28"/>
  <c r="AY111" i="28"/>
  <c r="AX112" i="28"/>
  <c r="AY112" i="28"/>
  <c r="AX113" i="28"/>
  <c r="AY113" i="28"/>
  <c r="AX114" i="28"/>
  <c r="AX132" i="28" s="1"/>
  <c r="AY114" i="28"/>
  <c r="AY132" i="28" s="1"/>
  <c r="AX115" i="28"/>
  <c r="AY115" i="28"/>
  <c r="AX116" i="28"/>
  <c r="AY116" i="28"/>
  <c r="AX117" i="28"/>
  <c r="AY117" i="28"/>
  <c r="AX118" i="28"/>
  <c r="AY118" i="28"/>
  <c r="AX119" i="28"/>
  <c r="AY119" i="28"/>
  <c r="AX120" i="28"/>
  <c r="AY120" i="28"/>
  <c r="AX121" i="28"/>
  <c r="AY121" i="28"/>
  <c r="AX122" i="28"/>
  <c r="AY122" i="28"/>
  <c r="AX123" i="28"/>
  <c r="AY123" i="28"/>
  <c r="AX124" i="28"/>
  <c r="AY124" i="28"/>
  <c r="AX125" i="28"/>
  <c r="AY125" i="28"/>
  <c r="AX126" i="28"/>
  <c r="AY126" i="28"/>
  <c r="AX127" i="28"/>
  <c r="AY127" i="28"/>
  <c r="AX128" i="28"/>
  <c r="AY128" i="28"/>
  <c r="AY106" i="28"/>
  <c r="AX106" i="28"/>
  <c r="AX82" i="28"/>
  <c r="AY82" i="28"/>
  <c r="AX83" i="28"/>
  <c r="AY83" i="28"/>
  <c r="AX84" i="28"/>
  <c r="AY84" i="28"/>
  <c r="AX85" i="28"/>
  <c r="AY85" i="28"/>
  <c r="AX86" i="28"/>
  <c r="AY86" i="28"/>
  <c r="AX87" i="28"/>
  <c r="AY87" i="28"/>
  <c r="AX88" i="28"/>
  <c r="AY88" i="28"/>
  <c r="AX89" i="28"/>
  <c r="AY89" i="28"/>
  <c r="AX90" i="28"/>
  <c r="AY90" i="28"/>
  <c r="AX91" i="28"/>
  <c r="AY91" i="28"/>
  <c r="AX92" i="28"/>
  <c r="AY92" i="28"/>
  <c r="AX93" i="28"/>
  <c r="AY93" i="28"/>
  <c r="AX94" i="28"/>
  <c r="AY94" i="28"/>
  <c r="AX95" i="28"/>
  <c r="AY95" i="28"/>
  <c r="AX96" i="28"/>
  <c r="AY96" i="28"/>
  <c r="AX97" i="28"/>
  <c r="AY97" i="28"/>
  <c r="AX98" i="28"/>
  <c r="AY98" i="28"/>
  <c r="AX99" i="28"/>
  <c r="AY99" i="28"/>
  <c r="AX100" i="28"/>
  <c r="AY100" i="28"/>
  <c r="AX101" i="28"/>
  <c r="AY101" i="28"/>
  <c r="AX102" i="28"/>
  <c r="AY102" i="28"/>
  <c r="AX103" i="28"/>
  <c r="AY103" i="28"/>
  <c r="AX104" i="28"/>
  <c r="AY104" i="28"/>
  <c r="AY81" i="28"/>
  <c r="AX81" i="28"/>
  <c r="AX56" i="28"/>
  <c r="AY56" i="28"/>
  <c r="AX57" i="28"/>
  <c r="AY57" i="28"/>
  <c r="AX58" i="28"/>
  <c r="AY58" i="28"/>
  <c r="AX59" i="28"/>
  <c r="AY59" i="28"/>
  <c r="AX60" i="28"/>
  <c r="AY60" i="28"/>
  <c r="AX61" i="28"/>
  <c r="AY61" i="28"/>
  <c r="AX62" i="28"/>
  <c r="AY62" i="28"/>
  <c r="AX63" i="28"/>
  <c r="AY63" i="28"/>
  <c r="AX64" i="28"/>
  <c r="AY64" i="28"/>
  <c r="AX65" i="28"/>
  <c r="AY65" i="28"/>
  <c r="AX66" i="28"/>
  <c r="AY66" i="28"/>
  <c r="AX67" i="28"/>
  <c r="AY67" i="28"/>
  <c r="AX68" i="28"/>
  <c r="AY68" i="28"/>
  <c r="AX69" i="28"/>
  <c r="AY69" i="28"/>
  <c r="AX70" i="28"/>
  <c r="AY70" i="28"/>
  <c r="AX71" i="28"/>
  <c r="AY71" i="28"/>
  <c r="AX72" i="28"/>
  <c r="AY72" i="28"/>
  <c r="AX73" i="28"/>
  <c r="AY73" i="28"/>
  <c r="AX74" i="28"/>
  <c r="AY74" i="28"/>
  <c r="AX75" i="28"/>
  <c r="AY75" i="28"/>
  <c r="AX76" i="28"/>
  <c r="AY76" i="28"/>
  <c r="AX77" i="28"/>
  <c r="AY77" i="28"/>
  <c r="AX78" i="28"/>
  <c r="AY78" i="28"/>
  <c r="AX79" i="28"/>
  <c r="AY79" i="28"/>
  <c r="AY55" i="28"/>
  <c r="AX55" i="28"/>
  <c r="BC187" i="28"/>
  <c r="BE187" i="28"/>
  <c r="BF187" i="28"/>
  <c r="BG187" i="28"/>
  <c r="BH187" i="28"/>
  <c r="BI187" i="28"/>
  <c r="BC188" i="28"/>
  <c r="BE188" i="28"/>
  <c r="BF188" i="28"/>
  <c r="BG188" i="28"/>
  <c r="BH188" i="28"/>
  <c r="BI188" i="28"/>
  <c r="BC189" i="28"/>
  <c r="BE189" i="28"/>
  <c r="BF189" i="28"/>
  <c r="BG189" i="28"/>
  <c r="BH189" i="28"/>
  <c r="BI189" i="28"/>
  <c r="BC190" i="28"/>
  <c r="BE190" i="28"/>
  <c r="BF190" i="28"/>
  <c r="BG190" i="28"/>
  <c r="BH190" i="28"/>
  <c r="BI190" i="28"/>
  <c r="BC191" i="28"/>
  <c r="BE191" i="28"/>
  <c r="BF191" i="28"/>
  <c r="BG191" i="28"/>
  <c r="BH191" i="28"/>
  <c r="BI191" i="28"/>
  <c r="BC192" i="28"/>
  <c r="BE192" i="28"/>
  <c r="BF192" i="28"/>
  <c r="BG192" i="28"/>
  <c r="BH192" i="28"/>
  <c r="BI192" i="28"/>
  <c r="BC193" i="28"/>
  <c r="BE193" i="28"/>
  <c r="BF193" i="28"/>
  <c r="BG193" i="28"/>
  <c r="BH193" i="28"/>
  <c r="BI193" i="28"/>
  <c r="BC194" i="28"/>
  <c r="BE194" i="28"/>
  <c r="BF194" i="28"/>
  <c r="BG194" i="28"/>
  <c r="BH194" i="28"/>
  <c r="BI194" i="28"/>
  <c r="BC195" i="28"/>
  <c r="BE195" i="28"/>
  <c r="BF195" i="28"/>
  <c r="BG195" i="28"/>
  <c r="BH195" i="28"/>
  <c r="BI195" i="28"/>
  <c r="BI186" i="28"/>
  <c r="BH186" i="28"/>
  <c r="BG186" i="28"/>
  <c r="BF186" i="28"/>
  <c r="BE186" i="28"/>
  <c r="BC186" i="28"/>
  <c r="AZ187" i="28"/>
  <c r="BA187" i="28"/>
  <c r="BB187" i="28"/>
  <c r="AZ188" i="28"/>
  <c r="BA188" i="28"/>
  <c r="BB188" i="28"/>
  <c r="AZ189" i="28"/>
  <c r="BA189" i="28"/>
  <c r="BB189" i="28"/>
  <c r="AZ190" i="28"/>
  <c r="BA190" i="28"/>
  <c r="BB190" i="28"/>
  <c r="AZ191" i="28"/>
  <c r="BA191" i="28"/>
  <c r="BB191" i="28"/>
  <c r="AZ192" i="28"/>
  <c r="BA192" i="28"/>
  <c r="BB192" i="28"/>
  <c r="AZ193" i="28"/>
  <c r="BA193" i="28"/>
  <c r="BB193" i="28"/>
  <c r="AZ194" i="28"/>
  <c r="BA194" i="28"/>
  <c r="BB194" i="28"/>
  <c r="AZ195" i="28"/>
  <c r="BA195" i="28"/>
  <c r="BB195" i="28"/>
  <c r="BB186" i="28"/>
  <c r="BA186" i="28"/>
  <c r="AZ186" i="28"/>
  <c r="AT187" i="28"/>
  <c r="AU187" i="28"/>
  <c r="AV187" i="28"/>
  <c r="AT188" i="28"/>
  <c r="AU188" i="28"/>
  <c r="AV188" i="28"/>
  <c r="AT189" i="28"/>
  <c r="AU189" i="28"/>
  <c r="AV189" i="28"/>
  <c r="AT190" i="28"/>
  <c r="AU190" i="28"/>
  <c r="AV190" i="28"/>
  <c r="AT191" i="28"/>
  <c r="AU191" i="28"/>
  <c r="AV191" i="28"/>
  <c r="AT192" i="28"/>
  <c r="AU192" i="28"/>
  <c r="AV192" i="28"/>
  <c r="AT193" i="28"/>
  <c r="AU193" i="28"/>
  <c r="AV193" i="28"/>
  <c r="AT194" i="28"/>
  <c r="AU194" i="28"/>
  <c r="AV194" i="28"/>
  <c r="AT195" i="28"/>
  <c r="AU195" i="28"/>
  <c r="AV195" i="28"/>
  <c r="AV186" i="28"/>
  <c r="AU186" i="28"/>
  <c r="AT186" i="28"/>
  <c r="BC165" i="28"/>
  <c r="BD165" i="28"/>
  <c r="BE165" i="28"/>
  <c r="BF165" i="28"/>
  <c r="BG165" i="28"/>
  <c r="BH165" i="28"/>
  <c r="BI165" i="28"/>
  <c r="BC166" i="28"/>
  <c r="BE166" i="28"/>
  <c r="BF166" i="28"/>
  <c r="BG166" i="28"/>
  <c r="BH166" i="28"/>
  <c r="BI166" i="28"/>
  <c r="BC167" i="28"/>
  <c r="BE167" i="28"/>
  <c r="BF167" i="28"/>
  <c r="BG167" i="28"/>
  <c r="BH167" i="28"/>
  <c r="BI167" i="28"/>
  <c r="BC168" i="28"/>
  <c r="BD168" i="28"/>
  <c r="BE168" i="28"/>
  <c r="BF168" i="28"/>
  <c r="BG168" i="28"/>
  <c r="BH168" i="28"/>
  <c r="BI168" i="28"/>
  <c r="BC169" i="28"/>
  <c r="BE169" i="28"/>
  <c r="BF169" i="28"/>
  <c r="BG169" i="28"/>
  <c r="BH169" i="28"/>
  <c r="BI169" i="28"/>
  <c r="BC170" i="28"/>
  <c r="BE170" i="28"/>
  <c r="BF170" i="28"/>
  <c r="BG170" i="28"/>
  <c r="BH170" i="28"/>
  <c r="BI170" i="28"/>
  <c r="BC171" i="28"/>
  <c r="BE171" i="28"/>
  <c r="BF171" i="28"/>
  <c r="BG171" i="28"/>
  <c r="BH171" i="28"/>
  <c r="BI171" i="28"/>
  <c r="BC172" i="28"/>
  <c r="BD172" i="28"/>
  <c r="BE172" i="28"/>
  <c r="BF172" i="28"/>
  <c r="BG172" i="28"/>
  <c r="BH172" i="28"/>
  <c r="BI172" i="28"/>
  <c r="BC173" i="28"/>
  <c r="BD173" i="28"/>
  <c r="BE173" i="28"/>
  <c r="BF173" i="28"/>
  <c r="BG173" i="28"/>
  <c r="BH173" i="28"/>
  <c r="BI173" i="28"/>
  <c r="BC174" i="28"/>
  <c r="BD174" i="28"/>
  <c r="BE174" i="28"/>
  <c r="BF174" i="28"/>
  <c r="BG174" i="28"/>
  <c r="BH174" i="28"/>
  <c r="BI174" i="28"/>
  <c r="BC175" i="28"/>
  <c r="BD175" i="28"/>
  <c r="BE175" i="28"/>
  <c r="BF175" i="28"/>
  <c r="BG175" i="28"/>
  <c r="BH175" i="28"/>
  <c r="BI175" i="28"/>
  <c r="BC176" i="28"/>
  <c r="BD176" i="28"/>
  <c r="BE176" i="28"/>
  <c r="BF176" i="28"/>
  <c r="BG176" i="28"/>
  <c r="BH176" i="28"/>
  <c r="BI176" i="28"/>
  <c r="BC177" i="28"/>
  <c r="BD177" i="28"/>
  <c r="BE177" i="28"/>
  <c r="BF177" i="28"/>
  <c r="BG177" i="28"/>
  <c r="BH177" i="28"/>
  <c r="BI177" i="28"/>
  <c r="BC178" i="28"/>
  <c r="BD178" i="28"/>
  <c r="BE178" i="28"/>
  <c r="BF178" i="28"/>
  <c r="BG178" i="28"/>
  <c r="BH178" i="28"/>
  <c r="BI178" i="28"/>
  <c r="BC179" i="28"/>
  <c r="BD179" i="28"/>
  <c r="BE179" i="28"/>
  <c r="BF179" i="28"/>
  <c r="BG179" i="28"/>
  <c r="BH179" i="28"/>
  <c r="BI179" i="28"/>
  <c r="BC180" i="28"/>
  <c r="BD180" i="28"/>
  <c r="BE180" i="28"/>
  <c r="BF180" i="28"/>
  <c r="BG180" i="28"/>
  <c r="BH180" i="28"/>
  <c r="BI180" i="28"/>
  <c r="BC181" i="28"/>
  <c r="BD181" i="28"/>
  <c r="BE181" i="28"/>
  <c r="BF181" i="28"/>
  <c r="BG181" i="28"/>
  <c r="BH181" i="28"/>
  <c r="BI181" i="28"/>
  <c r="BC182" i="28"/>
  <c r="BE182" i="28"/>
  <c r="BF182" i="28"/>
  <c r="BG182" i="28"/>
  <c r="BH182" i="28"/>
  <c r="BI182" i="28"/>
  <c r="BC183" i="28"/>
  <c r="BD183" i="28"/>
  <c r="BE183" i="28"/>
  <c r="BF183" i="28"/>
  <c r="BG183" i="28"/>
  <c r="BH183" i="28"/>
  <c r="BI183" i="28"/>
  <c r="BC184" i="28"/>
  <c r="BD184" i="28"/>
  <c r="BE184" i="28"/>
  <c r="BF184" i="28"/>
  <c r="BG184" i="28"/>
  <c r="BH184" i="28"/>
  <c r="BI184" i="28"/>
  <c r="BI164" i="28"/>
  <c r="BH164" i="28"/>
  <c r="BG164" i="28"/>
  <c r="BF164" i="28"/>
  <c r="BE164" i="28"/>
  <c r="BD164" i="28"/>
  <c r="BC164" i="28"/>
  <c r="AZ165" i="28"/>
  <c r="BA165" i="28"/>
  <c r="BB165" i="28"/>
  <c r="AZ166" i="28"/>
  <c r="BA166" i="28"/>
  <c r="BB166" i="28"/>
  <c r="AZ167" i="28"/>
  <c r="BA167" i="28"/>
  <c r="BB167" i="28"/>
  <c r="AZ168" i="28"/>
  <c r="BA168" i="28"/>
  <c r="BB168" i="28"/>
  <c r="AZ169" i="28"/>
  <c r="BA169" i="28"/>
  <c r="BB169" i="28"/>
  <c r="AZ170" i="28"/>
  <c r="BA170" i="28"/>
  <c r="BB170" i="28"/>
  <c r="AZ171" i="28"/>
  <c r="BA171" i="28"/>
  <c r="BB171" i="28"/>
  <c r="AZ172" i="28"/>
  <c r="BA172" i="28"/>
  <c r="BB172" i="28"/>
  <c r="AZ173" i="28"/>
  <c r="BA173" i="28"/>
  <c r="BB173" i="28"/>
  <c r="AZ174" i="28"/>
  <c r="BA174" i="28"/>
  <c r="BB174" i="28"/>
  <c r="AZ175" i="28"/>
  <c r="BA175" i="28"/>
  <c r="BB175" i="28"/>
  <c r="AZ176" i="28"/>
  <c r="BA176" i="28"/>
  <c r="BB176" i="28"/>
  <c r="AZ177" i="28"/>
  <c r="BA177" i="28"/>
  <c r="BB177" i="28"/>
  <c r="AZ178" i="28"/>
  <c r="BA178" i="28"/>
  <c r="BB178" i="28"/>
  <c r="AZ179" i="28"/>
  <c r="BA179" i="28"/>
  <c r="BB179" i="28"/>
  <c r="AZ180" i="28"/>
  <c r="BA180" i="28"/>
  <c r="BB180" i="28"/>
  <c r="AZ181" i="28"/>
  <c r="BA181" i="28"/>
  <c r="BB181" i="28"/>
  <c r="AZ182" i="28"/>
  <c r="BA182" i="28"/>
  <c r="BB182" i="28"/>
  <c r="AZ183" i="28"/>
  <c r="BA183" i="28"/>
  <c r="BB183" i="28"/>
  <c r="AZ184" i="28"/>
  <c r="BA184" i="28"/>
  <c r="BB184" i="28"/>
  <c r="AT165" i="28"/>
  <c r="AU165" i="28"/>
  <c r="AV165" i="28"/>
  <c r="AT166" i="28"/>
  <c r="AU166" i="28"/>
  <c r="AV166" i="28"/>
  <c r="AT167" i="28"/>
  <c r="AU167" i="28"/>
  <c r="AV167" i="28"/>
  <c r="AT168" i="28"/>
  <c r="AU168" i="28"/>
  <c r="AV168" i="28"/>
  <c r="AT169" i="28"/>
  <c r="AU169" i="28"/>
  <c r="AV169" i="28"/>
  <c r="AT170" i="28"/>
  <c r="AU170" i="28"/>
  <c r="AV170" i="28"/>
  <c r="AT171" i="28"/>
  <c r="AU171" i="28"/>
  <c r="AV171" i="28"/>
  <c r="AT172" i="28"/>
  <c r="AU172" i="28"/>
  <c r="AV172" i="28"/>
  <c r="AT173" i="28"/>
  <c r="AU173" i="28"/>
  <c r="AV173" i="28"/>
  <c r="AT174" i="28"/>
  <c r="AU174" i="28"/>
  <c r="AV174" i="28"/>
  <c r="AT175" i="28"/>
  <c r="AU175" i="28"/>
  <c r="AV175" i="28"/>
  <c r="AT176" i="28"/>
  <c r="AU176" i="28"/>
  <c r="AV176" i="28"/>
  <c r="AT177" i="28"/>
  <c r="AU177" i="28"/>
  <c r="AV177" i="28"/>
  <c r="AT178" i="28"/>
  <c r="AU178" i="28"/>
  <c r="AV178" i="28"/>
  <c r="AT179" i="28"/>
  <c r="AU179" i="28"/>
  <c r="AV179" i="28"/>
  <c r="AT180" i="28"/>
  <c r="AU180" i="28"/>
  <c r="AV180" i="28"/>
  <c r="AT181" i="28"/>
  <c r="AU181" i="28"/>
  <c r="AV181" i="28"/>
  <c r="AT182" i="28"/>
  <c r="AU182" i="28"/>
  <c r="AV182" i="28"/>
  <c r="AT183" i="28"/>
  <c r="AU183" i="28"/>
  <c r="AV183" i="28"/>
  <c r="AT184" i="28"/>
  <c r="AU184" i="28"/>
  <c r="AV184" i="28"/>
  <c r="BB164" i="28"/>
  <c r="BA164" i="28"/>
  <c r="AZ164" i="28"/>
  <c r="AV164" i="28"/>
  <c r="AU164" i="28"/>
  <c r="AT164" i="28"/>
  <c r="BC146" i="28"/>
  <c r="BE146" i="28"/>
  <c r="BF146" i="28"/>
  <c r="BG146" i="28"/>
  <c r="BH146" i="28"/>
  <c r="BI146" i="28"/>
  <c r="BC147" i="28"/>
  <c r="BE147" i="28"/>
  <c r="BF147" i="28"/>
  <c r="BG147" i="28"/>
  <c r="BH147" i="28"/>
  <c r="BI147" i="28"/>
  <c r="BC148" i="28"/>
  <c r="BE148" i="28"/>
  <c r="BF148" i="28"/>
  <c r="BG148" i="28"/>
  <c r="BH148" i="28"/>
  <c r="BI148" i="28"/>
  <c r="BC149" i="28"/>
  <c r="BE149" i="28"/>
  <c r="BF149" i="28"/>
  <c r="BG149" i="28"/>
  <c r="BH149" i="28"/>
  <c r="BI149" i="28"/>
  <c r="BC150" i="28"/>
  <c r="BE150" i="28"/>
  <c r="BF150" i="28"/>
  <c r="BG150" i="28"/>
  <c r="BH150" i="28"/>
  <c r="BI150" i="28"/>
  <c r="BC151" i="28"/>
  <c r="BE151" i="28"/>
  <c r="BF151" i="28"/>
  <c r="BG151" i="28"/>
  <c r="BH151" i="28"/>
  <c r="BI151" i="28"/>
  <c r="BC152" i="28"/>
  <c r="BE152" i="28"/>
  <c r="BF152" i="28"/>
  <c r="BG152" i="28"/>
  <c r="BH152" i="28"/>
  <c r="BI152" i="28"/>
  <c r="BC153" i="28"/>
  <c r="BE153" i="28"/>
  <c r="BF153" i="28"/>
  <c r="BG153" i="28"/>
  <c r="BH153" i="28"/>
  <c r="BI153" i="28"/>
  <c r="BC154" i="28"/>
  <c r="BE154" i="28"/>
  <c r="BF154" i="28"/>
  <c r="BG154" i="28"/>
  <c r="BH154" i="28"/>
  <c r="BI154" i="28"/>
  <c r="BC155" i="28"/>
  <c r="BE155" i="28"/>
  <c r="BF155" i="28"/>
  <c r="BG155" i="28"/>
  <c r="BH155" i="28"/>
  <c r="BI155" i="28"/>
  <c r="BC156" i="28"/>
  <c r="BE156" i="28"/>
  <c r="BF156" i="28"/>
  <c r="BG156" i="28"/>
  <c r="BH156" i="28"/>
  <c r="BI156" i="28"/>
  <c r="BC157" i="28"/>
  <c r="BE157" i="28"/>
  <c r="BF157" i="28"/>
  <c r="BG157" i="28"/>
  <c r="BH157" i="28"/>
  <c r="BI157" i="28"/>
  <c r="BC158" i="28"/>
  <c r="BE158" i="28"/>
  <c r="BF158" i="28"/>
  <c r="BG158" i="28"/>
  <c r="BH158" i="28"/>
  <c r="BI158" i="28"/>
  <c r="BC159" i="28"/>
  <c r="BE159" i="28"/>
  <c r="BF159" i="28"/>
  <c r="BG159" i="28"/>
  <c r="BH159" i="28"/>
  <c r="BI159" i="28"/>
  <c r="BC160" i="28"/>
  <c r="BE160" i="28"/>
  <c r="BF160" i="28"/>
  <c r="BG160" i="28"/>
  <c r="BH160" i="28"/>
  <c r="BI160" i="28"/>
  <c r="BC161" i="28"/>
  <c r="BD161" i="28"/>
  <c r="BE161" i="28"/>
  <c r="BF161" i="28"/>
  <c r="BG161" i="28"/>
  <c r="BH161" i="28"/>
  <c r="BI161" i="28"/>
  <c r="BC162" i="28"/>
  <c r="BE162" i="28"/>
  <c r="BF162" i="28"/>
  <c r="BG162" i="28"/>
  <c r="BH162" i="28"/>
  <c r="BI162" i="28"/>
  <c r="AZ146" i="28"/>
  <c r="BA146" i="28"/>
  <c r="BB146" i="28"/>
  <c r="AZ147" i="28"/>
  <c r="BA147" i="28"/>
  <c r="BB147" i="28"/>
  <c r="AZ148" i="28"/>
  <c r="BA148" i="28"/>
  <c r="BB148" i="28"/>
  <c r="AZ149" i="28"/>
  <c r="BA149" i="28"/>
  <c r="BB149" i="28"/>
  <c r="AZ150" i="28"/>
  <c r="BA150" i="28"/>
  <c r="BB150" i="28"/>
  <c r="AZ151" i="28"/>
  <c r="BA151" i="28"/>
  <c r="BB151" i="28"/>
  <c r="AZ152" i="28"/>
  <c r="BA152" i="28"/>
  <c r="BB152" i="28"/>
  <c r="AZ153" i="28"/>
  <c r="BA153" i="28"/>
  <c r="BB153" i="28"/>
  <c r="AZ154" i="28"/>
  <c r="BA154" i="28"/>
  <c r="BB154" i="28"/>
  <c r="AZ155" i="28"/>
  <c r="BA155" i="28"/>
  <c r="BB155" i="28"/>
  <c r="AZ156" i="28"/>
  <c r="BA156" i="28"/>
  <c r="AZ157" i="28"/>
  <c r="BA157" i="28"/>
  <c r="BB157" i="28"/>
  <c r="AZ158" i="28"/>
  <c r="BA158" i="28"/>
  <c r="BB158" i="28"/>
  <c r="AZ159" i="28"/>
  <c r="BA159" i="28"/>
  <c r="AZ160" i="28"/>
  <c r="BA160" i="28"/>
  <c r="BB160" i="28"/>
  <c r="AZ161" i="28"/>
  <c r="BA161" i="28"/>
  <c r="BB161" i="28"/>
  <c r="AZ162" i="28"/>
  <c r="BA162" i="28"/>
  <c r="BB162" i="28"/>
  <c r="AT146" i="28"/>
  <c r="AU146" i="28"/>
  <c r="AV146" i="28"/>
  <c r="AT147" i="28"/>
  <c r="AU147" i="28"/>
  <c r="AV147" i="28"/>
  <c r="AT148" i="28"/>
  <c r="AU148" i="28"/>
  <c r="AV148" i="28"/>
  <c r="AT149" i="28"/>
  <c r="AU149" i="28"/>
  <c r="AV149" i="28"/>
  <c r="AT150" i="28"/>
  <c r="AU150" i="28"/>
  <c r="AV150" i="28"/>
  <c r="AT151" i="28"/>
  <c r="AU151" i="28"/>
  <c r="AV151" i="28"/>
  <c r="AT152" i="28"/>
  <c r="AU152" i="28"/>
  <c r="AV152" i="28"/>
  <c r="AT153" i="28"/>
  <c r="AU153" i="28"/>
  <c r="AV153" i="28"/>
  <c r="AT154" i="28"/>
  <c r="AU154" i="28"/>
  <c r="AV154" i="28"/>
  <c r="AT155" i="28"/>
  <c r="AU155" i="28"/>
  <c r="AV155" i="28"/>
  <c r="AT156" i="28"/>
  <c r="AU156" i="28"/>
  <c r="AV156" i="28"/>
  <c r="AT157" i="28"/>
  <c r="AU157" i="28"/>
  <c r="AV157" i="28"/>
  <c r="AT158" i="28"/>
  <c r="AU158" i="28"/>
  <c r="AV158" i="28"/>
  <c r="AT159" i="28"/>
  <c r="AU159" i="28"/>
  <c r="AV159" i="28"/>
  <c r="AT160" i="28"/>
  <c r="AU160" i="28"/>
  <c r="AV160" i="28"/>
  <c r="AT161" i="28"/>
  <c r="AU161" i="28"/>
  <c r="AV161" i="28"/>
  <c r="AT162" i="28"/>
  <c r="AU162" i="28"/>
  <c r="AV162" i="28"/>
  <c r="BI145" i="28"/>
  <c r="BH145" i="28"/>
  <c r="BG145" i="28"/>
  <c r="BF145" i="28"/>
  <c r="BE145" i="28"/>
  <c r="BC145" i="28"/>
  <c r="BB145" i="28"/>
  <c r="BA145" i="28"/>
  <c r="AZ145" i="28"/>
  <c r="AV145" i="28"/>
  <c r="AT145" i="28"/>
  <c r="AU145" i="28"/>
  <c r="BI141" i="28"/>
  <c r="BH141" i="28"/>
  <c r="BG141" i="28"/>
  <c r="BF141" i="28"/>
  <c r="BC141" i="28"/>
  <c r="BI140" i="28"/>
  <c r="BH140" i="28"/>
  <c r="BG140" i="28"/>
  <c r="BF140" i="28"/>
  <c r="BC140" i="28"/>
  <c r="BI139" i="28"/>
  <c r="BH139" i="28"/>
  <c r="BG139" i="28"/>
  <c r="BF139" i="28"/>
  <c r="BC139" i="28"/>
  <c r="BI138" i="28"/>
  <c r="BH138" i="28"/>
  <c r="BG138" i="28"/>
  <c r="BF138" i="28"/>
  <c r="BC138" i="28"/>
  <c r="BI137" i="28"/>
  <c r="BH137" i="28"/>
  <c r="BG137" i="28"/>
  <c r="BF137" i="28"/>
  <c r="BC137" i="28"/>
  <c r="BI136" i="28"/>
  <c r="BH136" i="28"/>
  <c r="BG136" i="28"/>
  <c r="BF136" i="28"/>
  <c r="BE136" i="28"/>
  <c r="BC136" i="28"/>
  <c r="BI135" i="28"/>
  <c r="BH135" i="28"/>
  <c r="BG135" i="28"/>
  <c r="BF135" i="28"/>
  <c r="BE135" i="28"/>
  <c r="BD135" i="28"/>
  <c r="BC135" i="28"/>
  <c r="BI134" i="28"/>
  <c r="BH134" i="28"/>
  <c r="BG134" i="28"/>
  <c r="BF134" i="28"/>
  <c r="BE134" i="28"/>
  <c r="BD134" i="28"/>
  <c r="BC134" i="28"/>
  <c r="BI133" i="28"/>
  <c r="BH133" i="28"/>
  <c r="BG133" i="28"/>
  <c r="BF133" i="28"/>
  <c r="BC133" i="28"/>
  <c r="BI130" i="28"/>
  <c r="BH130" i="28"/>
  <c r="BG130" i="28"/>
  <c r="BF130" i="28"/>
  <c r="BC130" i="28"/>
  <c r="BI128" i="28"/>
  <c r="BH128" i="28"/>
  <c r="BG128" i="28"/>
  <c r="BF128" i="28"/>
  <c r="BC128" i="28"/>
  <c r="BI127" i="28"/>
  <c r="BH127" i="28"/>
  <c r="BG127" i="28"/>
  <c r="BF127" i="28"/>
  <c r="BC127" i="28"/>
  <c r="BI126" i="28"/>
  <c r="BH126" i="28"/>
  <c r="BG126" i="28"/>
  <c r="BF126" i="28"/>
  <c r="BC126" i="28"/>
  <c r="BI125" i="28"/>
  <c r="BH125" i="28"/>
  <c r="BG125" i="28"/>
  <c r="BF125" i="28"/>
  <c r="BC125" i="28"/>
  <c r="BI124" i="28"/>
  <c r="BH124" i="28"/>
  <c r="BG124" i="28"/>
  <c r="BF124" i="28"/>
  <c r="BC124" i="28"/>
  <c r="BI123" i="28"/>
  <c r="BH123" i="28"/>
  <c r="BG123" i="28"/>
  <c r="BF123" i="28"/>
  <c r="BE123" i="28"/>
  <c r="BD123" i="28"/>
  <c r="BC123" i="28"/>
  <c r="BI122" i="28"/>
  <c r="BH122" i="28"/>
  <c r="BG122" i="28"/>
  <c r="BF122" i="28"/>
  <c r="BE122" i="28"/>
  <c r="BD122" i="28"/>
  <c r="BC122" i="28"/>
  <c r="BI121" i="28"/>
  <c r="BH121" i="28"/>
  <c r="BG121" i="28"/>
  <c r="BF121" i="28"/>
  <c r="BE121" i="28"/>
  <c r="BD121" i="28"/>
  <c r="BC121" i="28"/>
  <c r="BI120" i="28"/>
  <c r="BH120" i="28"/>
  <c r="BG120" i="28"/>
  <c r="BF120" i="28"/>
  <c r="BE120" i="28"/>
  <c r="BD120" i="28"/>
  <c r="BC120" i="28"/>
  <c r="BI119" i="28"/>
  <c r="BH119" i="28"/>
  <c r="BG119" i="28"/>
  <c r="BF119" i="28"/>
  <c r="BE119" i="28"/>
  <c r="BD119" i="28"/>
  <c r="BC119" i="28"/>
  <c r="BI118" i="28"/>
  <c r="BH118" i="28"/>
  <c r="BG118" i="28"/>
  <c r="BF118" i="28"/>
  <c r="BC118" i="28"/>
  <c r="BI117" i="28"/>
  <c r="BH117" i="28"/>
  <c r="BG117" i="28"/>
  <c r="BF117" i="28"/>
  <c r="BE117" i="28"/>
  <c r="BC117" i="28"/>
  <c r="BI116" i="28"/>
  <c r="BH116" i="28"/>
  <c r="BG116" i="28"/>
  <c r="BF116" i="28"/>
  <c r="BE116" i="28"/>
  <c r="BC116" i="28"/>
  <c r="BI115" i="28"/>
  <c r="BH115" i="28"/>
  <c r="BG115" i="28"/>
  <c r="BF115" i="28"/>
  <c r="BE115" i="28"/>
  <c r="BD115" i="28"/>
  <c r="BC115" i="28"/>
  <c r="BI114" i="28"/>
  <c r="BI132" i="28" s="1"/>
  <c r="BH114" i="28"/>
  <c r="BH132" i="28" s="1"/>
  <c r="BG114" i="28"/>
  <c r="BG132" i="28" s="1"/>
  <c r="BF114" i="28"/>
  <c r="BF132" i="28" s="1"/>
  <c r="BE114" i="28"/>
  <c r="BC114" i="28"/>
  <c r="BC132" i="28" s="1"/>
  <c r="BI113" i="28"/>
  <c r="BH113" i="28"/>
  <c r="BG113" i="28"/>
  <c r="BF113" i="28"/>
  <c r="BE113" i="28"/>
  <c r="BD113" i="28"/>
  <c r="BC113" i="28"/>
  <c r="BI112" i="28"/>
  <c r="BH112" i="28"/>
  <c r="BG112" i="28"/>
  <c r="BF112" i="28"/>
  <c r="BE112" i="28"/>
  <c r="BD112" i="28"/>
  <c r="BC112" i="28"/>
  <c r="BI111" i="28"/>
  <c r="BH111" i="28"/>
  <c r="BG111" i="28"/>
  <c r="BF111" i="28"/>
  <c r="BE111" i="28"/>
  <c r="BD111" i="28"/>
  <c r="BC111" i="28"/>
  <c r="BI110" i="28"/>
  <c r="BH110" i="28"/>
  <c r="BG110" i="28"/>
  <c r="BF110" i="28"/>
  <c r="BE110" i="28"/>
  <c r="BD110" i="28"/>
  <c r="BC110" i="28"/>
  <c r="BI109" i="28"/>
  <c r="BH109" i="28"/>
  <c r="BG109" i="28"/>
  <c r="BF109" i="28"/>
  <c r="BE109" i="28"/>
  <c r="BC109" i="28"/>
  <c r="BI108" i="28"/>
  <c r="BH108" i="28"/>
  <c r="BG108" i="28"/>
  <c r="BF108" i="28"/>
  <c r="BC108" i="28"/>
  <c r="BI107" i="28"/>
  <c r="BH107" i="28"/>
  <c r="BG107" i="28"/>
  <c r="BF107" i="28"/>
  <c r="BC107" i="28"/>
  <c r="BI106" i="28"/>
  <c r="BH106" i="28"/>
  <c r="BG106" i="28"/>
  <c r="BF106" i="28"/>
  <c r="BC106" i="28"/>
  <c r="BB141" i="28"/>
  <c r="BA141" i="28"/>
  <c r="AZ141" i="28"/>
  <c r="AW141" i="28"/>
  <c r="AV141" i="28"/>
  <c r="AU141" i="28"/>
  <c r="AT141" i="28"/>
  <c r="BB140" i="28"/>
  <c r="BA140" i="28"/>
  <c r="AZ140" i="28"/>
  <c r="AW140" i="28"/>
  <c r="AV140" i="28"/>
  <c r="AU140" i="28"/>
  <c r="AT140" i="28"/>
  <c r="BB139" i="28"/>
  <c r="BA139" i="28"/>
  <c r="AZ139" i="28"/>
  <c r="AW139" i="28"/>
  <c r="AV139" i="28"/>
  <c r="AU139" i="28"/>
  <c r="AT139" i="28"/>
  <c r="BB138" i="28"/>
  <c r="BA138" i="28"/>
  <c r="AZ138" i="28"/>
  <c r="AW138" i="28"/>
  <c r="AV138" i="28"/>
  <c r="AU138" i="28"/>
  <c r="AT138" i="28"/>
  <c r="BB137" i="28"/>
  <c r="BA137" i="28"/>
  <c r="AZ137" i="28"/>
  <c r="AW137" i="28"/>
  <c r="AV137" i="28"/>
  <c r="AU137" i="28"/>
  <c r="AT137" i="28"/>
  <c r="BB136" i="28"/>
  <c r="BA136" i="28"/>
  <c r="AZ136" i="28"/>
  <c r="AW136" i="28"/>
  <c r="AV136" i="28"/>
  <c r="AU136" i="28"/>
  <c r="AT136" i="28"/>
  <c r="BB135" i="28"/>
  <c r="BA135" i="28"/>
  <c r="AZ135" i="28"/>
  <c r="AW135" i="28"/>
  <c r="AV135" i="28"/>
  <c r="AU135" i="28"/>
  <c r="AT135" i="28"/>
  <c r="BB134" i="28"/>
  <c r="BA134" i="28"/>
  <c r="AZ134" i="28"/>
  <c r="AW134" i="28"/>
  <c r="AV134" i="28"/>
  <c r="AU134" i="28"/>
  <c r="AT134" i="28"/>
  <c r="BB133" i="28"/>
  <c r="BA133" i="28"/>
  <c r="AZ133" i="28"/>
  <c r="AW133" i="28"/>
  <c r="AV133" i="28"/>
  <c r="AU133" i="28"/>
  <c r="AT133" i="28"/>
  <c r="BB130" i="28"/>
  <c r="BA130" i="28"/>
  <c r="AZ130" i="28"/>
  <c r="AW130" i="28"/>
  <c r="AV130" i="28"/>
  <c r="AT130" i="28"/>
  <c r="AU130" i="28"/>
  <c r="BB128" i="28"/>
  <c r="BB127" i="28"/>
  <c r="BB126" i="28"/>
  <c r="BB125" i="28"/>
  <c r="BB124" i="28"/>
  <c r="BB123" i="28"/>
  <c r="BB122" i="28"/>
  <c r="BB121" i="28"/>
  <c r="BB120" i="28"/>
  <c r="BB119" i="28"/>
  <c r="BB118" i="28"/>
  <c r="BB117" i="28"/>
  <c r="BB115" i="28"/>
  <c r="BB114" i="28"/>
  <c r="BB132" i="28" s="1"/>
  <c r="BD132" i="28" s="1"/>
  <c r="BB113" i="28"/>
  <c r="BB112" i="28"/>
  <c r="BB111" i="28"/>
  <c r="BB110" i="28"/>
  <c r="BB108" i="28"/>
  <c r="BB107" i="28"/>
  <c r="BB106" i="28"/>
  <c r="BA128" i="28"/>
  <c r="BA127" i="28"/>
  <c r="BA126" i="28"/>
  <c r="BA125" i="28"/>
  <c r="BA124" i="28"/>
  <c r="BA123" i="28"/>
  <c r="BA122" i="28"/>
  <c r="BA121" i="28"/>
  <c r="BA120" i="28"/>
  <c r="BA119" i="28"/>
  <c r="BA118" i="28"/>
  <c r="BA117" i="28"/>
  <c r="BA116" i="28"/>
  <c r="BA115" i="28"/>
  <c r="BA114" i="28"/>
  <c r="BA132" i="28" s="1"/>
  <c r="BA113" i="28"/>
  <c r="BA112" i="28"/>
  <c r="BA111" i="28"/>
  <c r="BA110" i="28"/>
  <c r="BA109" i="28"/>
  <c r="BA108" i="28"/>
  <c r="BA107" i="28"/>
  <c r="BA106" i="28"/>
  <c r="AZ128" i="28"/>
  <c r="AZ127" i="28"/>
  <c r="AZ126" i="28"/>
  <c r="AZ125" i="28"/>
  <c r="AZ124" i="28"/>
  <c r="AZ123" i="28"/>
  <c r="AZ122" i="28"/>
  <c r="AZ121" i="28"/>
  <c r="AZ120" i="28"/>
  <c r="AZ119" i="28"/>
  <c r="AZ118" i="28"/>
  <c r="AZ117" i="28"/>
  <c r="AZ116" i="28"/>
  <c r="AZ115" i="28"/>
  <c r="AZ114" i="28"/>
  <c r="AZ132" i="28" s="1"/>
  <c r="AZ113" i="28"/>
  <c r="AZ112" i="28"/>
  <c r="AZ111" i="28"/>
  <c r="AZ110" i="28"/>
  <c r="AZ109" i="28"/>
  <c r="AZ108" i="28"/>
  <c r="AZ107" i="28"/>
  <c r="AZ106" i="28"/>
  <c r="AV128" i="28"/>
  <c r="AU128" i="28"/>
  <c r="AT128" i="28"/>
  <c r="AV127" i="28"/>
  <c r="AU127" i="28"/>
  <c r="AT127" i="28"/>
  <c r="AV126" i="28"/>
  <c r="AU126" i="28"/>
  <c r="AT126" i="28"/>
  <c r="AV125" i="28"/>
  <c r="AU125" i="28"/>
  <c r="AT125" i="28"/>
  <c r="AV124" i="28"/>
  <c r="AU124" i="28"/>
  <c r="AT124" i="28"/>
  <c r="AV123" i="28"/>
  <c r="AU123" i="28"/>
  <c r="AT123" i="28"/>
  <c r="AV122" i="28"/>
  <c r="AU122" i="28"/>
  <c r="AT122" i="28"/>
  <c r="AV121" i="28"/>
  <c r="AU121" i="28"/>
  <c r="AT121" i="28"/>
  <c r="AV120" i="28"/>
  <c r="AU120" i="28"/>
  <c r="AT120" i="28"/>
  <c r="AV119" i="28"/>
  <c r="AU119" i="28"/>
  <c r="AT119" i="28"/>
  <c r="AV118" i="28"/>
  <c r="AU118" i="28"/>
  <c r="AT118" i="28"/>
  <c r="AV117" i="28"/>
  <c r="AU117" i="28"/>
  <c r="AT117" i="28"/>
  <c r="AV116" i="28"/>
  <c r="AU116" i="28"/>
  <c r="AT116" i="28"/>
  <c r="AV115" i="28"/>
  <c r="AU115" i="28"/>
  <c r="AT115" i="28"/>
  <c r="AV114" i="28"/>
  <c r="AU114" i="28"/>
  <c r="AT114" i="28"/>
  <c r="AV113" i="28"/>
  <c r="AU113" i="28"/>
  <c r="AT113" i="28"/>
  <c r="AV112" i="28"/>
  <c r="AU112" i="28"/>
  <c r="AT112" i="28"/>
  <c r="AV111" i="28"/>
  <c r="AU111" i="28"/>
  <c r="AT111" i="28"/>
  <c r="AV110" i="28"/>
  <c r="AU110" i="28"/>
  <c r="AT110" i="28"/>
  <c r="AV109" i="28"/>
  <c r="AU109" i="28"/>
  <c r="AT109" i="28"/>
  <c r="AV108" i="28"/>
  <c r="AU108" i="28"/>
  <c r="AT108" i="28"/>
  <c r="AV107" i="28"/>
  <c r="AU107" i="28"/>
  <c r="AT107" i="28"/>
  <c r="AV106" i="28"/>
  <c r="AU106" i="28"/>
  <c r="AT106" i="28"/>
  <c r="BI104" i="28"/>
  <c r="BH104" i="28"/>
  <c r="BG104" i="28"/>
  <c r="BF104" i="28"/>
  <c r="BE104" i="28"/>
  <c r="BC104" i="28"/>
  <c r="BI103" i="28"/>
  <c r="BH103" i="28"/>
  <c r="BG103" i="28"/>
  <c r="BF103" i="28"/>
  <c r="BE103" i="28"/>
  <c r="BC103" i="28"/>
  <c r="BI102" i="28"/>
  <c r="BH102" i="28"/>
  <c r="BG102" i="28"/>
  <c r="BF102" i="28"/>
  <c r="BE102" i="28"/>
  <c r="BC102" i="28"/>
  <c r="BI101" i="28"/>
  <c r="BH101" i="28"/>
  <c r="BG101" i="28"/>
  <c r="BF101" i="28"/>
  <c r="BE101" i="28"/>
  <c r="BD101" i="28"/>
  <c r="BC101" i="28"/>
  <c r="BI100" i="28"/>
  <c r="BH100" i="28"/>
  <c r="BG100" i="28"/>
  <c r="BF100" i="28"/>
  <c r="BE100" i="28"/>
  <c r="BC100" i="28"/>
  <c r="BI99" i="28"/>
  <c r="BH99" i="28"/>
  <c r="BG99" i="28"/>
  <c r="BF99" i="28"/>
  <c r="BE99" i="28"/>
  <c r="BD99" i="28"/>
  <c r="BC99" i="28"/>
  <c r="BI98" i="28"/>
  <c r="BH98" i="28"/>
  <c r="BG98" i="28"/>
  <c r="BF98" i="28"/>
  <c r="BE98" i="28"/>
  <c r="BC98" i="28"/>
  <c r="BI97" i="28"/>
  <c r="BH97" i="28"/>
  <c r="BG97" i="28"/>
  <c r="BF97" i="28"/>
  <c r="BE97" i="28"/>
  <c r="BC97" i="28"/>
  <c r="BI96" i="28"/>
  <c r="BH96" i="28"/>
  <c r="BG96" i="28"/>
  <c r="BF96" i="28"/>
  <c r="BE96" i="28"/>
  <c r="BC96" i="28"/>
  <c r="BI95" i="28"/>
  <c r="BH95" i="28"/>
  <c r="BG95" i="28"/>
  <c r="BF95" i="28"/>
  <c r="BE95" i="28"/>
  <c r="BC95" i="28"/>
  <c r="BI94" i="28"/>
  <c r="BH94" i="28"/>
  <c r="BG94" i="28"/>
  <c r="BF94" i="28"/>
  <c r="BE94" i="28"/>
  <c r="BC94" i="28"/>
  <c r="BI93" i="28"/>
  <c r="BH93" i="28"/>
  <c r="BG93" i="28"/>
  <c r="BF93" i="28"/>
  <c r="BE93" i="28"/>
  <c r="BD93" i="28"/>
  <c r="BC93" i="28"/>
  <c r="BI92" i="28"/>
  <c r="BH92" i="28"/>
  <c r="BG92" i="28"/>
  <c r="BF92" i="28"/>
  <c r="BE92" i="28"/>
  <c r="BD92" i="28"/>
  <c r="BC92" i="28"/>
  <c r="BI91" i="28"/>
  <c r="BH91" i="28"/>
  <c r="BG91" i="28"/>
  <c r="BF91" i="28"/>
  <c r="BE91" i="28"/>
  <c r="BC91" i="28"/>
  <c r="BI90" i="28"/>
  <c r="BH90" i="28"/>
  <c r="BG90" i="28"/>
  <c r="BF90" i="28"/>
  <c r="BE90" i="28"/>
  <c r="BC90" i="28"/>
  <c r="BI89" i="28"/>
  <c r="BH89" i="28"/>
  <c r="BG89" i="28"/>
  <c r="BF89" i="28"/>
  <c r="BE89" i="28"/>
  <c r="BC89" i="28"/>
  <c r="BI88" i="28"/>
  <c r="BH88" i="28"/>
  <c r="BG88" i="28"/>
  <c r="BF88" i="28"/>
  <c r="BE88" i="28"/>
  <c r="BC88" i="28"/>
  <c r="BI87" i="28"/>
  <c r="BH87" i="28"/>
  <c r="BG87" i="28"/>
  <c r="BF87" i="28"/>
  <c r="BE87" i="28"/>
  <c r="BC87" i="28"/>
  <c r="BI86" i="28"/>
  <c r="BH86" i="28"/>
  <c r="BG86" i="28"/>
  <c r="BF86" i="28"/>
  <c r="BE86" i="28"/>
  <c r="BC86" i="28"/>
  <c r="BI85" i="28"/>
  <c r="BH85" i="28"/>
  <c r="BG85" i="28"/>
  <c r="BF85" i="28"/>
  <c r="BE85" i="28"/>
  <c r="BC85" i="28"/>
  <c r="BI84" i="28"/>
  <c r="BH84" i="28"/>
  <c r="BG84" i="28"/>
  <c r="BF84" i="28"/>
  <c r="BE84" i="28"/>
  <c r="BC84" i="28"/>
  <c r="BI83" i="28"/>
  <c r="BH83" i="28"/>
  <c r="BG83" i="28"/>
  <c r="BF83" i="28"/>
  <c r="BE83" i="28"/>
  <c r="BC83" i="28"/>
  <c r="BI82" i="28"/>
  <c r="BH82" i="28"/>
  <c r="BG82" i="28"/>
  <c r="BF82" i="28"/>
  <c r="BE82" i="28"/>
  <c r="BC82" i="28"/>
  <c r="BI81" i="28"/>
  <c r="BH81" i="28"/>
  <c r="BG81" i="28"/>
  <c r="BF81" i="28"/>
  <c r="BE81" i="28"/>
  <c r="BC81" i="28"/>
  <c r="BB103" i="28"/>
  <c r="BB102" i="28"/>
  <c r="BB101" i="28"/>
  <c r="BB100" i="28"/>
  <c r="BB99" i="28"/>
  <c r="BB98" i="28"/>
  <c r="BB97" i="28"/>
  <c r="BB96" i="28"/>
  <c r="BB95" i="28"/>
  <c r="BB93" i="28"/>
  <c r="BB92" i="28"/>
  <c r="BB91" i="28"/>
  <c r="BB90" i="28"/>
  <c r="BB89" i="28"/>
  <c r="BB88" i="28"/>
  <c r="BB87" i="28"/>
  <c r="BB86" i="28"/>
  <c r="BB85" i="28"/>
  <c r="BB84" i="28"/>
  <c r="BB83" i="28"/>
  <c r="BB82" i="28"/>
  <c r="BB81" i="28"/>
  <c r="BA104" i="28"/>
  <c r="BA103" i="28"/>
  <c r="BA102" i="28"/>
  <c r="BA101" i="28"/>
  <c r="BA100" i="28"/>
  <c r="BA99" i="28"/>
  <c r="BA98" i="28"/>
  <c r="BA97" i="28"/>
  <c r="BA96" i="28"/>
  <c r="BA95" i="28"/>
  <c r="BA94" i="28"/>
  <c r="BA93" i="28"/>
  <c r="BA92" i="28"/>
  <c r="BA91" i="28"/>
  <c r="BA90" i="28"/>
  <c r="BA89" i="28"/>
  <c r="BA88" i="28"/>
  <c r="BA87" i="28"/>
  <c r="BA86" i="28"/>
  <c r="BA85" i="28"/>
  <c r="BA84" i="28"/>
  <c r="BA83" i="28"/>
  <c r="BA82" i="28"/>
  <c r="BA81" i="28"/>
  <c r="AZ104" i="28"/>
  <c r="AZ103" i="28"/>
  <c r="AZ102" i="28"/>
  <c r="AZ101" i="28"/>
  <c r="AZ100" i="28"/>
  <c r="AZ99" i="28"/>
  <c r="AZ98" i="28"/>
  <c r="AZ97" i="28"/>
  <c r="AZ96" i="28"/>
  <c r="AZ95" i="28"/>
  <c r="AZ94" i="28"/>
  <c r="AZ93" i="28"/>
  <c r="AZ92" i="28"/>
  <c r="AZ91" i="28"/>
  <c r="AZ90" i="28"/>
  <c r="AZ89" i="28"/>
  <c r="AZ88" i="28"/>
  <c r="AZ87" i="28"/>
  <c r="AZ86" i="28"/>
  <c r="AZ85" i="28"/>
  <c r="AZ84" i="28"/>
  <c r="AZ83" i="28"/>
  <c r="AZ82" i="28"/>
  <c r="AZ81" i="28"/>
  <c r="AV104" i="28"/>
  <c r="AU104" i="28"/>
  <c r="AT104" i="28"/>
  <c r="AV103" i="28"/>
  <c r="AU103" i="28"/>
  <c r="AT103" i="28"/>
  <c r="AV102" i="28"/>
  <c r="AU102" i="28"/>
  <c r="AT102" i="28"/>
  <c r="AV101" i="28"/>
  <c r="AU101" i="28"/>
  <c r="AT101" i="28"/>
  <c r="AV100" i="28"/>
  <c r="AU100" i="28"/>
  <c r="AT100" i="28"/>
  <c r="AV99" i="28"/>
  <c r="AU99" i="28"/>
  <c r="AT99" i="28"/>
  <c r="AV98" i="28"/>
  <c r="AU98" i="28"/>
  <c r="AT98" i="28"/>
  <c r="AV97" i="28"/>
  <c r="AU97" i="28"/>
  <c r="AT97" i="28"/>
  <c r="AV96" i="28"/>
  <c r="AU96" i="28"/>
  <c r="AT96" i="28"/>
  <c r="AV95" i="28"/>
  <c r="AU95" i="28"/>
  <c r="AT95" i="28"/>
  <c r="AV94" i="28"/>
  <c r="AU94" i="28"/>
  <c r="AT94" i="28"/>
  <c r="AV93" i="28"/>
  <c r="AU93" i="28"/>
  <c r="AT93" i="28"/>
  <c r="AV92" i="28"/>
  <c r="AU92" i="28"/>
  <c r="AT92" i="28"/>
  <c r="AV91" i="28"/>
  <c r="AU91" i="28"/>
  <c r="AT91" i="28"/>
  <c r="AV90" i="28"/>
  <c r="AU90" i="28"/>
  <c r="AT90" i="28"/>
  <c r="AV89" i="28"/>
  <c r="AU89" i="28"/>
  <c r="AT89" i="28"/>
  <c r="AV88" i="28"/>
  <c r="AU88" i="28"/>
  <c r="AT88" i="28"/>
  <c r="AV87" i="28"/>
  <c r="AU87" i="28"/>
  <c r="AT87" i="28"/>
  <c r="AV86" i="28"/>
  <c r="AU86" i="28"/>
  <c r="AT86" i="28"/>
  <c r="AV85" i="28"/>
  <c r="AU85" i="28"/>
  <c r="AT85" i="28"/>
  <c r="AV84" i="28"/>
  <c r="AU84" i="28"/>
  <c r="AT84" i="28"/>
  <c r="AV83" i="28"/>
  <c r="AU83" i="28"/>
  <c r="AT83" i="28"/>
  <c r="AV82" i="28"/>
  <c r="AU82" i="28"/>
  <c r="AT82" i="28"/>
  <c r="AV81" i="28"/>
  <c r="AU81" i="28"/>
  <c r="AT81" i="28"/>
  <c r="BJ66" i="28"/>
  <c r="BJ65" i="28"/>
  <c r="BJ64" i="28"/>
  <c r="BJ63" i="28"/>
  <c r="BJ62" i="28"/>
  <c r="BJ58" i="28"/>
  <c r="BJ57" i="28"/>
  <c r="BI79" i="28"/>
  <c r="BH79" i="28"/>
  <c r="BG79" i="28"/>
  <c r="BF79" i="28"/>
  <c r="BE79" i="28"/>
  <c r="BC79" i="28"/>
  <c r="BI78" i="28"/>
  <c r="BH78" i="28"/>
  <c r="BG78" i="28"/>
  <c r="BF78" i="28"/>
  <c r="BE78" i="28"/>
  <c r="BC78" i="28"/>
  <c r="BI77" i="28"/>
  <c r="BH77" i="28"/>
  <c r="BG77" i="28"/>
  <c r="BF77" i="28"/>
  <c r="BE77" i="28"/>
  <c r="BC77" i="28"/>
  <c r="BI76" i="28"/>
  <c r="BH76" i="28"/>
  <c r="BG76" i="28"/>
  <c r="BF76" i="28"/>
  <c r="BE76" i="28"/>
  <c r="BC76" i="28"/>
  <c r="BI75" i="28"/>
  <c r="BH75" i="28"/>
  <c r="BG75" i="28"/>
  <c r="BF75" i="28"/>
  <c r="BE75" i="28"/>
  <c r="BC75" i="28"/>
  <c r="BI74" i="28"/>
  <c r="BH74" i="28"/>
  <c r="BG74" i="28"/>
  <c r="BF74" i="28"/>
  <c r="BE74" i="28"/>
  <c r="BC74" i="28"/>
  <c r="BI73" i="28"/>
  <c r="BH73" i="28"/>
  <c r="BG73" i="28"/>
  <c r="BF73" i="28"/>
  <c r="BE73" i="28"/>
  <c r="BC73" i="28"/>
  <c r="BI72" i="28"/>
  <c r="BH72" i="28"/>
  <c r="BG72" i="28"/>
  <c r="BF72" i="28"/>
  <c r="BE72" i="28"/>
  <c r="BC72" i="28"/>
  <c r="BI71" i="28"/>
  <c r="BH71" i="28"/>
  <c r="BG71" i="28"/>
  <c r="BF71" i="28"/>
  <c r="BE71" i="28"/>
  <c r="BC71" i="28"/>
  <c r="BI70" i="28"/>
  <c r="BH70" i="28"/>
  <c r="BG70" i="28"/>
  <c r="BF70" i="28"/>
  <c r="BE70" i="28"/>
  <c r="BD70" i="28"/>
  <c r="BC70" i="28"/>
  <c r="BI69" i="28"/>
  <c r="BH69" i="28"/>
  <c r="BG69" i="28"/>
  <c r="BF69" i="28"/>
  <c r="BE69" i="28"/>
  <c r="BD69" i="28"/>
  <c r="BC69" i="28"/>
  <c r="BI68" i="28"/>
  <c r="BH68" i="28"/>
  <c r="BG68" i="28"/>
  <c r="BF68" i="28"/>
  <c r="BE68" i="28"/>
  <c r="BC68" i="28"/>
  <c r="BI67" i="28"/>
  <c r="BH67" i="28"/>
  <c r="BG67" i="28"/>
  <c r="BF67" i="28"/>
  <c r="BE67" i="28"/>
  <c r="BC67" i="28"/>
  <c r="BI66" i="28"/>
  <c r="BH66" i="28"/>
  <c r="BG66" i="28"/>
  <c r="BF66" i="28"/>
  <c r="BE66" i="28"/>
  <c r="BC66" i="28"/>
  <c r="BI65" i="28"/>
  <c r="BH65" i="28"/>
  <c r="BG65" i="28"/>
  <c r="BF65" i="28"/>
  <c r="BE65" i="28"/>
  <c r="BC65" i="28"/>
  <c r="BI64" i="28"/>
  <c r="BH64" i="28"/>
  <c r="BG64" i="28"/>
  <c r="BF64" i="28"/>
  <c r="BE64" i="28"/>
  <c r="BC64" i="28"/>
  <c r="BI63" i="28"/>
  <c r="BH63" i="28"/>
  <c r="BG63" i="28"/>
  <c r="BF63" i="28"/>
  <c r="BE63" i="28"/>
  <c r="BC63" i="28"/>
  <c r="BI62" i="28"/>
  <c r="BH62" i="28"/>
  <c r="BG62" i="28"/>
  <c r="BF62" i="28"/>
  <c r="BE62" i="28"/>
  <c r="BC62" i="28"/>
  <c r="BI61" i="28"/>
  <c r="BH61" i="28"/>
  <c r="BG61" i="28"/>
  <c r="BF61" i="28"/>
  <c r="BE61" i="28"/>
  <c r="BC61" i="28"/>
  <c r="BI60" i="28"/>
  <c r="BH60" i="28"/>
  <c r="BG60" i="28"/>
  <c r="BF60" i="28"/>
  <c r="BE60" i="28"/>
  <c r="BC60" i="28"/>
  <c r="BI59" i="28"/>
  <c r="BH59" i="28"/>
  <c r="BG59" i="28"/>
  <c r="BF59" i="28"/>
  <c r="BE59" i="28"/>
  <c r="BC59" i="28"/>
  <c r="BI58" i="28"/>
  <c r="BH58" i="28"/>
  <c r="BG58" i="28"/>
  <c r="BF58" i="28"/>
  <c r="BE58" i="28"/>
  <c r="BC58" i="28"/>
  <c r="BI57" i="28"/>
  <c r="BH57" i="28"/>
  <c r="BG57" i="28"/>
  <c r="BF57" i="28"/>
  <c r="BE57" i="28"/>
  <c r="BC57" i="28"/>
  <c r="BI56" i="28"/>
  <c r="BH56" i="28"/>
  <c r="BG56" i="28"/>
  <c r="BF56" i="28"/>
  <c r="BE56" i="28"/>
  <c r="BC56" i="28"/>
  <c r="BI55" i="28"/>
  <c r="BH55" i="28"/>
  <c r="BG55" i="28"/>
  <c r="BF55" i="28"/>
  <c r="BE55" i="28"/>
  <c r="BC55" i="28"/>
  <c r="BA79" i="28"/>
  <c r="BA78" i="28"/>
  <c r="BA77" i="28"/>
  <c r="BA76" i="28"/>
  <c r="BA75" i="28"/>
  <c r="BA74" i="28"/>
  <c r="BA73" i="28"/>
  <c r="BA72" i="28"/>
  <c r="BA71" i="28"/>
  <c r="BA70" i="28"/>
  <c r="BA69" i="28"/>
  <c r="BA68" i="28"/>
  <c r="BA67" i="28"/>
  <c r="BA66" i="28"/>
  <c r="BA65" i="28"/>
  <c r="BA64" i="28"/>
  <c r="BA63" i="28"/>
  <c r="BA62" i="28"/>
  <c r="BA61" i="28"/>
  <c r="BA60" i="28"/>
  <c r="BA59" i="28"/>
  <c r="BA58" i="28"/>
  <c r="BA57" i="28"/>
  <c r="BA56" i="28"/>
  <c r="BA55" i="28"/>
  <c r="AZ79" i="28"/>
  <c r="AZ78" i="28"/>
  <c r="AZ77" i="28"/>
  <c r="AZ76" i="28"/>
  <c r="AZ75" i="28"/>
  <c r="AZ74" i="28"/>
  <c r="AZ73" i="28"/>
  <c r="AZ72" i="28"/>
  <c r="AZ71" i="28"/>
  <c r="AZ70" i="28"/>
  <c r="AZ69" i="28"/>
  <c r="AZ68" i="28"/>
  <c r="AZ67" i="28"/>
  <c r="AZ66" i="28"/>
  <c r="AZ65" i="28"/>
  <c r="AZ64" i="28"/>
  <c r="AZ63" i="28"/>
  <c r="AZ62" i="28"/>
  <c r="AZ61" i="28"/>
  <c r="AZ60" i="28"/>
  <c r="AZ59" i="28"/>
  <c r="AZ58" i="28"/>
  <c r="AZ57" i="28"/>
  <c r="AZ56" i="28"/>
  <c r="AZ55" i="28"/>
  <c r="AV79" i="28"/>
  <c r="AV78" i="28"/>
  <c r="AV77" i="28"/>
  <c r="AV76" i="28"/>
  <c r="AV75" i="28"/>
  <c r="AV74" i="28"/>
  <c r="AV73" i="28"/>
  <c r="AV72" i="28"/>
  <c r="AV71" i="28"/>
  <c r="AV70" i="28"/>
  <c r="AV69" i="28"/>
  <c r="AV68" i="28"/>
  <c r="AV67" i="28"/>
  <c r="AV66" i="28"/>
  <c r="AV65" i="28"/>
  <c r="AV64" i="28"/>
  <c r="AV63" i="28"/>
  <c r="AV62" i="28"/>
  <c r="AV61" i="28"/>
  <c r="AV60" i="28"/>
  <c r="AV59" i="28"/>
  <c r="AV58" i="28"/>
  <c r="AV57" i="28"/>
  <c r="AV56" i="28"/>
  <c r="AV55" i="28"/>
  <c r="AU79" i="28"/>
  <c r="AT79" i="28"/>
  <c r="AU78" i="28"/>
  <c r="AT78" i="28"/>
  <c r="AU77" i="28"/>
  <c r="AT77" i="28"/>
  <c r="AU76" i="28"/>
  <c r="AT76" i="28"/>
  <c r="AU75" i="28"/>
  <c r="AT75" i="28"/>
  <c r="AU74" i="28"/>
  <c r="AT74" i="28"/>
  <c r="AU73" i="28"/>
  <c r="AT73" i="28"/>
  <c r="AU72" i="28"/>
  <c r="AT72" i="28"/>
  <c r="AU71" i="28"/>
  <c r="AT71" i="28"/>
  <c r="AU70" i="28"/>
  <c r="AT70" i="28"/>
  <c r="AU69" i="28"/>
  <c r="AT69" i="28"/>
  <c r="AU68" i="28"/>
  <c r="AT68" i="28"/>
  <c r="AU67" i="28"/>
  <c r="AT67" i="28"/>
  <c r="AU66" i="28"/>
  <c r="AT66" i="28"/>
  <c r="AU65" i="28"/>
  <c r="AT65" i="28"/>
  <c r="AU64" i="28"/>
  <c r="AT64" i="28"/>
  <c r="AU63" i="28"/>
  <c r="AT63" i="28"/>
  <c r="AU62" i="28"/>
  <c r="AT62" i="28"/>
  <c r="AU61" i="28"/>
  <c r="AT61" i="28"/>
  <c r="AU60" i="28"/>
  <c r="AT60" i="28"/>
  <c r="AU59" i="28"/>
  <c r="AT59" i="28"/>
  <c r="AU58" i="28"/>
  <c r="AT58" i="28"/>
  <c r="AU57" i="28"/>
  <c r="AT57" i="28"/>
  <c r="AU56" i="28"/>
  <c r="AT56" i="28"/>
  <c r="AU55" i="28"/>
  <c r="AT55" i="28"/>
  <c r="BC19" i="28"/>
  <c r="BD19" i="28"/>
  <c r="BE19" i="28"/>
  <c r="BF19" i="28"/>
  <c r="BG19" i="28"/>
  <c r="BH19" i="28"/>
  <c r="BI19" i="28"/>
  <c r="BC20" i="28"/>
  <c r="BE20" i="28"/>
  <c r="BF20" i="28"/>
  <c r="BG20" i="28"/>
  <c r="BH20" i="28"/>
  <c r="BI20" i="28"/>
  <c r="BC21" i="28"/>
  <c r="BE21" i="28"/>
  <c r="BF21" i="28"/>
  <c r="BG21" i="28"/>
  <c r="BH21" i="28"/>
  <c r="BI21" i="28"/>
  <c r="BC22" i="28"/>
  <c r="BE22" i="28"/>
  <c r="BF22" i="28"/>
  <c r="BG22" i="28"/>
  <c r="BH22" i="28"/>
  <c r="BI22" i="28"/>
  <c r="BC23" i="28"/>
  <c r="BE23" i="28"/>
  <c r="BF23" i="28"/>
  <c r="BG23" i="28"/>
  <c r="BH23" i="28"/>
  <c r="BI23" i="28"/>
  <c r="BC24" i="28"/>
  <c r="BE24" i="28"/>
  <c r="BF24" i="28"/>
  <c r="BG24" i="28"/>
  <c r="BH24" i="28"/>
  <c r="BI24" i="28"/>
  <c r="BC25" i="28"/>
  <c r="BD25" i="28"/>
  <c r="BE25" i="28"/>
  <c r="BF25" i="28"/>
  <c r="BG25" i="28"/>
  <c r="BH25" i="28"/>
  <c r="BI25" i="28"/>
  <c r="BC26" i="28"/>
  <c r="BD26" i="28"/>
  <c r="BE26" i="28"/>
  <c r="BF26" i="28"/>
  <c r="BG26" i="28"/>
  <c r="BH26" i="28"/>
  <c r="BI26" i="28"/>
  <c r="BC27" i="28"/>
  <c r="BD27" i="28"/>
  <c r="BE27" i="28"/>
  <c r="BF27" i="28"/>
  <c r="BG27" i="28"/>
  <c r="BH27" i="28"/>
  <c r="BI27" i="28"/>
  <c r="BC28" i="28"/>
  <c r="BD28" i="28"/>
  <c r="BE28" i="28"/>
  <c r="BF28" i="28"/>
  <c r="BG28" i="28"/>
  <c r="BH28" i="28"/>
  <c r="BI28" i="28"/>
  <c r="BC29" i="28"/>
  <c r="BD29" i="28"/>
  <c r="BE29" i="28"/>
  <c r="BF29" i="28"/>
  <c r="BG29" i="28"/>
  <c r="BH29" i="28"/>
  <c r="BI29" i="28"/>
  <c r="BC30" i="28"/>
  <c r="BD30" i="28"/>
  <c r="BE30" i="28"/>
  <c r="BF30" i="28"/>
  <c r="BG30" i="28"/>
  <c r="BH30" i="28"/>
  <c r="BI30" i="28"/>
  <c r="BC31" i="28"/>
  <c r="BD31" i="28"/>
  <c r="BE31" i="28"/>
  <c r="BF31" i="28"/>
  <c r="BG31" i="28"/>
  <c r="BH31" i="28"/>
  <c r="BI31" i="28"/>
  <c r="BC32" i="28"/>
  <c r="BE32" i="28"/>
  <c r="BF32" i="28"/>
  <c r="BG32" i="28"/>
  <c r="BH32" i="28"/>
  <c r="BI32" i="28"/>
  <c r="BC33" i="28"/>
  <c r="BE33" i="28"/>
  <c r="BF33" i="28"/>
  <c r="BG33" i="28"/>
  <c r="BH33" i="28"/>
  <c r="BI33" i="28"/>
  <c r="BC34" i="28"/>
  <c r="BD34" i="28"/>
  <c r="BE34" i="28"/>
  <c r="BF34" i="28"/>
  <c r="BG34" i="28"/>
  <c r="BH34" i="28"/>
  <c r="BI34" i="28"/>
  <c r="BC35" i="28"/>
  <c r="BD35" i="28"/>
  <c r="BE35" i="28"/>
  <c r="BF35" i="28"/>
  <c r="BG35" i="28"/>
  <c r="BH35" i="28"/>
  <c r="BI35" i="28"/>
  <c r="BC36" i="28"/>
  <c r="BD36" i="28"/>
  <c r="BE36" i="28"/>
  <c r="BF36" i="28"/>
  <c r="BG36" i="28"/>
  <c r="BH36" i="28"/>
  <c r="BI36" i="28"/>
  <c r="BC37" i="28"/>
  <c r="BD37" i="28"/>
  <c r="BE37" i="28"/>
  <c r="BF37" i="28"/>
  <c r="BG37" i="28"/>
  <c r="BH37" i="28"/>
  <c r="BI37" i="28"/>
  <c r="BC38" i="28"/>
  <c r="BD38" i="28"/>
  <c r="BE38" i="28"/>
  <c r="BF38" i="28"/>
  <c r="BG38" i="28"/>
  <c r="BH38" i="28"/>
  <c r="BI38" i="28"/>
  <c r="BC39" i="28"/>
  <c r="BD39" i="28"/>
  <c r="BE39" i="28"/>
  <c r="BF39" i="28"/>
  <c r="BG39" i="28"/>
  <c r="BH39" i="28"/>
  <c r="BI39" i="28"/>
  <c r="BC40" i="28"/>
  <c r="BE40" i="28"/>
  <c r="BF40" i="28"/>
  <c r="BG40" i="28"/>
  <c r="BH40" i="28"/>
  <c r="BI40" i="28"/>
  <c r="BC41" i="28"/>
  <c r="BE41" i="28"/>
  <c r="BF41" i="28"/>
  <c r="BG41" i="28"/>
  <c r="BH41" i="28"/>
  <c r="BI41" i="28"/>
  <c r="BC42" i="28"/>
  <c r="BE42" i="28"/>
  <c r="BF42" i="28"/>
  <c r="BG42" i="28"/>
  <c r="BH42" i="28"/>
  <c r="BI42" i="28"/>
  <c r="BC43" i="28"/>
  <c r="BE43" i="28"/>
  <c r="BF43" i="28"/>
  <c r="BG43" i="28"/>
  <c r="BH43" i="28"/>
  <c r="BI43" i="28"/>
  <c r="BC44" i="28"/>
  <c r="BE44" i="28"/>
  <c r="BF44" i="28"/>
  <c r="BG44" i="28"/>
  <c r="BH44" i="28"/>
  <c r="BI44" i="28"/>
  <c r="BC45" i="28"/>
  <c r="BE45" i="28"/>
  <c r="BF45" i="28"/>
  <c r="BG45" i="28"/>
  <c r="BH45" i="28"/>
  <c r="BI45" i="28"/>
  <c r="BC46" i="28"/>
  <c r="BE46" i="28"/>
  <c r="BF46" i="28"/>
  <c r="BG46" i="28"/>
  <c r="BH46" i="28"/>
  <c r="BI46" i="28"/>
  <c r="BC47" i="28"/>
  <c r="BE47" i="28"/>
  <c r="BF47" i="28"/>
  <c r="BG47" i="28"/>
  <c r="BH47" i="28"/>
  <c r="BI47" i="28"/>
  <c r="BC48" i="28"/>
  <c r="BE48" i="28"/>
  <c r="BF48" i="28"/>
  <c r="BG48" i="28"/>
  <c r="BH48" i="28"/>
  <c r="BI48" i="28"/>
  <c r="BC49" i="28"/>
  <c r="BD49" i="28"/>
  <c r="BE49" i="28"/>
  <c r="BF49" i="28"/>
  <c r="BG49" i="28"/>
  <c r="BH49" i="28"/>
  <c r="BI49" i="28"/>
  <c r="BC50" i="28"/>
  <c r="BE50" i="28"/>
  <c r="BF50" i="28"/>
  <c r="BG50" i="28"/>
  <c r="BH50" i="28"/>
  <c r="BI50" i="28"/>
  <c r="BC51" i="28"/>
  <c r="BE51" i="28"/>
  <c r="BF51" i="28"/>
  <c r="BG51" i="28"/>
  <c r="BH51" i="28"/>
  <c r="BI51" i="28"/>
  <c r="BC52" i="28"/>
  <c r="BE52" i="28"/>
  <c r="BF52" i="28"/>
  <c r="BG52" i="28"/>
  <c r="BH52" i="28"/>
  <c r="BI52" i="28"/>
  <c r="BC53" i="28"/>
  <c r="BE53" i="28"/>
  <c r="BF53" i="28"/>
  <c r="BG53" i="28"/>
  <c r="BH53" i="28"/>
  <c r="BI53" i="28"/>
  <c r="BI18" i="28"/>
  <c r="BH18" i="28"/>
  <c r="BG18" i="28"/>
  <c r="BF18" i="28"/>
  <c r="BE18" i="28"/>
  <c r="BC18" i="28"/>
  <c r="BA19" i="28"/>
  <c r="BA20" i="28"/>
  <c r="BA21" i="28"/>
  <c r="BA22" i="28"/>
  <c r="BA23" i="28"/>
  <c r="BA24" i="28"/>
  <c r="BA25" i="28"/>
  <c r="BA26" i="28"/>
  <c r="BA27" i="28"/>
  <c r="BA28" i="28"/>
  <c r="BA29" i="28"/>
  <c r="BA30" i="28"/>
  <c r="BA31" i="28"/>
  <c r="BA32" i="28"/>
  <c r="BA33" i="28"/>
  <c r="BA34" i="28"/>
  <c r="BA35" i="28"/>
  <c r="BA36" i="28"/>
  <c r="BA37" i="28"/>
  <c r="BA38" i="28"/>
  <c r="BA39" i="28"/>
  <c r="BA40" i="28"/>
  <c r="BA41" i="28"/>
  <c r="BA42" i="28"/>
  <c r="BA43" i="28"/>
  <c r="BA44" i="28"/>
  <c r="BA45" i="28"/>
  <c r="BA46" i="28"/>
  <c r="BA47" i="28"/>
  <c r="BA48" i="28"/>
  <c r="BA49" i="28"/>
  <c r="BA50" i="28"/>
  <c r="BA51" i="28"/>
  <c r="BA52" i="28"/>
  <c r="BA53" i="28"/>
  <c r="BA18" i="28"/>
  <c r="AY19" i="28"/>
  <c r="AZ19" i="28"/>
  <c r="AY20" i="28"/>
  <c r="AZ20" i="28"/>
  <c r="AY21" i="28"/>
  <c r="AZ21" i="28"/>
  <c r="AY22" i="28"/>
  <c r="AZ22" i="28"/>
  <c r="AY23" i="28"/>
  <c r="AZ23" i="28"/>
  <c r="AY24" i="28"/>
  <c r="AZ24" i="28"/>
  <c r="AY25" i="28"/>
  <c r="AZ25" i="28"/>
  <c r="AY26" i="28"/>
  <c r="AZ26" i="28"/>
  <c r="AY27" i="28"/>
  <c r="AZ27" i="28"/>
  <c r="AY28" i="28"/>
  <c r="AZ28" i="28"/>
  <c r="AY29" i="28"/>
  <c r="AZ29" i="28"/>
  <c r="AY30" i="28"/>
  <c r="AZ30" i="28"/>
  <c r="AY31" i="28"/>
  <c r="AZ31" i="28"/>
  <c r="AY32" i="28"/>
  <c r="AZ32" i="28"/>
  <c r="AY33" i="28"/>
  <c r="AZ33" i="28"/>
  <c r="AY34" i="28"/>
  <c r="AZ34" i="28"/>
  <c r="AY35" i="28"/>
  <c r="AZ35" i="28"/>
  <c r="AY36" i="28"/>
  <c r="AZ36" i="28"/>
  <c r="AY37" i="28"/>
  <c r="AZ37" i="28"/>
  <c r="AY38" i="28"/>
  <c r="AZ38" i="28"/>
  <c r="AY39" i="28"/>
  <c r="AZ39" i="28"/>
  <c r="AY40" i="28"/>
  <c r="AZ40" i="28"/>
  <c r="AY41" i="28"/>
  <c r="AZ41" i="28"/>
  <c r="AY42" i="28"/>
  <c r="AZ42" i="28"/>
  <c r="AY43" i="28"/>
  <c r="AZ43" i="28"/>
  <c r="AY44" i="28"/>
  <c r="AZ44" i="28"/>
  <c r="AY45" i="28"/>
  <c r="AZ45" i="28"/>
  <c r="AY46" i="28"/>
  <c r="AZ46" i="28"/>
  <c r="AY47" i="28"/>
  <c r="AZ47" i="28"/>
  <c r="AY48" i="28"/>
  <c r="AZ48" i="28"/>
  <c r="AY49" i="28"/>
  <c r="AZ49" i="28"/>
  <c r="AY50" i="28"/>
  <c r="AZ50" i="28"/>
  <c r="AY51" i="28"/>
  <c r="AZ51" i="28"/>
  <c r="AY52" i="28"/>
  <c r="AZ52" i="28"/>
  <c r="AY53" i="28"/>
  <c r="AZ53" i="28"/>
  <c r="AZ18" i="28"/>
  <c r="AY18" i="28"/>
  <c r="AX19" i="28"/>
  <c r="AX20" i="28"/>
  <c r="AX21" i="28"/>
  <c r="AX22" i="28"/>
  <c r="AX23" i="28"/>
  <c r="AX24" i="28"/>
  <c r="AX25" i="28"/>
  <c r="AX26" i="28"/>
  <c r="AX27" i="28"/>
  <c r="AX28" i="28"/>
  <c r="AX29" i="28"/>
  <c r="AX30" i="28"/>
  <c r="AX31" i="28"/>
  <c r="AX32" i="28"/>
  <c r="AX33" i="28"/>
  <c r="AX34" i="28"/>
  <c r="AX35" i="28"/>
  <c r="AX36" i="28"/>
  <c r="AX37" i="28"/>
  <c r="AX38" i="28"/>
  <c r="AX39" i="28"/>
  <c r="AX40" i="28"/>
  <c r="AX41" i="28"/>
  <c r="AX42" i="28"/>
  <c r="AX43" i="28"/>
  <c r="AX44" i="28"/>
  <c r="AX45" i="28"/>
  <c r="AX46" i="28"/>
  <c r="AX47" i="28"/>
  <c r="AX48" i="28"/>
  <c r="AX49" i="28"/>
  <c r="AX50" i="28"/>
  <c r="AX51" i="28"/>
  <c r="AX52" i="28"/>
  <c r="AX53" i="28"/>
  <c r="AX18" i="28"/>
  <c r="AV53" i="28"/>
  <c r="AV52" i="28"/>
  <c r="AV51" i="28"/>
  <c r="AV50" i="28"/>
  <c r="AV49" i="28"/>
  <c r="AV48" i="28"/>
  <c r="AV47" i="28"/>
  <c r="AV46" i="28"/>
  <c r="AV45" i="28"/>
  <c r="AV44" i="28"/>
  <c r="AV43" i="28"/>
  <c r="AV42" i="28"/>
  <c r="AV41" i="28"/>
  <c r="AV40" i="28"/>
  <c r="AV39" i="28"/>
  <c r="AV38" i="28"/>
  <c r="AV37" i="28"/>
  <c r="AV36" i="28"/>
  <c r="AV35" i="28"/>
  <c r="AV34" i="28"/>
  <c r="AV33" i="28"/>
  <c r="AV32" i="28"/>
  <c r="AV31" i="28"/>
  <c r="AV30" i="28"/>
  <c r="AV29" i="28"/>
  <c r="AV28" i="28"/>
  <c r="AV27" i="28"/>
  <c r="AV26" i="28"/>
  <c r="AV25" i="28"/>
  <c r="AV24" i="28"/>
  <c r="AV23" i="28"/>
  <c r="AV22" i="28"/>
  <c r="AV21" i="28"/>
  <c r="AV20" i="28"/>
  <c r="AV19" i="28"/>
  <c r="AV18" i="28"/>
  <c r="AU53" i="28"/>
  <c r="AU52" i="28"/>
  <c r="AU51" i="28"/>
  <c r="AU50" i="28"/>
  <c r="AU49" i="28"/>
  <c r="AU48" i="28"/>
  <c r="AU47" i="28"/>
  <c r="AU46" i="28"/>
  <c r="AU45" i="28"/>
  <c r="AU44" i="28"/>
  <c r="AU43" i="28"/>
  <c r="AU42" i="28"/>
  <c r="AU41" i="28"/>
  <c r="AU40" i="28"/>
  <c r="AU39" i="28"/>
  <c r="AU38" i="28"/>
  <c r="AU37" i="28"/>
  <c r="AU36" i="28"/>
  <c r="AU35" i="28"/>
  <c r="AU34" i="28"/>
  <c r="AU33" i="28"/>
  <c r="AU32" i="28"/>
  <c r="AU31" i="28"/>
  <c r="AU30" i="28"/>
  <c r="AU29" i="28"/>
  <c r="AU28" i="28"/>
  <c r="AU27" i="28"/>
  <c r="AU26" i="28"/>
  <c r="AU25" i="28"/>
  <c r="AU24" i="28"/>
  <c r="AU23" i="28"/>
  <c r="AU22" i="28"/>
  <c r="AU21" i="28"/>
  <c r="AU20" i="28"/>
  <c r="AU19" i="28"/>
  <c r="AU18" i="28"/>
  <c r="AT53" i="28"/>
  <c r="AT52" i="28"/>
  <c r="AT51" i="28"/>
  <c r="AT50" i="28"/>
  <c r="AT49" i="28"/>
  <c r="AT48" i="28"/>
  <c r="AT47" i="28"/>
  <c r="AT46" i="28"/>
  <c r="AT45" i="28"/>
  <c r="AT44" i="28"/>
  <c r="AT43" i="28"/>
  <c r="AT42" i="28"/>
  <c r="AT41" i="28"/>
  <c r="AT40" i="28"/>
  <c r="AT39" i="28"/>
  <c r="AT38" i="28"/>
  <c r="AT37" i="28"/>
  <c r="AT36" i="28"/>
  <c r="AT35" i="28"/>
  <c r="AT34" i="28"/>
  <c r="AT33" i="28"/>
  <c r="AT32" i="28"/>
  <c r="AT31" i="28"/>
  <c r="AT30" i="28"/>
  <c r="AT29" i="28"/>
  <c r="AT28" i="28"/>
  <c r="AT27" i="28"/>
  <c r="AT26" i="28"/>
  <c r="AT25" i="28"/>
  <c r="AT24" i="28"/>
  <c r="AT23" i="28"/>
  <c r="AT22" i="28"/>
  <c r="AT21" i="28"/>
  <c r="AT20" i="28"/>
  <c r="AT19" i="28"/>
  <c r="AT18" i="28"/>
  <c r="AY4" i="28"/>
  <c r="AZ4" i="28"/>
  <c r="AY5" i="28"/>
  <c r="AZ5" i="28"/>
  <c r="AY6" i="28"/>
  <c r="AZ6" i="28"/>
  <c r="AY7" i="28"/>
  <c r="AZ7" i="28"/>
  <c r="AY8" i="28"/>
  <c r="AZ8" i="28"/>
  <c r="AY9" i="28"/>
  <c r="AZ9" i="28"/>
  <c r="AY10" i="28"/>
  <c r="AZ10" i="28"/>
  <c r="AY11" i="28"/>
  <c r="AZ11" i="28"/>
  <c r="AY12" i="28"/>
  <c r="AZ12" i="28"/>
  <c r="AY13" i="28"/>
  <c r="AZ13" i="28"/>
  <c r="AY14" i="28"/>
  <c r="AZ14" i="28"/>
  <c r="AY15" i="28"/>
  <c r="AZ15" i="28"/>
  <c r="AY16" i="28"/>
  <c r="AZ16" i="28"/>
  <c r="AY3" i="28"/>
  <c r="AZ3" i="28"/>
  <c r="AX4" i="28"/>
  <c r="AX5" i="28"/>
  <c r="AX6" i="28"/>
  <c r="AX7" i="28"/>
  <c r="AX8" i="28"/>
  <c r="AX9" i="28"/>
  <c r="AX10" i="28"/>
  <c r="AX11" i="28"/>
  <c r="AX12" i="28"/>
  <c r="AX13" i="28"/>
  <c r="AX14" i="28"/>
  <c r="AX15" i="28"/>
  <c r="AX16" i="28"/>
  <c r="AX3" i="28"/>
  <c r="AU4" i="28"/>
  <c r="AV4" i="28"/>
  <c r="AU5" i="28"/>
  <c r="AV5" i="28"/>
  <c r="AU6" i="28"/>
  <c r="AV6" i="28"/>
  <c r="AU7" i="28"/>
  <c r="AV7" i="28"/>
  <c r="AU8" i="28"/>
  <c r="AV8" i="28"/>
  <c r="AU9" i="28"/>
  <c r="AV9" i="28"/>
  <c r="AU10" i="28"/>
  <c r="AV10" i="28"/>
  <c r="AU11" i="28"/>
  <c r="AV11" i="28"/>
  <c r="AU12" i="28"/>
  <c r="AV12" i="28"/>
  <c r="AU13" i="28"/>
  <c r="AV13" i="28"/>
  <c r="AU14" i="28"/>
  <c r="AV14" i="28"/>
  <c r="AU15" i="28"/>
  <c r="AV15" i="28"/>
  <c r="AU16" i="28"/>
  <c r="AV16" i="28"/>
  <c r="AV3" i="28"/>
  <c r="AU3" i="28"/>
  <c r="AT4" i="28"/>
  <c r="AT5" i="28"/>
  <c r="AT6" i="28"/>
  <c r="AT7" i="28"/>
  <c r="AT8" i="28"/>
  <c r="AT9" i="28"/>
  <c r="AT10" i="28"/>
  <c r="AT11" i="28"/>
  <c r="AT12" i="28"/>
  <c r="AT13" i="28"/>
  <c r="AT14" i="28"/>
  <c r="AT15" i="28"/>
  <c r="AT16" i="28"/>
  <c r="AT3" i="28"/>
  <c r="BI3" i="28"/>
  <c r="BI4" i="28"/>
  <c r="BI5" i="28"/>
  <c r="BI6" i="28"/>
  <c r="BI7" i="28"/>
  <c r="BI8" i="28"/>
  <c r="BI9" i="28"/>
  <c r="BI10" i="28"/>
  <c r="BI11" i="28"/>
  <c r="BI12" i="28"/>
  <c r="BI13" i="28"/>
  <c r="BI14" i="28"/>
  <c r="BI15" i="28"/>
  <c r="BI16" i="28"/>
  <c r="BH3" i="28"/>
  <c r="BH4" i="28"/>
  <c r="BH5" i="28"/>
  <c r="BH6" i="28"/>
  <c r="BH7" i="28"/>
  <c r="BH8" i="28"/>
  <c r="BH9" i="28"/>
  <c r="BH10" i="28"/>
  <c r="BH11" i="28"/>
  <c r="BH12" i="28"/>
  <c r="BH13" i="28"/>
  <c r="BH14" i="28"/>
  <c r="BH15" i="28"/>
  <c r="BH16" i="28"/>
  <c r="BG3" i="28"/>
  <c r="BG4" i="28"/>
  <c r="BG5" i="28"/>
  <c r="BG6" i="28"/>
  <c r="BG7" i="28"/>
  <c r="BG8" i="28"/>
  <c r="BG9" i="28"/>
  <c r="BG10" i="28"/>
  <c r="BG11" i="28"/>
  <c r="BG12" i="28"/>
  <c r="BG13" i="28"/>
  <c r="BG14" i="28"/>
  <c r="BG15" i="28"/>
  <c r="BG16" i="28"/>
  <c r="BF4" i="28"/>
  <c r="BF5" i="28"/>
  <c r="BF6" i="28"/>
  <c r="BF7" i="28"/>
  <c r="BF8" i="28"/>
  <c r="BF9" i="28"/>
  <c r="BF10" i="28"/>
  <c r="BF11" i="28"/>
  <c r="BF12" i="28"/>
  <c r="BF13" i="28"/>
  <c r="BF14" i="28"/>
  <c r="BF15" i="28"/>
  <c r="BF16" i="28"/>
  <c r="BF3" i="28"/>
  <c r="BE4" i="28"/>
  <c r="BE5" i="28"/>
  <c r="BE6" i="28"/>
  <c r="BE7" i="28"/>
  <c r="BE8" i="28"/>
  <c r="BE9" i="28"/>
  <c r="BE10" i="28"/>
  <c r="BE11" i="28"/>
  <c r="BE12" i="28"/>
  <c r="BE13" i="28"/>
  <c r="BE14" i="28"/>
  <c r="BE15" i="28"/>
  <c r="BE16" i="28"/>
  <c r="BE3" i="28"/>
  <c r="BD4" i="28"/>
  <c r="BD5" i="28"/>
  <c r="BD7" i="28"/>
  <c r="BD8" i="28"/>
  <c r="BD9" i="28"/>
  <c r="BD10" i="28"/>
  <c r="BC4" i="28"/>
  <c r="BC5" i="28"/>
  <c r="BC6" i="28"/>
  <c r="BC7" i="28"/>
  <c r="BC8" i="28"/>
  <c r="BC9" i="28"/>
  <c r="BC10" i="28"/>
  <c r="BC11" i="28"/>
  <c r="BC12" i="28"/>
  <c r="BC13" i="28"/>
  <c r="BC14" i="28"/>
  <c r="BC15" i="28"/>
  <c r="BC16" i="28"/>
  <c r="BC3" i="28"/>
  <c r="BA4" i="28"/>
  <c r="BA5" i="28"/>
  <c r="BA6" i="28"/>
  <c r="BA7" i="28"/>
  <c r="BA8" i="28"/>
  <c r="BA9" i="28"/>
  <c r="BA10" i="28"/>
  <c r="BA11" i="28"/>
  <c r="BA12" i="28"/>
  <c r="BA13" i="28"/>
  <c r="BA14" i="28"/>
  <c r="BA15" i="28"/>
  <c r="BA16" i="28"/>
  <c r="BA3" i="28"/>
  <c r="BB61" i="28" l="1"/>
  <c r="BB56" i="28"/>
  <c r="BB57" i="28"/>
  <c r="BB58" i="28"/>
  <c r="BB59" i="28"/>
  <c r="BB60" i="28"/>
  <c r="BB62" i="28"/>
  <c r="BB63" i="28"/>
  <c r="BB64" i="28"/>
  <c r="BB65" i="28"/>
  <c r="BB66" i="28"/>
  <c r="BB67" i="28"/>
  <c r="BB68" i="28"/>
  <c r="BB69" i="28"/>
  <c r="BB70" i="28"/>
  <c r="BB71" i="28"/>
  <c r="BB72" i="28"/>
  <c r="BB73" i="28"/>
  <c r="BB74" i="28"/>
  <c r="BB75" i="28"/>
  <c r="BB76" i="28"/>
  <c r="BB77" i="28"/>
  <c r="BB78" i="28"/>
  <c r="BB79" i="28"/>
  <c r="BB55" i="28"/>
  <c r="BB19" i="28"/>
  <c r="BB22" i="28"/>
  <c r="BB23" i="28"/>
  <c r="BB24" i="28"/>
  <c r="BB25" i="28"/>
  <c r="BB26" i="28"/>
  <c r="BB27" i="28"/>
  <c r="BB28" i="28"/>
  <c r="BB29" i="28"/>
  <c r="BB30" i="28"/>
  <c r="BB31" i="28"/>
  <c r="BB32" i="28"/>
  <c r="BB33" i="28"/>
  <c r="BB34" i="28"/>
  <c r="BB35" i="28"/>
  <c r="BB36" i="28"/>
  <c r="BB37" i="28"/>
  <c r="BB38" i="28"/>
  <c r="BB39" i="28"/>
  <c r="BB40" i="28"/>
  <c r="BB41" i="28"/>
  <c r="BB42" i="28"/>
  <c r="BB43" i="28"/>
  <c r="BB44" i="28"/>
  <c r="BB45" i="28"/>
  <c r="BB46" i="28"/>
  <c r="BB47" i="28"/>
  <c r="BB48" i="28"/>
  <c r="BB49" i="28"/>
  <c r="BB50" i="28"/>
  <c r="BB51" i="28"/>
  <c r="BB52" i="28"/>
  <c r="BB53" i="28"/>
  <c r="BB18" i="28"/>
  <c r="BB4" i="28"/>
  <c r="BB5" i="28"/>
  <c r="BB6" i="28"/>
  <c r="BB7" i="28"/>
  <c r="BB8" i="28"/>
  <c r="BB9" i="28"/>
  <c r="BB10" i="28"/>
  <c r="BB11" i="28"/>
  <c r="BB12" i="28"/>
  <c r="BB13" i="28"/>
  <c r="BB14" i="28"/>
  <c r="BB15" i="28"/>
  <c r="BB16" i="28"/>
  <c r="BB3" i="28"/>
  <c r="B149" i="12" a="1"/>
  <c r="B151" i="12" s="1"/>
  <c r="B152" i="12" l="1"/>
  <c r="C150" i="12"/>
  <c r="C152" i="12"/>
  <c r="B150" i="12"/>
  <c r="B153" i="12"/>
  <c r="C149" i="12"/>
  <c r="B149" i="12" s="1"/>
  <c r="D116" i="12" s="1"/>
  <c r="C151" i="12"/>
  <c r="D136" i="12" s="1"/>
  <c r="C153" i="12"/>
  <c r="E135" i="12"/>
  <c r="E134" i="12"/>
  <c r="E133" i="12"/>
  <c r="E132" i="12"/>
  <c r="E131" i="12"/>
  <c r="E130" i="12"/>
  <c r="E129" i="12"/>
  <c r="E128" i="12"/>
  <c r="E127" i="12"/>
  <c r="E126" i="12"/>
  <c r="E125" i="12"/>
  <c r="E124" i="12"/>
  <c r="E123" i="12"/>
  <c r="E122" i="12"/>
  <c r="E121" i="12"/>
  <c r="E120" i="12"/>
  <c r="E119" i="12"/>
  <c r="B95" i="12" a="1"/>
  <c r="B98" i="12" s="1"/>
  <c r="E83" i="12"/>
  <c r="E82" i="12"/>
  <c r="E81" i="12"/>
  <c r="E80" i="12"/>
  <c r="E79" i="12"/>
  <c r="E78" i="12"/>
  <c r="E77" i="12"/>
  <c r="E76" i="12"/>
  <c r="E75" i="12"/>
  <c r="E74" i="12"/>
  <c r="E73" i="12"/>
  <c r="E72" i="12"/>
  <c r="E71" i="12"/>
  <c r="E70" i="12"/>
  <c r="E69" i="12"/>
  <c r="E68" i="12"/>
  <c r="E67" i="12"/>
  <c r="E66" i="12"/>
  <c r="E65" i="12"/>
  <c r="E64" i="12"/>
  <c r="E63" i="12"/>
  <c r="E62" i="12"/>
  <c r="E61" i="12"/>
  <c r="E60" i="12"/>
  <c r="E59" i="12"/>
  <c r="E58" i="12"/>
  <c r="E57" i="12"/>
  <c r="B43" i="12" a="1"/>
  <c r="C46" i="12" s="1"/>
  <c r="I14" i="3"/>
  <c r="I28" i="3"/>
  <c r="P112" i="28"/>
  <c r="I32" i="3"/>
  <c r="I17" i="3"/>
  <c r="I26" i="3"/>
  <c r="I25" i="3"/>
  <c r="I13" i="3"/>
  <c r="I22" i="3"/>
  <c r="P111" i="28"/>
  <c r="I29" i="3"/>
  <c r="I24" i="3"/>
  <c r="I15" i="3"/>
  <c r="I16" i="3"/>
  <c r="I23" i="3"/>
  <c r="I19" i="3"/>
  <c r="D138" i="12" l="1"/>
  <c r="D139" i="12"/>
  <c r="D137" i="12"/>
  <c r="D117" i="12"/>
  <c r="D125" i="12"/>
  <c r="D119" i="12"/>
  <c r="D126" i="12"/>
  <c r="D133" i="12"/>
  <c r="D121" i="12"/>
  <c r="D110" i="12"/>
  <c r="D113" i="12"/>
  <c r="D129" i="12"/>
  <c r="D122" i="12"/>
  <c r="D115" i="12"/>
  <c r="E115" i="12" s="1"/>
  <c r="D130" i="12"/>
  <c r="D134" i="12"/>
  <c r="D123" i="12"/>
  <c r="D127" i="12"/>
  <c r="D131" i="12"/>
  <c r="D135" i="12"/>
  <c r="D120" i="12"/>
  <c r="D124" i="12"/>
  <c r="D128" i="12"/>
  <c r="D132" i="12"/>
  <c r="J29" i="3"/>
  <c r="J16" i="3"/>
  <c r="J25" i="3"/>
  <c r="J22" i="3"/>
  <c r="J26" i="3"/>
  <c r="J24" i="3"/>
  <c r="J28" i="3"/>
  <c r="J23" i="3"/>
  <c r="J19" i="3"/>
  <c r="J17" i="3"/>
  <c r="J14" i="3"/>
  <c r="J13" i="3"/>
  <c r="J15" i="3"/>
  <c r="J32" i="3"/>
  <c r="Q111" i="28"/>
  <c r="Q112" i="28"/>
  <c r="B97" i="12"/>
  <c r="B99" i="12"/>
  <c r="D111" i="12"/>
  <c r="B45" i="12"/>
  <c r="B47" i="12"/>
  <c r="C96" i="12"/>
  <c r="C98" i="12"/>
  <c r="B43" i="12"/>
  <c r="C45" i="12"/>
  <c r="C47" i="12"/>
  <c r="C43" i="12"/>
  <c r="B46" i="12"/>
  <c r="C95" i="12"/>
  <c r="B95" i="12" s="1"/>
  <c r="C97" i="12"/>
  <c r="C99" i="12"/>
  <c r="E116" i="12"/>
  <c r="C44" i="12"/>
  <c r="B44" i="12" s="1"/>
  <c r="B96" i="12"/>
  <c r="D109" i="12"/>
  <c r="E109" i="12" s="1"/>
  <c r="D114" i="12"/>
  <c r="D118" i="12"/>
  <c r="E117" i="12" s="1"/>
  <c r="E31" i="12"/>
  <c r="E30" i="12"/>
  <c r="E29" i="12"/>
  <c r="E28" i="12"/>
  <c r="E27" i="12"/>
  <c r="E26" i="12"/>
  <c r="E25" i="12"/>
  <c r="E24" i="12"/>
  <c r="E23" i="12"/>
  <c r="E22" i="12"/>
  <c r="E21" i="12"/>
  <c r="E20" i="12"/>
  <c r="E19" i="12"/>
  <c r="E18" i="12"/>
  <c r="E17" i="12"/>
  <c r="E16" i="12"/>
  <c r="E15" i="12"/>
  <c r="D59" i="12" l="1"/>
  <c r="D88" i="12"/>
  <c r="D87" i="12"/>
  <c r="D90" i="12"/>
  <c r="D93" i="12"/>
  <c r="D91" i="12"/>
  <c r="D89" i="12"/>
  <c r="D86" i="12"/>
  <c r="D92" i="12"/>
  <c r="D85" i="12"/>
  <c r="D84" i="12"/>
  <c r="E113" i="12"/>
  <c r="D29" i="12"/>
  <c r="E110" i="12"/>
  <c r="D21" i="12"/>
  <c r="D17" i="12"/>
  <c r="D25" i="12"/>
  <c r="D18" i="12"/>
  <c r="D22" i="12"/>
  <c r="D26" i="12"/>
  <c r="D30" i="12"/>
  <c r="D19" i="12"/>
  <c r="D23" i="12"/>
  <c r="D15" i="12"/>
  <c r="D27" i="12"/>
  <c r="D31" i="12"/>
  <c r="D16" i="12"/>
  <c r="D20" i="12"/>
  <c r="D24" i="12"/>
  <c r="D28" i="12"/>
  <c r="E118" i="12"/>
  <c r="D82" i="12"/>
  <c r="D80" i="12"/>
  <c r="D78" i="12"/>
  <c r="D76" i="12"/>
  <c r="D74" i="12"/>
  <c r="D72" i="12"/>
  <c r="D70" i="12"/>
  <c r="D68" i="12"/>
  <c r="D66" i="12"/>
  <c r="D64" i="12"/>
  <c r="D62" i="12"/>
  <c r="D60" i="12"/>
  <c r="D57" i="12"/>
  <c r="D83" i="12"/>
  <c r="D81" i="12"/>
  <c r="D79" i="12"/>
  <c r="D77" i="12"/>
  <c r="D75" i="12"/>
  <c r="D73" i="12"/>
  <c r="D71" i="12"/>
  <c r="D69" i="12"/>
  <c r="D67" i="12"/>
  <c r="D65" i="12"/>
  <c r="D63" i="12"/>
  <c r="D61" i="12"/>
  <c r="D58" i="12"/>
  <c r="E114" i="12"/>
  <c r="BK143" i="28"/>
  <c r="BD144" i="28"/>
  <c r="BL143" i="28" l="1"/>
  <c r="BD129" i="28"/>
  <c r="BM143" i="28"/>
  <c r="BM144" i="28" l="1"/>
  <c r="BL144" i="28" s="1"/>
  <c r="BN143" i="28"/>
  <c r="BN144" i="28" s="1"/>
  <c r="P116" i="28"/>
  <c r="Q116" i="28" l="1"/>
  <c r="Z111" i="28" l="1"/>
  <c r="P110" i="28"/>
  <c r="AB111" i="28"/>
  <c r="Q110" i="28" l="1"/>
  <c r="Z110" i="28"/>
  <c r="P109" i="28"/>
  <c r="AB110" i="28"/>
  <c r="Q109" i="28" l="1"/>
  <c r="P108" i="28"/>
  <c r="Q108" i="28" l="1"/>
  <c r="P107" i="28"/>
  <c r="Q107" i="28" l="1"/>
  <c r="Z105" i="28" l="1"/>
  <c r="P106" i="28"/>
  <c r="AB105" i="28"/>
  <c r="Q106" i="28" l="1"/>
  <c r="Z104" i="28"/>
  <c r="AB104" i="28"/>
  <c r="Z103" i="28" l="1"/>
  <c r="AB103" i="28"/>
  <c r="Z102" i="28" l="1"/>
  <c r="O102" i="28"/>
  <c r="P103" i="28"/>
  <c r="AB102" i="28"/>
  <c r="Q103" i="28" l="1"/>
  <c r="Z101" i="28" l="1"/>
  <c r="AB101" i="28"/>
  <c r="Z100" i="28" l="1"/>
  <c r="Z112" i="28" s="1"/>
  <c r="P101" i="28"/>
  <c r="Q101" i="28" l="1"/>
  <c r="O99" i="28"/>
  <c r="T97" i="28"/>
  <c r="S97" i="28"/>
  <c r="Q97" i="28"/>
  <c r="P97" i="28"/>
  <c r="P100" i="28"/>
  <c r="AB100" i="28"/>
  <c r="AB112" i="28" l="1"/>
  <c r="AB114" i="28" s="1"/>
  <c r="Q100" i="28"/>
  <c r="AQ68" i="28" l="1"/>
  <c r="AP68" i="28"/>
  <c r="AO68" i="28"/>
  <c r="AN68" i="28"/>
  <c r="AM68" i="28"/>
  <c r="AL68" i="28"/>
  <c r="AK68" i="28"/>
  <c r="AJ68" i="28"/>
  <c r="AI68" i="28"/>
  <c r="AH68" i="28"/>
  <c r="AG68" i="28"/>
  <c r="AF68" i="28"/>
  <c r="AE68" i="28"/>
  <c r="AD68" i="28"/>
  <c r="AC68" i="28"/>
  <c r="AB68" i="28"/>
  <c r="AA68" i="28"/>
  <c r="Z68" i="28"/>
  <c r="Y68" i="28"/>
  <c r="X68" i="28"/>
  <c r="W68" i="28"/>
  <c r="V68" i="28"/>
  <c r="U68" i="28"/>
  <c r="T68" i="28"/>
  <c r="S68" i="28"/>
  <c r="R68" i="28"/>
  <c r="Q68" i="28"/>
  <c r="P68" i="28"/>
  <c r="O68" i="28"/>
  <c r="N68" i="28"/>
  <c r="M68" i="28"/>
  <c r="L68" i="28"/>
  <c r="K68" i="28"/>
  <c r="AQ43" i="28" l="1"/>
  <c r="AP43" i="28"/>
  <c r="AO43" i="28"/>
  <c r="AN43" i="28"/>
  <c r="AM43" i="28"/>
  <c r="AL43" i="28"/>
  <c r="AK43" i="28"/>
  <c r="AJ43" i="28"/>
  <c r="AI43" i="28"/>
  <c r="AH43" i="28"/>
  <c r="AG43" i="28" l="1"/>
  <c r="AF43" i="28"/>
  <c r="AE43" i="28"/>
  <c r="AD43" i="28"/>
  <c r="AC43" i="28"/>
  <c r="AB43" i="28"/>
  <c r="AA43" i="28"/>
  <c r="Z43" i="28"/>
  <c r="Y43" i="28"/>
  <c r="X43" i="28"/>
  <c r="J26" i="28" l="1"/>
  <c r="B18" i="28" l="1"/>
  <c r="D11" i="28" l="1"/>
  <c r="D10" i="28"/>
  <c r="Q9" i="28"/>
  <c r="A4" i="28"/>
  <c r="Q2" i="28"/>
  <c r="J12" i="28"/>
  <c r="B33" i="28" l="1"/>
  <c r="B32" i="28"/>
  <c r="AC51" i="28"/>
  <c r="S51" i="28"/>
  <c r="X51" i="28"/>
  <c r="N51" i="28"/>
  <c r="X52" i="28"/>
  <c r="AC52" i="28"/>
  <c r="AH52" i="28" s="1"/>
  <c r="AM52" i="28" s="1"/>
  <c r="N52" i="28"/>
  <c r="S52" i="28"/>
  <c r="G23" i="13" l="1"/>
  <c r="F23" i="13"/>
  <c r="G21" i="13"/>
  <c r="F21" i="13"/>
  <c r="D21" i="13"/>
  <c r="G20" i="13"/>
  <c r="F20" i="13"/>
  <c r="G19" i="13"/>
  <c r="F19" i="13"/>
  <c r="D19" i="13"/>
  <c r="G18" i="13"/>
  <c r="F18" i="13"/>
  <c r="G17" i="13"/>
  <c r="F17" i="13"/>
  <c r="G16" i="13"/>
  <c r="F16" i="13"/>
  <c r="H15" i="13"/>
  <c r="G15" i="13"/>
  <c r="F15" i="13"/>
  <c r="E15" i="13"/>
  <c r="C15" i="13"/>
  <c r="M215" i="23" l="1"/>
  <c r="BD195" i="28" s="1"/>
  <c r="M214" i="23"/>
  <c r="BD194" i="28" s="1"/>
  <c r="M213" i="23"/>
  <c r="BD193" i="28" s="1"/>
  <c r="M212" i="23"/>
  <c r="BD192" i="28" s="1"/>
  <c r="M211" i="23"/>
  <c r="BD191" i="28" s="1"/>
  <c r="M210" i="23"/>
  <c r="BD190" i="28" s="1"/>
  <c r="M209" i="23"/>
  <c r="BD189" i="28" s="1"/>
  <c r="M208" i="23"/>
  <c r="BD188" i="28" s="1"/>
  <c r="M207" i="23"/>
  <c r="BD187" i="28" s="1"/>
  <c r="M206" i="23"/>
  <c r="BD186" i="28" s="1"/>
  <c r="M202" i="23"/>
  <c r="BD182" i="28" s="1"/>
  <c r="M191" i="23"/>
  <c r="BD171" i="28" s="1"/>
  <c r="M190" i="23"/>
  <c r="BD170" i="28" s="1"/>
  <c r="M189" i="23"/>
  <c r="BD169" i="28" s="1"/>
  <c r="M187" i="23"/>
  <c r="BD167" i="28" s="1"/>
  <c r="M185" i="23"/>
  <c r="BD166" i="28" s="1"/>
  <c r="M181" i="23"/>
  <c r="M179" i="23"/>
  <c r="K178" i="23"/>
  <c r="BB159" i="28" s="1"/>
  <c r="M177" i="23"/>
  <c r="BD158" i="28" s="1"/>
  <c r="M176" i="23"/>
  <c r="BD157" i="28" s="1"/>
  <c r="BB156" i="28"/>
  <c r="M174" i="23"/>
  <c r="M173" i="23"/>
  <c r="M172" i="23"/>
  <c r="M171" i="23"/>
  <c r="M170" i="23"/>
  <c r="BD151" i="28" s="1"/>
  <c r="M169" i="23"/>
  <c r="BD150" i="28" s="1"/>
  <c r="M168" i="23"/>
  <c r="M167" i="23"/>
  <c r="M166" i="23"/>
  <c r="M165" i="23"/>
  <c r="M164" i="23"/>
  <c r="M138" i="23"/>
  <c r="M137" i="23"/>
  <c r="M136" i="23"/>
  <c r="M135" i="23"/>
  <c r="M134" i="23"/>
  <c r="M133" i="23"/>
  <c r="M130" i="23"/>
  <c r="BD133" i="28" s="1"/>
  <c r="M129" i="23"/>
  <c r="M128" i="23"/>
  <c r="M127" i="23"/>
  <c r="M126" i="23"/>
  <c r="M125" i="23"/>
  <c r="M124" i="23"/>
  <c r="M118" i="23"/>
  <c r="BD118" i="28" s="1"/>
  <c r="M117" i="23"/>
  <c r="K116" i="23"/>
  <c r="BB116" i="28" s="1"/>
  <c r="M114" i="23"/>
  <c r="K109" i="23"/>
  <c r="BB109" i="28" s="1"/>
  <c r="M108" i="23"/>
  <c r="BD108" i="28" s="1"/>
  <c r="M107" i="23"/>
  <c r="BD107" i="28" s="1"/>
  <c r="M106" i="23"/>
  <c r="BD185" i="28" l="1"/>
  <c r="M109" i="23"/>
  <c r="BD142" i="28"/>
  <c r="BD196" i="28"/>
  <c r="M116" i="23"/>
  <c r="M175" i="23"/>
  <c r="BD156" i="28" s="1"/>
  <c r="BD163" i="28" s="1"/>
  <c r="M178" i="23"/>
  <c r="K104" i="23"/>
  <c r="M103" i="23"/>
  <c r="BD103" i="28" s="1"/>
  <c r="M102" i="23"/>
  <c r="BD102" i="28" s="1"/>
  <c r="M100" i="23"/>
  <c r="BD100" i="28" s="1"/>
  <c r="M98" i="23"/>
  <c r="BD98" i="28" s="1"/>
  <c r="M97" i="23"/>
  <c r="BD97" i="28" s="1"/>
  <c r="M96" i="23"/>
  <c r="BD96" i="28" s="1"/>
  <c r="M95" i="23"/>
  <c r="BD95" i="28" s="1"/>
  <c r="K94" i="23"/>
  <c r="BB94" i="28" s="1"/>
  <c r="M91" i="23"/>
  <c r="BD91" i="28" s="1"/>
  <c r="M90" i="23"/>
  <c r="BD90" i="28" s="1"/>
  <c r="BB104" i="28" l="1"/>
  <c r="M104" i="23"/>
  <c r="BD104" i="28" s="1"/>
  <c r="M94" i="23"/>
  <c r="BD94" i="28" s="1"/>
  <c r="M89" i="23"/>
  <c r="BD89" i="28" s="1"/>
  <c r="M88" i="23"/>
  <c r="BD88" i="28" s="1"/>
  <c r="M87" i="23"/>
  <c r="BD87" i="28" s="1"/>
  <c r="M86" i="23"/>
  <c r="BD86" i="28" s="1"/>
  <c r="M85" i="23"/>
  <c r="BD85" i="28" s="1"/>
  <c r="M84" i="23"/>
  <c r="BD84" i="28" s="1"/>
  <c r="M83" i="23"/>
  <c r="BD83" i="28" s="1"/>
  <c r="M82" i="23"/>
  <c r="BD82" i="28" s="1"/>
  <c r="M81" i="23"/>
  <c r="BD81" i="28" s="1"/>
  <c r="M79" i="23"/>
  <c r="BD79" i="28" s="1"/>
  <c r="M78" i="23"/>
  <c r="M77" i="23"/>
  <c r="M76" i="23"/>
  <c r="BD76" i="28" s="1"/>
  <c r="M75" i="23"/>
  <c r="M74" i="23"/>
  <c r="M73" i="23"/>
  <c r="M72" i="23"/>
  <c r="BD72" i="28" s="1"/>
  <c r="BD105" i="28" l="1"/>
  <c r="M71" i="23"/>
  <c r="BD71" i="28" s="1"/>
  <c r="M68" i="23"/>
  <c r="BD68" i="28" s="1"/>
  <c r="M67" i="23"/>
  <c r="BD67" i="28" s="1"/>
  <c r="T66" i="23"/>
  <c r="M66" i="23"/>
  <c r="T65" i="23"/>
  <c r="M65" i="23"/>
  <c r="T64" i="23"/>
  <c r="M64" i="23"/>
  <c r="U64" i="23" l="1"/>
  <c r="U66" i="23"/>
  <c r="U65" i="23"/>
  <c r="T63" i="23"/>
  <c r="M63" i="23"/>
  <c r="T62" i="23"/>
  <c r="M62" i="23"/>
  <c r="K61" i="23"/>
  <c r="M61" i="23" s="1"/>
  <c r="BD61" i="28" s="1"/>
  <c r="M60" i="23"/>
  <c r="BD60" i="28" s="1"/>
  <c r="M59" i="23"/>
  <c r="T58" i="23"/>
  <c r="M58" i="23"/>
  <c r="V64" i="23"/>
  <c r="V66" i="23"/>
  <c r="V65" i="23"/>
  <c r="W64" i="23" l="1"/>
  <c r="W66" i="23"/>
  <c r="U63" i="23"/>
  <c r="W65" i="23"/>
  <c r="U58" i="23"/>
  <c r="U62" i="23"/>
  <c r="T57" i="23"/>
  <c r="M57" i="23"/>
  <c r="M56" i="23"/>
  <c r="M55" i="23"/>
  <c r="BD55" i="28" s="1"/>
  <c r="BD80" i="28" s="1"/>
  <c r="M53" i="23"/>
  <c r="BD53" i="28" s="1"/>
  <c r="M52" i="23"/>
  <c r="BD52" i="28" s="1"/>
  <c r="M51" i="23"/>
  <c r="BD51" i="28" s="1"/>
  <c r="M50" i="23"/>
  <c r="BD50" i="28" s="1"/>
  <c r="M48" i="23"/>
  <c r="BD48" i="28" s="1"/>
  <c r="M47" i="23"/>
  <c r="BD47" i="28" s="1"/>
  <c r="M46" i="23"/>
  <c r="BD46" i="28" s="1"/>
  <c r="M45" i="23"/>
  <c r="BD45" i="28" s="1"/>
  <c r="M44" i="23"/>
  <c r="BD44" i="28" s="1"/>
  <c r="M43" i="23"/>
  <c r="BD43" i="28" s="1"/>
  <c r="M42" i="23"/>
  <c r="BD42" i="28" s="1"/>
  <c r="M41" i="23"/>
  <c r="BD41" i="28" s="1"/>
  <c r="M40" i="23"/>
  <c r="BD40" i="28" s="1"/>
  <c r="M33" i="23"/>
  <c r="BD33" i="28" s="1"/>
  <c r="M32" i="23"/>
  <c r="BD32" i="28" s="1"/>
  <c r="M24" i="23"/>
  <c r="BD24" i="28" s="1"/>
  <c r="M23" i="23"/>
  <c r="BD23" i="28" s="1"/>
  <c r="V58" i="23"/>
  <c r="V62" i="23"/>
  <c r="V63" i="23"/>
  <c r="U57" i="23" l="1"/>
  <c r="W63" i="23"/>
  <c r="W58" i="23"/>
  <c r="W62" i="23"/>
  <c r="M22" i="23"/>
  <c r="BD22" i="28" s="1"/>
  <c r="K21" i="23"/>
  <c r="BB21" i="28" s="1"/>
  <c r="K20" i="23"/>
  <c r="BB20" i="28" s="1"/>
  <c r="M18" i="23"/>
  <c r="BD18" i="28" s="1"/>
  <c r="M16" i="23"/>
  <c r="BD16" i="28" s="1"/>
  <c r="M15" i="23"/>
  <c r="BD15" i="28" s="1"/>
  <c r="M14" i="23"/>
  <c r="BD14" i="28" s="1"/>
  <c r="M13" i="23"/>
  <c r="BD13" i="28" s="1"/>
  <c r="M12" i="23"/>
  <c r="BD12" i="28" s="1"/>
  <c r="M11" i="23"/>
  <c r="BD11" i="28" s="1"/>
  <c r="M6" i="23"/>
  <c r="BD6" i="28" s="1"/>
  <c r="M3" i="23"/>
  <c r="BD3" i="28" s="1"/>
  <c r="M79" i="3"/>
  <c r="L79" i="3"/>
  <c r="M66" i="3"/>
  <c r="L66" i="3"/>
  <c r="V57" i="23"/>
  <c r="W57" i="23" l="1"/>
  <c r="M20" i="23"/>
  <c r="BD20" i="28" s="1"/>
  <c r="BD17" i="28"/>
  <c r="M21" i="23"/>
  <c r="BD21" i="28" s="1"/>
  <c r="BD54" i="28" l="1"/>
  <c r="H53" i="3" l="1"/>
  <c r="F53" i="3"/>
  <c r="I53" i="3"/>
  <c r="H52" i="3" l="1"/>
  <c r="I52" i="3"/>
  <c r="F52" i="3"/>
  <c r="H51" i="3" l="1"/>
  <c r="H50" i="3"/>
  <c r="H49" i="3"/>
  <c r="H48" i="3"/>
  <c r="H47" i="3"/>
  <c r="H46" i="3"/>
  <c r="H45" i="3"/>
  <c r="F50" i="3"/>
  <c r="I49" i="3"/>
  <c r="F45" i="3"/>
  <c r="F48" i="3"/>
  <c r="F46" i="3"/>
  <c r="I50" i="3"/>
  <c r="F51" i="3"/>
  <c r="F47" i="3"/>
  <c r="I46" i="3"/>
  <c r="I45" i="3"/>
  <c r="I51" i="3"/>
  <c r="I48" i="3"/>
  <c r="F49" i="3"/>
  <c r="I47" i="3"/>
  <c r="H44" i="3" l="1"/>
  <c r="F44" i="3"/>
  <c r="I44" i="3"/>
  <c r="H43" i="3" l="1"/>
  <c r="H42" i="3"/>
  <c r="M40" i="3"/>
  <c r="L40" i="3"/>
  <c r="I40" i="3"/>
  <c r="F40" i="3"/>
  <c r="I42" i="3"/>
  <c r="I43" i="3"/>
  <c r="F42" i="3"/>
  <c r="F43" i="3"/>
  <c r="H54" i="3" l="1"/>
  <c r="H55" i="3" s="1"/>
  <c r="I54" i="3"/>
  <c r="H36" i="3"/>
  <c r="J36" i="3"/>
  <c r="I55" i="3" l="1"/>
  <c r="L54" i="3"/>
  <c r="H35" i="3"/>
  <c r="O120" i="28" s="1"/>
  <c r="O121" i="28" s="1"/>
  <c r="J35" i="3"/>
  <c r="N120" i="28" l="1"/>
  <c r="L55" i="3"/>
  <c r="Q120" i="28"/>
  <c r="N121" i="28" l="1"/>
  <c r="N21" i="3"/>
  <c r="H21" i="3"/>
  <c r="G21" i="3"/>
  <c r="N105" i="28" s="1"/>
  <c r="N20" i="3"/>
  <c r="H20" i="3"/>
  <c r="G20" i="3"/>
  <c r="N104" i="28" s="1"/>
  <c r="I21" i="3"/>
  <c r="I20" i="3"/>
  <c r="Q121" i="28"/>
  <c r="J21" i="3" l="1"/>
  <c r="J20" i="3"/>
  <c r="O105" i="28"/>
  <c r="O104" i="28"/>
  <c r="H18" i="3"/>
  <c r="P105" i="28"/>
  <c r="P104" i="28"/>
  <c r="Q104" i="28" l="1"/>
  <c r="Q105" i="28"/>
  <c r="H12" i="3" l="1"/>
  <c r="H27" i="3" s="1"/>
  <c r="M10" i="3"/>
  <c r="L10" i="3"/>
  <c r="J10" i="3"/>
  <c r="L84" i="2"/>
  <c r="K84" i="2"/>
  <c r="J84" i="2"/>
  <c r="I84" i="2"/>
  <c r="H84" i="2"/>
  <c r="AI68" i="2" l="1"/>
  <c r="AH68" i="2"/>
  <c r="AG68" i="2"/>
  <c r="AF68" i="2"/>
  <c r="AE68" i="2"/>
  <c r="AD68" i="2"/>
  <c r="AC68" i="2"/>
  <c r="AB68" i="2"/>
  <c r="AA68" i="2"/>
  <c r="Z68" i="2"/>
  <c r="Y68" i="2"/>
  <c r="X68" i="2"/>
  <c r="W68" i="2"/>
  <c r="V68" i="2"/>
  <c r="U68" i="2"/>
  <c r="T68" i="2"/>
  <c r="S68" i="2"/>
  <c r="R68" i="2"/>
  <c r="Q68" i="2"/>
  <c r="P68" i="2"/>
  <c r="O68" i="2"/>
  <c r="N68" i="2"/>
  <c r="M68" i="2"/>
  <c r="L68" i="2"/>
  <c r="K68" i="2"/>
  <c r="J68" i="2"/>
  <c r="I68" i="2"/>
  <c r="H68" i="2"/>
  <c r="G68" i="2"/>
  <c r="F68" i="2"/>
  <c r="E68" i="2"/>
  <c r="D68" i="2"/>
  <c r="C68" i="2"/>
  <c r="AI44" i="2" l="1"/>
  <c r="AH44" i="2"/>
  <c r="AG44" i="2"/>
  <c r="AF44" i="2"/>
  <c r="AE44" i="2"/>
  <c r="AD44" i="2"/>
  <c r="AC44" i="2"/>
  <c r="AB44" i="2"/>
  <c r="AA44" i="2"/>
  <c r="Z44" i="2"/>
  <c r="Y44" i="2"/>
  <c r="X44" i="2" l="1"/>
  <c r="W44" i="2"/>
  <c r="V44" i="2" l="1"/>
  <c r="U44" i="2"/>
  <c r="T44" i="2"/>
  <c r="S44" i="2"/>
  <c r="R44" i="2"/>
  <c r="Q44" i="2" l="1"/>
  <c r="P44" i="2"/>
  <c r="Q32" i="2" l="1"/>
  <c r="G32" i="2"/>
  <c r="B26" i="2" l="1"/>
  <c r="B11" i="31" l="1"/>
  <c r="B13" i="2"/>
  <c r="P52" i="2" l="1"/>
  <c r="U52" i="2"/>
  <c r="Z52" i="2" s="1"/>
  <c r="F52" i="2"/>
  <c r="K52" i="2"/>
  <c r="A11" i="31"/>
  <c r="P2" i="31"/>
  <c r="B19" i="18" l="1"/>
  <c r="F32" i="18"/>
  <c r="F31" i="18"/>
  <c r="F30" i="18"/>
  <c r="F29" i="18"/>
  <c r="B125" i="28" l="1"/>
  <c r="A2" i="28"/>
  <c r="J1" i="28" s="1"/>
  <c r="M39" i="3"/>
  <c r="M9" i="3"/>
  <c r="K33" i="2"/>
  <c r="U33" i="2"/>
  <c r="G32" i="18"/>
  <c r="G31" i="18"/>
  <c r="G30" i="18"/>
  <c r="G29" i="18"/>
  <c r="DO23" i="33"/>
  <c r="DN9" i="33"/>
  <c r="DN15" i="33" s="1"/>
  <c r="DP9" i="33"/>
  <c r="DP11" i="33" s="1"/>
  <c r="EK20" i="33"/>
  <c r="ER23" i="33"/>
  <c r="ES23" i="33"/>
  <c r="GF23" i="33"/>
  <c r="FM23" i="33"/>
  <c r="EW23" i="33"/>
  <c r="FV9" i="33"/>
  <c r="GI9" i="33"/>
  <c r="EY23" i="33"/>
  <c r="L23" i="33"/>
  <c r="JN10" i="34"/>
  <c r="IX172" i="34"/>
  <c r="L19" i="17"/>
  <c r="JO10" i="34" l="1"/>
  <c r="DP12" i="33"/>
  <c r="DP15" i="33"/>
  <c r="DN11" i="33"/>
  <c r="DN12" i="33"/>
  <c r="DP16" i="33"/>
  <c r="DN16" i="33"/>
  <c r="FV15" i="33"/>
  <c r="FV11" i="33"/>
  <c r="GI15" i="33"/>
  <c r="FV12" i="33"/>
  <c r="GI11" i="33"/>
  <c r="GI12" i="33"/>
  <c r="GA9" i="33"/>
  <c r="N29" i="35"/>
  <c r="Q27" i="35"/>
  <c r="K34" i="35"/>
  <c r="T29" i="35"/>
  <c r="N33" i="35"/>
  <c r="T36" i="35"/>
  <c r="N27" i="35"/>
  <c r="K31" i="35"/>
  <c r="L16" i="35"/>
  <c r="W27" i="35"/>
  <c r="T31" i="35"/>
  <c r="N36" i="35"/>
  <c r="L18" i="35"/>
  <c r="K36" i="35"/>
  <c r="Q31" i="35"/>
  <c r="Q36" i="35"/>
  <c r="Q29" i="35"/>
  <c r="N34" i="35"/>
  <c r="W31" i="35"/>
  <c r="K32" i="35"/>
  <c r="T34" i="35"/>
  <c r="W34" i="35"/>
  <c r="W35" i="35"/>
  <c r="K29" i="35"/>
  <c r="K33" i="35"/>
  <c r="N28" i="35"/>
  <c r="N35" i="35"/>
  <c r="W29" i="35"/>
  <c r="K30" i="35"/>
  <c r="L17" i="35"/>
  <c r="N32" i="35"/>
  <c r="Q28" i="35"/>
  <c r="Q32" i="35"/>
  <c r="T32" i="35"/>
  <c r="Q34" i="35"/>
  <c r="T28" i="35"/>
  <c r="Q35" i="35"/>
  <c r="K27" i="35"/>
  <c r="N31" i="35"/>
  <c r="N30" i="35"/>
  <c r="W30" i="35"/>
  <c r="D34" i="35"/>
  <c r="L19" i="35"/>
  <c r="W32" i="35"/>
  <c r="Q30" i="35"/>
  <c r="W28" i="35"/>
  <c r="T27" i="35"/>
  <c r="T33" i="35"/>
  <c r="K28" i="35"/>
  <c r="K35" i="35"/>
  <c r="T30" i="35"/>
  <c r="Q33" i="35"/>
  <c r="W33" i="35"/>
  <c r="W36" i="35"/>
  <c r="T35" i="35"/>
  <c r="AA33" i="35" l="1"/>
  <c r="D43" i="35" s="1"/>
  <c r="AA32" i="35"/>
  <c r="D42" i="35" s="1"/>
  <c r="AA29" i="35"/>
  <c r="D39" i="35" s="1"/>
  <c r="D30" i="35"/>
  <c r="AA34" i="35"/>
  <c r="D44" i="35" s="1"/>
  <c r="D33" i="35"/>
  <c r="AA31" i="35"/>
  <c r="D41" i="35" s="1"/>
  <c r="AA35" i="35"/>
  <c r="D45" i="35" s="1"/>
  <c r="AA27" i="35"/>
  <c r="D37" i="35" s="1"/>
  <c r="D31" i="35"/>
  <c r="AA36" i="35"/>
  <c r="D46" i="35" s="1"/>
  <c r="AA28" i="35"/>
  <c r="D38" i="35" s="1"/>
  <c r="AA30" i="35"/>
  <c r="D40" i="35" s="1"/>
  <c r="D32" i="35"/>
  <c r="GI16" i="33"/>
  <c r="FV16" i="33"/>
  <c r="FV17" i="33" s="1"/>
  <c r="DP17" i="33"/>
  <c r="DN17" i="33"/>
  <c r="D16" i="1"/>
  <c r="D15" i="1"/>
  <c r="GA15" i="33"/>
  <c r="GA12" i="33"/>
  <c r="GA11" i="33"/>
  <c r="J96" i="33"/>
  <c r="H42" i="17"/>
  <c r="EE96" i="33"/>
  <c r="FG96" i="33"/>
  <c r="BJ97" i="33"/>
  <c r="IX148" i="34"/>
  <c r="IX121" i="34"/>
  <c r="IX144" i="34"/>
  <c r="AP96" i="33"/>
  <c r="CQ96" i="33"/>
  <c r="CE96" i="33"/>
  <c r="D5" i="17"/>
  <c r="IX102" i="34"/>
  <c r="IX162" i="34"/>
  <c r="FK96" i="33"/>
  <c r="DZ97" i="33"/>
  <c r="CI96" i="33"/>
  <c r="AG96" i="33"/>
  <c r="GL96" i="33"/>
  <c r="FE96" i="33"/>
  <c r="IX41" i="34"/>
  <c r="BE96" i="33"/>
  <c r="IX122" i="34"/>
  <c r="AJ96" i="33"/>
  <c r="AU97" i="33"/>
  <c r="IX116" i="34"/>
  <c r="CC97" i="33"/>
  <c r="CQ97" i="33"/>
  <c r="IX76" i="34"/>
  <c r="AN97" i="33"/>
  <c r="K97" i="33"/>
  <c r="BQ96" i="33"/>
  <c r="L96" i="33"/>
  <c r="IX150" i="34"/>
  <c r="AH96" i="33"/>
  <c r="IX156" i="34"/>
  <c r="IX66" i="34"/>
  <c r="AW97" i="33"/>
  <c r="IX131" i="34"/>
  <c r="FM96" i="33"/>
  <c r="IX52" i="34"/>
  <c r="V96" i="33"/>
  <c r="FN96" i="33"/>
  <c r="IX153" i="34"/>
  <c r="FA97" i="33"/>
  <c r="CX96" i="33"/>
  <c r="DS96" i="33"/>
  <c r="CO96" i="33"/>
  <c r="GB97" i="33"/>
  <c r="H33" i="17"/>
  <c r="BO96" i="33"/>
  <c r="IX89" i="34"/>
  <c r="CZ96" i="33"/>
  <c r="CB96" i="33"/>
  <c r="BK97" i="33"/>
  <c r="AR96" i="33"/>
  <c r="IX138" i="34"/>
  <c r="IX57" i="34"/>
  <c r="IX158" i="34"/>
  <c r="EH96" i="33"/>
  <c r="K161" i="28"/>
  <c r="IX174" i="34"/>
  <c r="H43" i="17"/>
  <c r="IX104" i="34"/>
  <c r="L97" i="33"/>
  <c r="IX46" i="34"/>
  <c r="IX88" i="34"/>
  <c r="IX157" i="34"/>
  <c r="IX146" i="34"/>
  <c r="AD97" i="33"/>
  <c r="ET97" i="33"/>
  <c r="IX74" i="34"/>
  <c r="IX108" i="34"/>
  <c r="IX81" i="34"/>
  <c r="BF96" i="33"/>
  <c r="EJ96" i="33"/>
  <c r="FV96" i="33"/>
  <c r="CR96" i="33"/>
  <c r="BB96" i="33"/>
  <c r="IX70" i="34"/>
  <c r="EQ97" i="33"/>
  <c r="CY96" i="33"/>
  <c r="IX90" i="34"/>
  <c r="FL96" i="33"/>
  <c r="FS97" i="33"/>
  <c r="IX132" i="34"/>
  <c r="IX65" i="34"/>
  <c r="AX97" i="33"/>
  <c r="JN9" i="34"/>
  <c r="FT97" i="33"/>
  <c r="K160" i="28"/>
  <c r="AC97" i="33"/>
  <c r="R96" i="33"/>
  <c r="IX113" i="34"/>
  <c r="IX123" i="34"/>
  <c r="AP97" i="33"/>
  <c r="IX178" i="34"/>
  <c r="DC97" i="33"/>
  <c r="IX163" i="34"/>
  <c r="F51" i="17"/>
  <c r="AX96" i="33"/>
  <c r="BF97" i="33"/>
  <c r="FD97" i="33"/>
  <c r="IX77" i="34"/>
  <c r="L25" i="17"/>
  <c r="AM97" i="33"/>
  <c r="IX147" i="34"/>
  <c r="GJ97" i="33"/>
  <c r="F52" i="17"/>
  <c r="BV96" i="33"/>
  <c r="IX164" i="34"/>
  <c r="DF96" i="33"/>
  <c r="BW96" i="33"/>
  <c r="D3" i="17"/>
  <c r="AS97" i="33"/>
  <c r="F55" i="17"/>
  <c r="IX67" i="34"/>
  <c r="S47" i="17"/>
  <c r="CN97" i="33"/>
  <c r="AY96" i="33"/>
  <c r="IX71" i="34"/>
  <c r="IX176" i="34"/>
  <c r="DU96" i="33"/>
  <c r="IX124" i="34"/>
  <c r="ET96" i="33"/>
  <c r="CD97" i="33"/>
  <c r="IX155" i="34"/>
  <c r="CX97" i="33"/>
  <c r="T97" i="33"/>
  <c r="EV96" i="33"/>
  <c r="GJ96" i="33"/>
  <c r="H5" i="17"/>
  <c r="BJ96" i="33"/>
  <c r="IX141" i="34"/>
  <c r="L28" i="17"/>
  <c r="IX129" i="34"/>
  <c r="L24" i="17"/>
  <c r="DL97" i="33"/>
  <c r="DL96" i="33"/>
  <c r="H34" i="17"/>
  <c r="AG97" i="33"/>
  <c r="W96" i="33"/>
  <c r="CJ96" i="33"/>
  <c r="BN97" i="33"/>
  <c r="AC96" i="33"/>
  <c r="EB96" i="33"/>
  <c r="IX149" i="34"/>
  <c r="DX97" i="33"/>
  <c r="J97" i="33"/>
  <c r="CP96" i="33"/>
  <c r="IX127" i="34"/>
  <c r="AZ96" i="33"/>
  <c r="IX159" i="34"/>
  <c r="AF96" i="33"/>
  <c r="F97" i="33"/>
  <c r="IX107" i="34"/>
  <c r="DB96" i="33"/>
  <c r="AS96" i="33"/>
  <c r="CO97" i="33"/>
  <c r="CC96" i="33"/>
  <c r="IX56" i="34"/>
  <c r="IX87" i="34"/>
  <c r="GA97" i="33"/>
  <c r="IX94" i="34"/>
  <c r="BY96" i="33"/>
  <c r="CH96" i="33"/>
  <c r="CK96" i="33"/>
  <c r="DY96" i="33"/>
  <c r="BY97" i="33"/>
  <c r="IX109" i="34"/>
  <c r="GO97" i="33"/>
  <c r="AT97" i="33"/>
  <c r="GH97" i="33"/>
  <c r="CA96" i="33"/>
  <c r="L16" i="17"/>
  <c r="AV97" i="33"/>
  <c r="EM96" i="33"/>
  <c r="EH97" i="33"/>
  <c r="F96" i="33"/>
  <c r="DH96" i="33"/>
  <c r="IX175" i="34"/>
  <c r="F94" i="28"/>
  <c r="JN5" i="34"/>
  <c r="CE97" i="33"/>
  <c r="EA96" i="33"/>
  <c r="IX166" i="34"/>
  <c r="GB96" i="33"/>
  <c r="M96" i="33"/>
  <c r="IX169" i="34"/>
  <c r="IX53" i="34"/>
  <c r="AN96" i="33"/>
  <c r="EK96" i="33"/>
  <c r="L111" i="28"/>
  <c r="L29" i="17"/>
  <c r="IX168" i="34"/>
  <c r="IX135" i="34"/>
  <c r="V97" i="33"/>
  <c r="H3" i="17"/>
  <c r="IX98" i="34"/>
  <c r="IX183" i="34"/>
  <c r="IX45" i="34"/>
  <c r="BT96" i="33"/>
  <c r="AV96" i="33"/>
  <c r="IX170" i="34"/>
  <c r="U97" i="33"/>
  <c r="IX99" i="34"/>
  <c r="EA97" i="33"/>
  <c r="IX50" i="34"/>
  <c r="IX101" i="34"/>
  <c r="IX145" i="34"/>
  <c r="CH97" i="33"/>
  <c r="IX42" i="34"/>
  <c r="FC96" i="33"/>
  <c r="IX154" i="34"/>
  <c r="FF96" i="33"/>
  <c r="IX134" i="34"/>
  <c r="CF96" i="33"/>
  <c r="DG96" i="33"/>
  <c r="L21" i="17"/>
  <c r="EN96" i="33"/>
  <c r="FY96" i="33"/>
  <c r="IX93" i="34"/>
  <c r="BG96" i="33"/>
  <c r="DE97" i="33"/>
  <c r="N96" i="33"/>
  <c r="D6" i="17"/>
  <c r="AK97" i="33"/>
  <c r="F98" i="28"/>
  <c r="CL96" i="33"/>
  <c r="EE97" i="33"/>
  <c r="IX73" i="34"/>
  <c r="H96" i="33"/>
  <c r="H97" i="33"/>
  <c r="EN97" i="33"/>
  <c r="IX85" i="34"/>
  <c r="DC96" i="33"/>
  <c r="IX83" i="34"/>
  <c r="FX96" i="33"/>
  <c r="IX181" i="34"/>
  <c r="BN96" i="33"/>
  <c r="AE96" i="33"/>
  <c r="O97" i="33"/>
  <c r="DT96" i="33"/>
  <c r="EL96" i="33"/>
  <c r="IX173" i="34"/>
  <c r="ED96" i="33"/>
  <c r="IX47" i="34"/>
  <c r="IX92" i="34"/>
  <c r="IX165" i="34"/>
  <c r="BA96" i="33"/>
  <c r="IX61" i="34"/>
  <c r="H29" i="17"/>
  <c r="FO96" i="33"/>
  <c r="FT96" i="33"/>
  <c r="FH96" i="33"/>
  <c r="IX112" i="34"/>
  <c r="IX48" i="34"/>
  <c r="DU97" i="33"/>
  <c r="IX171" i="34"/>
  <c r="FD96" i="33"/>
  <c r="FR97" i="33"/>
  <c r="BW97" i="33"/>
  <c r="IX51" i="34"/>
  <c r="IX137" i="34"/>
  <c r="BG97" i="33"/>
  <c r="IX84" i="34"/>
  <c r="BC97" i="33"/>
  <c r="L15" i="17"/>
  <c r="AM96" i="33"/>
  <c r="IX64" i="34"/>
  <c r="BV97" i="33"/>
  <c r="X97" i="33"/>
  <c r="IX59" i="34"/>
  <c r="IX72" i="34"/>
  <c r="F56" i="28"/>
  <c r="IX139" i="34"/>
  <c r="DP96" i="33"/>
  <c r="IX82" i="34"/>
  <c r="AE97" i="33"/>
  <c r="GD96" i="33"/>
  <c r="IX44" i="34"/>
  <c r="DK96" i="33"/>
  <c r="ER96" i="33"/>
  <c r="L17" i="17"/>
  <c r="FS96" i="33"/>
  <c r="AW96" i="33"/>
  <c r="AI96" i="33"/>
  <c r="B56" i="28"/>
  <c r="N4" i="34"/>
  <c r="IX186" i="34"/>
  <c r="IX62" i="34"/>
  <c r="FU97" i="33"/>
  <c r="IX103" i="34"/>
  <c r="FC97" i="33"/>
  <c r="EP96" i="33"/>
  <c r="F61" i="17"/>
  <c r="IX160" i="34"/>
  <c r="IX151" i="34"/>
  <c r="L20" i="17"/>
  <c r="IX58" i="34"/>
  <c r="IX110" i="34"/>
  <c r="DR96" i="33"/>
  <c r="IX161" i="34"/>
  <c r="DN97" i="33"/>
  <c r="DJ96" i="33"/>
  <c r="AL97" i="33"/>
  <c r="IX80" i="34"/>
  <c r="BR96" i="33"/>
  <c r="IX97" i="34"/>
  <c r="IX75" i="34"/>
  <c r="BM96" i="33"/>
  <c r="P96" i="33"/>
  <c r="Z96" i="33"/>
  <c r="FJ97" i="33"/>
  <c r="IX142" i="34"/>
  <c r="AQ96" i="33"/>
  <c r="BO97" i="33"/>
  <c r="DG97" i="33"/>
  <c r="IX68" i="34"/>
  <c r="DV96" i="33"/>
  <c r="IX167" i="34"/>
  <c r="FU96" i="33"/>
  <c r="FM97" i="33"/>
  <c r="IX49" i="34"/>
  <c r="H31" i="17"/>
  <c r="DH97" i="33"/>
  <c r="EJ97" i="33"/>
  <c r="FL97" i="33"/>
  <c r="IX96" i="34"/>
  <c r="IX118" i="34"/>
  <c r="GN96" i="33"/>
  <c r="DZ96" i="33"/>
  <c r="N15" i="13"/>
  <c r="N31" i="13"/>
  <c r="IX140" i="34"/>
  <c r="ER97" i="33"/>
  <c r="IX119" i="34"/>
  <c r="BK96" i="33"/>
  <c r="IX120" i="34"/>
  <c r="BT97" i="33"/>
  <c r="IX86" i="34"/>
  <c r="BS97" i="33"/>
  <c r="I96" i="33"/>
  <c r="IX115" i="34"/>
  <c r="IX106" i="34"/>
  <c r="H4" i="17"/>
  <c r="DR97" i="33"/>
  <c r="AF97" i="33"/>
  <c r="CV96" i="33"/>
  <c r="BB97" i="33"/>
  <c r="IX125" i="34"/>
  <c r="S96" i="33"/>
  <c r="EG97" i="33"/>
  <c r="Y96" i="33"/>
  <c r="FE97" i="33"/>
  <c r="IX143" i="34"/>
  <c r="EK97" i="33"/>
  <c r="S97" i="33"/>
  <c r="FW96" i="33"/>
  <c r="F99" i="28"/>
  <c r="FP96" i="33"/>
  <c r="IX133" i="34"/>
  <c r="GA96" i="33"/>
  <c r="F95" i="28"/>
  <c r="IX91" i="34"/>
  <c r="GI96" i="33"/>
  <c r="BM97" i="33"/>
  <c r="GG96" i="33"/>
  <c r="R97" i="33"/>
  <c r="IX136" i="34"/>
  <c r="BZ96" i="33"/>
  <c r="H30" i="17"/>
  <c r="P97" i="33"/>
  <c r="IX105" i="34"/>
  <c r="GF96" i="33"/>
  <c r="AA97" i="33"/>
  <c r="F70" i="28"/>
  <c r="IX152" i="34"/>
  <c r="CU96" i="33"/>
  <c r="EY96" i="33"/>
  <c r="T96" i="33"/>
  <c r="GK96" i="33"/>
  <c r="CF97" i="33"/>
  <c r="DP97" i="33"/>
  <c r="BH96" i="33"/>
  <c r="B57" i="28"/>
  <c r="I97" i="33"/>
  <c r="DD96" i="33"/>
  <c r="IX60" i="34"/>
  <c r="CP97" i="33"/>
  <c r="IX130" i="34"/>
  <c r="L18" i="17"/>
  <c r="DO97" i="33"/>
  <c r="GM96" i="33"/>
  <c r="CB97" i="33"/>
  <c r="DY97" i="33"/>
  <c r="CW97" i="33"/>
  <c r="JN13" i="34"/>
  <c r="F53" i="17"/>
  <c r="CU97" i="33"/>
  <c r="GE96" i="33"/>
  <c r="IX95" i="34"/>
  <c r="IX78" i="34"/>
  <c r="W97" i="33"/>
  <c r="FZ97" i="33"/>
  <c r="DM96" i="33"/>
  <c r="DF97" i="33"/>
  <c r="S57" i="17"/>
  <c r="IX54" i="34"/>
  <c r="FK97" i="33"/>
  <c r="IX63" i="34"/>
  <c r="IX126" i="34"/>
  <c r="BS96" i="33"/>
  <c r="CK97" i="33"/>
  <c r="K96" i="33"/>
  <c r="IX69" i="34"/>
  <c r="JN12" i="34"/>
  <c r="BL97" i="33"/>
  <c r="BE97" i="33"/>
  <c r="X96" i="33"/>
  <c r="BI96" i="33"/>
  <c r="FI96" i="33"/>
  <c r="EW96" i="33"/>
  <c r="GL97" i="33"/>
  <c r="N97" i="33"/>
  <c r="F71" i="28"/>
  <c r="N32" i="13"/>
  <c r="CY97" i="33"/>
  <c r="F3" i="17"/>
  <c r="IX55" i="34"/>
  <c r="FQ96" i="33"/>
  <c r="IX187" i="34"/>
  <c r="CZ97" i="33"/>
  <c r="BU97" i="33"/>
  <c r="AK96" i="33"/>
  <c r="CS96" i="33"/>
  <c r="EF96" i="33"/>
  <c r="ES97" i="33"/>
  <c r="EZ96" i="33"/>
  <c r="IX117" i="34"/>
  <c r="IX100" i="34"/>
  <c r="IX79" i="34"/>
  <c r="ES96" i="33"/>
  <c r="IX111" i="34"/>
  <c r="IX128" i="34"/>
  <c r="AT96" i="33"/>
  <c r="BA97" i="33"/>
  <c r="IX43" i="34"/>
  <c r="DO96" i="33"/>
  <c r="DA96" i="33"/>
  <c r="AA96" i="33"/>
  <c r="G97" i="33"/>
  <c r="AJ97" i="33"/>
  <c r="IX188" i="34"/>
  <c r="GI97" i="33"/>
  <c r="IX21" i="34" l="1"/>
  <c r="FS10" i="33"/>
  <c r="IX20" i="34"/>
  <c r="IX35" i="34"/>
  <c r="AA10" i="33"/>
  <c r="JO13" i="34"/>
  <c r="AK10" i="33"/>
  <c r="IX25" i="34"/>
  <c r="GB10" i="33"/>
  <c r="IX17" i="34"/>
  <c r="IX37" i="34"/>
  <c r="IX19" i="34"/>
  <c r="IX22" i="34"/>
  <c r="F10" i="33"/>
  <c r="CF10" i="33"/>
  <c r="AN10" i="33"/>
  <c r="JO12" i="34"/>
  <c r="AP10" i="33"/>
  <c r="L10" i="33"/>
  <c r="R10" i="33"/>
  <c r="DG10" i="33"/>
  <c r="AW10" i="33"/>
  <c r="AS10" i="33"/>
  <c r="DC10" i="33"/>
  <c r="CB10" i="33"/>
  <c r="CE10" i="33"/>
  <c r="IX36" i="34"/>
  <c r="IX31" i="34"/>
  <c r="GL10" i="33"/>
  <c r="DL10" i="33"/>
  <c r="IX26" i="34"/>
  <c r="GJ10" i="33"/>
  <c r="BO10" i="33"/>
  <c r="CQ10" i="33"/>
  <c r="BM10" i="33"/>
  <c r="FC10" i="33"/>
  <c r="AM10" i="33"/>
  <c r="CX10" i="33"/>
  <c r="BG10" i="33"/>
  <c r="IX12" i="34"/>
  <c r="DF10" i="33"/>
  <c r="BB10" i="33"/>
  <c r="AE10" i="33"/>
  <c r="FK10" i="33"/>
  <c r="CY10" i="33"/>
  <c r="EJ10" i="33"/>
  <c r="ES10" i="33"/>
  <c r="AX10" i="33"/>
  <c r="H10" i="33"/>
  <c r="K162" i="28"/>
  <c r="EK10" i="33"/>
  <c r="CC10" i="33"/>
  <c r="BY10" i="33"/>
  <c r="BJ10" i="33"/>
  <c r="IX179" i="34"/>
  <c r="FD10" i="33"/>
  <c r="AT10" i="33"/>
  <c r="IX18" i="34"/>
  <c r="IX28" i="34"/>
  <c r="IX9" i="34"/>
  <c r="W10" i="33"/>
  <c r="IX13" i="34"/>
  <c r="IX34" i="34"/>
  <c r="AJ10" i="33"/>
  <c r="IX7" i="34"/>
  <c r="CP10" i="33"/>
  <c r="BK10" i="33"/>
  <c r="K10" i="33"/>
  <c r="IX10" i="34"/>
  <c r="DO10" i="33"/>
  <c r="AV10" i="33"/>
  <c r="IX33" i="34"/>
  <c r="JO9" i="34"/>
  <c r="IX189" i="34"/>
  <c r="IX23" i="34"/>
  <c r="AG10" i="33"/>
  <c r="IX11" i="34"/>
  <c r="FT10" i="33"/>
  <c r="EE10" i="33"/>
  <c r="BW10" i="33"/>
  <c r="DR10" i="33"/>
  <c r="IX27" i="34"/>
  <c r="IX30" i="34"/>
  <c r="IX24" i="34"/>
  <c r="IX15" i="34"/>
  <c r="DY10" i="33"/>
  <c r="BA10" i="33"/>
  <c r="BE10" i="33"/>
  <c r="IX177" i="34"/>
  <c r="I10" i="33"/>
  <c r="IX32" i="34"/>
  <c r="AC10" i="33"/>
  <c r="CU10" i="33"/>
  <c r="AF10" i="33"/>
  <c r="T10" i="33"/>
  <c r="IX8" i="34"/>
  <c r="S10" i="33"/>
  <c r="V10" i="33"/>
  <c r="FE10" i="33"/>
  <c r="FL10" i="33"/>
  <c r="JO5" i="34"/>
  <c r="BN10" i="33"/>
  <c r="BT10" i="33"/>
  <c r="J10" i="33"/>
  <c r="DZ10" i="33"/>
  <c r="IX14" i="34"/>
  <c r="IX29" i="34"/>
  <c r="IX16" i="34"/>
  <c r="BV10" i="33"/>
  <c r="CH10" i="33"/>
  <c r="DH10" i="33"/>
  <c r="BS10" i="33"/>
  <c r="P10" i="33"/>
  <c r="X10" i="33"/>
  <c r="BF10" i="33"/>
  <c r="N10" i="33"/>
  <c r="ER10" i="33"/>
  <c r="GI17" i="33"/>
  <c r="GA16" i="33"/>
  <c r="GA17" i="33" s="1"/>
  <c r="B38" i="1"/>
  <c r="B39" i="1"/>
  <c r="IX190" i="34" l="1"/>
  <c r="IX38" i="34" s="1"/>
  <c r="IX4" i="34"/>
  <c r="IX6" i="34" s="1"/>
  <c r="O4" i="34"/>
  <c r="A4" i="1"/>
  <c r="A2" i="1" s="1"/>
  <c r="IX5" i="34" l="1"/>
  <c r="BK62" i="28"/>
  <c r="BK63" i="28"/>
  <c r="BK58" i="28"/>
  <c r="BK57" i="28"/>
  <c r="BK65" i="28"/>
  <c r="BK64" i="28"/>
  <c r="BK66" i="28"/>
  <c r="BL57" i="28" l="1"/>
  <c r="BL58" i="28"/>
  <c r="BL62" i="28"/>
  <c r="BL63" i="28"/>
  <c r="BL64" i="28"/>
  <c r="BL65" i="28"/>
  <c r="BL66" i="28"/>
  <c r="AE52" i="2"/>
  <c r="A1" i="2"/>
  <c r="DY20" i="33" l="1"/>
  <c r="FC20" i="33"/>
  <c r="FD20" i="33"/>
  <c r="AD20" i="33" l="1"/>
  <c r="AC20" i="33"/>
  <c r="BU23" i="33"/>
  <c r="FU9" i="33"/>
  <c r="GH9" i="33"/>
  <c r="GH12" i="33" l="1"/>
  <c r="FU11" i="33"/>
  <c r="FU12" i="33"/>
  <c r="GH11" i="33"/>
  <c r="GH15" i="33"/>
  <c r="FU15" i="33"/>
  <c r="FU16" i="33" l="1"/>
  <c r="FU17" i="33" s="1"/>
  <c r="GH16" i="33"/>
  <c r="GH17" i="33" s="1"/>
  <c r="FM9" i="33"/>
  <c r="FM15" i="33" l="1"/>
  <c r="FM12" i="33"/>
  <c r="FM11" i="33"/>
  <c r="FM16" i="33" l="1"/>
  <c r="FM17" i="33" s="1"/>
  <c r="O23" i="33" l="1"/>
  <c r="EL20" i="33"/>
  <c r="EG3" i="33" l="1"/>
  <c r="AH39" i="17"/>
  <c r="GR39" i="33"/>
  <c r="EA3" i="33"/>
  <c r="DM3" i="33"/>
  <c r="AH32" i="17"/>
  <c r="EL3" i="33"/>
  <c r="GR17" i="33"/>
  <c r="AH41" i="17" l="1"/>
  <c r="GU17" i="33"/>
  <c r="CB3" i="33"/>
  <c r="GU37" i="33"/>
  <c r="GR11" i="33"/>
  <c r="AH31" i="17"/>
  <c r="R111" i="28" l="1"/>
  <c r="S111" i="28" s="1"/>
  <c r="F35" i="28" l="1"/>
  <c r="AN20" i="33"/>
  <c r="GM20" i="33"/>
  <c r="AV20" i="33"/>
  <c r="CO20" i="33"/>
  <c r="FM14" i="33" l="1"/>
  <c r="GA14" i="33"/>
  <c r="N28" i="13"/>
  <c r="FU14" i="33"/>
  <c r="GI14" i="33"/>
  <c r="GH14" i="33"/>
  <c r="F48" i="1"/>
  <c r="N21" i="13"/>
  <c r="DN14" i="33"/>
  <c r="DP14" i="33"/>
  <c r="M7" i="3"/>
  <c r="G12" i="3" s="1"/>
  <c r="FV14" i="33"/>
  <c r="G27" i="3" l="1"/>
  <c r="D14" i="1"/>
  <c r="D112" i="12" l="1"/>
  <c r="E112" i="12" s="1"/>
  <c r="E111" i="12"/>
  <c r="JX58" i="34"/>
  <c r="NI87" i="34"/>
  <c r="ME138" i="34"/>
  <c r="PG187" i="34"/>
  <c r="OM57" i="34"/>
  <c r="OI121" i="34"/>
  <c r="JG153" i="34"/>
  <c r="NH107" i="34"/>
  <c r="PC60" i="34"/>
  <c r="MB90" i="34"/>
  <c r="ON103" i="34"/>
  <c r="PJ118" i="34"/>
  <c r="PZ131" i="34"/>
  <c r="OH82" i="34"/>
  <c r="MG56" i="34"/>
  <c r="PZ161" i="34"/>
  <c r="PA87" i="34"/>
  <c r="IU124" i="34"/>
  <c r="PY134" i="34"/>
  <c r="OJ175" i="34"/>
  <c r="MI120" i="34"/>
  <c r="OL175" i="34"/>
  <c r="NB73" i="34"/>
  <c r="LH152" i="34"/>
  <c r="LZ110" i="34"/>
  <c r="NL52" i="34"/>
  <c r="NO75" i="34"/>
  <c r="PB96" i="34"/>
  <c r="PX134" i="34"/>
  <c r="KL89" i="34"/>
  <c r="LZ95" i="34"/>
  <c r="KM173" i="34"/>
  <c r="PK145" i="34"/>
  <c r="NL125" i="34"/>
  <c r="MC68" i="34"/>
  <c r="KQ91" i="34"/>
  <c r="EB97" i="33"/>
  <c r="JG61" i="34"/>
  <c r="PC176" i="34"/>
  <c r="MB95" i="34"/>
  <c r="EJ71" i="34"/>
  <c r="OK157" i="34"/>
  <c r="NJ59" i="34"/>
  <c r="MA92" i="34"/>
  <c r="MK164" i="34"/>
  <c r="ND142" i="34"/>
  <c r="PF174" i="34"/>
  <c r="PD107" i="34"/>
  <c r="PX70" i="34"/>
  <c r="PH69" i="34"/>
  <c r="PH49" i="34"/>
  <c r="PD142" i="34"/>
  <c r="IU82" i="34"/>
  <c r="PZ172" i="34"/>
  <c r="OL78" i="34"/>
  <c r="NH139" i="34"/>
  <c r="MH119" i="34"/>
  <c r="LJ146" i="34"/>
  <c r="OM121" i="34"/>
  <c r="LX91" i="34"/>
  <c r="PE100" i="34"/>
  <c r="O96" i="33"/>
  <c r="OM132" i="34"/>
  <c r="PC65" i="34"/>
  <c r="PI97" i="34"/>
  <c r="OM188" i="34"/>
  <c r="PC83" i="34"/>
  <c r="MH70" i="34"/>
  <c r="PW79" i="34"/>
  <c r="PE74" i="34"/>
  <c r="MI111" i="34"/>
  <c r="OH121" i="34"/>
  <c r="NG82" i="34"/>
  <c r="PD50" i="34"/>
  <c r="OJ147" i="34"/>
  <c r="PJ74" i="34"/>
  <c r="ON70" i="34"/>
  <c r="NK156" i="34"/>
  <c r="LH65" i="34"/>
  <c r="NB112" i="34"/>
  <c r="PA99" i="34"/>
  <c r="OI158" i="34"/>
  <c r="PF142" i="34"/>
  <c r="JX140" i="34"/>
  <c r="NN173" i="34"/>
  <c r="MO54" i="34"/>
  <c r="PD55" i="34"/>
  <c r="PJ59" i="34"/>
  <c r="PB45" i="34"/>
  <c r="PI68" i="34"/>
  <c r="MG106" i="34"/>
  <c r="OI104" i="34"/>
  <c r="PY100" i="34"/>
  <c r="PH67" i="34"/>
  <c r="PX153" i="34"/>
  <c r="LW129" i="34"/>
  <c r="JG115" i="34"/>
  <c r="MB107" i="34"/>
  <c r="PG98" i="34"/>
  <c r="LB44" i="34"/>
  <c r="PC104" i="34"/>
  <c r="LB120" i="34"/>
  <c r="JU109" i="34"/>
  <c r="OM100" i="34"/>
  <c r="MG117" i="34"/>
  <c r="PC139" i="34"/>
  <c r="PK42" i="34"/>
  <c r="NJ109" i="34"/>
  <c r="MK141" i="34"/>
  <c r="PK181" i="34"/>
  <c r="PY158" i="34"/>
  <c r="NH173" i="34"/>
  <c r="PW92" i="34"/>
  <c r="NE151" i="34"/>
  <c r="NB168" i="34"/>
  <c r="MK153" i="34"/>
  <c r="NK122" i="34"/>
  <c r="KB85" i="34"/>
  <c r="MJ96" i="34"/>
  <c r="JC83" i="34"/>
  <c r="OI125" i="34"/>
  <c r="LW78" i="34"/>
  <c r="NP186" i="34"/>
  <c r="LW61" i="34"/>
  <c r="MK92" i="34"/>
  <c r="LY115" i="34"/>
  <c r="NP93" i="34"/>
  <c r="PW120" i="34"/>
  <c r="PC110" i="34"/>
  <c r="PZ174" i="34"/>
  <c r="MM85" i="34"/>
  <c r="PE165" i="34"/>
  <c r="PD167" i="34"/>
  <c r="JY109" i="34"/>
  <c r="PY155" i="34"/>
  <c r="IA60" i="34"/>
  <c r="PI187" i="34"/>
  <c r="NB53" i="34"/>
  <c r="PC167" i="34"/>
  <c r="PE66" i="34"/>
  <c r="MI172" i="34"/>
  <c r="PB152" i="34"/>
  <c r="OM96" i="34"/>
  <c r="PY54" i="34"/>
  <c r="MB59" i="34"/>
  <c r="MC121" i="34"/>
  <c r="PC142" i="34"/>
  <c r="OI137" i="34"/>
  <c r="NG120" i="34"/>
  <c r="JF73" i="34"/>
  <c r="PB98" i="34"/>
  <c r="PB188" i="34"/>
  <c r="LW162" i="34"/>
  <c r="PJ116" i="34"/>
  <c r="PE46" i="34"/>
  <c r="PF76" i="34"/>
  <c r="NJ120" i="34"/>
  <c r="PB107" i="34"/>
  <c r="G96" i="33"/>
  <c r="NK113" i="34"/>
  <c r="LI105" i="34"/>
  <c r="IY157" i="34"/>
  <c r="PZ58" i="34"/>
  <c r="OI96" i="34"/>
  <c r="PF163" i="34"/>
  <c r="PG70" i="34"/>
  <c r="PE124" i="34"/>
  <c r="PH169" i="34"/>
  <c r="AH97" i="33"/>
  <c r="OO67" i="34"/>
  <c r="LJ129" i="34"/>
  <c r="LW130" i="34"/>
  <c r="PC171" i="34"/>
  <c r="NE130" i="34"/>
  <c r="PG59" i="34"/>
  <c r="OK77" i="34"/>
  <c r="OH158" i="34"/>
  <c r="OI98" i="34"/>
  <c r="OJ99" i="34"/>
  <c r="PE131" i="34"/>
  <c r="NF128" i="34"/>
  <c r="PG153" i="34"/>
  <c r="PX152" i="34"/>
  <c r="NK117" i="34"/>
  <c r="GF97" i="33"/>
  <c r="NC142" i="34"/>
  <c r="ML83" i="34"/>
  <c r="OK47" i="34"/>
  <c r="MH158" i="34"/>
  <c r="LG145" i="34"/>
  <c r="NE57" i="34"/>
  <c r="PB110" i="34"/>
  <c r="PE142" i="34"/>
  <c r="PC86" i="34"/>
  <c r="LW127" i="34"/>
  <c r="OM163" i="34"/>
  <c r="PK170" i="34"/>
  <c r="OL105" i="34"/>
  <c r="NG62" i="34"/>
  <c r="PF162" i="34"/>
  <c r="NK162" i="34"/>
  <c r="NJ162" i="34"/>
  <c r="S142" i="23"/>
  <c r="PG158" i="34"/>
  <c r="NL117" i="34"/>
  <c r="LY82" i="34"/>
  <c r="LH79" i="34"/>
  <c r="OI108" i="34"/>
  <c r="PA147" i="34"/>
  <c r="PB75" i="34"/>
  <c r="LY102" i="34"/>
  <c r="NK99" i="34"/>
  <c r="MH164" i="34"/>
  <c r="PJ90" i="34"/>
  <c r="JG118" i="34"/>
  <c r="PF106" i="34"/>
  <c r="PB69" i="34"/>
  <c r="PW186" i="34"/>
  <c r="OO134" i="34"/>
  <c r="JX48" i="34"/>
  <c r="PH84" i="34"/>
  <c r="LF111" i="34"/>
  <c r="PZ94" i="34"/>
  <c r="MK81" i="34"/>
  <c r="PD157" i="34"/>
  <c r="LY53" i="34"/>
  <c r="PG61" i="34"/>
  <c r="PX107" i="34"/>
  <c r="OH103" i="34"/>
  <c r="NN77" i="34"/>
  <c r="LB100" i="34"/>
  <c r="MC150" i="34"/>
  <c r="OK106" i="34"/>
  <c r="NG47" i="34"/>
  <c r="NE105" i="34"/>
  <c r="HH103" i="34"/>
  <c r="LX128" i="34"/>
  <c r="LD83" i="34"/>
  <c r="IZ183" i="34"/>
  <c r="MD44" i="34"/>
  <c r="PK83" i="34"/>
  <c r="PB124" i="34"/>
  <c r="LA57" i="34"/>
  <c r="LB181" i="34"/>
  <c r="PE78" i="34"/>
  <c r="LG139" i="34"/>
  <c r="FT99" i="34"/>
  <c r="LW41" i="34"/>
  <c r="EJ43" i="34"/>
  <c r="KL134" i="34"/>
  <c r="MI110" i="34"/>
  <c r="PK137" i="34"/>
  <c r="PI121" i="34"/>
  <c r="PK52" i="34"/>
  <c r="MI60" i="34"/>
  <c r="PZ106" i="34"/>
  <c r="LW150" i="34"/>
  <c r="ND47" i="34"/>
  <c r="NA116" i="34"/>
  <c r="NI121" i="34"/>
  <c r="PG139" i="34"/>
  <c r="PJ163" i="34"/>
  <c r="NP148" i="34"/>
  <c r="PY154" i="34"/>
  <c r="OM108" i="34"/>
  <c r="LX51" i="34"/>
  <c r="NN41" i="34"/>
  <c r="PW70" i="34"/>
  <c r="NA141" i="34"/>
  <c r="OJ60" i="34"/>
  <c r="PC50" i="34"/>
  <c r="MJ82" i="34"/>
  <c r="PH79" i="34"/>
  <c r="PG75" i="34"/>
  <c r="OI115" i="34"/>
  <c r="AD96" i="33"/>
  <c r="OM173" i="34"/>
  <c r="PE141" i="34"/>
  <c r="PD78" i="34"/>
  <c r="PD150" i="34"/>
  <c r="OH175" i="34"/>
  <c r="MC119" i="34"/>
  <c r="PJ84" i="34"/>
  <c r="IY48" i="34"/>
  <c r="LG158" i="34"/>
  <c r="IE95" i="34"/>
  <c r="PG116" i="34"/>
  <c r="PF52" i="34"/>
  <c r="LG117" i="34"/>
  <c r="OL121" i="34"/>
  <c r="PE47" i="34"/>
  <c r="NA169" i="34"/>
  <c r="LW188" i="34"/>
  <c r="LD128" i="34"/>
  <c r="MI105" i="34"/>
  <c r="PY132" i="34"/>
  <c r="PX82" i="34"/>
  <c r="PB127" i="34"/>
  <c r="NA77" i="34"/>
  <c r="LA98" i="34"/>
  <c r="MB73" i="34"/>
  <c r="PK153" i="34"/>
  <c r="PA91" i="34"/>
  <c r="NJ100" i="34"/>
  <c r="OH111" i="34"/>
  <c r="PG126" i="34"/>
  <c r="MJ43" i="34"/>
  <c r="PA78" i="34"/>
  <c r="PG88" i="34"/>
  <c r="ME51" i="34"/>
  <c r="PE164" i="34"/>
  <c r="NO155" i="34"/>
  <c r="PG107" i="34"/>
  <c r="OK169" i="34"/>
  <c r="OI162" i="34"/>
  <c r="NE131" i="34"/>
  <c r="OH98" i="34"/>
  <c r="PB130" i="34"/>
  <c r="LC133" i="34"/>
  <c r="HE58" i="34"/>
  <c r="MB55" i="34"/>
  <c r="PA82" i="34"/>
  <c r="OH166" i="34"/>
  <c r="OJ106" i="34"/>
  <c r="MI44" i="34"/>
  <c r="KQ125" i="34"/>
  <c r="LE118" i="34"/>
  <c r="NL145" i="34"/>
  <c r="MM94" i="34"/>
  <c r="PK135" i="34"/>
  <c r="PY88" i="34"/>
  <c r="PX171" i="34"/>
  <c r="PZ66" i="34"/>
  <c r="PK124" i="34"/>
  <c r="MH153" i="34"/>
  <c r="PK88" i="34"/>
  <c r="MH135" i="34"/>
  <c r="MI51" i="34"/>
  <c r="KO80" i="34"/>
  <c r="PW119" i="34"/>
  <c r="NF69" i="34"/>
  <c r="MK50" i="34"/>
  <c r="LW118" i="34"/>
  <c r="PG100" i="34"/>
  <c r="ON137" i="34"/>
  <c r="PW131" i="34"/>
  <c r="MN48" i="34"/>
  <c r="MG76" i="34"/>
  <c r="PZ56" i="34"/>
  <c r="BU96" i="33"/>
  <c r="PK73" i="34"/>
  <c r="LW70" i="34"/>
  <c r="PK176" i="34"/>
  <c r="PH78" i="34"/>
  <c r="LX148" i="34"/>
  <c r="PK100" i="34"/>
  <c r="MH88" i="34"/>
  <c r="PD96" i="34"/>
  <c r="MI59" i="34"/>
  <c r="PE82" i="34"/>
  <c r="ND188" i="34"/>
  <c r="MH46" i="34"/>
  <c r="PJ137" i="34"/>
  <c r="PD59" i="34"/>
  <c r="PD64" i="34"/>
  <c r="JZ119" i="34"/>
  <c r="PA133" i="34"/>
  <c r="NP69" i="34"/>
  <c r="PE95" i="34"/>
  <c r="PH83" i="34"/>
  <c r="IC134" i="34"/>
  <c r="NN54" i="34"/>
  <c r="HN11" i="34"/>
  <c r="OK183" i="34"/>
  <c r="PY171" i="34"/>
  <c r="NI160" i="34"/>
  <c r="PW104" i="34"/>
  <c r="PX162" i="34"/>
  <c r="JF85" i="34"/>
  <c r="KP88" i="34"/>
  <c r="LW142" i="34"/>
  <c r="PI140" i="34"/>
  <c r="PF74" i="34"/>
  <c r="NN81" i="34"/>
  <c r="PH156" i="34"/>
  <c r="EK88" i="34"/>
  <c r="NN113" i="34"/>
  <c r="PZ169" i="34"/>
  <c r="MH116" i="34"/>
  <c r="MD128" i="34"/>
  <c r="OL133" i="34"/>
  <c r="PW75" i="34"/>
  <c r="PB55" i="34"/>
  <c r="PF146" i="34"/>
  <c r="PA84" i="34"/>
  <c r="BI97" i="33"/>
  <c r="MH92" i="34"/>
  <c r="OK85" i="34"/>
  <c r="LD79" i="34"/>
  <c r="IS71" i="34"/>
  <c r="NE81" i="34"/>
  <c r="NG54" i="34"/>
  <c r="NP85" i="34"/>
  <c r="MI97" i="34"/>
  <c r="OM88" i="34"/>
  <c r="NI55" i="34"/>
  <c r="IU147" i="34"/>
  <c r="PW65" i="34"/>
  <c r="NM62" i="34"/>
  <c r="PJ174" i="34"/>
  <c r="PX52" i="34"/>
  <c r="ND63" i="34"/>
  <c r="PF51" i="34"/>
  <c r="NN72" i="34"/>
  <c r="NG45" i="34"/>
  <c r="OJ52" i="34"/>
  <c r="PD160" i="34"/>
  <c r="PH76" i="34"/>
  <c r="PH186" i="34"/>
  <c r="PY167" i="34"/>
  <c r="PI89" i="34"/>
  <c r="KO71" i="34"/>
  <c r="OI54" i="34"/>
  <c r="NE173" i="34"/>
  <c r="MI82" i="34"/>
  <c r="NK63" i="34"/>
  <c r="PX150" i="34"/>
  <c r="OM101" i="34"/>
  <c r="NP159" i="34"/>
  <c r="PB61" i="34"/>
  <c r="MG110" i="34"/>
  <c r="PK49" i="34"/>
  <c r="PC95" i="34"/>
  <c r="OJ161" i="34"/>
  <c r="NC158" i="34"/>
  <c r="PE138" i="34"/>
  <c r="PC170" i="34"/>
  <c r="CV97" i="33"/>
  <c r="PI55" i="34"/>
  <c r="OO138" i="34"/>
  <c r="NH82" i="34"/>
  <c r="FP147" i="34"/>
  <c r="AV135" i="34"/>
  <c r="NI46" i="34"/>
  <c r="PA178" i="34"/>
  <c r="PH103" i="34"/>
  <c r="JY123" i="34"/>
  <c r="PH122" i="34"/>
  <c r="NG112" i="34"/>
  <c r="PJ86" i="34"/>
  <c r="LK70" i="34"/>
  <c r="AS163" i="34"/>
  <c r="KL76" i="34"/>
  <c r="PC119" i="34"/>
  <c r="LE167" i="34"/>
  <c r="PW117" i="34"/>
  <c r="MI130" i="34"/>
  <c r="PA62" i="34"/>
  <c r="MH136" i="34"/>
  <c r="NO113" i="34"/>
  <c r="PE159" i="34"/>
  <c r="PG66" i="34"/>
  <c r="NL86" i="34"/>
  <c r="LA96" i="34"/>
  <c r="IU155" i="34"/>
  <c r="PE65" i="34"/>
  <c r="ON111" i="34"/>
  <c r="PB53" i="34"/>
  <c r="NH130" i="34"/>
  <c r="NH74" i="34"/>
  <c r="PX146" i="34"/>
  <c r="PC163" i="34"/>
  <c r="PD147" i="34"/>
  <c r="OI131" i="34"/>
  <c r="OO171" i="34"/>
  <c r="PY82" i="34"/>
  <c r="MH69" i="34"/>
  <c r="IB77" i="34"/>
  <c r="MA148" i="34"/>
  <c r="NE188" i="34"/>
  <c r="PY135" i="34"/>
  <c r="PW73" i="34"/>
  <c r="ON131" i="34"/>
  <c r="KM61" i="34"/>
  <c r="MK169" i="34"/>
  <c r="PX139" i="34"/>
  <c r="LA82" i="34"/>
  <c r="PI105" i="34"/>
  <c r="NP116" i="34"/>
  <c r="PJ102" i="34"/>
  <c r="LW92" i="34"/>
  <c r="JD128" i="34"/>
  <c r="LG93" i="34"/>
  <c r="NN58" i="34"/>
  <c r="PB100" i="34"/>
  <c r="LX117" i="34"/>
  <c r="PJ68" i="34"/>
  <c r="MK98" i="34"/>
  <c r="CG147" i="34"/>
  <c r="NJ157" i="34"/>
  <c r="PE101" i="34"/>
  <c r="LW166" i="34"/>
  <c r="PA125" i="34"/>
  <c r="MB72" i="34"/>
  <c r="OJ64" i="34"/>
  <c r="IW120" i="34"/>
  <c r="MC153" i="34"/>
  <c r="NH136" i="34"/>
  <c r="PF63" i="34"/>
  <c r="OJ82" i="34"/>
  <c r="PY72" i="34"/>
  <c r="OH169" i="34"/>
  <c r="PK65" i="34"/>
  <c r="PI120" i="34"/>
  <c r="IU183" i="34"/>
  <c r="NO109" i="34"/>
  <c r="BQ163" i="34"/>
  <c r="MA90" i="34"/>
  <c r="IU123" i="34"/>
  <c r="NP120" i="34"/>
  <c r="HN12" i="34"/>
  <c r="PZ90" i="34"/>
  <c r="MI166" i="34"/>
  <c r="NB74" i="34"/>
  <c r="JA183" i="34"/>
  <c r="NN171" i="34"/>
  <c r="OH105" i="34"/>
  <c r="NG119" i="34"/>
  <c r="CJ70" i="34"/>
  <c r="MI48" i="34"/>
  <c r="KQ61" i="34"/>
  <c r="OK107" i="34"/>
  <c r="LW148" i="34"/>
  <c r="PA67" i="34"/>
  <c r="LW80" i="34"/>
  <c r="PK159" i="34"/>
  <c r="ON126" i="34"/>
  <c r="PB132" i="34"/>
  <c r="NI58" i="34"/>
  <c r="PC186" i="34"/>
  <c r="OK138" i="34"/>
  <c r="OM107" i="34"/>
  <c r="NN69" i="34"/>
  <c r="PX58" i="34"/>
  <c r="ON50" i="34"/>
  <c r="PH63" i="34"/>
  <c r="JW168" i="34"/>
  <c r="MK64" i="34"/>
  <c r="PB144" i="34"/>
  <c r="NB133" i="34"/>
  <c r="IV96" i="34"/>
  <c r="PH174" i="34"/>
  <c r="MG154" i="34"/>
  <c r="PW139" i="34"/>
  <c r="PJ57" i="34"/>
  <c r="OI134" i="34"/>
  <c r="OH71" i="34"/>
  <c r="PK46" i="34"/>
  <c r="PC97" i="34"/>
  <c r="MC101" i="34"/>
  <c r="PA112" i="34"/>
  <c r="ND168" i="34"/>
  <c r="MI170" i="34"/>
  <c r="CW96" i="33"/>
  <c r="JX78" i="34"/>
  <c r="PA54" i="34"/>
  <c r="PH132" i="34"/>
  <c r="PE79" i="34"/>
  <c r="PG52" i="34"/>
  <c r="OI117" i="34"/>
  <c r="PK157" i="34"/>
  <c r="MH98" i="34"/>
  <c r="MF169" i="34"/>
  <c r="ON140" i="34"/>
  <c r="NG122" i="34"/>
  <c r="OH61" i="34"/>
  <c r="OJ102" i="34"/>
  <c r="PK77" i="34"/>
  <c r="PF126" i="34"/>
  <c r="KQ89" i="34"/>
  <c r="IY116" i="34"/>
  <c r="PI107" i="34"/>
  <c r="MA173" i="34"/>
  <c r="KP89" i="34"/>
  <c r="PJ131" i="34"/>
  <c r="PZ157" i="34"/>
  <c r="PH46" i="34"/>
  <c r="PA162" i="34"/>
  <c r="LJ44" i="34"/>
  <c r="LW46" i="34"/>
  <c r="PE167" i="34"/>
  <c r="NC101" i="34"/>
  <c r="OK42" i="34"/>
  <c r="PG143" i="34"/>
  <c r="PI63" i="34"/>
  <c r="OO72" i="34"/>
  <c r="OL96" i="34"/>
  <c r="ND186" i="34"/>
  <c r="LZ136" i="34"/>
  <c r="PI141" i="34"/>
  <c r="MK62" i="34"/>
  <c r="PJ122" i="34"/>
  <c r="CK151" i="34"/>
  <c r="MB94" i="34"/>
  <c r="OJ133" i="34"/>
  <c r="NB117" i="34"/>
  <c r="JV59" i="34"/>
  <c r="MB45" i="34"/>
  <c r="PF83" i="34"/>
  <c r="PY161" i="34"/>
  <c r="PB122" i="34"/>
  <c r="MA146" i="34"/>
  <c r="PX71" i="34"/>
  <c r="PZ102" i="34"/>
  <c r="PJ188" i="34"/>
  <c r="OI118" i="34"/>
  <c r="OO45" i="34"/>
  <c r="PF165" i="34"/>
  <c r="PK97" i="34"/>
  <c r="PG124" i="34"/>
  <c r="PJ73" i="34"/>
  <c r="OK117" i="34"/>
  <c r="MH155" i="34"/>
  <c r="MA67" i="34"/>
  <c r="LK68" i="34"/>
  <c r="MO117" i="34"/>
  <c r="PH66" i="34"/>
  <c r="LF61" i="34"/>
  <c r="OK66" i="34"/>
  <c r="PC102" i="34"/>
  <c r="LW164" i="34"/>
  <c r="MG148" i="34"/>
  <c r="OH66" i="34"/>
  <c r="EB148" i="34"/>
  <c r="NF157" i="34"/>
  <c r="IU102" i="34"/>
  <c r="AY97" i="33"/>
  <c r="NE59" i="34"/>
  <c r="PC98" i="34"/>
  <c r="NN57" i="34"/>
  <c r="MF75" i="34"/>
  <c r="PI57" i="34"/>
  <c r="PD91" i="34"/>
  <c r="NC176" i="34"/>
  <c r="MC85" i="34"/>
  <c r="EF97" i="33"/>
  <c r="PY106" i="34"/>
  <c r="PX113" i="34"/>
  <c r="NM44" i="34"/>
  <c r="LH71" i="34"/>
  <c r="NK73" i="34"/>
  <c r="OK181" i="34"/>
  <c r="PA47" i="34"/>
  <c r="PC138" i="34"/>
  <c r="LW47" i="34"/>
  <c r="PC181" i="34"/>
  <c r="NM157" i="34"/>
  <c r="LF43" i="34"/>
  <c r="NJ113" i="34"/>
  <c r="PG45" i="34"/>
  <c r="PH93" i="34"/>
  <c r="JT50" i="34"/>
  <c r="PW57" i="34"/>
  <c r="PZ163" i="34"/>
  <c r="PB125" i="34"/>
  <c r="MO87" i="34"/>
  <c r="PX151" i="34"/>
  <c r="DY56" i="34"/>
  <c r="PC85" i="34"/>
  <c r="OO119" i="34"/>
  <c r="NG147" i="34"/>
  <c r="ND121" i="34"/>
  <c r="PD136" i="34"/>
  <c r="PJ136" i="34"/>
  <c r="PA165" i="34"/>
  <c r="FH97" i="33"/>
  <c r="LB53" i="34"/>
  <c r="PW156" i="34"/>
  <c r="KL122" i="34"/>
  <c r="PD158" i="34"/>
  <c r="LB65" i="34"/>
  <c r="PJ103" i="34"/>
  <c r="LB85" i="34"/>
  <c r="PX149" i="34"/>
  <c r="OO69" i="34"/>
  <c r="OM71" i="34"/>
  <c r="PH72" i="34"/>
  <c r="MM77" i="34"/>
  <c r="OJ165" i="34"/>
  <c r="PG62" i="34"/>
  <c r="PE135" i="34"/>
  <c r="OO54" i="34"/>
  <c r="PB83" i="34"/>
  <c r="NK86" i="34"/>
  <c r="PJ125" i="34"/>
  <c r="PY62" i="34"/>
  <c r="PE58" i="34"/>
  <c r="HZ117" i="34"/>
  <c r="GG97" i="33"/>
  <c r="MA122" i="34"/>
  <c r="PE181" i="34"/>
  <c r="OI50" i="34"/>
  <c r="LA159" i="34"/>
  <c r="NA129" i="34"/>
  <c r="PY163" i="34"/>
  <c r="NI153" i="34"/>
  <c r="MK119" i="34"/>
  <c r="CN90" i="34"/>
  <c r="IU57" i="34"/>
  <c r="PX84" i="34"/>
  <c r="LW159" i="34"/>
  <c r="PH42" i="34"/>
  <c r="MD125" i="34"/>
  <c r="PB92" i="34"/>
  <c r="PF68" i="34"/>
  <c r="OI129" i="34"/>
  <c r="PB41" i="34"/>
  <c r="OK55" i="34"/>
  <c r="PH123" i="34"/>
  <c r="OO43" i="34"/>
  <c r="PX62" i="34"/>
  <c r="IU116" i="34"/>
  <c r="LW168" i="34"/>
  <c r="PA86" i="34"/>
  <c r="OL74" i="34"/>
  <c r="JG173" i="34"/>
  <c r="MC42" i="34"/>
  <c r="MI81" i="34"/>
  <c r="OH168" i="34"/>
  <c r="PD63" i="34"/>
  <c r="PF64" i="34"/>
  <c r="OM48" i="34"/>
  <c r="KA54" i="34"/>
  <c r="NB94" i="34"/>
  <c r="ON113" i="34"/>
  <c r="PE125" i="34"/>
  <c r="MH124" i="34"/>
  <c r="PG51" i="34"/>
  <c r="PD60" i="34"/>
  <c r="ON146" i="34"/>
  <c r="OM160" i="34"/>
  <c r="PI56" i="34"/>
  <c r="PW60" i="34"/>
  <c r="PW181" i="34"/>
  <c r="PG90" i="34"/>
  <c r="OH143" i="34"/>
  <c r="PD110" i="34"/>
  <c r="PG132" i="34"/>
  <c r="NL188" i="34"/>
  <c r="ON147" i="34"/>
  <c r="MF126" i="34"/>
  <c r="MD121" i="34"/>
  <c r="MH110" i="34"/>
  <c r="KM66" i="34"/>
  <c r="OM106" i="34"/>
  <c r="PX125" i="34"/>
  <c r="NA140" i="34"/>
  <c r="NA147" i="34"/>
  <c r="OO73" i="34"/>
  <c r="LJ140" i="34"/>
  <c r="NM53" i="34"/>
  <c r="LI60" i="34"/>
  <c r="OI138" i="34"/>
  <c r="PI44" i="34"/>
  <c r="OJ136" i="34"/>
  <c r="LW73" i="34"/>
  <c r="JH43" i="34"/>
  <c r="LD135" i="34"/>
  <c r="LW54" i="34"/>
  <c r="NB89" i="34"/>
  <c r="OK133" i="34"/>
  <c r="PK99" i="34"/>
  <c r="PX105" i="34"/>
  <c r="LA164" i="34"/>
  <c r="MM82" i="34"/>
  <c r="MM128" i="34"/>
  <c r="OJ123" i="34"/>
  <c r="NJ47" i="34"/>
  <c r="PD164" i="34"/>
  <c r="NK131" i="34"/>
  <c r="NK51" i="34"/>
  <c r="OK164" i="34"/>
  <c r="OJ160" i="34"/>
  <c r="OH92" i="34"/>
  <c r="PH98" i="34"/>
  <c r="PK163" i="34"/>
  <c r="PD153" i="34"/>
  <c r="NC137" i="34"/>
  <c r="OL61" i="34"/>
  <c r="MG104" i="34"/>
  <c r="LI50" i="34"/>
  <c r="FR136" i="34"/>
  <c r="NL172" i="34"/>
  <c r="NH172" i="34"/>
  <c r="NE99" i="34"/>
  <c r="PZ112" i="34"/>
  <c r="ML151" i="34"/>
  <c r="NP102" i="34"/>
  <c r="PA41" i="34"/>
  <c r="OH148" i="34"/>
  <c r="PH45" i="34"/>
  <c r="PY144" i="34"/>
  <c r="PD108" i="34"/>
  <c r="JC147" i="34"/>
  <c r="OO117" i="34"/>
  <c r="EG51" i="34"/>
  <c r="PD137" i="34"/>
  <c r="FA96" i="33"/>
  <c r="NF50" i="34"/>
  <c r="PI145" i="34"/>
  <c r="PA166" i="34"/>
  <c r="NG171" i="34"/>
  <c r="PH135" i="34"/>
  <c r="PI70" i="34"/>
  <c r="LY149" i="34"/>
  <c r="PD75" i="34"/>
  <c r="PA169" i="34"/>
  <c r="MH181" i="34"/>
  <c r="PJ126" i="34"/>
  <c r="PW110" i="34"/>
  <c r="OJ61" i="34"/>
  <c r="PK105" i="34"/>
  <c r="PF60" i="34"/>
  <c r="EX96" i="34"/>
  <c r="MO70" i="34"/>
  <c r="OL98" i="34"/>
  <c r="BC96" i="33"/>
  <c r="LD66" i="34"/>
  <c r="MI121" i="34"/>
  <c r="NF78" i="34"/>
  <c r="PJ78" i="34"/>
  <c r="PA92" i="34"/>
  <c r="OM153" i="34"/>
  <c r="PC141" i="34"/>
  <c r="GO87" i="34"/>
  <c r="PA128" i="34"/>
  <c r="NL42" i="34"/>
  <c r="PJ120" i="34"/>
  <c r="PE59" i="34"/>
  <c r="PB162" i="34"/>
  <c r="MC168" i="34"/>
  <c r="NO69" i="34"/>
  <c r="ND143" i="34"/>
  <c r="PG115" i="34"/>
  <c r="PW51" i="34"/>
  <c r="PK168" i="34"/>
  <c r="PE156" i="34"/>
  <c r="IU169" i="34"/>
  <c r="PF82" i="34"/>
  <c r="GK47" i="34"/>
  <c r="ON83" i="34"/>
  <c r="PW170" i="34"/>
  <c r="PE84" i="34"/>
  <c r="PI160" i="34"/>
  <c r="PD165" i="34"/>
  <c r="NO45" i="34"/>
  <c r="PZ181" i="34"/>
  <c r="MH75" i="34"/>
  <c r="OL127" i="34"/>
  <c r="OH136" i="34"/>
  <c r="PC136" i="34"/>
  <c r="DD97" i="33"/>
  <c r="NN138" i="34"/>
  <c r="PW49" i="34"/>
  <c r="PW103" i="34"/>
  <c r="PB123" i="34"/>
  <c r="NM121" i="34"/>
  <c r="KM50" i="34"/>
  <c r="PE93" i="34"/>
  <c r="PE88" i="34"/>
  <c r="PB111" i="34"/>
  <c r="MM155" i="34"/>
  <c r="PD58" i="34"/>
  <c r="MN105" i="34"/>
  <c r="JY160" i="34"/>
  <c r="OL164" i="34"/>
  <c r="LX59" i="34"/>
  <c r="NC143" i="34"/>
  <c r="IY88" i="34"/>
  <c r="PD106" i="34"/>
  <c r="MH152" i="34"/>
  <c r="NL164" i="34"/>
  <c r="PY162" i="34"/>
  <c r="NA47" i="34"/>
  <c r="EY148" i="34"/>
  <c r="LE66" i="34"/>
  <c r="NA65" i="34"/>
  <c r="NM80" i="34"/>
  <c r="JF100" i="34"/>
  <c r="PJ121" i="34"/>
  <c r="PY98" i="34"/>
  <c r="MG70" i="34"/>
  <c r="NP161" i="34"/>
  <c r="PD154" i="34"/>
  <c r="OO127" i="34"/>
  <c r="PB64" i="34"/>
  <c r="NJ128" i="34"/>
  <c r="OH144" i="34"/>
  <c r="PZ117" i="34"/>
  <c r="PI148" i="34"/>
  <c r="PA43" i="34"/>
  <c r="PH148" i="34"/>
  <c r="MO81" i="34"/>
  <c r="PJ91" i="34"/>
  <c r="PK142" i="34"/>
  <c r="PH128" i="34"/>
  <c r="LW134" i="34"/>
  <c r="NG42" i="34"/>
  <c r="IR174" i="34"/>
  <c r="LK183" i="34"/>
  <c r="PC53" i="34"/>
  <c r="PE97" i="34"/>
  <c r="PW162" i="34"/>
  <c r="GP81" i="34"/>
  <c r="OJ181" i="34"/>
  <c r="NE186" i="34"/>
  <c r="MC97" i="34"/>
  <c r="HE164" i="34"/>
  <c r="PK121" i="34"/>
  <c r="MC63" i="34"/>
  <c r="PB153" i="34"/>
  <c r="OL91" i="34"/>
  <c r="OO55" i="34"/>
  <c r="OM98" i="34"/>
  <c r="PE121" i="34"/>
  <c r="NE119" i="34"/>
  <c r="PH187" i="34"/>
  <c r="PG133" i="34"/>
  <c r="NC67" i="34"/>
  <c r="PJ178" i="34"/>
  <c r="JE64" i="34"/>
  <c r="FI97" i="33"/>
  <c r="PA132" i="34"/>
  <c r="PA107" i="34"/>
  <c r="LC170" i="34"/>
  <c r="OI157" i="34"/>
  <c r="MK147" i="34"/>
  <c r="PG102" i="34"/>
  <c r="PB95" i="34"/>
  <c r="OK131" i="34"/>
  <c r="PY181" i="34"/>
  <c r="PZ121" i="34"/>
  <c r="NA145" i="34"/>
  <c r="PI159" i="34"/>
  <c r="PI66" i="34"/>
  <c r="PC62" i="34"/>
  <c r="PI41" i="34"/>
  <c r="IY158" i="34"/>
  <c r="NO115" i="34"/>
  <c r="BN123" i="34"/>
  <c r="PF147" i="34"/>
  <c r="PF84" i="34"/>
  <c r="MJ148" i="34"/>
  <c r="NH175" i="34"/>
  <c r="PK123" i="34"/>
  <c r="MM174" i="34"/>
  <c r="PK74" i="34"/>
  <c r="MH128" i="34"/>
  <c r="MM163" i="34"/>
  <c r="OM162" i="34"/>
  <c r="OI161" i="34"/>
  <c r="HX83" i="34"/>
  <c r="KM145" i="34"/>
  <c r="FQ97" i="33"/>
  <c r="NK83" i="34"/>
  <c r="PW82" i="34"/>
  <c r="JH86" i="34"/>
  <c r="NG99" i="34"/>
  <c r="PZ44" i="34"/>
  <c r="PK108" i="34"/>
  <c r="EI134" i="34"/>
  <c r="PC169" i="34"/>
  <c r="NC76" i="34"/>
  <c r="PG82" i="34"/>
  <c r="PD187" i="34"/>
  <c r="NB66" i="34"/>
  <c r="OO154" i="34"/>
  <c r="LJ87" i="34"/>
  <c r="PX89" i="34"/>
  <c r="PC168" i="34"/>
  <c r="HF133" i="34"/>
  <c r="NP65" i="34"/>
  <c r="NG153" i="34"/>
  <c r="IY50" i="34"/>
  <c r="PX98" i="34"/>
  <c r="PJ88" i="34"/>
  <c r="LK170" i="34"/>
  <c r="MB157" i="34"/>
  <c r="LW86" i="34"/>
  <c r="PI69" i="34"/>
  <c r="NN63" i="34"/>
  <c r="NJ117" i="34"/>
  <c r="PH115" i="34"/>
  <c r="PB108" i="34"/>
  <c r="ML46" i="34"/>
  <c r="MJ121" i="34"/>
  <c r="OI76" i="34"/>
  <c r="JE56" i="34"/>
  <c r="FO97" i="33"/>
  <c r="JY137" i="34"/>
  <c r="PB170" i="34"/>
  <c r="LX85" i="34"/>
  <c r="LE97" i="34"/>
  <c r="PI103" i="34"/>
  <c r="NK91" i="34"/>
  <c r="MC183" i="34"/>
  <c r="NF144" i="34"/>
  <c r="NF162" i="34"/>
  <c r="PI158" i="34"/>
  <c r="PE183" i="34"/>
  <c r="NA122" i="34"/>
  <c r="JX85" i="34"/>
  <c r="PZ76" i="34"/>
  <c r="ND181" i="34"/>
  <c r="HU169" i="34"/>
  <c r="NP98" i="34"/>
  <c r="LB168" i="34"/>
  <c r="MI133" i="34"/>
  <c r="PI75" i="34"/>
  <c r="EG96" i="33"/>
  <c r="PX93" i="34"/>
  <c r="PI150" i="34"/>
  <c r="PE109" i="34"/>
  <c r="PW113" i="34"/>
  <c r="PC99" i="34"/>
  <c r="KC97" i="34"/>
  <c r="MA127" i="34"/>
  <c r="MC106" i="34"/>
  <c r="LI58" i="34"/>
  <c r="OK62" i="34"/>
  <c r="PD127" i="34"/>
  <c r="OM136" i="34"/>
  <c r="MM123" i="34"/>
  <c r="LW157" i="34"/>
  <c r="NE41" i="34"/>
  <c r="MH107" i="34"/>
  <c r="PZ48" i="34"/>
  <c r="MB181" i="34"/>
  <c r="OI169" i="34"/>
  <c r="PD100" i="34"/>
  <c r="JH144" i="34"/>
  <c r="LW176" i="34"/>
  <c r="OM172" i="34"/>
  <c r="PD156" i="34"/>
  <c r="DY73" i="34"/>
  <c r="PX130" i="34"/>
  <c r="PW121" i="34"/>
  <c r="PK138" i="34"/>
  <c r="PE149" i="34"/>
  <c r="PG117" i="34"/>
  <c r="NJ76" i="34"/>
  <c r="MI75" i="34"/>
  <c r="JT42" i="34"/>
  <c r="LD140" i="34"/>
  <c r="OI43" i="34"/>
  <c r="IU88" i="34"/>
  <c r="PH175" i="34"/>
  <c r="OJ55" i="34"/>
  <c r="NN87" i="34"/>
  <c r="NC160" i="34"/>
  <c r="PD87" i="34"/>
  <c r="PA158" i="34"/>
  <c r="PA143" i="34"/>
  <c r="NM91" i="34"/>
  <c r="NP142" i="34"/>
  <c r="OK176" i="34"/>
  <c r="LJ104" i="34"/>
  <c r="NM99" i="34"/>
  <c r="ON102" i="34"/>
  <c r="PK127" i="34"/>
  <c r="PE102" i="34"/>
  <c r="MM103" i="34"/>
  <c r="NJ88" i="34"/>
  <c r="PW172" i="34"/>
  <c r="OK128" i="34"/>
  <c r="NG51" i="34"/>
  <c r="MJ117" i="34"/>
  <c r="LB165" i="34"/>
  <c r="ON59" i="34"/>
  <c r="OJ162" i="34"/>
  <c r="PE108" i="34"/>
  <c r="LW90" i="34"/>
  <c r="PX68" i="34"/>
  <c r="NF73" i="34"/>
  <c r="PB168" i="34"/>
  <c r="OI69" i="34"/>
  <c r="MJ113" i="34"/>
  <c r="OJ124" i="34"/>
  <c r="NA81" i="34"/>
  <c r="NI104" i="34"/>
  <c r="PD111" i="34"/>
  <c r="PI54" i="34"/>
  <c r="JW67" i="34"/>
  <c r="OK127" i="34"/>
  <c r="OL149" i="34"/>
  <c r="MH140" i="34"/>
  <c r="PA44" i="34"/>
  <c r="KB140" i="34"/>
  <c r="PJ75" i="34"/>
  <c r="LC68" i="34"/>
  <c r="PY110" i="34"/>
  <c r="LC165" i="34"/>
  <c r="MG82" i="34"/>
  <c r="JU138" i="34"/>
  <c r="PH106" i="34"/>
  <c r="PH104" i="34"/>
  <c r="ND88" i="34"/>
  <c r="PA161" i="34"/>
  <c r="PK152" i="34"/>
  <c r="ND128" i="34"/>
  <c r="PC131" i="34"/>
  <c r="NE45" i="34"/>
  <c r="NM168" i="34"/>
  <c r="LZ150" i="34"/>
  <c r="BH97" i="33"/>
  <c r="LK59" i="34"/>
  <c r="OI60" i="34"/>
  <c r="LB76" i="34"/>
  <c r="IZ186" i="34"/>
  <c r="NE155" i="34"/>
  <c r="IU149" i="34"/>
  <c r="ME77" i="34"/>
  <c r="NJ172" i="34"/>
  <c r="NG43" i="34"/>
  <c r="KA135" i="34"/>
  <c r="PH161" i="34"/>
  <c r="OO103" i="34"/>
  <c r="KP112" i="34"/>
  <c r="PF90" i="34"/>
  <c r="LA124" i="34"/>
  <c r="HD78" i="34"/>
  <c r="LE53" i="34"/>
  <c r="NG146" i="34"/>
  <c r="MH149" i="34"/>
  <c r="JB59" i="34"/>
  <c r="PC107" i="34"/>
  <c r="KQ95" i="34"/>
  <c r="PC70" i="34"/>
  <c r="LC103" i="34"/>
  <c r="NJ102" i="34"/>
  <c r="NN45" i="34"/>
  <c r="JE104" i="34"/>
  <c r="JX82" i="34"/>
  <c r="NJ60" i="34"/>
  <c r="PJ108" i="34"/>
  <c r="JV131" i="34"/>
  <c r="KO153" i="34"/>
  <c r="OH167" i="34"/>
  <c r="NL64" i="34"/>
  <c r="PW187" i="34"/>
  <c r="PA137" i="34"/>
  <c r="PC151" i="34"/>
  <c r="KQ48" i="34"/>
  <c r="LX147" i="34"/>
  <c r="OL70" i="34"/>
  <c r="MJ70" i="34"/>
  <c r="NM71" i="34"/>
  <c r="OK68" i="34"/>
  <c r="NA164" i="34"/>
  <c r="MJ125" i="34"/>
  <c r="PI126" i="34"/>
  <c r="JB83" i="34"/>
  <c r="PD134" i="34"/>
  <c r="PI168" i="34"/>
  <c r="PO4" i="34"/>
  <c r="PX56" i="34"/>
  <c r="PF47" i="34"/>
  <c r="PY159" i="34"/>
  <c r="NC171" i="34"/>
  <c r="PD73" i="34"/>
  <c r="LW65" i="34"/>
  <c r="LH42" i="34"/>
  <c r="NP158" i="34"/>
  <c r="LD53" i="34"/>
  <c r="OK71" i="34"/>
  <c r="PJ156" i="34"/>
  <c r="MC136" i="34"/>
  <c r="NC175" i="34"/>
  <c r="PE67" i="34"/>
  <c r="MH127" i="34"/>
  <c r="NO76" i="34"/>
  <c r="OH76" i="34"/>
  <c r="PE117" i="34"/>
  <c r="GM97" i="33"/>
  <c r="MD153" i="34"/>
  <c r="PY90" i="34"/>
  <c r="PF141" i="34"/>
  <c r="OO92" i="34"/>
  <c r="FQ74" i="34"/>
  <c r="IU55" i="34"/>
  <c r="ON72" i="34"/>
  <c r="PK148" i="34"/>
  <c r="PI163" i="34"/>
  <c r="JX81" i="34"/>
  <c r="OI172" i="34"/>
  <c r="PX50" i="34"/>
  <c r="DK97" i="33"/>
  <c r="MF96" i="34"/>
  <c r="MA107" i="34"/>
  <c r="PI91" i="34"/>
  <c r="PA59" i="34"/>
  <c r="NL131" i="34"/>
  <c r="OL120" i="34"/>
  <c r="JY139" i="34"/>
  <c r="NL61" i="34"/>
  <c r="PB76" i="34"/>
  <c r="PA50" i="34"/>
  <c r="MA88" i="34"/>
  <c r="PC51" i="34"/>
  <c r="OK152" i="34"/>
  <c r="NJ106" i="34"/>
  <c r="PX100" i="34"/>
  <c r="BN61" i="34"/>
  <c r="PY112" i="34"/>
  <c r="PI86" i="34"/>
  <c r="NN105" i="34"/>
  <c r="PB63" i="34"/>
  <c r="PW178" i="34"/>
  <c r="NK176" i="34"/>
  <c r="PY150" i="34"/>
  <c r="OL186" i="34"/>
  <c r="ON122" i="34"/>
  <c r="PG111" i="34"/>
  <c r="PB149" i="34"/>
  <c r="NB70" i="34"/>
  <c r="IU136" i="34"/>
  <c r="NK50" i="34"/>
  <c r="LX159" i="34"/>
  <c r="PD72" i="34"/>
  <c r="PB57" i="34"/>
  <c r="LD108" i="34"/>
  <c r="PW72" i="34"/>
  <c r="PD51" i="34"/>
  <c r="OK88" i="34"/>
  <c r="NN49" i="34"/>
  <c r="OM73" i="34"/>
  <c r="MJ103" i="34"/>
  <c r="OO77" i="34"/>
  <c r="IR123" i="34"/>
  <c r="LC112" i="34"/>
  <c r="MN110" i="34"/>
  <c r="PW183" i="34"/>
  <c r="OO96" i="34"/>
  <c r="PZ153" i="34"/>
  <c r="PX164" i="34"/>
  <c r="PZ70" i="34"/>
  <c r="PK90" i="34"/>
  <c r="MC82" i="34"/>
  <c r="PZ80" i="34"/>
  <c r="MB143" i="34"/>
  <c r="PY42" i="34"/>
  <c r="PJ109" i="34"/>
  <c r="PG60" i="34"/>
  <c r="IU172" i="34"/>
  <c r="LZ60" i="34"/>
  <c r="HC53" i="34"/>
  <c r="FC66" i="33"/>
  <c r="MB183" i="34"/>
  <c r="PX135" i="34"/>
  <c r="HF89" i="34"/>
  <c r="PE168" i="34"/>
  <c r="OH53" i="34"/>
  <c r="NL54" i="34"/>
  <c r="IS135" i="34"/>
  <c r="NI134" i="34"/>
  <c r="PG137" i="34"/>
  <c r="HH97" i="34"/>
  <c r="NO93" i="34"/>
  <c r="MH167" i="34"/>
  <c r="JH89" i="34"/>
  <c r="PC143" i="34"/>
  <c r="NO139" i="34"/>
  <c r="NN101" i="34"/>
  <c r="OJ42" i="34"/>
  <c r="MA44" i="34"/>
  <c r="NE49" i="34"/>
  <c r="ON123" i="34"/>
  <c r="NI61" i="34"/>
  <c r="LW100" i="34"/>
  <c r="MG83" i="34"/>
  <c r="MH52" i="34"/>
  <c r="PW58" i="34"/>
  <c r="JW92" i="34"/>
  <c r="OJ149" i="34"/>
  <c r="NB161" i="34"/>
  <c r="MM62" i="34"/>
  <c r="LZ125" i="34"/>
  <c r="EE68" i="34"/>
  <c r="MB130" i="34"/>
  <c r="LX151" i="34"/>
  <c r="PA57" i="34"/>
  <c r="OJ118" i="34"/>
  <c r="PY186" i="34"/>
  <c r="LZ65" i="34"/>
  <c r="MK152" i="34"/>
  <c r="PG165" i="34"/>
  <c r="KP65" i="34"/>
  <c r="JW154" i="34"/>
  <c r="OI86" i="34"/>
  <c r="PX147" i="34"/>
  <c r="NG157" i="34"/>
  <c r="HE87" i="34"/>
  <c r="KO117" i="34"/>
  <c r="IT131" i="34"/>
  <c r="HY175" i="34"/>
  <c r="KP121" i="34"/>
  <c r="PJ149" i="34"/>
  <c r="OH96" i="34"/>
  <c r="ME59" i="34"/>
  <c r="PJ93" i="34"/>
  <c r="MA174" i="34"/>
  <c r="NB51" i="34"/>
  <c r="NA52" i="34"/>
  <c r="MK91" i="34"/>
  <c r="NH69" i="34"/>
  <c r="MA188" i="34"/>
  <c r="MG54" i="34"/>
  <c r="NJ164" i="34"/>
  <c r="MC45" i="34"/>
  <c r="OO155" i="34"/>
  <c r="PE80" i="34"/>
  <c r="PG73" i="34"/>
  <c r="OO80" i="34"/>
  <c r="NF46" i="34"/>
  <c r="PH139" i="34"/>
  <c r="NM85" i="34"/>
  <c r="PW93" i="34"/>
  <c r="OH171" i="34"/>
  <c r="ME128" i="34"/>
  <c r="OK65" i="34"/>
  <c r="PC148" i="34"/>
  <c r="PB129" i="34"/>
  <c r="PZ158" i="34"/>
  <c r="MH94" i="34"/>
  <c r="NL60" i="34"/>
  <c r="NB143" i="34"/>
  <c r="NO162" i="34"/>
  <c r="PW133" i="34"/>
  <c r="LW79" i="34"/>
  <c r="IZ58" i="34"/>
  <c r="CN121" i="34"/>
  <c r="OJ79" i="34"/>
  <c r="PJ67" i="34"/>
  <c r="NA188" i="34"/>
  <c r="PY102" i="34"/>
  <c r="LY79" i="34"/>
  <c r="PH82" i="34"/>
  <c r="PY140" i="34"/>
  <c r="NK112" i="34"/>
  <c r="PA61" i="34"/>
  <c r="PF117" i="34"/>
  <c r="MB96" i="34"/>
  <c r="OB5" i="34"/>
  <c r="LK173" i="34"/>
  <c r="PF91" i="34"/>
  <c r="MA121" i="34"/>
  <c r="PD176" i="34"/>
  <c r="OL85" i="34"/>
  <c r="PC173" i="34"/>
  <c r="PD90" i="34"/>
  <c r="PI119" i="34"/>
  <c r="IA142" i="34"/>
  <c r="MM165" i="34"/>
  <c r="MH131" i="34"/>
  <c r="AR97" i="33"/>
  <c r="MC72" i="34"/>
  <c r="OJ152" i="34"/>
  <c r="NH111" i="34"/>
  <c r="ON105" i="34"/>
  <c r="ML57" i="34"/>
  <c r="IZ163" i="34"/>
  <c r="NA63" i="34"/>
  <c r="PD95" i="34"/>
  <c r="OM91" i="34"/>
  <c r="NO143" i="34"/>
  <c r="NF57" i="34"/>
  <c r="PX63" i="34"/>
  <c r="PZ149" i="34"/>
  <c r="PE43" i="34"/>
  <c r="PF108" i="34"/>
  <c r="PI58" i="34"/>
  <c r="NP48" i="34"/>
  <c r="IB99" i="34"/>
  <c r="DX167" i="34"/>
  <c r="NJ178" i="34"/>
  <c r="PZ150" i="34"/>
  <c r="PH152" i="34"/>
  <c r="MM66" i="34"/>
  <c r="PI151" i="34"/>
  <c r="BQ66" i="34"/>
  <c r="PB71" i="34"/>
  <c r="MG95" i="34"/>
  <c r="PK75" i="34"/>
  <c r="NG61" i="34"/>
  <c r="OK89" i="34"/>
  <c r="PZ96" i="34"/>
  <c r="LY81" i="34"/>
  <c r="PI67" i="34"/>
  <c r="PF122" i="34"/>
  <c r="PE132" i="34"/>
  <c r="LH93" i="34"/>
  <c r="MH71" i="34"/>
  <c r="OM186" i="34"/>
  <c r="AN42" i="34"/>
  <c r="JY127" i="34"/>
  <c r="PB109" i="34"/>
  <c r="PX145" i="34"/>
  <c r="PI188" i="34"/>
  <c r="OO79" i="34"/>
  <c r="JA56" i="34"/>
  <c r="KM43" i="34"/>
  <c r="OK140" i="34"/>
  <c r="KB147" i="34"/>
  <c r="NL99" i="34"/>
  <c r="NJ146" i="34"/>
  <c r="JU172" i="34"/>
  <c r="MK78" i="34"/>
  <c r="IS111" i="34"/>
  <c r="OI101" i="34"/>
  <c r="NI174" i="34"/>
  <c r="PG154" i="34"/>
  <c r="NL69" i="34"/>
  <c r="OL113" i="34"/>
  <c r="PE140" i="34"/>
  <c r="MA151" i="34"/>
  <c r="ML85" i="34"/>
  <c r="NK159" i="34"/>
  <c r="OI139" i="34"/>
  <c r="LI111" i="34"/>
  <c r="W107" i="34"/>
  <c r="IW60" i="34"/>
  <c r="PF85" i="34"/>
  <c r="NP92" i="34"/>
  <c r="MG64" i="34"/>
  <c r="PF80" i="34"/>
  <c r="NE54" i="34"/>
  <c r="LI183" i="34"/>
  <c r="PH125" i="34"/>
  <c r="OK172" i="34"/>
  <c r="ML88" i="34"/>
  <c r="NG152" i="34"/>
  <c r="MD115" i="34"/>
  <c r="NB55" i="34"/>
  <c r="NN135" i="34"/>
  <c r="EE183" i="34"/>
  <c r="MI113" i="34"/>
  <c r="ON52" i="34"/>
  <c r="MO106" i="34"/>
  <c r="MN93" i="34"/>
  <c r="JG75" i="34"/>
  <c r="OI112" i="34"/>
  <c r="IE98" i="34"/>
  <c r="LF48" i="34"/>
  <c r="PE90" i="34"/>
  <c r="FP172" i="34"/>
  <c r="PK162" i="34"/>
  <c r="PK119" i="34"/>
  <c r="PW64" i="34"/>
  <c r="OK70" i="34"/>
  <c r="OO110" i="34"/>
  <c r="LZ71" i="34"/>
  <c r="CK113" i="34"/>
  <c r="MO116" i="34"/>
  <c r="NH155" i="34"/>
  <c r="JG139" i="34"/>
  <c r="NF64" i="34"/>
  <c r="OI170" i="34"/>
  <c r="PD181" i="34"/>
  <c r="ML171" i="34"/>
  <c r="LW144" i="34"/>
  <c r="PG42" i="34"/>
  <c r="IE145" i="34"/>
  <c r="NL126" i="34"/>
  <c r="JV90" i="34"/>
  <c r="PZ136" i="34"/>
  <c r="JV77" i="34"/>
  <c r="EP97" i="33"/>
  <c r="FY97" i="33"/>
  <c r="IR107" i="34"/>
  <c r="OM126" i="34"/>
  <c r="MI64" i="34"/>
  <c r="ON47" i="34"/>
  <c r="NP99" i="34"/>
  <c r="JX151" i="34"/>
  <c r="CH64" i="34"/>
  <c r="NP170" i="34"/>
  <c r="PB138" i="34"/>
  <c r="NK109" i="34"/>
  <c r="PI155" i="34"/>
  <c r="MH100" i="34"/>
  <c r="PF105" i="34"/>
  <c r="PD138" i="34"/>
  <c r="MI50" i="34"/>
  <c r="NN115" i="34"/>
  <c r="OO158" i="34"/>
  <c r="EQ9" i="34"/>
  <c r="OM135" i="34"/>
  <c r="AM186" i="34"/>
  <c r="PY146" i="34"/>
  <c r="NF140" i="34"/>
  <c r="MH54" i="34"/>
  <c r="PI111" i="34"/>
  <c r="OH41" i="34"/>
  <c r="ON132" i="34"/>
  <c r="PD92" i="34"/>
  <c r="GL101" i="34"/>
  <c r="PD163" i="34"/>
  <c r="OK145" i="34"/>
  <c r="KP94" i="34"/>
  <c r="OM128" i="34"/>
  <c r="AQ169" i="34"/>
  <c r="DY67" i="34"/>
  <c r="IS124" i="34"/>
  <c r="ON42" i="34"/>
  <c r="JZ157" i="34"/>
  <c r="NL154" i="34"/>
  <c r="HX172" i="34"/>
  <c r="PK66" i="34"/>
  <c r="PG55" i="34"/>
  <c r="NN73" i="34"/>
  <c r="MD63" i="34"/>
  <c r="OK67" i="34"/>
  <c r="OM109" i="34"/>
  <c r="PZ74" i="34"/>
  <c r="NG186" i="34"/>
  <c r="MI175" i="34"/>
  <c r="NH110" i="34"/>
  <c r="IU132" i="34"/>
  <c r="MA126" i="34"/>
  <c r="NH93" i="34"/>
  <c r="PK131" i="34"/>
  <c r="LZ70" i="34"/>
  <c r="OH72" i="34"/>
  <c r="NI76" i="34"/>
  <c r="PX173" i="34"/>
  <c r="PE60" i="34"/>
  <c r="AM111" i="34"/>
  <c r="IW157" i="34"/>
  <c r="NN153" i="34"/>
  <c r="IU118" i="34"/>
  <c r="PB74" i="34"/>
  <c r="MO145" i="34"/>
  <c r="PA171" i="34"/>
  <c r="OL97" i="34"/>
  <c r="KR47" i="34"/>
  <c r="PF176" i="34"/>
  <c r="LJ155" i="34"/>
  <c r="JU43" i="34"/>
  <c r="MG89" i="34"/>
  <c r="PZ166" i="34"/>
  <c r="JU146" i="34"/>
  <c r="PC157" i="34"/>
  <c r="PZ42" i="34"/>
  <c r="LX121" i="34"/>
  <c r="PG46" i="34"/>
  <c r="NP80" i="34"/>
  <c r="IZ69" i="34"/>
  <c r="IW82" i="34"/>
  <c r="IZ41" i="34"/>
  <c r="KL47" i="34"/>
  <c r="PJ133" i="34"/>
  <c r="LW151" i="34"/>
  <c r="MI112" i="34"/>
  <c r="OL56" i="34"/>
  <c r="AR85" i="34"/>
  <c r="AC106" i="34"/>
  <c r="NE63" i="34"/>
  <c r="MH161" i="34"/>
  <c r="JF78" i="34"/>
  <c r="PJ61" i="34"/>
  <c r="PJ144" i="34"/>
  <c r="NB172" i="34"/>
  <c r="PI78" i="34"/>
  <c r="PH110" i="34"/>
  <c r="HU109" i="34"/>
  <c r="AX136" i="34"/>
  <c r="PG125" i="34"/>
  <c r="EK97" i="34"/>
  <c r="JV60" i="34"/>
  <c r="JZ41" i="34"/>
  <c r="OK144" i="34"/>
  <c r="GH96" i="33"/>
  <c r="PF155" i="34"/>
  <c r="PE146" i="34"/>
  <c r="AA93" i="34"/>
  <c r="NK64" i="34"/>
  <c r="MH148" i="34"/>
  <c r="PK140" i="34"/>
  <c r="ON118" i="34"/>
  <c r="OK45" i="34"/>
  <c r="IB129" i="34"/>
  <c r="PW128" i="34"/>
  <c r="LA65" i="34"/>
  <c r="MA136" i="34"/>
  <c r="PE45" i="34"/>
  <c r="PB136" i="34"/>
  <c r="PI132" i="34"/>
  <c r="CO112" i="34"/>
  <c r="LH133" i="34"/>
  <c r="OJ144" i="34"/>
  <c r="HV47" i="34"/>
  <c r="MA142" i="34"/>
  <c r="PB178" i="34"/>
  <c r="OL80" i="34"/>
  <c r="MC64" i="34"/>
  <c r="MJ59" i="34"/>
  <c r="JE69" i="34"/>
  <c r="PA149" i="34"/>
  <c r="HF141" i="34"/>
  <c r="EK45" i="34"/>
  <c r="NG71" i="34"/>
  <c r="JG80" i="34"/>
  <c r="ME126" i="34"/>
  <c r="PC183" i="34"/>
  <c r="PK45" i="34"/>
  <c r="NH60" i="34"/>
  <c r="PJ44" i="34"/>
  <c r="IU96" i="34"/>
  <c r="PC115" i="34"/>
  <c r="JT123" i="34"/>
  <c r="NO42" i="34"/>
  <c r="KQ122" i="34"/>
  <c r="PA141" i="34"/>
  <c r="FQ106" i="34"/>
  <c r="NE73" i="34"/>
  <c r="LH137" i="34"/>
  <c r="OM77" i="34"/>
  <c r="PF94" i="34"/>
  <c r="MF73" i="34"/>
  <c r="PY187" i="34"/>
  <c r="HD67" i="34"/>
  <c r="PW96" i="34"/>
  <c r="HU133" i="34"/>
  <c r="AS59" i="34"/>
  <c r="MO109" i="34"/>
  <c r="JD83" i="34"/>
  <c r="AV156" i="34"/>
  <c r="IR143" i="34"/>
  <c r="PX75" i="34"/>
  <c r="IU58" i="34"/>
  <c r="MJ47" i="34"/>
  <c r="MI101" i="34"/>
  <c r="EF49" i="34"/>
  <c r="IU42" i="34"/>
  <c r="JU67" i="34"/>
  <c r="OK41" i="34"/>
  <c r="NJ122" i="34"/>
  <c r="IZ57" i="34"/>
  <c r="W133" i="34"/>
  <c r="ON169" i="34"/>
  <c r="IQ155" i="34"/>
  <c r="MN44" i="34"/>
  <c r="PI165" i="34"/>
  <c r="PX119" i="34"/>
  <c r="MI138" i="34"/>
  <c r="OO85" i="34"/>
  <c r="ME130" i="34"/>
  <c r="NA142" i="34"/>
  <c r="PG148" i="34"/>
  <c r="JA103" i="34"/>
  <c r="PK48" i="34"/>
  <c r="PX80" i="34"/>
  <c r="IU71" i="34"/>
  <c r="PB50" i="34"/>
  <c r="IQ101" i="34"/>
  <c r="ON91" i="34"/>
  <c r="PD97" i="34"/>
  <c r="NE78" i="34"/>
  <c r="PY165" i="34"/>
  <c r="LK159" i="34"/>
  <c r="HT41" i="34"/>
  <c r="JH42" i="34"/>
  <c r="NO150" i="34"/>
  <c r="OM187" i="34"/>
  <c r="NE152" i="34"/>
  <c r="MI61" i="34"/>
  <c r="NP45" i="34"/>
  <c r="OH84" i="34"/>
  <c r="PW102" i="34"/>
  <c r="PG47" i="34"/>
  <c r="PF151" i="34"/>
  <c r="PF41" i="34"/>
  <c r="NG149" i="34"/>
  <c r="MI57" i="34"/>
  <c r="NJ48" i="34"/>
  <c r="PH138" i="34"/>
  <c r="MF125" i="34"/>
  <c r="LW115" i="34"/>
  <c r="NK74" i="34"/>
  <c r="PC80" i="34"/>
  <c r="NM81" i="34"/>
  <c r="OL50" i="34"/>
  <c r="LW94" i="34"/>
  <c r="MI94" i="34"/>
  <c r="PW67" i="34"/>
  <c r="JG58" i="34"/>
  <c r="HG101" i="34"/>
  <c r="NF41" i="34"/>
  <c r="PA52" i="34"/>
  <c r="OI188" i="34"/>
  <c r="PB146" i="34"/>
  <c r="OJ120" i="34"/>
  <c r="IU72" i="34"/>
  <c r="AT90" i="34"/>
  <c r="KL132" i="34"/>
  <c r="PI116" i="34"/>
  <c r="MH97" i="34"/>
  <c r="PE186" i="34"/>
  <c r="IZ156" i="34"/>
  <c r="PI137" i="34"/>
  <c r="ON96" i="34"/>
  <c r="KP82" i="34"/>
  <c r="K157" i="34"/>
  <c r="NA70" i="34"/>
  <c r="KP60" i="34"/>
  <c r="LH178" i="34"/>
  <c r="MM47" i="34"/>
  <c r="NI92" i="34"/>
  <c r="MI141" i="34"/>
  <c r="KM144" i="34"/>
  <c r="PC132" i="34"/>
  <c r="OL117" i="34"/>
  <c r="NO121" i="34"/>
  <c r="PY172" i="34"/>
  <c r="MI99" i="34"/>
  <c r="PC124" i="34"/>
  <c r="AN102" i="34"/>
  <c r="PY84" i="34"/>
  <c r="HW140" i="34"/>
  <c r="PG63" i="34"/>
  <c r="NN146" i="34"/>
  <c r="NE161" i="34"/>
  <c r="LH67" i="34"/>
  <c r="MI188" i="34"/>
  <c r="NI148" i="34"/>
  <c r="LX166" i="34"/>
  <c r="PD65" i="34"/>
  <c r="NO57" i="34"/>
  <c r="AP62" i="34"/>
  <c r="ML133" i="34"/>
  <c r="NN47" i="34"/>
  <c r="MM100" i="34"/>
  <c r="PJ82" i="34"/>
  <c r="PY76" i="34"/>
  <c r="PB134" i="34"/>
  <c r="MG144" i="34"/>
  <c r="FX128" i="34"/>
  <c r="PE175" i="34"/>
  <c r="ND81" i="34"/>
  <c r="MO88" i="34"/>
  <c r="MF89" i="34"/>
  <c r="OO60" i="34"/>
  <c r="KL42" i="34"/>
  <c r="LK136" i="34"/>
  <c r="PJ42" i="34"/>
  <c r="JG170" i="34"/>
  <c r="MB47" i="34"/>
  <c r="PB67" i="34"/>
  <c r="MN56" i="34"/>
  <c r="KO120" i="34"/>
  <c r="ON163" i="34"/>
  <c r="MO53" i="34"/>
  <c r="PF79" i="34"/>
  <c r="MJ56" i="34"/>
  <c r="K76" i="34"/>
  <c r="LB60" i="34"/>
  <c r="MK61" i="34"/>
  <c r="LG156" i="34"/>
  <c r="LF187" i="34"/>
  <c r="NJ174" i="34"/>
  <c r="MI108" i="34"/>
  <c r="HX142" i="34"/>
  <c r="NE143" i="34"/>
  <c r="ON89" i="34"/>
  <c r="PA183" i="34"/>
  <c r="DJ58" i="34"/>
  <c r="NB92" i="34"/>
  <c r="FB58" i="34"/>
  <c r="NL144" i="34"/>
  <c r="PA121" i="34"/>
  <c r="IU53" i="34"/>
  <c r="OJ111" i="34"/>
  <c r="PW81" i="34"/>
  <c r="IU140" i="34"/>
  <c r="PK50" i="34"/>
  <c r="MK102" i="34"/>
  <c r="PJ113" i="34"/>
  <c r="MJ68" i="34"/>
  <c r="LJ64" i="34"/>
  <c r="NE137" i="34"/>
  <c r="IA176" i="34"/>
  <c r="KL135" i="34"/>
  <c r="PK147" i="34"/>
  <c r="NC174" i="34"/>
  <c r="PJ83" i="34"/>
  <c r="OO63" i="34"/>
  <c r="JU119" i="34"/>
  <c r="BZ97" i="33"/>
  <c r="MI56" i="34"/>
  <c r="PW126" i="34"/>
  <c r="PB46" i="34"/>
  <c r="OK175" i="34"/>
  <c r="PJ129" i="34"/>
  <c r="JC55" i="34"/>
  <c r="MI143" i="34"/>
  <c r="MI85" i="34"/>
  <c r="HG59" i="34"/>
  <c r="LY75" i="34"/>
  <c r="IU112" i="34"/>
  <c r="KQ92" i="34"/>
  <c r="NL113" i="34"/>
  <c r="PK86" i="34"/>
  <c r="AA94" i="34"/>
  <c r="NC146" i="34"/>
  <c r="NM132" i="34"/>
  <c r="PG71" i="34"/>
  <c r="PY157" i="34"/>
  <c r="PC45" i="34"/>
  <c r="NN168" i="34"/>
  <c r="PA105" i="34"/>
  <c r="NC108" i="34"/>
  <c r="OI72" i="34"/>
  <c r="PX132" i="34"/>
  <c r="LK129" i="34"/>
  <c r="LD118" i="34"/>
  <c r="PW71" i="34"/>
  <c r="IR83" i="34"/>
  <c r="JD118" i="34"/>
  <c r="JG110" i="34"/>
  <c r="PE83" i="34"/>
  <c r="MC58" i="34"/>
  <c r="JE62" i="34"/>
  <c r="EK169" i="34"/>
  <c r="ML99" i="34"/>
  <c r="ON85" i="34"/>
  <c r="MM88" i="34"/>
  <c r="NM112" i="34"/>
  <c r="PZ62" i="34"/>
  <c r="OH75" i="34"/>
  <c r="MI165" i="34"/>
  <c r="ND159" i="34"/>
  <c r="IU76" i="34"/>
  <c r="PX181" i="34"/>
  <c r="HX87" i="34"/>
  <c r="PD122" i="34"/>
  <c r="ND144" i="34"/>
  <c r="PB77" i="34"/>
  <c r="IY176" i="34"/>
  <c r="PY86" i="34"/>
  <c r="PD151" i="34"/>
  <c r="MH68" i="34"/>
  <c r="OM67" i="34"/>
  <c r="MC122" i="34"/>
  <c r="LX137" i="34"/>
  <c r="LB150" i="34"/>
  <c r="OL151" i="34"/>
  <c r="NF125" i="34"/>
  <c r="PD173" i="34"/>
  <c r="DI183" i="34"/>
  <c r="PI74" i="34"/>
  <c r="OK142" i="34"/>
  <c r="MB48" i="34"/>
  <c r="OO149" i="34"/>
  <c r="NB157" i="34"/>
  <c r="MJ123" i="34"/>
  <c r="KB117" i="34"/>
  <c r="PH157" i="34"/>
  <c r="NF120" i="34"/>
  <c r="MG125" i="34"/>
  <c r="KA117" i="34"/>
  <c r="ME133" i="34"/>
  <c r="PC175" i="34"/>
  <c r="HD170" i="34"/>
  <c r="MJ174" i="34"/>
  <c r="JW117" i="34"/>
  <c r="PB172" i="34"/>
  <c r="JY183" i="34"/>
  <c r="KP91" i="34"/>
  <c r="NF136" i="34"/>
  <c r="MD73" i="34"/>
  <c r="KA94" i="34"/>
  <c r="MB101" i="34"/>
  <c r="OO57" i="34"/>
  <c r="MN119" i="34"/>
  <c r="PH121" i="34"/>
  <c r="JE92" i="34"/>
  <c r="PC72" i="34"/>
  <c r="LK175" i="34"/>
  <c r="GB5" i="34"/>
  <c r="OI133" i="34"/>
  <c r="DY83" i="34"/>
  <c r="MF120" i="34"/>
  <c r="CR97" i="33"/>
  <c r="LK156" i="34"/>
  <c r="EK153" i="34"/>
  <c r="GK41" i="34"/>
  <c r="MO85" i="34"/>
  <c r="PF92" i="34"/>
  <c r="CN88" i="34"/>
  <c r="LB92" i="34"/>
  <c r="MO156" i="34"/>
  <c r="JD96" i="34"/>
  <c r="OO78" i="34"/>
  <c r="MJ146" i="34"/>
  <c r="PK151" i="34"/>
  <c r="PI112" i="34"/>
  <c r="PX144" i="34"/>
  <c r="CJ97" i="33"/>
  <c r="PX136" i="34"/>
  <c r="NE72" i="34"/>
  <c r="PJ119" i="34"/>
  <c r="QF4" i="34"/>
  <c r="NM78" i="34"/>
  <c r="ML161" i="34"/>
  <c r="PJ97" i="34"/>
  <c r="MJ83" i="34"/>
  <c r="PZ167" i="34"/>
  <c r="PX137" i="34"/>
  <c r="MF52" i="34"/>
  <c r="PH92" i="34"/>
  <c r="LY164" i="34"/>
  <c r="NG93" i="34"/>
  <c r="PK120" i="34"/>
  <c r="KO95" i="34"/>
  <c r="OI42" i="34"/>
  <c r="LG98" i="34"/>
  <c r="JH75" i="34"/>
  <c r="PA124" i="34"/>
  <c r="LA78" i="34"/>
  <c r="OH157" i="34"/>
  <c r="JH124" i="34"/>
  <c r="PX109" i="34"/>
  <c r="LW104" i="34"/>
  <c r="LY103" i="34"/>
  <c r="OJ138" i="34"/>
  <c r="MD126" i="34"/>
  <c r="KC136" i="34"/>
  <c r="HW125" i="34"/>
  <c r="OO65" i="34"/>
  <c r="LB142" i="34"/>
  <c r="IZ75" i="34"/>
  <c r="LD76" i="34"/>
  <c r="PX65" i="34"/>
  <c r="ND130" i="34"/>
  <c r="NG101" i="34"/>
  <c r="PJ98" i="34"/>
  <c r="ON74" i="34"/>
  <c r="PY70" i="34"/>
  <c r="PK56" i="34"/>
  <c r="NO103" i="34"/>
  <c r="PD85" i="34"/>
  <c r="LW59" i="34"/>
  <c r="OM61" i="34"/>
  <c r="LY89" i="34"/>
  <c r="OO90" i="34"/>
  <c r="MO89" i="34"/>
  <c r="U143" i="34"/>
  <c r="FB160" i="34"/>
  <c r="MA162" i="34"/>
  <c r="PA80" i="34"/>
  <c r="EK62" i="34"/>
  <c r="LI115" i="34"/>
  <c r="NH159" i="34"/>
  <c r="PF145" i="34"/>
  <c r="NL103" i="34"/>
  <c r="LD80" i="34"/>
  <c r="PI95" i="34"/>
  <c r="MD137" i="34"/>
  <c r="HG168" i="34"/>
  <c r="MD54" i="34"/>
  <c r="PF118" i="34"/>
  <c r="OK158" i="34"/>
  <c r="FP63" i="34"/>
  <c r="NL82" i="34"/>
  <c r="MK149" i="34"/>
  <c r="MD65" i="34"/>
  <c r="PI45" i="34"/>
  <c r="ON69" i="34"/>
  <c r="LW106" i="34"/>
  <c r="PJ71" i="34"/>
  <c r="PI135" i="34"/>
  <c r="NE139" i="34"/>
  <c r="LW119" i="34"/>
  <c r="OI132" i="34"/>
  <c r="PH86" i="34"/>
  <c r="NN170" i="34"/>
  <c r="PC92" i="34"/>
  <c r="ND131" i="34"/>
  <c r="EX68" i="34"/>
  <c r="NC93" i="34"/>
  <c r="LK63" i="34"/>
  <c r="NL153" i="34"/>
  <c r="PX148" i="34"/>
  <c r="MB139" i="34"/>
  <c r="OK61" i="34"/>
  <c r="PW43" i="34"/>
  <c r="NM141" i="34"/>
  <c r="NN62" i="34"/>
  <c r="OI64" i="34"/>
  <c r="OO101" i="34"/>
  <c r="NG128" i="34"/>
  <c r="JA67" i="34"/>
  <c r="GP73" i="34"/>
  <c r="EA139" i="34"/>
  <c r="KC168" i="34"/>
  <c r="ML72" i="34"/>
  <c r="OH100" i="34"/>
  <c r="KQ103" i="34"/>
  <c r="AZ93" i="34"/>
  <c r="PJ48" i="34"/>
  <c r="EH63" i="34"/>
  <c r="GL139" i="34"/>
  <c r="T124" i="34"/>
  <c r="NP97" i="34"/>
  <c r="IU79" i="34"/>
  <c r="OK166" i="34"/>
  <c r="KN65" i="34"/>
  <c r="PD149" i="34"/>
  <c r="OO173" i="34"/>
  <c r="NG156" i="34"/>
  <c r="NM101" i="34"/>
  <c r="PB164" i="34"/>
  <c r="JU94" i="34"/>
  <c r="LX123" i="34"/>
  <c r="BR97" i="33"/>
  <c r="NN166" i="34"/>
  <c r="ND116" i="34"/>
  <c r="PZ183" i="34"/>
  <c r="IU47" i="34"/>
  <c r="MF85" i="34"/>
  <c r="MJ99" i="34"/>
  <c r="LZ156" i="34"/>
  <c r="NL75" i="34"/>
  <c r="PD88" i="34"/>
  <c r="MO113" i="34"/>
  <c r="MF94" i="34"/>
  <c r="MI152" i="34"/>
  <c r="MM67" i="34"/>
  <c r="PF135" i="34"/>
  <c r="PD148" i="34"/>
  <c r="PH188" i="34"/>
  <c r="MN53" i="34"/>
  <c r="LX57" i="34"/>
  <c r="FW94" i="34"/>
  <c r="MG130" i="34"/>
  <c r="KL66" i="34"/>
  <c r="PX86" i="34"/>
  <c r="NG170" i="34"/>
  <c r="KQ44" i="34"/>
  <c r="MF171" i="34"/>
  <c r="PF70" i="34"/>
  <c r="MA132" i="34"/>
  <c r="OH80" i="34"/>
  <c r="NG95" i="34"/>
  <c r="DC175" i="34"/>
  <c r="NH55" i="34"/>
  <c r="MF49" i="34"/>
  <c r="MH81" i="34"/>
  <c r="DJ97" i="33"/>
  <c r="PZ100" i="34"/>
  <c r="MA41" i="34"/>
  <c r="NJ136" i="34"/>
  <c r="OJ148" i="34"/>
  <c r="MG48" i="34"/>
  <c r="MJ91" i="34"/>
  <c r="AY112" i="34"/>
  <c r="FP64" i="34"/>
  <c r="KL145" i="34"/>
  <c r="OH94" i="34"/>
  <c r="PA63" i="34"/>
  <c r="OK162" i="34"/>
  <c r="LK168" i="34"/>
  <c r="KO45" i="34"/>
  <c r="PW129" i="34"/>
  <c r="ML43" i="34"/>
  <c r="HV140" i="34"/>
  <c r="MD100" i="34"/>
  <c r="NL45" i="34"/>
  <c r="IU100" i="34"/>
  <c r="PA122" i="34"/>
  <c r="OL183" i="34"/>
  <c r="PF113" i="34"/>
  <c r="JX186" i="34"/>
  <c r="LW132" i="34"/>
  <c r="GL167" i="34"/>
  <c r="MG43" i="34"/>
  <c r="CI97" i="33"/>
  <c r="LW160" i="34"/>
  <c r="NL127" i="34"/>
  <c r="KA85" i="34"/>
  <c r="PX122" i="34"/>
  <c r="PB94" i="34"/>
  <c r="NC170" i="34"/>
  <c r="PG76" i="34"/>
  <c r="HD107" i="34"/>
  <c r="DF181" i="34"/>
  <c r="JB88" i="34"/>
  <c r="PD141" i="34"/>
  <c r="NC167" i="34"/>
  <c r="KR151" i="34"/>
  <c r="LB87" i="34"/>
  <c r="PG112" i="34"/>
  <c r="NH63" i="34"/>
  <c r="JA46" i="34"/>
  <c r="NM41" i="34"/>
  <c r="IW158" i="34"/>
  <c r="PW188" i="34"/>
  <c r="OI175" i="34"/>
  <c r="PW150" i="34"/>
  <c r="GP89" i="34"/>
  <c r="NP123" i="34"/>
  <c r="PD52" i="34"/>
  <c r="PE96" i="34"/>
  <c r="CA97" i="33"/>
  <c r="KL80" i="34"/>
  <c r="CH105" i="34"/>
  <c r="PB54" i="34"/>
  <c r="OM122" i="34"/>
  <c r="OJ49" i="34"/>
  <c r="PF154" i="34"/>
  <c r="OJ134" i="34"/>
  <c r="LX149" i="34"/>
  <c r="LX127" i="34"/>
  <c r="KA59" i="34"/>
  <c r="PY125" i="34"/>
  <c r="ME163" i="34"/>
  <c r="HW87" i="34"/>
  <c r="PW45" i="34"/>
  <c r="OH87" i="34"/>
  <c r="NG58" i="34"/>
  <c r="ID54" i="34"/>
  <c r="PB145" i="34"/>
  <c r="NJ64" i="34"/>
  <c r="MC147" i="34"/>
  <c r="PY126" i="34"/>
  <c r="IU135" i="34"/>
  <c r="OK116" i="34"/>
  <c r="KB126" i="34"/>
  <c r="PH178" i="34"/>
  <c r="DZ173" i="34"/>
  <c r="OK75" i="34"/>
  <c r="OH186" i="34"/>
  <c r="OM139" i="34"/>
  <c r="ED59" i="34"/>
  <c r="PB154" i="34"/>
  <c r="LW149" i="34"/>
  <c r="PA51" i="34"/>
  <c r="OI135" i="34"/>
  <c r="PH142" i="34"/>
  <c r="IC146" i="34"/>
  <c r="JB176" i="34"/>
  <c r="OH129" i="34"/>
  <c r="HG46" i="34"/>
  <c r="PI178" i="34"/>
  <c r="DJ97" i="34"/>
  <c r="GK59" i="34"/>
  <c r="JU187" i="34"/>
  <c r="MO146" i="34"/>
  <c r="NM45" i="34"/>
  <c r="MH59" i="34"/>
  <c r="PK144" i="34"/>
  <c r="PI50" i="34"/>
  <c r="OM125" i="34"/>
  <c r="PK102" i="34"/>
  <c r="LA44" i="34"/>
  <c r="OJ58" i="34"/>
  <c r="PG170" i="34"/>
  <c r="NN55" i="34"/>
  <c r="OH126" i="34"/>
  <c r="IU74" i="34"/>
  <c r="OL152" i="34"/>
  <c r="PK63" i="34"/>
  <c r="NK44" i="34"/>
  <c r="LW165" i="34"/>
  <c r="PW148" i="34"/>
  <c r="MB71" i="34"/>
  <c r="DG176" i="34"/>
  <c r="OL62" i="34"/>
  <c r="MK82" i="34"/>
  <c r="PD140" i="34"/>
  <c r="NK77" i="34"/>
  <c r="OM103" i="34"/>
  <c r="LZ175" i="34"/>
  <c r="ON53" i="34"/>
  <c r="OI146" i="34"/>
  <c r="IV42" i="34"/>
  <c r="PW174" i="34"/>
  <c r="LA111" i="34"/>
  <c r="PC188" i="34"/>
  <c r="PH85" i="34"/>
  <c r="NK133" i="34"/>
  <c r="KR55" i="34"/>
  <c r="IQ60" i="34"/>
  <c r="OH156" i="34"/>
  <c r="PB103" i="34"/>
  <c r="PK183" i="34"/>
  <c r="NB125" i="34"/>
  <c r="LF107" i="34"/>
  <c r="NG103" i="34"/>
  <c r="LF70" i="34"/>
  <c r="AD112" i="34"/>
  <c r="NB124" i="34"/>
  <c r="PH130" i="34"/>
  <c r="IY149" i="34"/>
  <c r="MO144" i="34"/>
  <c r="MK166" i="34"/>
  <c r="PG147" i="34"/>
  <c r="DG104" i="34"/>
  <c r="MG98" i="34"/>
  <c r="LW128" i="34"/>
  <c r="PJ43" i="34"/>
  <c r="PC75" i="34"/>
  <c r="OK126" i="34"/>
  <c r="IU186" i="34"/>
  <c r="JZ129" i="34"/>
  <c r="PI106" i="34"/>
  <c r="JE41" i="34"/>
  <c r="PX174" i="34"/>
  <c r="NH88" i="34"/>
  <c r="NG53" i="34"/>
  <c r="PK61" i="34"/>
  <c r="ND87" i="34"/>
  <c r="MN74" i="34"/>
  <c r="OL59" i="34"/>
  <c r="OM80" i="34"/>
  <c r="LF153" i="34"/>
  <c r="PI64" i="34"/>
  <c r="MH42" i="34"/>
  <c r="LG125" i="34"/>
  <c r="EB68" i="34"/>
  <c r="JT99" i="34"/>
  <c r="PF161" i="34"/>
  <c r="LI108" i="34"/>
  <c r="PE99" i="34"/>
  <c r="NE102" i="34"/>
  <c r="MH117" i="34"/>
  <c r="OL42" i="34"/>
  <c r="IU117" i="34"/>
  <c r="PD89" i="34"/>
  <c r="NK165" i="34"/>
  <c r="PG167" i="34"/>
  <c r="MH133" i="34"/>
  <c r="PA119" i="34"/>
  <c r="LI159" i="34"/>
  <c r="W154" i="34"/>
  <c r="PC125" i="34"/>
  <c r="KR75" i="34"/>
  <c r="MH56" i="34"/>
  <c r="NE112" i="34"/>
  <c r="IU52" i="34"/>
  <c r="MB175" i="34"/>
  <c r="NA159" i="34"/>
  <c r="NF161" i="34"/>
  <c r="HZ167" i="34"/>
  <c r="OI65" i="34"/>
  <c r="MG71" i="34"/>
  <c r="LW89" i="34"/>
  <c r="JY52" i="34"/>
  <c r="IY80" i="34"/>
  <c r="OJ115" i="34"/>
  <c r="NI133" i="34"/>
  <c r="MG65" i="34"/>
  <c r="PA145" i="34"/>
  <c r="LZ152" i="34"/>
  <c r="CL97" i="33"/>
  <c r="PX167" i="34"/>
  <c r="PY143" i="34"/>
  <c r="OJ117" i="34"/>
  <c r="PE150" i="34"/>
  <c r="PX165" i="34"/>
  <c r="OI123" i="34"/>
  <c r="ON153" i="34"/>
  <c r="PF98" i="34"/>
  <c r="NI70" i="34"/>
  <c r="NM138" i="34"/>
  <c r="MJ88" i="34"/>
  <c r="LW131" i="34"/>
  <c r="MC98" i="34"/>
  <c r="KR113" i="34"/>
  <c r="KL168" i="34"/>
  <c r="HZ161" i="34"/>
  <c r="LF176" i="34"/>
  <c r="FW58" i="34"/>
  <c r="IW107" i="34"/>
  <c r="PY48" i="34"/>
  <c r="DZ70" i="34"/>
  <c r="AQ112" i="34"/>
  <c r="NK108" i="34"/>
  <c r="PC153" i="34"/>
  <c r="PH61" i="34"/>
  <c r="NG67" i="34"/>
  <c r="PF86" i="34"/>
  <c r="OM124" i="34"/>
  <c r="NB158" i="34"/>
  <c r="NH156" i="34"/>
  <c r="DY128" i="34"/>
  <c r="ME100" i="34"/>
  <c r="NN167" i="34"/>
  <c r="NO183" i="34"/>
  <c r="NH135" i="34"/>
  <c r="NE77" i="34"/>
  <c r="ON151" i="34"/>
  <c r="MK120" i="34"/>
  <c r="IQ66" i="34"/>
  <c r="LC130" i="34"/>
  <c r="NF63" i="34"/>
  <c r="IU86" i="34"/>
  <c r="EJ159" i="34"/>
  <c r="HZ143" i="34"/>
  <c r="NA153" i="34"/>
  <c r="IA96" i="34"/>
  <c r="PB171" i="34"/>
  <c r="PY183" i="34"/>
  <c r="DM97" i="33"/>
  <c r="LB161" i="34"/>
  <c r="CF42" i="34"/>
  <c r="NA146" i="34"/>
  <c r="OK105" i="34"/>
  <c r="ML44" i="34"/>
  <c r="PF69" i="34"/>
  <c r="DG171" i="34"/>
  <c r="NH53" i="34"/>
  <c r="EJ187" i="34"/>
  <c r="PB121" i="34"/>
  <c r="PA103" i="34"/>
  <c r="HW100" i="34"/>
  <c r="PJ101" i="34"/>
  <c r="CL108" i="34"/>
  <c r="PI52" i="34"/>
  <c r="LZ83" i="34"/>
  <c r="KO124" i="34"/>
  <c r="NL95" i="34"/>
  <c r="OI145" i="34"/>
  <c r="PA174" i="34"/>
  <c r="PK62" i="34"/>
  <c r="BR82" i="34"/>
  <c r="OM43" i="34"/>
  <c r="MG78" i="34"/>
  <c r="PW125" i="34"/>
  <c r="PK178" i="34"/>
  <c r="KA65" i="34"/>
  <c r="ME95" i="34"/>
  <c r="MH134" i="34"/>
  <c r="PI122" i="34"/>
  <c r="CJ43" i="34"/>
  <c r="MO131" i="34"/>
  <c r="JH80" i="34"/>
  <c r="PA104" i="34"/>
  <c r="LK113" i="34"/>
  <c r="OK44" i="34"/>
  <c r="HW45" i="34"/>
  <c r="ON101" i="34"/>
  <c r="NF143" i="34"/>
  <c r="PW155" i="34"/>
  <c r="NO175" i="34"/>
  <c r="OI181" i="34"/>
  <c r="OH91" i="34"/>
  <c r="IA77" i="34"/>
  <c r="HY49" i="34"/>
  <c r="BB128" i="34"/>
  <c r="NO62" i="34"/>
  <c r="LZ164" i="34"/>
  <c r="MO130" i="34"/>
  <c r="PF59" i="34"/>
  <c r="PG123" i="34"/>
  <c r="GK163" i="34"/>
  <c r="CJ41" i="34"/>
  <c r="PH149" i="34"/>
  <c r="DD66" i="34"/>
  <c r="MC134" i="34"/>
  <c r="PC122" i="34"/>
  <c r="LB101" i="34"/>
  <c r="PX83" i="34"/>
  <c r="PF65" i="34"/>
  <c r="ME81" i="34"/>
  <c r="NN96" i="34"/>
  <c r="JH145" i="34"/>
  <c r="NH142" i="34"/>
  <c r="PF164" i="34"/>
  <c r="OJ88" i="34"/>
  <c r="PG56" i="34"/>
  <c r="JH69" i="34"/>
  <c r="LW135" i="34"/>
  <c r="NJ97" i="34"/>
  <c r="MG173" i="34"/>
  <c r="ML113" i="34"/>
  <c r="OM53" i="34"/>
  <c r="NG138" i="34"/>
  <c r="JY107" i="34"/>
  <c r="PI129" i="34"/>
  <c r="LD174" i="34"/>
  <c r="JG69" i="34"/>
  <c r="PK125" i="34"/>
  <c r="OK146" i="34"/>
  <c r="HD167" i="34"/>
  <c r="NA123" i="34"/>
  <c r="IW77" i="34"/>
  <c r="HC111" i="34"/>
  <c r="MI142" i="34"/>
  <c r="PW147" i="34"/>
  <c r="MF151" i="34"/>
  <c r="PA160" i="34"/>
  <c r="IZ110" i="34"/>
  <c r="MN97" i="34"/>
  <c r="IB86" i="34"/>
  <c r="NK118" i="34"/>
  <c r="JF75" i="34"/>
  <c r="MO133" i="34"/>
  <c r="FR112" i="34"/>
  <c r="MF58" i="34"/>
  <c r="NH94" i="34"/>
  <c r="PW173" i="34"/>
  <c r="NK134" i="34"/>
  <c r="OM141" i="34"/>
  <c r="MJ102" i="34"/>
  <c r="OL104" i="34"/>
  <c r="MH77" i="34"/>
  <c r="KL143" i="34"/>
  <c r="PE173" i="34"/>
  <c r="PF136" i="34"/>
  <c r="PG50" i="34"/>
  <c r="ED157" i="34"/>
  <c r="HE150" i="34"/>
  <c r="PZ171" i="34"/>
  <c r="OH106" i="34"/>
  <c r="PG64" i="34"/>
  <c r="PD115" i="34"/>
  <c r="JV172" i="34"/>
  <c r="IQ46" i="34"/>
  <c r="LJ162" i="34"/>
  <c r="JC62" i="34"/>
  <c r="EA107" i="34"/>
  <c r="NK68" i="34"/>
  <c r="PG120" i="34"/>
  <c r="PJ100" i="34"/>
  <c r="MC144" i="34"/>
  <c r="PH87" i="34"/>
  <c r="CL107" i="34"/>
  <c r="PJ152" i="34"/>
  <c r="MI43" i="34"/>
  <c r="MA58" i="34"/>
  <c r="PG53" i="34"/>
  <c r="JX96" i="34"/>
  <c r="PW160" i="34"/>
  <c r="NN162" i="34"/>
  <c r="OI61" i="34"/>
  <c r="NF134" i="34"/>
  <c r="NJ65" i="34"/>
  <c r="NJ95" i="34"/>
  <c r="MI107" i="34"/>
  <c r="PG93" i="34"/>
  <c r="MF66" i="34"/>
  <c r="PK103" i="34"/>
  <c r="MG171" i="34"/>
  <c r="IY170" i="34"/>
  <c r="FV92" i="34"/>
  <c r="FT151" i="34"/>
  <c r="MA108" i="34"/>
  <c r="LD75" i="34"/>
  <c r="NC141" i="34"/>
  <c r="PW47" i="34"/>
  <c r="NA60" i="34"/>
  <c r="OI85" i="34"/>
  <c r="NP172" i="34"/>
  <c r="NA56" i="34"/>
  <c r="FO43" i="34"/>
  <c r="NE144" i="34"/>
  <c r="OM63" i="34"/>
  <c r="PH146" i="34"/>
  <c r="PK64" i="34"/>
  <c r="IZ93" i="34"/>
  <c r="LJ164" i="34"/>
  <c r="CJ71" i="34"/>
  <c r="PI104" i="34"/>
  <c r="KL90" i="34"/>
  <c r="GK87" i="34"/>
  <c r="OI73" i="34"/>
  <c r="OO140" i="34"/>
  <c r="ON152" i="34"/>
  <c r="PE161" i="34"/>
  <c r="PB116" i="34"/>
  <c r="PW130" i="34"/>
  <c r="OI120" i="34"/>
  <c r="LZ90" i="34"/>
  <c r="NE127" i="34"/>
  <c r="JT172" i="34"/>
  <c r="FA55" i="34"/>
  <c r="HV169" i="34"/>
  <c r="PA167" i="34"/>
  <c r="NG94" i="34"/>
  <c r="PH116" i="34"/>
  <c r="LF118" i="34"/>
  <c r="KN54" i="34"/>
  <c r="LW156" i="34"/>
  <c r="LH141" i="34"/>
  <c r="PG149" i="34"/>
  <c r="OH83" i="34"/>
  <c r="OL158" i="34"/>
  <c r="MH58" i="34"/>
  <c r="MM124" i="34"/>
  <c r="MK139" i="34"/>
  <c r="JA54" i="34"/>
  <c r="OL148" i="34"/>
  <c r="LK121" i="34"/>
  <c r="NL47" i="34"/>
  <c r="KB82" i="34"/>
  <c r="KC108" i="34"/>
  <c r="PH91" i="34"/>
  <c r="PX172" i="34"/>
  <c r="PG121" i="34"/>
  <c r="JX89" i="34"/>
  <c r="LZ59" i="34"/>
  <c r="PY151" i="34"/>
  <c r="LX145" i="34"/>
  <c r="NH85" i="34"/>
  <c r="MO104" i="34"/>
  <c r="MJ54" i="34"/>
  <c r="MI95" i="34"/>
  <c r="JA99" i="34"/>
  <c r="ON171" i="34"/>
  <c r="OH137" i="34"/>
  <c r="EB152" i="34"/>
  <c r="DD123" i="34"/>
  <c r="NH148" i="34"/>
  <c r="MC74" i="34"/>
  <c r="OJ78" i="34"/>
  <c r="AZ54" i="34"/>
  <c r="LF141" i="34"/>
  <c r="KR81" i="34"/>
  <c r="EI66" i="34"/>
  <c r="IB174" i="34"/>
  <c r="HY58" i="34"/>
  <c r="KM94" i="34"/>
  <c r="LJ71" i="34"/>
  <c r="PF53" i="34"/>
  <c r="NB116" i="34"/>
  <c r="DD80" i="34"/>
  <c r="NP166" i="34"/>
  <c r="JV148" i="34"/>
  <c r="PX106" i="34"/>
  <c r="PJ89" i="34"/>
  <c r="ON124" i="34"/>
  <c r="PF87" i="34"/>
  <c r="PD145" i="34"/>
  <c r="MD169" i="34"/>
  <c r="KM58" i="34"/>
  <c r="OI150" i="34"/>
  <c r="PF121" i="34"/>
  <c r="LZ183" i="34"/>
  <c r="HZ174" i="34"/>
  <c r="AA108" i="34"/>
  <c r="PW84" i="34"/>
  <c r="PB139" i="34"/>
  <c r="NK43" i="34"/>
  <c r="LA131" i="34"/>
  <c r="PJ58" i="34"/>
  <c r="BN110" i="34"/>
  <c r="LE93" i="34"/>
  <c r="OH68" i="34"/>
  <c r="PK186" i="34"/>
  <c r="NG70" i="34"/>
  <c r="NK147" i="34"/>
  <c r="JV126" i="34"/>
  <c r="NK158" i="34"/>
  <c r="LW110" i="34"/>
  <c r="KN155" i="34"/>
  <c r="PW149" i="34"/>
  <c r="ML74" i="34"/>
  <c r="NJ161" i="34"/>
  <c r="NM117" i="34"/>
  <c r="IZ52" i="34"/>
  <c r="KA154" i="34"/>
  <c r="OK81" i="34"/>
  <c r="PZ82" i="34"/>
  <c r="LJ94" i="34"/>
  <c r="MJ95" i="34"/>
  <c r="KC121" i="34"/>
  <c r="NE52" i="34"/>
  <c r="OO113" i="34"/>
  <c r="PI88" i="34"/>
  <c r="MG61" i="34"/>
  <c r="EI108" i="34"/>
  <c r="KL71" i="34"/>
  <c r="PE42" i="34"/>
  <c r="ML186" i="34"/>
  <c r="LW111" i="34"/>
  <c r="ND70" i="34"/>
  <c r="MG126" i="34"/>
  <c r="OJ113" i="34"/>
  <c r="PK104" i="34"/>
  <c r="IT82" i="34"/>
  <c r="JV63" i="34"/>
  <c r="PC96" i="34"/>
  <c r="OK76" i="34"/>
  <c r="PF178" i="34"/>
  <c r="MI62" i="34"/>
  <c r="PW59" i="34"/>
  <c r="LC53" i="34"/>
  <c r="NC172" i="34"/>
  <c r="PG144" i="34"/>
  <c r="MB142" i="34"/>
  <c r="JV142" i="34"/>
  <c r="KQ127" i="34"/>
  <c r="NO151" i="34"/>
  <c r="PD129" i="34"/>
  <c r="MO75" i="34"/>
  <c r="MI139" i="34"/>
  <c r="PZ142" i="34"/>
  <c r="PB106" i="34"/>
  <c r="OJ122" i="34"/>
  <c r="LC125" i="34"/>
  <c r="JX83" i="34"/>
  <c r="NH43" i="34"/>
  <c r="ON164" i="34"/>
  <c r="JU89" i="34"/>
  <c r="PH105" i="34"/>
  <c r="MH72" i="34"/>
  <c r="NO59" i="34"/>
  <c r="NB153" i="34"/>
  <c r="JX127" i="34"/>
  <c r="ID143" i="34"/>
  <c r="LJ43" i="34"/>
  <c r="LW158" i="34"/>
  <c r="ND56" i="34"/>
  <c r="CH56" i="34"/>
  <c r="JH109" i="34"/>
  <c r="LD188" i="34"/>
  <c r="MK143" i="34"/>
  <c r="MJ115" i="34"/>
  <c r="OI53" i="34"/>
  <c r="PG186" i="34"/>
  <c r="NJ168" i="34"/>
  <c r="IY160" i="34"/>
  <c r="DI173" i="34"/>
  <c r="IR115" i="34"/>
  <c r="OJ153" i="34"/>
  <c r="LD154" i="34"/>
  <c r="MI125" i="34"/>
  <c r="OL176" i="34"/>
  <c r="FN97" i="33"/>
  <c r="MM129" i="34"/>
  <c r="PB142" i="34"/>
  <c r="HG54" i="34"/>
  <c r="NP58" i="34"/>
  <c r="LA100" i="34"/>
  <c r="MF139" i="34"/>
  <c r="DY163" i="34"/>
  <c r="FR104" i="34"/>
  <c r="EY54" i="34"/>
  <c r="ML122" i="34"/>
  <c r="OI109" i="34"/>
  <c r="LZ89" i="34"/>
  <c r="MH91" i="34"/>
  <c r="MM132" i="34"/>
  <c r="ME50" i="34"/>
  <c r="OM142" i="34"/>
  <c r="HZ58" i="34"/>
  <c r="OM149" i="34"/>
  <c r="NB170" i="34"/>
  <c r="KM44" i="34"/>
  <c r="NF126" i="34"/>
  <c r="NO181" i="34"/>
  <c r="X131" i="34"/>
  <c r="PA98" i="34"/>
  <c r="LB45" i="34"/>
  <c r="OK94" i="34"/>
  <c r="OI149" i="34"/>
  <c r="PJ148" i="34"/>
  <c r="OI102" i="34"/>
  <c r="MI176" i="34"/>
  <c r="ON99" i="34"/>
  <c r="PA66" i="34"/>
  <c r="PK69" i="34"/>
  <c r="PK109" i="34"/>
  <c r="PG54" i="34"/>
  <c r="LC115" i="34"/>
  <c r="PG172" i="34"/>
  <c r="OU7" i="34"/>
  <c r="PD62" i="34"/>
  <c r="PZ52" i="34"/>
  <c r="OL71" i="34"/>
  <c r="PE157" i="34"/>
  <c r="LJ69" i="34"/>
  <c r="OL63" i="34"/>
  <c r="LK43" i="34"/>
  <c r="AD138" i="34"/>
  <c r="DC83" i="34"/>
  <c r="PB157" i="34"/>
  <c r="PK117" i="34"/>
  <c r="PI169" i="34"/>
  <c r="ME154" i="34"/>
  <c r="MH95" i="34"/>
  <c r="KA157" i="34"/>
  <c r="NG80" i="34"/>
  <c r="PX160" i="34"/>
  <c r="HX135" i="34"/>
  <c r="JF144" i="34"/>
  <c r="ON166" i="34"/>
  <c r="EE175" i="34"/>
  <c r="PJ53" i="34"/>
  <c r="MK181" i="34"/>
  <c r="PB167" i="34"/>
  <c r="PK82" i="34"/>
  <c r="NA62" i="34"/>
  <c r="PI134" i="34"/>
  <c r="CH162" i="34"/>
  <c r="PZ133" i="34"/>
  <c r="FU111" i="34"/>
  <c r="AP186" i="34"/>
  <c r="PG99" i="34"/>
  <c r="NJ132" i="34"/>
  <c r="PK95" i="34"/>
  <c r="MH63" i="34"/>
  <c r="MK88" i="34"/>
  <c r="KN130" i="34"/>
  <c r="NE104" i="34"/>
  <c r="MF86" i="34"/>
  <c r="EB54" i="34"/>
  <c r="OH146" i="34"/>
  <c r="NA144" i="34"/>
  <c r="JH148" i="34"/>
  <c r="NK170" i="34"/>
  <c r="PZ86" i="34"/>
  <c r="MM63" i="34"/>
  <c r="KQ172" i="34"/>
  <c r="ON144" i="34"/>
  <c r="OM140" i="34"/>
  <c r="IS163" i="34"/>
  <c r="PE119" i="34"/>
  <c r="JF107" i="34"/>
  <c r="EA125" i="34"/>
  <c r="NE48" i="34"/>
  <c r="LC102" i="34"/>
  <c r="PK91" i="34"/>
  <c r="LB48" i="34"/>
  <c r="KR53" i="34"/>
  <c r="FP156" i="34"/>
  <c r="LF47" i="34"/>
  <c r="PZ83" i="34"/>
  <c r="ND83" i="34"/>
  <c r="PW87" i="34"/>
  <c r="EZ151" i="34"/>
  <c r="MO112" i="34"/>
  <c r="PG89" i="34"/>
  <c r="MG156" i="34"/>
  <c r="PA152" i="34"/>
  <c r="AZ174" i="34"/>
  <c r="NK84" i="34"/>
  <c r="MH144" i="34"/>
  <c r="MH43" i="34"/>
  <c r="HD44" i="34"/>
  <c r="JF71" i="34"/>
  <c r="NB72" i="34"/>
  <c r="PE110" i="34"/>
  <c r="HU105" i="34"/>
  <c r="MA167" i="34"/>
  <c r="JB50" i="34"/>
  <c r="MH55" i="34"/>
  <c r="LF105" i="34"/>
  <c r="PF173" i="34"/>
  <c r="PW127" i="34"/>
  <c r="ID118" i="34"/>
  <c r="LG162" i="34"/>
  <c r="IU175" i="34"/>
  <c r="U84" i="34"/>
  <c r="NC157" i="34"/>
  <c r="MA97" i="34"/>
  <c r="NJ138" i="34"/>
  <c r="MU7" i="34"/>
  <c r="DY129" i="34"/>
  <c r="DV168" i="34"/>
  <c r="OL181" i="34"/>
  <c r="OI110" i="34"/>
  <c r="NA151" i="34"/>
  <c r="IU111" i="34"/>
  <c r="J92" i="34"/>
  <c r="IQ117" i="34"/>
  <c r="OL58" i="34"/>
  <c r="MB171" i="34"/>
  <c r="OK46" i="34"/>
  <c r="MG113" i="34"/>
  <c r="HZ106" i="34"/>
  <c r="ME187" i="34"/>
  <c r="PK98" i="34"/>
  <c r="EW122" i="34"/>
  <c r="HZ76" i="34"/>
  <c r="AV113" i="34"/>
  <c r="NP90" i="34"/>
  <c r="GO96" i="33"/>
  <c r="KP173" i="34"/>
  <c r="OM65" i="34"/>
  <c r="EC113" i="34"/>
  <c r="NB59" i="34"/>
  <c r="OL170" i="34"/>
  <c r="MH78" i="34"/>
  <c r="PK106" i="34"/>
  <c r="AN140" i="34"/>
  <c r="GP52" i="34"/>
  <c r="NJ151" i="34"/>
  <c r="IY76" i="34"/>
  <c r="PK158" i="34"/>
  <c r="PE57" i="34"/>
  <c r="FV118" i="34"/>
  <c r="OI168" i="34"/>
  <c r="MK138" i="34"/>
  <c r="JZ71" i="34"/>
  <c r="JZ51" i="34"/>
  <c r="MO181" i="34"/>
  <c r="FP165" i="34"/>
  <c r="PW111" i="34"/>
  <c r="NA156" i="34"/>
  <c r="OH128" i="34"/>
  <c r="DI133" i="34"/>
  <c r="LW101" i="34"/>
  <c r="PB112" i="34"/>
  <c r="NP101" i="34"/>
  <c r="PH43" i="34"/>
  <c r="PH94" i="34"/>
  <c r="OI100" i="34"/>
  <c r="PC123" i="34"/>
  <c r="PG173" i="34"/>
  <c r="OH85" i="34"/>
  <c r="FB45" i="34"/>
  <c r="LX115" i="34"/>
  <c r="PY133" i="34"/>
  <c r="PW66" i="34"/>
  <c r="PY141" i="34"/>
  <c r="ME48" i="34"/>
  <c r="ME108" i="34"/>
  <c r="OO156" i="34"/>
  <c r="OL81" i="34"/>
  <c r="PD56" i="34"/>
  <c r="CM140" i="34"/>
  <c r="HW48" i="34"/>
  <c r="FP166" i="34"/>
  <c r="LW122" i="34"/>
  <c r="LX70" i="34"/>
  <c r="NB76" i="34"/>
  <c r="PW108" i="34"/>
  <c r="PX161" i="34"/>
  <c r="PA101" i="34"/>
  <c r="MK165" i="34"/>
  <c r="KN92" i="34"/>
  <c r="JF160" i="34"/>
  <c r="ON188" i="34"/>
  <c r="KC42" i="34"/>
  <c r="MI173" i="34"/>
  <c r="ON183" i="34"/>
  <c r="OK137" i="34"/>
  <c r="EH91" i="34"/>
  <c r="MK42" i="34"/>
  <c r="OM97" i="34"/>
  <c r="NK93" i="34"/>
  <c r="NE167" i="34"/>
  <c r="BB127" i="34"/>
  <c r="PK93" i="34"/>
  <c r="LI165" i="34"/>
  <c r="PJ99" i="34"/>
  <c r="NM150" i="34"/>
  <c r="LZ82" i="34"/>
  <c r="PG128" i="34"/>
  <c r="OK112" i="34"/>
  <c r="GQ103" i="34"/>
  <c r="LD87" i="34"/>
  <c r="MG58" i="34"/>
  <c r="MM84" i="34"/>
  <c r="NP60" i="34"/>
  <c r="PC172" i="34"/>
  <c r="OM86" i="34"/>
  <c r="OH89" i="34"/>
  <c r="NH56" i="34"/>
  <c r="OO75" i="34"/>
  <c r="DX133" i="34"/>
  <c r="ON155" i="34"/>
  <c r="IE62" i="34"/>
  <c r="LX112" i="34"/>
  <c r="KC54" i="34"/>
  <c r="EG169" i="34"/>
  <c r="PA56" i="34"/>
  <c r="EQ96" i="33"/>
  <c r="MM162" i="34"/>
  <c r="LH166" i="34"/>
  <c r="KL105" i="34"/>
  <c r="DV61" i="34"/>
  <c r="IT79" i="34"/>
  <c r="OM171" i="34"/>
  <c r="LW60" i="34"/>
  <c r="CH171" i="34"/>
  <c r="AV78" i="34"/>
  <c r="OH150" i="34"/>
  <c r="GN75" i="34"/>
  <c r="MO83" i="34"/>
  <c r="AY53" i="34"/>
  <c r="PZ152" i="34"/>
  <c r="KM45" i="34"/>
  <c r="LZ78" i="34"/>
  <c r="NE43" i="34"/>
  <c r="NB54" i="34"/>
  <c r="LX79" i="34"/>
  <c r="MH178" i="34"/>
  <c r="OJ188" i="34"/>
  <c r="ML51" i="34"/>
  <c r="PD41" i="34"/>
  <c r="JG56" i="34"/>
  <c r="IW66" i="34"/>
  <c r="NJ79" i="34"/>
  <c r="NG111" i="34"/>
  <c r="HC72" i="34"/>
  <c r="IU56" i="34"/>
  <c r="MJ151" i="34"/>
  <c r="KN71" i="34"/>
  <c r="PH64" i="34"/>
  <c r="JB46" i="34"/>
  <c r="GJ136" i="34"/>
  <c r="FX54" i="34"/>
  <c r="MC60" i="34"/>
  <c r="NA68" i="34"/>
  <c r="MN126" i="34"/>
  <c r="KL49" i="34"/>
  <c r="PW153" i="34"/>
  <c r="PI161" i="34"/>
  <c r="PD44" i="34"/>
  <c r="IR176" i="34"/>
  <c r="LY163" i="34"/>
  <c r="NO129" i="34"/>
  <c r="MF121" i="34"/>
  <c r="LF128" i="34"/>
  <c r="ML115" i="34"/>
  <c r="ME45" i="34"/>
  <c r="MF98" i="34"/>
  <c r="JX155" i="34"/>
  <c r="DA79" i="34"/>
  <c r="NP187" i="34"/>
  <c r="JV86" i="34"/>
  <c r="FX148" i="34"/>
  <c r="IU154" i="34"/>
  <c r="MF154" i="34"/>
  <c r="IW44" i="34"/>
  <c r="NB69" i="34"/>
  <c r="AW159" i="34"/>
  <c r="EJ51" i="34"/>
  <c r="KR136" i="34"/>
  <c r="JU108" i="34"/>
  <c r="PY175" i="34"/>
  <c r="MB153" i="34"/>
  <c r="Y157" i="34"/>
  <c r="PA95" i="34"/>
  <c r="FS165" i="34"/>
  <c r="NA96" i="34"/>
  <c r="PZ170" i="34"/>
  <c r="PW163" i="34"/>
  <c r="PH145" i="34"/>
  <c r="IU83" i="34"/>
  <c r="MK90" i="34"/>
  <c r="NE95" i="34"/>
  <c r="JY72" i="34"/>
  <c r="NJ141" i="34"/>
  <c r="NB164" i="34"/>
  <c r="PK87" i="34"/>
  <c r="NM183" i="34"/>
  <c r="MN161" i="34"/>
  <c r="NM137" i="34"/>
  <c r="MA50" i="34"/>
  <c r="KL109" i="34"/>
  <c r="PD61" i="34"/>
  <c r="NO54" i="34"/>
  <c r="FV58" i="34"/>
  <c r="OJ159" i="34"/>
  <c r="OM161" i="34"/>
  <c r="PE187" i="34"/>
  <c r="PI83" i="34"/>
  <c r="NB80" i="34"/>
  <c r="NH147" i="34"/>
  <c r="PB89" i="34"/>
  <c r="PX141" i="34"/>
  <c r="EY45" i="34"/>
  <c r="NH81" i="34"/>
  <c r="FQ90" i="34"/>
  <c r="NE175" i="34"/>
  <c r="LK108" i="34"/>
  <c r="NH90" i="34"/>
  <c r="NJ84" i="34"/>
  <c r="GL110" i="34"/>
  <c r="LX109" i="34"/>
  <c r="MC142" i="34"/>
  <c r="JY138" i="34"/>
  <c r="MH64" i="34"/>
  <c r="LG113" i="34"/>
  <c r="IW137" i="34"/>
  <c r="HY89" i="34"/>
  <c r="PG77" i="34"/>
  <c r="EF171" i="34"/>
  <c r="LW75" i="34"/>
  <c r="IV53" i="34"/>
  <c r="ME188" i="34"/>
  <c r="KR46" i="34"/>
  <c r="PA60" i="34"/>
  <c r="EH141" i="34"/>
  <c r="MA134" i="34"/>
  <c r="MD157" i="34"/>
  <c r="PZ88" i="34"/>
  <c r="AR57" i="34"/>
  <c r="DG90" i="34"/>
  <c r="AW107" i="34"/>
  <c r="AQ161" i="34"/>
  <c r="KO148" i="34"/>
  <c r="FR142" i="34"/>
  <c r="JU133" i="34"/>
  <c r="JT60" i="34"/>
  <c r="AP101" i="34"/>
  <c r="PK118" i="34"/>
  <c r="MI155" i="34"/>
  <c r="MO125" i="34"/>
  <c r="NJ119" i="34"/>
  <c r="OI74" i="34"/>
  <c r="GN167" i="34"/>
  <c r="IV156" i="34"/>
  <c r="ME74" i="34"/>
  <c r="NM63" i="34"/>
  <c r="CF170" i="34"/>
  <c r="NL139" i="34"/>
  <c r="PY44" i="34"/>
  <c r="DB150" i="34"/>
  <c r="JW66" i="34"/>
  <c r="EB144" i="34"/>
  <c r="MN50" i="34"/>
  <c r="NA131" i="34"/>
  <c r="NP175" i="34"/>
  <c r="KO69" i="34"/>
  <c r="OO153" i="34"/>
  <c r="LZ149" i="34"/>
  <c r="V95" i="34"/>
  <c r="LH145" i="34"/>
  <c r="MD102" i="34"/>
  <c r="NC48" i="34"/>
  <c r="MI134" i="34"/>
  <c r="GQ142" i="34"/>
  <c r="EZ47" i="34"/>
  <c r="DD57" i="34"/>
  <c r="ON187" i="34"/>
  <c r="CK82" i="34"/>
  <c r="GO64" i="34"/>
  <c r="HH172" i="34"/>
  <c r="DD163" i="34"/>
  <c r="PE86" i="34"/>
  <c r="AQ55" i="34"/>
  <c r="LH64" i="34"/>
  <c r="PW106" i="34"/>
  <c r="NA48" i="34"/>
  <c r="KP154" i="34"/>
  <c r="FJ96" i="33"/>
  <c r="JB129" i="34"/>
  <c r="MM46" i="34"/>
  <c r="PF128" i="34"/>
  <c r="PA188" i="34"/>
  <c r="IR110" i="34"/>
  <c r="MH109" i="34"/>
  <c r="NJ50" i="34"/>
  <c r="JU79" i="34"/>
  <c r="IT137" i="34"/>
  <c r="PD126" i="34"/>
  <c r="MO91" i="34"/>
  <c r="NH98" i="34"/>
  <c r="CH91" i="34"/>
  <c r="IZ120" i="34"/>
  <c r="PY176" i="34"/>
  <c r="LX46" i="34"/>
  <c r="HV89" i="34"/>
  <c r="NO174" i="34"/>
  <c r="KQ115" i="34"/>
  <c r="PD128" i="34"/>
  <c r="ON43" i="34"/>
  <c r="HZ150" i="34"/>
  <c r="NO50" i="34"/>
  <c r="PC106" i="34"/>
  <c r="LA86" i="34"/>
  <c r="MM80" i="34"/>
  <c r="KB108" i="34"/>
  <c r="LC118" i="34"/>
  <c r="PH81" i="34"/>
  <c r="LJ48" i="34"/>
  <c r="ED183" i="34"/>
  <c r="NA72" i="34"/>
  <c r="IS130" i="34"/>
  <c r="PZ64" i="34"/>
  <c r="LH76" i="34"/>
  <c r="J174" i="34"/>
  <c r="NC80" i="34"/>
  <c r="HH116" i="34"/>
  <c r="IU181" i="34"/>
  <c r="AR63" i="34"/>
  <c r="MK140" i="34"/>
  <c r="OO108" i="34"/>
  <c r="FV91" i="34"/>
  <c r="JF143" i="34"/>
  <c r="NG126" i="34"/>
  <c r="Y183" i="34"/>
  <c r="PJ147" i="34"/>
  <c r="MI90" i="34"/>
  <c r="JB80" i="34"/>
  <c r="EY167" i="34"/>
  <c r="PX87" i="34"/>
  <c r="OM167" i="34"/>
  <c r="PK126" i="34"/>
  <c r="NN119" i="34"/>
  <c r="GO116" i="34"/>
  <c r="KL126" i="34"/>
  <c r="PF104" i="34"/>
  <c r="PH120" i="34"/>
  <c r="Y97" i="34"/>
  <c r="LK145" i="34"/>
  <c r="JA52" i="34"/>
  <c r="OI81" i="34"/>
  <c r="IC55" i="34"/>
  <c r="KA96" i="34"/>
  <c r="LF188" i="34"/>
  <c r="GO162" i="34"/>
  <c r="NI125" i="34"/>
  <c r="BR62" i="34"/>
  <c r="HG123" i="34"/>
  <c r="PH107" i="34"/>
  <c r="NN67" i="34"/>
  <c r="LJ120" i="34"/>
  <c r="MF61" i="34"/>
  <c r="MS5" i="34"/>
  <c r="LK51" i="34"/>
  <c r="BB166" i="34"/>
  <c r="PI59" i="34"/>
  <c r="PI80" i="34"/>
  <c r="ND166" i="34"/>
  <c r="LB88" i="34"/>
  <c r="MF131" i="34"/>
  <c r="IU127" i="34"/>
  <c r="CD136" i="34"/>
  <c r="LK69" i="34"/>
  <c r="NB60" i="34"/>
  <c r="JH63" i="34"/>
  <c r="DY124" i="34"/>
  <c r="FB84" i="34"/>
  <c r="LJ97" i="34"/>
  <c r="Y105" i="34"/>
  <c r="BR63" i="34"/>
  <c r="MM121" i="34"/>
  <c r="KP118" i="34"/>
  <c r="ME41" i="34"/>
  <c r="NN140" i="34"/>
  <c r="PE120" i="34"/>
  <c r="MO168" i="34"/>
  <c r="NG187" i="34"/>
  <c r="OL106" i="34"/>
  <c r="LA71" i="34"/>
  <c r="NL91" i="34"/>
  <c r="IV115" i="34"/>
  <c r="LC95" i="34"/>
  <c r="NE128" i="34"/>
  <c r="OH127" i="34"/>
  <c r="OI66" i="34"/>
  <c r="LE160" i="34"/>
  <c r="GP136" i="34"/>
  <c r="MF93" i="34"/>
  <c r="HW81" i="34"/>
  <c r="KQ119" i="34"/>
  <c r="JE128" i="34"/>
  <c r="HC155" i="34"/>
  <c r="OK132" i="34"/>
  <c r="LY70" i="34"/>
  <c r="MF110" i="34"/>
  <c r="OL146" i="34"/>
  <c r="MJ89" i="34"/>
  <c r="GM137" i="34"/>
  <c r="JF163" i="34"/>
  <c r="NG158" i="34"/>
  <c r="NL78" i="34"/>
  <c r="JX65" i="34"/>
  <c r="PJ69" i="34"/>
  <c r="PX115" i="34"/>
  <c r="KO85" i="34"/>
  <c r="IR59" i="34"/>
  <c r="JF94" i="34"/>
  <c r="KP67" i="34"/>
  <c r="JX115" i="34"/>
  <c r="OL123" i="34"/>
  <c r="MA117" i="34"/>
  <c r="NM135" i="34"/>
  <c r="OJ56" i="34"/>
  <c r="EO5" i="34"/>
  <c r="IY55" i="34"/>
  <c r="LY160" i="34"/>
  <c r="MC87" i="34"/>
  <c r="KA159" i="34"/>
  <c r="HY63" i="34"/>
  <c r="FR96" i="33"/>
  <c r="GO130" i="34"/>
  <c r="OM110" i="34"/>
  <c r="PB88" i="34"/>
  <c r="MI174" i="34"/>
  <c r="HG175" i="34"/>
  <c r="AT56" i="34"/>
  <c r="LK60" i="34"/>
  <c r="FO187" i="34"/>
  <c r="NG151" i="34"/>
  <c r="KQ82" i="34"/>
  <c r="PJ106" i="34"/>
  <c r="IY98" i="34"/>
  <c r="FO125" i="34"/>
  <c r="PH137" i="34"/>
  <c r="IU130" i="34"/>
  <c r="HD46" i="34"/>
  <c r="PE162" i="34"/>
  <c r="MD66" i="34"/>
  <c r="MK106" i="34"/>
  <c r="MM119" i="34"/>
  <c r="MI86" i="34"/>
  <c r="LW99" i="34"/>
  <c r="CF142" i="34"/>
  <c r="OJ141" i="34"/>
  <c r="NO138" i="34"/>
  <c r="DJ140" i="34"/>
  <c r="EB111" i="34"/>
  <c r="OI127" i="34"/>
  <c r="MM68" i="34"/>
  <c r="NP141" i="34"/>
  <c r="LZ43" i="34"/>
  <c r="PK55" i="34"/>
  <c r="MK116" i="34"/>
  <c r="PY121" i="34"/>
  <c r="PH159" i="34"/>
  <c r="W138" i="34"/>
  <c r="JD88" i="34"/>
  <c r="PQ4" i="34"/>
  <c r="OO49" i="34"/>
  <c r="CH44" i="34"/>
  <c r="CF70" i="34"/>
  <c r="OL150" i="34"/>
  <c r="OI95" i="34"/>
  <c r="NE140" i="34"/>
  <c r="OH109" i="34"/>
  <c r="NO144" i="34"/>
  <c r="LI45" i="34"/>
  <c r="MK135" i="34"/>
  <c r="MG119" i="34"/>
  <c r="KC65" i="34"/>
  <c r="MG158" i="34"/>
  <c r="KM89" i="34"/>
  <c r="JW135" i="34"/>
  <c r="PE123" i="34"/>
  <c r="MF146" i="34"/>
  <c r="JF86" i="34"/>
  <c r="PF67" i="34"/>
  <c r="JW98" i="34"/>
  <c r="PG157" i="34"/>
  <c r="NC168" i="34"/>
  <c r="MO77" i="34"/>
  <c r="FW157" i="34"/>
  <c r="HW188" i="34"/>
  <c r="KQ136" i="34"/>
  <c r="PB104" i="34"/>
  <c r="NH137" i="34"/>
  <c r="KC93" i="34"/>
  <c r="LA60" i="34"/>
  <c r="CL173" i="34"/>
  <c r="NO81" i="34"/>
  <c r="MJ150" i="34"/>
  <c r="IE68" i="34"/>
  <c r="NM96" i="34"/>
  <c r="OH178" i="34"/>
  <c r="PA150" i="34"/>
  <c r="EF54" i="34"/>
  <c r="PJ80" i="34"/>
  <c r="LK118" i="34"/>
  <c r="FV73" i="34"/>
  <c r="U73" i="34"/>
  <c r="KL188" i="34"/>
  <c r="DJ89" i="34"/>
  <c r="PE176" i="34"/>
  <c r="PF143" i="34"/>
  <c r="AD57" i="34"/>
  <c r="PH53" i="34"/>
  <c r="LJ138" i="34"/>
  <c r="NJ147" i="34"/>
  <c r="KN98" i="34"/>
  <c r="HX68" i="34"/>
  <c r="ML169" i="34"/>
  <c r="LG168" i="34"/>
  <c r="PW53" i="34"/>
  <c r="PH41" i="34"/>
  <c r="OK103" i="34"/>
  <c r="HT83" i="34"/>
  <c r="MA59" i="34"/>
  <c r="OI89" i="34"/>
  <c r="DJ50" i="34"/>
  <c r="OH131" i="34"/>
  <c r="MD95" i="34"/>
  <c r="IQ54" i="34"/>
  <c r="AQ100" i="34"/>
  <c r="PI115" i="34"/>
  <c r="DE96" i="33"/>
  <c r="OL77" i="34"/>
  <c r="NI130" i="34"/>
  <c r="IB61" i="34"/>
  <c r="IA56" i="34"/>
  <c r="PG131" i="34"/>
  <c r="CM123" i="34"/>
  <c r="MN92" i="34"/>
  <c r="JA130" i="34"/>
  <c r="KO58" i="34"/>
  <c r="ND66" i="34"/>
  <c r="FN53" i="34"/>
  <c r="PH154" i="34"/>
  <c r="DA118" i="34"/>
  <c r="FS85" i="34"/>
  <c r="PA117" i="34"/>
  <c r="PI167" i="34"/>
  <c r="JH74" i="34"/>
  <c r="PX157" i="34"/>
  <c r="GQ129" i="34"/>
  <c r="IC48" i="34"/>
  <c r="NL160" i="34"/>
  <c r="NP88" i="34"/>
  <c r="NI126" i="34"/>
  <c r="FZ96" i="33"/>
  <c r="NH160" i="34"/>
  <c r="LB104" i="34"/>
  <c r="ML178" i="34"/>
  <c r="OO168" i="34"/>
  <c r="IU99" i="34"/>
  <c r="EC72" i="34"/>
  <c r="ND41" i="34"/>
  <c r="PX175" i="34"/>
  <c r="NB107" i="34"/>
  <c r="PJ62" i="34"/>
  <c r="MG161" i="34"/>
  <c r="JC59" i="34"/>
  <c r="NA108" i="34"/>
  <c r="EY162" i="34"/>
  <c r="PD133" i="34"/>
  <c r="JW176" i="34"/>
  <c r="KB68" i="34"/>
  <c r="MF76" i="34"/>
  <c r="NF43" i="34"/>
  <c r="OK170" i="34"/>
  <c r="IY42" i="34"/>
  <c r="PK89" i="34"/>
  <c r="EJ121" i="34"/>
  <c r="MS6" i="34"/>
  <c r="NI170" i="34"/>
  <c r="NK105" i="34"/>
  <c r="PD48" i="34"/>
  <c r="MH86" i="34"/>
  <c r="LF56" i="34"/>
  <c r="EG49" i="34"/>
  <c r="MN45" i="34"/>
  <c r="LE103" i="34"/>
  <c r="LI152" i="34"/>
  <c r="NM68" i="34"/>
  <c r="IQ161" i="34"/>
  <c r="MO115" i="34"/>
  <c r="KB106" i="34"/>
  <c r="NC125" i="34"/>
  <c r="EF60" i="34"/>
  <c r="ML136" i="34"/>
  <c r="LB124" i="34"/>
  <c r="KA42" i="34"/>
  <c r="LX105" i="34"/>
  <c r="PC76" i="34"/>
  <c r="CD140" i="34"/>
  <c r="MA138" i="34"/>
  <c r="NJ123" i="34"/>
  <c r="PC165" i="34"/>
  <c r="NH45" i="34"/>
  <c r="BQ75" i="34"/>
  <c r="MM92" i="34"/>
  <c r="OO66" i="34"/>
  <c r="NG172" i="34"/>
  <c r="KQ139" i="34"/>
  <c r="JG44" i="34"/>
  <c r="JD47" i="34"/>
  <c r="PC126" i="34"/>
  <c r="IU50" i="34"/>
  <c r="EJ138" i="34"/>
  <c r="PF56" i="34"/>
  <c r="NO132" i="34"/>
  <c r="MA62" i="34"/>
  <c r="PH111" i="34"/>
  <c r="NC52" i="34"/>
  <c r="NM100" i="34"/>
  <c r="OM52" i="34"/>
  <c r="IW166" i="34"/>
  <c r="PI47" i="34"/>
  <c r="NH91" i="34"/>
  <c r="PF125" i="34"/>
  <c r="NA138" i="34"/>
  <c r="MB124" i="34"/>
  <c r="MB162" i="34"/>
  <c r="PE148" i="34"/>
  <c r="DF146" i="34"/>
  <c r="LI110" i="34"/>
  <c r="LY74" i="34"/>
  <c r="IW168" i="34"/>
  <c r="JE120" i="34"/>
  <c r="ME172" i="34"/>
  <c r="NG108" i="34"/>
  <c r="PD112" i="34"/>
  <c r="LA141" i="34"/>
  <c r="JX147" i="34"/>
  <c r="LK164" i="34"/>
  <c r="HT186" i="34"/>
  <c r="NA137" i="34"/>
  <c r="KO78" i="34"/>
  <c r="NI41" i="34"/>
  <c r="IR155" i="34"/>
  <c r="PF50" i="34"/>
  <c r="FB118" i="34"/>
  <c r="PK58" i="34"/>
  <c r="PX117" i="34"/>
  <c r="OI164" i="34"/>
  <c r="HF115" i="34"/>
  <c r="NP181" i="34"/>
  <c r="HY125" i="34"/>
  <c r="KM115" i="34"/>
  <c r="PE87" i="34"/>
  <c r="PD188" i="34"/>
  <c r="NC145" i="34"/>
  <c r="PD171" i="34"/>
  <c r="AS156" i="34"/>
  <c r="FS90" i="34"/>
  <c r="GJ111" i="34"/>
  <c r="PA76" i="34"/>
  <c r="OK73" i="34"/>
  <c r="GM69" i="34"/>
  <c r="GJ45" i="34"/>
  <c r="NN52" i="34"/>
  <c r="OJ172" i="34"/>
  <c r="JB87" i="34"/>
  <c r="OH55" i="34"/>
  <c r="MH62" i="34"/>
  <c r="PI127" i="34"/>
  <c r="NB178" i="34"/>
  <c r="NC42" i="34"/>
  <c r="IT53" i="34"/>
  <c r="OK151" i="34"/>
  <c r="PW167" i="34"/>
  <c r="IY186" i="34"/>
  <c r="Y43" i="34"/>
  <c r="OM131" i="34"/>
  <c r="OK57" i="34"/>
  <c r="ND51" i="34"/>
  <c r="IQ122" i="34"/>
  <c r="NA94" i="34"/>
  <c r="LX141" i="34"/>
  <c r="PD174" i="34"/>
  <c r="MI63" i="34"/>
  <c r="PZ178" i="34"/>
  <c r="OL159" i="34"/>
  <c r="OI82" i="34"/>
  <c r="OI128" i="34"/>
  <c r="PH109" i="34"/>
  <c r="DG49" i="34"/>
  <c r="LX73" i="34"/>
  <c r="MG57" i="34"/>
  <c r="JW106" i="34"/>
  <c r="MG140" i="34"/>
  <c r="FO63" i="34"/>
  <c r="KP155" i="34"/>
  <c r="IZ125" i="34"/>
  <c r="AB170" i="34"/>
  <c r="JY44" i="34"/>
  <c r="EF50" i="34"/>
  <c r="MM57" i="34"/>
  <c r="LK73" i="34"/>
  <c r="JH81" i="34"/>
  <c r="KR133" i="34"/>
  <c r="MN106" i="34"/>
  <c r="PA106" i="34"/>
  <c r="KL96" i="34"/>
  <c r="PC108" i="34"/>
  <c r="OM154" i="34"/>
  <c r="PH58" i="34"/>
  <c r="PK132" i="34"/>
  <c r="PI144" i="34"/>
  <c r="FU176" i="34"/>
  <c r="LD171" i="34"/>
  <c r="ML183" i="34"/>
  <c r="MA56" i="34"/>
  <c r="NK46" i="34"/>
  <c r="IW68" i="34"/>
  <c r="MA54" i="34"/>
  <c r="LG155" i="34"/>
  <c r="PD74" i="34"/>
  <c r="NI159" i="34"/>
  <c r="IV120" i="34"/>
  <c r="ML104" i="34"/>
  <c r="KN178" i="34"/>
  <c r="LF46" i="34"/>
  <c r="GK58" i="34"/>
  <c r="HF135" i="34"/>
  <c r="HV103" i="34"/>
  <c r="PX104" i="34"/>
  <c r="PA72" i="34"/>
  <c r="PZ108" i="34"/>
  <c r="IW129" i="34"/>
  <c r="PH97" i="34"/>
  <c r="NF56" i="34"/>
  <c r="OH181" i="34"/>
  <c r="JH160" i="34"/>
  <c r="EG60" i="34"/>
  <c r="EJ42" i="34"/>
  <c r="ON41" i="34"/>
  <c r="FB43" i="34"/>
  <c r="JH129" i="34"/>
  <c r="IU120" i="34"/>
  <c r="ON161" i="34"/>
  <c r="FR126" i="34"/>
  <c r="FW97" i="34"/>
  <c r="ML102" i="34"/>
  <c r="LA148" i="34"/>
  <c r="CD125" i="34"/>
  <c r="JW123" i="34"/>
  <c r="LF68" i="34"/>
  <c r="LA160" i="34"/>
  <c r="EI127" i="34"/>
  <c r="PH160" i="34"/>
  <c r="MK99" i="34"/>
  <c r="JZ130" i="34"/>
  <c r="HT176" i="34"/>
  <c r="LW57" i="34"/>
  <c r="OU4" i="34"/>
  <c r="PE72" i="34"/>
  <c r="PZ50" i="34"/>
  <c r="CJ158" i="34"/>
  <c r="ON108" i="34"/>
  <c r="AW118" i="34"/>
  <c r="ON135" i="34"/>
  <c r="LD47" i="34"/>
  <c r="JA60" i="34"/>
  <c r="KN66" i="34"/>
  <c r="PI53" i="34"/>
  <c r="OO123" i="34"/>
  <c r="MC59" i="34"/>
  <c r="PX78" i="34"/>
  <c r="JZ118" i="34"/>
  <c r="NI172" i="34"/>
  <c r="HU128" i="34"/>
  <c r="PK116" i="34"/>
  <c r="PX54" i="34"/>
  <c r="PB85" i="34"/>
  <c r="OO107" i="34"/>
  <c r="PA136" i="34"/>
  <c r="MJ172" i="34"/>
  <c r="PE172" i="34"/>
  <c r="MB138" i="34"/>
  <c r="PX112" i="34"/>
  <c r="PH166" i="34"/>
  <c r="MD41" i="34"/>
  <c r="MN99" i="34"/>
  <c r="LX42" i="34"/>
  <c r="EA137" i="34"/>
  <c r="FP128" i="34"/>
  <c r="MN98" i="34"/>
  <c r="NF90" i="34"/>
  <c r="OM164" i="34"/>
  <c r="NG107" i="34"/>
  <c r="MG102" i="34"/>
  <c r="JU50" i="34"/>
  <c r="JZ66" i="34"/>
  <c r="DA147" i="34"/>
  <c r="LJ110" i="34"/>
  <c r="NG161" i="34"/>
  <c r="KM81" i="34"/>
  <c r="NB102" i="34"/>
  <c r="JC168" i="34"/>
  <c r="ID66" i="34"/>
  <c r="MN107" i="34"/>
  <c r="NM126" i="34"/>
  <c r="AM90" i="34"/>
  <c r="NN133" i="34"/>
  <c r="JF173" i="34"/>
  <c r="NN70" i="34"/>
  <c r="OI183" i="34"/>
  <c r="NB111" i="34"/>
  <c r="NA166" i="34"/>
  <c r="MK130" i="34"/>
  <c r="GJ50" i="34"/>
  <c r="MA131" i="34"/>
  <c r="ON138" i="34"/>
  <c r="GJ53" i="34"/>
  <c r="OK186" i="34"/>
  <c r="PB42" i="34"/>
  <c r="PA144" i="34"/>
  <c r="OI136" i="34"/>
  <c r="MH79" i="34"/>
  <c r="PB126" i="34"/>
  <c r="PE53" i="34"/>
  <c r="CJ26" i="33"/>
  <c r="MB58" i="34"/>
  <c r="PZ148" i="34"/>
  <c r="FB153" i="34"/>
  <c r="MI93" i="34"/>
  <c r="W151" i="34"/>
  <c r="NA163" i="34"/>
  <c r="EY75" i="34"/>
  <c r="PC42" i="34"/>
  <c r="NI53" i="34"/>
  <c r="LE183" i="34"/>
  <c r="MJ97" i="34"/>
  <c r="NP150" i="34"/>
  <c r="IU187" i="34"/>
  <c r="X174" i="34"/>
  <c r="PC78" i="34"/>
  <c r="OM58" i="34"/>
  <c r="BP126" i="34"/>
  <c r="PY188" i="34"/>
  <c r="ND125" i="34"/>
  <c r="LY124" i="34"/>
  <c r="NO134" i="34"/>
  <c r="JB78" i="34"/>
  <c r="JX52" i="34"/>
  <c r="NJ156" i="34"/>
  <c r="DV94" i="34"/>
  <c r="NF107" i="34"/>
  <c r="PG142" i="34"/>
  <c r="PD66" i="34"/>
  <c r="PE126" i="34"/>
  <c r="NO52" i="34"/>
  <c r="MK51" i="34"/>
  <c r="PY169" i="34"/>
  <c r="IQ102" i="34"/>
  <c r="LF59" i="34"/>
  <c r="MD161" i="34"/>
  <c r="MF112" i="34"/>
  <c r="KO91" i="34"/>
  <c r="NK163" i="34"/>
  <c r="OJ137" i="34"/>
  <c r="LK76" i="34"/>
  <c r="IA168" i="34"/>
  <c r="EC54" i="34"/>
  <c r="PW76" i="34"/>
  <c r="PG168" i="34"/>
  <c r="PZ186" i="34"/>
  <c r="JD86" i="34"/>
  <c r="KQ52" i="34"/>
  <c r="DG168" i="34"/>
  <c r="PW141" i="34"/>
  <c r="NA97" i="34"/>
  <c r="MI156" i="34"/>
  <c r="MA113" i="34"/>
  <c r="IW115" i="34"/>
  <c r="MD147" i="34"/>
  <c r="LY138" i="34"/>
  <c r="OH160" i="34"/>
  <c r="MF102" i="34"/>
  <c r="ND187" i="34"/>
  <c r="ON64" i="34"/>
  <c r="NG96" i="34"/>
  <c r="KA164" i="34"/>
  <c r="OJ131" i="34"/>
  <c r="OH176" i="34"/>
  <c r="KC106" i="34"/>
  <c r="PY178" i="34"/>
  <c r="PA131" i="34"/>
  <c r="JB54" i="34"/>
  <c r="NH64" i="34"/>
  <c r="HZ43" i="34"/>
  <c r="PK43" i="34"/>
  <c r="MH111" i="34"/>
  <c r="MO76" i="34"/>
  <c r="JC82" i="34"/>
  <c r="OK60" i="34"/>
  <c r="NE138" i="34"/>
  <c r="KR163" i="34"/>
  <c r="NB166" i="34"/>
  <c r="PZ175" i="34"/>
  <c r="PY94" i="34"/>
  <c r="AC79" i="34"/>
  <c r="OH132" i="34"/>
  <c r="FU163" i="34"/>
  <c r="EJ112" i="34"/>
  <c r="KC127" i="34"/>
  <c r="NG76" i="34"/>
  <c r="CJ170" i="34"/>
  <c r="HF140" i="34"/>
  <c r="MJ79" i="34"/>
  <c r="ON82" i="34"/>
  <c r="ON98" i="34"/>
  <c r="EW57" i="34"/>
  <c r="IZ128" i="34"/>
  <c r="KN80" i="34"/>
  <c r="OJ83" i="34"/>
  <c r="PK79" i="34"/>
  <c r="KC165" i="34"/>
  <c r="LZ93" i="34"/>
  <c r="MJ135" i="34"/>
  <c r="LI142" i="34"/>
  <c r="PE122" i="34"/>
  <c r="HE48" i="34"/>
  <c r="NH150" i="34"/>
  <c r="NM57" i="34"/>
  <c r="NG74" i="34"/>
  <c r="PJ105" i="34"/>
  <c r="MO129" i="34"/>
  <c r="JZ80" i="34"/>
  <c r="BA62" i="34"/>
  <c r="MF158" i="34"/>
  <c r="JG159" i="34"/>
  <c r="BB143" i="34"/>
  <c r="JX102" i="34"/>
  <c r="KL150" i="34"/>
  <c r="NF117" i="34"/>
  <c r="Y74" i="34"/>
  <c r="IT128" i="34"/>
  <c r="FO51" i="34"/>
  <c r="IY181" i="34"/>
  <c r="PW165" i="34"/>
  <c r="PA79" i="34"/>
  <c r="MN90" i="34"/>
  <c r="IE71" i="34"/>
  <c r="JU118" i="34"/>
  <c r="PG108" i="34"/>
  <c r="KM176" i="34"/>
  <c r="OL92" i="34"/>
  <c r="OJ187" i="34"/>
  <c r="NK100" i="34"/>
  <c r="LH144" i="34"/>
  <c r="PH113" i="34"/>
  <c r="IA54" i="34"/>
  <c r="OI148" i="34"/>
  <c r="PG150" i="34"/>
  <c r="MC171" i="34"/>
  <c r="FR151" i="34"/>
  <c r="JV125" i="34"/>
  <c r="NO176" i="34"/>
  <c r="IA89" i="34"/>
  <c r="MN165" i="34"/>
  <c r="GK51" i="34"/>
  <c r="LY148" i="34"/>
  <c r="NP171" i="34"/>
  <c r="ME166" i="34"/>
  <c r="LA70" i="34"/>
  <c r="PX48" i="34"/>
  <c r="LA152" i="34"/>
  <c r="PC100" i="34"/>
  <c r="PI128" i="34"/>
  <c r="FQ75" i="34"/>
  <c r="NE113" i="34"/>
  <c r="HE174" i="34"/>
  <c r="NM93" i="34"/>
  <c r="LC59" i="34"/>
  <c r="GP46" i="34"/>
  <c r="PY74" i="34"/>
  <c r="LE153" i="34"/>
  <c r="ND67" i="34"/>
  <c r="OL48" i="34"/>
  <c r="PZ147" i="34"/>
  <c r="LA93" i="34"/>
  <c r="ND169" i="34"/>
  <c r="NH145" i="34"/>
  <c r="OH93" i="34"/>
  <c r="OK136" i="34"/>
  <c r="PH68" i="34"/>
  <c r="KN91" i="34"/>
  <c r="LF55" i="34"/>
  <c r="HU68" i="34"/>
  <c r="MM74" i="34"/>
  <c r="NB68" i="34"/>
  <c r="NL124" i="34"/>
  <c r="DF41" i="34"/>
  <c r="DG169" i="34"/>
  <c r="KP93" i="34"/>
  <c r="KQ100" i="34"/>
  <c r="ML65" i="34"/>
  <c r="KC71" i="34"/>
  <c r="HU187" i="34"/>
  <c r="LY139" i="34"/>
  <c r="EK126" i="34"/>
  <c r="JD64" i="34"/>
  <c r="LY86" i="34"/>
  <c r="KL98" i="34"/>
  <c r="BQ120" i="34"/>
  <c r="KQ157" i="34"/>
  <c r="OM133" i="34"/>
  <c r="MB188" i="34"/>
  <c r="PF116" i="34"/>
  <c r="NB151" i="34"/>
  <c r="JE132" i="34"/>
  <c r="PD166" i="34"/>
  <c r="NH108" i="34"/>
  <c r="NB160" i="34"/>
  <c r="EB51" i="34"/>
  <c r="HY167" i="34"/>
  <c r="NE44" i="34"/>
  <c r="NF119" i="34"/>
  <c r="MF148" i="34"/>
  <c r="KB110" i="34"/>
  <c r="LF93" i="34"/>
  <c r="JD115" i="34"/>
  <c r="IZ103" i="34"/>
  <c r="ND148" i="34"/>
  <c r="GL85" i="34"/>
  <c r="OI87" i="34"/>
  <c r="HH183" i="34"/>
  <c r="OI77" i="34"/>
  <c r="NI94" i="34"/>
  <c r="OH154" i="34"/>
  <c r="NJ93" i="34"/>
  <c r="LH154" i="34"/>
  <c r="AV161" i="34"/>
  <c r="JF119" i="34"/>
  <c r="JY69" i="34"/>
  <c r="DV164" i="34"/>
  <c r="MM95" i="34"/>
  <c r="LD124" i="34"/>
  <c r="NN42" i="34"/>
  <c r="FU169" i="34"/>
  <c r="NP124" i="34"/>
  <c r="ND64" i="34"/>
  <c r="OO122" i="34"/>
  <c r="MG84" i="34"/>
  <c r="IA146" i="34"/>
  <c r="KR104" i="34"/>
  <c r="PF75" i="34"/>
  <c r="MO150" i="34"/>
  <c r="IY44" i="34"/>
  <c r="PB158" i="34"/>
  <c r="LG131" i="34"/>
  <c r="OI94" i="34"/>
  <c r="NH112" i="34"/>
  <c r="PE152" i="34"/>
  <c r="AO171" i="34"/>
  <c r="MF68" i="34"/>
  <c r="PG101" i="34"/>
  <c r="DZ188" i="34"/>
  <c r="PW166" i="34"/>
  <c r="KM117" i="34"/>
  <c r="PG155" i="34"/>
  <c r="EB142" i="34"/>
  <c r="CM151" i="34"/>
  <c r="GP72" i="34"/>
  <c r="IZ92" i="34"/>
  <c r="NB120" i="34"/>
  <c r="HX159" i="34"/>
  <c r="MC56" i="34"/>
  <c r="GP121" i="34"/>
  <c r="NF181" i="34"/>
  <c r="PI108" i="34"/>
  <c r="HY62" i="34"/>
  <c r="CN69" i="34"/>
  <c r="PF61" i="34"/>
  <c r="PY166" i="34"/>
  <c r="IY164" i="34"/>
  <c r="NK166" i="34"/>
  <c r="PE133" i="34"/>
  <c r="FV94" i="34"/>
  <c r="JD143" i="34"/>
  <c r="MM142" i="34"/>
  <c r="NP154" i="34"/>
  <c r="PA159" i="34"/>
  <c r="PI138" i="34"/>
  <c r="KN78" i="34"/>
  <c r="PB59" i="34"/>
  <c r="PB105" i="34"/>
  <c r="NM55" i="34"/>
  <c r="FR80" i="34"/>
  <c r="KL176" i="34"/>
  <c r="LZ41" i="34"/>
  <c r="PI79" i="34"/>
  <c r="MB104" i="34"/>
  <c r="NA59" i="34"/>
  <c r="PD125" i="34"/>
  <c r="EZ124" i="34"/>
  <c r="OL116" i="34"/>
  <c r="NF89" i="34"/>
  <c r="IY115" i="34"/>
  <c r="FA64" i="34"/>
  <c r="EF48" i="34"/>
  <c r="CO141" i="34"/>
  <c r="ND53" i="34"/>
  <c r="KL155" i="34"/>
  <c r="LF131" i="34"/>
  <c r="ML90" i="34"/>
  <c r="JW62" i="34"/>
  <c r="DW154" i="34"/>
  <c r="LZ147" i="34"/>
  <c r="JZ106" i="34"/>
  <c r="PG91" i="34"/>
  <c r="NF122" i="34"/>
  <c r="LW174" i="34"/>
  <c r="KO56" i="34"/>
  <c r="MI171" i="34"/>
  <c r="OL44" i="34"/>
  <c r="OL51" i="34"/>
  <c r="AM156" i="34"/>
  <c r="OL128" i="34"/>
  <c r="EZ95" i="34"/>
  <c r="MJ86" i="34"/>
  <c r="LA165" i="34"/>
  <c r="IT80" i="34"/>
  <c r="PD155" i="34"/>
  <c r="PB102" i="34"/>
  <c r="NO160" i="34"/>
  <c r="KQ162" i="34"/>
  <c r="NL49" i="34"/>
  <c r="IU168" i="34"/>
  <c r="MK95" i="34"/>
  <c r="NL51" i="34"/>
  <c r="JW181" i="34"/>
  <c r="OI93" i="34"/>
  <c r="BN150" i="34"/>
  <c r="ID57" i="34"/>
  <c r="HF72" i="34"/>
  <c r="OL109" i="34"/>
  <c r="ED53" i="34"/>
  <c r="IZ187" i="34"/>
  <c r="PX74" i="34"/>
  <c r="MO166" i="34"/>
  <c r="PY119" i="34"/>
  <c r="PY164" i="34"/>
  <c r="PD70" i="34"/>
  <c r="MD45" i="34"/>
  <c r="AQ120" i="34"/>
  <c r="IU51" i="34"/>
  <c r="FN142" i="34"/>
  <c r="BA60" i="34"/>
  <c r="NJ101" i="34"/>
  <c r="EZ91" i="34"/>
  <c r="LX74" i="34"/>
  <c r="ML159" i="34"/>
  <c r="OM68" i="34"/>
  <c r="OH134" i="34"/>
  <c r="NI137" i="34"/>
  <c r="NA86" i="34"/>
  <c r="DW106" i="34"/>
  <c r="ND107" i="34"/>
  <c r="PB78" i="34"/>
  <c r="PF188" i="34"/>
  <c r="PX72" i="34"/>
  <c r="CO107" i="34"/>
  <c r="DG101" i="34"/>
  <c r="PK164" i="34"/>
  <c r="PH124" i="34"/>
  <c r="NH178" i="34"/>
  <c r="PD118" i="34"/>
  <c r="NC57" i="34"/>
  <c r="PY56" i="34"/>
  <c r="NK115" i="34"/>
  <c r="KL144" i="34"/>
  <c r="HZ109" i="34"/>
  <c r="IA126" i="34"/>
  <c r="W171" i="34"/>
  <c r="IS131" i="34"/>
  <c r="PA138" i="34"/>
  <c r="OO104" i="34"/>
  <c r="KB164" i="34"/>
  <c r="OO132" i="34"/>
  <c r="NN150" i="34"/>
  <c r="NI123" i="34"/>
  <c r="NI151" i="34"/>
  <c r="MC146" i="34"/>
  <c r="LW117" i="34"/>
  <c r="KQ142" i="34"/>
  <c r="PY137" i="34"/>
  <c r="GN158" i="34"/>
  <c r="ND44" i="34"/>
  <c r="GL76" i="34"/>
  <c r="PJ135" i="34"/>
  <c r="PY117" i="34"/>
  <c r="ND172" i="34"/>
  <c r="NB187" i="34"/>
  <c r="OH78" i="34"/>
  <c r="KA155" i="34"/>
  <c r="OL88" i="34"/>
  <c r="PW68" i="34"/>
  <c r="KP56" i="34"/>
  <c r="LW178" i="34"/>
  <c r="IT140" i="34"/>
  <c r="ND139" i="34"/>
  <c r="GK92" i="34"/>
  <c r="NK87" i="34"/>
  <c r="PA88" i="34"/>
  <c r="HX116" i="34"/>
  <c r="PI49" i="34"/>
  <c r="PZ92" i="34"/>
  <c r="GJ58" i="34"/>
  <c r="MH108" i="34"/>
  <c r="EJ162" i="34"/>
  <c r="MI66" i="34"/>
  <c r="MM107" i="34"/>
  <c r="ML103" i="34"/>
  <c r="OO157" i="34"/>
  <c r="HF107" i="34"/>
  <c r="JT104" i="34"/>
  <c r="PD132" i="34"/>
  <c r="ML125" i="34"/>
  <c r="FA124" i="34"/>
  <c r="NI79" i="34"/>
  <c r="KP76" i="34"/>
  <c r="NK174" i="34"/>
  <c r="PG96" i="34"/>
  <c r="MO48" i="34"/>
  <c r="NB103" i="34"/>
  <c r="EH62" i="34"/>
  <c r="PJ65" i="34"/>
  <c r="IQ77" i="34"/>
  <c r="PC93" i="34"/>
  <c r="NL175" i="34"/>
  <c r="FT84" i="34"/>
  <c r="EA61" i="34"/>
  <c r="PI162" i="34"/>
  <c r="PE147" i="34"/>
  <c r="JX183" i="34"/>
  <c r="GO143" i="34"/>
  <c r="IA153" i="34"/>
  <c r="W79" i="34"/>
  <c r="ND146" i="34"/>
  <c r="GJ152" i="34"/>
  <c r="OH135" i="34"/>
  <c r="BQ104" i="34"/>
  <c r="NG41" i="34"/>
  <c r="AB92" i="34"/>
  <c r="NA155" i="34"/>
  <c r="MF105" i="34"/>
  <c r="MJ109" i="34"/>
  <c r="PF156" i="34"/>
  <c r="NF149" i="34"/>
  <c r="PE62" i="34"/>
  <c r="HW85" i="34"/>
  <c r="LW187" i="34"/>
  <c r="NA85" i="34"/>
  <c r="PG57" i="34"/>
  <c r="NP94" i="34"/>
  <c r="MH145" i="34"/>
  <c r="ID58" i="34"/>
  <c r="PB65" i="34"/>
  <c r="OK80" i="34"/>
  <c r="GL102" i="34"/>
  <c r="IW45" i="34"/>
  <c r="PC57" i="34"/>
  <c r="CL73" i="34"/>
  <c r="MF143" i="34"/>
  <c r="PD120" i="34"/>
  <c r="OH152" i="34"/>
  <c r="LW123" i="34"/>
  <c r="NA45" i="34"/>
  <c r="KL139" i="34"/>
  <c r="LE75" i="34"/>
  <c r="HC136" i="34"/>
  <c r="ML86" i="34"/>
  <c r="LZ48" i="34"/>
  <c r="MJ116" i="34"/>
  <c r="IQ81" i="34"/>
  <c r="IZ115" i="34"/>
  <c r="DY155" i="34"/>
  <c r="NN155" i="34"/>
  <c r="PD170" i="34"/>
  <c r="KL43" i="34"/>
  <c r="FR48" i="34"/>
  <c r="KC81" i="34"/>
  <c r="KL151" i="34"/>
  <c r="NP43" i="34"/>
  <c r="KB187" i="34"/>
  <c r="DZ58" i="34"/>
  <c r="JG67" i="34"/>
  <c r="OI187" i="34"/>
  <c r="EA188" i="34"/>
  <c r="HX60" i="34"/>
  <c r="X127" i="34"/>
  <c r="AC51" i="34"/>
  <c r="MO82" i="34"/>
  <c r="U96" i="33"/>
  <c r="NK167" i="34"/>
  <c r="NN174" i="34"/>
  <c r="OH107" i="34"/>
  <c r="OH69" i="34"/>
  <c r="LH155" i="34"/>
  <c r="HF100" i="34"/>
  <c r="NP138" i="34"/>
  <c r="OM134" i="34"/>
  <c r="Y89" i="34"/>
  <c r="MD141" i="34"/>
  <c r="PJ64" i="34"/>
  <c r="OL60" i="34"/>
  <c r="ML106" i="34"/>
  <c r="LJ148" i="34"/>
  <c r="NP95" i="34"/>
  <c r="PB161" i="34"/>
  <c r="OO146" i="34"/>
  <c r="OO68" i="34"/>
  <c r="PJ52" i="34"/>
  <c r="PA90" i="34"/>
  <c r="LY77" i="34"/>
  <c r="NK54" i="34"/>
  <c r="LC54" i="34"/>
  <c r="PA118" i="34"/>
  <c r="MN130" i="34"/>
  <c r="IZ124" i="34"/>
  <c r="OH45" i="34"/>
  <c r="PE69" i="34"/>
  <c r="DW125" i="34"/>
  <c r="LK150" i="34"/>
  <c r="MJ161" i="34"/>
  <c r="HF70" i="34"/>
  <c r="PW115" i="34"/>
  <c r="NG123" i="34"/>
  <c r="IU98" i="34"/>
  <c r="LW96" i="34"/>
  <c r="JX131" i="34"/>
  <c r="MD57" i="34"/>
  <c r="BR53" i="34"/>
  <c r="PA164" i="34"/>
  <c r="OH101" i="34"/>
  <c r="HF50" i="34"/>
  <c r="PY127" i="34"/>
  <c r="GM122" i="34"/>
  <c r="NC60" i="34"/>
  <c r="IW99" i="34"/>
  <c r="PD152" i="34"/>
  <c r="MG47" i="34"/>
  <c r="BP120" i="34"/>
  <c r="OH104" i="34"/>
  <c r="LY48" i="34"/>
  <c r="KP183" i="34"/>
  <c r="PK84" i="34"/>
  <c r="PE70" i="34"/>
  <c r="PY58" i="34"/>
  <c r="IU63" i="34"/>
  <c r="LJ173" i="34"/>
  <c r="OL84" i="34"/>
  <c r="LY100" i="34"/>
  <c r="V163" i="34"/>
  <c r="LY57" i="34"/>
  <c r="LY173" i="34"/>
  <c r="NL53" i="34"/>
  <c r="PK110" i="34"/>
  <c r="PX101" i="34"/>
  <c r="MO84" i="34"/>
  <c r="LW83" i="34"/>
  <c r="PI51" i="34"/>
  <c r="IA102" i="34"/>
  <c r="GL175" i="34"/>
  <c r="J186" i="34"/>
  <c r="MF45" i="34"/>
  <c r="PB117" i="34"/>
  <c r="OM148" i="34"/>
  <c r="MI78" i="34"/>
  <c r="EJ164" i="34"/>
  <c r="JD107" i="34"/>
  <c r="HG52" i="34"/>
  <c r="AS63" i="34"/>
  <c r="PH60" i="34"/>
  <c r="FW48" i="34"/>
  <c r="HC90" i="34"/>
  <c r="FB162" i="34"/>
  <c r="MH143" i="34"/>
  <c r="PB43" i="34"/>
  <c r="MJ163" i="34"/>
  <c r="IU108" i="34"/>
  <c r="DJ172" i="34"/>
  <c r="EY97" i="34"/>
  <c r="NB176" i="34"/>
  <c r="OJ110" i="34"/>
  <c r="LY88" i="34"/>
  <c r="AR45" i="34"/>
  <c r="NL59" i="34"/>
  <c r="LH87" i="34"/>
  <c r="LC58" i="34"/>
  <c r="IZ85" i="34"/>
  <c r="PW91" i="34"/>
  <c r="ON141" i="34"/>
  <c r="IC133" i="34"/>
  <c r="IQ70" i="34"/>
  <c r="HG150" i="34"/>
  <c r="MI126" i="34"/>
  <c r="PE89" i="34"/>
  <c r="W72" i="34"/>
  <c r="LK67" i="34"/>
  <c r="NL46" i="34"/>
  <c r="NB188" i="34"/>
  <c r="OJ128" i="34"/>
  <c r="FN41" i="34"/>
  <c r="OJ74" i="34"/>
  <c r="PY136" i="34"/>
  <c r="KA101" i="34"/>
  <c r="PZ84" i="34"/>
  <c r="AS107" i="34"/>
  <c r="KP167" i="34"/>
  <c r="IV52" i="34"/>
  <c r="NB90" i="34"/>
  <c r="IW69" i="34"/>
  <c r="IU97" i="34"/>
  <c r="MB43" i="34"/>
  <c r="KM74" i="34"/>
  <c r="LC43" i="34"/>
  <c r="GP112" i="34"/>
  <c r="OL169" i="34"/>
  <c r="MK63" i="34"/>
  <c r="NJ72" i="34"/>
  <c r="IB135" i="34"/>
  <c r="JC188" i="34"/>
  <c r="NE61" i="34"/>
  <c r="ND103" i="34"/>
  <c r="PI65" i="34"/>
  <c r="MN144" i="34"/>
  <c r="LK50" i="34"/>
  <c r="NB141" i="34"/>
  <c r="MB110" i="34"/>
  <c r="MI137" i="34"/>
  <c r="CK112" i="34"/>
  <c r="JW74" i="34"/>
  <c r="KQ133" i="34"/>
  <c r="NG167" i="34"/>
  <c r="IA155" i="34"/>
  <c r="GP154" i="34"/>
  <c r="JG120" i="34"/>
  <c r="LA122" i="34"/>
  <c r="IY120" i="34"/>
  <c r="DG59" i="34"/>
  <c r="LZ58" i="34"/>
  <c r="OJ119" i="34"/>
  <c r="MG136" i="34"/>
  <c r="MD166" i="34"/>
  <c r="NP82" i="34"/>
  <c r="IZ104" i="34"/>
  <c r="PI152" i="34"/>
  <c r="NF82" i="34"/>
  <c r="PZ53" i="34"/>
  <c r="ML131" i="34"/>
  <c r="NH158" i="34"/>
  <c r="HH68" i="34"/>
  <c r="LB95" i="34"/>
  <c r="NL74" i="34"/>
  <c r="NB173" i="34"/>
  <c r="AB86" i="34"/>
  <c r="AD100" i="34"/>
  <c r="LG87" i="34"/>
  <c r="AW87" i="34"/>
  <c r="ON167" i="34"/>
  <c r="NP59" i="34"/>
  <c r="ON75" i="34"/>
  <c r="PG166" i="34"/>
  <c r="CN80" i="34"/>
  <c r="LZ81" i="34"/>
  <c r="OJ155" i="34"/>
  <c r="HT112" i="34"/>
  <c r="PA94" i="34"/>
  <c r="IQ115" i="34"/>
  <c r="MH139" i="34"/>
  <c r="KL102" i="34"/>
  <c r="JF129" i="34"/>
  <c r="PD101" i="34"/>
  <c r="NB135" i="34"/>
  <c r="FQ187" i="34"/>
  <c r="NP73" i="34"/>
  <c r="NN136" i="34"/>
  <c r="EX128" i="34"/>
  <c r="LA142" i="34"/>
  <c r="FU91" i="34"/>
  <c r="KC151" i="34"/>
  <c r="MM141" i="34"/>
  <c r="HY124" i="34"/>
  <c r="JH70" i="34"/>
  <c r="GM176" i="34"/>
  <c r="CK94" i="34"/>
  <c r="PE169" i="34"/>
  <c r="DB166" i="34"/>
  <c r="FB91" i="34"/>
  <c r="NI108" i="34"/>
  <c r="NB132" i="34"/>
  <c r="OI91" i="34"/>
  <c r="IW83" i="34"/>
  <c r="IB187" i="34"/>
  <c r="EI58" i="34"/>
  <c r="IV88" i="34"/>
  <c r="OL137" i="34"/>
  <c r="AO67" i="34"/>
  <c r="ME58" i="34"/>
  <c r="DX155" i="34"/>
  <c r="LI82" i="34"/>
  <c r="MI159" i="34"/>
  <c r="OH155" i="34"/>
  <c r="AC161" i="34"/>
  <c r="LY165" i="34"/>
  <c r="MB172" i="34"/>
  <c r="X159" i="34"/>
  <c r="MK144" i="34"/>
  <c r="MN42" i="34"/>
  <c r="LY172" i="34"/>
  <c r="GN66" i="34"/>
  <c r="NI128" i="34"/>
  <c r="AC169" i="34"/>
  <c r="JX175" i="34"/>
  <c r="KC143" i="34"/>
  <c r="CD164" i="34"/>
  <c r="GQ72" i="34"/>
  <c r="CL131" i="34"/>
  <c r="KP147" i="34"/>
  <c r="HE147" i="34"/>
  <c r="PG48" i="34"/>
  <c r="JF90" i="34"/>
  <c r="IR58" i="34"/>
  <c r="MB74" i="34"/>
  <c r="LZ54" i="34"/>
  <c r="NE154" i="34"/>
  <c r="PA73" i="34"/>
  <c r="FO183" i="34"/>
  <c r="AC97" i="34"/>
  <c r="IT103" i="34"/>
  <c r="JA57" i="34"/>
  <c r="MI42" i="34"/>
  <c r="LX132" i="34"/>
  <c r="NI152" i="34"/>
  <c r="EJ76" i="34"/>
  <c r="KO99" i="34"/>
  <c r="JF56" i="34"/>
  <c r="LI129" i="34"/>
  <c r="OL66" i="34"/>
  <c r="LY66" i="34"/>
  <c r="MH125" i="34"/>
  <c r="FB150" i="34"/>
  <c r="MH96" i="34"/>
  <c r="IZ83" i="34"/>
  <c r="PK134" i="34"/>
  <c r="CH78" i="34"/>
  <c r="PK150" i="34"/>
  <c r="HW128" i="34"/>
  <c r="NG140" i="34"/>
  <c r="PE111" i="34"/>
  <c r="KO112" i="34"/>
  <c r="EH131" i="34"/>
  <c r="PE50" i="34"/>
  <c r="DB78" i="34"/>
  <c r="NI132" i="34"/>
  <c r="NL102" i="34"/>
  <c r="IE51" i="34"/>
  <c r="OO181" i="34"/>
  <c r="PG97" i="34"/>
  <c r="JF99" i="34"/>
  <c r="PB137" i="34"/>
  <c r="KP75" i="34"/>
  <c r="EZ154" i="34"/>
  <c r="MH85" i="34"/>
  <c r="KL85" i="34"/>
  <c r="GQ121" i="34"/>
  <c r="MF133" i="34"/>
  <c r="PW152" i="34"/>
  <c r="MC80" i="34"/>
  <c r="AM83" i="34"/>
  <c r="LX124" i="34"/>
  <c r="HH71" i="34"/>
  <c r="ME158" i="34"/>
  <c r="LY83" i="34"/>
  <c r="JG126" i="34"/>
  <c r="EC105" i="34"/>
  <c r="OK139" i="34"/>
  <c r="LE68" i="34"/>
  <c r="PF42" i="34"/>
  <c r="NO78" i="34"/>
  <c r="OM178" i="34"/>
  <c r="BL96" i="33"/>
  <c r="LB69" i="34"/>
  <c r="OJ146" i="34"/>
  <c r="NL120" i="34"/>
  <c r="CM71" i="34"/>
  <c r="MB56" i="34"/>
  <c r="HT76" i="34"/>
  <c r="NC127" i="34"/>
  <c r="EI126" i="34"/>
  <c r="MB119" i="34"/>
  <c r="HC98" i="34"/>
  <c r="HH91" i="34"/>
  <c r="HD52" i="34"/>
  <c r="AP80" i="34"/>
  <c r="PK161" i="34"/>
  <c r="PG95" i="34"/>
  <c r="ML112" i="34"/>
  <c r="KP115" i="34"/>
  <c r="LE76" i="34"/>
  <c r="DC90" i="34"/>
  <c r="MJ57" i="34"/>
  <c r="PI181" i="34"/>
  <c r="BQ174" i="34"/>
  <c r="NF171" i="34"/>
  <c r="JZ87" i="34"/>
  <c r="MH154" i="34"/>
  <c r="MI187" i="34"/>
  <c r="LX175" i="34"/>
  <c r="FV81" i="34"/>
  <c r="OL111" i="34"/>
  <c r="LQ4" i="34"/>
  <c r="LK152" i="34"/>
  <c r="KO125" i="34"/>
  <c r="MM71" i="34"/>
  <c r="LD160" i="34"/>
  <c r="LA49" i="34"/>
  <c r="FO148" i="34"/>
  <c r="LA173" i="34"/>
  <c r="KQ87" i="34"/>
  <c r="FS110" i="34"/>
  <c r="JF124" i="34"/>
  <c r="KP162" i="34"/>
  <c r="BA58" i="34"/>
  <c r="NJ149" i="34"/>
  <c r="FW63" i="34"/>
  <c r="EY82" i="34"/>
  <c r="LX133" i="34"/>
  <c r="NF115" i="34"/>
  <c r="IE105" i="34"/>
  <c r="MG80" i="34"/>
  <c r="KA141" i="34"/>
  <c r="LD134" i="34"/>
  <c r="JZ56" i="34"/>
  <c r="NH75" i="34"/>
  <c r="OO106" i="34"/>
  <c r="IE183" i="34"/>
  <c r="MJ159" i="34"/>
  <c r="EI176" i="34"/>
  <c r="AP93" i="34"/>
  <c r="KQ175" i="34"/>
  <c r="AN155" i="34"/>
  <c r="GK50" i="34"/>
  <c r="K71" i="34"/>
  <c r="DB111" i="34"/>
  <c r="DV128" i="34"/>
  <c r="DW144" i="34"/>
  <c r="JC128" i="34"/>
  <c r="KC101" i="34"/>
  <c r="EA108" i="34"/>
  <c r="GP78" i="34"/>
  <c r="KN121" i="34"/>
  <c r="KN157" i="34"/>
  <c r="OJ46" i="34"/>
  <c r="CJ150" i="34"/>
  <c r="PB151" i="34"/>
  <c r="OM55" i="34"/>
  <c r="GQ166" i="34"/>
  <c r="ND75" i="34"/>
  <c r="DB172" i="34"/>
  <c r="NB113" i="34"/>
  <c r="PW55" i="34"/>
  <c r="ON46" i="34"/>
  <c r="AR105" i="34"/>
  <c r="LW69" i="34"/>
  <c r="S152" i="23"/>
  <c r="GJ155" i="34"/>
  <c r="AA141" i="34"/>
  <c r="KC137" i="34"/>
  <c r="MB125" i="34"/>
  <c r="PC64" i="34"/>
  <c r="MD72" i="34"/>
  <c r="DF69" i="34"/>
  <c r="PI146" i="34"/>
  <c r="PI60" i="34"/>
  <c r="MC145" i="34"/>
  <c r="NJ118" i="34"/>
  <c r="OH86" i="34"/>
  <c r="PF109" i="34"/>
  <c r="LW141" i="34"/>
  <c r="PX94" i="34"/>
  <c r="AT76" i="33"/>
  <c r="PI118" i="34"/>
  <c r="KO63" i="34"/>
  <c r="MH49" i="34"/>
  <c r="LC174" i="34"/>
  <c r="NF54" i="34"/>
  <c r="NO108" i="34"/>
  <c r="NF92" i="34"/>
  <c r="LA88" i="34"/>
  <c r="PX73" i="34"/>
  <c r="PI166" i="34"/>
  <c r="PI92" i="34"/>
  <c r="IU150" i="34"/>
  <c r="FU175" i="34"/>
  <c r="IQ79" i="34"/>
  <c r="KM46" i="34"/>
  <c r="MH165" i="34"/>
  <c r="PE98" i="34"/>
  <c r="LJ165" i="34"/>
  <c r="IB115" i="34"/>
  <c r="KN95" i="34"/>
  <c r="EH146" i="34"/>
  <c r="NM98" i="34"/>
  <c r="KC178" i="34"/>
  <c r="FB113" i="34"/>
  <c r="AP76" i="34"/>
  <c r="JY181" i="34"/>
  <c r="AB151" i="34"/>
  <c r="MN72" i="34"/>
  <c r="PH134" i="34"/>
  <c r="PE116" i="34"/>
  <c r="ON148" i="34"/>
  <c r="OH116" i="34"/>
  <c r="NI96" i="34"/>
  <c r="MK67" i="34"/>
  <c r="LW126" i="34"/>
  <c r="LX172" i="34"/>
  <c r="NN154" i="34"/>
  <c r="ML118" i="34"/>
  <c r="PG171" i="34"/>
  <c r="JY144" i="34"/>
  <c r="ND160" i="34"/>
  <c r="IV129" i="34"/>
  <c r="EA133" i="34"/>
  <c r="NI181" i="34"/>
  <c r="LI102" i="34"/>
  <c r="NH96" i="34"/>
  <c r="MB129" i="34"/>
  <c r="LE172" i="34"/>
  <c r="OH63" i="34"/>
  <c r="MH123" i="34"/>
  <c r="LY99" i="34"/>
  <c r="IU158" i="34"/>
  <c r="IU178" i="34"/>
  <c r="ME57" i="34"/>
  <c r="DV56" i="34"/>
  <c r="EV97" i="33"/>
  <c r="PK70" i="34"/>
  <c r="HD64" i="34"/>
  <c r="OH46" i="34"/>
  <c r="NH50" i="34"/>
  <c r="MB137" i="34"/>
  <c r="PC178" i="34"/>
  <c r="LF166" i="34"/>
  <c r="PI173" i="34"/>
  <c r="FU142" i="34"/>
  <c r="PD131" i="34"/>
  <c r="HZ41" i="34"/>
  <c r="KR91" i="34"/>
  <c r="JE58" i="34"/>
  <c r="PI110" i="34"/>
  <c r="OM156" i="34"/>
  <c r="PX178" i="34"/>
  <c r="BB162" i="34"/>
  <c r="EG47" i="34"/>
  <c r="KA63" i="34"/>
  <c r="PA96" i="34"/>
  <c r="BB63" i="34"/>
  <c r="MB97" i="34"/>
  <c r="DA97" i="33"/>
  <c r="IU87" i="34"/>
  <c r="EX86" i="34"/>
  <c r="MJ158" i="34"/>
  <c r="PZ119" i="34"/>
  <c r="ML80" i="34"/>
  <c r="DY95" i="34"/>
  <c r="GL169" i="34"/>
  <c r="LE188" i="34"/>
  <c r="LZ145" i="34"/>
  <c r="GJ168" i="34"/>
  <c r="HW54" i="34"/>
  <c r="NI78" i="34"/>
  <c r="LX56" i="34"/>
  <c r="JD112" i="34"/>
  <c r="LF91" i="34"/>
  <c r="PZ155" i="34"/>
  <c r="AR71" i="34"/>
  <c r="U90" i="34"/>
  <c r="OJ53" i="34"/>
  <c r="OI166" i="34"/>
  <c r="PE158" i="34"/>
  <c r="FS148" i="34"/>
  <c r="NK130" i="34"/>
  <c r="LA126" i="34"/>
  <c r="NB127" i="34"/>
  <c r="CJ82" i="34"/>
  <c r="CN78" i="34"/>
  <c r="JF109" i="34"/>
  <c r="MB85" i="34"/>
  <c r="OK90" i="34"/>
  <c r="MC89" i="34"/>
  <c r="LD74" i="34"/>
  <c r="JE155" i="34"/>
  <c r="LH118" i="34"/>
  <c r="LA54" i="34"/>
  <c r="NB86" i="34"/>
  <c r="NH59" i="34"/>
  <c r="MH102" i="34"/>
  <c r="MN83" i="34"/>
  <c r="AN166" i="34"/>
  <c r="OM64" i="34"/>
  <c r="JH142" i="34"/>
  <c r="NA83" i="34"/>
  <c r="PX79" i="34"/>
  <c r="PC164" i="34"/>
  <c r="AA58" i="34"/>
  <c r="KL174" i="34"/>
  <c r="HX88" i="34"/>
  <c r="EA67" i="34"/>
  <c r="PW94" i="34"/>
  <c r="HG131" i="34"/>
  <c r="PZ73" i="34"/>
  <c r="LJ79" i="34"/>
  <c r="OJ73" i="34"/>
  <c r="JZ174" i="34"/>
  <c r="MB87" i="34"/>
  <c r="PW95" i="34"/>
  <c r="FU100" i="34"/>
  <c r="PC87" i="34"/>
  <c r="BP66" i="34"/>
  <c r="OO100" i="34"/>
  <c r="NO105" i="34"/>
  <c r="LH176" i="34"/>
  <c r="EB74" i="34"/>
  <c r="PY152" i="34"/>
  <c r="KM59" i="34"/>
  <c r="EB137" i="34"/>
  <c r="PI87" i="34"/>
  <c r="PB175" i="34"/>
  <c r="IW145" i="34"/>
  <c r="QD4" i="34"/>
  <c r="PF77" i="34"/>
  <c r="NH141" i="34"/>
  <c r="KM64" i="34"/>
  <c r="MC54" i="34"/>
  <c r="MH132" i="34"/>
  <c r="JG62" i="34"/>
  <c r="MO118" i="34"/>
  <c r="OK59" i="34"/>
  <c r="BP79" i="34"/>
  <c r="NA118" i="34"/>
  <c r="OH95" i="34"/>
  <c r="PB97" i="34"/>
  <c r="PG159" i="34"/>
  <c r="LG60" i="34"/>
  <c r="IZ157" i="34"/>
  <c r="OH67" i="34"/>
  <c r="OH188" i="34"/>
  <c r="LJ90" i="34"/>
  <c r="MN52" i="34"/>
  <c r="NC96" i="34"/>
  <c r="MO95" i="34"/>
  <c r="KN175" i="34"/>
  <c r="PG156" i="34"/>
  <c r="PZ144" i="34"/>
  <c r="LC163" i="34"/>
  <c r="MB135" i="34"/>
  <c r="IQ171" i="34"/>
  <c r="IT86" i="34"/>
  <c r="OJ104" i="34"/>
  <c r="MN140" i="34"/>
  <c r="LF66" i="34"/>
  <c r="ND118" i="34"/>
  <c r="NC187" i="34"/>
  <c r="FT79" i="34"/>
  <c r="NA115" i="34"/>
  <c r="NJ176" i="34"/>
  <c r="NL92" i="34"/>
  <c r="AA48" i="34"/>
  <c r="OI75" i="34"/>
  <c r="NH106" i="34"/>
  <c r="JF82" i="34"/>
  <c r="MC105" i="34"/>
  <c r="NN102" i="34"/>
  <c r="PG84" i="34"/>
  <c r="AP163" i="34"/>
  <c r="HW66" i="34"/>
  <c r="OO58" i="34"/>
  <c r="NG81" i="34"/>
  <c r="LZ188" i="34"/>
  <c r="IR153" i="34"/>
  <c r="NG64" i="34"/>
  <c r="NO110" i="34"/>
  <c r="OM45" i="34"/>
  <c r="Z97" i="33"/>
  <c r="PB56" i="34"/>
  <c r="ON181" i="34"/>
  <c r="T183" i="34"/>
  <c r="MC137" i="34"/>
  <c r="ND156" i="34"/>
  <c r="OO188" i="34"/>
  <c r="DA108" i="34"/>
  <c r="OJ166" i="34"/>
  <c r="DF188" i="34"/>
  <c r="HT167" i="34"/>
  <c r="GO102" i="34"/>
  <c r="LC82" i="34"/>
  <c r="LX80" i="34"/>
  <c r="AD120" i="34"/>
  <c r="LC67" i="34"/>
  <c r="PG83" i="34"/>
  <c r="PZ132" i="34"/>
  <c r="EX47" i="34"/>
  <c r="HW116" i="34"/>
  <c r="JU81" i="34"/>
  <c r="U54" i="34"/>
  <c r="IQ93" i="34"/>
  <c r="OM119" i="34"/>
  <c r="DV79" i="34"/>
  <c r="NG97" i="34"/>
  <c r="BP49" i="34"/>
  <c r="PF157" i="34"/>
  <c r="MK148" i="34"/>
  <c r="ML174" i="34"/>
  <c r="JU75" i="34"/>
  <c r="GN62" i="34"/>
  <c r="NE123" i="34"/>
  <c r="LZ92" i="34"/>
  <c r="IQ164" i="34"/>
  <c r="KM90" i="34"/>
  <c r="LE94" i="34"/>
  <c r="KQ186" i="34"/>
  <c r="OK171" i="34"/>
  <c r="GN97" i="33"/>
  <c r="JT111" i="34"/>
  <c r="OK163" i="34"/>
  <c r="MO123" i="34"/>
  <c r="LX167" i="34"/>
  <c r="NK145" i="34"/>
  <c r="PZ60" i="34"/>
  <c r="OL141" i="34"/>
  <c r="NE68" i="34"/>
  <c r="NJ124" i="34"/>
  <c r="MC118" i="34"/>
  <c r="AA74" i="34"/>
  <c r="MM101" i="34"/>
  <c r="MI77" i="34"/>
  <c r="PI42" i="34"/>
  <c r="MD48" i="34"/>
  <c r="OH124" i="34"/>
  <c r="CK174" i="34"/>
  <c r="ME134" i="34"/>
  <c r="KO119" i="34"/>
  <c r="OL73" i="34"/>
  <c r="MA106" i="34"/>
  <c r="JG41" i="34"/>
  <c r="DV165" i="34"/>
  <c r="PY138" i="34"/>
  <c r="NJ129" i="34"/>
  <c r="MN61" i="34"/>
  <c r="MK111" i="34"/>
  <c r="FT71" i="34"/>
  <c r="EB139" i="34"/>
  <c r="Z134" i="34"/>
  <c r="JZ64" i="34"/>
  <c r="LB154" i="34"/>
  <c r="MB57" i="34"/>
  <c r="CD65" i="34"/>
  <c r="PX110" i="34"/>
  <c r="NE111" i="34"/>
  <c r="PI139" i="34"/>
  <c r="HX113" i="34"/>
  <c r="ID116" i="34"/>
  <c r="JB102" i="34"/>
  <c r="JZ57" i="34"/>
  <c r="EG101" i="34"/>
  <c r="GQ135" i="34"/>
  <c r="PC111" i="34"/>
  <c r="PC84" i="34"/>
  <c r="FS86" i="34"/>
  <c r="PJ50" i="34"/>
  <c r="ON78" i="34"/>
  <c r="NK116" i="34"/>
  <c r="ML157" i="34"/>
  <c r="NO111" i="34"/>
  <c r="PZ141" i="34"/>
  <c r="NN127" i="34"/>
  <c r="JE117" i="34"/>
  <c r="MA81" i="34"/>
  <c r="ED107" i="34"/>
  <c r="PD69" i="34"/>
  <c r="EY97" i="33"/>
  <c r="LK112" i="34"/>
  <c r="MF138" i="34"/>
  <c r="NI81" i="34"/>
  <c r="HT90" i="34"/>
  <c r="PK68" i="34"/>
  <c r="MM122" i="34"/>
  <c r="FP47" i="34"/>
  <c r="NP53" i="34"/>
  <c r="NA73" i="34"/>
  <c r="NK102" i="34"/>
  <c r="LH146" i="34"/>
  <c r="LB107" i="34"/>
  <c r="MJ106" i="34"/>
  <c r="IE158" i="34"/>
  <c r="OO81" i="34"/>
  <c r="ME43" i="34"/>
  <c r="CG100" i="34"/>
  <c r="IT160" i="34"/>
  <c r="AY162" i="34"/>
  <c r="LD48" i="34"/>
  <c r="MM50" i="34"/>
  <c r="W112" i="34"/>
  <c r="MH57" i="34"/>
  <c r="CG65" i="34"/>
  <c r="EI94" i="34"/>
  <c r="PF124" i="34"/>
  <c r="EG154" i="34"/>
  <c r="PC47" i="34"/>
  <c r="EH122" i="34"/>
  <c r="HT150" i="34"/>
  <c r="LF137" i="34"/>
  <c r="IC73" i="34"/>
  <c r="KN89" i="34"/>
  <c r="OL143" i="34"/>
  <c r="AO84" i="34"/>
  <c r="PG104" i="34"/>
  <c r="IZ171" i="34"/>
  <c r="AV178" i="34"/>
  <c r="IZ162" i="34"/>
  <c r="DV125" i="34"/>
  <c r="MD80" i="34"/>
  <c r="EJ102" i="34"/>
  <c r="MB131" i="34"/>
  <c r="IU166" i="34"/>
  <c r="PB156" i="34"/>
  <c r="ML167" i="34"/>
  <c r="PZ45" i="34"/>
  <c r="PY115" i="34"/>
  <c r="JY93" i="34"/>
  <c r="GP132" i="34"/>
  <c r="LJ181" i="34"/>
  <c r="MC173" i="34"/>
  <c r="PC133" i="34"/>
  <c r="NE156" i="34"/>
  <c r="LX154" i="34"/>
  <c r="ML64" i="34"/>
  <c r="PF138" i="34"/>
  <c r="NF52" i="34"/>
  <c r="LZ67" i="34"/>
  <c r="HG67" i="34"/>
  <c r="AY136" i="34"/>
  <c r="CH107" i="34"/>
  <c r="FU102" i="34"/>
  <c r="U60" i="34"/>
  <c r="LF130" i="34"/>
  <c r="ID151" i="34"/>
  <c r="PJ112" i="34"/>
  <c r="PB72" i="34"/>
  <c r="NA42" i="34"/>
  <c r="LI100" i="34"/>
  <c r="W131" i="34"/>
  <c r="PG78" i="34"/>
  <c r="JB75" i="34"/>
  <c r="PX81" i="34"/>
  <c r="ON67" i="34"/>
  <c r="LF45" i="34"/>
  <c r="KR79" i="34"/>
  <c r="NC68" i="34"/>
  <c r="PA77" i="34"/>
  <c r="PF123" i="34"/>
  <c r="LA168" i="34"/>
  <c r="JC70" i="34"/>
  <c r="OH77" i="34"/>
  <c r="MM172" i="34"/>
  <c r="JT141" i="34"/>
  <c r="HF98" i="34"/>
  <c r="ME69" i="34"/>
  <c r="BP149" i="34"/>
  <c r="OI140" i="34"/>
  <c r="PC116" i="34"/>
  <c r="ON134" i="34"/>
  <c r="G37" i="33"/>
  <c r="NE62" i="34"/>
  <c r="NH174" i="34"/>
  <c r="HT126" i="34"/>
  <c r="DG42" i="34"/>
  <c r="HX165" i="34"/>
  <c r="AU152" i="34"/>
  <c r="IU101" i="34"/>
  <c r="NN98" i="34"/>
  <c r="LY69" i="34"/>
  <c r="DB128" i="34"/>
  <c r="LX81" i="34"/>
  <c r="PK60" i="34"/>
  <c r="OM46" i="34"/>
  <c r="OM168" i="34"/>
  <c r="PW122" i="34"/>
  <c r="MG92" i="34"/>
  <c r="T76" i="34"/>
  <c r="HH134" i="34"/>
  <c r="LK171" i="34"/>
  <c r="IU188" i="34"/>
  <c r="KM116" i="34"/>
  <c r="ID188" i="34"/>
  <c r="MD152" i="34"/>
  <c r="OM183" i="34"/>
  <c r="NC188" i="34"/>
  <c r="IR95" i="34"/>
  <c r="CN73" i="34"/>
  <c r="DY117" i="34"/>
  <c r="NK61" i="34"/>
  <c r="IY47" i="34"/>
  <c r="LG154" i="34"/>
  <c r="OO152" i="34"/>
  <c r="CS97" i="33"/>
  <c r="NL187" i="34"/>
  <c r="OJ67" i="34"/>
  <c r="BQ133" i="34"/>
  <c r="NE160" i="34"/>
  <c r="PD144" i="34"/>
  <c r="NL141" i="34"/>
  <c r="KP140" i="34"/>
  <c r="MI128" i="34"/>
  <c r="OK43" i="34"/>
  <c r="PD45" i="34"/>
  <c r="PC68" i="34"/>
  <c r="OL126" i="34"/>
  <c r="JT178" i="34"/>
  <c r="MC125" i="34"/>
  <c r="HU170" i="34"/>
  <c r="MC188" i="34"/>
  <c r="CK168" i="34"/>
  <c r="EE88" i="34"/>
  <c r="OL178" i="34"/>
  <c r="KP161" i="34"/>
  <c r="IR159" i="34"/>
  <c r="PH102" i="34"/>
  <c r="MD67" i="34"/>
  <c r="JV61" i="34"/>
  <c r="PZ72" i="34"/>
  <c r="MA116" i="34"/>
  <c r="LW154" i="34"/>
  <c r="DW53" i="34"/>
  <c r="MN115" i="34"/>
  <c r="DH48" i="34"/>
  <c r="PD84" i="34"/>
  <c r="HC78" i="34"/>
  <c r="PJ157" i="34"/>
  <c r="LZ96" i="34"/>
  <c r="KQ106" i="34"/>
  <c r="NG129" i="34"/>
  <c r="LZ49" i="34"/>
  <c r="HG166" i="34"/>
  <c r="IW132" i="34"/>
  <c r="IU107" i="34"/>
  <c r="CH132" i="34"/>
  <c r="MD144" i="34"/>
  <c r="PX138" i="34"/>
  <c r="X81" i="33"/>
  <c r="HE144" i="34"/>
  <c r="EW61" i="34"/>
  <c r="IA104" i="34"/>
  <c r="NH123" i="34"/>
  <c r="DC140" i="34"/>
  <c r="ON160" i="34"/>
  <c r="EK50" i="34"/>
  <c r="KL129" i="34"/>
  <c r="FO102" i="34"/>
  <c r="GO52" i="34"/>
  <c r="GK90" i="34"/>
  <c r="NO41" i="34"/>
  <c r="OM138" i="34"/>
  <c r="JF51" i="34"/>
  <c r="NJ66" i="34"/>
  <c r="J101" i="34"/>
  <c r="GQ74" i="34"/>
  <c r="NL162" i="34"/>
  <c r="IW96" i="34"/>
  <c r="IW86" i="34"/>
  <c r="LE95" i="34"/>
  <c r="LC128" i="34"/>
  <c r="HC146" i="34"/>
  <c r="NG102" i="34"/>
  <c r="MI84" i="34"/>
  <c r="DZ118" i="34"/>
  <c r="PD143" i="34"/>
  <c r="LH158" i="34"/>
  <c r="ON143" i="34"/>
  <c r="PA53" i="34"/>
  <c r="NB93" i="34"/>
  <c r="NP129" i="34"/>
  <c r="LW105" i="34"/>
  <c r="JH100" i="34"/>
  <c r="V164" i="34"/>
  <c r="EF65" i="34"/>
  <c r="ON58" i="34"/>
  <c r="OL131" i="34"/>
  <c r="GJ75" i="34"/>
  <c r="MI158" i="34"/>
  <c r="AB145" i="34"/>
  <c r="JB132" i="34"/>
  <c r="EE69" i="34"/>
  <c r="PZ115" i="34"/>
  <c r="JZ146" i="34"/>
  <c r="ME93" i="34"/>
  <c r="MC77" i="34"/>
  <c r="HV144" i="34"/>
  <c r="LX111" i="34"/>
  <c r="JU91" i="34"/>
  <c r="LE88" i="34"/>
  <c r="PD82" i="34"/>
  <c r="FA153" i="34"/>
  <c r="LF80" i="34"/>
  <c r="MA70" i="34"/>
  <c r="KO92" i="34"/>
  <c r="NL97" i="34"/>
  <c r="IB66" i="34"/>
  <c r="EA78" i="34"/>
  <c r="FQ87" i="34"/>
  <c r="NB101" i="34"/>
  <c r="OH141" i="34"/>
  <c r="S143" i="23"/>
  <c r="KN109" i="34"/>
  <c r="PB62" i="34"/>
  <c r="LI77" i="34"/>
  <c r="JU57" i="34"/>
  <c r="OL87" i="34"/>
  <c r="NN56" i="34"/>
  <c r="HF129" i="34"/>
  <c r="LF94" i="34"/>
  <c r="NA167" i="34"/>
  <c r="EA138" i="34"/>
  <c r="MI136" i="34"/>
  <c r="NK140" i="34"/>
  <c r="LD133" i="34"/>
  <c r="OO59" i="34"/>
  <c r="PH162" i="34"/>
  <c r="MD103" i="34"/>
  <c r="MH157" i="34"/>
  <c r="IE101" i="34"/>
  <c r="MI49" i="34"/>
  <c r="ID173" i="34"/>
  <c r="PI164" i="34"/>
  <c r="LD73" i="34"/>
  <c r="MD47" i="34"/>
  <c r="KQ143" i="34"/>
  <c r="JY41" i="34"/>
  <c r="PZ87" i="34"/>
  <c r="OL161" i="34"/>
  <c r="OI178" i="34"/>
  <c r="KL123" i="34"/>
  <c r="JU70" i="34"/>
  <c r="HF174" i="34"/>
  <c r="NO46" i="34"/>
  <c r="NC41" i="34"/>
  <c r="LY51" i="34"/>
  <c r="AA165" i="34"/>
  <c r="NC159" i="34"/>
  <c r="OK124" i="34"/>
  <c r="PB174" i="34"/>
  <c r="NI68" i="34"/>
  <c r="MH147" i="34"/>
  <c r="JY46" i="34"/>
  <c r="LG126" i="34"/>
  <c r="MM159" i="34"/>
  <c r="MF159" i="34"/>
  <c r="HG121" i="34"/>
  <c r="PC56" i="34"/>
  <c r="NI113" i="34"/>
  <c r="NM48" i="34"/>
  <c r="NN80" i="34"/>
  <c r="KL63" i="34"/>
  <c r="KO87" i="34"/>
  <c r="NE129" i="34"/>
  <c r="PB166" i="34"/>
  <c r="PJ175" i="34"/>
  <c r="OM60" i="34"/>
  <c r="PW80" i="34"/>
  <c r="LK186" i="34"/>
  <c r="NJ127" i="34"/>
  <c r="EF43" i="34"/>
  <c r="PY66" i="34"/>
  <c r="AZ65" i="34"/>
  <c r="MG139" i="34"/>
  <c r="HT159" i="34"/>
  <c r="DA105" i="34"/>
  <c r="AP55" i="34"/>
  <c r="NN90" i="34"/>
  <c r="IQ125" i="34"/>
  <c r="HY146" i="34"/>
  <c r="HW89" i="34"/>
  <c r="JH49" i="34"/>
  <c r="KP85" i="34"/>
  <c r="DV104" i="34"/>
  <c r="DX84" i="34"/>
  <c r="AS57" i="34"/>
  <c r="PK129" i="34"/>
  <c r="FV173" i="34"/>
  <c r="EZ120" i="34"/>
  <c r="PB148" i="34"/>
  <c r="PX170" i="34"/>
  <c r="KU5" i="34"/>
  <c r="EW155" i="34"/>
  <c r="KQ71" i="34"/>
  <c r="HH128" i="34"/>
  <c r="PF48" i="34"/>
  <c r="GM106" i="34"/>
  <c r="LE124" i="34"/>
  <c r="JD108" i="34"/>
  <c r="LB97" i="34"/>
  <c r="MG87" i="34"/>
  <c r="DY54" i="34"/>
  <c r="MI58" i="34"/>
  <c r="LW175" i="34"/>
  <c r="LD141" i="34"/>
  <c r="LW163" i="34"/>
  <c r="PB90" i="34"/>
  <c r="KC111" i="34"/>
  <c r="PY173" i="34"/>
  <c r="KM118" i="34"/>
  <c r="IQ186" i="34"/>
  <c r="PH62" i="34"/>
  <c r="MB70" i="34"/>
  <c r="OJ116" i="34"/>
  <c r="DH164" i="34"/>
  <c r="PG65" i="34"/>
  <c r="CD102" i="34"/>
  <c r="MB76" i="34"/>
  <c r="FP174" i="34"/>
  <c r="PD80" i="34"/>
  <c r="PF134" i="34"/>
  <c r="JG157" i="34"/>
  <c r="FA44" i="34"/>
  <c r="PI143" i="34"/>
  <c r="NK143" i="34"/>
  <c r="OO137" i="34"/>
  <c r="NL89" i="34"/>
  <c r="ID139" i="34"/>
  <c r="CI120" i="34"/>
  <c r="LX54" i="34"/>
  <c r="MO178" i="34"/>
  <c r="MF155" i="34"/>
  <c r="NO147" i="34"/>
  <c r="MD96" i="34"/>
  <c r="NH95" i="34"/>
  <c r="JT167" i="34"/>
  <c r="NL65" i="34"/>
  <c r="NM143" i="34"/>
  <c r="OH145" i="34"/>
  <c r="PE170" i="34"/>
  <c r="LD106" i="34"/>
  <c r="LX165" i="34"/>
  <c r="MG162" i="34"/>
  <c r="PB51" i="34"/>
  <c r="PJ158" i="34"/>
  <c r="LC77" i="34"/>
  <c r="PY64" i="34"/>
  <c r="NE108" i="34"/>
  <c r="JC139" i="34"/>
  <c r="MI181" i="34"/>
  <c r="HV119" i="34"/>
  <c r="T138" i="34"/>
  <c r="AX158" i="34"/>
  <c r="IU141" i="34"/>
  <c r="KC148" i="34"/>
  <c r="KB163" i="34"/>
  <c r="OK118" i="34"/>
  <c r="KR83" i="34"/>
  <c r="HZ97" i="34"/>
  <c r="KQ59" i="34"/>
  <c r="KR161" i="34"/>
  <c r="PY170" i="34"/>
  <c r="PG81" i="34"/>
  <c r="HG58" i="34"/>
  <c r="MC73" i="34"/>
  <c r="NJ125" i="34"/>
  <c r="FN94" i="34"/>
  <c r="PJ77" i="34"/>
  <c r="OM152" i="34"/>
  <c r="DE168" i="34"/>
  <c r="LC144" i="34"/>
  <c r="NN118" i="34"/>
  <c r="LC99" i="34"/>
  <c r="OI45" i="34"/>
  <c r="FB79" i="34"/>
  <c r="MC162" i="34"/>
  <c r="PK71" i="34"/>
  <c r="LZ106" i="34"/>
  <c r="PE145" i="34"/>
  <c r="PG122" i="34"/>
  <c r="IU84" i="34"/>
  <c r="FQ84" i="34"/>
  <c r="KN168" i="34"/>
  <c r="PX124" i="34"/>
  <c r="DI163" i="34"/>
  <c r="PX116" i="34"/>
  <c r="JE93" i="34"/>
  <c r="KN186" i="34"/>
  <c r="MH122" i="34"/>
  <c r="OH52" i="34"/>
  <c r="LD64" i="34"/>
  <c r="NM86" i="34"/>
  <c r="KO76" i="34"/>
  <c r="NB56" i="34"/>
  <c r="ME167" i="34"/>
  <c r="LZ100" i="34"/>
  <c r="FV140" i="34"/>
  <c r="NP50" i="34"/>
  <c r="LY120" i="34"/>
  <c r="EJ119" i="34"/>
  <c r="AV186" i="34"/>
  <c r="ME119" i="34"/>
  <c r="JU59" i="34"/>
  <c r="BA152" i="34"/>
  <c r="ME149" i="34"/>
  <c r="HW99" i="34"/>
  <c r="BR65" i="34"/>
  <c r="FR146" i="34"/>
  <c r="KN153" i="34"/>
  <c r="PI170" i="34"/>
  <c r="KR51" i="34"/>
  <c r="MD53" i="34"/>
  <c r="NM106" i="34"/>
  <c r="OM49" i="34"/>
  <c r="AM174" i="34"/>
  <c r="W111" i="34"/>
  <c r="NE70" i="34"/>
  <c r="AP136" i="34"/>
  <c r="CN89" i="34"/>
  <c r="DE69" i="34"/>
  <c r="KC50" i="34"/>
  <c r="NF123" i="34"/>
  <c r="AU42" i="34"/>
  <c r="HT138" i="34"/>
  <c r="LC42" i="34"/>
  <c r="NL171" i="34"/>
  <c r="ON51" i="34"/>
  <c r="IZ127" i="34"/>
  <c r="BN52" i="34"/>
  <c r="GO183" i="34"/>
  <c r="OL144" i="34"/>
  <c r="ON168" i="34"/>
  <c r="NL68" i="34"/>
  <c r="IV163" i="34"/>
  <c r="FQ120" i="34"/>
  <c r="PZ123" i="34"/>
  <c r="ME87" i="34"/>
  <c r="EW148" i="34"/>
  <c r="FX183" i="34"/>
  <c r="PB73" i="34"/>
  <c r="JC124" i="34"/>
  <c r="AW72" i="34"/>
  <c r="NB58" i="34"/>
  <c r="LY143" i="34"/>
  <c r="KB57" i="34"/>
  <c r="OO162" i="34"/>
  <c r="BB50" i="34"/>
  <c r="LC92" i="34"/>
  <c r="LY151" i="34"/>
  <c r="MC84" i="34"/>
  <c r="LA68" i="34"/>
  <c r="EJ172" i="34"/>
  <c r="PK53" i="34"/>
  <c r="OJ45" i="34"/>
  <c r="DV115" i="34"/>
  <c r="NK82" i="34"/>
  <c r="HX122" i="34"/>
  <c r="MM135" i="34"/>
  <c r="AQ61" i="34"/>
  <c r="NO158" i="34"/>
  <c r="CG145" i="34"/>
  <c r="MA129" i="34"/>
  <c r="IC90" i="34"/>
  <c r="GD97" i="33"/>
  <c r="NJ77" i="34"/>
  <c r="PC54" i="34"/>
  <c r="PH151" i="34"/>
  <c r="IA45" i="34"/>
  <c r="NI138" i="34"/>
  <c r="LE107" i="34"/>
  <c r="ME110" i="34"/>
  <c r="NF108" i="34"/>
  <c r="OK48" i="34"/>
  <c r="PB176" i="34"/>
  <c r="AR59" i="34"/>
  <c r="DE52" i="34"/>
  <c r="NE135" i="34"/>
  <c r="KC110" i="34"/>
  <c r="NH170" i="34"/>
  <c r="PA151" i="34"/>
  <c r="AT162" i="34"/>
  <c r="JC172" i="34"/>
  <c r="LE58" i="34"/>
  <c r="EH135" i="34"/>
  <c r="OL129" i="34"/>
  <c r="NA181" i="34"/>
  <c r="LB63" i="34"/>
  <c r="MH146" i="34"/>
  <c r="JD150" i="34"/>
  <c r="GN42" i="34"/>
  <c r="NL128" i="34"/>
  <c r="GN132" i="34"/>
  <c r="NN59" i="34"/>
  <c r="OH108" i="34"/>
  <c r="NF137" i="34"/>
  <c r="GM88" i="34"/>
  <c r="HZ145" i="34"/>
  <c r="NB155" i="34"/>
  <c r="U147" i="34"/>
  <c r="DV53" i="34"/>
  <c r="KM167" i="34"/>
  <c r="OM78" i="34"/>
  <c r="JU125" i="34"/>
  <c r="IZ135" i="34"/>
  <c r="NC116" i="34"/>
  <c r="DV143" i="34"/>
  <c r="ME84" i="34"/>
  <c r="PF119" i="34"/>
  <c r="OI124" i="34"/>
  <c r="PJ151" i="34"/>
  <c r="LZ99" i="34"/>
  <c r="IU152" i="34"/>
  <c r="NF163" i="34"/>
  <c r="LZ64" i="34"/>
  <c r="LK74" i="34"/>
  <c r="NK154" i="34"/>
  <c r="PW175" i="34"/>
  <c r="NI155" i="34"/>
  <c r="NC131" i="34"/>
  <c r="OM159" i="34"/>
  <c r="NG134" i="34"/>
  <c r="MJ92" i="34"/>
  <c r="T157" i="34"/>
  <c r="HZ88" i="34"/>
  <c r="LI64" i="34"/>
  <c r="AY141" i="34"/>
  <c r="NI65" i="34"/>
  <c r="KA69" i="34"/>
  <c r="LX101" i="34"/>
  <c r="LK165" i="34"/>
  <c r="DD41" i="34"/>
  <c r="KB111" i="34"/>
  <c r="MH151" i="34"/>
  <c r="FR187" i="34"/>
  <c r="MO170" i="34"/>
  <c r="PE137" i="34"/>
  <c r="EE122" i="34"/>
  <c r="NI144" i="34"/>
  <c r="PD109" i="34"/>
  <c r="PE91" i="34"/>
  <c r="ON156" i="34"/>
  <c r="NM47" i="34"/>
  <c r="LC64" i="34"/>
  <c r="IC172" i="34"/>
  <c r="EE125" i="34"/>
  <c r="LF63" i="34"/>
  <c r="OH147" i="34"/>
  <c r="MB88" i="34"/>
  <c r="HY90" i="34"/>
  <c r="NG115" i="34"/>
  <c r="PJ87" i="34"/>
  <c r="NF44" i="34"/>
  <c r="LW103" i="34"/>
  <c r="ME49" i="34"/>
  <c r="NM173" i="34"/>
  <c r="IE108" i="34"/>
  <c r="PH129" i="34"/>
  <c r="MM42" i="34"/>
  <c r="IV80" i="34"/>
  <c r="LD51" i="34"/>
  <c r="OL171" i="34"/>
  <c r="HC69" i="34"/>
  <c r="MJ90" i="34"/>
  <c r="PK92" i="34"/>
  <c r="FU90" i="34"/>
  <c r="NL167" i="34"/>
  <c r="OH102" i="34"/>
  <c r="MA135" i="34"/>
  <c r="JZ97" i="34"/>
  <c r="LE141" i="34"/>
  <c r="LY72" i="34"/>
  <c r="JF54" i="34"/>
  <c r="KO89" i="34"/>
  <c r="NN110" i="34"/>
  <c r="M97" i="33"/>
  <c r="PZ139" i="34"/>
  <c r="PE153" i="34"/>
  <c r="NI169" i="34"/>
  <c r="IT102" i="34"/>
  <c r="JW82" i="34"/>
  <c r="JW72" i="34"/>
  <c r="HW80" i="34"/>
  <c r="CF48" i="34"/>
  <c r="JA44" i="34"/>
  <c r="FQ89" i="34"/>
  <c r="EJ80" i="34"/>
  <c r="IV101" i="34"/>
  <c r="NO118" i="34"/>
  <c r="MF124" i="34"/>
  <c r="PE160" i="34"/>
  <c r="LE62" i="34"/>
  <c r="ML87" i="34"/>
  <c r="GJ99" i="34"/>
  <c r="EC73" i="34"/>
  <c r="KN133" i="34"/>
  <c r="ML70" i="34"/>
  <c r="AN86" i="34"/>
  <c r="NH79" i="34"/>
  <c r="JH172" i="34"/>
  <c r="LK138" i="34"/>
  <c r="HF159" i="34"/>
  <c r="FQ42" i="34"/>
  <c r="MH60" i="34"/>
  <c r="AU170" i="34"/>
  <c r="NM163" i="34"/>
  <c r="EZ138" i="34"/>
  <c r="JH133" i="34"/>
  <c r="IU62" i="34"/>
  <c r="EK65" i="34"/>
  <c r="OK58" i="34"/>
  <c r="OL130" i="34"/>
  <c r="PH50" i="34"/>
  <c r="PG86" i="34"/>
  <c r="MC112" i="34"/>
  <c r="LW113" i="34"/>
  <c r="LD162" i="34"/>
  <c r="LD50" i="34"/>
  <c r="IV99" i="34"/>
  <c r="EE98" i="34"/>
  <c r="NP110" i="34"/>
  <c r="ME70" i="34"/>
  <c r="EI98" i="34"/>
  <c r="NN76" i="34"/>
  <c r="EC154" i="34"/>
  <c r="GQ125" i="34"/>
  <c r="IR167" i="34"/>
  <c r="OK135" i="34"/>
  <c r="JB115" i="34"/>
  <c r="NM176" i="34"/>
  <c r="NK169" i="34"/>
  <c r="MJ140" i="34"/>
  <c r="IC68" i="34"/>
  <c r="JH130" i="34"/>
  <c r="BP187" i="34"/>
  <c r="PK136" i="34"/>
  <c r="JE148" i="34"/>
  <c r="OO135" i="34"/>
  <c r="IU44" i="34"/>
  <c r="NE176" i="34"/>
  <c r="LJ150" i="34"/>
  <c r="ML89" i="34"/>
  <c r="NM127" i="34"/>
  <c r="PY80" i="34"/>
  <c r="LK98" i="34"/>
  <c r="PE63" i="34"/>
  <c r="OM54" i="34"/>
  <c r="KQ63" i="34"/>
  <c r="EB59" i="34"/>
  <c r="NN181" i="34"/>
  <c r="MO128" i="34"/>
  <c r="NB134" i="34"/>
  <c r="MB122" i="34"/>
  <c r="MC149" i="34"/>
  <c r="JT90" i="34"/>
  <c r="PZ89" i="34"/>
  <c r="LK105" i="34"/>
  <c r="JG154" i="34"/>
  <c r="NP168" i="34"/>
  <c r="NN61" i="34"/>
  <c r="JY61" i="34"/>
  <c r="DN96" i="33"/>
  <c r="OM44" i="34"/>
  <c r="LB70" i="34"/>
  <c r="LG106" i="34"/>
  <c r="KR77" i="34"/>
  <c r="CG90" i="34"/>
  <c r="FB145" i="34"/>
  <c r="HH51" i="34"/>
  <c r="NB88" i="34"/>
  <c r="KQ118" i="34"/>
  <c r="PW107" i="34"/>
  <c r="FB170" i="34"/>
  <c r="LZ47" i="34"/>
  <c r="IV50" i="34"/>
  <c r="MC95" i="34"/>
  <c r="GP125" i="34"/>
  <c r="KQ58" i="34"/>
  <c r="PA146" i="34"/>
  <c r="LA156" i="34"/>
  <c r="CM107" i="34"/>
  <c r="NK138" i="34"/>
  <c r="IY128" i="34"/>
  <c r="OJ54" i="34"/>
  <c r="NM54" i="34"/>
  <c r="NP103" i="34"/>
  <c r="PD81" i="34"/>
  <c r="LX50" i="34"/>
  <c r="NO43" i="34"/>
  <c r="NV5" i="34"/>
  <c r="PB66" i="34"/>
  <c r="PX92" i="34"/>
  <c r="LY104" i="34"/>
  <c r="GN150" i="34"/>
  <c r="PB84" i="34"/>
  <c r="OK156" i="34"/>
  <c r="JD50" i="34"/>
  <c r="MI104" i="34"/>
  <c r="KC58" i="34"/>
  <c r="PB140" i="34"/>
  <c r="MG88" i="34"/>
  <c r="JC130" i="34"/>
  <c r="GO115" i="34"/>
  <c r="OL57" i="34"/>
  <c r="PW124" i="34"/>
  <c r="PK155" i="34"/>
  <c r="LX130" i="34"/>
  <c r="LK80" i="34"/>
  <c r="ML73" i="34"/>
  <c r="HH171" i="34"/>
  <c r="KO135" i="34"/>
  <c r="AP183" i="34"/>
  <c r="GK167" i="34"/>
  <c r="OJ90" i="34"/>
  <c r="LB79" i="34"/>
  <c r="FP163" i="34"/>
  <c r="KB170" i="34"/>
  <c r="PC103" i="34"/>
  <c r="ML49" i="34"/>
  <c r="MO135" i="34"/>
  <c r="LI76" i="34"/>
  <c r="EX166" i="34"/>
  <c r="MF166" i="34"/>
  <c r="KR119" i="34"/>
  <c r="MO165" i="34"/>
  <c r="PW78" i="34"/>
  <c r="OH73" i="34"/>
  <c r="PX176" i="34"/>
  <c r="LF87" i="34"/>
  <c r="PH48" i="34"/>
  <c r="LH159" i="34"/>
  <c r="PW169" i="34"/>
  <c r="GP48" i="34"/>
  <c r="HZ83" i="34"/>
  <c r="CO99" i="34"/>
  <c r="PF44" i="34"/>
  <c r="IW165" i="34"/>
  <c r="LA186" i="34"/>
  <c r="LD41" i="34"/>
  <c r="ME109" i="34"/>
  <c r="MH82" i="34"/>
  <c r="IT63" i="34"/>
  <c r="PG94" i="34"/>
  <c r="NJ167" i="34"/>
  <c r="IU59" i="34"/>
  <c r="OL119" i="34"/>
  <c r="KP135" i="34"/>
  <c r="NJ159" i="34"/>
  <c r="PD124" i="34"/>
  <c r="FT143" i="34"/>
  <c r="IT129" i="34"/>
  <c r="PE139" i="34"/>
  <c r="BR123" i="34"/>
  <c r="JE106" i="34"/>
  <c r="NB129" i="34"/>
  <c r="GL96" i="34"/>
  <c r="MC170" i="34"/>
  <c r="LE43" i="34"/>
  <c r="OI142" i="34"/>
  <c r="OL107" i="34"/>
  <c r="ID71" i="34"/>
  <c r="NL123" i="34"/>
  <c r="MK83" i="34"/>
  <c r="MI109" i="34"/>
  <c r="JG94" i="34"/>
  <c r="MC86" i="34"/>
  <c r="LW136" i="34"/>
  <c r="IB161" i="34"/>
  <c r="LZ151" i="34"/>
  <c r="PJ49" i="34"/>
  <c r="OK51" i="34"/>
  <c r="KO70" i="34"/>
  <c r="OO183" i="34"/>
  <c r="BN129" i="34"/>
  <c r="OO115" i="34"/>
  <c r="ED46" i="34"/>
  <c r="KQ126" i="34"/>
  <c r="ED97" i="33"/>
  <c r="KM165" i="34"/>
  <c r="KL55" i="34"/>
  <c r="JE161" i="34"/>
  <c r="HX157" i="34"/>
  <c r="AZ115" i="34"/>
  <c r="HF76" i="34"/>
  <c r="AB140" i="34"/>
  <c r="NM109" i="34"/>
  <c r="MI132" i="34"/>
  <c r="LA66" i="34"/>
  <c r="PD68" i="34"/>
  <c r="KQ117" i="34"/>
  <c r="AU96" i="33"/>
  <c r="HD139" i="34"/>
  <c r="PD172" i="34"/>
  <c r="NO153" i="34"/>
  <c r="LJ101" i="34"/>
  <c r="KR74" i="34"/>
  <c r="ON81" i="34"/>
  <c r="MB164" i="34"/>
  <c r="MG160" i="34"/>
  <c r="HZ156" i="34"/>
  <c r="PG178" i="34"/>
  <c r="IQ162" i="34"/>
  <c r="IZ48" i="34"/>
  <c r="U169" i="34"/>
  <c r="LI174" i="34"/>
  <c r="NA170" i="34"/>
  <c r="LY80" i="34"/>
  <c r="PJ63" i="34"/>
  <c r="PF43" i="34"/>
  <c r="KP81" i="34"/>
  <c r="OO164" i="34"/>
  <c r="NG98" i="34"/>
  <c r="AP137" i="34"/>
  <c r="NK55" i="34"/>
  <c r="NC136" i="34"/>
  <c r="IZ166" i="34"/>
  <c r="PA102" i="34"/>
  <c r="AR128" i="34"/>
  <c r="MH142" i="34"/>
  <c r="PJ162" i="34"/>
  <c r="CN96" i="33"/>
  <c r="IW100" i="34"/>
  <c r="NL186" i="34"/>
  <c r="NH169" i="34"/>
  <c r="FV158" i="34"/>
  <c r="DG64" i="34"/>
  <c r="LY136" i="34"/>
  <c r="HD162" i="34"/>
  <c r="LY45" i="34"/>
  <c r="OK129" i="34"/>
  <c r="MD156" i="34"/>
  <c r="JU173" i="34"/>
  <c r="EH113" i="34"/>
  <c r="MB113" i="34"/>
  <c r="IV118" i="34"/>
  <c r="PC73" i="34"/>
  <c r="BQ43" i="34"/>
  <c r="LG170" i="34"/>
  <c r="JX141" i="34"/>
  <c r="NJ67" i="34"/>
  <c r="ML54" i="34"/>
  <c r="MC113" i="34"/>
  <c r="NF45" i="34"/>
  <c r="HV116" i="34"/>
  <c r="NO119" i="34"/>
  <c r="IS116" i="34"/>
  <c r="NN92" i="34"/>
  <c r="LD130" i="34"/>
  <c r="LB166" i="34"/>
  <c r="MD143" i="34"/>
  <c r="PH73" i="34"/>
  <c r="PG181" i="34"/>
  <c r="JX174" i="34"/>
  <c r="LC132" i="34"/>
  <c r="NN126" i="34"/>
  <c r="LK85" i="34"/>
  <c r="MF101" i="34"/>
  <c r="JY79" i="34"/>
  <c r="PH164" i="34"/>
  <c r="NB97" i="34"/>
  <c r="OL89" i="34"/>
  <c r="MG145" i="34"/>
  <c r="MA57" i="34"/>
  <c r="DD105" i="34"/>
  <c r="KC161" i="34"/>
  <c r="MB160" i="34"/>
  <c r="JF105" i="34"/>
  <c r="JY147" i="34"/>
  <c r="KA77" i="34"/>
  <c r="KL104" i="34"/>
  <c r="MJ127" i="34"/>
  <c r="IZ102" i="34"/>
  <c r="IS75" i="34"/>
  <c r="HD84" i="34"/>
  <c r="NH67" i="34"/>
  <c r="EK54" i="34"/>
  <c r="OK165" i="34"/>
  <c r="PW86" i="34"/>
  <c r="FX105" i="34"/>
  <c r="NI186" i="34"/>
  <c r="FW167" i="34"/>
  <c r="JU124" i="34"/>
  <c r="MG63" i="34"/>
  <c r="IE173" i="34"/>
  <c r="MK134" i="34"/>
  <c r="MA83" i="34"/>
  <c r="MA112" i="34"/>
  <c r="NH183" i="34"/>
  <c r="MG85" i="34"/>
  <c r="GJ59" i="34"/>
  <c r="ND73" i="34"/>
  <c r="NJ105" i="34"/>
  <c r="FU88" i="34"/>
  <c r="MC108" i="34"/>
  <c r="CH150" i="34"/>
  <c r="MC110" i="34"/>
  <c r="PA93" i="34"/>
  <c r="KB76" i="34"/>
  <c r="PI174" i="34"/>
  <c r="IR63" i="34"/>
  <c r="FA61" i="34"/>
  <c r="IZ133" i="34"/>
  <c r="JF91" i="34"/>
  <c r="BN164" i="34"/>
  <c r="HE146" i="34"/>
  <c r="KP125" i="34"/>
  <c r="JF148" i="34"/>
  <c r="HY51" i="34"/>
  <c r="JA93" i="34"/>
  <c r="NC53" i="34"/>
  <c r="GO112" i="34"/>
  <c r="NN93" i="34"/>
  <c r="JD132" i="34"/>
  <c r="AN161" i="34"/>
  <c r="GM162" i="34"/>
  <c r="NH100" i="34"/>
  <c r="KN46" i="34"/>
  <c r="OO186" i="34"/>
  <c r="FQ141" i="34"/>
  <c r="NG88" i="34"/>
  <c r="DW43" i="34"/>
  <c r="ND60" i="34"/>
  <c r="FD41" i="33"/>
  <c r="IT125" i="34"/>
  <c r="NA61" i="34"/>
  <c r="EB99" i="34"/>
  <c r="HG42" i="34"/>
  <c r="ME136" i="34"/>
  <c r="PE103" i="34"/>
  <c r="GM84" i="34"/>
  <c r="PH133" i="34"/>
  <c r="LJ143" i="34"/>
  <c r="OO145" i="34"/>
  <c r="PE48" i="34"/>
  <c r="MG79" i="34"/>
  <c r="GK42" i="34"/>
  <c r="HX91" i="34"/>
  <c r="NI161" i="34"/>
  <c r="MF170" i="34"/>
  <c r="DW121" i="34"/>
  <c r="IR93" i="34"/>
  <c r="LW169" i="34"/>
  <c r="MI168" i="34"/>
  <c r="KO141" i="34"/>
  <c r="MK97" i="34"/>
  <c r="AV104" i="34"/>
  <c r="LD44" i="34"/>
  <c r="LI68" i="34"/>
  <c r="BO173" i="34"/>
  <c r="KM137" i="34"/>
  <c r="PH183" i="34"/>
  <c r="NA125" i="34"/>
  <c r="PB49" i="34"/>
  <c r="NB175" i="34"/>
  <c r="KA129" i="34"/>
  <c r="KP174" i="34"/>
  <c r="CD45" i="34"/>
  <c r="FS176" i="34"/>
  <c r="MG45" i="34"/>
  <c r="MK163" i="34"/>
  <c r="IW49" i="34"/>
  <c r="LC96" i="34"/>
  <c r="CE56" i="34"/>
  <c r="PJ176" i="34"/>
  <c r="IY140" i="34"/>
  <c r="JG112" i="34"/>
  <c r="IY86" i="34"/>
  <c r="IB138" i="34"/>
  <c r="KC181" i="34"/>
  <c r="HG186" i="34"/>
  <c r="CN176" i="34"/>
  <c r="LX157" i="34"/>
  <c r="KA113" i="34"/>
  <c r="IU61" i="34"/>
  <c r="AQ47" i="34"/>
  <c r="JU116" i="34"/>
  <c r="KR76" i="34"/>
  <c r="KP73" i="34"/>
  <c r="DI64" i="34"/>
  <c r="NN159" i="34"/>
  <c r="OK150" i="34"/>
  <c r="JU141" i="34"/>
  <c r="DG92" i="34"/>
  <c r="PK107" i="34"/>
  <c r="NC138" i="34"/>
  <c r="MA52" i="34"/>
  <c r="PX102" i="34"/>
  <c r="BA161" i="34"/>
  <c r="AD159" i="34"/>
  <c r="LG103" i="34"/>
  <c r="MD138" i="34"/>
  <c r="PD99" i="34"/>
  <c r="MM116" i="34"/>
  <c r="AW106" i="34"/>
  <c r="AM60" i="34"/>
  <c r="PF131" i="34"/>
  <c r="PI77" i="34"/>
  <c r="PY131" i="34"/>
  <c r="DW117" i="34"/>
  <c r="JH169" i="34"/>
  <c r="AY88" i="34"/>
  <c r="DS97" i="33"/>
  <c r="EX171" i="34"/>
  <c r="IW148" i="34"/>
  <c r="OI147" i="34"/>
  <c r="MO161" i="34"/>
  <c r="MH87" i="34"/>
  <c r="IU153" i="34"/>
  <c r="IT45" i="34"/>
  <c r="OO163" i="34"/>
  <c r="IE54" i="34"/>
  <c r="FR133" i="34"/>
  <c r="DE126" i="34"/>
  <c r="JH128" i="34"/>
  <c r="AD174" i="34"/>
  <c r="AQ124" i="34"/>
  <c r="IY153" i="34"/>
  <c r="CI59" i="34"/>
  <c r="ID88" i="34"/>
  <c r="HG146" i="34"/>
  <c r="GK108" i="34"/>
  <c r="KR61" i="34"/>
  <c r="IT130" i="34"/>
  <c r="PC174" i="34"/>
  <c r="LC104" i="34"/>
  <c r="DD169" i="34"/>
  <c r="IC95" i="34"/>
  <c r="DD43" i="34"/>
  <c r="NN64" i="34"/>
  <c r="LX83" i="34"/>
  <c r="LZ80" i="34"/>
  <c r="DH129" i="34"/>
  <c r="JF81" i="34"/>
  <c r="BN171" i="34"/>
  <c r="CH77" i="34"/>
  <c r="PA46" i="34"/>
  <c r="CF154" i="34"/>
  <c r="NM161" i="34"/>
  <c r="W80" i="34"/>
  <c r="IR55" i="34"/>
  <c r="NO97" i="34"/>
  <c r="IZ111" i="34"/>
  <c r="PH176" i="34"/>
  <c r="LG188" i="34"/>
  <c r="X69" i="34"/>
  <c r="AN104" i="34"/>
  <c r="Y75" i="34"/>
  <c r="NI175" i="34"/>
  <c r="NE101" i="34"/>
  <c r="IC132" i="34"/>
  <c r="KQ170" i="34"/>
  <c r="LI157" i="34"/>
  <c r="V71" i="34"/>
  <c r="OO74" i="34"/>
  <c r="JX107" i="34"/>
  <c r="EA145" i="34"/>
  <c r="LG86" i="34"/>
  <c r="HY131" i="34"/>
  <c r="OL86" i="34"/>
  <c r="NM158" i="34"/>
  <c r="MJ155" i="34"/>
  <c r="PZ134" i="34"/>
  <c r="LG148" i="34"/>
  <c r="LY162" i="34"/>
  <c r="JH82" i="34"/>
  <c r="KN143" i="34"/>
  <c r="HY134" i="34"/>
  <c r="FR49" i="34"/>
  <c r="LX43" i="34"/>
  <c r="KA84" i="34"/>
  <c r="IV74" i="34"/>
  <c r="MD92" i="34"/>
  <c r="HX67" i="34"/>
  <c r="MC88" i="34"/>
  <c r="EJ85" i="34"/>
  <c r="EY72" i="34"/>
  <c r="OH130" i="34"/>
  <c r="NJ42" i="34"/>
  <c r="BA85" i="34"/>
  <c r="NJ140" i="34"/>
  <c r="MF116" i="34"/>
  <c r="AY78" i="34"/>
  <c r="MH173" i="34"/>
  <c r="PG43" i="34"/>
  <c r="AS125" i="34"/>
  <c r="J88" i="34"/>
  <c r="JH134" i="34"/>
  <c r="PD103" i="34"/>
  <c r="BA96" i="34"/>
  <c r="JY112" i="34"/>
  <c r="KN77" i="34"/>
  <c r="MF168" i="34"/>
  <c r="IV108" i="34"/>
  <c r="KA158" i="34"/>
  <c r="IW46" i="34"/>
  <c r="JG70" i="34"/>
  <c r="IS172" i="34"/>
  <c r="OK64" i="34"/>
  <c r="ML123" i="34"/>
  <c r="KQ153" i="34"/>
  <c r="GO67" i="34"/>
  <c r="CJ64" i="34"/>
  <c r="PA116" i="34"/>
  <c r="KN110" i="34"/>
  <c r="PJ60" i="34"/>
  <c r="LX88" i="34"/>
  <c r="KB75" i="34"/>
  <c r="MB151" i="34"/>
  <c r="PF148" i="34"/>
  <c r="HX181" i="34"/>
  <c r="ND61" i="34"/>
  <c r="PB133" i="34"/>
  <c r="DE61" i="34"/>
  <c r="JW107" i="34"/>
  <c r="IS167" i="34"/>
  <c r="AN119" i="34"/>
  <c r="IW161" i="34"/>
  <c r="DZ89" i="34"/>
  <c r="DC59" i="34"/>
  <c r="BP90" i="34"/>
  <c r="J41" i="34"/>
  <c r="GQ111" i="34"/>
  <c r="HW62" i="34"/>
  <c r="LW66" i="34"/>
  <c r="DJ106" i="34"/>
  <c r="FX100" i="34"/>
  <c r="LY101" i="34"/>
  <c r="OM74" i="34"/>
  <c r="PY130" i="34"/>
  <c r="PC120" i="34"/>
  <c r="LB156" i="34"/>
  <c r="MD131" i="34"/>
  <c r="AP167" i="34"/>
  <c r="V178" i="34"/>
  <c r="KM65" i="34"/>
  <c r="PW83" i="34"/>
  <c r="ND42" i="34"/>
  <c r="JE84" i="34"/>
  <c r="MA118" i="34"/>
  <c r="MF59" i="34"/>
  <c r="LY171" i="34"/>
  <c r="HV65" i="34"/>
  <c r="JB171" i="34"/>
  <c r="PE77" i="34"/>
  <c r="AT163" i="34"/>
  <c r="JA72" i="34"/>
  <c r="CL106" i="34"/>
  <c r="FP97" i="34"/>
  <c r="HD98" i="34"/>
  <c r="JU93" i="34"/>
  <c r="AA96" i="34"/>
  <c r="HH157" i="34"/>
  <c r="MO136" i="34"/>
  <c r="JZ74" i="34"/>
  <c r="NJ160" i="34"/>
  <c r="KL95" i="34"/>
  <c r="JD155" i="34"/>
  <c r="LE157" i="34"/>
  <c r="FR170" i="34"/>
  <c r="ME144" i="34"/>
  <c r="MC76" i="34"/>
  <c r="BP117" i="34"/>
  <c r="PE73" i="34"/>
  <c r="EH142" i="34"/>
  <c r="PK149" i="34"/>
  <c r="EA134" i="34"/>
  <c r="JC51" i="34"/>
  <c r="PB118" i="34"/>
  <c r="ON88" i="34"/>
  <c r="KM123" i="34"/>
  <c r="LX95" i="34"/>
  <c r="JC145" i="34"/>
  <c r="FX44" i="34"/>
  <c r="FV85" i="34"/>
  <c r="T52" i="34"/>
  <c r="HD109" i="34"/>
  <c r="ND108" i="34"/>
  <c r="JD183" i="34"/>
  <c r="ML79" i="34"/>
  <c r="BP64" i="34"/>
  <c r="EW47" i="34"/>
  <c r="EI57" i="34"/>
  <c r="ND171" i="34"/>
  <c r="NJ78" i="34"/>
  <c r="JV71" i="34"/>
  <c r="J175" i="34"/>
  <c r="NG59" i="34"/>
  <c r="DB88" i="34"/>
  <c r="NN97" i="34"/>
  <c r="NK78" i="34"/>
  <c r="LJ163" i="34"/>
  <c r="BB85" i="34"/>
  <c r="IE188" i="34"/>
  <c r="PY60" i="34"/>
  <c r="W188" i="34"/>
  <c r="LG53" i="34"/>
  <c r="EI103" i="34"/>
  <c r="GL119" i="34"/>
  <c r="OJ96" i="34"/>
  <c r="FQ172" i="34"/>
  <c r="LB99" i="34"/>
  <c r="NN116" i="34"/>
  <c r="PG118" i="34"/>
  <c r="PZ125" i="34"/>
  <c r="PW88" i="34"/>
  <c r="PB131" i="34"/>
  <c r="EK130" i="34"/>
  <c r="CG175" i="34"/>
  <c r="LG150" i="34"/>
  <c r="KA53" i="34"/>
  <c r="HZ119" i="34"/>
  <c r="KM73" i="34"/>
  <c r="J115" i="34"/>
  <c r="NM120" i="34"/>
  <c r="LA133" i="34"/>
  <c r="AT98" i="34"/>
  <c r="LB131" i="34"/>
  <c r="CF85" i="34"/>
  <c r="PW137" i="34"/>
  <c r="FB125" i="34"/>
  <c r="EH119" i="34"/>
  <c r="IV174" i="34"/>
  <c r="MH61" i="34"/>
  <c r="EB125" i="34"/>
  <c r="LZ131" i="34"/>
  <c r="LH174" i="34"/>
  <c r="ON92" i="34"/>
  <c r="PC46" i="34"/>
  <c r="NE136" i="34"/>
  <c r="KP57" i="34"/>
  <c r="ME174" i="34"/>
  <c r="IU174" i="34"/>
  <c r="PA115" i="34"/>
  <c r="EJ116" i="34"/>
  <c r="EG111" i="34"/>
  <c r="JD71" i="34"/>
  <c r="NM148" i="34"/>
  <c r="NB78" i="34"/>
  <c r="J75" i="34"/>
  <c r="CF64" i="34"/>
  <c r="OK188" i="34"/>
  <c r="LF145" i="34"/>
  <c r="OL173" i="34"/>
  <c r="HW76" i="34"/>
  <c r="MB133" i="34"/>
  <c r="LG181" i="34"/>
  <c r="KR84" i="34"/>
  <c r="PI154" i="34"/>
  <c r="NP66" i="34"/>
  <c r="NL148" i="34"/>
  <c r="LY55" i="34"/>
  <c r="JG109" i="34"/>
  <c r="JY56" i="34"/>
  <c r="JC115" i="34"/>
  <c r="EB100" i="34"/>
  <c r="NC107" i="34"/>
  <c r="Y187" i="34"/>
  <c r="OK109" i="34"/>
  <c r="U121" i="34"/>
  <c r="EG44" i="34"/>
  <c r="LD88" i="34"/>
  <c r="MJ176" i="34"/>
  <c r="FS129" i="34"/>
  <c r="FA152" i="34"/>
  <c r="PH89" i="34"/>
  <c r="CG139" i="34"/>
  <c r="CE174" i="34"/>
  <c r="FQ59" i="34"/>
  <c r="MJ73" i="34"/>
  <c r="NM49" i="34"/>
  <c r="NG136" i="34"/>
  <c r="MM110" i="34"/>
  <c r="FW102" i="34"/>
  <c r="EH96" i="34"/>
  <c r="CI138" i="34"/>
  <c r="IV82" i="34"/>
  <c r="NE80" i="34"/>
  <c r="NH47" i="34"/>
  <c r="KR112" i="34"/>
  <c r="LI95" i="34"/>
  <c r="BP173" i="34"/>
  <c r="OJ150" i="34"/>
  <c r="PB44" i="34"/>
  <c r="PG140" i="34"/>
  <c r="NE50" i="34"/>
  <c r="DG35" i="33"/>
  <c r="CH84" i="34"/>
  <c r="IY107" i="34"/>
  <c r="HH149" i="34"/>
  <c r="MO142" i="34"/>
  <c r="HX111" i="34"/>
  <c r="PE151" i="34"/>
  <c r="ND96" i="34"/>
  <c r="NC95" i="34"/>
  <c r="MK44" i="34"/>
  <c r="FV117" i="34"/>
  <c r="CG186" i="34"/>
  <c r="GP160" i="34"/>
  <c r="HY127" i="34"/>
  <c r="DE115" i="34"/>
  <c r="GJ126" i="34"/>
  <c r="JC108" i="34"/>
  <c r="IV47" i="34"/>
  <c r="LD122" i="34"/>
  <c r="CH62" i="34"/>
  <c r="EB150" i="34"/>
  <c r="PG105" i="34"/>
  <c r="CD113" i="34"/>
  <c r="CD159" i="34"/>
  <c r="AC174" i="34"/>
  <c r="JH50" i="34"/>
  <c r="NB96" i="34"/>
  <c r="BR48" i="34"/>
  <c r="NA95" i="34"/>
  <c r="NF121" i="34"/>
  <c r="NE166" i="34"/>
  <c r="ED72" i="34"/>
  <c r="DI51" i="34"/>
  <c r="HF156" i="34"/>
  <c r="ND140" i="34"/>
  <c r="CI124" i="34"/>
  <c r="GM178" i="34"/>
  <c r="NK171" i="34"/>
  <c r="IV84" i="34"/>
  <c r="LD132" i="34"/>
  <c r="ME46" i="34"/>
  <c r="FQ135" i="34"/>
  <c r="PW74" i="34"/>
  <c r="NH44" i="34"/>
  <c r="PW41" i="34"/>
  <c r="LI117" i="34"/>
  <c r="IW122" i="34"/>
  <c r="BA97" i="34"/>
  <c r="IV135" i="34"/>
  <c r="PK72" i="34"/>
  <c r="KO59" i="34"/>
  <c r="PW145" i="34"/>
  <c r="IA62" i="34"/>
  <c r="HV134" i="34"/>
  <c r="ND170" i="34"/>
  <c r="CH178" i="34"/>
  <c r="EC93" i="34"/>
  <c r="ON110" i="34"/>
  <c r="LJ78" i="34"/>
  <c r="HW167" i="34"/>
  <c r="OK104" i="34"/>
  <c r="PY160" i="34"/>
  <c r="LC88" i="34"/>
  <c r="MD105" i="34"/>
  <c r="HG82" i="34"/>
  <c r="KN188" i="34"/>
  <c r="JE160" i="34"/>
  <c r="OJ140" i="34"/>
  <c r="JA104" i="34"/>
  <c r="PY46" i="34"/>
  <c r="BP43" i="34"/>
  <c r="JY66" i="34"/>
  <c r="PW90" i="34"/>
  <c r="JF43" i="34"/>
  <c r="OH173" i="34"/>
  <c r="Y128" i="34"/>
  <c r="NF183" i="34"/>
  <c r="AA87" i="34"/>
  <c r="FV67" i="34"/>
  <c r="EY108" i="34"/>
  <c r="MM61" i="34"/>
  <c r="OO51" i="34"/>
  <c r="ML165" i="34"/>
  <c r="KM164" i="34"/>
  <c r="IA124" i="34"/>
  <c r="NM123" i="34"/>
  <c r="IU95" i="34"/>
  <c r="OK92" i="34"/>
  <c r="PX129" i="34"/>
  <c r="OM47" i="34"/>
  <c r="MI100" i="34"/>
  <c r="JV80" i="34"/>
  <c r="OO71" i="34"/>
  <c r="LA167" i="34"/>
  <c r="ID144" i="34"/>
  <c r="KP151" i="34"/>
  <c r="ND119" i="34"/>
  <c r="IC115" i="34"/>
  <c r="IW149" i="34"/>
  <c r="LW88" i="34"/>
  <c r="JU147" i="34"/>
  <c r="AM45" i="34"/>
  <c r="LD167" i="34"/>
  <c r="IY121" i="34"/>
  <c r="GN92" i="34"/>
  <c r="OK101" i="34"/>
  <c r="ED131" i="34"/>
  <c r="LY117" i="34"/>
  <c r="FP102" i="34"/>
  <c r="FN47" i="34"/>
  <c r="DY160" i="34"/>
  <c r="MJ152" i="34"/>
  <c r="DG141" i="34"/>
  <c r="NK111" i="34"/>
  <c r="HT43" i="34"/>
  <c r="DJ134" i="34"/>
  <c r="MA110" i="34"/>
  <c r="PF186" i="34"/>
  <c r="LI59" i="34"/>
  <c r="PE61" i="34"/>
  <c r="JT132" i="34"/>
  <c r="PX120" i="34"/>
  <c r="HW172" i="34"/>
  <c r="NK69" i="34"/>
  <c r="KC146" i="34"/>
  <c r="KC112" i="34"/>
  <c r="JD106" i="34"/>
  <c r="PI72" i="34"/>
  <c r="ON100" i="34"/>
  <c r="PC150" i="34"/>
  <c r="MJ94" i="34"/>
  <c r="NO91" i="34"/>
  <c r="NJ107" i="34"/>
  <c r="FW124" i="34"/>
  <c r="EE168" i="34"/>
  <c r="FQ149" i="34"/>
  <c r="FP175" i="34"/>
  <c r="NB136" i="34"/>
  <c r="EY94" i="34"/>
  <c r="NC89" i="34"/>
  <c r="DV93" i="34"/>
  <c r="ON63" i="34"/>
  <c r="CF53" i="34"/>
  <c r="OK72" i="34"/>
  <c r="BQ71" i="34"/>
  <c r="MG167" i="34"/>
  <c r="MD42" i="34"/>
  <c r="IW53" i="34"/>
  <c r="AU43" i="34"/>
  <c r="NL146" i="34"/>
  <c r="MA160" i="34"/>
  <c r="Y79" i="34"/>
  <c r="OH43" i="34"/>
  <c r="OO148" i="34"/>
  <c r="OM72" i="34"/>
  <c r="AB82" i="34"/>
  <c r="PY61" i="34"/>
  <c r="HC97" i="34"/>
  <c r="KO163" i="34"/>
  <c r="JG87" i="34"/>
  <c r="CF94" i="34"/>
  <c r="PJ55" i="34"/>
  <c r="PX168" i="34"/>
  <c r="JE166" i="34"/>
  <c r="ND178" i="34"/>
  <c r="HC135" i="34"/>
  <c r="PD135" i="34"/>
  <c r="MB167" i="34"/>
  <c r="DC146" i="34"/>
  <c r="KL93" i="34"/>
  <c r="HX74" i="34"/>
  <c r="PG136" i="34"/>
  <c r="AZ175" i="34"/>
  <c r="DF143" i="34"/>
  <c r="CD154" i="34"/>
  <c r="EE163" i="34"/>
  <c r="ME113" i="34"/>
  <c r="IZ80" i="34"/>
  <c r="OM129" i="34"/>
  <c r="FQ126" i="34"/>
  <c r="T176" i="34"/>
  <c r="J62" i="34"/>
  <c r="GK130" i="34"/>
  <c r="FP95" i="34"/>
  <c r="JZ148" i="34"/>
  <c r="IU92" i="34"/>
  <c r="NL50" i="34"/>
  <c r="MA149" i="34"/>
  <c r="PW159" i="34"/>
  <c r="HZ115" i="34"/>
  <c r="NO90" i="34"/>
  <c r="JV130" i="34"/>
  <c r="AZ72" i="34"/>
  <c r="PF45" i="34"/>
  <c r="ND94" i="34"/>
  <c r="MC43" i="34"/>
  <c r="MJ110" i="34"/>
  <c r="PJ168" i="34"/>
  <c r="JF127" i="34"/>
  <c r="FX90" i="34"/>
  <c r="KC123" i="34"/>
  <c r="ME112" i="34"/>
  <c r="OO151" i="34"/>
  <c r="LC159" i="34"/>
  <c r="ED124" i="34"/>
  <c r="MA153" i="34"/>
  <c r="FN111" i="34"/>
  <c r="FO110" i="34"/>
  <c r="NE181" i="34"/>
  <c r="EK113" i="34"/>
  <c r="MH89" i="34"/>
  <c r="GK169" i="34"/>
  <c r="NO74" i="34"/>
  <c r="MB80" i="34"/>
  <c r="J67" i="34"/>
  <c r="MM164" i="34"/>
  <c r="MA139" i="34"/>
  <c r="JD171" i="34"/>
  <c r="PF95" i="34"/>
  <c r="NJ183" i="34"/>
  <c r="IR42" i="34"/>
  <c r="JW78" i="34"/>
  <c r="GK120" i="34"/>
  <c r="NK57" i="34"/>
  <c r="OL54" i="34"/>
  <c r="DX50" i="34"/>
  <c r="GQ91" i="34"/>
  <c r="NH89" i="34"/>
  <c r="AD95" i="34"/>
  <c r="FQ95" i="34"/>
  <c r="ME139" i="34"/>
  <c r="J148" i="34"/>
  <c r="CK78" i="34"/>
  <c r="DJ45" i="34"/>
  <c r="KC157" i="34"/>
  <c r="BR171" i="34"/>
  <c r="NG87" i="34"/>
  <c r="NF147" i="34"/>
  <c r="LC51" i="34"/>
  <c r="AN162" i="34"/>
  <c r="MN174" i="34"/>
  <c r="AX167" i="34"/>
  <c r="X88" i="34"/>
  <c r="IA165" i="34"/>
  <c r="LF64" i="34"/>
  <c r="NP100" i="34"/>
  <c r="MB161" i="34"/>
  <c r="OM147" i="34"/>
  <c r="Z155" i="34"/>
  <c r="JV46" i="34"/>
  <c r="EE82" i="34"/>
  <c r="JE109" i="34"/>
  <c r="LA73" i="34"/>
  <c r="NJ111" i="34"/>
  <c r="CE93" i="34"/>
  <c r="LA162" i="34"/>
  <c r="LG115" i="34"/>
  <c r="PY174" i="34"/>
  <c r="MA159" i="34"/>
  <c r="PA175" i="34"/>
  <c r="HE148" i="34"/>
  <c r="AM178" i="34"/>
  <c r="PB141" i="34"/>
  <c r="LB105" i="34"/>
  <c r="BN86" i="33"/>
  <c r="IQ167" i="34"/>
  <c r="IB59" i="34"/>
  <c r="LW143" i="34"/>
  <c r="LZ160" i="34"/>
  <c r="FB52" i="34"/>
  <c r="JD148" i="34"/>
  <c r="OO124" i="34"/>
  <c r="NE51" i="34"/>
  <c r="CI145" i="34"/>
  <c r="OO176" i="34"/>
  <c r="NE118" i="34"/>
  <c r="DF175" i="34"/>
  <c r="MC141" i="34"/>
  <c r="LB135" i="34"/>
  <c r="NL87" i="34"/>
  <c r="IW153" i="34"/>
  <c r="JW93" i="34"/>
  <c r="MG124" i="34"/>
  <c r="IE131" i="34"/>
  <c r="MA61" i="34"/>
  <c r="NC123" i="34"/>
  <c r="MK47" i="34"/>
  <c r="MJ55" i="34"/>
  <c r="IQ188" i="34"/>
  <c r="KM110" i="34"/>
  <c r="IY174" i="34"/>
  <c r="LB136" i="34"/>
  <c r="DH173" i="34"/>
  <c r="PF97" i="34"/>
  <c r="PF102" i="34"/>
  <c r="PA68" i="34"/>
  <c r="GJ138" i="34"/>
  <c r="IV111" i="34"/>
  <c r="LJ186" i="34"/>
  <c r="JX126" i="34"/>
  <c r="JZ100" i="34"/>
  <c r="BA68" i="34"/>
  <c r="AV140" i="34"/>
  <c r="PF159" i="34"/>
  <c r="BN42" i="34"/>
  <c r="HF97" i="34"/>
  <c r="JV88" i="34"/>
  <c r="OM89" i="34"/>
  <c r="NP163" i="34"/>
  <c r="LF127" i="34"/>
  <c r="DZ124" i="34"/>
  <c r="LX155" i="34"/>
  <c r="JX125" i="34"/>
  <c r="KQ150" i="34"/>
  <c r="KR138" i="34"/>
  <c r="CJ58" i="34"/>
  <c r="KR156" i="34"/>
  <c r="BR80" i="34"/>
  <c r="KO160" i="34"/>
  <c r="ND132" i="34"/>
  <c r="PD94" i="34"/>
  <c r="MA119" i="34"/>
  <c r="FU89" i="34"/>
  <c r="IA117" i="34"/>
  <c r="JV41" i="34"/>
  <c r="LJ50" i="34"/>
  <c r="EY46" i="34"/>
  <c r="OO130" i="34"/>
  <c r="OM94" i="34"/>
  <c r="DW101" i="34"/>
  <c r="FX45" i="34"/>
  <c r="PG164" i="34"/>
  <c r="OI90" i="34"/>
  <c r="OI47" i="34"/>
  <c r="JU84" i="34"/>
  <c r="NH84" i="34"/>
  <c r="LX49" i="34"/>
  <c r="NJ96" i="34"/>
  <c r="JB165" i="34"/>
  <c r="LK53" i="34"/>
  <c r="EK160" i="34"/>
  <c r="CM43" i="34"/>
  <c r="KL163" i="34"/>
  <c r="FV146" i="34"/>
  <c r="JV89" i="34"/>
  <c r="FT66" i="34"/>
  <c r="ON154" i="34"/>
  <c r="JE44" i="34"/>
  <c r="CN123" i="34"/>
  <c r="HH101" i="34"/>
  <c r="PA168" i="34"/>
  <c r="IW101" i="34"/>
  <c r="ML149" i="34"/>
  <c r="PC71" i="34"/>
  <c r="ND149" i="34"/>
  <c r="LW125" i="34"/>
  <c r="MN109" i="34"/>
  <c r="JT67" i="34"/>
  <c r="X83" i="34"/>
  <c r="LG50" i="34"/>
  <c r="PG161" i="34"/>
  <c r="HH175" i="34"/>
  <c r="OM127" i="34"/>
  <c r="IC54" i="34"/>
  <c r="LA132" i="34"/>
  <c r="IU173" i="34"/>
  <c r="KB188" i="34"/>
  <c r="CG146" i="34"/>
  <c r="MH106" i="34"/>
  <c r="HZ129" i="34"/>
  <c r="BO54" i="34"/>
  <c r="HY141" i="34"/>
  <c r="PH112" i="34"/>
  <c r="ID187" i="34"/>
  <c r="NL55" i="34"/>
  <c r="JU129" i="34"/>
  <c r="PI43" i="34"/>
  <c r="KO168" i="34"/>
  <c r="OO94" i="34"/>
  <c r="PD43" i="34"/>
  <c r="OH172" i="34"/>
  <c r="MO173" i="34"/>
  <c r="HW71" i="34"/>
  <c r="LY94" i="34"/>
  <c r="EK104" i="34"/>
  <c r="CO129" i="34"/>
  <c r="NB108" i="34"/>
  <c r="AS110" i="34"/>
  <c r="EW43" i="34"/>
  <c r="PZ104" i="34"/>
  <c r="IC89" i="34"/>
  <c r="HX145" i="34"/>
  <c r="CG163" i="34"/>
  <c r="AD64" i="34"/>
  <c r="HE105" i="34"/>
  <c r="JD81" i="34"/>
  <c r="CF188" i="34"/>
  <c r="PJ54" i="34"/>
  <c r="MA53" i="34"/>
  <c r="NC104" i="34"/>
  <c r="LY93" i="34"/>
  <c r="IE45" i="34"/>
  <c r="ON176" i="34"/>
  <c r="NF172" i="34"/>
  <c r="IR165" i="34"/>
  <c r="IR60" i="34"/>
  <c r="MI46" i="34"/>
  <c r="DW118" i="34"/>
  <c r="ON175" i="34"/>
  <c r="AD122" i="34"/>
  <c r="MI135" i="34"/>
  <c r="KQ109" i="34"/>
  <c r="AD155" i="34"/>
  <c r="FN42" i="34"/>
  <c r="CO74" i="34"/>
  <c r="PJ94" i="34"/>
  <c r="DA47" i="34"/>
  <c r="FN102" i="34"/>
  <c r="ED188" i="34"/>
  <c r="OH79" i="34"/>
  <c r="PX108" i="34"/>
  <c r="PJ66" i="34"/>
  <c r="OL103" i="34"/>
  <c r="MJ164" i="34"/>
  <c r="JE66" i="34"/>
  <c r="CE90" i="34"/>
  <c r="FA67" i="34"/>
  <c r="LF54" i="34"/>
  <c r="PJ72" i="34"/>
  <c r="DX52" i="34"/>
  <c r="LH130" i="34"/>
  <c r="PE136" i="34"/>
  <c r="LX168" i="34"/>
  <c r="LG99" i="34"/>
  <c r="NJ152" i="34"/>
  <c r="IZ123" i="34"/>
  <c r="IY92" i="34"/>
  <c r="AO79" i="34"/>
  <c r="IY178" i="34"/>
  <c r="HU81" i="34"/>
  <c r="JA128" i="34"/>
  <c r="PH57" i="34"/>
  <c r="CM72" i="34"/>
  <c r="PF170" i="34"/>
  <c r="BQ186" i="34"/>
  <c r="AC96" i="34"/>
  <c r="MH112" i="34"/>
  <c r="MJ48" i="34"/>
  <c r="OO64" i="34"/>
  <c r="DC70" i="34"/>
  <c r="PH96" i="34"/>
  <c r="MD79" i="34"/>
  <c r="HW56" i="34"/>
  <c r="FT159" i="34"/>
  <c r="T111" i="34"/>
  <c r="MA166" i="34"/>
  <c r="CF132" i="34"/>
  <c r="MI88" i="34"/>
  <c r="LB46" i="34"/>
  <c r="GO86" i="34"/>
  <c r="MD159" i="34"/>
  <c r="HE137" i="34"/>
  <c r="KM156" i="34"/>
  <c r="PX77" i="34"/>
  <c r="NI187" i="34"/>
  <c r="PH56" i="34"/>
  <c r="GQ65" i="34"/>
  <c r="KN96" i="34"/>
  <c r="LW45" i="34"/>
  <c r="MI153" i="34"/>
  <c r="MG141" i="34"/>
  <c r="J84" i="34"/>
  <c r="OI103" i="34"/>
  <c r="AB112" i="34"/>
  <c r="PJ130" i="34"/>
  <c r="MN70" i="34"/>
  <c r="MH41" i="34"/>
  <c r="LJ111" i="34"/>
  <c r="JC186" i="34"/>
  <c r="NB104" i="34"/>
  <c r="KO167" i="34"/>
  <c r="JV166" i="34"/>
  <c r="IU49" i="34"/>
  <c r="CL85" i="34"/>
  <c r="FV112" i="34"/>
  <c r="IR133" i="34"/>
  <c r="LG73" i="34"/>
  <c r="EK80" i="34"/>
  <c r="X146" i="34"/>
  <c r="LY175" i="34"/>
  <c r="PJ46" i="34"/>
  <c r="ED104" i="34"/>
  <c r="LB123" i="34"/>
  <c r="IS98" i="34"/>
  <c r="HT168" i="34"/>
  <c r="OJ170" i="34"/>
  <c r="IQ92" i="34"/>
  <c r="CF41" i="34"/>
  <c r="FV175" i="34"/>
  <c r="KA47" i="34"/>
  <c r="IB127" i="34"/>
  <c r="MO159" i="34"/>
  <c r="NB81" i="34"/>
  <c r="EW162" i="34"/>
  <c r="ND86" i="34"/>
  <c r="MC128" i="34"/>
  <c r="PC61" i="34"/>
  <c r="JX90" i="34"/>
  <c r="MM60" i="34"/>
  <c r="IS82" i="34"/>
  <c r="ND129" i="34"/>
  <c r="BB54" i="34"/>
  <c r="MJ187" i="34"/>
  <c r="NI102" i="34"/>
  <c r="PK111" i="34"/>
  <c r="HC92" i="34"/>
  <c r="PK57" i="34"/>
  <c r="NE168" i="34"/>
  <c r="MJ64" i="34"/>
  <c r="IB103" i="34"/>
  <c r="EI152" i="34"/>
  <c r="DZ50" i="34"/>
  <c r="MJ104" i="34"/>
  <c r="BB41" i="34"/>
  <c r="MM183" i="34"/>
  <c r="LE164" i="34"/>
  <c r="HZ135" i="34"/>
  <c r="LY147" i="34"/>
  <c r="FF97" i="33"/>
  <c r="KA116" i="34"/>
  <c r="JV176" i="34"/>
  <c r="FW56" i="34"/>
  <c r="MB154" i="34"/>
  <c r="GJ127" i="34"/>
  <c r="IT176" i="34"/>
  <c r="OI151" i="34"/>
  <c r="MK86" i="34"/>
  <c r="NI97" i="34"/>
  <c r="FN119" i="34"/>
  <c r="PG134" i="34"/>
  <c r="NB79" i="34"/>
  <c r="NO157" i="34"/>
  <c r="DB123" i="34"/>
  <c r="FS67" i="34"/>
  <c r="OJ100" i="34"/>
  <c r="KB101" i="34"/>
  <c r="EK101" i="34"/>
  <c r="PK171" i="34"/>
  <c r="CL188" i="34"/>
  <c r="LD176" i="34"/>
  <c r="LG132" i="34"/>
  <c r="GQ41" i="34"/>
  <c r="LC121" i="34"/>
  <c r="PD79" i="34"/>
  <c r="FV83" i="34"/>
  <c r="LH161" i="34"/>
  <c r="AZ97" i="33"/>
  <c r="PC156" i="34"/>
  <c r="GM61" i="34"/>
  <c r="GK147" i="34"/>
  <c r="JB96" i="34"/>
  <c r="JF45" i="34"/>
  <c r="LW87" i="34"/>
  <c r="MH74" i="34"/>
  <c r="JD158" i="34"/>
  <c r="LI181" i="34"/>
  <c r="HH100" i="34"/>
  <c r="OL134" i="34"/>
  <c r="GL148" i="34"/>
  <c r="GO153" i="34"/>
  <c r="MF145" i="34"/>
  <c r="BO43" i="34"/>
  <c r="AB115" i="34"/>
  <c r="MN67" i="34"/>
  <c r="HY115" i="34"/>
  <c r="PC155" i="34"/>
  <c r="IU67" i="34"/>
  <c r="HV83" i="34"/>
  <c r="NG85" i="34"/>
  <c r="NH80" i="34"/>
  <c r="GK126" i="34"/>
  <c r="EG95" i="34"/>
  <c r="FP129" i="34"/>
  <c r="NJ173" i="34"/>
  <c r="MF129" i="34"/>
  <c r="HH109" i="34"/>
  <c r="DB116" i="34"/>
  <c r="KN171" i="34"/>
  <c r="PJ187" i="34"/>
  <c r="LG165" i="34"/>
  <c r="LZ51" i="34"/>
  <c r="PJ41" i="34"/>
  <c r="JX119" i="34"/>
  <c r="LX48" i="34"/>
  <c r="LD156" i="34"/>
  <c r="OH70" i="34"/>
  <c r="MC148" i="34"/>
  <c r="ON115" i="34"/>
  <c r="CF79" i="34"/>
  <c r="PD49" i="34"/>
  <c r="ME89" i="34"/>
  <c r="LZ148" i="34"/>
  <c r="IU54" i="34"/>
  <c r="PJ76" i="34"/>
  <c r="DB80" i="34"/>
  <c r="HF77" i="34"/>
  <c r="EE172" i="34"/>
  <c r="LY188" i="34"/>
  <c r="PA127" i="34"/>
  <c r="NG89" i="34"/>
  <c r="GJ110" i="34"/>
  <c r="JX44" i="34"/>
  <c r="ON130" i="34"/>
  <c r="W140" i="34"/>
  <c r="PJ70" i="34"/>
  <c r="CG60" i="34"/>
  <c r="DY151" i="34"/>
  <c r="GL113" i="34"/>
  <c r="MA48" i="34"/>
  <c r="ID49" i="34"/>
  <c r="AS159" i="34"/>
  <c r="AP54" i="34"/>
  <c r="MH130" i="34"/>
  <c r="AB93" i="34"/>
  <c r="OJ168" i="34"/>
  <c r="PC121" i="34"/>
  <c r="CG78" i="34"/>
  <c r="GJ67" i="34"/>
  <c r="IR170" i="34"/>
  <c r="AN152" i="34"/>
  <c r="LD93" i="34"/>
  <c r="MC91" i="34"/>
  <c r="CH97" i="34"/>
  <c r="PX133" i="34"/>
  <c r="JH127" i="34"/>
  <c r="JD66" i="34"/>
  <c r="LG173" i="34"/>
  <c r="HD101" i="34"/>
  <c r="NA107" i="34"/>
  <c r="HC120" i="34"/>
  <c r="MJ134" i="34"/>
  <c r="EF56" i="34"/>
  <c r="JG84" i="34"/>
  <c r="FP126" i="34"/>
  <c r="JH181" i="34"/>
  <c r="MI53" i="34"/>
  <c r="MM125" i="34"/>
  <c r="ME125" i="34"/>
  <c r="ON106" i="34"/>
  <c r="GP61" i="34"/>
  <c r="AX82" i="34"/>
  <c r="HH95" i="34"/>
  <c r="JD129" i="34"/>
  <c r="AM50" i="34"/>
  <c r="HW126" i="34"/>
  <c r="EH64" i="34"/>
  <c r="DB97" i="33"/>
  <c r="PI61" i="34"/>
  <c r="X112" i="34"/>
  <c r="KB84" i="34"/>
  <c r="KO176" i="34"/>
  <c r="OK154" i="34"/>
  <c r="NE88" i="34"/>
  <c r="MC151" i="34"/>
  <c r="DX149" i="34"/>
  <c r="FS103" i="34"/>
  <c r="IE88" i="34"/>
  <c r="IC49" i="34"/>
  <c r="KQ147" i="34"/>
  <c r="JY145" i="34"/>
  <c r="LZ103" i="34"/>
  <c r="EB41" i="34"/>
  <c r="JE154" i="34"/>
  <c r="NG121" i="34"/>
  <c r="PW146" i="34"/>
  <c r="JH71" i="34"/>
  <c r="OJ75" i="34"/>
  <c r="IV126" i="34"/>
  <c r="PE115" i="34"/>
  <c r="FO147" i="34"/>
  <c r="MD69" i="34"/>
  <c r="PB82" i="34"/>
  <c r="MM134" i="34"/>
  <c r="PW164" i="34"/>
  <c r="NN89" i="34"/>
  <c r="LJ115" i="34"/>
  <c r="GN124" i="34"/>
  <c r="NK150" i="34"/>
  <c r="PH158" i="34"/>
  <c r="OH88" i="34"/>
  <c r="CH61" i="34"/>
  <c r="JY75" i="34"/>
  <c r="PC117" i="34"/>
  <c r="NB91" i="34"/>
  <c r="AD144" i="34"/>
  <c r="GJ78" i="34"/>
  <c r="AN171" i="34"/>
  <c r="FV96" i="34"/>
  <c r="DG71" i="34"/>
  <c r="IQ80" i="34"/>
  <c r="LD168" i="34"/>
  <c r="PF72" i="34"/>
  <c r="JD146" i="34"/>
  <c r="MO56" i="34"/>
  <c r="IU104" i="34"/>
  <c r="OO116" i="34"/>
  <c r="PD98" i="34"/>
  <c r="NI105" i="34"/>
  <c r="FP57" i="34"/>
  <c r="FR135" i="34"/>
  <c r="NI139" i="34"/>
  <c r="CF178" i="34"/>
  <c r="U153" i="34"/>
  <c r="IQ41" i="34"/>
  <c r="PY123" i="34"/>
  <c r="JB150" i="34"/>
  <c r="FS144" i="34"/>
  <c r="EY80" i="34"/>
  <c r="K105" i="34"/>
  <c r="AQ171" i="34"/>
  <c r="NK148" i="34"/>
  <c r="JW73" i="34"/>
  <c r="JY128" i="34"/>
  <c r="OL166" i="34"/>
  <c r="NN143" i="34"/>
  <c r="FP86" i="34"/>
  <c r="HT77" i="34"/>
  <c r="IR77" i="34"/>
  <c r="EX130" i="34"/>
  <c r="X150" i="34"/>
  <c r="OI46" i="34"/>
  <c r="HE63" i="34"/>
  <c r="JB103" i="34"/>
  <c r="ME120" i="34"/>
  <c r="KP130" i="34"/>
  <c r="KQ81" i="34"/>
  <c r="EB186" i="34"/>
  <c r="NA136" i="34"/>
  <c r="DY57" i="34"/>
  <c r="CD53" i="33"/>
  <c r="IB64" i="34"/>
  <c r="KO75" i="34"/>
  <c r="ME105" i="34"/>
  <c r="KQ145" i="34"/>
  <c r="PG183" i="34"/>
  <c r="CG144" i="34"/>
  <c r="MM52" i="34"/>
  <c r="LI71" i="34"/>
  <c r="HU69" i="34"/>
  <c r="MN157" i="34"/>
  <c r="OL52" i="34"/>
  <c r="HX155" i="34"/>
  <c r="OH58" i="34"/>
  <c r="BC30" i="33"/>
  <c r="MB115" i="34"/>
  <c r="HY129" i="34"/>
  <c r="NM122" i="34"/>
  <c r="LC136" i="34"/>
  <c r="OL102" i="34"/>
  <c r="DD112" i="34"/>
  <c r="DD54" i="34"/>
  <c r="LD45" i="34"/>
  <c r="HX120" i="34"/>
  <c r="NH122" i="34"/>
  <c r="EA55" i="34"/>
  <c r="MC83" i="34"/>
  <c r="HU55" i="34"/>
  <c r="MA69" i="34"/>
  <c r="GQ55" i="34"/>
  <c r="PB165" i="34"/>
  <c r="PH101" i="34"/>
  <c r="NO172" i="34"/>
  <c r="Y145" i="34"/>
  <c r="NP89" i="34"/>
  <c r="NA91" i="34"/>
  <c r="J71" i="34"/>
  <c r="PA109" i="34"/>
  <c r="AC56" i="34"/>
  <c r="PG129" i="34"/>
  <c r="IT124" i="34"/>
  <c r="MH48" i="34"/>
  <c r="GL138" i="34"/>
  <c r="EE41" i="34"/>
  <c r="MN135" i="34"/>
  <c r="OK97" i="34"/>
  <c r="JG43" i="34"/>
  <c r="LK72" i="34"/>
  <c r="PJ170" i="34"/>
  <c r="GJ70" i="34"/>
  <c r="NP149" i="34"/>
  <c r="MK79" i="34"/>
  <c r="NC140" i="34"/>
  <c r="ML172" i="34"/>
  <c r="EE31" i="33"/>
  <c r="DW178" i="34"/>
  <c r="CF78" i="34"/>
  <c r="J171" i="34"/>
  <c r="OK83" i="34"/>
  <c r="HV49" i="34"/>
  <c r="EJ79" i="34"/>
  <c r="PI82" i="34"/>
  <c r="PA123" i="34"/>
  <c r="JG160" i="34"/>
  <c r="IB145" i="34"/>
  <c r="IU129" i="34"/>
  <c r="MI67" i="34"/>
  <c r="FW61" i="34"/>
  <c r="NF112" i="34"/>
  <c r="LH148" i="34"/>
  <c r="MM109" i="34"/>
  <c r="BN69" i="34"/>
  <c r="KA166" i="34"/>
  <c r="DG188" i="34"/>
  <c r="JG42" i="34"/>
  <c r="JE76" i="34"/>
  <c r="FX87" i="34"/>
  <c r="GK48" i="34"/>
  <c r="NA92" i="34"/>
  <c r="EJ178" i="34"/>
  <c r="NF151" i="34"/>
  <c r="IS43" i="34"/>
  <c r="HW117" i="34"/>
  <c r="OO53" i="34"/>
  <c r="IE94" i="34"/>
  <c r="PK81" i="34"/>
  <c r="MN88" i="34"/>
  <c r="MI71" i="34"/>
  <c r="GK80" i="34"/>
  <c r="LJ121" i="34"/>
  <c r="MA93" i="34"/>
  <c r="KR72" i="34"/>
  <c r="ND138" i="34"/>
  <c r="IW147" i="34"/>
  <c r="AV122" i="34"/>
  <c r="CG44" i="34"/>
  <c r="LD159" i="34"/>
  <c r="LW93" i="34"/>
  <c r="KQ84" i="34"/>
  <c r="Y96" i="34"/>
  <c r="KR100" i="34"/>
  <c r="KO140" i="34"/>
  <c r="MN134" i="34"/>
  <c r="KN59" i="34"/>
  <c r="PF58" i="34"/>
  <c r="MA111" i="34"/>
  <c r="FR121" i="34"/>
  <c r="MG42" i="34"/>
  <c r="MB54" i="34"/>
  <c r="ID119" i="34"/>
  <c r="Y66" i="34"/>
  <c r="AR72" i="34"/>
  <c r="ML67" i="34"/>
  <c r="Y103" i="34"/>
  <c r="OM59" i="34"/>
  <c r="FX130" i="34"/>
  <c r="LW170" i="34"/>
  <c r="PZ176" i="34"/>
  <c r="PG68" i="34"/>
  <c r="LC145" i="34"/>
  <c r="MC109" i="34"/>
  <c r="JF58" i="34"/>
  <c r="PX67" i="34"/>
  <c r="PI172" i="34"/>
  <c r="OL155" i="34"/>
  <c r="BA139" i="34"/>
  <c r="AD104" i="34"/>
  <c r="Z166" i="34"/>
  <c r="DG61" i="34"/>
  <c r="PI62" i="34"/>
  <c r="JU134" i="34"/>
  <c r="NB46" i="34"/>
  <c r="HH174" i="34"/>
  <c r="LK47" i="34"/>
  <c r="EG110" i="34"/>
  <c r="LY128" i="34"/>
  <c r="MN60" i="34"/>
  <c r="CD135" i="34"/>
  <c r="LZ118" i="34"/>
  <c r="IE93" i="34"/>
  <c r="NO130" i="34"/>
  <c r="IV127" i="34"/>
  <c r="FO173" i="34"/>
  <c r="LK130" i="34"/>
  <c r="ME124" i="34"/>
  <c r="PF130" i="34"/>
  <c r="JA167" i="34"/>
  <c r="JU155" i="34"/>
  <c r="CL139" i="34"/>
  <c r="IY96" i="34"/>
  <c r="FW78" i="34"/>
  <c r="IC65" i="34"/>
  <c r="FN127" i="34"/>
  <c r="AN45" i="34"/>
  <c r="EZ97" i="33"/>
  <c r="HG171" i="34"/>
  <c r="AY41" i="33"/>
  <c r="PW171" i="34"/>
  <c r="JV87" i="34"/>
  <c r="AM139" i="34"/>
  <c r="NF100" i="34"/>
  <c r="PK85" i="34"/>
  <c r="CG75" i="34"/>
  <c r="GJ131" i="34"/>
  <c r="EW126" i="34"/>
  <c r="IS176" i="34"/>
  <c r="JA110" i="34"/>
  <c r="OI167" i="34"/>
  <c r="JG158" i="34"/>
  <c r="PJ96" i="34"/>
  <c r="LG141" i="34"/>
  <c r="NP44" i="34"/>
  <c r="EJ66" i="34"/>
  <c r="KL171" i="34"/>
  <c r="LW55" i="34"/>
  <c r="MM65" i="34"/>
  <c r="NB105" i="34"/>
  <c r="PK59" i="34"/>
  <c r="LZ101" i="34"/>
  <c r="HX96" i="34"/>
  <c r="ID103" i="34"/>
  <c r="JZ44" i="34"/>
  <c r="OS5" i="34"/>
  <c r="LK89" i="34"/>
  <c r="NG155" i="34"/>
  <c r="LW48" i="34"/>
  <c r="KR93" i="34"/>
  <c r="J106" i="34"/>
  <c r="OM145" i="34"/>
  <c r="FQ139" i="34"/>
  <c r="CG107" i="34"/>
  <c r="LE99" i="34"/>
  <c r="IU156" i="34"/>
  <c r="HD41" i="34"/>
  <c r="NC88" i="34"/>
  <c r="KN150" i="34"/>
  <c r="NI62" i="34"/>
  <c r="ND46" i="34"/>
  <c r="IC169" i="34"/>
  <c r="MK68" i="34"/>
  <c r="KN152" i="34"/>
  <c r="PK112" i="34"/>
  <c r="JF118" i="34"/>
  <c r="LD57" i="34"/>
  <c r="CF55" i="34"/>
  <c r="MN55" i="34"/>
  <c r="JG133" i="34"/>
  <c r="KP111" i="34"/>
  <c r="GM96" i="34"/>
  <c r="FU143" i="34"/>
  <c r="JD154" i="34"/>
  <c r="HW46" i="34"/>
  <c r="PE81" i="34"/>
  <c r="OJ101" i="34"/>
  <c r="MD43" i="34"/>
  <c r="JE57" i="34"/>
  <c r="JT122" i="34"/>
  <c r="ML105" i="34"/>
  <c r="PJ183" i="34"/>
  <c r="IB51" i="34"/>
  <c r="DE68" i="34"/>
  <c r="KM55" i="34"/>
  <c r="DV163" i="34"/>
  <c r="MC161" i="34"/>
  <c r="LH99" i="34"/>
  <c r="JG45" i="34"/>
  <c r="OI141" i="34"/>
  <c r="EK107" i="34"/>
  <c r="PI149" i="34"/>
  <c r="NN144" i="34"/>
  <c r="JD117" i="34"/>
  <c r="LZ139" i="34"/>
  <c r="BN80" i="34"/>
  <c r="PK130" i="34"/>
  <c r="GP104" i="34"/>
  <c r="KR154" i="34"/>
  <c r="GQ110" i="34"/>
  <c r="MG103" i="34"/>
  <c r="JD67" i="34"/>
  <c r="JA176" i="34"/>
  <c r="KP99" i="34"/>
  <c r="CE150" i="34"/>
  <c r="DX110" i="34"/>
  <c r="LJ132" i="34"/>
  <c r="AQ74" i="34"/>
  <c r="PE105" i="34"/>
  <c r="ML91" i="34"/>
  <c r="EA49" i="34"/>
  <c r="IW104" i="34"/>
  <c r="LF159" i="34"/>
  <c r="HF122" i="34"/>
  <c r="MB62" i="34"/>
  <c r="CN92" i="34"/>
  <c r="KB44" i="34"/>
  <c r="EJ48" i="34"/>
  <c r="IW48" i="34"/>
  <c r="PJ47" i="34"/>
  <c r="AW49" i="34"/>
  <c r="CD96" i="34"/>
  <c r="OK113" i="34"/>
  <c r="NP144" i="34"/>
  <c r="JW59" i="34"/>
  <c r="LX90" i="34"/>
  <c r="GM131" i="34"/>
  <c r="EG173" i="34"/>
  <c r="HG97" i="34"/>
  <c r="GM168" i="34"/>
  <c r="JZ167" i="34"/>
  <c r="MK70" i="34"/>
  <c r="JX116" i="34"/>
  <c r="IQ88" i="34"/>
  <c r="NH49" i="34"/>
  <c r="NE90" i="34"/>
  <c r="NI56" i="34"/>
  <c r="PY108" i="34"/>
  <c r="KP158" i="34"/>
  <c r="PF187" i="34"/>
  <c r="MF128" i="34"/>
  <c r="FV50" i="34"/>
  <c r="LI168" i="34"/>
  <c r="ND77" i="34"/>
  <c r="MK128" i="34"/>
  <c r="OL110" i="34"/>
  <c r="JE129" i="34"/>
  <c r="MG138" i="34"/>
  <c r="BN122" i="34"/>
  <c r="V183" i="34"/>
  <c r="NC162" i="34"/>
  <c r="FQ53" i="34"/>
  <c r="IW116" i="34"/>
  <c r="MK132" i="34"/>
  <c r="GL106" i="34"/>
  <c r="KQ148" i="34"/>
  <c r="CN46" i="34"/>
  <c r="LA171" i="34"/>
  <c r="I72" i="33"/>
  <c r="GQ99" i="34"/>
  <c r="KM130" i="34"/>
  <c r="EX122" i="34"/>
  <c r="JG164" i="34"/>
  <c r="LW112" i="34"/>
  <c r="MO160" i="34"/>
  <c r="ML98" i="34"/>
  <c r="PF111" i="34"/>
  <c r="FW76" i="34"/>
  <c r="OK53" i="34"/>
  <c r="LJ95" i="34"/>
  <c r="ID41" i="34"/>
  <c r="LC183" i="34"/>
  <c r="KP47" i="34"/>
  <c r="NG125" i="34"/>
  <c r="HV71" i="34"/>
  <c r="HC65" i="34"/>
  <c r="AG5" i="34"/>
  <c r="NF51" i="34"/>
  <c r="OL163" i="34"/>
  <c r="DZ171" i="34"/>
  <c r="LC50" i="34"/>
  <c r="KN69" i="34"/>
  <c r="FX172" i="34"/>
  <c r="NM165" i="34"/>
  <c r="KM171" i="34"/>
  <c r="OO97" i="34"/>
  <c r="IU125" i="34"/>
  <c r="JF70" i="34"/>
  <c r="KR145" i="34"/>
  <c r="FR54" i="34"/>
  <c r="NM103" i="34"/>
  <c r="KB145" i="34"/>
  <c r="LX78" i="34"/>
  <c r="EA88" i="34"/>
  <c r="ME157" i="34"/>
  <c r="IC119" i="34"/>
  <c r="MJ60" i="34"/>
  <c r="IR164" i="34"/>
  <c r="Y115" i="34"/>
  <c r="FQ77" i="34"/>
  <c r="MN96" i="34"/>
  <c r="LW152" i="34"/>
  <c r="PW116" i="34"/>
  <c r="MM83" i="34"/>
  <c r="NE149" i="34"/>
  <c r="DC60" i="34"/>
  <c r="JB67" i="34"/>
  <c r="ED98" i="34"/>
  <c r="NL152" i="34"/>
  <c r="LE47" i="34"/>
  <c r="KM71" i="34"/>
  <c r="IB121" i="34"/>
  <c r="DZ172" i="34"/>
  <c r="EW54" i="34"/>
  <c r="KR130" i="34"/>
  <c r="AG15" i="34"/>
  <c r="CN174" i="34"/>
  <c r="NL44" i="34"/>
  <c r="IS103" i="34"/>
  <c r="Z171" i="34"/>
  <c r="CJ146" i="34"/>
  <c r="PW168" i="34"/>
  <c r="MC140" i="34"/>
  <c r="NN88" i="34"/>
  <c r="DY131" i="34"/>
  <c r="LE67" i="34"/>
  <c r="HT49" i="34"/>
  <c r="HE82" i="34"/>
  <c r="NA124" i="34"/>
  <c r="PD53" i="34"/>
  <c r="JT86" i="34"/>
  <c r="JY134" i="34"/>
  <c r="PE118" i="34"/>
  <c r="AU107" i="34"/>
  <c r="HV138" i="34"/>
  <c r="ML126" i="34"/>
  <c r="ED96" i="34"/>
  <c r="PH108" i="34"/>
  <c r="CK162" i="34"/>
  <c r="NG50" i="34"/>
  <c r="CL105" i="34"/>
  <c r="AW68" i="34"/>
  <c r="AU176" i="34"/>
  <c r="DY136" i="34"/>
  <c r="CL79" i="34"/>
  <c r="KC57" i="34"/>
  <c r="PB150" i="34"/>
  <c r="KN93" i="34"/>
  <c r="EG102" i="34"/>
  <c r="X77" i="34"/>
  <c r="CG161" i="34"/>
  <c r="OI83" i="34"/>
  <c r="GN56" i="34"/>
  <c r="LZ76" i="34"/>
  <c r="PX155" i="34"/>
  <c r="PJ154" i="34"/>
  <c r="DH47" i="34"/>
  <c r="CI63" i="34"/>
  <c r="AT181" i="34"/>
  <c r="KR134" i="34"/>
  <c r="GL78" i="34"/>
  <c r="MH129" i="34"/>
  <c r="JA58" i="34"/>
  <c r="NI103" i="34"/>
  <c r="NB84" i="34"/>
  <c r="LE127" i="34"/>
  <c r="NB138" i="34"/>
  <c r="LC91" i="34"/>
  <c r="LY161" i="34"/>
  <c r="JW91" i="34"/>
  <c r="EJ151" i="34"/>
  <c r="HU134" i="34"/>
  <c r="KB131" i="34"/>
  <c r="NK52" i="34"/>
  <c r="PJ45" i="34"/>
  <c r="CD48" i="34"/>
  <c r="JT171" i="34"/>
  <c r="DV123" i="34"/>
  <c r="PK141" i="34"/>
  <c r="JW68" i="34"/>
  <c r="CH66" i="34"/>
  <c r="DV63" i="34"/>
  <c r="BU49" i="33"/>
  <c r="CW79" i="33"/>
  <c r="MB42" i="34"/>
  <c r="FA68" i="34"/>
  <c r="HD113" i="34"/>
  <c r="KC188" i="34"/>
  <c r="BQ178" i="34"/>
  <c r="V187" i="34"/>
  <c r="PH47" i="34"/>
  <c r="CH116" i="34"/>
  <c r="PJ150" i="34"/>
  <c r="NK94" i="34"/>
  <c r="MO111" i="34"/>
  <c r="IY169" i="34"/>
  <c r="ML60" i="34"/>
  <c r="DV129" i="34"/>
  <c r="MG101" i="34"/>
  <c r="LK62" i="34"/>
  <c r="KB161" i="34"/>
  <c r="GQ75" i="34"/>
  <c r="NJ155" i="34"/>
  <c r="CG151" i="34"/>
  <c r="T133" i="34"/>
  <c r="CD46" i="34"/>
  <c r="JT155" i="34"/>
  <c r="HT69" i="34"/>
  <c r="NA57" i="34"/>
  <c r="MM160" i="34"/>
  <c r="JH178" i="34"/>
  <c r="NL58" i="34"/>
  <c r="PF46" i="34"/>
  <c r="AU129" i="34"/>
  <c r="JV95" i="34"/>
  <c r="LZ129" i="34"/>
  <c r="NC128" i="34"/>
  <c r="KO146" i="34"/>
  <c r="KR135" i="34"/>
  <c r="MJ41" i="34"/>
  <c r="LG52" i="34"/>
  <c r="HG103" i="34"/>
  <c r="FW67" i="34"/>
  <c r="OM143" i="34"/>
  <c r="MB118" i="34"/>
  <c r="PD168" i="34"/>
  <c r="IW61" i="34"/>
  <c r="MI106" i="34"/>
  <c r="HD128" i="34"/>
  <c r="JC72" i="34"/>
  <c r="MO138" i="34"/>
  <c r="EI64" i="34"/>
  <c r="FX146" i="34"/>
  <c r="LY158" i="34"/>
  <c r="FQ64" i="34"/>
  <c r="KA133" i="34"/>
  <c r="OM115" i="34"/>
  <c r="HT80" i="34"/>
  <c r="MG174" i="34"/>
  <c r="NL173" i="34"/>
  <c r="FT113" i="34"/>
  <c r="IC158" i="34"/>
  <c r="NH92" i="34"/>
  <c r="LW58" i="34"/>
  <c r="AY148" i="34"/>
  <c r="FO149" i="34"/>
  <c r="LA151" i="34"/>
  <c r="DI142" i="34"/>
  <c r="FR137" i="34"/>
  <c r="ON107" i="34"/>
  <c r="MJ69" i="34"/>
  <c r="HE133" i="34"/>
  <c r="JB111" i="34"/>
  <c r="LX103" i="34"/>
  <c r="LI155" i="34"/>
  <c r="DA120" i="34"/>
  <c r="JB101" i="34"/>
  <c r="NP42" i="34"/>
  <c r="FU57" i="34"/>
  <c r="FW50" i="34"/>
  <c r="NC164" i="34"/>
  <c r="JB144" i="34"/>
  <c r="FP100" i="34"/>
  <c r="ON87" i="34"/>
  <c r="EW79" i="34"/>
  <c r="NC119" i="34"/>
  <c r="BO120" i="34"/>
  <c r="CF107" i="34"/>
  <c r="FW98" i="34"/>
  <c r="BN53" i="34"/>
  <c r="J57" i="34"/>
  <c r="DG172" i="34"/>
  <c r="JD123" i="34"/>
  <c r="K187" i="34"/>
  <c r="IA46" i="34"/>
  <c r="JT120" i="34"/>
  <c r="DW103" i="34"/>
  <c r="KQ56" i="34"/>
  <c r="ED41" i="34"/>
  <c r="GE97" i="33"/>
  <c r="JX87" i="34"/>
  <c r="BB113" i="34"/>
  <c r="DC85" i="34"/>
  <c r="HZ100" i="34"/>
  <c r="EP42" i="33"/>
  <c r="OM118" i="34"/>
  <c r="NH134" i="34"/>
  <c r="HU156" i="34"/>
  <c r="OL174" i="34"/>
  <c r="JU107" i="34"/>
  <c r="PD123" i="34"/>
  <c r="MD46" i="34"/>
  <c r="HU66" i="34"/>
  <c r="IU70" i="34"/>
  <c r="PX118" i="34"/>
  <c r="JX46" i="34"/>
  <c r="EG45" i="34"/>
  <c r="AZ107" i="34"/>
  <c r="HF85" i="34"/>
  <c r="FW66" i="34"/>
  <c r="KN144" i="34"/>
  <c r="OK74" i="34"/>
  <c r="NC110" i="34"/>
  <c r="DZ145" i="34"/>
  <c r="KC47" i="34"/>
  <c r="ND167" i="34"/>
  <c r="CF111" i="34"/>
  <c r="OI165" i="34"/>
  <c r="AQ160" i="34"/>
  <c r="EX52" i="34"/>
  <c r="KA143" i="34"/>
  <c r="GJ68" i="34"/>
  <c r="NB149" i="34"/>
  <c r="MI115" i="34"/>
  <c r="ME123" i="34"/>
  <c r="HN6" i="34"/>
  <c r="EX89" i="34"/>
  <c r="FA168" i="34"/>
  <c r="PF62" i="34"/>
  <c r="PI46" i="34"/>
  <c r="OJ186" i="34"/>
  <c r="PH70" i="34"/>
  <c r="NF103" i="34"/>
  <c r="GM129" i="34"/>
  <c r="BB47" i="34"/>
  <c r="MA46" i="34"/>
  <c r="CO117" i="34"/>
  <c r="AX97" i="34"/>
  <c r="LH56" i="34"/>
  <c r="DE60" i="34"/>
  <c r="KM162" i="34"/>
  <c r="JE157" i="34"/>
  <c r="GJ102" i="34"/>
  <c r="PI147" i="34"/>
  <c r="ND92" i="34"/>
  <c r="IW119" i="34"/>
  <c r="HD43" i="34"/>
  <c r="MJ157" i="34"/>
  <c r="LI41" i="34"/>
  <c r="DJ84" i="34"/>
  <c r="LK125" i="34"/>
  <c r="MK72" i="34"/>
  <c r="NI75" i="34"/>
  <c r="HF44" i="34"/>
  <c r="HG160" i="34"/>
  <c r="NJ52" i="34"/>
  <c r="IV164" i="34"/>
  <c r="MI178" i="34"/>
  <c r="EJ131" i="34"/>
  <c r="JA105" i="34"/>
  <c r="CF47" i="34"/>
  <c r="PB68" i="34"/>
  <c r="EJ62" i="34"/>
  <c r="FV56" i="34"/>
  <c r="GI63" i="33"/>
  <c r="LE86" i="34"/>
  <c r="HG64" i="34"/>
  <c r="OJ50" i="34"/>
  <c r="PW101" i="34"/>
  <c r="JX170" i="34"/>
  <c r="KQ75" i="34"/>
  <c r="LB167" i="34"/>
  <c r="IE157" i="34"/>
  <c r="PX64" i="34"/>
  <c r="LW183" i="34"/>
  <c r="IB181" i="34"/>
  <c r="DW69" i="34"/>
  <c r="DX93" i="34"/>
  <c r="V121" i="34"/>
  <c r="IY152" i="34"/>
  <c r="EE87" i="34"/>
  <c r="JX164" i="34"/>
  <c r="NE148" i="34"/>
  <c r="V116" i="34"/>
  <c r="DF165" i="34"/>
  <c r="JH46" i="34"/>
  <c r="JG132" i="34"/>
  <c r="ME63" i="34"/>
  <c r="HZ181" i="34"/>
  <c r="OJ158" i="34"/>
  <c r="ED44" i="34"/>
  <c r="GM160" i="34"/>
  <c r="HX171" i="34"/>
  <c r="AY142" i="34"/>
  <c r="NF187" i="34"/>
  <c r="IU80" i="34"/>
  <c r="NM97" i="34"/>
  <c r="ED52" i="34"/>
  <c r="FR138" i="34"/>
  <c r="CJ157" i="34"/>
  <c r="PF169" i="34"/>
  <c r="OJ86" i="34"/>
  <c r="EJ45" i="34"/>
  <c r="AT88" i="34"/>
  <c r="MK104" i="34"/>
  <c r="PY147" i="34"/>
  <c r="IW71" i="34"/>
  <c r="B63" i="28"/>
  <c r="IV72" i="34"/>
  <c r="IW47" i="34"/>
  <c r="GJ43" i="34"/>
  <c r="HH141" i="34"/>
  <c r="V104" i="34"/>
  <c r="IW52" i="34"/>
  <c r="DA156" i="34"/>
  <c r="W125" i="34"/>
  <c r="LW72" i="34"/>
  <c r="DD162" i="34"/>
  <c r="U137" i="34"/>
  <c r="PF149" i="34"/>
  <c r="LX75" i="34"/>
  <c r="V156" i="34"/>
  <c r="EY100" i="34"/>
  <c r="KA147" i="34"/>
  <c r="PC49" i="34"/>
  <c r="AO178" i="34"/>
  <c r="GM54" i="34"/>
  <c r="DY86" i="34"/>
  <c r="DH147" i="34"/>
  <c r="Z41" i="34"/>
  <c r="V54" i="34"/>
  <c r="IS49" i="34"/>
  <c r="JD70" i="34"/>
  <c r="JV47" i="34"/>
  <c r="NM171" i="34"/>
  <c r="MJ156" i="34"/>
  <c r="LF67" i="34"/>
  <c r="GK131" i="34"/>
  <c r="CI91" i="34"/>
  <c r="BN56" i="34"/>
  <c r="FX62" i="33"/>
  <c r="PC145" i="34"/>
  <c r="JX162" i="34"/>
  <c r="NG144" i="34"/>
  <c r="PW123" i="34"/>
  <c r="FP127" i="34"/>
  <c r="AR148" i="34"/>
  <c r="CE96" i="34"/>
  <c r="LG75" i="34"/>
  <c r="CH183" i="34"/>
  <c r="NG165" i="34"/>
  <c r="MG77" i="34"/>
  <c r="OK167" i="34"/>
  <c r="PX143" i="34"/>
  <c r="AP49" i="34"/>
  <c r="NE171" i="34"/>
  <c r="AR129" i="34"/>
  <c r="CH45" i="34"/>
  <c r="IQ49" i="34"/>
  <c r="JZ98" i="34"/>
  <c r="JE65" i="34"/>
  <c r="KP120" i="34"/>
  <c r="NA69" i="34"/>
  <c r="IU144" i="34"/>
  <c r="EF92" i="33"/>
  <c r="LI46" i="34"/>
  <c r="W50" i="34"/>
  <c r="DF80" i="34"/>
  <c r="NA157" i="34"/>
  <c r="LA170" i="34"/>
  <c r="IS108" i="34"/>
  <c r="DE42" i="34"/>
  <c r="FN43" i="34"/>
  <c r="DI141" i="34"/>
  <c r="NG173" i="34"/>
  <c r="MA75" i="34"/>
  <c r="LI161" i="34"/>
  <c r="NB137" i="34"/>
  <c r="AM154" i="34"/>
  <c r="KM133" i="34"/>
  <c r="LJ107" i="34"/>
  <c r="LW82" i="34"/>
  <c r="LK153" i="34"/>
  <c r="JD55" i="34"/>
  <c r="KC55" i="34"/>
  <c r="ID84" i="34"/>
  <c r="IQ56" i="34"/>
  <c r="HD161" i="34"/>
  <c r="IR128" i="34"/>
  <c r="PH136" i="34"/>
  <c r="MO103" i="34"/>
  <c r="GQ163" i="34"/>
  <c r="LB149" i="34"/>
  <c r="DY100" i="34"/>
  <c r="LF72" i="34"/>
  <c r="DI53" i="34"/>
  <c r="LX86" i="34"/>
  <c r="OI122" i="34"/>
  <c r="EE149" i="34"/>
  <c r="JV118" i="34"/>
  <c r="PC109" i="34"/>
  <c r="EI88" i="34"/>
  <c r="NN117" i="34"/>
  <c r="JW155" i="34"/>
  <c r="EW132" i="34"/>
  <c r="FT167" i="34"/>
  <c r="CN127" i="34"/>
  <c r="PF167" i="34"/>
  <c r="LG135" i="34"/>
  <c r="BA166" i="34"/>
  <c r="FX74" i="34"/>
  <c r="MC124" i="34"/>
  <c r="FP137" i="34"/>
  <c r="Y117" i="34"/>
  <c r="FS157" i="34"/>
  <c r="LD170" i="34"/>
  <c r="JF117" i="34"/>
  <c r="JF62" i="34"/>
  <c r="LH134" i="34"/>
  <c r="HD53" i="34"/>
  <c r="LW173" i="34"/>
  <c r="MJ138" i="34"/>
  <c r="NF133" i="34"/>
  <c r="ID131" i="34"/>
  <c r="JD44" i="34"/>
  <c r="HH142" i="34"/>
  <c r="PZ124" i="34"/>
  <c r="FS156" i="34"/>
  <c r="PA186" i="34"/>
  <c r="JC175" i="34"/>
  <c r="LI134" i="34"/>
  <c r="ME68" i="34"/>
  <c r="R39" i="33"/>
  <c r="NM130" i="34"/>
  <c r="DF118" i="34"/>
  <c r="LC140" i="34"/>
  <c r="OL53" i="34"/>
  <c r="PH117" i="34"/>
  <c r="LK64" i="34"/>
  <c r="PH119" i="34"/>
  <c r="AA49" i="34"/>
  <c r="DI151" i="34"/>
  <c r="PX69" i="34"/>
  <c r="PJ123" i="34"/>
  <c r="X74" i="34"/>
  <c r="IY132" i="34"/>
  <c r="NC49" i="34"/>
  <c r="IY124" i="34"/>
  <c r="AX54" i="33"/>
  <c r="BR156" i="34"/>
  <c r="AM97" i="34"/>
  <c r="JW133" i="34"/>
  <c r="LA157" i="34"/>
  <c r="IV121" i="34"/>
  <c r="JF156" i="34"/>
  <c r="NO92" i="34"/>
  <c r="DI113" i="34"/>
  <c r="IT145" i="34"/>
  <c r="I9" i="33"/>
  <c r="HG144" i="34"/>
  <c r="PH163" i="34"/>
  <c r="FW111" i="34"/>
  <c r="LH85" i="34"/>
  <c r="MK76" i="34"/>
  <c r="HC57" i="34"/>
  <c r="MK107" i="34"/>
  <c r="AC68" i="34"/>
  <c r="NC69" i="34"/>
  <c r="EY60" i="34"/>
  <c r="V103" i="34"/>
  <c r="AP65" i="34"/>
  <c r="IQ178" i="34"/>
  <c r="JT113" i="34"/>
  <c r="IW42" i="34"/>
  <c r="LF82" i="34"/>
  <c r="PC101" i="34"/>
  <c r="DA76" i="34"/>
  <c r="PB128" i="34"/>
  <c r="LX77" i="34"/>
  <c r="MF109" i="34"/>
  <c r="NN142" i="34"/>
  <c r="MO153" i="34"/>
  <c r="CH48" i="34"/>
  <c r="JE142" i="34"/>
  <c r="LZ138" i="34"/>
  <c r="ON178" i="34"/>
  <c r="OL122" i="34"/>
  <c r="FO92" i="34"/>
  <c r="AB42" i="34"/>
  <c r="IU41" i="34"/>
  <c r="DJ173" i="34"/>
  <c r="NB123" i="34"/>
  <c r="HF151" i="34"/>
  <c r="FP67" i="34"/>
  <c r="PG174" i="34"/>
  <c r="GQ97" i="34"/>
  <c r="OM116" i="34"/>
  <c r="JG76" i="34"/>
  <c r="FR109" i="34"/>
  <c r="MG127" i="34"/>
  <c r="NA78" i="34"/>
  <c r="PJ56" i="34"/>
  <c r="CM165" i="34"/>
  <c r="LF161" i="34"/>
  <c r="DW50" i="34"/>
  <c r="LG92" i="34"/>
  <c r="ON150" i="34"/>
  <c r="PD130" i="34"/>
  <c r="JH119" i="34"/>
  <c r="CD142" i="34"/>
  <c r="MO141" i="34"/>
  <c r="HU45" i="34"/>
  <c r="PH74" i="34"/>
  <c r="JD178" i="34"/>
  <c r="NJ153" i="34"/>
  <c r="NJ169" i="34"/>
  <c r="KR173" i="34"/>
  <c r="FP138" i="34"/>
  <c r="CD81" i="34"/>
  <c r="LG46" i="34"/>
  <c r="CL102" i="34"/>
  <c r="DE113" i="34"/>
  <c r="AP141" i="34"/>
  <c r="KC60" i="34"/>
  <c r="NP52" i="34"/>
  <c r="KR59" i="34"/>
  <c r="BA83" i="34"/>
  <c r="OM93" i="34"/>
  <c r="MN170" i="34"/>
  <c r="EJ53" i="34"/>
  <c r="JL4" i="34"/>
  <c r="MI117" i="34"/>
  <c r="MJ71" i="34"/>
  <c r="ID98" i="34"/>
  <c r="KA73" i="34"/>
  <c r="IU103" i="34"/>
  <c r="NM181" i="34"/>
  <c r="LE148" i="34"/>
  <c r="LI151" i="34"/>
  <c r="EA110" i="34"/>
  <c r="EC57" i="34"/>
  <c r="LC72" i="34"/>
  <c r="MJ122" i="34"/>
  <c r="IZ108" i="34"/>
  <c r="AU132" i="34"/>
  <c r="PY128" i="34"/>
  <c r="MG121" i="34"/>
  <c r="CE187" i="34"/>
  <c r="FR132" i="34"/>
  <c r="LD181" i="34"/>
  <c r="JD138" i="34"/>
  <c r="KA107" i="34"/>
  <c r="FU135" i="34"/>
  <c r="DV138" i="34"/>
  <c r="IT127" i="34"/>
  <c r="CC48" i="33"/>
  <c r="ML164" i="34"/>
  <c r="DB131" i="34"/>
  <c r="EH124" i="34"/>
  <c r="DC141" i="34"/>
  <c r="NP134" i="34"/>
  <c r="LJ53" i="34"/>
  <c r="HX66" i="34"/>
  <c r="KM87" i="34"/>
  <c r="CJ9" i="33"/>
  <c r="LX187" i="34"/>
  <c r="MN82" i="34"/>
  <c r="PG103" i="34"/>
  <c r="AU137" i="34"/>
  <c r="GO56" i="34"/>
  <c r="W109" i="34"/>
  <c r="CN134" i="34"/>
  <c r="J132" i="34"/>
  <c r="IY143" i="34"/>
  <c r="AX134" i="34"/>
  <c r="MO187" i="34"/>
  <c r="JH139" i="34"/>
  <c r="MC61" i="34"/>
  <c r="MK66" i="34"/>
  <c r="MN159" i="34"/>
  <c r="ID136" i="34"/>
  <c r="NC154" i="34"/>
  <c r="AX53" i="33"/>
  <c r="MH101" i="34"/>
  <c r="JX188" i="34"/>
  <c r="I49" i="33"/>
  <c r="FW59" i="34"/>
  <c r="EB71" i="34"/>
  <c r="PF54" i="34"/>
  <c r="DA152" i="34"/>
  <c r="FO68" i="34"/>
  <c r="FS146" i="34"/>
  <c r="FN186" i="34"/>
  <c r="AQ62" i="34"/>
  <c r="KB66" i="34"/>
  <c r="GP109" i="34"/>
  <c r="MM154" i="34"/>
  <c r="NN74" i="34"/>
  <c r="AN178" i="34"/>
  <c r="EI47" i="34"/>
  <c r="EF45" i="34"/>
  <c r="NA55" i="34"/>
  <c r="DW96" i="34"/>
  <c r="NJ144" i="34"/>
  <c r="KC100" i="34"/>
  <c r="LX76" i="34"/>
  <c r="IU165" i="34"/>
  <c r="OM144" i="34"/>
  <c r="NP55" i="34"/>
  <c r="JV183" i="34"/>
  <c r="JF149" i="34"/>
  <c r="NB142" i="34"/>
  <c r="MD112" i="34"/>
  <c r="CD150" i="34"/>
  <c r="DW167" i="34"/>
  <c r="FQ57" i="34"/>
  <c r="LH43" i="34"/>
  <c r="PY142" i="34"/>
  <c r="LD165" i="34"/>
  <c r="MA158" i="34"/>
  <c r="MO59" i="34"/>
  <c r="FT87" i="34"/>
  <c r="JV107" i="34"/>
  <c r="ME164" i="34"/>
  <c r="AV175" i="34"/>
  <c r="OH153" i="34"/>
  <c r="AY144" i="34"/>
  <c r="NO83" i="34"/>
  <c r="FA66" i="34"/>
  <c r="EG89" i="34"/>
  <c r="HU171" i="34"/>
  <c r="DY43" i="34"/>
  <c r="BP144" i="34"/>
  <c r="LG83" i="34"/>
  <c r="DZ126" i="34"/>
  <c r="NP156" i="34"/>
  <c r="HH165" i="34"/>
  <c r="HW181" i="34"/>
  <c r="DF93" i="34"/>
  <c r="IW134" i="34"/>
  <c r="KC131" i="34"/>
  <c r="LH86" i="34"/>
  <c r="PY78" i="34"/>
  <c r="MA72" i="34"/>
  <c r="HC106" i="34"/>
  <c r="LI75" i="34"/>
  <c r="NG75" i="34"/>
  <c r="DY115" i="34"/>
  <c r="KQ183" i="34"/>
  <c r="KC76" i="34"/>
  <c r="HU176" i="34"/>
  <c r="BB108" i="34"/>
  <c r="JH150" i="34"/>
  <c r="DZ54" i="34"/>
  <c r="GU7" i="34"/>
  <c r="NI127" i="34"/>
  <c r="NM147" i="34"/>
  <c r="DW83" i="34"/>
  <c r="MK118" i="34"/>
  <c r="LG123" i="34"/>
  <c r="EY55" i="34"/>
  <c r="PX121" i="34"/>
  <c r="AZ126" i="34"/>
  <c r="FN163" i="34"/>
  <c r="DZ106" i="34"/>
  <c r="OL132" i="34"/>
  <c r="W58" i="34"/>
  <c r="NK152" i="34"/>
  <c r="DL90" i="33"/>
  <c r="HZ112" i="34"/>
  <c r="LJ157" i="34"/>
  <c r="KP96" i="34"/>
  <c r="MM58" i="34"/>
  <c r="AV93" i="34"/>
  <c r="OO84" i="34"/>
  <c r="KR110" i="34"/>
  <c r="IT151" i="34"/>
  <c r="NL134" i="34"/>
  <c r="PA69" i="34"/>
  <c r="DF144" i="34"/>
  <c r="W84" i="34"/>
  <c r="EG42" i="34"/>
  <c r="PA142" i="34"/>
  <c r="BN76" i="34"/>
  <c r="LA45" i="34"/>
  <c r="NP74" i="34"/>
  <c r="NO82" i="34"/>
  <c r="LG85" i="34"/>
  <c r="NO124" i="34"/>
  <c r="GJ176" i="34"/>
  <c r="LZ75" i="34"/>
  <c r="IW102" i="34"/>
  <c r="ID108" i="34"/>
  <c r="ME99" i="34"/>
  <c r="FV152" i="34"/>
  <c r="DC145" i="34"/>
  <c r="CM109" i="34"/>
  <c r="AW53" i="33"/>
  <c r="U88" i="34"/>
  <c r="FX76" i="34"/>
  <c r="JB142" i="34"/>
  <c r="JW128" i="34"/>
  <c r="MJ119" i="34"/>
  <c r="Z174" i="34"/>
  <c r="EZ41" i="34"/>
  <c r="MK49" i="34"/>
  <c r="AT170" i="34"/>
  <c r="ED151" i="34"/>
  <c r="FO157" i="34"/>
  <c r="IW172" i="34"/>
  <c r="LY178" i="34"/>
  <c r="IV65" i="34"/>
  <c r="HH47" i="34"/>
  <c r="LI42" i="34"/>
  <c r="FT77" i="34"/>
  <c r="NO112" i="34"/>
  <c r="HU65" i="34"/>
  <c r="IE134" i="34"/>
  <c r="KB73" i="34"/>
  <c r="DG130" i="34"/>
  <c r="DD132" i="34"/>
  <c r="W85" i="34"/>
  <c r="EA58" i="34"/>
  <c r="HE52" i="34"/>
  <c r="OJ48" i="34"/>
  <c r="JC138" i="34"/>
  <c r="AS34" i="33"/>
  <c r="ID75" i="34"/>
  <c r="AO64" i="34"/>
  <c r="MC70" i="34"/>
  <c r="EI62" i="34"/>
  <c r="NE85" i="34"/>
  <c r="NB144" i="34"/>
  <c r="IB54" i="34"/>
  <c r="HC169" i="34"/>
  <c r="JZ187" i="34"/>
  <c r="PZ187" i="34"/>
  <c r="LZ97" i="34"/>
  <c r="AS122" i="34"/>
  <c r="FW158" i="34"/>
  <c r="J172" i="34"/>
  <c r="NH87" i="34"/>
  <c r="AR70" i="34"/>
  <c r="ML95" i="34"/>
  <c r="NJ73" i="34"/>
  <c r="FP70" i="34"/>
  <c r="MN85" i="34"/>
  <c r="LW153" i="34"/>
  <c r="KM69" i="34"/>
  <c r="BR92" i="34"/>
  <c r="OL142" i="34"/>
  <c r="BQ74" i="34"/>
  <c r="AO152" i="34"/>
  <c r="OL55" i="34"/>
  <c r="PI102" i="34"/>
  <c r="LI145" i="34"/>
  <c r="AV187" i="34"/>
  <c r="AU64" i="34"/>
  <c r="KP136" i="34"/>
  <c r="X96" i="34"/>
  <c r="NP68" i="34"/>
  <c r="MI146" i="34"/>
  <c r="KO115" i="34"/>
  <c r="EG61" i="33"/>
  <c r="EJ75" i="34"/>
  <c r="AW61" i="34"/>
  <c r="LZ61" i="34"/>
  <c r="MB103" i="34"/>
  <c r="OM87" i="34"/>
  <c r="AC82" i="33"/>
  <c r="MM188" i="34"/>
  <c r="X58" i="34"/>
  <c r="EQ7" i="34"/>
  <c r="IA186" i="34"/>
  <c r="NA80" i="34"/>
  <c r="KB91" i="34"/>
  <c r="IV43" i="34"/>
  <c r="ND105" i="34"/>
  <c r="DI69" i="34"/>
  <c r="MF62" i="34"/>
  <c r="GN144" i="34"/>
  <c r="ON172" i="34"/>
  <c r="MC178" i="34"/>
  <c r="LD136" i="34"/>
  <c r="NA44" i="34"/>
  <c r="PJ127" i="34"/>
  <c r="AM116" i="34"/>
  <c r="AX152" i="34"/>
  <c r="JD142" i="34"/>
  <c r="EJ171" i="34"/>
  <c r="EI96" i="34"/>
  <c r="DE86" i="34"/>
  <c r="GM126" i="34"/>
  <c r="EB173" i="34"/>
  <c r="KQ151" i="34"/>
  <c r="OM113" i="34"/>
  <c r="GQ172" i="34"/>
  <c r="GO113" i="34"/>
  <c r="MK58" i="34"/>
  <c r="AP157" i="34"/>
  <c r="PH153" i="34"/>
  <c r="ID145" i="34"/>
  <c r="FW131" i="34"/>
  <c r="MA105" i="34"/>
  <c r="DA161" i="34"/>
  <c r="AB49" i="34"/>
  <c r="MG134" i="34"/>
  <c r="BQ146" i="34"/>
  <c r="NM118" i="34"/>
  <c r="EA89" i="34"/>
  <c r="DC143" i="34"/>
  <c r="HY143" i="34"/>
  <c r="DZ66" i="34"/>
  <c r="FU171" i="34"/>
  <c r="LK122" i="34"/>
  <c r="GH64" i="33"/>
  <c r="T152" i="34"/>
  <c r="MM99" i="34"/>
  <c r="CO144" i="34"/>
  <c r="JG60" i="34"/>
  <c r="FS84" i="34"/>
  <c r="MF87" i="34"/>
  <c r="CG119" i="34"/>
  <c r="OK63" i="34"/>
  <c r="DZ49" i="34"/>
  <c r="DB72" i="34"/>
  <c r="EX139" i="34"/>
  <c r="EF110" i="34"/>
  <c r="OO125" i="34"/>
  <c r="LG74" i="34"/>
  <c r="X163" i="34"/>
  <c r="CX54" i="33"/>
  <c r="EA99" i="34"/>
  <c r="EE104" i="34"/>
  <c r="NG178" i="34"/>
  <c r="NK47" i="34"/>
  <c r="OH44" i="34"/>
  <c r="HW143" i="34"/>
  <c r="MF122" i="34"/>
  <c r="EB147" i="34"/>
  <c r="NI43" i="34"/>
  <c r="CL161" i="34"/>
  <c r="DI112" i="34"/>
  <c r="LC150" i="34"/>
  <c r="MN168" i="34"/>
  <c r="KR132" i="34"/>
  <c r="FQ127" i="34"/>
  <c r="CN63" i="34"/>
  <c r="IY147" i="34"/>
  <c r="HY188" i="34"/>
  <c r="NI142" i="34"/>
  <c r="MM96" i="34"/>
  <c r="NN44" i="34"/>
  <c r="KO44" i="34"/>
  <c r="DC119" i="34"/>
  <c r="BB171" i="34"/>
  <c r="LI54" i="34"/>
  <c r="JF154" i="34"/>
  <c r="OH56" i="34"/>
  <c r="PI175" i="34"/>
  <c r="MN59" i="34"/>
  <c r="MN68" i="34"/>
  <c r="MC156" i="34"/>
  <c r="BA169" i="34"/>
  <c r="ED144" i="34"/>
  <c r="OJ108" i="34"/>
  <c r="NM70" i="34"/>
  <c r="KM142" i="34"/>
  <c r="FN81" i="34"/>
  <c r="NP75" i="34"/>
  <c r="HD150" i="34"/>
  <c r="GK53" i="33"/>
  <c r="GQ146" i="34"/>
  <c r="FA46" i="34"/>
  <c r="PJ124" i="34"/>
  <c r="PE107" i="34"/>
  <c r="PY75" i="34"/>
  <c r="EY102" i="34"/>
  <c r="NJ148" i="34"/>
  <c r="FQ71" i="34"/>
  <c r="CD112" i="34"/>
  <c r="EX165" i="34"/>
  <c r="NJ188" i="34"/>
  <c r="EX94" i="34"/>
  <c r="LF79" i="34"/>
  <c r="FX61" i="34"/>
  <c r="NI129" i="34"/>
  <c r="NC147" i="34"/>
  <c r="NE60" i="34"/>
  <c r="EB158" i="34"/>
  <c r="U64" i="34"/>
  <c r="KO74" i="34"/>
  <c r="MK52" i="34"/>
  <c r="FT121" i="34"/>
  <c r="LZ109" i="34"/>
  <c r="IC93" i="34"/>
  <c r="DE172" i="34"/>
  <c r="KO136" i="34"/>
  <c r="HH52" i="34"/>
  <c r="NN175" i="34"/>
  <c r="FX56" i="34"/>
  <c r="NP84" i="34"/>
  <c r="EX158" i="34"/>
  <c r="PB52" i="34"/>
  <c r="LY186" i="34"/>
  <c r="MF113" i="34"/>
  <c r="IZ99" i="34"/>
  <c r="HC68" i="34"/>
  <c r="LD120" i="34"/>
  <c r="FA72" i="34"/>
  <c r="FN82" i="34"/>
  <c r="JG81" i="34"/>
  <c r="FA136" i="34"/>
  <c r="AR103" i="34"/>
  <c r="Y119" i="34"/>
  <c r="EA122" i="34"/>
  <c r="Z151" i="34"/>
  <c r="LF148" i="34"/>
  <c r="CD152" i="34"/>
  <c r="LC78" i="34"/>
  <c r="FB92" i="34"/>
  <c r="NJ115" i="34"/>
  <c r="FR105" i="34"/>
  <c r="NG133" i="34"/>
  <c r="JZ93" i="34"/>
  <c r="PZ110" i="34"/>
  <c r="T85" i="34"/>
  <c r="KA163" i="34"/>
  <c r="JC162" i="34"/>
  <c r="JH120" i="34"/>
  <c r="CM171" i="34"/>
  <c r="PJ110" i="34"/>
  <c r="OM90" i="34"/>
  <c r="DA80" i="34"/>
  <c r="OL167" i="34"/>
  <c r="Z64" i="34"/>
  <c r="LJ47" i="34"/>
  <c r="IW135" i="34"/>
  <c r="MM146" i="34"/>
  <c r="KR87" i="34"/>
  <c r="EG122" i="34"/>
  <c r="OL112" i="34"/>
  <c r="KR48" i="34"/>
  <c r="NA139" i="34"/>
  <c r="LC49" i="34"/>
  <c r="LB137" i="34"/>
  <c r="JX139" i="34"/>
  <c r="HF78" i="34"/>
  <c r="JU131" i="34"/>
  <c r="DC103" i="34"/>
  <c r="HV157" i="34"/>
  <c r="LA42" i="34"/>
  <c r="NJ98" i="34"/>
  <c r="MG132" i="34"/>
  <c r="KA187" i="34"/>
  <c r="IT112" i="34"/>
  <c r="HU140" i="34"/>
  <c r="ON136" i="34"/>
  <c r="OH65" i="34"/>
  <c r="ND174" i="34"/>
  <c r="JC84" i="34"/>
  <c r="PB93" i="34"/>
  <c r="CJ69" i="34"/>
  <c r="NE109" i="34"/>
  <c r="KP86" i="34"/>
  <c r="CJ161" i="34"/>
  <c r="EJ183" i="34"/>
  <c r="ID43" i="34"/>
  <c r="BY34" i="33"/>
  <c r="OO99" i="34"/>
  <c r="JH52" i="34"/>
  <c r="LH52" i="34"/>
  <c r="FX59" i="34"/>
  <c r="LW62" i="34"/>
  <c r="KO52" i="34"/>
  <c r="IY82" i="34"/>
  <c r="MH176" i="34"/>
  <c r="AT154" i="34"/>
  <c r="JU115" i="34"/>
  <c r="ML62" i="34"/>
  <c r="MF172" i="34"/>
  <c r="LG101" i="34"/>
  <c r="Z104" i="34"/>
  <c r="NL105" i="34"/>
  <c r="NE163" i="34"/>
  <c r="KP127" i="34"/>
  <c r="MJ61" i="34"/>
  <c r="AR115" i="34"/>
  <c r="PA110" i="34"/>
  <c r="CJ122" i="34"/>
  <c r="IB143" i="34"/>
  <c r="ME62" i="34"/>
  <c r="IS106" i="34"/>
  <c r="MI73" i="34"/>
  <c r="AD178" i="34"/>
  <c r="HH90" i="34"/>
  <c r="LY107" i="34"/>
  <c r="JB155" i="34"/>
  <c r="DD136" i="34"/>
  <c r="IC75" i="34"/>
  <c r="IV172" i="34"/>
  <c r="DI61" i="34"/>
  <c r="NO123" i="34"/>
  <c r="PC58" i="34"/>
  <c r="PB80" i="34"/>
  <c r="AW73" i="34"/>
  <c r="NH101" i="34"/>
  <c r="DF135" i="34"/>
  <c r="DY147" i="34"/>
  <c r="CE135" i="34"/>
  <c r="FO162" i="34"/>
  <c r="LF120" i="34"/>
  <c r="NC75" i="34"/>
  <c r="PX187" i="34"/>
  <c r="ND71" i="34"/>
  <c r="DW100" i="34"/>
  <c r="PZ162" i="34"/>
  <c r="JC159" i="34"/>
  <c r="AY85" i="34"/>
  <c r="EA84" i="34"/>
  <c r="LW161" i="34"/>
  <c r="NI167" i="34"/>
  <c r="IY156" i="34"/>
  <c r="FN36" i="33"/>
  <c r="ON125" i="34"/>
  <c r="NF74" i="34"/>
  <c r="DX113" i="34"/>
  <c r="IV57" i="34"/>
  <c r="AR162" i="34"/>
  <c r="ME94" i="34"/>
  <c r="CN64" i="34"/>
  <c r="V139" i="34"/>
  <c r="MK150" i="34"/>
  <c r="AB167" i="34"/>
  <c r="KA123" i="34"/>
  <c r="FB81" i="34"/>
  <c r="LF102" i="34"/>
  <c r="PZ156" i="34"/>
  <c r="JU144" i="34"/>
  <c r="MF55" i="34"/>
  <c r="MO175" i="34"/>
  <c r="AX107" i="34"/>
  <c r="JD147" i="34"/>
  <c r="DJ44" i="34"/>
  <c r="MJ67" i="34"/>
  <c r="MI150" i="34"/>
  <c r="JZ112" i="34"/>
  <c r="LI130" i="34"/>
  <c r="MK53" i="34"/>
  <c r="EE91" i="34"/>
  <c r="JE126" i="34"/>
  <c r="BW57" i="33"/>
  <c r="MG94" i="34"/>
  <c r="ND50" i="34"/>
  <c r="JH116" i="34"/>
  <c r="MK124" i="34"/>
  <c r="PJ143" i="34"/>
  <c r="AT76" i="34"/>
  <c r="OI105" i="34"/>
  <c r="EX181" i="34"/>
  <c r="MK46" i="34"/>
  <c r="JC143" i="34"/>
  <c r="NO94" i="34"/>
  <c r="PF71" i="34"/>
  <c r="LI112" i="34"/>
  <c r="HY107" i="34"/>
  <c r="EX134" i="34"/>
  <c r="MK117" i="34"/>
  <c r="JW41" i="34"/>
  <c r="DE134" i="34"/>
  <c r="FT85" i="34"/>
  <c r="OL162" i="34"/>
  <c r="AN188" i="34"/>
  <c r="W157" i="34"/>
  <c r="NN187" i="34"/>
  <c r="AR56" i="34"/>
  <c r="GM143" i="34"/>
  <c r="AS44" i="34"/>
  <c r="ND98" i="34"/>
  <c r="FN48" i="34"/>
  <c r="EF164" i="34"/>
  <c r="NH181" i="34"/>
  <c r="NL163" i="34"/>
  <c r="EA183" i="34"/>
  <c r="EG174" i="34"/>
  <c r="CN81" i="34"/>
  <c r="MB49" i="34"/>
  <c r="HW113" i="34"/>
  <c r="LE41" i="34"/>
  <c r="OH110" i="34"/>
  <c r="JX121" i="34"/>
  <c r="EE83" i="34"/>
  <c r="JE51" i="34"/>
  <c r="PX169" i="34"/>
  <c r="ND72" i="34"/>
  <c r="KC82" i="34"/>
  <c r="NF95" i="34"/>
  <c r="NE124" i="34"/>
  <c r="MB65" i="34"/>
  <c r="KN132" i="34"/>
  <c r="FV131" i="34"/>
  <c r="IV95" i="34"/>
  <c r="MG112" i="34"/>
  <c r="CJ135" i="34"/>
  <c r="JG148" i="34"/>
  <c r="Y67" i="34"/>
  <c r="FV76" i="34"/>
  <c r="NI66" i="34"/>
  <c r="KO134" i="34"/>
  <c r="EY169" i="34"/>
  <c r="ED108" i="34"/>
  <c r="LH117" i="34"/>
  <c r="II4" i="34"/>
  <c r="EY69" i="34"/>
  <c r="OO82" i="34"/>
  <c r="NP112" i="34"/>
  <c r="LZ69" i="34"/>
  <c r="NO47" i="34"/>
  <c r="JW119" i="34"/>
  <c r="IE148" i="34"/>
  <c r="LK128" i="34"/>
  <c r="CI167" i="34"/>
  <c r="MG159" i="34"/>
  <c r="GJ57" i="34"/>
  <c r="DX98" i="34"/>
  <c r="MC65" i="34"/>
  <c r="GP87" i="34"/>
  <c r="EY178" i="34"/>
  <c r="FV107" i="34"/>
  <c r="DX139" i="34"/>
  <c r="HH94" i="34"/>
  <c r="JV165" i="34"/>
  <c r="MF106" i="34"/>
  <c r="DE150" i="34"/>
  <c r="OM75" i="34"/>
  <c r="MN133" i="34"/>
  <c r="FQ143" i="34"/>
  <c r="T186" i="34"/>
  <c r="ND162" i="34"/>
  <c r="CJ81" i="34"/>
  <c r="LE85" i="34"/>
  <c r="OI88" i="34"/>
  <c r="OI171" i="34"/>
  <c r="BB117" i="34"/>
  <c r="HH145" i="34"/>
  <c r="X111" i="34"/>
  <c r="JB143" i="34"/>
  <c r="OJ164" i="34"/>
  <c r="JW159" i="34"/>
  <c r="JT163" i="34"/>
  <c r="K143" i="28"/>
  <c r="AA81" i="34"/>
  <c r="OL82" i="34"/>
  <c r="LB43" i="34"/>
  <c r="GM187" i="34"/>
  <c r="MN139" i="34"/>
  <c r="PX42" i="34"/>
  <c r="W62" i="34"/>
  <c r="NG104" i="34"/>
  <c r="MO45" i="34"/>
  <c r="OK52" i="34"/>
  <c r="NJ142" i="34"/>
  <c r="MD139" i="34"/>
  <c r="MO134" i="34"/>
  <c r="NP145" i="34"/>
  <c r="GJ120" i="34"/>
  <c r="PW143" i="34"/>
  <c r="MM166" i="34"/>
  <c r="DD101" i="34"/>
  <c r="ND79" i="34"/>
  <c r="CE66" i="34"/>
  <c r="Z112" i="34"/>
  <c r="MG72" i="34"/>
  <c r="KM48" i="34"/>
  <c r="AZ77" i="34"/>
  <c r="NG139" i="34"/>
  <c r="JF89" i="34"/>
  <c r="JZ153" i="34"/>
  <c r="FQ109" i="34"/>
  <c r="LE144" i="34"/>
  <c r="BP94" i="34"/>
  <c r="IR78" i="34"/>
  <c r="KB137" i="34"/>
  <c r="HT106" i="34"/>
  <c r="NA98" i="34"/>
  <c r="PW136" i="34"/>
  <c r="BA136" i="34"/>
  <c r="NJ90" i="34"/>
  <c r="IC156" i="34"/>
  <c r="LH153" i="34"/>
  <c r="PG74" i="34"/>
  <c r="LX53" i="34"/>
  <c r="MB123" i="34"/>
  <c r="FQ123" i="34"/>
  <c r="MO79" i="34"/>
  <c r="LI188" i="34"/>
  <c r="NL98" i="34"/>
  <c r="AT118" i="34"/>
  <c r="EQ5" i="34"/>
  <c r="KN52" i="34"/>
  <c r="JC160" i="34"/>
  <c r="JB84" i="34"/>
  <c r="JZ116" i="34"/>
  <c r="LE108" i="34"/>
  <c r="EJ60" i="34"/>
  <c r="JV174" i="34"/>
  <c r="LD166" i="34"/>
  <c r="Y139" i="34"/>
  <c r="FB166" i="34"/>
  <c r="AO173" i="34"/>
  <c r="U51" i="34"/>
  <c r="ML66" i="34"/>
  <c r="K65" i="34"/>
  <c r="ON94" i="34"/>
  <c r="GK107" i="34"/>
  <c r="AB154" i="34"/>
  <c r="NA64" i="34"/>
  <c r="EX51" i="34"/>
  <c r="EF121" i="34"/>
  <c r="EZ62" i="34"/>
  <c r="EA132" i="34"/>
  <c r="CN74" i="34"/>
  <c r="KC64" i="34"/>
  <c r="LG164" i="34"/>
  <c r="MF137" i="34"/>
  <c r="JW83" i="34"/>
  <c r="BB121" i="34"/>
  <c r="NF48" i="34"/>
  <c r="AW151" i="34"/>
  <c r="DX87" i="34"/>
  <c r="DD161" i="34"/>
  <c r="FV68" i="34"/>
  <c r="HV62" i="34"/>
  <c r="NI69" i="34"/>
  <c r="NM169" i="34"/>
  <c r="BN181" i="34"/>
  <c r="MF187" i="34"/>
  <c r="IE50" i="34"/>
  <c r="NN43" i="34"/>
  <c r="CG132" i="34"/>
  <c r="LB77" i="34"/>
  <c r="GN145" i="34"/>
  <c r="MH66" i="34"/>
  <c r="KB123" i="34"/>
  <c r="ID141" i="34"/>
  <c r="NL83" i="34"/>
  <c r="EI95" i="34"/>
  <c r="NC50" i="34"/>
  <c r="PY103" i="34"/>
  <c r="GK88" i="34"/>
  <c r="PG92" i="34"/>
  <c r="CR75" i="33"/>
  <c r="GO149" i="34"/>
  <c r="KB133" i="34"/>
  <c r="JY175" i="34"/>
  <c r="ND112" i="34"/>
  <c r="Z162" i="34"/>
  <c r="JX92" i="34"/>
  <c r="LW107" i="34"/>
  <c r="DZ75" i="34"/>
  <c r="FN145" i="34"/>
  <c r="LE101" i="34"/>
  <c r="ON158" i="34"/>
  <c r="LZ166" i="34"/>
  <c r="CD108" i="34"/>
  <c r="IS93" i="34"/>
  <c r="BQ108" i="34"/>
  <c r="AP105" i="34"/>
  <c r="ID148" i="34"/>
  <c r="FO79" i="33"/>
  <c r="IS78" i="34"/>
  <c r="NA152" i="34"/>
  <c r="IW121" i="34"/>
  <c r="HV70" i="34"/>
  <c r="CI105" i="34"/>
  <c r="GM164" i="34"/>
  <c r="HF161" i="34"/>
  <c r="PH173" i="34"/>
  <c r="NI119" i="34"/>
  <c r="K145" i="34"/>
  <c r="ML127" i="34"/>
  <c r="OI153" i="34"/>
  <c r="LC105" i="34"/>
  <c r="HD70" i="34"/>
  <c r="MC93" i="34"/>
  <c r="NO122" i="34"/>
  <c r="NA162" i="34"/>
  <c r="FX162" i="34"/>
  <c r="MI163" i="34"/>
  <c r="PD146" i="34"/>
  <c r="NJ171" i="34"/>
  <c r="AC134" i="34"/>
  <c r="ID125" i="34"/>
  <c r="ED175" i="34"/>
  <c r="FQ111" i="34"/>
  <c r="IV102" i="34"/>
  <c r="AP165" i="34"/>
  <c r="NI165" i="34"/>
  <c r="KR187" i="34"/>
  <c r="MK160" i="34"/>
  <c r="JV161" i="34"/>
  <c r="EC126" i="34"/>
  <c r="PB169" i="34"/>
  <c r="NH165" i="34"/>
  <c r="JB82" i="34"/>
  <c r="PK54" i="34"/>
  <c r="PZ173" i="34"/>
  <c r="AT131" i="34"/>
  <c r="EX142" i="34"/>
  <c r="HC73" i="34"/>
  <c r="HW135" i="34"/>
  <c r="LE82" i="34"/>
  <c r="JT135" i="34"/>
  <c r="JZ54" i="34"/>
  <c r="ML108" i="34"/>
  <c r="DF67" i="34"/>
  <c r="LC151" i="34"/>
  <c r="IS107" i="34"/>
  <c r="IY159" i="34"/>
  <c r="FB98" i="34"/>
  <c r="LI118" i="34"/>
  <c r="MC176" i="34"/>
  <c r="EB109" i="34"/>
  <c r="FN126" i="34"/>
  <c r="IA134" i="34"/>
  <c r="CM89" i="34"/>
  <c r="OK120" i="34"/>
  <c r="JD124" i="34"/>
  <c r="PY124" i="34"/>
  <c r="HV115" i="34"/>
  <c r="FB80" i="34"/>
  <c r="NN147" i="34"/>
  <c r="GJ143" i="34"/>
  <c r="PK122" i="34"/>
  <c r="IB123" i="34"/>
  <c r="LY91" i="34"/>
  <c r="AB101" i="34"/>
  <c r="LW172" i="34"/>
  <c r="EX72" i="34"/>
  <c r="CF65" i="34"/>
  <c r="EG78" i="34"/>
  <c r="NG163" i="34"/>
  <c r="KP113" i="34"/>
  <c r="ML130" i="34"/>
  <c r="HZ61" i="34"/>
  <c r="CG157" i="34"/>
  <c r="EB134" i="34"/>
  <c r="EW161" i="34"/>
  <c r="HW166" i="34"/>
  <c r="NM105" i="34"/>
  <c r="LG178" i="34"/>
  <c r="MA164" i="34"/>
  <c r="HZ168" i="34"/>
  <c r="Z187" i="34"/>
  <c r="BN57" i="34"/>
  <c r="HT110" i="34"/>
  <c r="PJ142" i="34"/>
  <c r="NJ137" i="34"/>
  <c r="IY51" i="34"/>
  <c r="CI163" i="34"/>
  <c r="DZ28" i="33"/>
  <c r="IS48" i="34"/>
  <c r="EB160" i="34"/>
  <c r="LF50" i="34"/>
  <c r="HH129" i="34"/>
  <c r="NE169" i="34"/>
  <c r="PA170" i="34"/>
  <c r="W88" i="34"/>
  <c r="CO142" i="34"/>
  <c r="JC41" i="34"/>
  <c r="OM92" i="34"/>
  <c r="MA43" i="34"/>
  <c r="IR68" i="34"/>
  <c r="PF166" i="34"/>
  <c r="GL124" i="34"/>
  <c r="DI76" i="34"/>
  <c r="NM149" i="34"/>
  <c r="MD70" i="34"/>
  <c r="LI98" i="34"/>
  <c r="CF50" i="34"/>
  <c r="HY150" i="34"/>
  <c r="GK71" i="34"/>
  <c r="BO41" i="34"/>
  <c r="JV120" i="34"/>
  <c r="MG44" i="34"/>
  <c r="OJ77" i="34"/>
  <c r="PD102" i="34"/>
  <c r="BQ67" i="34"/>
  <c r="JC47" i="34"/>
  <c r="EZ103" i="34"/>
  <c r="BQ85" i="34"/>
  <c r="EC91" i="34"/>
  <c r="FP154" i="34"/>
  <c r="KN61" i="34"/>
  <c r="FO59" i="34"/>
  <c r="CH51" i="34"/>
  <c r="HG57" i="34"/>
  <c r="AN94" i="34"/>
  <c r="JW70" i="34"/>
  <c r="LK103" i="34"/>
  <c r="NF169" i="34"/>
  <c r="JU48" i="34"/>
  <c r="CD69" i="34"/>
  <c r="EJ123" i="34"/>
  <c r="HD140" i="34"/>
  <c r="LK160" i="34"/>
  <c r="EY121" i="34"/>
  <c r="LE156" i="34"/>
  <c r="AR170" i="34"/>
  <c r="ON65" i="34"/>
  <c r="FS41" i="34"/>
  <c r="BP100" i="34"/>
  <c r="AD161" i="34"/>
  <c r="LW51" i="34"/>
  <c r="KB56" i="34"/>
  <c r="CK142" i="34"/>
  <c r="HX109" i="34"/>
  <c r="MB150" i="34"/>
  <c r="HZ178" i="34"/>
  <c r="AP72" i="34"/>
  <c r="JF52" i="34"/>
  <c r="EZ119" i="34"/>
  <c r="EW83" i="34"/>
  <c r="GQ169" i="34"/>
  <c r="JZ92" i="34"/>
  <c r="LX164" i="34"/>
  <c r="KN123" i="34"/>
  <c r="HX151" i="34"/>
  <c r="IA172" i="34"/>
  <c r="OJ57" i="34"/>
  <c r="NI89" i="34"/>
  <c r="CF72" i="34"/>
  <c r="HG92" i="34"/>
  <c r="EI132" i="34"/>
  <c r="AR132" i="34"/>
  <c r="JT79" i="34"/>
  <c r="KP164" i="34"/>
  <c r="KL130" i="34"/>
  <c r="LK100" i="34"/>
  <c r="JY146" i="34"/>
  <c r="OM174" i="34"/>
  <c r="LA137" i="34"/>
  <c r="BJ44" i="28"/>
  <c r="CM147" i="34"/>
  <c r="PF99" i="34"/>
  <c r="GM107" i="34"/>
  <c r="NO133" i="34"/>
  <c r="PG163" i="34"/>
  <c r="KR146" i="34"/>
  <c r="LX107" i="34"/>
  <c r="EX159" i="34"/>
  <c r="AB60" i="34"/>
  <c r="J85" i="34"/>
  <c r="AC77" i="34"/>
  <c r="LB47" i="34"/>
  <c r="EF92" i="34"/>
  <c r="HF47" i="34"/>
  <c r="CD83" i="34"/>
  <c r="MI45" i="34"/>
  <c r="EK156" i="34"/>
  <c r="IZ50" i="34"/>
  <c r="DH77" i="34"/>
  <c r="PW144" i="34"/>
  <c r="EG40" i="33"/>
  <c r="DF89" i="34"/>
  <c r="MG122" i="34"/>
  <c r="JG146" i="34"/>
  <c r="NA53" i="34"/>
  <c r="AV62" i="34"/>
  <c r="HC122" i="34"/>
  <c r="ED117" i="34"/>
  <c r="FO136" i="34"/>
  <c r="AD140" i="34"/>
  <c r="FN60" i="33"/>
  <c r="DX159" i="34"/>
  <c r="OO131" i="34"/>
  <c r="AR61" i="34"/>
  <c r="LF167" i="34"/>
  <c r="AY67" i="34"/>
  <c r="CD133" i="34"/>
  <c r="GM127" i="34"/>
  <c r="J48" i="34"/>
  <c r="EG186" i="34"/>
  <c r="Z128" i="34"/>
  <c r="ID112" i="34"/>
  <c r="AN142" i="34"/>
  <c r="DC53" i="34"/>
  <c r="GL64" i="34"/>
  <c r="U145" i="34"/>
  <c r="OO142" i="34"/>
  <c r="PG67" i="34"/>
  <c r="FS108" i="34"/>
  <c r="FQ147" i="34"/>
  <c r="OM146" i="34"/>
  <c r="J108" i="34"/>
  <c r="LZ153" i="34"/>
  <c r="JW112" i="34"/>
  <c r="CH119" i="34"/>
  <c r="AD55" i="34"/>
  <c r="OK178" i="34"/>
  <c r="IA76" i="34"/>
  <c r="MN81" i="34"/>
  <c r="MA130" i="34"/>
  <c r="DG132" i="34"/>
  <c r="CJ47" i="33"/>
  <c r="MF186" i="34"/>
  <c r="JW87" i="34"/>
  <c r="JW111" i="34"/>
  <c r="PD76" i="34"/>
  <c r="MH172" i="34"/>
  <c r="MC50" i="34"/>
  <c r="NN100" i="34"/>
  <c r="OH120" i="34"/>
  <c r="AC138" i="34"/>
  <c r="FW51" i="34"/>
  <c r="NP157" i="34"/>
  <c r="DB98" i="34"/>
  <c r="GO75" i="34"/>
  <c r="OJ178" i="34"/>
  <c r="NF154" i="34"/>
  <c r="IS123" i="34"/>
  <c r="HX141" i="34"/>
  <c r="AU156" i="34"/>
  <c r="JW150" i="34"/>
  <c r="CN65" i="34"/>
  <c r="ME175" i="34"/>
  <c r="NL118" i="34"/>
  <c r="AR95" i="34"/>
  <c r="MD162" i="34"/>
  <c r="KO162" i="34"/>
  <c r="NA87" i="34"/>
  <c r="ED85" i="34"/>
  <c r="LX44" i="34"/>
  <c r="LX69" i="34"/>
  <c r="OM130" i="34"/>
  <c r="FT97" i="34"/>
  <c r="MK127" i="34"/>
  <c r="EE188" i="34"/>
  <c r="FW100" i="34"/>
  <c r="FQ134" i="34"/>
  <c r="EB103" i="34"/>
  <c r="PZ75" i="34"/>
  <c r="HY73" i="34"/>
  <c r="OK95" i="34"/>
  <c r="HT86" i="34"/>
  <c r="NJ53" i="34"/>
  <c r="LZ157" i="34"/>
  <c r="JW108" i="34"/>
  <c r="PC118" i="34"/>
  <c r="OO98" i="34"/>
  <c r="EI139" i="34"/>
  <c r="JE78" i="34"/>
  <c r="ED119" i="34"/>
  <c r="MG169" i="34"/>
  <c r="IS121" i="34"/>
  <c r="GQ50" i="34"/>
  <c r="EG77" i="34"/>
  <c r="ON97" i="34"/>
  <c r="PG152" i="34"/>
  <c r="AM64" i="34"/>
  <c r="DJ174" i="34"/>
  <c r="CH89" i="34"/>
  <c r="IQ145" i="34"/>
  <c r="GQ131" i="34"/>
  <c r="FQ166" i="34"/>
  <c r="DW46" i="34"/>
  <c r="GL170" i="34"/>
  <c r="GJ174" i="34"/>
  <c r="GN121" i="34"/>
  <c r="DJ81" i="34"/>
  <c r="DW52" i="34"/>
  <c r="LX71" i="34"/>
  <c r="PZ49" i="34"/>
  <c r="OK56" i="34"/>
  <c r="IW91" i="34"/>
  <c r="KR169" i="34"/>
  <c r="AG6" i="34"/>
  <c r="DG108" i="34"/>
  <c r="DX92" i="34"/>
  <c r="NC155" i="34"/>
  <c r="H82" i="33"/>
  <c r="EH44" i="34"/>
  <c r="AT84" i="34"/>
  <c r="JB167" i="34"/>
  <c r="KB166" i="34"/>
  <c r="PA85" i="34"/>
  <c r="BA79" i="34"/>
  <c r="PH44" i="34"/>
  <c r="FA41" i="34"/>
  <c r="JE87" i="34"/>
  <c r="IS66" i="34"/>
  <c r="DY139" i="34"/>
  <c r="DZ142" i="34"/>
  <c r="DF140" i="34"/>
  <c r="MC129" i="34"/>
  <c r="CG173" i="34"/>
  <c r="OJ151" i="34"/>
  <c r="LW137" i="34"/>
  <c r="NN50" i="34"/>
  <c r="MM76" i="34"/>
  <c r="CC57" i="33"/>
  <c r="EI157" i="34"/>
  <c r="HG120" i="34"/>
  <c r="HZ123" i="34"/>
  <c r="CO176" i="34"/>
  <c r="NC122" i="34"/>
  <c r="OM82" i="34"/>
  <c r="NC72" i="34"/>
  <c r="JT45" i="34"/>
  <c r="DB26" i="33"/>
  <c r="NE150" i="34"/>
  <c r="MD175" i="34"/>
  <c r="FT48" i="34"/>
  <c r="JU97" i="34"/>
  <c r="T178" i="34"/>
  <c r="ND80" i="34"/>
  <c r="LC164" i="34"/>
  <c r="HG56" i="34"/>
  <c r="FP116" i="34"/>
  <c r="KB152" i="34"/>
  <c r="AA71" i="34"/>
  <c r="HV162" i="34"/>
  <c r="MF65" i="34"/>
  <c r="KR94" i="34"/>
  <c r="BA72" i="34"/>
  <c r="N31" i="33"/>
  <c r="JB124" i="34"/>
  <c r="KO156" i="34"/>
  <c r="AT52" i="34"/>
  <c r="EH42" i="34"/>
  <c r="PC144" i="34"/>
  <c r="BR116" i="34"/>
  <c r="IQ151" i="34"/>
  <c r="PH172" i="34"/>
  <c r="PI99" i="34"/>
  <c r="AU183" i="34"/>
  <c r="ML119" i="34"/>
  <c r="PG85" i="34"/>
  <c r="NM67" i="34"/>
  <c r="LC167" i="34"/>
  <c r="MM167" i="34"/>
  <c r="AA175" i="34"/>
  <c r="KN112" i="34"/>
  <c r="LW50" i="34"/>
  <c r="CX66" i="33"/>
  <c r="LH132" i="34"/>
  <c r="NL161" i="34"/>
  <c r="DB119" i="34"/>
  <c r="GK36" i="33"/>
  <c r="KL44" i="34"/>
  <c r="KM127" i="34"/>
  <c r="KO60" i="34"/>
  <c r="AC131" i="34"/>
  <c r="MC187" i="34"/>
  <c r="JA118" i="34"/>
  <c r="BQ131" i="34"/>
  <c r="FI32" i="33"/>
  <c r="MK110" i="34"/>
  <c r="NE159" i="34"/>
  <c r="NC117" i="34"/>
  <c r="LE80" i="34"/>
  <c r="LY43" i="34"/>
  <c r="EK67" i="34"/>
  <c r="LX65" i="34"/>
  <c r="GQ68" i="34"/>
  <c r="NP111" i="34"/>
  <c r="PE94" i="34"/>
  <c r="OJ66" i="34"/>
  <c r="FV97" i="33"/>
  <c r="AW93" i="34"/>
  <c r="S24" i="23"/>
  <c r="MF48" i="34"/>
  <c r="PD86" i="34"/>
  <c r="JA168" i="34"/>
  <c r="MA133" i="34"/>
  <c r="JX148" i="34"/>
  <c r="AO167" i="34"/>
  <c r="HW41" i="34"/>
  <c r="X104" i="34"/>
  <c r="MI140" i="34"/>
  <c r="JC136" i="34"/>
  <c r="LG105" i="34"/>
  <c r="NH168" i="34"/>
  <c r="LK91" i="34"/>
  <c r="PA134" i="34"/>
  <c r="MI55" i="34"/>
  <c r="DI66" i="34"/>
  <c r="EY89" i="34"/>
  <c r="HY80" i="34"/>
  <c r="NO84" i="34"/>
  <c r="MA141" i="34"/>
  <c r="NJ112" i="34"/>
  <c r="FT89" i="34"/>
  <c r="FO85" i="34"/>
  <c r="BA175" i="34"/>
  <c r="AR159" i="34"/>
  <c r="LK132" i="34"/>
  <c r="AS101" i="34"/>
  <c r="CE183" i="34"/>
  <c r="IQ95" i="34"/>
  <c r="CD138" i="34"/>
  <c r="MG59" i="34"/>
  <c r="KM113" i="34"/>
  <c r="FC44" i="33"/>
  <c r="JD122" i="34"/>
  <c r="OH113" i="34"/>
  <c r="KC102" i="34"/>
  <c r="CO55" i="34"/>
  <c r="JW148" i="34"/>
  <c r="PW176" i="34"/>
  <c r="NM56" i="34"/>
  <c r="EI159" i="34"/>
  <c r="GL81" i="34"/>
  <c r="MM161" i="34"/>
  <c r="AQ53" i="34"/>
  <c r="NO156" i="34"/>
  <c r="AC186" i="34"/>
  <c r="NB44" i="34"/>
  <c r="FP169" i="34"/>
  <c r="OM165" i="34"/>
  <c r="LD89" i="34"/>
  <c r="CH113" i="34"/>
  <c r="OI57" i="34"/>
  <c r="IR65" i="34"/>
  <c r="JV91" i="34"/>
  <c r="FR44" i="34"/>
  <c r="NM152" i="34"/>
  <c r="JH174" i="34"/>
  <c r="LE115" i="34"/>
  <c r="DE167" i="34"/>
  <c r="EW140" i="34"/>
  <c r="OL90" i="34"/>
  <c r="NE94" i="34"/>
  <c r="MI160" i="34"/>
  <c r="MA172" i="34"/>
  <c r="HH43" i="34"/>
  <c r="X173" i="34"/>
  <c r="PE55" i="34"/>
  <c r="KR54" i="34"/>
  <c r="CD92" i="34"/>
  <c r="FN167" i="34"/>
  <c r="BQ169" i="34"/>
  <c r="BP175" i="34"/>
  <c r="KP187" i="34"/>
  <c r="ND57" i="34"/>
  <c r="MA140" i="34"/>
  <c r="MD134" i="34"/>
  <c r="GN52" i="34"/>
  <c r="KA132" i="34"/>
  <c r="MH141" i="34"/>
  <c r="IQ141" i="34"/>
  <c r="IY101" i="34"/>
  <c r="NL178" i="34"/>
  <c r="HV54" i="34"/>
  <c r="PK78" i="34"/>
  <c r="BP75" i="34"/>
  <c r="HC141" i="34"/>
  <c r="EG92" i="34"/>
  <c r="LW44" i="34"/>
  <c r="NK120" i="34"/>
  <c r="FA57" i="34"/>
  <c r="W25" i="33"/>
  <c r="MF42" i="34"/>
  <c r="LK96" i="34"/>
  <c r="NP133" i="34"/>
  <c r="KL57" i="34"/>
  <c r="LC74" i="34"/>
  <c r="KB149" i="34"/>
  <c r="LH49" i="34"/>
  <c r="KC46" i="34"/>
  <c r="EZ80" i="33"/>
  <c r="JA142" i="34"/>
  <c r="DC106" i="34"/>
  <c r="GO96" i="34"/>
  <c r="EB49" i="34"/>
  <c r="JU77" i="34"/>
  <c r="LF170" i="34"/>
  <c r="AV118" i="34"/>
  <c r="EH127" i="34"/>
  <c r="DD111" i="34"/>
  <c r="AN71" i="34"/>
  <c r="X78" i="34"/>
  <c r="ND117" i="34"/>
  <c r="EG135" i="34"/>
  <c r="JW64" i="34"/>
  <c r="IR147" i="34"/>
  <c r="DZ41" i="34"/>
  <c r="EQ12" i="34"/>
  <c r="BQ168" i="34"/>
  <c r="GL127" i="34"/>
  <c r="LF113" i="34"/>
  <c r="CK143" i="34"/>
  <c r="MB99" i="34"/>
  <c r="EG163" i="34"/>
  <c r="GQ63" i="34"/>
  <c r="DZ104" i="34"/>
  <c r="Y155" i="34"/>
  <c r="HV85" i="34"/>
  <c r="JB170" i="34"/>
  <c r="LE71" i="34"/>
  <c r="FN168" i="34"/>
  <c r="OI55" i="34"/>
  <c r="AT102" i="34"/>
  <c r="HH118" i="34"/>
  <c r="T108" i="34"/>
  <c r="JU157" i="34"/>
  <c r="DC178" i="34"/>
  <c r="LZ73" i="34"/>
  <c r="LE147" i="34"/>
  <c r="DJ129" i="34"/>
  <c r="HF117" i="34"/>
  <c r="MF144" i="34"/>
  <c r="KP54" i="34"/>
  <c r="LK181" i="34"/>
  <c r="LD107" i="34"/>
  <c r="DD171" i="34"/>
  <c r="IS178" i="34"/>
  <c r="NA168" i="34"/>
  <c r="FA101" i="34"/>
  <c r="V49" i="34"/>
  <c r="CF169" i="34"/>
  <c r="LH45" i="34"/>
  <c r="DC134" i="34"/>
  <c r="HG108" i="34"/>
  <c r="DV95" i="34"/>
  <c r="ML94" i="34"/>
  <c r="J56" i="34"/>
  <c r="AG78" i="33"/>
  <c r="NH86" i="34"/>
  <c r="GE73" i="33"/>
  <c r="J139" i="34"/>
  <c r="NI122" i="34"/>
  <c r="NP164" i="34"/>
  <c r="DF56" i="34"/>
  <c r="AQ174" i="34"/>
  <c r="DF152" i="34"/>
  <c r="JD153" i="34"/>
  <c r="NN152" i="34"/>
  <c r="PB163" i="34"/>
  <c r="LX55" i="34"/>
  <c r="LI103" i="34"/>
  <c r="LY58" i="34"/>
  <c r="FQ188" i="34"/>
  <c r="GN140" i="34"/>
  <c r="HY110" i="34"/>
  <c r="GQ90" i="34"/>
  <c r="BL65" i="33"/>
  <c r="NG77" i="34"/>
  <c r="CE58" i="34"/>
  <c r="DX115" i="34"/>
  <c r="PI183" i="34"/>
  <c r="JD176" i="34"/>
  <c r="AD46" i="34"/>
  <c r="CO120" i="34"/>
  <c r="IB160" i="34"/>
  <c r="PI130" i="34"/>
  <c r="FQ51" i="34"/>
  <c r="FN149" i="34"/>
  <c r="DD72" i="34"/>
  <c r="CC80" i="33"/>
  <c r="LK42" i="34"/>
  <c r="LI81" i="34"/>
  <c r="FP56" i="33"/>
  <c r="AO43" i="34"/>
  <c r="LK66" i="34"/>
  <c r="KQ164" i="34"/>
  <c r="EJ97" i="34"/>
  <c r="MJ128" i="34"/>
  <c r="CO135" i="34"/>
  <c r="LE133" i="34"/>
  <c r="EF157" i="34"/>
  <c r="EF143" i="34"/>
  <c r="IB136" i="34"/>
  <c r="BA162" i="34"/>
  <c r="EW175" i="34"/>
  <c r="ED171" i="34"/>
  <c r="JB123" i="34"/>
  <c r="HX174" i="34"/>
  <c r="LX64" i="34"/>
  <c r="LA76" i="34"/>
  <c r="KQ152" i="34"/>
  <c r="DV126" i="34"/>
  <c r="KL187" i="34"/>
  <c r="OJ130" i="34"/>
  <c r="AB122" i="34"/>
  <c r="CI111" i="34"/>
  <c r="BO122" i="34"/>
  <c r="MJ62" i="34"/>
  <c r="CF156" i="34"/>
  <c r="LG49" i="34"/>
  <c r="HD123" i="34"/>
  <c r="KR158" i="34"/>
  <c r="DI50" i="34"/>
  <c r="FR125" i="34"/>
  <c r="OO118" i="34"/>
  <c r="KN127" i="34"/>
  <c r="Y170" i="34"/>
  <c r="DF104" i="34"/>
  <c r="MI186" i="34"/>
  <c r="GK98" i="34"/>
  <c r="CG169" i="34"/>
  <c r="PJ181" i="34"/>
  <c r="CE164" i="34"/>
  <c r="PZ41" i="34"/>
  <c r="HD172" i="34"/>
  <c r="HC41" i="34"/>
  <c r="HW83" i="34"/>
  <c r="DW74" i="34"/>
  <c r="GJ170" i="34"/>
  <c r="MM186" i="34"/>
  <c r="LY67" i="34"/>
  <c r="IU64" i="34"/>
  <c r="JV129" i="34"/>
  <c r="IZ121" i="34"/>
  <c r="JE127" i="34"/>
  <c r="FP135" i="34"/>
  <c r="Y150" i="34"/>
  <c r="NN120" i="34"/>
  <c r="DC102" i="34"/>
  <c r="LA145" i="34"/>
  <c r="AF37" i="33"/>
  <c r="FB147" i="34"/>
  <c r="MK131" i="34"/>
  <c r="GQ102" i="34"/>
  <c r="JX79" i="34"/>
  <c r="IW170" i="34"/>
  <c r="JW186" i="34"/>
  <c r="JH168" i="34"/>
  <c r="LY76" i="34"/>
  <c r="JT118" i="34"/>
  <c r="IS137" i="34"/>
  <c r="HV63" i="34"/>
  <c r="DG94" i="34"/>
  <c r="AQ51" i="34"/>
  <c r="AQ70" i="34"/>
  <c r="LD151" i="34"/>
  <c r="LG48" i="34"/>
  <c r="HU95" i="34"/>
  <c r="JT150" i="34"/>
  <c r="LB86" i="34"/>
  <c r="AS134" i="34"/>
  <c r="EZ76" i="34"/>
  <c r="AX139" i="34"/>
  <c r="FS143" i="34"/>
  <c r="JT58" i="34"/>
  <c r="PE127" i="34"/>
  <c r="ME86" i="34"/>
  <c r="HH139" i="34"/>
  <c r="HG109" i="34"/>
  <c r="PX127" i="34"/>
  <c r="LK176" i="34"/>
  <c r="ON86" i="34"/>
  <c r="LK141" i="34"/>
  <c r="GM116" i="34"/>
  <c r="NP135" i="34"/>
  <c r="CO168" i="34"/>
  <c r="GN84" i="34"/>
  <c r="GP47" i="34"/>
  <c r="MJ120" i="34"/>
  <c r="ED66" i="34"/>
  <c r="EY126" i="34"/>
  <c r="FU63" i="34"/>
  <c r="EX41" i="34"/>
  <c r="U173" i="34"/>
  <c r="LY132" i="34"/>
  <c r="LH77" i="34"/>
  <c r="MB60" i="34"/>
  <c r="ME155" i="34"/>
  <c r="AP47" i="34"/>
  <c r="JF88" i="34"/>
  <c r="DJ46" i="34"/>
  <c r="IW113" i="34"/>
  <c r="FQ68" i="34"/>
  <c r="EI119" i="34"/>
  <c r="MM147" i="34"/>
  <c r="AO82" i="34"/>
  <c r="NG160" i="34"/>
  <c r="JU49" i="34"/>
  <c r="EJ152" i="34"/>
  <c r="JY85" i="34"/>
  <c r="AW139" i="34"/>
  <c r="CF120" i="34"/>
  <c r="GK149" i="34"/>
  <c r="FN171" i="34"/>
  <c r="BP150" i="34"/>
  <c r="AX84" i="34"/>
  <c r="NB130" i="34"/>
  <c r="AJ44" i="33"/>
  <c r="EB181" i="34"/>
  <c r="NI164" i="34"/>
  <c r="JU80" i="34"/>
  <c r="AD70" i="34"/>
  <c r="IA144" i="34"/>
  <c r="KR144" i="34"/>
  <c r="JC102" i="34"/>
  <c r="PH147" i="34"/>
  <c r="JH156" i="34"/>
  <c r="JD84" i="34"/>
  <c r="MH44" i="34"/>
  <c r="EJ143" i="34"/>
  <c r="NJ70" i="34"/>
  <c r="JZ104" i="34"/>
  <c r="OL154" i="34"/>
  <c r="IY97" i="34"/>
  <c r="NK175" i="34"/>
  <c r="AO160" i="34"/>
  <c r="FW156" i="34"/>
  <c r="HY104" i="34"/>
  <c r="KB169" i="34"/>
  <c r="GN117" i="34"/>
  <c r="CJ79" i="34"/>
  <c r="U89" i="34"/>
  <c r="EX187" i="34"/>
  <c r="LD164" i="34"/>
  <c r="GN162" i="34"/>
  <c r="LK158" i="34"/>
  <c r="LG69" i="34"/>
  <c r="EH48" i="34"/>
  <c r="AZ80" i="34"/>
  <c r="MM90" i="34"/>
  <c r="ED102" i="34"/>
  <c r="OJ72" i="34"/>
  <c r="EX90" i="34"/>
  <c r="NN86" i="34"/>
  <c r="HX115" i="34"/>
  <c r="IR69" i="34"/>
  <c r="IZ130" i="34"/>
  <c r="IT72" i="34"/>
  <c r="DI109" i="34"/>
  <c r="PY104" i="34"/>
  <c r="MJ169" i="34"/>
  <c r="FZ35" i="33"/>
  <c r="CO119" i="34"/>
  <c r="AU57" i="34"/>
  <c r="LH68" i="34"/>
  <c r="HY41" i="34"/>
  <c r="JE45" i="34"/>
  <c r="AA113" i="34"/>
  <c r="DJ71" i="34"/>
  <c r="HW163" i="34"/>
  <c r="PK167" i="34"/>
  <c r="JW71" i="34"/>
  <c r="JC174" i="34"/>
  <c r="AW156" i="34"/>
  <c r="LY144" i="34"/>
  <c r="KL186" i="34"/>
  <c r="BO73" i="33"/>
  <c r="LC70" i="34"/>
  <c r="BQ62" i="34"/>
  <c r="ME111" i="34"/>
  <c r="LK162" i="34"/>
  <c r="MH51" i="34"/>
  <c r="JX50" i="34"/>
  <c r="MO99" i="34"/>
  <c r="DE120" i="34"/>
  <c r="OL72" i="34"/>
  <c r="BN105" i="34"/>
  <c r="GJ172" i="34"/>
  <c r="LA161" i="34"/>
  <c r="JX159" i="34"/>
  <c r="PX88" i="34"/>
  <c r="MD122" i="34"/>
  <c r="OH42" i="34"/>
  <c r="LH53" i="34"/>
  <c r="MM148" i="34"/>
  <c r="AA8" i="17"/>
  <c r="MK187" i="34"/>
  <c r="PK154" i="34"/>
  <c r="ID124" i="34"/>
  <c r="FB57" i="34"/>
  <c r="FT168" i="34"/>
  <c r="FN115" i="34"/>
  <c r="J145" i="34"/>
  <c r="NI47" i="34"/>
  <c r="CM117" i="34"/>
  <c r="GO127" i="34"/>
  <c r="ON56" i="34"/>
  <c r="JG102" i="34"/>
  <c r="JH105" i="34"/>
  <c r="OK78" i="34"/>
  <c r="CM161" i="34"/>
  <c r="AO147" i="34"/>
  <c r="LY166" i="34"/>
  <c r="LK46" i="34"/>
  <c r="ME170" i="34"/>
  <c r="FW178" i="34"/>
  <c r="EX162" i="34"/>
  <c r="GQ145" i="34"/>
  <c r="ND99" i="34"/>
  <c r="IQ99" i="34"/>
  <c r="EA131" i="34"/>
  <c r="EW171" i="34"/>
  <c r="IY70" i="34"/>
  <c r="PW161" i="34"/>
  <c r="EZ58" i="34"/>
  <c r="GQ43" i="34"/>
  <c r="MM168" i="34"/>
  <c r="EA48" i="34"/>
  <c r="LB127" i="34"/>
  <c r="CI176" i="34"/>
  <c r="AB148" i="34"/>
  <c r="LZ77" i="34"/>
  <c r="LI122" i="34"/>
  <c r="MM108" i="34"/>
  <c r="ED128" i="34"/>
  <c r="PF175" i="34"/>
  <c r="PX85" i="34"/>
  <c r="DF127" i="34"/>
  <c r="IU81" i="34"/>
  <c r="JW54" i="34"/>
  <c r="HE134" i="34"/>
  <c r="BO138" i="34"/>
  <c r="AW143" i="34"/>
  <c r="DE135" i="34"/>
  <c r="KN86" i="34"/>
  <c r="BP188" i="34"/>
  <c r="CJ163" i="34"/>
  <c r="DD159" i="34"/>
  <c r="Z93" i="34"/>
  <c r="PA173" i="34"/>
  <c r="MN102" i="34"/>
  <c r="LB155" i="34"/>
  <c r="HC124" i="34"/>
  <c r="LF160" i="34"/>
  <c r="AU101" i="34"/>
  <c r="FP51" i="34"/>
  <c r="MG175" i="34"/>
  <c r="OL47" i="34"/>
  <c r="PJ146" i="34"/>
  <c r="AA187" i="34"/>
  <c r="JG169" i="34"/>
  <c r="JD163" i="34"/>
  <c r="JH188" i="34"/>
  <c r="LH126" i="34"/>
  <c r="IQ73" i="34"/>
  <c r="AX47" i="34"/>
  <c r="DJ105" i="34"/>
  <c r="OI160" i="34"/>
  <c r="AM74" i="34"/>
  <c r="ON119" i="34"/>
  <c r="LW98" i="34"/>
  <c r="LG175" i="34"/>
  <c r="GN69" i="34"/>
  <c r="HY52" i="34"/>
  <c r="DF169" i="34"/>
  <c r="OK130" i="34"/>
  <c r="FW146" i="34"/>
  <c r="LY71" i="34"/>
  <c r="JZ90" i="34"/>
  <c r="T46" i="34"/>
  <c r="FR53" i="34"/>
  <c r="CH166" i="34"/>
  <c r="CH63" i="34"/>
  <c r="HF145" i="34"/>
  <c r="BP71" i="34"/>
  <c r="NG131" i="34"/>
  <c r="NL62" i="34"/>
  <c r="CN84" i="34"/>
  <c r="EI50" i="34"/>
  <c r="FW71" i="34"/>
  <c r="JA108" i="34"/>
  <c r="GJ97" i="34"/>
  <c r="DI45" i="34"/>
  <c r="LK167" i="34"/>
  <c r="LD90" i="34"/>
  <c r="BG44" i="33"/>
  <c r="HW98" i="34"/>
  <c r="CL150" i="34"/>
  <c r="CL41" i="34"/>
  <c r="CD41" i="34"/>
  <c r="LX122" i="34"/>
  <c r="GL125" i="34"/>
  <c r="AQ58" i="34"/>
  <c r="MK108" i="34"/>
  <c r="FO42" i="34"/>
  <c r="JH66" i="34"/>
  <c r="EJ82" i="34"/>
  <c r="HE55" i="34"/>
  <c r="FF31" i="33"/>
  <c r="DX158" i="34"/>
  <c r="KQ80" i="34"/>
  <c r="HT119" i="34"/>
  <c r="MI151" i="34"/>
  <c r="KP45" i="34"/>
  <c r="DE98" i="34"/>
  <c r="EX48" i="34"/>
  <c r="MM149" i="34"/>
  <c r="OK147" i="34"/>
  <c r="FO159" i="34"/>
  <c r="MB127" i="34"/>
  <c r="MJ136" i="34"/>
  <c r="BQ118" i="34"/>
  <c r="GO48" i="34"/>
  <c r="BA124" i="34"/>
  <c r="MC169" i="34"/>
  <c r="AQ68" i="34"/>
  <c r="PH165" i="34"/>
  <c r="LW167" i="34"/>
  <c r="FN68" i="34"/>
  <c r="DE54" i="33"/>
  <c r="EW90" i="34"/>
  <c r="AB61" i="34"/>
  <c r="NF101" i="34"/>
  <c r="DF48" i="34"/>
  <c r="GM124" i="34"/>
  <c r="MH73" i="34"/>
  <c r="LI107" i="34"/>
  <c r="JV97" i="34"/>
  <c r="FP43" i="34"/>
  <c r="MM56" i="34"/>
  <c r="JA95" i="34"/>
  <c r="EY70" i="34"/>
  <c r="DA92" i="34"/>
  <c r="MI154" i="34"/>
  <c r="PA58" i="34"/>
  <c r="FO96" i="34"/>
  <c r="LG82" i="34"/>
  <c r="JZ139" i="34"/>
  <c r="NO68" i="34"/>
  <c r="GK106" i="34"/>
  <c r="IQ105" i="34"/>
  <c r="JY60" i="34"/>
  <c r="CK64" i="34"/>
  <c r="DJ171" i="34"/>
  <c r="AC41" i="34"/>
  <c r="IS139" i="34"/>
  <c r="LG47" i="34"/>
  <c r="HT173" i="34"/>
  <c r="KN167" i="34"/>
  <c r="MI119" i="34"/>
  <c r="ML117" i="34"/>
  <c r="LF164" i="34"/>
  <c r="IY118" i="34"/>
  <c r="FX136" i="34"/>
  <c r="Z99" i="34"/>
  <c r="BN137" i="34"/>
  <c r="DG73" i="34"/>
  <c r="DG83" i="34"/>
  <c r="J158" i="34"/>
  <c r="V60" i="34"/>
  <c r="NO58" i="34"/>
  <c r="JH117" i="34"/>
  <c r="FO171" i="34"/>
  <c r="IW112" i="34"/>
  <c r="MG168" i="34"/>
  <c r="JU99" i="34"/>
  <c r="KP165" i="34"/>
  <c r="KM129" i="34"/>
  <c r="MA47" i="34"/>
  <c r="CH112" i="34"/>
  <c r="CO46" i="34"/>
  <c r="NO165" i="34"/>
  <c r="NC133" i="34"/>
  <c r="IW133" i="34"/>
  <c r="JE139" i="34"/>
  <c r="NF86" i="34"/>
  <c r="KN128" i="34"/>
  <c r="LH44" i="34"/>
  <c r="GN93" i="34"/>
  <c r="EZ163" i="34"/>
  <c r="MH162" i="34"/>
  <c r="NN160" i="34"/>
  <c r="DC168" i="34"/>
  <c r="AU96" i="34"/>
  <c r="EB155" i="34"/>
  <c r="MF149" i="34"/>
  <c r="FO165" i="34"/>
  <c r="LF142" i="34"/>
  <c r="IZ106" i="34"/>
  <c r="DH73" i="33"/>
  <c r="AV133" i="34"/>
  <c r="HE109" i="34"/>
  <c r="AZ139" i="34"/>
  <c r="EF115" i="34"/>
  <c r="DX96" i="33"/>
  <c r="NK58" i="34"/>
  <c r="AZ186" i="34"/>
  <c r="IV188" i="34"/>
  <c r="NE64" i="34"/>
  <c r="GQ141" i="34"/>
  <c r="FO88" i="34"/>
  <c r="PG146" i="34"/>
  <c r="EA118" i="34"/>
  <c r="EF147" i="34"/>
  <c r="CN94" i="34"/>
  <c r="JT147" i="34"/>
  <c r="MO147" i="34"/>
  <c r="OJ41" i="34"/>
  <c r="BA151" i="34"/>
  <c r="ML68" i="34"/>
  <c r="GM100" i="34"/>
  <c r="IB139" i="34"/>
  <c r="IR88" i="34"/>
  <c r="EK42" i="34"/>
  <c r="JG136" i="34"/>
  <c r="HH119" i="34"/>
  <c r="NL56" i="34"/>
  <c r="LG120" i="34"/>
  <c r="FQ125" i="34"/>
  <c r="AS112" i="34"/>
  <c r="DJ73" i="34"/>
  <c r="Z154" i="34"/>
  <c r="IT173" i="34"/>
  <c r="FW129" i="34"/>
  <c r="LD86" i="34"/>
  <c r="EW93" i="34"/>
  <c r="LD98" i="34"/>
  <c r="NN48" i="34"/>
  <c r="AB171" i="34"/>
  <c r="KB118" i="34"/>
  <c r="NP152" i="34"/>
  <c r="NJ58" i="34"/>
  <c r="JV136" i="34"/>
  <c r="FS48" i="34"/>
  <c r="AP158" i="34"/>
  <c r="HX173" i="34"/>
  <c r="NB119" i="34"/>
  <c r="CF158" i="34"/>
  <c r="ND163" i="34"/>
  <c r="GQ181" i="34"/>
  <c r="AQ77" i="34"/>
  <c r="AS152" i="34"/>
  <c r="AM93" i="34"/>
  <c r="NO65" i="34"/>
  <c r="DY106" i="34"/>
  <c r="AV95" i="34"/>
  <c r="HX70" i="34"/>
  <c r="NF127" i="34"/>
  <c r="IA47" i="34"/>
  <c r="EW143" i="34"/>
  <c r="JA69" i="34"/>
  <c r="IT111" i="34"/>
  <c r="MB134" i="34"/>
  <c r="CL144" i="34"/>
  <c r="NB186" i="34"/>
  <c r="DA54" i="34"/>
  <c r="ME122" i="34"/>
  <c r="NK107" i="34"/>
  <c r="HF65" i="34"/>
  <c r="NN137" i="34"/>
  <c r="LB133" i="34"/>
  <c r="JY120" i="34"/>
  <c r="DZ148" i="34"/>
  <c r="FA58" i="34"/>
  <c r="GO140" i="34"/>
  <c r="DE147" i="34"/>
  <c r="MD61" i="34"/>
  <c r="EY62" i="34"/>
  <c r="AR166" i="34"/>
  <c r="LB89" i="34"/>
  <c r="HT178" i="34"/>
  <c r="ID140" i="34"/>
  <c r="BJ85" i="28"/>
  <c r="GK141" i="34"/>
  <c r="ID101" i="34"/>
  <c r="JB148" i="34"/>
  <c r="AW50" i="34"/>
  <c r="PW89" i="34"/>
  <c r="AO96" i="34"/>
  <c r="AO68" i="34"/>
  <c r="DZ73" i="34"/>
  <c r="GK129" i="34"/>
  <c r="MB169" i="34"/>
  <c r="JA116" i="34"/>
  <c r="FN101" i="34"/>
  <c r="EF51" i="34"/>
  <c r="GO59" i="34"/>
  <c r="JW145" i="34"/>
  <c r="IS138" i="34"/>
  <c r="JT76" i="34"/>
  <c r="IQ126" i="34"/>
  <c r="CH50" i="34"/>
  <c r="PH80" i="34"/>
  <c r="LZ117" i="34"/>
  <c r="W44" i="34"/>
  <c r="LF123" i="34"/>
  <c r="EF55" i="33"/>
  <c r="NK65" i="34"/>
  <c r="LH106" i="34"/>
  <c r="EZ161" i="34"/>
  <c r="DB176" i="34"/>
  <c r="EW165" i="34"/>
  <c r="PK139" i="34"/>
  <c r="PD54" i="34"/>
  <c r="JT124" i="34"/>
  <c r="NO51" i="34"/>
  <c r="BF46" i="33"/>
  <c r="KR122" i="34"/>
  <c r="LI106" i="34"/>
  <c r="CL172" i="34"/>
  <c r="HW186" i="34"/>
  <c r="PB160" i="34"/>
  <c r="LC160" i="34"/>
  <c r="IU43" i="34"/>
  <c r="CE112" i="34"/>
  <c r="IB178" i="34"/>
  <c r="NA109" i="34"/>
  <c r="W128" i="34"/>
  <c r="FB168" i="34"/>
  <c r="LG41" i="34"/>
  <c r="OI116" i="34"/>
  <c r="HW104" i="34"/>
  <c r="JZ67" i="34"/>
  <c r="MG115" i="34"/>
  <c r="PD159" i="34"/>
  <c r="AP57" i="34"/>
  <c r="PZ65" i="34"/>
  <c r="CL125" i="34"/>
  <c r="CM142" i="34"/>
  <c r="MN89" i="34"/>
  <c r="OO44" i="34"/>
  <c r="LF162" i="34"/>
  <c r="DE188" i="34"/>
  <c r="ML47" i="34"/>
  <c r="CE161" i="34"/>
  <c r="PE68" i="34"/>
  <c r="EC63" i="34"/>
  <c r="BP41" i="34"/>
  <c r="NE141" i="34"/>
  <c r="IZ161" i="34"/>
  <c r="NC120" i="34"/>
  <c r="EW125" i="34"/>
  <c r="HD152" i="34"/>
  <c r="PX188" i="34"/>
  <c r="LJ158" i="34"/>
  <c r="DW73" i="34"/>
  <c r="BN94" i="34"/>
  <c r="IU126" i="34"/>
  <c r="CI103" i="34"/>
  <c r="EV31" i="33"/>
  <c r="NC178" i="34"/>
  <c r="OJ167" i="34"/>
  <c r="NF110" i="34"/>
  <c r="JV135" i="34"/>
  <c r="PH71" i="34"/>
  <c r="MN187" i="34"/>
  <c r="HZ138" i="34"/>
  <c r="MB79" i="34"/>
  <c r="JF68" i="34"/>
  <c r="PE44" i="34"/>
  <c r="DW142" i="34"/>
  <c r="HX169" i="34"/>
  <c r="HW112" i="34"/>
  <c r="IA55" i="34"/>
  <c r="PC154" i="34"/>
  <c r="LK146" i="34"/>
  <c r="MO183" i="34"/>
  <c r="IR122" i="34"/>
  <c r="AP59" i="34"/>
  <c r="NC118" i="34"/>
  <c r="FU94" i="34"/>
  <c r="DE65" i="34"/>
  <c r="DZ112" i="34"/>
  <c r="IQ172" i="34"/>
  <c r="X59" i="34"/>
  <c r="FG76" i="33"/>
  <c r="LH75" i="34"/>
  <c r="ON145" i="34"/>
  <c r="DJ80" i="34"/>
  <c r="DY113" i="34"/>
  <c r="CF45" i="34"/>
  <c r="MJ143" i="34"/>
  <c r="DV160" i="34"/>
  <c r="AU95" i="34"/>
  <c r="KA146" i="34"/>
  <c r="ME66" i="34"/>
  <c r="AA88" i="34"/>
  <c r="MG153" i="34"/>
  <c r="MI129" i="34"/>
  <c r="ND69" i="34"/>
  <c r="KC144" i="34"/>
  <c r="AP71" i="33"/>
  <c r="IQ165" i="34"/>
  <c r="DY96" i="34"/>
  <c r="CI66" i="34"/>
  <c r="KL65" i="34"/>
  <c r="DW97" i="34"/>
  <c r="DX94" i="34"/>
  <c r="LW120" i="34"/>
  <c r="W183" i="34"/>
  <c r="AN91" i="34"/>
  <c r="MK126" i="34"/>
  <c r="LE136" i="34"/>
  <c r="LX136" i="34"/>
  <c r="IW76" i="34"/>
  <c r="KB70" i="34"/>
  <c r="LX129" i="34"/>
  <c r="FX138" i="34"/>
  <c r="DF122" i="34"/>
  <c r="JA62" i="34"/>
  <c r="HF116" i="34"/>
  <c r="GJ121" i="34"/>
  <c r="AO112" i="34"/>
  <c r="IZ144" i="34"/>
  <c r="NI162" i="34"/>
  <c r="BK45" i="33"/>
  <c r="GM27" i="33"/>
  <c r="FB97" i="34"/>
  <c r="AA105" i="34"/>
  <c r="MH121" i="34"/>
  <c r="NA67" i="34"/>
  <c r="PE130" i="34"/>
  <c r="CF86" i="33"/>
  <c r="DE137" i="34"/>
  <c r="NA105" i="34"/>
  <c r="DB139" i="34"/>
  <c r="KN88" i="34"/>
  <c r="NA110" i="34"/>
  <c r="PB48" i="34"/>
  <c r="AB91" i="34"/>
  <c r="JF172" i="34"/>
  <c r="KM183" i="34"/>
  <c r="MB116" i="34"/>
  <c r="U97" i="34"/>
  <c r="BZ48" i="33"/>
  <c r="JG90" i="34"/>
  <c r="GN104" i="34"/>
  <c r="NL100" i="34"/>
  <c r="LJ60" i="34"/>
  <c r="AW146" i="34"/>
  <c r="LJ151" i="34"/>
  <c r="CE46" i="34"/>
  <c r="JH151" i="34"/>
  <c r="Y154" i="34"/>
  <c r="MM93" i="34"/>
  <c r="LD94" i="34"/>
  <c r="GP108" i="34"/>
  <c r="HZ96" i="34"/>
  <c r="PG58" i="34"/>
  <c r="EF62" i="34"/>
  <c r="DC120" i="34"/>
  <c r="MF135" i="34"/>
  <c r="HE54" i="34"/>
  <c r="AM168" i="34"/>
  <c r="JE105" i="34"/>
  <c r="Y110" i="34"/>
  <c r="MM112" i="34"/>
  <c r="KO149" i="34"/>
  <c r="FR68" i="34"/>
  <c r="FV99" i="34"/>
  <c r="KB125" i="34"/>
  <c r="GI80" i="33"/>
  <c r="DZ151" i="34"/>
  <c r="CH43" i="34"/>
  <c r="IW111" i="34"/>
  <c r="JB147" i="34"/>
  <c r="JU98" i="34"/>
  <c r="IU167" i="34"/>
  <c r="Z28" i="33"/>
  <c r="NI52" i="34"/>
  <c r="DA41" i="34"/>
  <c r="CF129" i="34"/>
  <c r="HW129" i="34"/>
  <c r="FO161" i="34"/>
  <c r="IZ70" i="34"/>
  <c r="AB181" i="34"/>
  <c r="JG117" i="34"/>
  <c r="NF91" i="34"/>
  <c r="EB130" i="34"/>
  <c r="HV163" i="34"/>
  <c r="JT174" i="34"/>
  <c r="KR86" i="34"/>
  <c r="CG61" i="34"/>
  <c r="BO77" i="34"/>
  <c r="GQ151" i="34"/>
  <c r="EE65" i="34"/>
  <c r="JF113" i="34"/>
  <c r="OM117" i="34"/>
  <c r="OO95" i="34"/>
  <c r="AQ104" i="34"/>
  <c r="ML52" i="34"/>
  <c r="PK47" i="34"/>
  <c r="N8" i="34"/>
  <c r="KQ168" i="34"/>
  <c r="IR41" i="34"/>
  <c r="AM160" i="34"/>
  <c r="IE118" i="34"/>
  <c r="FU119" i="34"/>
  <c r="JY166" i="34"/>
  <c r="GD27" i="33"/>
  <c r="PF140" i="34"/>
  <c r="LJ61" i="34"/>
  <c r="NL136" i="34"/>
  <c r="DB68" i="34"/>
  <c r="JH125" i="34"/>
  <c r="BB157" i="34"/>
  <c r="GK154" i="34"/>
  <c r="HH160" i="34"/>
  <c r="OH125" i="34"/>
  <c r="CI72" i="34"/>
  <c r="ND100" i="34"/>
  <c r="FS71" i="34"/>
  <c r="DZ95" i="34"/>
  <c r="IR91" i="34"/>
  <c r="IW130" i="34"/>
  <c r="AV71" i="34"/>
  <c r="HU87" i="34"/>
  <c r="DH88" i="34"/>
  <c r="HY65" i="34"/>
  <c r="EB101" i="34"/>
  <c r="GJ139" i="34"/>
  <c r="EA85" i="34"/>
  <c r="MC92" i="34"/>
  <c r="PK146" i="34"/>
  <c r="OM95" i="34"/>
  <c r="X158" i="34"/>
  <c r="FX144" i="34"/>
  <c r="DV97" i="33"/>
  <c r="LY84" i="34"/>
  <c r="AA150" i="34"/>
  <c r="CE152" i="34"/>
  <c r="ND82" i="34"/>
  <c r="IU157" i="34"/>
  <c r="EE61" i="34"/>
  <c r="NK92" i="34"/>
  <c r="HU116" i="34"/>
  <c r="DA186" i="34"/>
  <c r="KA165" i="34"/>
  <c r="EY154" i="34"/>
  <c r="DJ117" i="34"/>
  <c r="GQ119" i="34"/>
  <c r="HU157" i="34"/>
  <c r="LK79" i="34"/>
  <c r="CG57" i="34"/>
  <c r="IY99" i="34"/>
  <c r="JH57" i="34"/>
  <c r="DH149" i="34"/>
  <c r="NC130" i="34"/>
  <c r="DA64" i="34"/>
  <c r="ID115" i="34"/>
  <c r="KF5" i="34"/>
  <c r="EX55" i="34"/>
  <c r="OH115" i="34"/>
  <c r="MO172" i="34"/>
  <c r="LB59" i="34"/>
  <c r="LB151" i="34"/>
  <c r="JW127" i="34"/>
  <c r="AA178" i="34"/>
  <c r="EE52" i="34"/>
  <c r="AU82" i="34"/>
  <c r="FV64" i="34"/>
  <c r="GK156" i="34"/>
  <c r="JH101" i="34"/>
  <c r="EF79" i="34"/>
  <c r="NH161" i="34"/>
  <c r="HN4" i="34"/>
  <c r="DW156" i="34"/>
  <c r="CK128" i="34"/>
  <c r="JH94" i="34"/>
  <c r="HE71" i="34"/>
  <c r="FU78" i="34"/>
  <c r="EM97" i="33"/>
  <c r="JD186" i="34"/>
  <c r="LH66" i="34"/>
  <c r="NI106" i="34"/>
  <c r="JT107" i="34"/>
  <c r="OK110" i="34"/>
  <c r="LA51" i="34"/>
  <c r="LE120" i="34"/>
  <c r="ID74" i="34"/>
  <c r="AU52" i="34"/>
  <c r="OI143" i="34"/>
  <c r="NC70" i="34"/>
  <c r="JX106" i="34"/>
  <c r="MA78" i="34"/>
  <c r="PH167" i="34"/>
  <c r="NJ175" i="34"/>
  <c r="HE178" i="34"/>
  <c r="FB117" i="34"/>
  <c r="JX101" i="34"/>
  <c r="DY121" i="34"/>
  <c r="Z74" i="34"/>
  <c r="IC168" i="34"/>
  <c r="HX97" i="34"/>
  <c r="AG14" i="34"/>
  <c r="N76" i="33"/>
  <c r="CE153" i="34"/>
  <c r="CE163" i="34"/>
  <c r="MF156" i="34"/>
  <c r="EA149" i="34"/>
  <c r="LX102" i="34"/>
  <c r="DB94" i="34"/>
  <c r="GQ85" i="34"/>
  <c r="AY51" i="34"/>
  <c r="JZ55" i="34"/>
  <c r="NE84" i="34"/>
  <c r="KA109" i="34"/>
  <c r="FA85" i="34"/>
  <c r="FV145" i="34"/>
  <c r="LH74" i="34"/>
  <c r="FQ137" i="34"/>
  <c r="AX83" i="34"/>
  <c r="FP157" i="34"/>
  <c r="MH169" i="34"/>
  <c r="PW46" i="34"/>
  <c r="JA120" i="34"/>
  <c r="KL165" i="34"/>
  <c r="DG152" i="34"/>
  <c r="CM168" i="34"/>
  <c r="EZ93" i="34"/>
  <c r="IE161" i="34"/>
  <c r="ND145" i="34"/>
  <c r="FN70" i="34"/>
  <c r="IU119" i="34"/>
  <c r="HW73" i="34"/>
  <c r="MD188" i="34"/>
  <c r="EA109" i="34"/>
  <c r="DG142" i="34"/>
  <c r="PK173" i="34"/>
  <c r="AV68" i="34"/>
  <c r="KB176" i="34"/>
  <c r="JY73" i="34"/>
  <c r="CG97" i="34"/>
  <c r="AD175" i="34"/>
  <c r="LI158" i="34"/>
  <c r="U125" i="34"/>
  <c r="MM45" i="34"/>
  <c r="OO170" i="34"/>
  <c r="DD130" i="34"/>
  <c r="JX171" i="34"/>
  <c r="EE76" i="34"/>
  <c r="IT88" i="34"/>
  <c r="NC77" i="34"/>
  <c r="IU75" i="34"/>
  <c r="JG187" i="34"/>
  <c r="LI84" i="34"/>
  <c r="KQ86" i="34"/>
  <c r="CR70" i="33"/>
  <c r="FR65" i="34"/>
  <c r="AT61" i="34"/>
  <c r="CG103" i="34"/>
  <c r="AR134" i="34"/>
  <c r="BB78" i="33"/>
  <c r="IW169" i="34"/>
  <c r="PZ160" i="34"/>
  <c r="X48" i="34"/>
  <c r="PC94" i="34"/>
  <c r="NF81" i="34"/>
  <c r="BK26" i="33"/>
  <c r="IY57" i="34"/>
  <c r="FP104" i="34"/>
  <c r="PG135" i="34"/>
  <c r="MG147" i="34"/>
  <c r="DG97" i="34"/>
  <c r="U150" i="34"/>
  <c r="ON170" i="34"/>
  <c r="AS142" i="34"/>
  <c r="ME85" i="34"/>
  <c r="AY92" i="34"/>
  <c r="PW62" i="34"/>
  <c r="NC43" i="34"/>
  <c r="JZ120" i="34"/>
  <c r="PG79" i="34"/>
  <c r="JT56" i="34"/>
  <c r="AB66" i="34"/>
  <c r="KO127" i="34"/>
  <c r="LB112" i="34"/>
  <c r="NL176" i="34"/>
  <c r="DD52" i="34"/>
  <c r="FU160" i="34"/>
  <c r="GJ82" i="34"/>
  <c r="FS89" i="34"/>
  <c r="PE129" i="34"/>
  <c r="JT103" i="34"/>
  <c r="FV169" i="34"/>
  <c r="GL126" i="34"/>
  <c r="JF77" i="34"/>
  <c r="GJ63" i="34"/>
  <c r="MC133" i="34"/>
  <c r="KM91" i="34"/>
  <c r="LI146" i="34"/>
  <c r="IE43" i="34"/>
  <c r="LB50" i="34"/>
  <c r="DE125" i="34"/>
  <c r="KR57" i="34"/>
  <c r="FS95" i="34"/>
  <c r="HN13" i="34"/>
  <c r="IW103" i="34"/>
  <c r="KF7" i="34"/>
  <c r="IE133" i="34"/>
  <c r="EW168" i="34"/>
  <c r="NL57" i="34"/>
  <c r="LW81" i="34"/>
  <c r="BQ138" i="34"/>
  <c r="DE66" i="34"/>
  <c r="OM84" i="34"/>
  <c r="JF61" i="34"/>
  <c r="LJ100" i="34"/>
  <c r="FS133" i="34"/>
  <c r="NN186" i="34"/>
  <c r="AN69" i="34"/>
  <c r="JZ60" i="34"/>
  <c r="OO89" i="34"/>
  <c r="MA109" i="34"/>
  <c r="PK166" i="34"/>
  <c r="LB116" i="34"/>
  <c r="JY88" i="34"/>
  <c r="LE129" i="34"/>
  <c r="L77" i="33"/>
  <c r="BJ88" i="28"/>
  <c r="NK129" i="34"/>
  <c r="MK55" i="34"/>
  <c r="KQ99" i="34"/>
  <c r="HC105" i="34"/>
  <c r="EY129" i="34"/>
  <c r="FQ85" i="34"/>
  <c r="EW72" i="34"/>
  <c r="PJ145" i="34"/>
  <c r="BN172" i="34"/>
  <c r="EJ175" i="34"/>
  <c r="HH115" i="34"/>
  <c r="CZ35" i="33"/>
  <c r="W120" i="34"/>
  <c r="EZ56" i="34"/>
  <c r="DV49" i="34"/>
  <c r="LG121" i="34"/>
  <c r="KL146" i="34"/>
  <c r="MM152" i="34"/>
  <c r="AW138" i="34"/>
  <c r="CN79" i="34"/>
  <c r="EH158" i="34"/>
  <c r="MF152" i="34"/>
  <c r="MO124" i="34"/>
  <c r="ML76" i="34"/>
  <c r="JW136" i="34"/>
  <c r="HH148" i="34"/>
  <c r="HH112" i="34"/>
  <c r="FX126" i="34"/>
  <c r="MI47" i="34"/>
  <c r="NF104" i="34"/>
  <c r="LE174" i="34"/>
  <c r="CO160" i="34"/>
  <c r="JD102" i="34"/>
  <c r="IQ131" i="34"/>
  <c r="LE92" i="34"/>
  <c r="JT127" i="34"/>
  <c r="FU141" i="34"/>
  <c r="HH162" i="34"/>
  <c r="PJ172" i="34"/>
  <c r="JY156" i="34"/>
  <c r="MN186" i="34"/>
  <c r="HH107" i="34"/>
  <c r="HT82" i="34"/>
  <c r="JZ140" i="34"/>
  <c r="K108" i="34"/>
  <c r="IR140" i="34"/>
  <c r="FT64" i="34"/>
  <c r="EG50" i="34"/>
  <c r="NK49" i="34"/>
  <c r="KN166" i="34"/>
  <c r="MJ65" i="34"/>
  <c r="AS108" i="34"/>
  <c r="NF118" i="34"/>
  <c r="FT145" i="34"/>
  <c r="DI160" i="34"/>
  <c r="EZ52" i="34"/>
  <c r="EB81" i="34"/>
  <c r="DZ123" i="34"/>
  <c r="JT149" i="34"/>
  <c r="U154" i="34"/>
  <c r="JF53" i="34"/>
  <c r="FT164" i="34"/>
  <c r="LF104" i="34"/>
  <c r="LI173" i="34"/>
  <c r="BJ3" i="28"/>
  <c r="DA84" i="34"/>
  <c r="DT44" i="33"/>
  <c r="FT122" i="34"/>
  <c r="AB79" i="34"/>
  <c r="AD80" i="34"/>
  <c r="NO135" i="34"/>
  <c r="NB95" i="34"/>
  <c r="NI120" i="34"/>
  <c r="AC153" i="34"/>
  <c r="GK105" i="34"/>
  <c r="HE89" i="34"/>
  <c r="NG90" i="34"/>
  <c r="MB146" i="34"/>
  <c r="EC158" i="34"/>
  <c r="NE162" i="34"/>
  <c r="NK53" i="34"/>
  <c r="AP68" i="34"/>
  <c r="NL150" i="34"/>
  <c r="NI101" i="34"/>
  <c r="AW186" i="34"/>
  <c r="U115" i="34"/>
  <c r="IC160" i="34"/>
  <c r="IY171" i="34"/>
  <c r="LF57" i="34"/>
  <c r="DY145" i="34"/>
  <c r="PG176" i="34"/>
  <c r="GK127" i="34"/>
  <c r="LJ142" i="34"/>
  <c r="NF141" i="34"/>
  <c r="MB144" i="34"/>
  <c r="OM76" i="34"/>
  <c r="IE85" i="34"/>
  <c r="ND91" i="34"/>
  <c r="IR86" i="34"/>
  <c r="PC127" i="34"/>
  <c r="DY82" i="34"/>
  <c r="HF127" i="34"/>
  <c r="IW70" i="34"/>
  <c r="ED155" i="34"/>
  <c r="GN60" i="34"/>
  <c r="PB99" i="34"/>
  <c r="MJ63" i="34"/>
  <c r="GM47" i="34"/>
  <c r="CJ187" i="34"/>
  <c r="MD107" i="34"/>
  <c r="AA69" i="34"/>
  <c r="DJ95" i="34"/>
  <c r="KQ62" i="34"/>
  <c r="HE161" i="34"/>
  <c r="ID52" i="34"/>
  <c r="HZ90" i="34"/>
  <c r="BP183" i="34"/>
  <c r="FQ163" i="34"/>
  <c r="KL136" i="34"/>
  <c r="JV50" i="34"/>
  <c r="JG78" i="34"/>
  <c r="EW136" i="34"/>
  <c r="ME137" i="34"/>
  <c r="LB68" i="34"/>
  <c r="MM111" i="34"/>
  <c r="MM98" i="34"/>
  <c r="KL86" i="34"/>
  <c r="LX47" i="34"/>
  <c r="MB128" i="34"/>
  <c r="NF146" i="34"/>
  <c r="V135" i="34"/>
  <c r="PF160" i="34"/>
  <c r="FB163" i="34"/>
  <c r="IA78" i="34"/>
  <c r="FQ58" i="34"/>
  <c r="FR58" i="34"/>
  <c r="NH66" i="34"/>
  <c r="HF138" i="34"/>
  <c r="IQ94" i="34"/>
  <c r="JV134" i="34"/>
  <c r="DZ62" i="34"/>
  <c r="FP97" i="33"/>
  <c r="W153" i="34"/>
  <c r="GN107" i="34"/>
  <c r="FU98" i="34"/>
  <c r="KL183" i="34"/>
  <c r="IZ94" i="34"/>
  <c r="OJ121" i="34"/>
  <c r="HG104" i="34"/>
  <c r="OJ132" i="34"/>
  <c r="X188" i="34"/>
  <c r="HE77" i="34"/>
  <c r="JF169" i="34"/>
  <c r="NB156" i="34"/>
  <c r="EF67" i="34"/>
  <c r="LJ75" i="34"/>
  <c r="CL143" i="34"/>
  <c r="NJ57" i="34"/>
  <c r="DY149" i="34"/>
  <c r="EI55" i="34"/>
  <c r="DV59" i="34"/>
  <c r="GJ42" i="34"/>
  <c r="ID44" i="34"/>
  <c r="DZ147" i="34"/>
  <c r="LJ144" i="34"/>
  <c r="NG118" i="34"/>
  <c r="ED139" i="34"/>
  <c r="JF130" i="34"/>
  <c r="GO171" i="34"/>
  <c r="JG97" i="34"/>
  <c r="MI92" i="34"/>
  <c r="LE65" i="34"/>
  <c r="EK122" i="34"/>
  <c r="JF165" i="34"/>
  <c r="DH135" i="34"/>
  <c r="JH136" i="34"/>
  <c r="W176" i="34"/>
  <c r="U58" i="34"/>
  <c r="DJ167" i="34"/>
  <c r="GP94" i="34"/>
  <c r="JV52" i="34"/>
  <c r="AP104" i="34"/>
  <c r="OH57" i="34"/>
  <c r="LI178" i="34"/>
  <c r="KO171" i="34"/>
  <c r="MG120" i="34"/>
  <c r="NH52" i="34"/>
  <c r="JF140" i="34"/>
  <c r="ON142" i="34"/>
  <c r="EA76" i="34"/>
  <c r="IY93" i="34"/>
  <c r="JC129" i="34"/>
  <c r="NM61" i="34"/>
  <c r="LJ86" i="34"/>
  <c r="CI127" i="34"/>
  <c r="NA99" i="34"/>
  <c r="MG53" i="34"/>
  <c r="U172" i="34"/>
  <c r="ON157" i="34"/>
  <c r="NH119" i="34"/>
  <c r="NB121" i="34"/>
  <c r="BQ97" i="33"/>
  <c r="KN165" i="34"/>
  <c r="IR47" i="34"/>
  <c r="IE154" i="34"/>
  <c r="IE144" i="34"/>
  <c r="NE142" i="34"/>
  <c r="FA98" i="34"/>
  <c r="HD48" i="34"/>
  <c r="AX113" i="34"/>
  <c r="JC67" i="34"/>
  <c r="HH169" i="34"/>
  <c r="ID117" i="34"/>
  <c r="CN109" i="34"/>
  <c r="FV121" i="34"/>
  <c r="FQ132" i="34"/>
  <c r="AR149" i="34"/>
  <c r="PB79" i="34"/>
  <c r="HT61" i="34"/>
  <c r="IS41" i="34"/>
  <c r="JY62" i="34"/>
  <c r="JW158" i="34"/>
  <c r="JX160" i="34"/>
  <c r="DH89" i="34"/>
  <c r="NN109" i="34"/>
  <c r="KB98" i="34"/>
  <c r="DX124" i="34"/>
  <c r="CN122" i="34"/>
  <c r="MF81" i="34"/>
  <c r="LW52" i="34"/>
  <c r="HF167" i="34"/>
  <c r="HY74" i="34"/>
  <c r="JT105" i="34"/>
  <c r="GO106" i="34"/>
  <c r="JA135" i="34"/>
  <c r="K100" i="34"/>
  <c r="LZ91" i="34"/>
  <c r="DZ138" i="34"/>
  <c r="FT171" i="34"/>
  <c r="EY81" i="34"/>
  <c r="AW113" i="34"/>
  <c r="CM130" i="34"/>
  <c r="PX123" i="34"/>
  <c r="NL183" i="34"/>
  <c r="EB88" i="34"/>
  <c r="Z115" i="34"/>
  <c r="GE43" i="33"/>
  <c r="DK84" i="33"/>
  <c r="BS25" i="33"/>
  <c r="PJ160" i="34"/>
  <c r="IW62" i="34"/>
  <c r="JG172" i="34"/>
  <c r="NH58" i="34"/>
  <c r="OH64" i="34"/>
  <c r="GK62" i="34"/>
  <c r="AS168" i="34"/>
  <c r="DH117" i="34"/>
  <c r="GK140" i="34"/>
  <c r="HD88" i="34"/>
  <c r="AN159" i="34"/>
  <c r="PF107" i="34"/>
  <c r="HC80" i="34"/>
  <c r="FA186" i="34"/>
  <c r="DW54" i="34"/>
  <c r="KA106" i="34"/>
  <c r="EZ147" i="34"/>
  <c r="FU168" i="34"/>
  <c r="AA47" i="34"/>
  <c r="GM55" i="34"/>
  <c r="CG53" i="34"/>
  <c r="DJ118" i="34"/>
  <c r="MG151" i="34"/>
  <c r="MF43" i="34"/>
  <c r="IB101" i="34"/>
  <c r="EG74" i="34"/>
  <c r="LX63" i="34"/>
  <c r="JA88" i="34"/>
  <c r="KP153" i="34"/>
  <c r="AN134" i="34"/>
  <c r="MO78" i="34"/>
  <c r="PF96" i="34"/>
  <c r="JH122" i="34"/>
  <c r="LB152" i="34"/>
  <c r="MC165" i="34"/>
  <c r="CL80" i="34"/>
  <c r="EW60" i="34"/>
  <c r="FR95" i="34"/>
  <c r="MG172" i="34"/>
  <c r="EA166" i="34"/>
  <c r="KO55" i="34"/>
  <c r="HF41" i="34"/>
  <c r="CM77" i="34"/>
  <c r="LD46" i="34"/>
  <c r="CO163" i="34"/>
  <c r="KL162" i="34"/>
  <c r="KQ65" i="34"/>
  <c r="PC74" i="34"/>
  <c r="EH129" i="34"/>
  <c r="HU104" i="34"/>
  <c r="ED92" i="34"/>
  <c r="J127" i="34"/>
  <c r="LJ172" i="34"/>
  <c r="GQ156" i="34"/>
  <c r="PJ169" i="34"/>
  <c r="EG64" i="34"/>
  <c r="LJ149" i="34"/>
  <c r="AD134" i="34"/>
  <c r="MH105" i="34"/>
  <c r="ON44" i="34"/>
  <c r="NG91" i="34"/>
  <c r="ME176" i="34"/>
  <c r="JE146" i="34"/>
  <c r="MG165" i="34"/>
  <c r="FR127" i="34"/>
  <c r="MB149" i="34"/>
  <c r="EY63" i="34"/>
  <c r="MA60" i="34"/>
  <c r="CO109" i="34"/>
  <c r="DD93" i="34"/>
  <c r="PW99" i="34"/>
  <c r="EW62" i="34"/>
  <c r="CO53" i="34"/>
  <c r="HD158" i="34"/>
  <c r="CH60" i="34"/>
  <c r="MD110" i="34"/>
  <c r="JG98" i="34"/>
  <c r="KB172" i="34"/>
  <c r="JC126" i="34"/>
  <c r="GK83" i="34"/>
  <c r="PF137" i="34"/>
  <c r="CE157" i="34"/>
  <c r="OJ135" i="34"/>
  <c r="JD161" i="34"/>
  <c r="CI50" i="34"/>
  <c r="FR79" i="34"/>
  <c r="LW53" i="34"/>
  <c r="ID170" i="34"/>
  <c r="CM122" i="34"/>
  <c r="BO81" i="34"/>
  <c r="AB186" i="34"/>
  <c r="JY171" i="34"/>
  <c r="BB176" i="34"/>
  <c r="EG176" i="34"/>
  <c r="EG109" i="34"/>
  <c r="EE100" i="34"/>
  <c r="PH168" i="34"/>
  <c r="JC106" i="34"/>
  <c r="AW47" i="34"/>
  <c r="V66" i="34"/>
  <c r="GJ147" i="34"/>
  <c r="EW45" i="34"/>
  <c r="U108" i="34"/>
  <c r="V89" i="34"/>
  <c r="Y140" i="34"/>
  <c r="CI116" i="34"/>
  <c r="EH99" i="34"/>
  <c r="OI97" i="34"/>
  <c r="EY143" i="34"/>
  <c r="FB151" i="34"/>
  <c r="HC85" i="34"/>
  <c r="MI41" i="34"/>
  <c r="NL140" i="34"/>
  <c r="HU56" i="34"/>
  <c r="ME142" i="34"/>
  <c r="HX183" i="34"/>
  <c r="KM128" i="34"/>
  <c r="LG138" i="34"/>
  <c r="KC163" i="34"/>
  <c r="KQ116" i="34"/>
  <c r="JE82" i="34"/>
  <c r="BQ55" i="34"/>
  <c r="CL70" i="34"/>
  <c r="LB132" i="34"/>
  <c r="T71" i="34"/>
  <c r="HW43" i="34"/>
  <c r="HW86" i="34"/>
  <c r="NL115" i="34"/>
  <c r="EK55" i="34"/>
  <c r="IE56" i="34"/>
  <c r="CD91" i="34"/>
  <c r="CL46" i="34"/>
  <c r="HV125" i="34"/>
  <c r="FP118" i="34"/>
  <c r="NK89" i="34"/>
  <c r="OL160" i="34"/>
  <c r="BO158" i="34"/>
  <c r="KB120" i="34"/>
  <c r="GP102" i="34"/>
  <c r="EX70" i="34"/>
  <c r="OI176" i="34"/>
  <c r="LH186" i="34"/>
  <c r="JW79" i="34"/>
  <c r="BZ77" i="33"/>
  <c r="FR88" i="34"/>
  <c r="JE143" i="34"/>
  <c r="CM178" i="34"/>
  <c r="MN63" i="34"/>
  <c r="FR174" i="34"/>
  <c r="IB84" i="34"/>
  <c r="EC175" i="34"/>
  <c r="PG41" i="34"/>
  <c r="AQ105" i="34"/>
  <c r="PW118" i="34"/>
  <c r="KQ146" i="34"/>
  <c r="NN178" i="34"/>
  <c r="OH151" i="34"/>
  <c r="ME178" i="34"/>
  <c r="LB75" i="34"/>
  <c r="HT146" i="34"/>
  <c r="CD104" i="34"/>
  <c r="U181" i="34"/>
  <c r="T74" i="34"/>
  <c r="ML146" i="34"/>
  <c r="LE84" i="34"/>
  <c r="PC63" i="34"/>
  <c r="DH110" i="34"/>
  <c r="KP168" i="34"/>
  <c r="IE102" i="34"/>
  <c r="AB137" i="34"/>
  <c r="EW90" i="33"/>
  <c r="GN129" i="34"/>
  <c r="BO168" i="34"/>
  <c r="CM65" i="34"/>
  <c r="ON61" i="34"/>
  <c r="MC103" i="34"/>
  <c r="MA102" i="34"/>
  <c r="GN166" i="34"/>
  <c r="NP160" i="34"/>
  <c r="AR138" i="34"/>
  <c r="JA66" i="34"/>
  <c r="DF52" i="34"/>
  <c r="FT109" i="34"/>
  <c r="NP47" i="34"/>
  <c r="LC44" i="34"/>
  <c r="MC107" i="34"/>
  <c r="W156" i="34"/>
  <c r="FA127" i="34"/>
  <c r="CN52" i="34"/>
  <c r="IZ132" i="34"/>
  <c r="DZ156" i="34"/>
  <c r="EI142" i="34"/>
  <c r="NG169" i="34"/>
  <c r="PZ165" i="34"/>
  <c r="LH92" i="34"/>
  <c r="AO75" i="34"/>
  <c r="IQ152" i="34"/>
  <c r="OJ145" i="34"/>
  <c r="BN85" i="34"/>
  <c r="NN164" i="34"/>
  <c r="AT108" i="34"/>
  <c r="AZ46" i="33"/>
  <c r="PE166" i="34"/>
  <c r="JY174" i="34"/>
  <c r="AP77" i="34"/>
  <c r="IT134" i="34"/>
  <c r="JH149" i="34"/>
  <c r="FA139" i="34"/>
  <c r="LF52" i="34"/>
  <c r="AX54" i="34"/>
  <c r="PH181" i="34"/>
  <c r="B114" i="28"/>
  <c r="NN85" i="34"/>
  <c r="DY162" i="34"/>
  <c r="JY77" i="34"/>
  <c r="HG172" i="34"/>
  <c r="MJ75" i="34"/>
  <c r="HC133" i="34"/>
  <c r="U70" i="34"/>
  <c r="JC91" i="34"/>
  <c r="NP147" i="34"/>
  <c r="LJ126" i="34"/>
  <c r="NB47" i="34"/>
  <c r="ID97" i="34"/>
  <c r="GK178" i="34"/>
  <c r="V120" i="34"/>
  <c r="AN131" i="34"/>
  <c r="AA157" i="34"/>
  <c r="LZ84" i="34"/>
  <c r="NK157" i="34"/>
  <c r="GK65" i="34"/>
  <c r="NM136" i="34"/>
  <c r="LJ174" i="34"/>
  <c r="MA163" i="34"/>
  <c r="MD155" i="34"/>
  <c r="OI130" i="34"/>
  <c r="CL87" i="34"/>
  <c r="JY51" i="34"/>
  <c r="HT172" i="34"/>
  <c r="GO93" i="34"/>
  <c r="MM127" i="34"/>
  <c r="DH121" i="34"/>
  <c r="KF6" i="34"/>
  <c r="KA168" i="34"/>
  <c r="OK96" i="34"/>
  <c r="MH50" i="34"/>
  <c r="EG106" i="34"/>
  <c r="JT153" i="34"/>
  <c r="CD156" i="34"/>
  <c r="MA73" i="34"/>
  <c r="KA56" i="34"/>
  <c r="LD129" i="34"/>
  <c r="U31" i="33"/>
  <c r="BO134" i="34"/>
  <c r="FO71" i="34"/>
  <c r="FR150" i="34"/>
  <c r="HN5" i="34"/>
  <c r="BM67" i="33"/>
  <c r="IT159" i="34"/>
  <c r="LD102" i="34"/>
  <c r="BI31" i="33"/>
  <c r="AT67" i="34"/>
  <c r="LB81" i="34"/>
  <c r="FX123" i="34"/>
  <c r="AD181" i="34"/>
  <c r="DD155" i="34"/>
  <c r="GK166" i="34"/>
  <c r="NG44" i="34"/>
  <c r="EH104" i="34"/>
  <c r="JB110" i="34"/>
  <c r="LA109" i="34"/>
  <c r="IE146" i="34"/>
  <c r="GO43" i="34"/>
  <c r="CN98" i="34"/>
  <c r="KB159" i="34"/>
  <c r="Y64" i="34"/>
  <c r="LG51" i="34"/>
  <c r="AY80" i="34"/>
  <c r="JT173" i="34"/>
  <c r="MO71" i="34"/>
  <c r="GO159" i="34"/>
  <c r="ID56" i="34"/>
  <c r="IW127" i="34"/>
  <c r="LC109" i="34"/>
  <c r="FA118" i="34"/>
  <c r="GL140" i="34"/>
  <c r="LB138" i="34"/>
  <c r="DG69" i="34"/>
  <c r="HT160" i="34"/>
  <c r="DD143" i="34"/>
  <c r="EJ44" i="34"/>
  <c r="MM137" i="34"/>
  <c r="NN161" i="34"/>
  <c r="KM82" i="34"/>
  <c r="EA123" i="34"/>
  <c r="KA142" i="34"/>
  <c r="IZ64" i="34"/>
  <c r="CJ173" i="34"/>
  <c r="DJ164" i="34"/>
  <c r="NF47" i="34"/>
  <c r="AC84" i="33"/>
  <c r="PE52" i="34"/>
  <c r="NA84" i="34"/>
  <c r="AT58" i="34"/>
  <c r="LY137" i="34"/>
  <c r="LA149" i="34"/>
  <c r="U83" i="34"/>
  <c r="EE60" i="34"/>
  <c r="W178" i="34"/>
  <c r="CH158" i="34"/>
  <c r="OI106" i="34"/>
  <c r="JF47" i="34"/>
  <c r="DH57" i="34"/>
  <c r="MD145" i="34"/>
  <c r="PI186" i="34"/>
  <c r="CO70" i="34"/>
  <c r="JY126" i="34"/>
  <c r="NG56" i="34"/>
  <c r="S117" i="23"/>
  <c r="MB178" i="34"/>
  <c r="CG188" i="34"/>
  <c r="NA176" i="34"/>
  <c r="OM69" i="34"/>
  <c r="LB56" i="34"/>
  <c r="GM123" i="34"/>
  <c r="S56" i="33"/>
  <c r="HH66" i="34"/>
  <c r="HW70" i="34"/>
  <c r="CH175" i="34"/>
  <c r="HW47" i="34"/>
  <c r="CM172" i="34"/>
  <c r="BG50" i="33"/>
  <c r="T62" i="34"/>
  <c r="KC104" i="34"/>
  <c r="MF118" i="34"/>
  <c r="MG60" i="34"/>
  <c r="JF50" i="34"/>
  <c r="EA42" i="34"/>
  <c r="HW106" i="34"/>
  <c r="HV155" i="34"/>
  <c r="JH132" i="34"/>
  <c r="CJ128" i="34"/>
  <c r="BN66" i="34"/>
  <c r="KO139" i="34"/>
  <c r="EA30" i="33"/>
  <c r="NH151" i="34"/>
  <c r="NF77" i="34"/>
  <c r="FB176" i="34"/>
  <c r="AV166" i="34"/>
  <c r="PA74" i="34"/>
  <c r="MD120" i="34"/>
  <c r="CL117" i="34"/>
  <c r="AN26" i="33"/>
  <c r="IV92" i="34"/>
  <c r="IS86" i="34"/>
  <c r="KR160" i="34"/>
  <c r="S191" i="23"/>
  <c r="MC159" i="34"/>
  <c r="NH42" i="34"/>
  <c r="AY113" i="34"/>
  <c r="HF173" i="34"/>
  <c r="IW78" i="34"/>
  <c r="EW75" i="34"/>
  <c r="JC87" i="34"/>
  <c r="BN148" i="34"/>
  <c r="HT53" i="34"/>
  <c r="LF171" i="34"/>
  <c r="EK165" i="34"/>
  <c r="FB112" i="34"/>
  <c r="FV80" i="34"/>
  <c r="PI101" i="34"/>
  <c r="LC168" i="34"/>
  <c r="EG72" i="34"/>
  <c r="KB81" i="34"/>
  <c r="CN171" i="34"/>
  <c r="AC157" i="34"/>
  <c r="NP137" i="34"/>
  <c r="JY42" i="34"/>
  <c r="LZ94" i="34"/>
  <c r="DA171" i="34"/>
  <c r="FU131" i="34"/>
  <c r="NH65" i="34"/>
  <c r="NA50" i="34"/>
  <c r="CJ159" i="34"/>
  <c r="FA82" i="34"/>
  <c r="FT57" i="34"/>
  <c r="BO183" i="34"/>
  <c r="FN9" i="33"/>
  <c r="KC99" i="34"/>
  <c r="DY93" i="34"/>
  <c r="CF54" i="34"/>
  <c r="AW91" i="34"/>
  <c r="W110" i="34"/>
  <c r="HY158" i="34"/>
  <c r="FR152" i="34"/>
  <c r="S72" i="23"/>
  <c r="MA187" i="34"/>
  <c r="EZ140" i="34"/>
  <c r="GM85" i="34"/>
  <c r="HD134" i="34"/>
  <c r="BQ91" i="34"/>
  <c r="AM58" i="34"/>
  <c r="BP73" i="34"/>
  <c r="NA120" i="34"/>
  <c r="LC149" i="34"/>
  <c r="KC155" i="34"/>
  <c r="BP160" i="34"/>
  <c r="Z48" i="34"/>
  <c r="KB65" i="34"/>
  <c r="EZ118" i="34"/>
  <c r="KO106" i="34"/>
  <c r="AX147" i="34"/>
  <c r="T66" i="34"/>
  <c r="CU61" i="33"/>
  <c r="KC41" i="34"/>
  <c r="JD94" i="34"/>
  <c r="IT156" i="34"/>
  <c r="AU77" i="34"/>
  <c r="LK65" i="34"/>
  <c r="DE85" i="33"/>
  <c r="CQ35" i="33"/>
  <c r="NB61" i="34"/>
  <c r="LK87" i="34"/>
  <c r="HC63" i="34"/>
  <c r="AY117" i="34"/>
  <c r="AP99" i="34"/>
  <c r="JU145" i="34"/>
  <c r="CI100" i="34"/>
  <c r="GK91" i="34"/>
  <c r="MC69" i="34"/>
  <c r="NJ75" i="34"/>
  <c r="GQ173" i="34"/>
  <c r="HE45" i="34"/>
  <c r="HF93" i="34"/>
  <c r="NF80" i="34"/>
  <c r="ND109" i="34"/>
  <c r="LY49" i="34"/>
  <c r="DX30" i="33"/>
  <c r="IQ91" i="34"/>
  <c r="EB57" i="34"/>
  <c r="NL71" i="34"/>
  <c r="KQ76" i="34"/>
  <c r="DK68" i="33"/>
  <c r="HG87" i="34"/>
  <c r="FA150" i="34"/>
  <c r="MG109" i="34"/>
  <c r="AO97" i="34"/>
  <c r="MO163" i="34"/>
  <c r="FT152" i="34"/>
  <c r="ME127" i="34"/>
  <c r="ML129" i="34"/>
  <c r="LZ130" i="34"/>
  <c r="HG86" i="34"/>
  <c r="HD176" i="34"/>
  <c r="FR181" i="34"/>
  <c r="FR169" i="34"/>
  <c r="HT135" i="34"/>
  <c r="PX186" i="34"/>
  <c r="ML143" i="34"/>
  <c r="HH167" i="34"/>
  <c r="KB63" i="34"/>
  <c r="DB84" i="34"/>
  <c r="NN53" i="34"/>
  <c r="NA186" i="34"/>
  <c r="V127" i="34"/>
  <c r="OH62" i="34"/>
  <c r="EE144" i="34"/>
  <c r="BA87" i="34"/>
  <c r="EH79" i="34"/>
  <c r="PG141" i="34"/>
  <c r="CM143" i="34"/>
  <c r="NF76" i="34"/>
  <c r="LZ86" i="34"/>
  <c r="LI63" i="34"/>
  <c r="KB54" i="34"/>
  <c r="NL101" i="34"/>
  <c r="LC188" i="34"/>
  <c r="PF88" i="34"/>
  <c r="MF70" i="34"/>
  <c r="NH72" i="34"/>
  <c r="GK148" i="34"/>
  <c r="NJ44" i="34"/>
  <c r="BN71" i="34"/>
  <c r="CM47" i="34"/>
  <c r="OM176" i="34"/>
  <c r="JU167" i="34"/>
  <c r="DF66" i="34"/>
  <c r="MM145" i="34"/>
  <c r="GO152" i="34"/>
  <c r="AV130" i="34"/>
  <c r="GP123" i="34"/>
  <c r="HD104" i="34"/>
  <c r="DF112" i="34"/>
  <c r="HE96" i="34"/>
  <c r="NC166" i="34"/>
  <c r="NO86" i="34"/>
  <c r="X107" i="34"/>
  <c r="PK80" i="34"/>
  <c r="ME129" i="34"/>
  <c r="CD55" i="34"/>
  <c r="FV157" i="34"/>
  <c r="PK156" i="34"/>
  <c r="IW146" i="34"/>
  <c r="HC167" i="34"/>
  <c r="AO62" i="34"/>
  <c r="HE183" i="34"/>
  <c r="JG107" i="34"/>
  <c r="OI152" i="34"/>
  <c r="AN43" i="34"/>
  <c r="FO98" i="34"/>
  <c r="T116" i="34"/>
  <c r="AM62" i="33"/>
  <c r="NM186" i="34"/>
  <c r="NP136" i="34"/>
  <c r="EB176" i="34"/>
  <c r="MI91" i="34"/>
  <c r="DB73" i="34"/>
  <c r="HY100" i="34"/>
  <c r="JH92" i="34"/>
  <c r="MO41" i="34"/>
  <c r="LI66" i="34"/>
  <c r="CI60" i="34"/>
  <c r="DG143" i="34"/>
  <c r="DG170" i="34"/>
  <c r="CN57" i="34"/>
  <c r="JG124" i="34"/>
  <c r="NI44" i="34"/>
  <c r="JT80" i="34"/>
  <c r="HF176" i="34"/>
  <c r="CO47" i="34"/>
  <c r="MM120" i="34"/>
  <c r="FX80" i="34"/>
  <c r="JB136" i="34"/>
  <c r="GO62" i="34"/>
  <c r="FI76" i="33"/>
  <c r="PX140" i="34"/>
  <c r="EX57" i="34"/>
  <c r="K83" i="34"/>
  <c r="MN125" i="34"/>
  <c r="LG127" i="34"/>
  <c r="EZ141" i="34"/>
  <c r="FV82" i="34"/>
  <c r="EG166" i="34"/>
  <c r="OI58" i="34"/>
  <c r="CV35" i="33"/>
  <c r="IC76" i="34"/>
  <c r="NP130" i="34"/>
  <c r="FN143" i="34"/>
  <c r="JW139" i="34"/>
  <c r="DY64" i="34"/>
  <c r="CX49" i="33"/>
  <c r="NC65" i="34"/>
  <c r="AA149" i="34"/>
  <c r="L40" i="33"/>
  <c r="NO131" i="34"/>
  <c r="PK133" i="34"/>
  <c r="GL68" i="34"/>
  <c r="Y167" i="34"/>
  <c r="DG135" i="34"/>
  <c r="OO88" i="34"/>
  <c r="AW86" i="34"/>
  <c r="GM141" i="34"/>
  <c r="FP58" i="34"/>
  <c r="Z150" i="34"/>
  <c r="HT62" i="34"/>
  <c r="HC161" i="34"/>
  <c r="DV113" i="34"/>
  <c r="OO187" i="34"/>
  <c r="MF47" i="34"/>
  <c r="HY181" i="34"/>
  <c r="IC82" i="34"/>
  <c r="FV127" i="34"/>
  <c r="BB57" i="34"/>
  <c r="MM181" i="34"/>
  <c r="LJ160" i="34"/>
  <c r="K181" i="34"/>
  <c r="FU133" i="34"/>
  <c r="ML173" i="34"/>
  <c r="FX116" i="34"/>
  <c r="EG105" i="34"/>
  <c r="BN109" i="34"/>
  <c r="AY157" i="34"/>
  <c r="HU166" i="34"/>
  <c r="FX70" i="34"/>
  <c r="LX106" i="34"/>
  <c r="HG84" i="34"/>
  <c r="DZ143" i="34"/>
  <c r="DI186" i="34"/>
  <c r="EZ96" i="34"/>
  <c r="NI67" i="34"/>
  <c r="AT80" i="34"/>
  <c r="LE64" i="34"/>
  <c r="DG62" i="34"/>
  <c r="AM165" i="34"/>
  <c r="MI103" i="34"/>
  <c r="NC111" i="34"/>
  <c r="JZ171" i="34"/>
  <c r="BN127" i="34"/>
  <c r="JH140" i="34"/>
  <c r="NN91" i="34"/>
  <c r="NC84" i="34"/>
  <c r="JD145" i="34"/>
  <c r="OO61" i="34"/>
  <c r="CL127" i="34"/>
  <c r="HF84" i="34"/>
  <c r="NC64" i="34"/>
  <c r="MK142" i="34"/>
  <c r="NL94" i="34"/>
  <c r="T117" i="34"/>
  <c r="HX64" i="34"/>
  <c r="HY64" i="34"/>
  <c r="FU60" i="33"/>
  <c r="EF123" i="34"/>
  <c r="W143" i="34"/>
  <c r="CN129" i="34"/>
  <c r="JT91" i="34"/>
  <c r="NC109" i="34"/>
  <c r="GN135" i="34"/>
  <c r="ED132" i="34"/>
  <c r="EH134" i="34"/>
  <c r="AQ142" i="34"/>
  <c r="JV157" i="34"/>
  <c r="LE159" i="34"/>
  <c r="AQ45" i="34"/>
  <c r="LZ55" i="34"/>
  <c r="EC65" i="34"/>
  <c r="HD160" i="34"/>
  <c r="GE77" i="33"/>
  <c r="KO53" i="34"/>
  <c r="MF161" i="34"/>
  <c r="JT129" i="34"/>
  <c r="FO142" i="34"/>
  <c r="GQ100" i="34"/>
  <c r="PK143" i="34"/>
  <c r="NJ91" i="34"/>
  <c r="FS155" i="34"/>
  <c r="HF168" i="34"/>
  <c r="MN47" i="34"/>
  <c r="LF140" i="34"/>
  <c r="AA99" i="34"/>
  <c r="CD96" i="33"/>
  <c r="FX65" i="34"/>
  <c r="JH76" i="34"/>
  <c r="BR117" i="34"/>
  <c r="FB124" i="34"/>
  <c r="DE73" i="34"/>
  <c r="AB55" i="34"/>
  <c r="IT96" i="34"/>
  <c r="IU159" i="34"/>
  <c r="CK104" i="34"/>
  <c r="JC64" i="34"/>
  <c r="DZ92" i="34"/>
  <c r="PF133" i="34"/>
  <c r="HF62" i="34"/>
  <c r="DW66" i="34"/>
  <c r="EZ142" i="34"/>
  <c r="HD94" i="34"/>
  <c r="GK70" i="34"/>
  <c r="HD171" i="34"/>
  <c r="AQ131" i="34"/>
  <c r="GN143" i="34"/>
  <c r="KQ111" i="34"/>
  <c r="EK70" i="34"/>
  <c r="MN122" i="34"/>
  <c r="KR139" i="34"/>
  <c r="Z20" i="33"/>
  <c r="KM70" i="34"/>
  <c r="V142" i="34"/>
  <c r="BR43" i="34"/>
  <c r="W115" i="34"/>
  <c r="FB115" i="34"/>
  <c r="CE151" i="34"/>
  <c r="LF51" i="34"/>
  <c r="FU71" i="34"/>
  <c r="IR56" i="34"/>
  <c r="GK78" i="34"/>
  <c r="IC63" i="34"/>
  <c r="BQ48" i="34"/>
  <c r="CL88" i="34"/>
  <c r="JF183" i="34"/>
  <c r="FU170" i="34"/>
  <c r="HZ55" i="34"/>
  <c r="JY87" i="34"/>
  <c r="IW87" i="34"/>
  <c r="V51" i="34"/>
  <c r="CG81" i="34"/>
  <c r="HU132" i="34"/>
  <c r="GL100" i="34"/>
  <c r="IZ100" i="34"/>
  <c r="MB159" i="34"/>
  <c r="JE83" i="34"/>
  <c r="NN163" i="34"/>
  <c r="PX76" i="34"/>
  <c r="LW146" i="34"/>
  <c r="BZ25" i="33"/>
  <c r="HG41" i="34"/>
  <c r="FJ92" i="33"/>
  <c r="LH58" i="34"/>
  <c r="ON129" i="34"/>
  <c r="JV149" i="34"/>
  <c r="CH138" i="34"/>
  <c r="IS152" i="34"/>
  <c r="EA64" i="34"/>
  <c r="IY144" i="34"/>
  <c r="GL150" i="34"/>
  <c r="EI144" i="34"/>
  <c r="OK49" i="34"/>
  <c r="AU159" i="34"/>
  <c r="OJ87" i="34"/>
  <c r="EY170" i="34"/>
  <c r="GN186" i="34"/>
  <c r="GM38" i="33"/>
  <c r="MD167" i="34"/>
  <c r="AT121" i="34"/>
  <c r="JN4" i="34"/>
  <c r="F67" i="17"/>
  <c r="KC164" i="34"/>
  <c r="GK159" i="34"/>
  <c r="LH115" i="34"/>
  <c r="NL121" i="34"/>
  <c r="MA143" i="34"/>
  <c r="MN181" i="34"/>
  <c r="IS120" i="34"/>
  <c r="AY158" i="34"/>
  <c r="AX99" i="34"/>
  <c r="X140" i="34"/>
  <c r="NI74" i="34"/>
  <c r="IB112" i="34"/>
  <c r="LJ168" i="34"/>
  <c r="ML175" i="34"/>
  <c r="NI145" i="34"/>
  <c r="IT186" i="34"/>
  <c r="JV93" i="34"/>
  <c r="LH83" i="34"/>
  <c r="EC131" i="34"/>
  <c r="HY174" i="34"/>
  <c r="MA95" i="34"/>
  <c r="DB169" i="34"/>
  <c r="JB105" i="34"/>
  <c r="BB79" i="34"/>
  <c r="JT94" i="34"/>
  <c r="CL178" i="34"/>
  <c r="BO115" i="34"/>
  <c r="DA55" i="34"/>
  <c r="EJ127" i="34"/>
  <c r="CM92" i="34"/>
  <c r="CG64" i="34"/>
  <c r="CJ62" i="34"/>
  <c r="HY156" i="34"/>
  <c r="JX61" i="34"/>
  <c r="AV165" i="34"/>
  <c r="NI50" i="34"/>
  <c r="DA70" i="34"/>
  <c r="EZ158" i="34"/>
  <c r="Z69" i="33"/>
  <c r="MM91" i="34"/>
  <c r="FR51" i="34"/>
  <c r="JV75" i="34"/>
  <c r="BA42" i="34"/>
  <c r="MN120" i="34"/>
  <c r="ME54" i="34"/>
  <c r="PA130" i="34"/>
  <c r="IU163" i="34"/>
  <c r="GM148" i="34"/>
  <c r="FV128" i="34"/>
  <c r="FP53" i="34"/>
  <c r="PH52" i="34"/>
  <c r="GJ157" i="34"/>
  <c r="NF160" i="34"/>
  <c r="LB129" i="34"/>
  <c r="CK69" i="34"/>
  <c r="GM152" i="34"/>
  <c r="AT144" i="34"/>
  <c r="LC48" i="34"/>
  <c r="LF74" i="34"/>
  <c r="JB160" i="34"/>
  <c r="BA110" i="34"/>
  <c r="MJ53" i="34"/>
  <c r="NH127" i="34"/>
  <c r="OM137" i="34"/>
  <c r="HY157" i="34"/>
  <c r="CI82" i="34"/>
  <c r="IZ97" i="34"/>
  <c r="FX71" i="34"/>
  <c r="AY187" i="34"/>
  <c r="OJ63" i="34"/>
  <c r="AM135" i="34"/>
  <c r="IS63" i="34"/>
  <c r="NF116" i="34"/>
  <c r="CO158" i="34"/>
  <c r="IR139" i="34"/>
  <c r="EA126" i="34"/>
  <c r="HC99" i="34"/>
  <c r="KL83" i="34"/>
  <c r="MK71" i="34"/>
  <c r="NH118" i="34"/>
  <c r="AY102" i="34"/>
  <c r="JC146" i="34"/>
  <c r="DW111" i="34"/>
  <c r="LF92" i="34"/>
  <c r="HH86" i="34"/>
  <c r="K158" i="34"/>
  <c r="LZ135" i="34"/>
  <c r="U130" i="34"/>
  <c r="FW62" i="33"/>
  <c r="CK79" i="33"/>
  <c r="LB162" i="34"/>
  <c r="EY44" i="34"/>
  <c r="MJ165" i="34"/>
  <c r="MK156" i="34"/>
  <c r="MG131" i="34"/>
  <c r="AV53" i="34"/>
  <c r="GQ79" i="34"/>
  <c r="MF77" i="34"/>
  <c r="IR105" i="34"/>
  <c r="LY129" i="34"/>
  <c r="HF52" i="34"/>
  <c r="CN130" i="34"/>
  <c r="DW57" i="34"/>
  <c r="ON76" i="34"/>
  <c r="IW54" i="34"/>
  <c r="LD100" i="34"/>
  <c r="AO168" i="34"/>
  <c r="LC134" i="34"/>
  <c r="JU104" i="34"/>
  <c r="HG96" i="34"/>
  <c r="PZ127" i="34"/>
  <c r="AZ113" i="34"/>
  <c r="BP60" i="34"/>
  <c r="IU60" i="34"/>
  <c r="JC85" i="34"/>
  <c r="MB170" i="34"/>
  <c r="FT95" i="34"/>
  <c r="HE149" i="34"/>
  <c r="JG111" i="34"/>
  <c r="HX160" i="34"/>
  <c r="MA85" i="34"/>
  <c r="IZ169" i="34"/>
  <c r="MO110" i="34"/>
  <c r="CW47" i="33"/>
  <c r="IW159" i="34"/>
  <c r="T142" i="34"/>
  <c r="BB137" i="34"/>
  <c r="AB68" i="34"/>
  <c r="OK159" i="34"/>
  <c r="MF56" i="34"/>
  <c r="JX142" i="34"/>
  <c r="IT165" i="34"/>
  <c r="HT139" i="34"/>
  <c r="HX42" i="34"/>
  <c r="AW129" i="34"/>
  <c r="AN53" i="34"/>
  <c r="HC170" i="34"/>
  <c r="IC85" i="34"/>
  <c r="JF178" i="34"/>
  <c r="DX65" i="34"/>
  <c r="NG92" i="34"/>
  <c r="JG82" i="34"/>
  <c r="HU75" i="34"/>
  <c r="AD148" i="34"/>
  <c r="CK122" i="34"/>
  <c r="AS97" i="34"/>
  <c r="KO65" i="34"/>
  <c r="LF60" i="34"/>
  <c r="NJ55" i="34"/>
  <c r="DF105" i="34"/>
  <c r="HE72" i="34"/>
  <c r="DY119" i="34"/>
  <c r="GK97" i="33"/>
  <c r="CD149" i="34"/>
  <c r="BR84" i="34"/>
  <c r="LA50" i="34"/>
  <c r="BQ110" i="34"/>
  <c r="HZ42" i="34"/>
  <c r="JF84" i="34"/>
  <c r="HY106" i="34"/>
  <c r="GQ152" i="34"/>
  <c r="CO84" i="34"/>
  <c r="NF129" i="34"/>
  <c r="NB83" i="34"/>
  <c r="CM133" i="34"/>
  <c r="ME65" i="34"/>
  <c r="LG111" i="34"/>
  <c r="AM104" i="34"/>
  <c r="ID94" i="34"/>
  <c r="DY88" i="34"/>
  <c r="NB77" i="34"/>
  <c r="LI127" i="34"/>
  <c r="FT133" i="34"/>
  <c r="JA170" i="34"/>
  <c r="JV111" i="34"/>
  <c r="PG145" i="34"/>
  <c r="IV173" i="34"/>
  <c r="GN151" i="34"/>
  <c r="LD58" i="34"/>
  <c r="DI174" i="34"/>
  <c r="NE69" i="34"/>
  <c r="U95" i="34"/>
  <c r="GK54" i="34"/>
  <c r="U64" i="33"/>
  <c r="NO173" i="34"/>
  <c r="HX166" i="34"/>
  <c r="HX82" i="34"/>
  <c r="JC69" i="34"/>
  <c r="DX89" i="34"/>
  <c r="CJ166" i="34"/>
  <c r="W54" i="34"/>
  <c r="JW46" i="34"/>
  <c r="ME156" i="34"/>
  <c r="HD155" i="34"/>
  <c r="LH143" i="34"/>
  <c r="AY71" i="34"/>
  <c r="LG79" i="34"/>
  <c r="CL169" i="34"/>
  <c r="IY54" i="34"/>
  <c r="CA34" i="33"/>
  <c r="MJ111" i="34"/>
  <c r="GO90" i="33"/>
  <c r="AT74" i="34"/>
  <c r="KR97" i="34"/>
  <c r="GK95" i="34"/>
  <c r="BO89" i="34"/>
  <c r="GQ86" i="34"/>
  <c r="PB173" i="34"/>
  <c r="PC44" i="34"/>
  <c r="AR106" i="34"/>
  <c r="MB52" i="34"/>
  <c r="DW115" i="34"/>
  <c r="IW73" i="34"/>
  <c r="MM117" i="34"/>
  <c r="AT173" i="34"/>
  <c r="CV33" i="33"/>
  <c r="IB156" i="34"/>
  <c r="CN44" i="34"/>
  <c r="FG97" i="33"/>
  <c r="HD61" i="34"/>
  <c r="IE91" i="34"/>
  <c r="FA90" i="34"/>
  <c r="JB159" i="34"/>
  <c r="FR107" i="34"/>
  <c r="DV140" i="34"/>
  <c r="MK113" i="34"/>
  <c r="DA77" i="34"/>
  <c r="EG65" i="34"/>
  <c r="BB76" i="34"/>
  <c r="KN74" i="34"/>
  <c r="NK97" i="34"/>
  <c r="FR81" i="34"/>
  <c r="JF83" i="34"/>
  <c r="GJ148" i="34"/>
  <c r="NF165" i="34"/>
  <c r="AU49" i="34"/>
  <c r="AU85" i="34"/>
  <c r="LF143" i="34"/>
  <c r="IV159" i="34"/>
  <c r="EZ42" i="34"/>
  <c r="LE89" i="34"/>
  <c r="PI109" i="34"/>
  <c r="Y126" i="34"/>
  <c r="CD63" i="34"/>
  <c r="JW65" i="34"/>
  <c r="MD168" i="34"/>
  <c r="AW85" i="33"/>
  <c r="OL43" i="34"/>
  <c r="AM73" i="34"/>
  <c r="NF152" i="34"/>
  <c r="JC122" i="34"/>
  <c r="LH139" i="34"/>
  <c r="JE90" i="34"/>
  <c r="Y64" i="33"/>
  <c r="IT178" i="34"/>
  <c r="CN178" i="34"/>
  <c r="PX43" i="34"/>
  <c r="CL147" i="34"/>
  <c r="HT60" i="34"/>
  <c r="GJ166" i="34"/>
  <c r="JH77" i="34"/>
  <c r="PD117" i="34"/>
  <c r="LD175" i="34"/>
  <c r="AZ41" i="34"/>
  <c r="NM140" i="34"/>
  <c r="FO143" i="34"/>
  <c r="JV110" i="34"/>
  <c r="LA84" i="34"/>
  <c r="B18" i="17"/>
  <c r="HY172" i="34"/>
  <c r="NO127" i="34"/>
  <c r="OH170" i="34"/>
  <c r="PD46" i="34"/>
  <c r="KP48" i="34"/>
  <c r="AA176" i="34"/>
  <c r="EY90" i="34"/>
  <c r="ME143" i="34"/>
  <c r="K124" i="34"/>
  <c r="MA98" i="34"/>
  <c r="KA57" i="34"/>
  <c r="EK99" i="34"/>
  <c r="PW97" i="34"/>
  <c r="HZ44" i="34"/>
  <c r="AZ57" i="34"/>
  <c r="MA170" i="34"/>
  <c r="LB178" i="34"/>
  <c r="CD43" i="34"/>
  <c r="NK76" i="34"/>
  <c r="K64" i="34"/>
  <c r="LA43" i="34"/>
  <c r="NC79" i="34"/>
  <c r="AA132" i="34"/>
  <c r="GQ108" i="34"/>
  <c r="EW77" i="34"/>
  <c r="JT115" i="34"/>
  <c r="IY102" i="34"/>
  <c r="ED70" i="34"/>
  <c r="IA132" i="34"/>
  <c r="FV115" i="34"/>
  <c r="MH99" i="34"/>
  <c r="LA118" i="34"/>
  <c r="JX86" i="34"/>
  <c r="LC142" i="34"/>
  <c r="GK186" i="34"/>
  <c r="GQ44" i="34"/>
  <c r="JE172" i="34"/>
  <c r="BK38" i="33"/>
  <c r="LH149" i="34"/>
  <c r="JU150" i="34"/>
  <c r="HC66" i="34"/>
  <c r="CK54" i="34"/>
  <c r="FT55" i="34"/>
  <c r="AD79" i="34"/>
  <c r="EZ166" i="34"/>
  <c r="CI99" i="34"/>
  <c r="CH47" i="34"/>
  <c r="HZ66" i="34"/>
  <c r="LG171" i="34"/>
  <c r="JY54" i="34"/>
  <c r="HE44" i="34"/>
  <c r="EF53" i="34"/>
  <c r="IA164" i="34"/>
  <c r="KR152" i="34"/>
  <c r="MI52" i="34"/>
  <c r="OM51" i="34"/>
  <c r="FB85" i="34"/>
  <c r="LX97" i="34"/>
  <c r="NH77" i="34"/>
  <c r="DW60" i="34"/>
  <c r="FS135" i="34"/>
  <c r="NA104" i="34"/>
  <c r="MF79" i="34"/>
  <c r="PH59" i="34"/>
  <c r="LK81" i="34"/>
  <c r="X100" i="34"/>
  <c r="LJ123" i="34"/>
  <c r="AW171" i="34"/>
  <c r="KL125" i="34"/>
  <c r="AD108" i="34"/>
  <c r="FW125" i="34"/>
  <c r="DY62" i="34"/>
  <c r="EG68" i="34"/>
  <c r="DU30" i="33"/>
  <c r="DH79" i="33"/>
  <c r="LC171" i="34"/>
  <c r="IS171" i="34"/>
  <c r="AP55" i="33"/>
  <c r="OM155" i="34"/>
  <c r="ID171" i="34"/>
  <c r="GM97" i="34"/>
  <c r="HZ131" i="34"/>
  <c r="DW131" i="34"/>
  <c r="OH117" i="34"/>
  <c r="LF88" i="34"/>
  <c r="JV173" i="34"/>
  <c r="MF84" i="34"/>
  <c r="MB69" i="34"/>
  <c r="IS166" i="34"/>
  <c r="FR168" i="34"/>
  <c r="NF148" i="34"/>
  <c r="KA51" i="34"/>
  <c r="GN120" i="34"/>
  <c r="ED140" i="34"/>
  <c r="JH98" i="34"/>
  <c r="FA178" i="34"/>
  <c r="PJ167" i="34"/>
  <c r="GM188" i="34"/>
  <c r="HU122" i="34"/>
  <c r="KN76" i="34"/>
  <c r="EZ171" i="34"/>
  <c r="LH51" i="34"/>
  <c r="ED95" i="34"/>
  <c r="BP132" i="34"/>
  <c r="AP166" i="34"/>
  <c r="PY96" i="34"/>
  <c r="IY163" i="34"/>
  <c r="PY116" i="34"/>
  <c r="FS119" i="34"/>
  <c r="NB67" i="34"/>
  <c r="AB139" i="34"/>
  <c r="AY64" i="34"/>
  <c r="MF141" i="34"/>
  <c r="AY152" i="34"/>
  <c r="HH121" i="34"/>
  <c r="NC83" i="34"/>
  <c r="FO107" i="34"/>
  <c r="EK106" i="34"/>
  <c r="EI52" i="34"/>
  <c r="IW117" i="34"/>
  <c r="BN103" i="34"/>
  <c r="DA75" i="34"/>
  <c r="NM155" i="34"/>
  <c r="JA136" i="34"/>
  <c r="JV163" i="34"/>
  <c r="DA95" i="34"/>
  <c r="T45" i="34"/>
  <c r="HG130" i="34"/>
  <c r="IR134" i="34"/>
  <c r="JH166" i="34"/>
  <c r="EI78" i="34"/>
  <c r="AT129" i="34"/>
  <c r="ID149" i="34"/>
  <c r="DX125" i="34"/>
  <c r="AM153" i="34"/>
  <c r="AX72" i="34"/>
  <c r="CL183" i="34"/>
  <c r="NB148" i="34"/>
  <c r="LF83" i="34"/>
  <c r="CK146" i="34"/>
  <c r="JB109" i="34"/>
  <c r="OM104" i="34"/>
  <c r="AP135" i="34"/>
  <c r="BK86" i="33"/>
  <c r="GL99" i="34"/>
  <c r="JE151" i="34"/>
  <c r="HT101" i="34"/>
  <c r="EY130" i="34"/>
  <c r="JX69" i="34"/>
  <c r="NM188" i="34"/>
  <c r="KB41" i="34"/>
  <c r="DH146" i="34"/>
  <c r="FS125" i="34"/>
  <c r="AC66" i="33"/>
  <c r="X64" i="34"/>
  <c r="BQ112" i="34"/>
  <c r="T156" i="34"/>
  <c r="NK88" i="34"/>
  <c r="GQ106" i="34"/>
  <c r="NM107" i="34"/>
  <c r="PE154" i="34"/>
  <c r="LE98" i="34"/>
  <c r="KA151" i="34"/>
  <c r="CE98" i="34"/>
  <c r="FQ97" i="34"/>
  <c r="CI58" i="33"/>
  <c r="EE176" i="34"/>
  <c r="GL154" i="34"/>
  <c r="BE58" i="33"/>
  <c r="NP41" i="34"/>
  <c r="CN164" i="34"/>
  <c r="HC172" i="34"/>
  <c r="HD58" i="34"/>
  <c r="CL170" i="34"/>
  <c r="HW134" i="34"/>
  <c r="DA50" i="34"/>
  <c r="ML120" i="34"/>
  <c r="DX62" i="34"/>
  <c r="HC96" i="34"/>
  <c r="MM130" i="34"/>
  <c r="FX118" i="34"/>
  <c r="LZ46" i="34"/>
  <c r="JD45" i="34"/>
  <c r="HD103" i="34"/>
  <c r="AW74" i="34"/>
  <c r="NH78" i="34"/>
  <c r="EE162" i="34"/>
  <c r="JE165" i="34"/>
  <c r="EG126" i="34"/>
  <c r="MJ108" i="34"/>
  <c r="AN117" i="34"/>
  <c r="NN158" i="34"/>
  <c r="BN167" i="34"/>
  <c r="NC91" i="34"/>
  <c r="JB106" i="34"/>
  <c r="IQ157" i="34"/>
  <c r="IZ43" i="34"/>
  <c r="CL83" i="34"/>
  <c r="CG104" i="34"/>
  <c r="KN163" i="34"/>
  <c r="KA118" i="34"/>
  <c r="JV160" i="34"/>
  <c r="JB162" i="34"/>
  <c r="FN86" i="34"/>
  <c r="FQ66" i="34"/>
  <c r="JY63" i="34"/>
  <c r="OH47" i="34"/>
  <c r="EB79" i="34"/>
  <c r="JC173" i="34"/>
  <c r="GQ89" i="34"/>
  <c r="MD74" i="34"/>
  <c r="AL82" i="33"/>
  <c r="CN96" i="34"/>
  <c r="GF73" i="33"/>
  <c r="IZ73" i="34"/>
  <c r="ME148" i="34"/>
  <c r="CG121" i="34"/>
  <c r="BA74" i="33"/>
  <c r="DX148" i="34"/>
  <c r="EY105" i="34"/>
  <c r="BQ164" i="34"/>
  <c r="FS173" i="34"/>
  <c r="FR103" i="34"/>
  <c r="CL181" i="34"/>
  <c r="KA138" i="34"/>
  <c r="JH79" i="34"/>
  <c r="FA96" i="34"/>
  <c r="NB171" i="34"/>
  <c r="MN94" i="34"/>
  <c r="J58" i="34"/>
  <c r="HF157" i="34"/>
  <c r="MD60" i="34"/>
  <c r="DE82" i="34"/>
  <c r="JA153" i="34"/>
  <c r="KA144" i="34"/>
  <c r="EK48" i="34"/>
  <c r="GJ51" i="34"/>
  <c r="MC111" i="34"/>
  <c r="DF141" i="34"/>
  <c r="JT62" i="34"/>
  <c r="ML132" i="34"/>
  <c r="EZ162" i="34"/>
  <c r="EK46" i="34"/>
  <c r="KL56" i="34"/>
  <c r="BP115" i="34"/>
  <c r="IY91" i="34"/>
  <c r="HY186" i="34"/>
  <c r="AW154" i="34"/>
  <c r="JW63" i="34"/>
  <c r="ML140" i="34"/>
  <c r="CI169" i="34"/>
  <c r="FB127" i="34"/>
  <c r="HH64" i="34"/>
  <c r="DI65" i="34"/>
  <c r="CF153" i="34"/>
  <c r="KA174" i="34"/>
  <c r="CN167" i="34"/>
  <c r="BV69" i="33"/>
  <c r="U93" i="34"/>
  <c r="BO91" i="34"/>
  <c r="HX76" i="34"/>
  <c r="JE163" i="34"/>
  <c r="J97" i="34"/>
  <c r="HV131" i="34"/>
  <c r="AN100" i="34"/>
  <c r="EJ141" i="34"/>
  <c r="KR92" i="34"/>
  <c r="ME91" i="34"/>
  <c r="LX143" i="34"/>
  <c r="ND165" i="34"/>
  <c r="JH102" i="34"/>
  <c r="DE148" i="34"/>
  <c r="FW161" i="34"/>
  <c r="FQ160" i="34"/>
  <c r="PZ68" i="34"/>
  <c r="HV158" i="34"/>
  <c r="EA93" i="34"/>
  <c r="EH71" i="34"/>
  <c r="BU61" i="33"/>
  <c r="FU137" i="34"/>
  <c r="HY81" i="34"/>
  <c r="IC112" i="34"/>
  <c r="FS122" i="34"/>
  <c r="HD181" i="34"/>
  <c r="BP53" i="34"/>
  <c r="AR151" i="34"/>
  <c r="OI52" i="34"/>
  <c r="NJ163" i="34"/>
  <c r="EJ98" i="34"/>
  <c r="CL50" i="34"/>
  <c r="DG150" i="34"/>
  <c r="LJ83" i="34"/>
  <c r="EX160" i="34"/>
  <c r="IA130" i="34"/>
  <c r="JA65" i="34"/>
  <c r="K63" i="34"/>
  <c r="NJ41" i="34"/>
  <c r="LC71" i="34"/>
  <c r="AV50" i="34"/>
  <c r="AU47" i="33"/>
  <c r="NC156" i="34"/>
  <c r="HH140" i="34"/>
  <c r="V48" i="34"/>
  <c r="LX163" i="34"/>
  <c r="HY123" i="34"/>
  <c r="LE116" i="34"/>
  <c r="DE74" i="34"/>
  <c r="MB168" i="34"/>
  <c r="BA67" i="34"/>
  <c r="EI68" i="34"/>
  <c r="MB61" i="34"/>
  <c r="PG72" i="34"/>
  <c r="M79" i="33"/>
  <c r="KO84" i="34"/>
  <c r="FU108" i="34"/>
  <c r="NC173" i="34"/>
  <c r="FS106" i="34"/>
  <c r="CO157" i="34"/>
  <c r="EZ99" i="34"/>
  <c r="AM118" i="34"/>
  <c r="ME169" i="34"/>
  <c r="EH66" i="34"/>
  <c r="FJ31" i="33"/>
  <c r="PG49" i="34"/>
  <c r="LY121" i="34"/>
  <c r="AW37" i="33"/>
  <c r="DA176" i="34"/>
  <c r="JW165" i="34"/>
  <c r="IA135" i="34"/>
  <c r="ED133" i="34"/>
  <c r="MB132" i="34"/>
  <c r="ON174" i="34"/>
  <c r="FA91" i="34"/>
  <c r="ML162" i="34"/>
  <c r="AW117" i="34"/>
  <c r="IT55" i="34"/>
  <c r="ID122" i="34"/>
  <c r="JG64" i="34"/>
  <c r="GJ89" i="34"/>
  <c r="EH72" i="34"/>
  <c r="GJ44" i="34"/>
  <c r="JX71" i="34"/>
  <c r="GL123" i="34"/>
  <c r="DE166" i="34"/>
  <c r="KA99" i="34"/>
  <c r="GQ109" i="34"/>
  <c r="CO139" i="34"/>
  <c r="AM133" i="34"/>
  <c r="GP51" i="34"/>
  <c r="HT127" i="34"/>
  <c r="FN52" i="34"/>
  <c r="LE55" i="34"/>
  <c r="KN173" i="34"/>
  <c r="KA112" i="34"/>
  <c r="FB106" i="34"/>
  <c r="IE110" i="34"/>
  <c r="HW52" i="34"/>
  <c r="JE55" i="34"/>
  <c r="PG151" i="34"/>
  <c r="Y174" i="34"/>
  <c r="LJ74" i="34"/>
  <c r="CJ145" i="34"/>
  <c r="JY150" i="34"/>
  <c r="DN46" i="33"/>
  <c r="V181" i="34"/>
  <c r="AM44" i="34"/>
  <c r="LX100" i="34"/>
  <c r="FU187" i="34"/>
  <c r="NE75" i="34"/>
  <c r="FV163" i="34"/>
  <c r="JH183" i="34"/>
  <c r="DA157" i="34"/>
  <c r="ND135" i="34"/>
  <c r="AC82" i="34"/>
  <c r="CY38" i="33"/>
  <c r="BB101" i="34"/>
  <c r="GJ151" i="34"/>
  <c r="FX97" i="33"/>
  <c r="AD87" i="34"/>
  <c r="Y102" i="34"/>
  <c r="MH156" i="34"/>
  <c r="KM101" i="34"/>
  <c r="LJ76" i="34"/>
  <c r="EA111" i="34"/>
  <c r="JH41" i="34"/>
  <c r="HD91" i="34"/>
  <c r="NL129" i="34"/>
  <c r="KQ173" i="34"/>
  <c r="JC56" i="34"/>
  <c r="DY125" i="34"/>
  <c r="DH141" i="34"/>
  <c r="NH104" i="34"/>
  <c r="BO52" i="34"/>
  <c r="NE53" i="34"/>
  <c r="V148" i="34"/>
  <c r="NP183" i="34"/>
  <c r="AM141" i="34"/>
  <c r="DG107" i="34"/>
  <c r="X113" i="34"/>
  <c r="NA127" i="34"/>
  <c r="JH175" i="34"/>
  <c r="PE144" i="34"/>
  <c r="PC48" i="34"/>
  <c r="DB27" i="33"/>
  <c r="JG137" i="34"/>
  <c r="HD126" i="34"/>
  <c r="IB126" i="34"/>
  <c r="HV86" i="34"/>
  <c r="NL147" i="34"/>
  <c r="HE66" i="34"/>
  <c r="HC94" i="34"/>
  <c r="FR149" i="34"/>
  <c r="CD157" i="34"/>
  <c r="AU110" i="34"/>
  <c r="JH153" i="34"/>
  <c r="FV126" i="34"/>
  <c r="ID111" i="34"/>
  <c r="CI109" i="34"/>
  <c r="CJ42" i="34"/>
  <c r="KO41" i="34"/>
  <c r="NA102" i="34"/>
  <c r="HT44" i="34"/>
  <c r="IV75" i="34"/>
  <c r="CE167" i="34"/>
  <c r="DO34" i="33"/>
  <c r="JV65" i="34"/>
  <c r="W152" i="34"/>
  <c r="NI80" i="34"/>
  <c r="DC63" i="34"/>
  <c r="KR140" i="34"/>
  <c r="AD187" i="34"/>
  <c r="JC74" i="34"/>
  <c r="LI149" i="34"/>
  <c r="AX69" i="34"/>
  <c r="NH153" i="34"/>
  <c r="LB134" i="34"/>
  <c r="AS144" i="34"/>
  <c r="EC46" i="34"/>
  <c r="CI132" i="34"/>
  <c r="AS67" i="34"/>
  <c r="LC47" i="34"/>
  <c r="MC138" i="34"/>
  <c r="IS136" i="34"/>
  <c r="JW120" i="34"/>
  <c r="DG126" i="34"/>
  <c r="PI85" i="34"/>
  <c r="DF139" i="34"/>
  <c r="LI124" i="34"/>
  <c r="JX169" i="34"/>
  <c r="JA129" i="34"/>
  <c r="PX97" i="34"/>
  <c r="JB161" i="34"/>
  <c r="T72" i="34"/>
  <c r="EX124" i="34"/>
  <c r="CH58" i="34"/>
  <c r="HW133" i="34"/>
  <c r="ME56" i="34"/>
  <c r="LY141" i="34"/>
  <c r="BA155" i="34"/>
  <c r="LG140" i="34"/>
  <c r="GH20" i="33"/>
  <c r="PK165" i="34"/>
  <c r="GK181" i="34"/>
  <c r="AA129" i="34"/>
  <c r="CO49" i="34"/>
  <c r="DD187" i="34"/>
  <c r="DB57" i="34"/>
  <c r="HY78" i="34"/>
  <c r="HW55" i="34"/>
  <c r="AD96" i="34"/>
  <c r="BA60" i="33"/>
  <c r="KN135" i="34"/>
  <c r="IS65" i="34"/>
  <c r="GJ117" i="34"/>
  <c r="CD88" i="34"/>
  <c r="BP134" i="34"/>
  <c r="JY48" i="34"/>
  <c r="AM151" i="34"/>
  <c r="LF98" i="34"/>
  <c r="CE147" i="34"/>
  <c r="DV112" i="34"/>
  <c r="DI90" i="34"/>
  <c r="CE176" i="34"/>
  <c r="MI123" i="34"/>
  <c r="KR58" i="34"/>
  <c r="W163" i="34"/>
  <c r="HD63" i="34"/>
  <c r="GM147" i="34"/>
  <c r="KR41" i="34"/>
  <c r="BA46" i="34"/>
  <c r="CD170" i="34"/>
  <c r="OI80" i="34"/>
  <c r="DB151" i="34"/>
  <c r="CL187" i="34"/>
  <c r="AO73" i="34"/>
  <c r="LE110" i="34"/>
  <c r="EC51" i="34"/>
  <c r="DA101" i="34"/>
  <c r="IA156" i="34"/>
  <c r="JC163" i="34"/>
  <c r="IA161" i="34"/>
  <c r="PI93" i="34"/>
  <c r="IV105" i="34"/>
  <c r="GM139" i="34"/>
  <c r="CL92" i="34"/>
  <c r="KN68" i="34"/>
  <c r="DX162" i="34"/>
  <c r="IB78" i="34"/>
  <c r="PZ98" i="34"/>
  <c r="BP106" i="34"/>
  <c r="DY89" i="34"/>
  <c r="IW58" i="34"/>
  <c r="FO81" i="34"/>
  <c r="JW44" i="34"/>
  <c r="DG84" i="34"/>
  <c r="V74" i="33"/>
  <c r="NA133" i="34"/>
  <c r="EK71" i="34"/>
  <c r="PC52" i="34"/>
  <c r="ED121" i="34"/>
  <c r="JH112" i="34"/>
  <c r="AQ127" i="34"/>
  <c r="PJ104" i="34"/>
  <c r="EY133" i="34"/>
  <c r="OK54" i="34"/>
  <c r="IW50" i="34"/>
  <c r="EX161" i="34"/>
  <c r="HC87" i="34"/>
  <c r="ME80" i="34"/>
  <c r="KC73" i="34"/>
  <c r="KR174" i="34"/>
  <c r="IA158" i="34"/>
  <c r="FV71" i="34"/>
  <c r="IC84" i="34"/>
  <c r="IS188" i="34"/>
  <c r="EI41" i="34"/>
  <c r="FA43" i="34"/>
  <c r="JW48" i="34"/>
  <c r="NA100" i="34"/>
  <c r="FP108" i="34"/>
  <c r="DG160" i="34"/>
  <c r="FO126" i="34"/>
  <c r="LC63" i="34"/>
  <c r="DG60" i="34"/>
  <c r="ED153" i="34"/>
  <c r="HC126" i="34"/>
  <c r="ME98" i="34"/>
  <c r="CH151" i="34"/>
  <c r="JC133" i="34"/>
  <c r="IB65" i="34"/>
  <c r="FX109" i="34"/>
  <c r="MB81" i="34"/>
  <c r="ID69" i="34"/>
  <c r="FZ77" i="33"/>
  <c r="PZ107" i="34"/>
  <c r="BO119" i="34"/>
  <c r="IW72" i="34"/>
  <c r="JT133" i="34"/>
  <c r="KM169" i="34"/>
  <c r="GO49" i="33"/>
  <c r="PC137" i="34"/>
  <c r="GJ62" i="34"/>
  <c r="PG127" i="34"/>
  <c r="BQ125" i="34"/>
  <c r="BQ188" i="34"/>
  <c r="PH95" i="34"/>
  <c r="MG75" i="34"/>
  <c r="DY142" i="34"/>
  <c r="PY97" i="34"/>
  <c r="JB72" i="34"/>
  <c r="LG55" i="34"/>
  <c r="DG51" i="34"/>
  <c r="FX157" i="34"/>
  <c r="DZ128" i="34"/>
  <c r="FV65" i="34"/>
  <c r="JA102" i="34"/>
  <c r="K80" i="34"/>
  <c r="NO63" i="34"/>
  <c r="LE130" i="34"/>
  <c r="LG66" i="34"/>
  <c r="DF47" i="33"/>
  <c r="JB146" i="34"/>
  <c r="MF71" i="34"/>
  <c r="LE154" i="34"/>
  <c r="NO120" i="34"/>
  <c r="FR78" i="33"/>
  <c r="DJ72" i="34"/>
  <c r="DD148" i="34"/>
  <c r="HF111" i="34"/>
  <c r="MJ58" i="34"/>
  <c r="ND102" i="34"/>
  <c r="MC139" i="34"/>
  <c r="BQ94" i="34"/>
  <c r="AZ47" i="34"/>
  <c r="LG63" i="34"/>
  <c r="OH164" i="34"/>
  <c r="CE52" i="34"/>
  <c r="DX67" i="34"/>
  <c r="DG183" i="34"/>
  <c r="ER71" i="33"/>
  <c r="FW139" i="34"/>
  <c r="DW77" i="34"/>
  <c r="AT125" i="34"/>
  <c r="JH104" i="34"/>
  <c r="HT117" i="34"/>
  <c r="K161" i="34"/>
  <c r="NF58" i="34"/>
  <c r="JV124" i="34"/>
  <c r="JZ161" i="34"/>
  <c r="NF70" i="34"/>
  <c r="MB140" i="34"/>
  <c r="BR67" i="33"/>
  <c r="LA61" i="34"/>
  <c r="AZ67" i="34"/>
  <c r="IS76" i="34"/>
  <c r="GL81" i="33"/>
  <c r="AX115" i="34"/>
  <c r="EK181" i="34"/>
  <c r="MK89" i="34"/>
  <c r="JB97" i="34"/>
  <c r="CO48" i="34"/>
  <c r="EH169" i="34"/>
  <c r="FQ158" i="34"/>
  <c r="JB65" i="34"/>
  <c r="HD90" i="34"/>
  <c r="LD183" i="34"/>
  <c r="MN172" i="34"/>
  <c r="ID156" i="34"/>
  <c r="JB49" i="34"/>
  <c r="JT151" i="34"/>
  <c r="EH156" i="34"/>
  <c r="CD84" i="34"/>
  <c r="KO161" i="34"/>
  <c r="IZ88" i="34"/>
  <c r="GP92" i="34"/>
  <c r="EY132" i="34"/>
  <c r="T115" i="34"/>
  <c r="AR46" i="34"/>
  <c r="NF93" i="34"/>
  <c r="MO119" i="34"/>
  <c r="PG175" i="34"/>
  <c r="BO142" i="34"/>
  <c r="EB50" i="34"/>
  <c r="MU5" i="34"/>
  <c r="NP118" i="34"/>
  <c r="KR186" i="34"/>
  <c r="MM151" i="34"/>
  <c r="PY92" i="34"/>
  <c r="NH176" i="34"/>
  <c r="KM160" i="34"/>
  <c r="CM44" i="34"/>
  <c r="DW107" i="34"/>
  <c r="LF183" i="34"/>
  <c r="ME44" i="34"/>
  <c r="DG89" i="34"/>
  <c r="FS70" i="34"/>
  <c r="ML81" i="34"/>
  <c r="KB127" i="34"/>
  <c r="Y56" i="34"/>
  <c r="CH95" i="34"/>
  <c r="PI90" i="34"/>
  <c r="CN142" i="34"/>
  <c r="MJ50" i="34"/>
  <c r="AH42" i="33"/>
  <c r="MA76" i="34"/>
  <c r="AG52" i="33"/>
  <c r="JW171" i="34"/>
  <c r="GN163" i="34"/>
  <c r="FQ67" i="34"/>
  <c r="IQ53" i="34"/>
  <c r="HX99" i="34"/>
  <c r="LW139" i="34"/>
  <c r="BO48" i="34"/>
  <c r="DP28" i="33"/>
  <c r="J47" i="33"/>
  <c r="NN121" i="34"/>
  <c r="IR121" i="34"/>
  <c r="BA140" i="34"/>
  <c r="DC44" i="34"/>
  <c r="GN43" i="34"/>
  <c r="DZ158" i="34"/>
  <c r="MA154" i="34"/>
  <c r="GQ130" i="34"/>
  <c r="EQ45" i="33"/>
  <c r="OK134" i="34"/>
  <c r="JX45" i="34"/>
  <c r="AU53" i="34"/>
  <c r="DG63" i="34"/>
  <c r="FT154" i="34"/>
  <c r="BZ29" i="33"/>
  <c r="JU74" i="34"/>
  <c r="KA145" i="34"/>
  <c r="AQ101" i="34"/>
  <c r="OH133" i="34"/>
  <c r="BO44" i="34"/>
  <c r="JV187" i="34"/>
  <c r="NF65" i="34"/>
  <c r="GL149" i="34"/>
  <c r="EE97" i="34"/>
  <c r="DD73" i="34"/>
  <c r="DC115" i="34"/>
  <c r="CJ75" i="34"/>
  <c r="IY148" i="34"/>
  <c r="ND157" i="34"/>
  <c r="FQ138" i="34"/>
  <c r="U135" i="34"/>
  <c r="AS183" i="34"/>
  <c r="CE149" i="34"/>
  <c r="PF112" i="34"/>
  <c r="AV82" i="34"/>
  <c r="HE181" i="34"/>
  <c r="MI164" i="34"/>
  <c r="FX97" i="34"/>
  <c r="DH62" i="34"/>
  <c r="FV174" i="34"/>
  <c r="LD116" i="34"/>
  <c r="ML41" i="34"/>
  <c r="NN157" i="34"/>
  <c r="AN62" i="34"/>
  <c r="FU172" i="34"/>
  <c r="FT163" i="34"/>
  <c r="JD110" i="34"/>
  <c r="CL146" i="34"/>
  <c r="PF158" i="34"/>
  <c r="GJ158" i="34"/>
  <c r="EH68" i="34"/>
  <c r="FV113" i="34"/>
  <c r="OO166" i="34"/>
  <c r="IA138" i="34"/>
  <c r="GM83" i="34"/>
  <c r="IQ118" i="34"/>
  <c r="BW70" i="33"/>
  <c r="JE170" i="34"/>
  <c r="ID110" i="34"/>
  <c r="KM49" i="34"/>
  <c r="DY82" i="33"/>
  <c r="HC156" i="34"/>
  <c r="DG91" i="34"/>
  <c r="CC33" i="33"/>
  <c r="JZ75" i="34"/>
  <c r="ED63" i="34"/>
  <c r="AB146" i="34"/>
  <c r="DX103" i="34"/>
  <c r="AU62" i="34"/>
  <c r="IR70" i="34"/>
  <c r="KA66" i="34"/>
  <c r="AV64" i="34"/>
  <c r="HV181" i="34"/>
  <c r="JY111" i="34"/>
  <c r="NM59" i="34"/>
  <c r="DA133" i="34"/>
  <c r="KO165" i="34"/>
  <c r="KC72" i="34"/>
  <c r="CX58" i="33"/>
  <c r="PD57" i="34"/>
  <c r="HZ72" i="34"/>
  <c r="EI150" i="34"/>
  <c r="HE79" i="34"/>
  <c r="EX153" i="34"/>
  <c r="FQ136" i="34"/>
  <c r="BR91" i="34"/>
  <c r="LJ84" i="34"/>
  <c r="R61" i="33"/>
  <c r="NF173" i="34"/>
  <c r="OH165" i="34"/>
  <c r="MO68" i="34"/>
  <c r="DV158" i="34"/>
  <c r="EJ92" i="34"/>
  <c r="FT155" i="34"/>
  <c r="NH186" i="34"/>
  <c r="KN73" i="34"/>
  <c r="ND49" i="34"/>
  <c r="DH166" i="34"/>
  <c r="IY125" i="34"/>
  <c r="BR118" i="34"/>
  <c r="BB151" i="34"/>
  <c r="MH90" i="34"/>
  <c r="Y82" i="34"/>
  <c r="FW86" i="34"/>
  <c r="CW26" i="33"/>
  <c r="EX101" i="34"/>
  <c r="MD98" i="34"/>
  <c r="OO174" i="34"/>
  <c r="ED103" i="34"/>
  <c r="X148" i="34"/>
  <c r="NG143" i="34"/>
  <c r="AT167" i="34"/>
  <c r="KO62" i="34"/>
  <c r="DB132" i="34"/>
  <c r="AT117" i="34"/>
  <c r="EJ73" i="34"/>
  <c r="EI136" i="34"/>
  <c r="KB135" i="34"/>
  <c r="PJ159" i="34"/>
  <c r="GM167" i="34"/>
  <c r="JT121" i="34"/>
  <c r="PD119" i="34"/>
  <c r="HU71" i="34"/>
  <c r="HF130" i="34"/>
  <c r="IZ45" i="34"/>
  <c r="W71" i="34"/>
  <c r="JB47" i="34"/>
  <c r="MB174" i="34"/>
  <c r="EE120" i="34"/>
  <c r="DV54" i="34"/>
  <c r="HC129" i="34"/>
  <c r="NK124" i="34"/>
  <c r="JX108" i="34"/>
  <c r="AQ119" i="34"/>
  <c r="JH60" i="34"/>
  <c r="AB136" i="34"/>
  <c r="EH75" i="34"/>
  <c r="FA155" i="34"/>
  <c r="MH183" i="34"/>
  <c r="AQ187" i="34"/>
  <c r="KL62" i="34"/>
  <c r="CO56" i="34"/>
  <c r="HG77" i="34"/>
  <c r="AP176" i="34"/>
  <c r="AP98" i="34"/>
  <c r="K54" i="34"/>
  <c r="KQ156" i="34"/>
  <c r="JG135" i="34"/>
  <c r="JX134" i="34"/>
  <c r="LE138" i="34"/>
  <c r="AO69" i="34"/>
  <c r="FP155" i="34"/>
  <c r="MG143" i="34"/>
  <c r="NE93" i="34"/>
  <c r="BR162" i="34"/>
  <c r="KB143" i="34"/>
  <c r="MD186" i="34"/>
  <c r="IS92" i="34"/>
  <c r="DB96" i="34"/>
  <c r="MH80" i="34"/>
  <c r="OO147" i="34"/>
  <c r="JU160" i="34"/>
  <c r="Y46" i="34"/>
  <c r="IQ116" i="34"/>
  <c r="MN156" i="34"/>
  <c r="NL84" i="34"/>
  <c r="PY139" i="34"/>
  <c r="HV129" i="34"/>
  <c r="PX183" i="34"/>
  <c r="Z109" i="34"/>
  <c r="IT158" i="34"/>
  <c r="HT166" i="34"/>
  <c r="DW45" i="34"/>
  <c r="OL153" i="34"/>
  <c r="AA53" i="34"/>
  <c r="JU96" i="34"/>
  <c r="DH50" i="34"/>
  <c r="LI150" i="34"/>
  <c r="IU176" i="34"/>
  <c r="HH144" i="34"/>
  <c r="FB140" i="34"/>
  <c r="JE134" i="34"/>
  <c r="HV41" i="34"/>
  <c r="MB117" i="34"/>
  <c r="HG169" i="34"/>
  <c r="JA64" i="34"/>
  <c r="IY45" i="34"/>
  <c r="EG152" i="34"/>
  <c r="PX91" i="34"/>
  <c r="HH58" i="34"/>
  <c r="ML53" i="34"/>
  <c r="AN77" i="34"/>
  <c r="KA186" i="34"/>
  <c r="MH53" i="34"/>
  <c r="MO100" i="34"/>
  <c r="HD74" i="34"/>
  <c r="HF56" i="34"/>
  <c r="DD50" i="33"/>
  <c r="HC86" i="34"/>
  <c r="ND85" i="34"/>
  <c r="PJ164" i="34"/>
  <c r="CN87" i="34"/>
  <c r="J165" i="34"/>
  <c r="PD175" i="34"/>
  <c r="CW60" i="33"/>
  <c r="EZ175" i="34"/>
  <c r="GJ54" i="34"/>
  <c r="DA174" i="34"/>
  <c r="EG54" i="34"/>
  <c r="LI141" i="34"/>
  <c r="IV143" i="34"/>
  <c r="HW92" i="34"/>
  <c r="IR101" i="34"/>
  <c r="FQ104" i="34"/>
  <c r="IT175" i="34"/>
  <c r="ND101" i="34"/>
  <c r="CE169" i="34"/>
  <c r="IV104" i="34"/>
  <c r="OL124" i="34"/>
  <c r="CG42" i="34"/>
  <c r="AD58" i="34"/>
  <c r="BR76" i="33"/>
  <c r="OI154" i="34"/>
  <c r="HY130" i="34"/>
  <c r="CH44" i="33"/>
  <c r="PF101" i="34"/>
  <c r="NO100" i="34"/>
  <c r="BJ128" i="28"/>
  <c r="HZ74" i="34"/>
  <c r="AS77" i="34"/>
  <c r="IW93" i="34"/>
  <c r="CD131" i="34"/>
  <c r="IQ133" i="34"/>
  <c r="AV65" i="34"/>
  <c r="MA86" i="34"/>
  <c r="AD113" i="34"/>
  <c r="LE140" i="34"/>
  <c r="LZ167" i="34"/>
  <c r="LH112" i="34"/>
  <c r="HG61" i="34"/>
  <c r="NC44" i="34"/>
  <c r="NH132" i="34"/>
  <c r="W26" i="33"/>
  <c r="FR92" i="34"/>
  <c r="NC152" i="34"/>
  <c r="X181" i="34"/>
  <c r="IQ83" i="34"/>
  <c r="JH121" i="34"/>
  <c r="KO133" i="34"/>
  <c r="NP83" i="34"/>
  <c r="EE77" i="34"/>
  <c r="EE64" i="34"/>
  <c r="MJ170" i="34"/>
  <c r="LG65" i="34"/>
  <c r="FN118" i="34"/>
  <c r="AU163" i="34"/>
  <c r="CH170" i="34"/>
  <c r="KP116" i="34"/>
  <c r="F60" i="17"/>
  <c r="KC142" i="34"/>
  <c r="DP72" i="33"/>
  <c r="MJ173" i="34"/>
  <c r="NB52" i="34"/>
  <c r="AQ62" i="33"/>
  <c r="KM63" i="34"/>
  <c r="KP102" i="34"/>
  <c r="MJ49" i="34"/>
  <c r="FN65" i="34"/>
  <c r="PW158" i="34"/>
  <c r="X47" i="34"/>
  <c r="BR60" i="34"/>
  <c r="HW142" i="34"/>
  <c r="LW124" i="34"/>
  <c r="JC63" i="34"/>
  <c r="K73" i="34"/>
  <c r="MF183" i="34"/>
  <c r="AG28" i="33"/>
  <c r="EA73" i="34"/>
  <c r="IB111" i="34"/>
  <c r="IZ72" i="34"/>
  <c r="DX116" i="34"/>
  <c r="GP98" i="34"/>
  <c r="GM174" i="34"/>
  <c r="AS45" i="34"/>
  <c r="FJ34" i="33"/>
  <c r="BP178" i="34"/>
  <c r="IY63" i="34"/>
  <c r="AV48" i="34"/>
  <c r="MJ183" i="34"/>
  <c r="AZ69" i="33"/>
  <c r="HV92" i="34"/>
  <c r="MN108" i="34"/>
  <c r="FP79" i="34"/>
  <c r="BI33" i="33"/>
  <c r="JC86" i="34"/>
  <c r="IR146" i="34"/>
  <c r="FN45" i="33"/>
  <c r="GQ87" i="34"/>
  <c r="HE141" i="34"/>
  <c r="DE45" i="34"/>
  <c r="KC140" i="34"/>
  <c r="DJ74" i="34"/>
  <c r="S55" i="17"/>
  <c r="W83" i="33"/>
  <c r="NL109" i="34"/>
  <c r="NC149" i="34"/>
  <c r="HE81" i="34"/>
  <c r="JD77" i="34"/>
  <c r="IV100" i="34"/>
  <c r="NP96" i="34"/>
  <c r="JX68" i="34"/>
  <c r="FA144" i="34"/>
  <c r="BQ88" i="34"/>
  <c r="AV67" i="34"/>
  <c r="MK168" i="34"/>
  <c r="MN148" i="34"/>
  <c r="AT58" i="33"/>
  <c r="Z116" i="34"/>
  <c r="MM72" i="34"/>
  <c r="PA172" i="34"/>
  <c r="ER39" i="33"/>
  <c r="LD42" i="34"/>
  <c r="HE187" i="34"/>
  <c r="PB119" i="34"/>
  <c r="NP173" i="34"/>
  <c r="MH174" i="34"/>
  <c r="DJ126" i="34"/>
  <c r="EX75" i="34"/>
  <c r="BB167" i="34"/>
  <c r="LB172" i="34"/>
  <c r="BQ78" i="34"/>
  <c r="JZ127" i="34"/>
  <c r="B78" i="28"/>
  <c r="JX150" i="34"/>
  <c r="IW56" i="34"/>
  <c r="GN181" i="34"/>
  <c r="NG113" i="34"/>
  <c r="IV60" i="34"/>
  <c r="GD4" i="34"/>
  <c r="KM84" i="34"/>
  <c r="DB178" i="34"/>
  <c r="PX154" i="34"/>
  <c r="LE137" i="34"/>
  <c r="LZ176" i="34"/>
  <c r="ON84" i="34"/>
  <c r="DY135" i="34"/>
  <c r="J63" i="34"/>
  <c r="GG28" i="33"/>
  <c r="HF80" i="34"/>
  <c r="JV104" i="34"/>
  <c r="EJ120" i="34"/>
  <c r="PZ159" i="34"/>
  <c r="PW63" i="34"/>
  <c r="NF59" i="34"/>
  <c r="NH164" i="34"/>
  <c r="NM75" i="34"/>
  <c r="FU121" i="34"/>
  <c r="GL153" i="34"/>
  <c r="U48" i="34"/>
  <c r="JY167" i="34"/>
  <c r="JV121" i="34"/>
  <c r="NE55" i="34"/>
  <c r="LH110" i="34"/>
  <c r="GM151" i="34"/>
  <c r="MC172" i="34"/>
  <c r="DW122" i="34"/>
  <c r="FS53" i="34"/>
  <c r="JA107" i="34"/>
  <c r="LJ187" i="34"/>
  <c r="AU59" i="34"/>
  <c r="MJ93" i="34"/>
  <c r="LJ67" i="34"/>
  <c r="JT69" i="34"/>
  <c r="LZ42" i="34"/>
  <c r="HE153" i="34"/>
  <c r="LC57" i="34"/>
  <c r="JY102" i="34"/>
  <c r="MK137" i="34"/>
  <c r="EY115" i="34"/>
  <c r="S17" i="17"/>
  <c r="AN156" i="34"/>
  <c r="HD80" i="34"/>
  <c r="FA117" i="34"/>
  <c r="AO86" i="34"/>
  <c r="T122" i="34"/>
  <c r="IY127" i="34"/>
  <c r="OO121" i="34"/>
  <c r="EI173" i="34"/>
  <c r="KL81" i="34"/>
  <c r="LZ120" i="34"/>
  <c r="JG106" i="34"/>
  <c r="FQ78" i="33"/>
  <c r="CE128" i="34"/>
  <c r="DV175" i="34"/>
  <c r="EZ54" i="34"/>
  <c r="EK150" i="34"/>
  <c r="GM68" i="34"/>
  <c r="JF111" i="34"/>
  <c r="BB159" i="34"/>
  <c r="FS90" i="33"/>
  <c r="ON95" i="34"/>
  <c r="AP173" i="34"/>
  <c r="HV176" i="34"/>
  <c r="LG71" i="34"/>
  <c r="LW138" i="34"/>
  <c r="HU146" i="34"/>
  <c r="NG127" i="34"/>
  <c r="S185" i="23"/>
  <c r="HT133" i="34"/>
  <c r="DD95" i="34"/>
  <c r="AT92" i="33"/>
  <c r="CL141" i="34"/>
  <c r="PC41" i="34"/>
  <c r="DI77" i="34"/>
  <c r="CH87" i="34"/>
  <c r="JW161" i="34"/>
  <c r="EW110" i="34"/>
  <c r="CO52" i="34"/>
  <c r="FX155" i="34"/>
  <c r="AQ183" i="34"/>
  <c r="ME140" i="34"/>
  <c r="HV154" i="34"/>
  <c r="EG171" i="34"/>
  <c r="JG134" i="34"/>
  <c r="IS79" i="34"/>
  <c r="EA92" i="34"/>
  <c r="KL68" i="34"/>
  <c r="EX104" i="34"/>
  <c r="LC60" i="34"/>
  <c r="NH124" i="34"/>
  <c r="NE56" i="34"/>
  <c r="DA56" i="34"/>
  <c r="LF129" i="34"/>
  <c r="EX79" i="34"/>
  <c r="FV44" i="34"/>
  <c r="HV142" i="34"/>
  <c r="DD152" i="34"/>
  <c r="LK127" i="34"/>
  <c r="MD64" i="34"/>
  <c r="LZ111" i="34"/>
  <c r="NI72" i="34"/>
  <c r="CL135" i="34"/>
  <c r="IQ76" i="34"/>
  <c r="ML58" i="34"/>
  <c r="EH164" i="34"/>
  <c r="DX47" i="34"/>
  <c r="FV84" i="34"/>
  <c r="NL170" i="34"/>
  <c r="NP107" i="34"/>
  <c r="FV154" i="34"/>
  <c r="EW97" i="33"/>
  <c r="FT78" i="34"/>
  <c r="BP54" i="34"/>
  <c r="LA166" i="34"/>
  <c r="T165" i="34"/>
  <c r="HZ188" i="34"/>
  <c r="PX46" i="34"/>
  <c r="IS126" i="34"/>
  <c r="LF133" i="34"/>
  <c r="DV169" i="34"/>
  <c r="JC137" i="34"/>
  <c r="PA157" i="34"/>
  <c r="NI71" i="34"/>
  <c r="LF136" i="34"/>
  <c r="FN158" i="34"/>
  <c r="MA99" i="34"/>
  <c r="OL65" i="34"/>
  <c r="FP50" i="34"/>
  <c r="DY138" i="34"/>
  <c r="CI128" i="34"/>
  <c r="CI27" i="33"/>
  <c r="EG144" i="34"/>
  <c r="FQ81" i="33"/>
  <c r="IU133" i="34"/>
  <c r="EW145" i="34"/>
  <c r="FA131" i="34"/>
  <c r="CD116" i="34"/>
  <c r="DO20" i="33"/>
  <c r="NG48" i="34"/>
  <c r="JE108" i="34"/>
  <c r="FV75" i="34"/>
  <c r="OL139" i="34"/>
  <c r="DB85" i="34"/>
  <c r="CJ51" i="34"/>
  <c r="V78" i="34"/>
  <c r="JX117" i="34"/>
  <c r="ND76" i="34"/>
  <c r="IE174" i="34"/>
  <c r="KL115" i="34"/>
  <c r="IT163" i="34"/>
  <c r="FP88" i="34"/>
  <c r="IQ134" i="34"/>
  <c r="CD172" i="34"/>
  <c r="AO161" i="34"/>
  <c r="FT148" i="34"/>
  <c r="HT107" i="34"/>
  <c r="HH48" i="34"/>
  <c r="DO58" i="33"/>
  <c r="ON121" i="34"/>
  <c r="HH122" i="34"/>
  <c r="JT161" i="34"/>
  <c r="BQ95" i="34"/>
  <c r="AR165" i="34"/>
  <c r="B83" i="28"/>
  <c r="DI98" i="34"/>
  <c r="JF120" i="34"/>
  <c r="MI69" i="34"/>
  <c r="OL115" i="34"/>
  <c r="HV93" i="34"/>
  <c r="DA57" i="33"/>
  <c r="K131" i="34"/>
  <c r="MK171" i="34"/>
  <c r="EF59" i="34"/>
  <c r="NI109" i="34"/>
  <c r="CG93" i="34"/>
  <c r="AR32" i="33"/>
  <c r="GP122" i="34"/>
  <c r="IS59" i="34"/>
  <c r="MB108" i="34"/>
  <c r="CU5" i="34"/>
  <c r="DD98" i="34"/>
  <c r="DV88" i="34"/>
  <c r="EL33" i="33"/>
  <c r="DY78" i="33"/>
  <c r="BO110" i="34"/>
  <c r="IS81" i="34"/>
  <c r="IQ75" i="34"/>
  <c r="EG90" i="34"/>
  <c r="NO55" i="34"/>
  <c r="AA98" i="34"/>
  <c r="NE100" i="34"/>
  <c r="KL131" i="34"/>
  <c r="ML63" i="34"/>
  <c r="LW43" i="34"/>
  <c r="FV110" i="34"/>
  <c r="FN187" i="34"/>
  <c r="FQ121" i="34"/>
  <c r="MA145" i="34"/>
  <c r="JG151" i="34"/>
  <c r="KO170" i="34"/>
  <c r="BB154" i="34"/>
  <c r="KN43" i="34"/>
  <c r="FW118" i="34"/>
  <c r="EW81" i="33"/>
  <c r="JH84" i="34"/>
  <c r="AQ44" i="34"/>
  <c r="BP157" i="34"/>
  <c r="KB153" i="34"/>
  <c r="LC175" i="34"/>
  <c r="AD102" i="34"/>
  <c r="EC120" i="34"/>
  <c r="ML181" i="34"/>
  <c r="MC67" i="34"/>
  <c r="EK168" i="34"/>
  <c r="HH60" i="34"/>
  <c r="KL100" i="34"/>
  <c r="KL120" i="34"/>
  <c r="LJ89" i="34"/>
  <c r="CB51" i="33"/>
  <c r="AZ43" i="34"/>
  <c r="JD188" i="34"/>
  <c r="LX87" i="34"/>
  <c r="MO97" i="34"/>
  <c r="JV140" i="34"/>
  <c r="AR155" i="34"/>
  <c r="IU78" i="34"/>
  <c r="KA160" i="34"/>
  <c r="BC53" i="33"/>
  <c r="NA121" i="34"/>
  <c r="KQ113" i="34"/>
  <c r="LB90" i="34"/>
  <c r="FX139" i="34"/>
  <c r="KR127" i="34"/>
  <c r="NE132" i="34"/>
  <c r="FH29" i="33"/>
  <c r="DD50" i="34"/>
  <c r="W148" i="34"/>
  <c r="W104" i="34"/>
  <c r="EC153" i="34"/>
  <c r="IZ109" i="34"/>
  <c r="HT116" i="34"/>
  <c r="Y81" i="34"/>
  <c r="CR23" i="33"/>
  <c r="HY152" i="34"/>
  <c r="MK87" i="34"/>
  <c r="GL90" i="34"/>
  <c r="DD75" i="34"/>
  <c r="DB105" i="34"/>
  <c r="GP106" i="34"/>
  <c r="EI167" i="34"/>
  <c r="HH117" i="34"/>
  <c r="V173" i="34"/>
  <c r="PW85" i="34"/>
  <c r="CM141" i="34"/>
  <c r="PE143" i="34"/>
  <c r="DA136" i="34"/>
  <c r="EM84" i="33"/>
  <c r="KA67" i="34"/>
  <c r="EC140" i="34"/>
  <c r="MG176" i="34"/>
  <c r="FT51" i="34"/>
  <c r="DA107" i="34"/>
  <c r="HW91" i="34"/>
  <c r="GL163" i="34"/>
  <c r="JF69" i="34"/>
  <c r="AA140" i="34"/>
  <c r="DI59" i="34"/>
  <c r="MJ153" i="34"/>
  <c r="NG46" i="34"/>
  <c r="J65" i="34"/>
  <c r="GN96" i="34"/>
  <c r="LH175" i="34"/>
  <c r="CK87" i="34"/>
  <c r="DA49" i="34"/>
  <c r="FP91" i="34"/>
  <c r="JE63" i="34"/>
  <c r="DB100" i="34"/>
  <c r="DC117" i="34"/>
  <c r="HF58" i="34"/>
  <c r="HE98" i="34"/>
  <c r="IB153" i="34"/>
  <c r="JH167" i="34"/>
  <c r="AN106" i="34"/>
  <c r="OM150" i="34"/>
  <c r="HW74" i="34"/>
  <c r="KP84" i="34"/>
  <c r="DZ181" i="34"/>
  <c r="AV141" i="34"/>
  <c r="Z136" i="34"/>
  <c r="DD51" i="34"/>
  <c r="FA162" i="34"/>
  <c r="GK97" i="34"/>
  <c r="EW188" i="34"/>
  <c r="IW92" i="34"/>
  <c r="KR131" i="34"/>
  <c r="LC127" i="34"/>
  <c r="GK53" i="34"/>
  <c r="NH113" i="34"/>
  <c r="AY50" i="34"/>
  <c r="DA140" i="34"/>
  <c r="LE150" i="34"/>
  <c r="EG67" i="34"/>
  <c r="NE178" i="34"/>
  <c r="PB186" i="34"/>
  <c r="FO137" i="34"/>
  <c r="JG150" i="34"/>
  <c r="KR67" i="34"/>
  <c r="DX49" i="34"/>
  <c r="AB88" i="34"/>
  <c r="HC149" i="34"/>
  <c r="NH99" i="34"/>
  <c r="BJ124" i="28"/>
  <c r="OJ93" i="34"/>
  <c r="GP64" i="34"/>
  <c r="DW56" i="34"/>
  <c r="EC134" i="34"/>
  <c r="GQ53" i="34"/>
  <c r="HV80" i="34"/>
  <c r="PC152" i="34"/>
  <c r="KA97" i="34"/>
  <c r="OL108" i="34"/>
  <c r="JZ105" i="34"/>
  <c r="V171" i="34"/>
  <c r="KB113" i="34"/>
  <c r="NJ81" i="34"/>
  <c r="AB113" i="34"/>
  <c r="LA176" i="34"/>
  <c r="CM59" i="34"/>
  <c r="LD85" i="34"/>
  <c r="DZ139" i="34"/>
  <c r="W41" i="34"/>
  <c r="GQ175" i="34"/>
  <c r="HT136" i="34"/>
  <c r="HV82" i="34"/>
  <c r="CL151" i="34"/>
  <c r="HX57" i="34"/>
  <c r="AZ68" i="34"/>
  <c r="ED149" i="34"/>
  <c r="JW97" i="34"/>
  <c r="DI60" i="34"/>
  <c r="MF142" i="34"/>
  <c r="IZ153" i="34"/>
  <c r="FO95" i="34"/>
  <c r="OK149" i="34"/>
  <c r="FT172" i="34"/>
  <c r="JG99" i="34"/>
  <c r="AW166" i="34"/>
  <c r="X125" i="34"/>
  <c r="KQ70" i="34"/>
  <c r="GN41" i="34"/>
  <c r="IB56" i="34"/>
  <c r="KM68" i="34"/>
  <c r="HV68" i="34"/>
  <c r="CV90" i="33"/>
  <c r="JT137" i="34"/>
  <c r="MD101" i="34"/>
  <c r="KQ159" i="34"/>
  <c r="CK68" i="34"/>
  <c r="AT57" i="34"/>
  <c r="JZ45" i="34"/>
  <c r="IR183" i="34"/>
  <c r="IE171" i="34"/>
  <c r="FQ54" i="34"/>
  <c r="LE63" i="34"/>
  <c r="LB64" i="34"/>
  <c r="FA44" i="33"/>
  <c r="EC169" i="34"/>
  <c r="BP172" i="34"/>
  <c r="ME115" i="34"/>
  <c r="KN41" i="34"/>
  <c r="AN145" i="34"/>
  <c r="PE49" i="34"/>
  <c r="ME147" i="34"/>
  <c r="EQ10" i="34"/>
  <c r="LX89" i="34"/>
  <c r="LY105" i="34"/>
  <c r="AB138" i="34"/>
  <c r="DY84" i="34"/>
  <c r="EJ77" i="34"/>
  <c r="ND133" i="34"/>
  <c r="DG77" i="33"/>
  <c r="PC160" i="34"/>
  <c r="AA52" i="34"/>
  <c r="AN163" i="34"/>
  <c r="IZ118" i="34"/>
  <c r="MA87" i="34"/>
  <c r="LG174" i="34"/>
  <c r="BA134" i="34"/>
  <c r="MA45" i="34"/>
  <c r="OK187" i="34"/>
  <c r="W46" i="34"/>
  <c r="FO155" i="34"/>
  <c r="MJ126" i="34"/>
  <c r="LJ136" i="34"/>
  <c r="FV168" i="34"/>
  <c r="DA110" i="34"/>
  <c r="FT53" i="33"/>
  <c r="AH40" i="33"/>
  <c r="FN106" i="34"/>
  <c r="K65" i="33"/>
  <c r="LH163" i="34"/>
  <c r="BN43" i="33"/>
  <c r="DG124" i="34"/>
  <c r="EC102" i="34"/>
  <c r="HC110" i="34"/>
  <c r="GN168" i="34"/>
  <c r="GJ71" i="34"/>
  <c r="FN73" i="34"/>
  <c r="LG68" i="34"/>
  <c r="AL96" i="33"/>
  <c r="NN131" i="34"/>
  <c r="JU60" i="34"/>
  <c r="MG86" i="34"/>
  <c r="AU86" i="33"/>
  <c r="PI98" i="34"/>
  <c r="AJ64" i="33"/>
  <c r="EJ100" i="34"/>
  <c r="NB100" i="34"/>
  <c r="OO102" i="34"/>
  <c r="CN133" i="34"/>
  <c r="HH106" i="34"/>
  <c r="KQ158" i="34"/>
  <c r="GE30" i="33"/>
  <c r="LW147" i="34"/>
  <c r="DH46" i="34"/>
  <c r="NB110" i="34"/>
  <c r="CN165" i="34"/>
  <c r="KM126" i="34"/>
  <c r="NA178" i="34"/>
  <c r="IE143" i="34"/>
  <c r="NG142" i="34"/>
  <c r="AO117" i="34"/>
  <c r="IC149" i="34"/>
  <c r="CK125" i="34"/>
  <c r="X55" i="34"/>
  <c r="Y123" i="34"/>
  <c r="MK94" i="34"/>
  <c r="JH96" i="34"/>
  <c r="EX77" i="34"/>
  <c r="FD46" i="33"/>
  <c r="MO108" i="34"/>
  <c r="AC101" i="34"/>
  <c r="EK110" i="34"/>
  <c r="LA75" i="34"/>
  <c r="LW67" i="34"/>
  <c r="AX42" i="34"/>
  <c r="DH61" i="34"/>
  <c r="LJ49" i="34"/>
  <c r="NC56" i="34"/>
  <c r="JD174" i="34"/>
  <c r="W43" i="34"/>
  <c r="EI125" i="34"/>
  <c r="CG70" i="34"/>
  <c r="AD158" i="34"/>
  <c r="EE140" i="34"/>
  <c r="BN117" i="34"/>
  <c r="AZ106" i="34"/>
  <c r="KR101" i="34"/>
  <c r="Z58" i="34"/>
  <c r="GJ103" i="34"/>
  <c r="CB54" i="33"/>
  <c r="FX156" i="34"/>
  <c r="AY129" i="34"/>
  <c r="MG68" i="34"/>
  <c r="BP169" i="34"/>
  <c r="JH68" i="34"/>
  <c r="GK56" i="34"/>
  <c r="DJ53" i="34"/>
  <c r="MN57" i="34"/>
  <c r="KO159" i="34"/>
  <c r="ED33" i="33"/>
  <c r="BQ47" i="34"/>
  <c r="HU110" i="34"/>
  <c r="IV158" i="34"/>
  <c r="HV77" i="34"/>
  <c r="DB121" i="34"/>
  <c r="JW88" i="34"/>
  <c r="DW90" i="34"/>
  <c r="MO92" i="34"/>
  <c r="IZ149" i="34"/>
  <c r="GQ128" i="34"/>
  <c r="FR108" i="34"/>
  <c r="PE76" i="34"/>
  <c r="NO98" i="34"/>
  <c r="EG73" i="34"/>
  <c r="EJ130" i="34"/>
  <c r="ML77" i="34"/>
  <c r="JN8" i="34"/>
  <c r="PB120" i="34"/>
  <c r="EW85" i="34"/>
  <c r="MM187" i="34"/>
  <c r="JH55" i="34"/>
  <c r="BP105" i="34"/>
  <c r="CF127" i="34"/>
  <c r="HT59" i="34"/>
  <c r="MF134" i="34"/>
  <c r="HG119" i="34"/>
  <c r="HZ93" i="34"/>
  <c r="LJ82" i="34"/>
  <c r="IT113" i="34"/>
  <c r="NM51" i="34"/>
  <c r="ME160" i="34"/>
  <c r="IV169" i="34"/>
  <c r="JV137" i="34"/>
  <c r="Y54" i="34"/>
  <c r="FT146" i="34"/>
  <c r="AT183" i="34"/>
  <c r="J86" i="34"/>
  <c r="OJ92" i="34"/>
  <c r="EE55" i="34"/>
  <c r="JC79" i="34"/>
  <c r="LE187" i="34"/>
  <c r="KL147" i="34"/>
  <c r="AT50" i="34"/>
  <c r="FR116" i="34"/>
  <c r="EC99" i="34"/>
  <c r="MO67" i="34"/>
  <c r="DF54" i="34"/>
  <c r="ON165" i="34"/>
  <c r="DY153" i="34"/>
  <c r="IY61" i="34"/>
  <c r="MD97" i="34"/>
  <c r="AD133" i="34"/>
  <c r="AG18" i="34"/>
  <c r="GQ78" i="34"/>
  <c r="FW186" i="34"/>
  <c r="HX164" i="34"/>
  <c r="HU86" i="34"/>
  <c r="GK119" i="34"/>
  <c r="AD157" i="34"/>
  <c r="CL168" i="34"/>
  <c r="HH50" i="34"/>
  <c r="PE134" i="34"/>
  <c r="EC130" i="34"/>
  <c r="DT97" i="33"/>
  <c r="GQ117" i="34"/>
  <c r="PC81" i="34"/>
  <c r="PZ59" i="34"/>
  <c r="OL140" i="34"/>
  <c r="HY97" i="34"/>
  <c r="IB80" i="34"/>
  <c r="JB70" i="34"/>
  <c r="NE157" i="34"/>
  <c r="DB148" i="34"/>
  <c r="DZ176" i="34"/>
  <c r="AM95" i="34"/>
  <c r="EG119" i="34"/>
  <c r="GK52" i="34"/>
  <c r="HT66" i="34"/>
  <c r="HD125" i="34"/>
  <c r="FR178" i="34"/>
  <c r="EB94" i="34"/>
  <c r="DV134" i="34"/>
  <c r="CG80" i="34"/>
  <c r="MJ72" i="34"/>
  <c r="CG129" i="34"/>
  <c r="ND147" i="34"/>
  <c r="KR170" i="34"/>
  <c r="KQ77" i="34"/>
  <c r="EK64" i="34"/>
  <c r="FW127" i="34"/>
  <c r="LZ88" i="34"/>
  <c r="KB100" i="34"/>
  <c r="MO154" i="34"/>
  <c r="LH173" i="34"/>
  <c r="AM49" i="34"/>
  <c r="GK103" i="34"/>
  <c r="LG144" i="34"/>
  <c r="CJ74" i="34"/>
  <c r="MK146" i="34"/>
  <c r="JA84" i="34"/>
  <c r="MO74" i="34"/>
  <c r="LX82" i="34"/>
  <c r="NJ46" i="34"/>
  <c r="DB93" i="34"/>
  <c r="HU155" i="34"/>
  <c r="JX143" i="34"/>
  <c r="PI125" i="34"/>
  <c r="GO160" i="34"/>
  <c r="FP80" i="33"/>
  <c r="W146" i="34"/>
  <c r="PD67" i="34"/>
  <c r="KA115" i="34"/>
  <c r="LH138" i="34"/>
  <c r="DX101" i="34"/>
  <c r="GQ61" i="34"/>
  <c r="JU111" i="34"/>
  <c r="K89" i="34"/>
  <c r="CD69" i="33"/>
  <c r="IC174" i="34"/>
  <c r="AD47" i="33"/>
  <c r="NP167" i="34"/>
  <c r="IQ62" i="34"/>
  <c r="IZ49" i="34"/>
  <c r="CI74" i="34"/>
  <c r="Y153" i="34"/>
  <c r="IR100" i="34"/>
  <c r="JU142" i="34"/>
  <c r="LA120" i="34"/>
  <c r="CN75" i="34"/>
  <c r="ND161" i="34"/>
  <c r="DZ121" i="34"/>
  <c r="GO95" i="34"/>
  <c r="BQ89" i="34"/>
  <c r="CG176" i="34"/>
  <c r="LA97" i="34"/>
  <c r="PJ140" i="34"/>
  <c r="J156" i="34"/>
  <c r="IS70" i="34"/>
  <c r="DG80" i="34"/>
  <c r="PW77" i="34"/>
  <c r="X50" i="34"/>
  <c r="DH152" i="34"/>
  <c r="JT109" i="34"/>
  <c r="EG104" i="34"/>
  <c r="CI87" i="34"/>
  <c r="MB136" i="34"/>
  <c r="HY139" i="34"/>
  <c r="CK91" i="34"/>
  <c r="OO178" i="34"/>
  <c r="MC90" i="34"/>
  <c r="JC45" i="34"/>
  <c r="V131" i="34"/>
  <c r="MN152" i="34"/>
  <c r="NO166" i="34"/>
  <c r="IS44" i="34"/>
  <c r="GM159" i="34"/>
  <c r="FA181" i="34"/>
  <c r="AC149" i="34"/>
  <c r="IY104" i="34"/>
  <c r="DH161" i="34"/>
  <c r="S71" i="33"/>
  <c r="LG110" i="34"/>
  <c r="W93" i="34"/>
  <c r="J59" i="33"/>
  <c r="CF138" i="34"/>
  <c r="GM73" i="34"/>
  <c r="GJ41" i="34"/>
  <c r="LC56" i="34"/>
  <c r="LC90" i="34"/>
  <c r="DI144" i="34"/>
  <c r="DV96" i="34"/>
  <c r="LJ176" i="34"/>
  <c r="JY178" i="34"/>
  <c r="PH143" i="34"/>
  <c r="W97" i="34"/>
  <c r="JX135" i="34"/>
  <c r="HT161" i="34"/>
  <c r="AW101" i="34"/>
  <c r="BQ41" i="33"/>
  <c r="LG42" i="34"/>
  <c r="AD116" i="34"/>
  <c r="MH170" i="34"/>
  <c r="LW68" i="34"/>
  <c r="AS100" i="34"/>
  <c r="NG60" i="34"/>
  <c r="BA43" i="34"/>
  <c r="EF124" i="34"/>
  <c r="DB159" i="34"/>
  <c r="ED115" i="34"/>
  <c r="JB69" i="34"/>
  <c r="DD61" i="34"/>
  <c r="BL86" i="33"/>
  <c r="BP148" i="34"/>
  <c r="JW110" i="34"/>
  <c r="EG62" i="34"/>
  <c r="ME82" i="34"/>
  <c r="FP62" i="34"/>
  <c r="DB47" i="34"/>
  <c r="NK155" i="34"/>
  <c r="CM98" i="34"/>
  <c r="AM167" i="34"/>
  <c r="KB173" i="34"/>
  <c r="K50" i="33"/>
  <c r="NA93" i="34"/>
  <c r="JT152" i="34"/>
  <c r="DY178" i="34"/>
  <c r="DJ83" i="33"/>
  <c r="KM72" i="34"/>
  <c r="GO129" i="34"/>
  <c r="NP146" i="34"/>
  <c r="MK41" i="34"/>
  <c r="KN100" i="34"/>
  <c r="LF110" i="34"/>
  <c r="AV81" i="34"/>
  <c r="AM112" i="34"/>
  <c r="LH160" i="34"/>
  <c r="MH138" i="34"/>
  <c r="BP140" i="34"/>
  <c r="EJ117" i="34"/>
  <c r="NB99" i="34"/>
  <c r="NF49" i="34"/>
  <c r="IV167" i="34"/>
  <c r="PE106" i="34"/>
  <c r="IS127" i="34"/>
  <c r="CK152" i="34"/>
  <c r="LZ98" i="34"/>
  <c r="HE69" i="34"/>
  <c r="JB130" i="34"/>
  <c r="AV149" i="34"/>
  <c r="JA151" i="34"/>
  <c r="DY84" i="33"/>
  <c r="J167" i="34"/>
  <c r="OJ95" i="34"/>
  <c r="LI135" i="34"/>
  <c r="LB157" i="34"/>
  <c r="ON162" i="34"/>
  <c r="KM60" i="34"/>
  <c r="FP76" i="34"/>
  <c r="V147" i="34"/>
  <c r="FT80" i="34"/>
  <c r="FB72" i="34"/>
  <c r="ND55" i="34"/>
  <c r="GL65" i="34"/>
  <c r="AY151" i="34"/>
  <c r="CM53" i="34"/>
  <c r="AW53" i="34"/>
  <c r="DY78" i="34"/>
  <c r="AY86" i="34"/>
  <c r="FO48" i="34"/>
  <c r="FP84" i="33"/>
  <c r="JX41" i="34"/>
  <c r="X123" i="34"/>
  <c r="EX110" i="34"/>
  <c r="OK160" i="34"/>
  <c r="NI111" i="34"/>
  <c r="LJ124" i="34"/>
  <c r="DH144" i="34"/>
  <c r="EA144" i="34"/>
  <c r="ID164" i="34"/>
  <c r="CO91" i="34"/>
  <c r="IY112" i="34"/>
  <c r="V21" i="17"/>
  <c r="PX99" i="34"/>
  <c r="IT81" i="34"/>
  <c r="DH148" i="34"/>
  <c r="JZ183" i="34"/>
  <c r="EZ43" i="34"/>
  <c r="GQ105" i="34"/>
  <c r="HG73" i="34"/>
  <c r="DD119" i="34"/>
  <c r="EK61" i="34"/>
  <c r="EX121" i="34"/>
  <c r="FR30" i="33"/>
  <c r="JX124" i="34"/>
  <c r="EY79" i="34"/>
  <c r="JX95" i="34"/>
  <c r="AU72" i="34"/>
  <c r="MA125" i="34"/>
  <c r="DW141" i="34"/>
  <c r="LD81" i="34"/>
  <c r="IW176" i="34"/>
  <c r="KC124" i="34"/>
  <c r="HZ163" i="34"/>
  <c r="DV89" i="34"/>
  <c r="AY147" i="34"/>
  <c r="JZ160" i="34"/>
  <c r="JW162" i="34"/>
  <c r="EW146" i="34"/>
  <c r="MO167" i="34"/>
  <c r="LD144" i="34"/>
  <c r="BA127" i="34"/>
  <c r="CB39" i="33"/>
  <c r="CD118" i="34"/>
  <c r="FO122" i="34"/>
  <c r="EZ132" i="34"/>
  <c r="AT89" i="34"/>
  <c r="BO65" i="34"/>
  <c r="NP176" i="34"/>
  <c r="KL169" i="34"/>
  <c r="AA166" i="34"/>
  <c r="NB118" i="34"/>
  <c r="JU95" i="34"/>
  <c r="AD188" i="34"/>
  <c r="NB122" i="34"/>
  <c r="T104" i="34"/>
  <c r="FU128" i="34"/>
  <c r="AR122" i="34"/>
  <c r="OJ85" i="34"/>
  <c r="PH171" i="34"/>
  <c r="IS159" i="34"/>
  <c r="HZ175" i="34"/>
  <c r="JT144" i="34"/>
  <c r="IR145" i="34"/>
  <c r="DD156" i="34"/>
  <c r="S14" i="17"/>
  <c r="DW133" i="34"/>
  <c r="MA51" i="34"/>
  <c r="MG116" i="34"/>
  <c r="LY127" i="34"/>
  <c r="MM81" i="34"/>
  <c r="IY175" i="34"/>
  <c r="FQ98" i="34"/>
  <c r="CD58" i="34"/>
  <c r="ML176" i="34"/>
  <c r="MG152" i="34"/>
  <c r="NP169" i="34"/>
  <c r="DH125" i="34"/>
  <c r="GQ174" i="34"/>
  <c r="FT187" i="34"/>
  <c r="KM103" i="34"/>
  <c r="LA150" i="34"/>
  <c r="JF138" i="34"/>
  <c r="BX5" i="34"/>
  <c r="HT99" i="34"/>
  <c r="ES82" i="33"/>
  <c r="HU151" i="34"/>
  <c r="LA155" i="34"/>
  <c r="AV143" i="34"/>
  <c r="OJ176" i="34"/>
  <c r="JU181" i="34"/>
  <c r="K166" i="34"/>
  <c r="Z52" i="34"/>
  <c r="CI106" i="34"/>
  <c r="EK91" i="34"/>
  <c r="AB128" i="34"/>
  <c r="EE85" i="34"/>
  <c r="FS164" i="34"/>
  <c r="CM48" i="34"/>
  <c r="EH90" i="34"/>
  <c r="Y70" i="34"/>
  <c r="NC115" i="34"/>
  <c r="PY63" i="34"/>
  <c r="HH65" i="34"/>
  <c r="HX98" i="34"/>
  <c r="CN42" i="34"/>
  <c r="NB162" i="34"/>
  <c r="IU73" i="34"/>
  <c r="EJ96" i="34"/>
  <c r="FE83" i="33"/>
  <c r="OL172" i="34"/>
  <c r="EC152" i="34"/>
  <c r="AX108" i="34"/>
  <c r="PW105" i="34"/>
  <c r="AQ156" i="34"/>
  <c r="X71" i="34"/>
  <c r="NI95" i="34"/>
  <c r="BA145" i="34"/>
  <c r="PA64" i="34"/>
  <c r="EB47" i="34"/>
  <c r="MD148" i="34"/>
  <c r="LC161" i="34"/>
  <c r="X57" i="34"/>
  <c r="LK57" i="34"/>
  <c r="AS73" i="34"/>
  <c r="LE49" i="34"/>
  <c r="FP142" i="34"/>
  <c r="HC60" i="34"/>
  <c r="CG141" i="34"/>
  <c r="EI154" i="34"/>
  <c r="JW137" i="34"/>
  <c r="IZ119" i="34"/>
  <c r="DN44" i="33"/>
  <c r="AQ97" i="33"/>
  <c r="BQ135" i="34"/>
  <c r="IV56" i="34"/>
  <c r="AS41" i="34"/>
  <c r="LE139" i="34"/>
  <c r="LX138" i="34"/>
  <c r="CO169" i="34"/>
  <c r="LJ170" i="34"/>
  <c r="LX126" i="34"/>
  <c r="JT81" i="34"/>
  <c r="KA125" i="34"/>
  <c r="MO162" i="34"/>
  <c r="ON48" i="34"/>
  <c r="AS79" i="34"/>
  <c r="NK121" i="34"/>
  <c r="IA159" i="34"/>
  <c r="BJ90" i="33"/>
  <c r="HT141" i="34"/>
  <c r="Z51" i="34"/>
  <c r="AR49" i="34"/>
  <c r="HX78" i="34"/>
  <c r="NE164" i="34"/>
  <c r="MG133" i="34"/>
  <c r="EA81" i="34"/>
  <c r="IY129" i="34"/>
  <c r="IR166" i="34"/>
  <c r="LC55" i="34"/>
  <c r="JE107" i="34"/>
  <c r="KB156" i="34"/>
  <c r="NB163" i="34"/>
  <c r="PA113" i="34"/>
  <c r="W56" i="33"/>
  <c r="PC59" i="34"/>
  <c r="GP140" i="34"/>
  <c r="V165" i="34"/>
  <c r="MH45" i="34"/>
  <c r="LK104" i="34"/>
  <c r="PC79" i="34"/>
  <c r="PX128" i="34"/>
  <c r="AY66" i="33"/>
  <c r="JE103" i="34"/>
  <c r="J26" i="33"/>
  <c r="BN174" i="34"/>
  <c r="HF90" i="34"/>
  <c r="FB157" i="34"/>
  <c r="CN145" i="34"/>
  <c r="BN60" i="34"/>
  <c r="CE77" i="33"/>
  <c r="K81" i="34"/>
  <c r="KN90" i="34"/>
  <c r="OH163" i="34"/>
  <c r="FA88" i="34"/>
  <c r="HW77" i="34"/>
  <c r="AV171" i="34"/>
  <c r="FA165" i="34"/>
  <c r="PI153" i="34"/>
  <c r="T148" i="34"/>
  <c r="FW47" i="33"/>
  <c r="GO84" i="34"/>
  <c r="X70" i="34"/>
  <c r="KQ132" i="34"/>
  <c r="GL35" i="33"/>
  <c r="NN94" i="34"/>
  <c r="HY53" i="34"/>
  <c r="CH141" i="34"/>
  <c r="KM62" i="34"/>
  <c r="LG78" i="34"/>
  <c r="IT187" i="34"/>
  <c r="EX111" i="34"/>
  <c r="ML93" i="34"/>
  <c r="KQ51" i="34"/>
  <c r="JX93" i="34"/>
  <c r="KP129" i="34"/>
  <c r="DD146" i="34"/>
  <c r="HZ130" i="34"/>
  <c r="HG132" i="34"/>
  <c r="MN154" i="34"/>
  <c r="BG9" i="33"/>
  <c r="GL77" i="34"/>
  <c r="EM72" i="33"/>
  <c r="IA174" i="34"/>
  <c r="JY148" i="34"/>
  <c r="EC83" i="34"/>
  <c r="CH172" i="34"/>
  <c r="GK172" i="34"/>
  <c r="FP111" i="34"/>
  <c r="GQ139" i="34"/>
  <c r="PY156" i="34"/>
  <c r="KC48" i="34"/>
  <c r="JT166" i="34"/>
  <c r="Z66" i="34"/>
  <c r="GP105" i="34"/>
  <c r="EF153" i="34"/>
  <c r="GO46" i="34"/>
  <c r="HY170" i="34"/>
  <c r="MN143" i="34"/>
  <c r="BA170" i="34"/>
  <c r="AC156" i="34"/>
  <c r="BA112" i="34"/>
  <c r="LE149" i="34"/>
  <c r="EC87" i="34"/>
  <c r="BQ152" i="34"/>
  <c r="PG169" i="34"/>
  <c r="AX141" i="34"/>
  <c r="MH160" i="34"/>
  <c r="HW120" i="34"/>
  <c r="CO69" i="34"/>
  <c r="CI126" i="34"/>
  <c r="LG96" i="34"/>
  <c r="FX90" i="33"/>
  <c r="HE108" i="34"/>
  <c r="GQ136" i="34"/>
  <c r="JX118" i="34"/>
  <c r="LB58" i="34"/>
  <c r="P45" i="33"/>
  <c r="BA171" i="34"/>
  <c r="CK63" i="34"/>
  <c r="IW65" i="34"/>
  <c r="AT156" i="34"/>
  <c r="LW140" i="34"/>
  <c r="IZ159" i="34"/>
  <c r="AU99" i="34"/>
  <c r="KQ112" i="34"/>
  <c r="EX133" i="34"/>
  <c r="AU155" i="34"/>
  <c r="KM78" i="34"/>
  <c r="GL52" i="34"/>
  <c r="IU68" i="34"/>
  <c r="KP132" i="34"/>
  <c r="DB113" i="34"/>
  <c r="NJ99" i="34"/>
  <c r="IE123" i="34"/>
  <c r="F39" i="33"/>
  <c r="BK47" i="33"/>
  <c r="AR52" i="34"/>
  <c r="LI72" i="34"/>
  <c r="NJ126" i="34"/>
  <c r="FB175" i="34"/>
  <c r="IU105" i="34"/>
  <c r="NC78" i="34"/>
  <c r="DY140" i="34"/>
  <c r="EZ174" i="34"/>
  <c r="BQ151" i="34"/>
  <c r="CI183" i="34"/>
  <c r="IR188" i="34"/>
  <c r="FR128" i="34"/>
  <c r="JT110" i="34"/>
  <c r="JF60" i="34"/>
  <c r="MO188" i="34"/>
  <c r="V92" i="34"/>
  <c r="BO68" i="34"/>
  <c r="EE63" i="34"/>
  <c r="JX105" i="34"/>
  <c r="AQ76" i="33"/>
  <c r="AP96" i="34"/>
  <c r="DZ67" i="34"/>
  <c r="IT64" i="34"/>
  <c r="HE62" i="34"/>
  <c r="OH99" i="34"/>
  <c r="LD153" i="34"/>
  <c r="FU50" i="34"/>
  <c r="JT140" i="34"/>
  <c r="EL97" i="33"/>
  <c r="EB105" i="34"/>
  <c r="KN161" i="34"/>
  <c r="MI124" i="34"/>
  <c r="ON128" i="34"/>
  <c r="MH83" i="34"/>
  <c r="AQ73" i="34"/>
  <c r="GO181" i="34"/>
  <c r="GP151" i="34"/>
  <c r="NI183" i="34"/>
  <c r="GP69" i="34"/>
  <c r="KP160" i="34"/>
  <c r="LY176" i="34"/>
  <c r="LK142" i="34"/>
  <c r="S213" i="23"/>
  <c r="FQ131" i="34"/>
  <c r="NC124" i="34"/>
  <c r="HW93" i="34"/>
  <c r="IA107" i="34"/>
  <c r="JE49" i="34"/>
  <c r="AL86" i="33"/>
  <c r="AR137" i="34"/>
  <c r="EI156" i="34"/>
  <c r="EF175" i="34"/>
  <c r="DX54" i="34"/>
  <c r="MK115" i="34"/>
  <c r="AK74" i="33"/>
  <c r="ON159" i="34"/>
  <c r="CK65" i="34"/>
  <c r="AM71" i="34"/>
  <c r="AO74" i="34"/>
  <c r="KA71" i="34"/>
  <c r="EH125" i="34"/>
  <c r="LI92" i="34"/>
  <c r="AZ111" i="34"/>
  <c r="AV164" i="34"/>
  <c r="IA43" i="34"/>
  <c r="DC90" i="33"/>
  <c r="DK61" i="33"/>
  <c r="FT101" i="34"/>
  <c r="GN123" i="34"/>
  <c r="FR52" i="34"/>
  <c r="EC159" i="34"/>
  <c r="T143" i="34"/>
  <c r="AS151" i="34"/>
  <c r="LA144" i="34"/>
  <c r="DX88" i="34"/>
  <c r="DV153" i="34"/>
  <c r="EJ58" i="34"/>
  <c r="OO41" i="34"/>
  <c r="CL79" i="33"/>
  <c r="Z126" i="34"/>
  <c r="MO55" i="34"/>
  <c r="ME135" i="34"/>
  <c r="FE71" i="33"/>
  <c r="HV111" i="34"/>
  <c r="AT66" i="34"/>
  <c r="AZ73" i="34"/>
  <c r="KN125" i="34"/>
  <c r="JE61" i="34"/>
  <c r="EA56" i="34"/>
  <c r="AW90" i="33"/>
  <c r="W100" i="34"/>
  <c r="FS91" i="34"/>
  <c r="EK36" i="33"/>
  <c r="MF51" i="34"/>
  <c r="CJ67" i="34"/>
  <c r="DV82" i="34"/>
  <c r="AV56" i="34"/>
  <c r="ML150" i="34"/>
  <c r="DL64" i="33"/>
  <c r="LX120" i="34"/>
  <c r="FA86" i="34"/>
  <c r="EA77" i="34"/>
  <c r="OO50" i="34"/>
  <c r="MB120" i="34"/>
  <c r="LW109" i="34"/>
  <c r="BA57" i="34"/>
  <c r="AB125" i="34"/>
  <c r="LB148" i="34"/>
  <c r="JT181" i="34"/>
  <c r="EB175" i="34"/>
  <c r="HD71" i="34"/>
  <c r="IS145" i="34"/>
  <c r="IV62" i="34"/>
  <c r="JD187" i="34"/>
  <c r="LX153" i="34"/>
  <c r="HZ81" i="34"/>
  <c r="AS90" i="34"/>
  <c r="AM62" i="34"/>
  <c r="MJ66" i="34"/>
  <c r="DE75" i="34"/>
  <c r="AT66" i="33"/>
  <c r="EK96" i="34"/>
  <c r="LX108" i="34"/>
  <c r="NC105" i="34"/>
  <c r="LI78" i="34"/>
  <c r="BP80" i="34"/>
  <c r="AP75" i="34"/>
  <c r="JW170" i="34"/>
  <c r="PW134" i="34"/>
  <c r="BB183" i="34"/>
  <c r="PC129" i="34"/>
  <c r="EX188" i="34"/>
  <c r="JH95" i="34"/>
  <c r="FR59" i="34"/>
  <c r="AV88" i="34"/>
  <c r="LH142" i="34"/>
  <c r="DW55" i="34"/>
  <c r="AX145" i="34"/>
  <c r="U43" i="34"/>
  <c r="FU146" i="34"/>
  <c r="LJ117" i="34"/>
  <c r="DA166" i="34"/>
  <c r="BR103" i="34"/>
  <c r="DE51" i="33"/>
  <c r="EF158" i="34"/>
  <c r="DY45" i="34"/>
  <c r="HU131" i="34"/>
  <c r="LX186" i="34"/>
  <c r="HX121" i="34"/>
  <c r="JE137" i="34"/>
  <c r="PY149" i="34"/>
  <c r="AV123" i="34"/>
  <c r="V82" i="34"/>
  <c r="CE49" i="33"/>
  <c r="DC130" i="34"/>
  <c r="EE58" i="33"/>
  <c r="IZ147" i="34"/>
  <c r="DY42" i="34"/>
  <c r="BA165" i="34"/>
  <c r="LE70" i="34"/>
  <c r="LF134" i="34"/>
  <c r="IW167" i="34"/>
  <c r="AQ108" i="34"/>
  <c r="EG112" i="34"/>
  <c r="MH76" i="34"/>
  <c r="DF186" i="34"/>
  <c r="HF155" i="34"/>
  <c r="NO106" i="34"/>
  <c r="IS68" i="34"/>
  <c r="NC135" i="34"/>
  <c r="LK124" i="34"/>
  <c r="FE41" i="33"/>
  <c r="LG104" i="34"/>
  <c r="DI91" i="34"/>
  <c r="GJ186" i="34"/>
  <c r="GL135" i="34"/>
  <c r="DX188" i="34"/>
  <c r="FR166" i="34"/>
  <c r="DG145" i="34"/>
  <c r="MD149" i="34"/>
  <c r="NA54" i="34"/>
  <c r="CG140" i="34"/>
  <c r="EH47" i="34"/>
  <c r="CJ80" i="34"/>
  <c r="EH167" i="34"/>
  <c r="NF156" i="34"/>
  <c r="FR56" i="33"/>
  <c r="CE142" i="34"/>
  <c r="IC173" i="34"/>
  <c r="LK94" i="34"/>
  <c r="Z49" i="34"/>
  <c r="AT148" i="34"/>
  <c r="IT120" i="34"/>
  <c r="DI138" i="34"/>
  <c r="EW187" i="34"/>
  <c r="X45" i="34"/>
  <c r="AN58" i="34"/>
  <c r="HD49" i="34"/>
  <c r="LH116" i="34"/>
  <c r="AT104" i="34"/>
  <c r="HC119" i="34"/>
  <c r="AW112" i="34"/>
  <c r="LG118" i="34"/>
  <c r="T162" i="34"/>
  <c r="HX51" i="34"/>
  <c r="OI144" i="34"/>
  <c r="IZ143" i="34"/>
  <c r="JT63" i="34"/>
  <c r="OO129" i="34"/>
  <c r="GJ46" i="33"/>
  <c r="NA101" i="34"/>
  <c r="LZ68" i="34"/>
  <c r="GJ80" i="34"/>
  <c r="DY116" i="34"/>
  <c r="ID93" i="34"/>
  <c r="JU72" i="34"/>
  <c r="V42" i="34"/>
  <c r="HW131" i="34"/>
  <c r="L9" i="33"/>
  <c r="GL98" i="34"/>
  <c r="LF163" i="34"/>
  <c r="CE72" i="34"/>
  <c r="NK141" i="34"/>
  <c r="AW46" i="33"/>
  <c r="DE104" i="34"/>
  <c r="DU45" i="33"/>
  <c r="LW56" i="34"/>
  <c r="NT4" i="34"/>
  <c r="HC45" i="34"/>
  <c r="ID77" i="34"/>
  <c r="KN119" i="34"/>
  <c r="JY115" i="34"/>
  <c r="LA101" i="34"/>
  <c r="JZ186" i="34"/>
  <c r="GN103" i="34"/>
  <c r="AT165" i="34"/>
  <c r="K132" i="34"/>
  <c r="BN162" i="34"/>
  <c r="DH63" i="34"/>
  <c r="DF68" i="34"/>
  <c r="KM88" i="34"/>
  <c r="KQ53" i="34"/>
  <c r="LX156" i="34"/>
  <c r="DG56" i="34"/>
  <c r="LC178" i="34"/>
  <c r="AW109" i="34"/>
  <c r="JW175" i="34"/>
  <c r="EF133" i="34"/>
  <c r="FR43" i="34"/>
  <c r="Z76" i="34"/>
  <c r="DZ107" i="34"/>
  <c r="AP45" i="34"/>
  <c r="CI57" i="34"/>
  <c r="CM176" i="34"/>
  <c r="JH176" i="34"/>
  <c r="PC135" i="34"/>
  <c r="J162" i="34"/>
  <c r="HY113" i="34"/>
  <c r="LB187" i="34"/>
  <c r="DV116" i="34"/>
  <c r="AY155" i="34"/>
  <c r="IU142" i="34"/>
  <c r="KP74" i="34"/>
  <c r="MK85" i="34"/>
  <c r="CG67" i="34"/>
  <c r="LH164" i="34"/>
  <c r="AB159" i="34"/>
  <c r="GJ187" i="34"/>
  <c r="HG45" i="34"/>
  <c r="HZ51" i="34"/>
  <c r="EZ87" i="34"/>
  <c r="LI160" i="34"/>
  <c r="CF60" i="33"/>
  <c r="AV82" i="33"/>
  <c r="NA148" i="34"/>
  <c r="AS94" i="34"/>
  <c r="BQ106" i="34"/>
  <c r="LC143" i="34"/>
  <c r="OL76" i="34"/>
  <c r="JV55" i="34"/>
  <c r="LI144" i="34"/>
  <c r="DC132" i="34"/>
  <c r="HV135" i="34"/>
  <c r="NC169" i="34"/>
  <c r="EI86" i="34"/>
  <c r="IU66" i="34"/>
  <c r="GM144" i="34"/>
  <c r="CI143" i="34"/>
  <c r="MC57" i="34"/>
  <c r="CC28" i="33"/>
  <c r="LI93" i="34"/>
  <c r="JF87" i="34"/>
  <c r="PB155" i="34"/>
  <c r="KO130" i="34"/>
  <c r="CH137" i="34"/>
  <c r="EJ70" i="34"/>
  <c r="DE105" i="34"/>
  <c r="EH144" i="34"/>
  <c r="FS153" i="34"/>
  <c r="JV138" i="34"/>
  <c r="AV153" i="34"/>
  <c r="AB48" i="34"/>
  <c r="BA160" i="34"/>
  <c r="GM78" i="34"/>
  <c r="LC46" i="34"/>
  <c r="FA140" i="34"/>
  <c r="MJ131" i="34"/>
  <c r="T82" i="34"/>
  <c r="CA85" i="33"/>
  <c r="IU131" i="34"/>
  <c r="HF162" i="34"/>
  <c r="CI51" i="33"/>
  <c r="NE96" i="34"/>
  <c r="PX142" i="34"/>
  <c r="FB131" i="34"/>
  <c r="HE165" i="34"/>
  <c r="GO136" i="34"/>
  <c r="PJ51" i="34"/>
  <c r="EC110" i="34"/>
  <c r="DJ57" i="34"/>
  <c r="DX165" i="34"/>
  <c r="KM168" i="34"/>
  <c r="PF115" i="34"/>
  <c r="BH76" i="33"/>
  <c r="EE89" i="34"/>
  <c r="CD83" i="33"/>
  <c r="DH123" i="34"/>
  <c r="HW137" i="34"/>
  <c r="NL67" i="34"/>
  <c r="IY137" i="34"/>
  <c r="CF128" i="34"/>
  <c r="NJ86" i="34"/>
  <c r="NE76" i="34"/>
  <c r="AZ79" i="34"/>
  <c r="FV86" i="34"/>
  <c r="AU94" i="34"/>
  <c r="EG187" i="34"/>
  <c r="GN66" i="33"/>
  <c r="DC91" i="34"/>
  <c r="EZ188" i="34"/>
  <c r="FS172" i="34"/>
  <c r="NI115" i="34"/>
  <c r="ED53" i="33"/>
  <c r="CK187" i="34"/>
  <c r="GL49" i="34"/>
  <c r="DV46" i="34"/>
  <c r="IC144" i="34"/>
  <c r="FT186" i="34"/>
  <c r="MB98" i="34"/>
  <c r="DI127" i="34"/>
  <c r="KB168" i="34"/>
  <c r="LF90" i="34"/>
  <c r="CF151" i="34"/>
  <c r="KP172" i="34"/>
  <c r="GN170" i="34"/>
  <c r="KM57" i="34"/>
  <c r="DJ61" i="34"/>
  <c r="IY130" i="34"/>
  <c r="NG188" i="34"/>
  <c r="LE87" i="34"/>
  <c r="IR94" i="34"/>
  <c r="LE91" i="34"/>
  <c r="KM85" i="34"/>
  <c r="DW174" i="34"/>
  <c r="IU162" i="34"/>
  <c r="GP66" i="34"/>
  <c r="AX43" i="34"/>
  <c r="GQ66" i="34"/>
  <c r="IA73" i="34"/>
  <c r="KC129" i="34"/>
  <c r="GN106" i="34"/>
  <c r="AC148" i="34"/>
  <c r="NN151" i="34"/>
  <c r="NF174" i="34"/>
  <c r="HF178" i="34"/>
  <c r="MF178" i="34"/>
  <c r="AY54" i="34"/>
  <c r="FX86" i="34"/>
  <c r="MM138" i="34"/>
  <c r="DY104" i="34"/>
  <c r="JU170" i="34"/>
  <c r="PD116" i="34"/>
  <c r="HY122" i="34"/>
  <c r="MK54" i="34"/>
  <c r="PF150" i="34"/>
  <c r="DN73" i="33"/>
  <c r="PY85" i="34"/>
  <c r="JY141" i="34"/>
  <c r="DK40" i="33"/>
  <c r="LZ178" i="34"/>
  <c r="GD77" i="33"/>
  <c r="HV66" i="34"/>
  <c r="DB142" i="34"/>
  <c r="EZ27" i="33"/>
  <c r="NN148" i="34"/>
  <c r="EQ69" i="33"/>
  <c r="OI78" i="34"/>
  <c r="MA96" i="34"/>
  <c r="DL29" i="33"/>
  <c r="EW167" i="34"/>
  <c r="U78" i="34"/>
  <c r="MN79" i="34"/>
  <c r="BA148" i="34"/>
  <c r="NM175" i="34"/>
  <c r="EI164" i="34"/>
  <c r="AY156" i="34"/>
  <c r="J100" i="34"/>
  <c r="CE131" i="34"/>
  <c r="AR28" i="33"/>
  <c r="LE145" i="34"/>
  <c r="DF90" i="34"/>
  <c r="IT152" i="34"/>
  <c r="EY153" i="34"/>
  <c r="FR55" i="34"/>
  <c r="GK113" i="34"/>
  <c r="NN172" i="34"/>
  <c r="KP171" i="34"/>
  <c r="JV164" i="34"/>
  <c r="HV78" i="34"/>
  <c r="AL54" i="33"/>
  <c r="EZ82" i="34"/>
  <c r="CO73" i="34"/>
  <c r="IT78" i="34"/>
  <c r="JD166" i="34"/>
  <c r="LX98" i="34"/>
  <c r="GP110" i="34"/>
  <c r="CO77" i="34"/>
  <c r="ID172" i="34"/>
  <c r="LG161" i="34"/>
  <c r="OO133" i="34"/>
  <c r="GK81" i="34"/>
  <c r="OJ59" i="34"/>
  <c r="IE83" i="34"/>
  <c r="LD121" i="34"/>
  <c r="IQ163" i="34"/>
  <c r="NG49" i="34"/>
  <c r="FQ178" i="34"/>
  <c r="CN59" i="34"/>
  <c r="NK59" i="34"/>
  <c r="AV44" i="34"/>
  <c r="FB61" i="34"/>
  <c r="FT135" i="34"/>
  <c r="DY53" i="34"/>
  <c r="CG108" i="34"/>
  <c r="W147" i="34"/>
  <c r="NC92" i="34"/>
  <c r="IW164" i="34"/>
  <c r="EA124" i="34"/>
  <c r="KB69" i="34"/>
  <c r="HE64" i="34"/>
  <c r="HU85" i="34"/>
  <c r="FV120" i="34"/>
  <c r="FP38" i="33"/>
  <c r="FN83" i="34"/>
  <c r="DH171" i="34"/>
  <c r="JN11" i="34"/>
  <c r="FS128" i="34"/>
  <c r="LH48" i="34"/>
  <c r="ON116" i="34"/>
  <c r="IV181" i="34"/>
  <c r="NG79" i="34"/>
  <c r="JH161" i="34"/>
  <c r="MO148" i="34"/>
  <c r="MN124" i="34"/>
  <c r="MA120" i="34"/>
  <c r="EZ78" i="34"/>
  <c r="JF128" i="34"/>
  <c r="EH149" i="34"/>
  <c r="AQ150" i="34"/>
  <c r="MA49" i="34"/>
  <c r="CE106" i="34"/>
  <c r="GN137" i="34"/>
  <c r="NE147" i="34"/>
  <c r="CO49" i="33"/>
  <c r="CW76" i="33"/>
  <c r="JF104" i="34"/>
  <c r="OO139" i="34"/>
  <c r="CB82" i="33"/>
  <c r="AD49" i="34"/>
  <c r="JU153" i="34"/>
  <c r="PA140" i="34"/>
  <c r="AV96" i="34"/>
  <c r="MJ147" i="34"/>
  <c r="AU92" i="34"/>
  <c r="IY95" i="34"/>
  <c r="EW84" i="34"/>
  <c r="KB95" i="34"/>
  <c r="ML139" i="34"/>
  <c r="GA83" i="33"/>
  <c r="NA75" i="34"/>
  <c r="BF5" i="34"/>
  <c r="JH45" i="34"/>
  <c r="KC87" i="34"/>
  <c r="GQ171" i="34"/>
  <c r="LJ147" i="34"/>
  <c r="CN136" i="34"/>
  <c r="GL137" i="34"/>
  <c r="ED116" i="34"/>
  <c r="PB87" i="34"/>
  <c r="LG77" i="34"/>
  <c r="BB84" i="33"/>
  <c r="NE122" i="34"/>
  <c r="LC41" i="34"/>
  <c r="GJ188" i="34"/>
  <c r="DE83" i="34"/>
  <c r="KB87" i="34"/>
  <c r="LX176" i="34"/>
  <c r="KP62" i="34"/>
  <c r="GP146" i="34"/>
  <c r="DD70" i="34"/>
  <c r="JY91" i="34"/>
  <c r="NJ170" i="34"/>
  <c r="BN64" i="34"/>
  <c r="KN154" i="34"/>
  <c r="FT58" i="34"/>
  <c r="EA155" i="34"/>
  <c r="EE84" i="34"/>
  <c r="HG68" i="34"/>
  <c r="CN69" i="33"/>
  <c r="IB107" i="34"/>
  <c r="FX72" i="34"/>
  <c r="HW51" i="34"/>
  <c r="JY76" i="34"/>
  <c r="PJ81" i="34"/>
  <c r="IQ173" i="34"/>
  <c r="KN118" i="34"/>
  <c r="EB153" i="34"/>
  <c r="FU162" i="34"/>
  <c r="JD98" i="34"/>
  <c r="DA183" i="34"/>
  <c r="KA79" i="34"/>
  <c r="GL168" i="34"/>
  <c r="NP71" i="34"/>
  <c r="LA92" i="34"/>
  <c r="CM84" i="34"/>
  <c r="KO175" i="34"/>
  <c r="LX119" i="34"/>
  <c r="ED40" i="33"/>
  <c r="FB69" i="34"/>
  <c r="KM105" i="34"/>
  <c r="NM144" i="34"/>
  <c r="DH64" i="34"/>
  <c r="K98" i="34"/>
  <c r="GM157" i="34"/>
  <c r="AX170" i="34"/>
  <c r="AO47" i="34"/>
  <c r="LI65" i="34"/>
  <c r="KM172" i="34"/>
  <c r="FS167" i="34"/>
  <c r="KR49" i="34"/>
  <c r="GN48" i="34"/>
  <c r="MF63" i="34"/>
  <c r="JC109" i="34"/>
  <c r="DF170" i="34"/>
  <c r="ON120" i="34"/>
  <c r="EC103" i="34"/>
  <c r="AG72" i="33"/>
  <c r="NK164" i="34"/>
  <c r="JU183" i="34"/>
  <c r="DJ94" i="34"/>
  <c r="IQ137" i="34"/>
  <c r="MM59" i="34"/>
  <c r="OI62" i="34"/>
  <c r="MI54" i="34"/>
  <c r="IB144" i="34"/>
  <c r="JY153" i="34"/>
  <c r="EJ167" i="34"/>
  <c r="HD164" i="34"/>
  <c r="LH169" i="34"/>
  <c r="JV162" i="34"/>
  <c r="AV134" i="34"/>
  <c r="DA122" i="34"/>
  <c r="EZ71" i="33"/>
  <c r="MF44" i="34"/>
  <c r="GL88" i="34"/>
  <c r="ID154" i="34"/>
  <c r="AZ138" i="34"/>
  <c r="AY168" i="34"/>
  <c r="LA115" i="34"/>
  <c r="GO110" i="34"/>
  <c r="LG58" i="34"/>
  <c r="DD127" i="34"/>
  <c r="MN164" i="34"/>
  <c r="EK46" i="33"/>
  <c r="JT65" i="34"/>
  <c r="NL80" i="34"/>
  <c r="FS161" i="34"/>
  <c r="PW157" i="34"/>
  <c r="PY89" i="34"/>
  <c r="FS88" i="34"/>
  <c r="AZ132" i="34"/>
  <c r="FA75" i="34"/>
  <c r="BA108" i="34"/>
  <c r="LD78" i="34"/>
  <c r="CJ43" i="33"/>
  <c r="CE41" i="34"/>
  <c r="LK86" i="34"/>
  <c r="JT101" i="34"/>
  <c r="FX160" i="34"/>
  <c r="HV46" i="34"/>
  <c r="KR120" i="34"/>
  <c r="OH119" i="34"/>
  <c r="NL151" i="34"/>
  <c r="KQ96" i="34"/>
  <c r="EZ70" i="34"/>
  <c r="Z97" i="34"/>
  <c r="ES44" i="33"/>
  <c r="KL181" i="34"/>
  <c r="GL44" i="34"/>
  <c r="JT55" i="34"/>
  <c r="KA83" i="34"/>
  <c r="CF102" i="34"/>
  <c r="KN55" i="34"/>
  <c r="IQ168" i="34"/>
  <c r="FO118" i="34"/>
  <c r="DV42" i="34"/>
  <c r="EH120" i="34"/>
  <c r="GI20" i="33"/>
  <c r="OH60" i="34"/>
  <c r="FO78" i="34"/>
  <c r="HC140" i="34"/>
  <c r="CQ39" i="33"/>
  <c r="IU145" i="34"/>
  <c r="IW174" i="34"/>
  <c r="KL111" i="34"/>
  <c r="HD169" i="34"/>
  <c r="KP90" i="34"/>
  <c r="LG97" i="34"/>
  <c r="S48" i="33"/>
  <c r="PW132" i="34"/>
  <c r="CK60" i="34"/>
  <c r="IV175" i="34"/>
  <c r="LI139" i="34"/>
  <c r="AQ128" i="34"/>
  <c r="LI62" i="34"/>
  <c r="GK173" i="34"/>
  <c r="P79" i="33"/>
  <c r="AU91" i="34"/>
  <c r="GN113" i="34"/>
  <c r="FP101" i="34"/>
  <c r="FS178" i="34"/>
  <c r="CD124" i="34"/>
  <c r="PK76" i="34"/>
  <c r="JC176" i="34"/>
  <c r="W126" i="34"/>
  <c r="JT170" i="34"/>
  <c r="BB106" i="34"/>
  <c r="KN126" i="34"/>
  <c r="AY91" i="34"/>
  <c r="T140" i="34"/>
  <c r="MN173" i="34"/>
  <c r="IW106" i="34"/>
  <c r="LK88" i="34"/>
  <c r="HX43" i="34"/>
  <c r="LH104" i="34"/>
  <c r="AX137" i="34"/>
  <c r="NM64" i="34"/>
  <c r="ML128" i="34"/>
  <c r="LI187" i="34"/>
  <c r="HT123" i="34"/>
  <c r="X157" i="34"/>
  <c r="K96" i="34"/>
  <c r="DR49" i="33"/>
  <c r="DZ113" i="34"/>
  <c r="MJ145" i="34"/>
  <c r="CM110" i="34"/>
  <c r="FT65" i="34"/>
  <c r="HD42" i="34"/>
  <c r="IE41" i="34"/>
  <c r="FW174" i="34"/>
  <c r="DF166" i="34"/>
  <c r="IA51" i="34"/>
  <c r="AK69" i="33"/>
  <c r="AY72" i="34"/>
  <c r="KB136" i="34"/>
  <c r="BP142" i="34"/>
  <c r="HF105" i="34"/>
  <c r="MO169" i="34"/>
  <c r="ME101" i="34"/>
  <c r="EH128" i="34"/>
  <c r="FG28" i="33"/>
  <c r="GO165" i="34"/>
  <c r="EB90" i="34"/>
  <c r="MB126" i="34"/>
  <c r="DZ130" i="34"/>
  <c r="AV52" i="34"/>
  <c r="GO104" i="34"/>
  <c r="FQ70" i="34"/>
  <c r="PI48" i="34"/>
  <c r="FP54" i="34"/>
  <c r="EX155" i="34"/>
  <c r="EE94" i="34"/>
  <c r="NJ61" i="34"/>
  <c r="JY43" i="34"/>
  <c r="IE67" i="34"/>
  <c r="KQ79" i="34"/>
  <c r="BJ39" i="33"/>
  <c r="ML168" i="34"/>
  <c r="DB70" i="34"/>
  <c r="JA121" i="34"/>
  <c r="FR93" i="34"/>
  <c r="HV173" i="34"/>
  <c r="HH137" i="34"/>
  <c r="BP108" i="34"/>
  <c r="EI85" i="34"/>
  <c r="ID87" i="34"/>
  <c r="BO135" i="34"/>
  <c r="IW80" i="34"/>
  <c r="OM175" i="34"/>
  <c r="AU45" i="34"/>
  <c r="EP66" i="33"/>
  <c r="AW131" i="34"/>
  <c r="BO92" i="34"/>
  <c r="LC75" i="34"/>
  <c r="BP152" i="34"/>
  <c r="T68" i="34"/>
  <c r="AZ104" i="34"/>
  <c r="DA138" i="34"/>
  <c r="NC51" i="34"/>
  <c r="HT171" i="34"/>
  <c r="LC110" i="34"/>
  <c r="EF66" i="34"/>
  <c r="HX147" i="34"/>
  <c r="MB91" i="34"/>
  <c r="GP100" i="34"/>
  <c r="MD174" i="34"/>
  <c r="PJ138" i="34"/>
  <c r="LY122" i="34"/>
  <c r="U142" i="34"/>
  <c r="EC188" i="34"/>
  <c r="NB50" i="34"/>
  <c r="FN49" i="34"/>
  <c r="KL117" i="34"/>
  <c r="EI137" i="34"/>
  <c r="EA130" i="34"/>
  <c r="BB103" i="34"/>
  <c r="GM61" i="33"/>
  <c r="IY172" i="34"/>
  <c r="EY73" i="34"/>
  <c r="OL136" i="34"/>
  <c r="AR90" i="33"/>
  <c r="FX111" i="34"/>
  <c r="IC72" i="34"/>
  <c r="EZ112" i="34"/>
  <c r="DE96" i="34"/>
  <c r="PC140" i="34"/>
  <c r="K88" i="34"/>
  <c r="JC161" i="34"/>
  <c r="LK95" i="34"/>
  <c r="FA45" i="34"/>
  <c r="CE80" i="34"/>
  <c r="NP165" i="34"/>
  <c r="DD157" i="34"/>
  <c r="EG76" i="34"/>
  <c r="JU135" i="34"/>
  <c r="AV54" i="33"/>
  <c r="J141" i="34"/>
  <c r="IA103" i="34"/>
  <c r="CI107" i="34"/>
  <c r="AW90" i="34"/>
  <c r="MO137" i="34"/>
  <c r="DW176" i="34"/>
  <c r="PY68" i="34"/>
  <c r="JW42" i="34"/>
  <c r="NI146" i="34"/>
  <c r="K178" i="34"/>
  <c r="BR67" i="34"/>
  <c r="AS178" i="34"/>
  <c r="GL159" i="34"/>
  <c r="ID81" i="34"/>
  <c r="AO155" i="34"/>
  <c r="V159" i="34"/>
  <c r="NK142" i="34"/>
  <c r="GO49" i="34"/>
  <c r="KQ78" i="34"/>
  <c r="KL67" i="34"/>
  <c r="CI52" i="34"/>
  <c r="JA53" i="34"/>
  <c r="BB161" i="34"/>
  <c r="HD146" i="34"/>
  <c r="IS74" i="34"/>
  <c r="JC181" i="34"/>
  <c r="NI149" i="34"/>
  <c r="EA163" i="34"/>
  <c r="FN87" i="34"/>
  <c r="AW175" i="34"/>
  <c r="JC77" i="34"/>
  <c r="NG100" i="34"/>
  <c r="LG136" i="34"/>
  <c r="GL48" i="34"/>
  <c r="JA89" i="34"/>
  <c r="NI98" i="34"/>
  <c r="EJ65" i="34"/>
  <c r="BB41" i="33"/>
  <c r="CO50" i="34"/>
  <c r="BR105" i="34"/>
  <c r="NJ181" i="34"/>
  <c r="EY58" i="34"/>
  <c r="AU87" i="34"/>
  <c r="FT144" i="34"/>
  <c r="JZ50" i="34"/>
  <c r="FT175" i="34"/>
  <c r="GJ64" i="34"/>
  <c r="HV136" i="34"/>
  <c r="Y58" i="34"/>
  <c r="LE176" i="34"/>
  <c r="KC117" i="34"/>
  <c r="DH78" i="34"/>
  <c r="HH146" i="34"/>
  <c r="EZ104" i="34"/>
  <c r="LC108" i="34"/>
  <c r="CZ71" i="33"/>
  <c r="AD45" i="33"/>
  <c r="AU131" i="34"/>
  <c r="ON68" i="34"/>
  <c r="MK77" i="34"/>
  <c r="NA134" i="34"/>
  <c r="Y98" i="34"/>
  <c r="IT106" i="34"/>
  <c r="PX158" i="34"/>
  <c r="K129" i="34"/>
  <c r="FQ146" i="34"/>
  <c r="CK50" i="34"/>
  <c r="IQ166" i="34"/>
  <c r="BL58" i="33"/>
  <c r="NM94" i="34"/>
  <c r="GO81" i="34"/>
  <c r="CX56" i="33"/>
  <c r="AN60" i="34"/>
  <c r="PI142" i="34"/>
  <c r="CF68" i="34"/>
  <c r="T94" i="34"/>
  <c r="IY100" i="34"/>
  <c r="LI121" i="34"/>
  <c r="LJ42" i="34"/>
  <c r="LD119" i="34"/>
  <c r="DV52" i="34"/>
  <c r="DX55" i="34"/>
  <c r="HU173" i="34"/>
  <c r="HY176" i="34"/>
  <c r="K99" i="34"/>
  <c r="AY133" i="34"/>
  <c r="EJ150" i="34"/>
  <c r="BP93" i="34"/>
  <c r="AZ40" i="33"/>
  <c r="HV72" i="34"/>
  <c r="HU153" i="34"/>
  <c r="ND153" i="34"/>
  <c r="IW98" i="34"/>
  <c r="DJ165" i="34"/>
  <c r="FJ85" i="33"/>
  <c r="AO54" i="34"/>
  <c r="NK137" i="34"/>
  <c r="HD149" i="34"/>
  <c r="DE121" i="34"/>
  <c r="AF62" i="33"/>
  <c r="JD46" i="34"/>
  <c r="AU130" i="34"/>
  <c r="EC181" i="34"/>
  <c r="AN150" i="34"/>
  <c r="U160" i="34"/>
  <c r="LZ169" i="34"/>
  <c r="FD40" i="33"/>
  <c r="FP143" i="34"/>
  <c r="FP81" i="34"/>
  <c r="AP81" i="33"/>
  <c r="NK60" i="34"/>
  <c r="PD183" i="34"/>
  <c r="EX102" i="34"/>
  <c r="KQ105" i="34"/>
  <c r="IV67" i="34"/>
  <c r="BA91" i="34"/>
  <c r="J163" i="34"/>
  <c r="EH153" i="34"/>
  <c r="FI60" i="33"/>
  <c r="IQ67" i="34"/>
  <c r="DB135" i="34"/>
  <c r="IR181" i="34"/>
  <c r="JG103" i="34"/>
  <c r="BR41" i="34"/>
  <c r="AV162" i="34"/>
  <c r="LD109" i="34"/>
  <c r="NF142" i="34"/>
  <c r="JT142" i="34"/>
  <c r="AX148" i="34"/>
  <c r="EH186" i="34"/>
  <c r="KO77" i="34"/>
  <c r="JY65" i="34"/>
  <c r="KL106" i="34"/>
  <c r="AP73" i="34"/>
  <c r="CO187" i="34"/>
  <c r="PH155" i="34"/>
  <c r="MO155" i="34"/>
  <c r="AS157" i="34"/>
  <c r="HY47" i="34"/>
  <c r="OO167" i="34"/>
  <c r="EZ47" i="33"/>
  <c r="LX150" i="34"/>
  <c r="HD130" i="34"/>
  <c r="FQ157" i="34"/>
  <c r="PG130" i="34"/>
  <c r="DJ157" i="34"/>
  <c r="JC156" i="34"/>
  <c r="LK93" i="34"/>
  <c r="EY39" i="33"/>
  <c r="FA171" i="34"/>
  <c r="NI116" i="34"/>
  <c r="DY158" i="34"/>
  <c r="AV112" i="34"/>
  <c r="CH57" i="34"/>
  <c r="FU82" i="34"/>
  <c r="EY101" i="34"/>
  <c r="LJ137" i="34"/>
  <c r="HX107" i="34"/>
  <c r="EJ68" i="34"/>
  <c r="HV174" i="34"/>
  <c r="OO86" i="34"/>
  <c r="EW118" i="34"/>
  <c r="NC144" i="34"/>
  <c r="FA99" i="34"/>
  <c r="KL79" i="34"/>
  <c r="JW143" i="34"/>
  <c r="AM78" i="34"/>
  <c r="K70" i="34"/>
  <c r="U101" i="34"/>
  <c r="PW109" i="34"/>
  <c r="GL152" i="34"/>
  <c r="JC157" i="34"/>
  <c r="IQ57" i="34"/>
  <c r="OO47" i="34"/>
  <c r="CG152" i="34"/>
  <c r="PA181" i="34"/>
  <c r="CS47" i="33"/>
  <c r="BB132" i="34"/>
  <c r="ND74" i="34"/>
  <c r="NE83" i="34"/>
  <c r="DB174" i="34"/>
  <c r="CG46" i="34"/>
  <c r="EJ125" i="34"/>
  <c r="FF29" i="33"/>
  <c r="PW112" i="34"/>
  <c r="BN126" i="34"/>
  <c r="EC71" i="34"/>
  <c r="IT169" i="34"/>
  <c r="NA172" i="34"/>
  <c r="DG112" i="34"/>
  <c r="BP133" i="34"/>
  <c r="AN107" i="34"/>
  <c r="DE79" i="34"/>
  <c r="HE166" i="34"/>
  <c r="HX65" i="34"/>
  <c r="MF67" i="34"/>
  <c r="AQ125" i="34"/>
  <c r="IY75" i="34"/>
  <c r="NH83" i="34"/>
  <c r="FO186" i="34"/>
  <c r="NI171" i="34"/>
  <c r="AY149" i="34"/>
  <c r="JY117" i="34"/>
  <c r="BB187" i="34"/>
  <c r="EK68" i="34"/>
  <c r="NN149" i="34"/>
  <c r="EZ160" i="34"/>
  <c r="NM134" i="34"/>
  <c r="FP103" i="34"/>
  <c r="AY173" i="34"/>
  <c r="LB66" i="34"/>
  <c r="KL113" i="34"/>
  <c r="GK187" i="34"/>
  <c r="HF43" i="34"/>
  <c r="BI42" i="33"/>
  <c r="FR186" i="34"/>
  <c r="FQ72" i="34"/>
  <c r="HC131" i="34"/>
  <c r="EI92" i="34"/>
  <c r="LJ112" i="34"/>
  <c r="LA130" i="34"/>
  <c r="G55" i="33"/>
  <c r="AO144" i="34"/>
  <c r="GL41" i="34"/>
  <c r="CS37" i="33"/>
  <c r="AW42" i="34"/>
  <c r="U122" i="34"/>
  <c r="T137" i="34"/>
  <c r="DE50" i="34"/>
  <c r="AN44" i="34"/>
  <c r="CJ30" i="33"/>
  <c r="IQ68" i="34"/>
  <c r="BA47" i="34"/>
  <c r="JU113" i="34"/>
  <c r="U61" i="34"/>
  <c r="CD151" i="34"/>
  <c r="CA58" i="33"/>
  <c r="EJ140" i="34"/>
  <c r="CJ176" i="34"/>
  <c r="BA187" i="34"/>
  <c r="G74" i="33"/>
  <c r="KM134" i="34"/>
  <c r="EE154" i="34"/>
  <c r="FQ82" i="34"/>
  <c r="CF121" i="34"/>
  <c r="JA181" i="34"/>
  <c r="AM110" i="34"/>
  <c r="ED123" i="34"/>
  <c r="AO42" i="34"/>
  <c r="AW104" i="34"/>
  <c r="HX56" i="34"/>
  <c r="NA183" i="34"/>
  <c r="LX52" i="34"/>
  <c r="EA43" i="34"/>
  <c r="IR130" i="34"/>
  <c r="JW121" i="34"/>
  <c r="KP101" i="34"/>
  <c r="CL134" i="34"/>
  <c r="IA122" i="34"/>
  <c r="IS67" i="34"/>
  <c r="BW64" i="33"/>
  <c r="EK172" i="34"/>
  <c r="W137" i="34"/>
  <c r="ED60" i="34"/>
  <c r="EI104" i="34"/>
  <c r="IR98" i="34"/>
  <c r="GO71" i="34"/>
  <c r="ML96" i="34"/>
  <c r="LK135" i="34"/>
  <c r="MB78" i="34"/>
  <c r="FP160" i="34"/>
  <c r="DC67" i="34"/>
  <c r="HX152" i="34"/>
  <c r="DJ99" i="34"/>
  <c r="EE156" i="34"/>
  <c r="CJ134" i="34"/>
  <c r="O25" i="33"/>
  <c r="AQ146" i="34"/>
  <c r="EB118" i="34"/>
  <c r="NF176" i="34"/>
  <c r="HU73" i="34"/>
  <c r="NM72" i="34"/>
  <c r="MJ186" i="34"/>
  <c r="DE46" i="34"/>
  <c r="J133" i="34"/>
  <c r="HY116" i="34"/>
  <c r="EK51" i="34"/>
  <c r="BN79" i="33"/>
  <c r="AW102" i="34"/>
  <c r="NH171" i="34"/>
  <c r="HT98" i="34"/>
  <c r="Y108" i="34"/>
  <c r="JT89" i="34"/>
  <c r="IB116" i="34"/>
  <c r="FX81" i="34"/>
  <c r="EK90" i="34"/>
  <c r="DI81" i="34"/>
  <c r="EF89" i="34"/>
  <c r="LJ125" i="34"/>
  <c r="NO154" i="34"/>
  <c r="CN140" i="34"/>
  <c r="KP145" i="34"/>
  <c r="EI168" i="34"/>
  <c r="DJ112" i="34"/>
  <c r="AV119" i="34"/>
  <c r="NO85" i="34"/>
  <c r="AD56" i="34"/>
  <c r="MF153" i="34"/>
  <c r="JU41" i="34"/>
  <c r="BA135" i="34"/>
  <c r="KN113" i="34"/>
  <c r="CG156" i="34"/>
  <c r="AN38" i="33"/>
  <c r="FR159" i="34"/>
  <c r="FS121" i="34"/>
  <c r="ED42" i="34"/>
  <c r="MO174" i="34"/>
  <c r="JW172" i="34"/>
  <c r="GF75" i="33"/>
  <c r="IV154" i="34"/>
  <c r="KN101" i="34"/>
  <c r="LJ153" i="34"/>
  <c r="DG78" i="34"/>
  <c r="ES34" i="33"/>
  <c r="PA120" i="34"/>
  <c r="E72" i="3"/>
  <c r="NM159" i="34"/>
  <c r="MM75" i="34"/>
  <c r="PW52" i="34"/>
  <c r="IV69" i="34"/>
  <c r="JZ83" i="34"/>
  <c r="OJ71" i="34"/>
  <c r="AC135" i="34"/>
  <c r="JA132" i="34"/>
  <c r="CZ60" i="33"/>
  <c r="AZ173" i="34"/>
  <c r="FK65" i="33"/>
  <c r="CG55" i="34"/>
  <c r="NH68" i="34"/>
  <c r="OM81" i="34"/>
  <c r="HF60" i="34"/>
  <c r="CM62" i="34"/>
  <c r="FH39" i="33"/>
  <c r="GM80" i="34"/>
  <c r="IY60" i="34"/>
  <c r="EF97" i="34"/>
  <c r="GK63" i="34"/>
  <c r="CD181" i="34"/>
  <c r="LJ116" i="34"/>
  <c r="NP151" i="34"/>
  <c r="OO169" i="34"/>
  <c r="HC164" i="34"/>
  <c r="L79" i="33"/>
  <c r="GQ76" i="34"/>
  <c r="KO82" i="34"/>
  <c r="DX97" i="34"/>
  <c r="NH62" i="34"/>
  <c r="DA88" i="34"/>
  <c r="FR124" i="34"/>
  <c r="AC88" i="34"/>
  <c r="GL54" i="34"/>
  <c r="IV123" i="34"/>
  <c r="IU143" i="34"/>
  <c r="ND54" i="34"/>
  <c r="EH115" i="34"/>
  <c r="LH125" i="34"/>
  <c r="FX77" i="34"/>
  <c r="DX108" i="34"/>
  <c r="KB103" i="34"/>
  <c r="JD60" i="34"/>
  <c r="PY111" i="34"/>
  <c r="BR42" i="34"/>
  <c r="BZ42" i="33"/>
  <c r="EV81" i="33"/>
  <c r="EH95" i="34"/>
  <c r="CD161" i="34"/>
  <c r="CO59" i="34"/>
  <c r="CF110" i="34"/>
  <c r="LC65" i="34"/>
  <c r="IR136" i="34"/>
  <c r="GE68" i="33"/>
  <c r="GN36" i="33"/>
  <c r="FK79" i="33"/>
  <c r="LB106" i="34"/>
  <c r="EW103" i="34"/>
  <c r="EG107" i="34"/>
  <c r="FQ86" i="34"/>
  <c r="EP44" i="33"/>
  <c r="MM64" i="34"/>
  <c r="LH150" i="34"/>
  <c r="N26" i="33"/>
  <c r="HC165" i="34"/>
  <c r="X116" i="34"/>
  <c r="IQ139" i="34"/>
  <c r="FN59" i="33"/>
  <c r="CL43" i="34"/>
  <c r="EK95" i="34"/>
  <c r="BN146" i="34"/>
  <c r="FP133" i="34"/>
  <c r="MH84" i="34"/>
  <c r="MN80" i="34"/>
  <c r="AT143" i="34"/>
  <c r="FW188" i="34"/>
  <c r="FV57" i="34"/>
  <c r="CH63" i="33"/>
  <c r="AA148" i="34"/>
  <c r="DI111" i="34"/>
  <c r="NL119" i="34"/>
  <c r="CK75" i="34"/>
  <c r="JE158" i="34"/>
  <c r="IW175" i="34"/>
  <c r="AV129" i="34"/>
  <c r="FV183" i="34"/>
  <c r="GN119" i="34"/>
  <c r="OL41" i="34"/>
  <c r="OH97" i="34"/>
  <c r="FW93" i="34"/>
  <c r="LD61" i="34"/>
  <c r="BO124" i="34"/>
  <c r="AN105" i="34"/>
  <c r="JV49" i="34"/>
  <c r="CH72" i="34"/>
  <c r="DV70" i="34"/>
  <c r="KM161" i="34"/>
  <c r="AR142" i="34"/>
  <c r="AX98" i="34"/>
  <c r="JU159" i="34"/>
  <c r="CX62" i="33"/>
  <c r="HD148" i="34"/>
  <c r="FU72" i="34"/>
  <c r="LJ105" i="34"/>
  <c r="EH132" i="34"/>
  <c r="HV99" i="34"/>
  <c r="EJ186" i="34"/>
  <c r="HY147" i="34"/>
  <c r="MF95" i="34"/>
  <c r="HX176" i="34"/>
  <c r="FB110" i="34"/>
  <c r="BA71" i="34"/>
  <c r="FP151" i="34"/>
  <c r="KQ85" i="34"/>
  <c r="IS50" i="34"/>
  <c r="MB50" i="34"/>
  <c r="OJ163" i="34"/>
  <c r="FW70" i="34"/>
  <c r="FQ91" i="34"/>
  <c r="AX188" i="34"/>
  <c r="EH175" i="34"/>
  <c r="EB92" i="34"/>
  <c r="CG52" i="34"/>
  <c r="EK151" i="34"/>
  <c r="EK83" i="34"/>
  <c r="CB44" i="33"/>
  <c r="G81" i="33"/>
  <c r="HE60" i="34"/>
  <c r="EG80" i="34"/>
  <c r="V124" i="34"/>
  <c r="AX68" i="34"/>
  <c r="AO128" i="34"/>
  <c r="LY174" i="34"/>
  <c r="EK57" i="33"/>
  <c r="KP66" i="34"/>
  <c r="AY64" i="33"/>
  <c r="CG83" i="34"/>
  <c r="CM85" i="34"/>
  <c r="KP134" i="34"/>
  <c r="PZ138" i="34"/>
  <c r="IQ150" i="34"/>
  <c r="CU56" i="33"/>
  <c r="AU145" i="34"/>
  <c r="NI84" i="34"/>
  <c r="MH137" i="34"/>
  <c r="DD31" i="33"/>
  <c r="IT66" i="34"/>
  <c r="AZ49" i="34"/>
  <c r="IV98" i="34"/>
  <c r="FO94" i="34"/>
  <c r="PC159" i="34"/>
  <c r="DF58" i="34"/>
  <c r="GL60" i="34"/>
  <c r="HW156" i="34"/>
  <c r="FA84" i="34"/>
  <c r="OM50" i="34"/>
  <c r="FX64" i="34"/>
  <c r="DJ160" i="34"/>
  <c r="KQ120" i="34"/>
  <c r="J160" i="34"/>
  <c r="CO165" i="34"/>
  <c r="IC101" i="34"/>
  <c r="EZ106" i="34"/>
  <c r="OI68" i="34"/>
  <c r="ML163" i="34"/>
  <c r="BQ167" i="34"/>
  <c r="OJ69" i="34"/>
  <c r="IR92" i="34"/>
  <c r="JB118" i="34"/>
  <c r="FX74" i="33"/>
  <c r="CF167" i="34"/>
  <c r="ND43" i="34"/>
  <c r="NK90" i="34"/>
  <c r="IS142" i="34"/>
  <c r="FS107" i="34"/>
  <c r="DP5" i="34"/>
  <c r="PA65" i="34"/>
  <c r="J181" i="34"/>
  <c r="KC90" i="34"/>
  <c r="MG46" i="34"/>
  <c r="JA166" i="34"/>
  <c r="EJ54" i="34"/>
  <c r="W83" i="34"/>
  <c r="BQ41" i="34"/>
  <c r="IV148" i="34"/>
  <c r="LG62" i="34"/>
  <c r="DF84" i="34"/>
  <c r="KN138" i="34"/>
  <c r="T127" i="34"/>
  <c r="FR163" i="34"/>
  <c r="CO44" i="33"/>
  <c r="J124" i="34"/>
  <c r="NH121" i="34"/>
  <c r="BR146" i="34"/>
  <c r="JZ46" i="34"/>
  <c r="IC159" i="34"/>
  <c r="O38" i="33"/>
  <c r="NO66" i="34"/>
  <c r="EJ169" i="34"/>
  <c r="PF139" i="34"/>
  <c r="CJ102" i="34"/>
  <c r="CE71" i="34"/>
  <c r="JY188" i="34"/>
  <c r="IS101" i="34"/>
  <c r="MO62" i="34"/>
  <c r="CP43" i="33"/>
  <c r="BB149" i="34"/>
  <c r="JB164" i="34"/>
  <c r="NK45" i="34"/>
  <c r="DX74" i="34"/>
  <c r="IT143" i="34"/>
  <c r="KC138" i="34"/>
  <c r="LA106" i="34"/>
  <c r="JB138" i="34"/>
  <c r="HY168" i="34"/>
  <c r="EV82" i="33"/>
  <c r="EI46" i="34"/>
  <c r="JE72" i="34"/>
  <c r="EH106" i="34"/>
  <c r="JC149" i="34"/>
  <c r="CH131" i="34"/>
  <c r="LE51" i="34"/>
  <c r="EC78" i="34"/>
  <c r="OL147" i="34"/>
  <c r="EY135" i="34"/>
  <c r="EJ153" i="34"/>
  <c r="JY159" i="34"/>
  <c r="CJ139" i="34"/>
  <c r="BB47" i="33"/>
  <c r="IA128" i="34"/>
  <c r="JZ59" i="34"/>
  <c r="EI123" i="34"/>
  <c r="KP123" i="34"/>
  <c r="ME42" i="34"/>
  <c r="MJ85" i="34"/>
  <c r="AC150" i="34"/>
  <c r="BR95" i="34"/>
  <c r="DG155" i="34"/>
  <c r="GN86" i="34"/>
  <c r="MO122" i="34"/>
  <c r="NO77" i="34"/>
  <c r="EJ55" i="33"/>
  <c r="JF126" i="34"/>
  <c r="JF186" i="34"/>
  <c r="U86" i="34"/>
  <c r="U141" i="34"/>
  <c r="NK172" i="34"/>
  <c r="EB48" i="34"/>
  <c r="ID155" i="34"/>
  <c r="EJ137" i="34"/>
  <c r="JB43" i="34"/>
  <c r="AC92" i="33"/>
  <c r="G72" i="33"/>
  <c r="AO125" i="34"/>
  <c r="NO126" i="34"/>
  <c r="KC166" i="34"/>
  <c r="IA53" i="34"/>
  <c r="PJ111" i="34"/>
  <c r="BB86" i="34"/>
  <c r="BO38" i="33"/>
  <c r="LI91" i="34"/>
  <c r="E17" i="3"/>
  <c r="CK53" i="34"/>
  <c r="HT183" i="34"/>
  <c r="HE129" i="34"/>
  <c r="EF61" i="34"/>
  <c r="GK118" i="34"/>
  <c r="FX73" i="34"/>
  <c r="NE172" i="34"/>
  <c r="HX140" i="34"/>
  <c r="MC55" i="34"/>
  <c r="CJ49" i="34"/>
  <c r="AU115" i="34"/>
  <c r="AM164" i="34"/>
  <c r="AQ151" i="34"/>
  <c r="GM58" i="33"/>
  <c r="NK96" i="34"/>
  <c r="JZ85" i="34"/>
  <c r="GK155" i="34"/>
  <c r="KO54" i="34"/>
  <c r="T69" i="34"/>
  <c r="AZ161" i="34"/>
  <c r="NE97" i="34"/>
  <c r="LA72" i="34"/>
  <c r="NN141" i="34"/>
  <c r="V129" i="34"/>
  <c r="ED67" i="34"/>
  <c r="AC154" i="34"/>
  <c r="W67" i="33"/>
  <c r="HY87" i="34"/>
  <c r="HH75" i="34"/>
  <c r="GP161" i="34"/>
  <c r="AL77" i="33"/>
  <c r="AP79" i="34"/>
  <c r="LK151" i="34"/>
  <c r="IR149" i="34"/>
  <c r="EX84" i="34"/>
  <c r="GN147" i="34"/>
  <c r="CC84" i="33"/>
  <c r="FP153" i="34"/>
  <c r="FV85" i="33"/>
  <c r="HU172" i="34"/>
  <c r="EH138" i="34"/>
  <c r="GN131" i="34"/>
  <c r="HX129" i="34"/>
  <c r="DI178" i="34"/>
  <c r="GI31" i="33"/>
  <c r="BW62" i="33"/>
  <c r="ID157" i="34"/>
  <c r="JT87" i="34"/>
  <c r="CH41" i="34"/>
  <c r="DE41" i="34"/>
  <c r="GN87" i="34"/>
  <c r="Y127" i="34"/>
  <c r="DI106" i="34"/>
  <c r="GA25" i="33"/>
  <c r="AQ143" i="34"/>
  <c r="EE58" i="34"/>
  <c r="BQ183" i="34"/>
  <c r="DX69" i="34"/>
  <c r="HZ137" i="34"/>
  <c r="IT108" i="34"/>
  <c r="FA63" i="33"/>
  <c r="H74" i="33"/>
  <c r="JF162" i="34"/>
  <c r="EF125" i="34"/>
  <c r="PJ128" i="34"/>
  <c r="U128" i="34"/>
  <c r="MB152" i="34"/>
  <c r="KN181" i="34"/>
  <c r="EX152" i="34"/>
  <c r="ED93" i="34"/>
  <c r="DE151" i="34"/>
  <c r="V168" i="34"/>
  <c r="NK160" i="34"/>
  <c r="EY31" i="33"/>
  <c r="HE93" i="34"/>
  <c r="HX168" i="34"/>
  <c r="IC162" i="34"/>
  <c r="FA116" i="34"/>
  <c r="ER62" i="33"/>
  <c r="V138" i="34"/>
  <c r="LC166" i="34"/>
  <c r="IR120" i="34"/>
  <c r="BP99" i="34"/>
  <c r="GL147" i="34"/>
  <c r="LX104" i="34"/>
  <c r="DN61" i="33"/>
  <c r="FT81" i="34"/>
  <c r="LE105" i="34"/>
  <c r="BW77" i="33"/>
  <c r="J188" i="34"/>
  <c r="DI101" i="34"/>
  <c r="BO148" i="34"/>
  <c r="CK118" i="34"/>
  <c r="KP143" i="34"/>
  <c r="HX105" i="34"/>
  <c r="JD159" i="34"/>
  <c r="CM69" i="34"/>
  <c r="IU139" i="34"/>
  <c r="GD67" i="33"/>
  <c r="OI48" i="34"/>
  <c r="NH188" i="34"/>
  <c r="DI181" i="34"/>
  <c r="AQ30" i="33"/>
  <c r="HH99" i="34"/>
  <c r="EX176" i="34"/>
  <c r="IE178" i="34"/>
  <c r="EW70" i="34"/>
  <c r="LG109" i="34"/>
  <c r="CJ69" i="33"/>
  <c r="AN31" i="33"/>
  <c r="CJ113" i="34"/>
  <c r="CK62" i="34"/>
  <c r="LX158" i="34"/>
  <c r="EX136" i="34"/>
  <c r="KL84" i="34"/>
  <c r="KP104" i="34"/>
  <c r="Z131" i="34"/>
  <c r="LX169" i="34"/>
  <c r="NJ139" i="34"/>
  <c r="KM102" i="34"/>
  <c r="PK187" i="34"/>
  <c r="EY171" i="34"/>
  <c r="NA89" i="34"/>
  <c r="BE55" i="33"/>
  <c r="W150" i="34"/>
  <c r="JX70" i="34"/>
  <c r="AL26" i="33"/>
  <c r="FT75" i="34"/>
  <c r="AW31" i="33"/>
  <c r="NI150" i="34"/>
  <c r="IC147" i="34"/>
  <c r="JY164" i="34"/>
  <c r="HF104" i="34"/>
  <c r="IB158" i="34"/>
  <c r="LA121" i="34"/>
  <c r="HV172" i="34"/>
  <c r="EA53" i="34"/>
  <c r="IY73" i="34"/>
  <c r="HD119" i="34"/>
  <c r="MM105" i="34"/>
  <c r="Y156" i="34"/>
  <c r="ID181" i="34"/>
  <c r="CN106" i="34"/>
  <c r="EZ167" i="34"/>
  <c r="AQ138" i="34"/>
  <c r="OM102" i="34"/>
  <c r="IV168" i="34"/>
  <c r="OJ173" i="34"/>
  <c r="FT49" i="34"/>
  <c r="LG88" i="34"/>
  <c r="IS168" i="34"/>
  <c r="Y121" i="34"/>
  <c r="HT156" i="34"/>
  <c r="PG110" i="34"/>
  <c r="W155" i="34"/>
  <c r="BB44" i="34"/>
  <c r="X110" i="34"/>
  <c r="IQ144" i="34"/>
  <c r="GK50" i="33"/>
  <c r="AX92" i="33"/>
  <c r="CC78" i="33"/>
  <c r="HT74" i="34"/>
  <c r="IE115" i="34"/>
  <c r="DS68" i="33"/>
  <c r="KC49" i="34"/>
  <c r="NJ186" i="34"/>
  <c r="DC122" i="34"/>
  <c r="AV69" i="33"/>
  <c r="DB147" i="34"/>
  <c r="JX84" i="34"/>
  <c r="KR175" i="34"/>
  <c r="IC128" i="34"/>
  <c r="BV36" i="33"/>
  <c r="HT67" i="34"/>
  <c r="JF115" i="34"/>
  <c r="OM83" i="34"/>
  <c r="EF63" i="34"/>
  <c r="EI80" i="34"/>
  <c r="GJ82" i="33"/>
  <c r="B79" i="28"/>
  <c r="H41" i="33"/>
  <c r="IW110" i="34"/>
  <c r="DZ120" i="34"/>
  <c r="X80" i="33"/>
  <c r="EB64" i="34"/>
  <c r="EA82" i="34"/>
  <c r="EW166" i="34"/>
  <c r="ON45" i="34"/>
  <c r="KQ110" i="34"/>
  <c r="FV171" i="34"/>
  <c r="MK101" i="34"/>
  <c r="W94" i="34"/>
  <c r="NK125" i="34"/>
  <c r="CB78" i="33"/>
  <c r="GL164" i="34"/>
  <c r="PC90" i="34"/>
  <c r="MC154" i="34"/>
  <c r="OI70" i="34"/>
  <c r="IC50" i="34"/>
  <c r="JH186" i="34"/>
  <c r="BP86" i="34"/>
  <c r="BQ172" i="34"/>
  <c r="DN49" i="33"/>
  <c r="ED80" i="34"/>
  <c r="AR33" i="33"/>
  <c r="NJ83" i="34"/>
  <c r="LH54" i="34"/>
  <c r="FS160" i="34"/>
  <c r="PZ128" i="34"/>
  <c r="W172" i="34"/>
  <c r="JE48" i="34"/>
  <c r="DE144" i="34"/>
  <c r="EA157" i="34"/>
  <c r="HD183" i="34"/>
  <c r="NJ135" i="34"/>
  <c r="DN84" i="33"/>
  <c r="BO121" i="34"/>
  <c r="HG69" i="34"/>
  <c r="EW59" i="33"/>
  <c r="NG55" i="34"/>
  <c r="IZ136" i="34"/>
  <c r="HV124" i="34"/>
  <c r="FF50" i="33"/>
  <c r="ND176" i="34"/>
  <c r="AH68" i="33"/>
  <c r="GH85" i="33"/>
  <c r="FX150" i="34"/>
  <c r="CO44" i="34"/>
  <c r="Z79" i="34"/>
  <c r="DI82" i="34"/>
  <c r="MK48" i="34"/>
  <c r="AT161" i="34"/>
  <c r="DZ60" i="34"/>
  <c r="DV166" i="34"/>
  <c r="HZ133" i="34"/>
  <c r="BQ111" i="34"/>
  <c r="AE25" i="33"/>
  <c r="CH35" i="33"/>
  <c r="DC92" i="33"/>
  <c r="ES52" i="33"/>
  <c r="EJ135" i="34"/>
  <c r="BR188" i="34"/>
  <c r="HZ173" i="34"/>
  <c r="LY155" i="34"/>
  <c r="BO75" i="34"/>
  <c r="FS169" i="34"/>
  <c r="HF102" i="34"/>
  <c r="OH59" i="34"/>
  <c r="HG98" i="34"/>
  <c r="AS58" i="33"/>
  <c r="JC132" i="34"/>
  <c r="DK80" i="33"/>
  <c r="EC112" i="34"/>
  <c r="MJ118" i="34"/>
  <c r="KA58" i="34"/>
  <c r="G80" i="33"/>
  <c r="EE187" i="34"/>
  <c r="KR143" i="34"/>
  <c r="MF181" i="34"/>
  <c r="LA56" i="34"/>
  <c r="CZ65" i="33"/>
  <c r="AB104" i="34"/>
  <c r="JU126" i="34"/>
  <c r="JB48" i="34"/>
  <c r="JC158" i="34"/>
  <c r="PG119" i="34"/>
  <c r="CM54" i="34"/>
  <c r="CL137" i="34"/>
  <c r="DJ69" i="34"/>
  <c r="NF66" i="34"/>
  <c r="J83" i="34"/>
  <c r="EE155" i="34"/>
  <c r="BB136" i="34"/>
  <c r="GN188" i="34"/>
  <c r="EY64" i="34"/>
  <c r="EF122" i="34"/>
  <c r="FO86" i="34"/>
  <c r="IT58" i="34"/>
  <c r="CF58" i="33"/>
  <c r="PJ92" i="34"/>
  <c r="IT52" i="34"/>
  <c r="KN141" i="34"/>
  <c r="IT77" i="34"/>
  <c r="FB64" i="34"/>
  <c r="NB115" i="34"/>
  <c r="CG127" i="34"/>
  <c r="NF87" i="34"/>
  <c r="GK84" i="33"/>
  <c r="GP134" i="34"/>
  <c r="LC156" i="34"/>
  <c r="BR58" i="34"/>
  <c r="T141" i="34"/>
  <c r="KC169" i="34"/>
  <c r="CN181" i="34"/>
  <c r="FR99" i="34"/>
  <c r="EJ64" i="34"/>
  <c r="H75" i="33"/>
  <c r="KM41" i="34"/>
  <c r="X41" i="34"/>
  <c r="LD43" i="34"/>
  <c r="MN112" i="34"/>
  <c r="AR66" i="33"/>
  <c r="BB181" i="34"/>
  <c r="ND155" i="34"/>
  <c r="BA103" i="34"/>
  <c r="IE139" i="34"/>
  <c r="FZ92" i="33"/>
  <c r="CX55" i="33"/>
  <c r="OK153" i="34"/>
  <c r="NL108" i="34"/>
  <c r="JB62" i="34"/>
  <c r="HE126" i="34"/>
  <c r="JU169" i="34"/>
  <c r="CE99" i="34"/>
  <c r="BM48" i="33"/>
  <c r="DB102" i="34"/>
  <c r="PX126" i="34"/>
  <c r="DY174" i="34"/>
  <c r="FX122" i="34"/>
  <c r="GM50" i="34"/>
  <c r="AY63" i="34"/>
  <c r="BP76" i="34"/>
  <c r="CD121" i="34"/>
  <c r="HE154" i="34"/>
  <c r="MO80" i="34"/>
  <c r="DZ72" i="34"/>
  <c r="EW63" i="34"/>
  <c r="V44" i="33"/>
  <c r="ED56" i="34"/>
  <c r="DE55" i="34"/>
  <c r="NH187" i="34"/>
  <c r="FV59" i="34"/>
  <c r="LK83" i="34"/>
  <c r="KM92" i="34"/>
  <c r="OJ157" i="34"/>
  <c r="FO166" i="34"/>
  <c r="NG73" i="34"/>
  <c r="NM69" i="34"/>
  <c r="MD133" i="34"/>
  <c r="NH41" i="34"/>
  <c r="DF65" i="34"/>
  <c r="AN57" i="34"/>
  <c r="FQ107" i="34"/>
  <c r="LH82" i="34"/>
  <c r="CG58" i="34"/>
  <c r="LZ163" i="34"/>
  <c r="MN150" i="34"/>
  <c r="LI131" i="34"/>
  <c r="NK151" i="34"/>
  <c r="BN99" i="34"/>
  <c r="IZ112" i="34"/>
  <c r="AA152" i="34"/>
  <c r="KC92" i="34"/>
  <c r="EB52" i="34"/>
  <c r="MB51" i="34"/>
  <c r="IR135" i="34"/>
  <c r="HH158" i="34"/>
  <c r="KR149" i="34"/>
  <c r="AB56" i="34"/>
  <c r="FV155" i="34"/>
  <c r="EE147" i="34"/>
  <c r="BB129" i="34"/>
  <c r="DU76" i="33"/>
  <c r="CF36" i="33"/>
  <c r="AV103" i="34"/>
  <c r="GL43" i="33"/>
  <c r="FU79" i="34"/>
  <c r="JH141" i="34"/>
  <c r="JA115" i="34"/>
  <c r="GD60" i="33"/>
  <c r="BS51" i="33"/>
  <c r="AN97" i="34"/>
  <c r="AJ49" i="33"/>
  <c r="AM183" i="34"/>
  <c r="X147" i="34"/>
  <c r="CU66" i="33"/>
  <c r="DZ31" i="33"/>
  <c r="JT139" i="34"/>
  <c r="EF68" i="34"/>
  <c r="HX100" i="34"/>
  <c r="PF132" i="34"/>
  <c r="AM143" i="34"/>
  <c r="KC75" i="34"/>
  <c r="X171" i="34"/>
  <c r="AN139" i="34"/>
  <c r="FQ84" i="33"/>
  <c r="LA102" i="34"/>
  <c r="CM128" i="34"/>
  <c r="AX131" i="34"/>
  <c r="IQ128" i="34"/>
  <c r="CP69" i="33"/>
  <c r="EI160" i="34"/>
  <c r="AQ85" i="34"/>
  <c r="DB173" i="34"/>
  <c r="FO174" i="34"/>
  <c r="DE181" i="34"/>
  <c r="AB168" i="34"/>
  <c r="NM58" i="34"/>
  <c r="AY101" i="34"/>
  <c r="AT73" i="34"/>
  <c r="CX28" i="33"/>
  <c r="JW47" i="34"/>
  <c r="EC107" i="34"/>
  <c r="V118" i="34"/>
  <c r="AO52" i="34"/>
  <c r="LB173" i="34"/>
  <c r="ID100" i="34"/>
  <c r="AU125" i="34"/>
  <c r="EX109" i="34"/>
  <c r="JF121" i="34"/>
  <c r="NK187" i="34"/>
  <c r="IB131" i="34"/>
  <c r="EB126" i="34"/>
  <c r="JN6" i="34"/>
  <c r="LB93" i="34"/>
  <c r="KB112" i="34"/>
  <c r="MK178" i="34"/>
  <c r="CC70" i="33"/>
  <c r="GJ92" i="34"/>
  <c r="CN93" i="34"/>
  <c r="CK181" i="34"/>
  <c r="H29" i="33"/>
  <c r="AT42" i="34"/>
  <c r="DW63" i="34"/>
  <c r="IR144" i="34"/>
  <c r="MN155" i="34"/>
  <c r="HZ159" i="34"/>
  <c r="AQ148" i="34"/>
  <c r="JZ43" i="34"/>
  <c r="DC42" i="34"/>
  <c r="OJ112" i="34"/>
  <c r="EB108" i="34"/>
  <c r="PJ173" i="34"/>
  <c r="JU102" i="34"/>
  <c r="HX163" i="34"/>
  <c r="FA122" i="34"/>
  <c r="NF131" i="34"/>
  <c r="HV137" i="34"/>
  <c r="CM146" i="34"/>
  <c r="CL44" i="34"/>
  <c r="CF76" i="34"/>
  <c r="MJ84" i="34"/>
  <c r="EF165" i="34"/>
  <c r="HY86" i="34"/>
  <c r="FQ80" i="34"/>
  <c r="DB81" i="33"/>
  <c r="DK45" i="33"/>
  <c r="ON60" i="34"/>
  <c r="KQ149" i="34"/>
  <c r="EA41" i="34"/>
  <c r="DC165" i="34"/>
  <c r="AR156" i="34"/>
  <c r="GK117" i="34"/>
  <c r="MA124" i="34"/>
  <c r="JU158" i="34"/>
  <c r="JV119" i="34"/>
  <c r="LH124" i="34"/>
  <c r="HH120" i="34"/>
  <c r="NJ154" i="34"/>
  <c r="CM96" i="34"/>
  <c r="JF103" i="34"/>
  <c r="MB156" i="34"/>
  <c r="MI183" i="34"/>
  <c r="DW102" i="34"/>
  <c r="FO73" i="34"/>
  <c r="IW151" i="34"/>
  <c r="FC40" i="33"/>
  <c r="IC118" i="34"/>
  <c r="LJ154" i="34"/>
  <c r="BN58" i="34"/>
  <c r="FO144" i="34"/>
  <c r="FP90" i="34"/>
  <c r="L116" i="28"/>
  <c r="BR69" i="34"/>
  <c r="KR64" i="34"/>
  <c r="CK134" i="34"/>
  <c r="DH69" i="33"/>
  <c r="GO92" i="34"/>
  <c r="BP168" i="34"/>
  <c r="AX46" i="34"/>
  <c r="KN99" i="34"/>
  <c r="EG71" i="34"/>
  <c r="LB139" i="34"/>
  <c r="EK138" i="34"/>
  <c r="FR154" i="34"/>
  <c r="EA102" i="34"/>
  <c r="DJ62" i="34"/>
  <c r="DB37" i="33"/>
  <c r="LE126" i="34"/>
  <c r="DX127" i="34"/>
  <c r="MM173" i="34"/>
  <c r="EG47" i="33"/>
  <c r="EI188" i="34"/>
  <c r="BT56" i="33"/>
  <c r="EH76" i="34"/>
  <c r="NI99" i="34"/>
  <c r="OK174" i="34"/>
  <c r="GM111" i="34"/>
  <c r="DZ167" i="34"/>
  <c r="GN83" i="33"/>
  <c r="EE152" i="34"/>
  <c r="HW61" i="34"/>
  <c r="JA111" i="34"/>
  <c r="DD103" i="34"/>
  <c r="EE118" i="34"/>
  <c r="HZ59" i="34"/>
  <c r="AW44" i="34"/>
  <c r="BB52" i="34"/>
  <c r="FJ54" i="33"/>
  <c r="FR89" i="34"/>
  <c r="AC178" i="34"/>
  <c r="HU142" i="34"/>
  <c r="DD33" i="33"/>
  <c r="BI50" i="33"/>
  <c r="LC100" i="34"/>
  <c r="AQ32" i="33"/>
  <c r="NA187" i="34"/>
  <c r="NH115" i="34"/>
  <c r="JY78" i="34"/>
  <c r="JF59" i="34"/>
  <c r="AX125" i="34"/>
  <c r="JE111" i="34"/>
  <c r="MH120" i="34"/>
  <c r="DD108" i="34"/>
  <c r="CF106" i="34"/>
  <c r="AC48" i="33"/>
  <c r="CH49" i="33"/>
  <c r="BJ138" i="28"/>
  <c r="FN176" i="34"/>
  <c r="DE160" i="34"/>
  <c r="IC163" i="34"/>
  <c r="KB141" i="34"/>
  <c r="EI129" i="34"/>
  <c r="JH107" i="34"/>
  <c r="FX68" i="34"/>
  <c r="Z69" i="34"/>
  <c r="DJ133" i="34"/>
  <c r="PA100" i="34"/>
  <c r="V172" i="34"/>
  <c r="DY127" i="34"/>
  <c r="HH73" i="34"/>
  <c r="BO186" i="34"/>
  <c r="EG63" i="34"/>
  <c r="IE47" i="34"/>
  <c r="EK119" i="34"/>
  <c r="JZ181" i="34"/>
  <c r="EY163" i="34"/>
  <c r="EF44" i="34"/>
  <c r="AQ86" i="34"/>
  <c r="DF94" i="34"/>
  <c r="BJ116" i="28"/>
  <c r="EJ72" i="34"/>
  <c r="OH142" i="34"/>
  <c r="DF49" i="34"/>
  <c r="AV47" i="33"/>
  <c r="EJ157" i="34"/>
  <c r="W70" i="33"/>
  <c r="LE100" i="34"/>
  <c r="EC170" i="34"/>
  <c r="IR158" i="34"/>
  <c r="FT82" i="33"/>
  <c r="HZ70" i="34"/>
  <c r="AO118" i="34"/>
  <c r="MN117" i="34"/>
  <c r="NC54" i="34"/>
  <c r="DY109" i="34"/>
  <c r="BG63" i="33"/>
  <c r="BV50" i="33"/>
  <c r="B69" i="28"/>
  <c r="MD52" i="34"/>
  <c r="PJ85" i="34"/>
  <c r="GJ86" i="34"/>
  <c r="NN106" i="34"/>
  <c r="GM138" i="34"/>
  <c r="KN146" i="34"/>
  <c r="KO188" i="34"/>
  <c r="DE128" i="34"/>
  <c r="MB147" i="34"/>
  <c r="JV171" i="34"/>
  <c r="PW69" i="34"/>
  <c r="JD49" i="34"/>
  <c r="GN122" i="34"/>
  <c r="LH107" i="34"/>
  <c r="GO178" i="34"/>
  <c r="PF120" i="34"/>
  <c r="CI144" i="34"/>
  <c r="EJ89" i="34"/>
  <c r="EE99" i="34"/>
  <c r="DG103" i="34"/>
  <c r="DC96" i="34"/>
  <c r="AO146" i="34"/>
  <c r="AQ154" i="34"/>
  <c r="BP97" i="34"/>
  <c r="DD149" i="34"/>
  <c r="KN139" i="34"/>
  <c r="PW142" i="34"/>
  <c r="EE112" i="34"/>
  <c r="DV188" i="34"/>
  <c r="DB186" i="34"/>
  <c r="NN188" i="34"/>
  <c r="NP61" i="34"/>
  <c r="CN100" i="34"/>
  <c r="EL82" i="33"/>
  <c r="AP70" i="33"/>
  <c r="GK86" i="34"/>
  <c r="BB105" i="34"/>
  <c r="HX72" i="34"/>
  <c r="Y158" i="34"/>
  <c r="CH160" i="34"/>
  <c r="LJ80" i="34"/>
  <c r="DH130" i="34"/>
  <c r="PZ140" i="34"/>
  <c r="LW116" i="34"/>
  <c r="EY88" i="34"/>
  <c r="EC92" i="34"/>
  <c r="JX157" i="34"/>
  <c r="CN67" i="33"/>
  <c r="EY187" i="34"/>
  <c r="BO125" i="34"/>
  <c r="IV183" i="34"/>
  <c r="JC76" i="34"/>
  <c r="JZ69" i="34"/>
  <c r="FW89" i="34"/>
  <c r="BA178" i="34"/>
  <c r="AN101" i="34"/>
  <c r="AS40" i="33"/>
  <c r="EA141" i="34"/>
  <c r="CL52" i="34"/>
  <c r="KQ69" i="34"/>
  <c r="OO56" i="34"/>
  <c r="DD186" i="34"/>
  <c r="LG159" i="34"/>
  <c r="AR135" i="34"/>
  <c r="AX59" i="34"/>
  <c r="OJ81" i="34"/>
  <c r="IB91" i="34"/>
  <c r="MA115" i="34"/>
  <c r="FX89" i="34"/>
  <c r="MB187" i="34"/>
  <c r="DJ102" i="34"/>
  <c r="EK188" i="34"/>
  <c r="EF73" i="34"/>
  <c r="GN67" i="34"/>
  <c r="GO88" i="34"/>
  <c r="IS69" i="34"/>
  <c r="IR116" i="34"/>
  <c r="NE82" i="34"/>
  <c r="EI70" i="34"/>
  <c r="U73" i="33"/>
  <c r="T128" i="34"/>
  <c r="AU67" i="34"/>
  <c r="DD97" i="34"/>
  <c r="T134" i="34"/>
  <c r="IA148" i="34"/>
  <c r="Z142" i="34"/>
  <c r="OI41" i="34"/>
  <c r="EC49" i="34"/>
  <c r="OI49" i="34"/>
  <c r="CO161" i="34"/>
  <c r="AT160" i="34"/>
  <c r="NO168" i="34"/>
  <c r="GM109" i="34"/>
  <c r="OJ91" i="34"/>
  <c r="MC116" i="34"/>
  <c r="KP78" i="34"/>
  <c r="Z156" i="34"/>
  <c r="LH94" i="34"/>
  <c r="LA175" i="34"/>
  <c r="JH163" i="34"/>
  <c r="FF82" i="33"/>
  <c r="GM58" i="34"/>
  <c r="GA81" i="33"/>
  <c r="AR58" i="34"/>
  <c r="AP50" i="34"/>
  <c r="NB57" i="34"/>
  <c r="JT61" i="34"/>
  <c r="EL77" i="33"/>
  <c r="V50" i="33"/>
  <c r="OJ51" i="34"/>
  <c r="U168" i="34"/>
  <c r="EI149" i="34"/>
  <c r="AQ157" i="34"/>
  <c r="JH48" i="34"/>
  <c r="KL41" i="34"/>
  <c r="U42" i="34"/>
  <c r="MF115" i="34"/>
  <c r="AH51" i="33"/>
  <c r="IB186" i="34"/>
  <c r="KM108" i="34"/>
  <c r="EG91" i="34"/>
  <c r="BB135" i="34"/>
  <c r="HW115" i="34"/>
  <c r="LH183" i="34"/>
  <c r="AW97" i="34"/>
  <c r="DH49" i="34"/>
  <c r="NI136" i="34"/>
  <c r="GK74" i="34"/>
  <c r="GM115" i="34"/>
  <c r="AM147" i="34"/>
  <c r="AG17" i="34"/>
  <c r="J150" i="34"/>
  <c r="AY55" i="34"/>
  <c r="IR117" i="34"/>
  <c r="IU69" i="34"/>
  <c r="NH167" i="34"/>
  <c r="DD78" i="34"/>
  <c r="IV116" i="34"/>
  <c r="KB74" i="34"/>
  <c r="DE142" i="34"/>
  <c r="NP57" i="34"/>
  <c r="NL112" i="34"/>
  <c r="PD186" i="34"/>
  <c r="NA71" i="34"/>
  <c r="FO99" i="34"/>
  <c r="K48" i="34"/>
  <c r="AX169" i="34"/>
  <c r="IY108" i="34"/>
  <c r="CO47" i="33"/>
  <c r="ED82" i="34"/>
  <c r="HF46" i="34"/>
  <c r="NK103" i="34"/>
  <c r="EA142" i="34"/>
  <c r="NN128" i="34"/>
  <c r="IV66" i="34"/>
  <c r="MO63" i="34"/>
  <c r="AX61" i="34"/>
  <c r="KQ107" i="34"/>
  <c r="LZ165" i="34"/>
  <c r="BI27" i="33"/>
  <c r="MN136" i="34"/>
  <c r="IA120" i="34"/>
  <c r="JC112" i="34"/>
  <c r="LX162" i="34"/>
  <c r="LC52" i="34"/>
  <c r="BI41" i="33"/>
  <c r="HD112" i="34"/>
  <c r="AR42" i="34"/>
  <c r="CK92" i="34"/>
  <c r="W29" i="33"/>
  <c r="CN126" i="34"/>
  <c r="FG51" i="33"/>
  <c r="IZ129" i="34"/>
  <c r="V72" i="34"/>
  <c r="CG181" i="34"/>
  <c r="FU49" i="34"/>
  <c r="FO132" i="34"/>
  <c r="DY58" i="34"/>
  <c r="FO145" i="34"/>
  <c r="JY125" i="34"/>
  <c r="KB94" i="34"/>
  <c r="DZ48" i="33"/>
  <c r="DW134" i="34"/>
  <c r="JF110" i="34"/>
  <c r="DF149" i="34"/>
  <c r="IR127" i="34"/>
  <c r="BO104" i="34"/>
  <c r="DV119" i="34"/>
  <c r="JG86" i="34"/>
  <c r="MO164" i="34"/>
  <c r="IB133" i="34"/>
  <c r="DX122" i="34"/>
  <c r="ED178" i="34"/>
  <c r="EY46" i="33"/>
  <c r="FH64" i="33"/>
  <c r="MD75" i="34"/>
  <c r="KO157" i="34"/>
  <c r="CJ27" i="33"/>
  <c r="IW118" i="34"/>
  <c r="LF100" i="34"/>
  <c r="KO155" i="34"/>
  <c r="KC172" i="34"/>
  <c r="IB137" i="34"/>
  <c r="DW169" i="34"/>
  <c r="DV81" i="34"/>
  <c r="BA44" i="33"/>
  <c r="LE168" i="34"/>
  <c r="DZ83" i="34"/>
  <c r="BB139" i="34"/>
  <c r="IZ42" i="34"/>
  <c r="DT82" i="33"/>
  <c r="CN158" i="34"/>
  <c r="IT166" i="34"/>
  <c r="LE175" i="34"/>
  <c r="CE51" i="34"/>
  <c r="FH62" i="33"/>
  <c r="LG147" i="34"/>
  <c r="IS164" i="34"/>
  <c r="EQ4" i="34"/>
  <c r="EF27" i="33"/>
  <c r="LD143" i="34"/>
  <c r="AY57" i="34"/>
  <c r="DE91" i="34"/>
  <c r="HV183" i="34"/>
  <c r="EW36" i="33"/>
  <c r="CH86" i="34"/>
  <c r="V64" i="34"/>
  <c r="NF85" i="34"/>
  <c r="DA61" i="34"/>
  <c r="ML152" i="34"/>
  <c r="EM57" i="33"/>
  <c r="L41" i="33"/>
  <c r="HX134" i="34"/>
  <c r="EB170" i="34"/>
  <c r="JU122" i="34"/>
  <c r="DV167" i="34"/>
  <c r="GQ83" i="34"/>
  <c r="CO128" i="34"/>
  <c r="FS115" i="34"/>
  <c r="MF164" i="34"/>
  <c r="DZ183" i="34"/>
  <c r="AV85" i="34"/>
  <c r="PF89" i="34"/>
  <c r="OJ171" i="34"/>
  <c r="BN51" i="34"/>
  <c r="HT94" i="34"/>
  <c r="Z183" i="34"/>
  <c r="LD55" i="34"/>
  <c r="CK99" i="34"/>
  <c r="IY150" i="34"/>
  <c r="EE48" i="34"/>
  <c r="EJ129" i="34"/>
  <c r="HG118" i="34"/>
  <c r="FO163" i="34"/>
  <c r="AU169" i="34"/>
  <c r="EZ85" i="34"/>
  <c r="JD73" i="34"/>
  <c r="EX61" i="34"/>
  <c r="CI77" i="34"/>
  <c r="EE35" i="33"/>
  <c r="DS79" i="33"/>
  <c r="NI173" i="34"/>
  <c r="Z139" i="34"/>
  <c r="AR154" i="34"/>
  <c r="FW187" i="34"/>
  <c r="EI56" i="34"/>
  <c r="IT73" i="34"/>
  <c r="CZ68" i="33"/>
  <c r="EW116" i="34"/>
  <c r="IV145" i="34"/>
  <c r="NL155" i="34"/>
  <c r="EK92" i="33"/>
  <c r="MK170" i="34"/>
  <c r="LE125" i="34"/>
  <c r="HU149" i="34"/>
  <c r="AT138" i="34"/>
  <c r="BB153" i="34"/>
  <c r="HD93" i="34"/>
  <c r="IZ105" i="34"/>
  <c r="IV151" i="34"/>
  <c r="GI30" i="33"/>
  <c r="IC140" i="34"/>
  <c r="LC62" i="34"/>
  <c r="AR145" i="34"/>
  <c r="BB88" i="34"/>
  <c r="BA74" i="34"/>
  <c r="CE74" i="34"/>
  <c r="LI166" i="34"/>
  <c r="DC159" i="34"/>
  <c r="EK65" i="33"/>
  <c r="DC157" i="34"/>
  <c r="DX71" i="34"/>
  <c r="IB128" i="34"/>
  <c r="BS74" i="33"/>
  <c r="FR64" i="33"/>
  <c r="EB183" i="34"/>
  <c r="EW123" i="34"/>
  <c r="IE151" i="34"/>
  <c r="BC52" i="33"/>
  <c r="HG149" i="34"/>
  <c r="CK64" i="33"/>
  <c r="MK167" i="34"/>
  <c r="DE48" i="34"/>
  <c r="AT135" i="34"/>
  <c r="AW173" i="34"/>
  <c r="DF172" i="34"/>
  <c r="JE175" i="34"/>
  <c r="Z68" i="34"/>
  <c r="JC78" i="34"/>
  <c r="JW138" i="34"/>
  <c r="NG150" i="34"/>
  <c r="LF124" i="34"/>
  <c r="Z169" i="34"/>
  <c r="CG96" i="34"/>
  <c r="IB164" i="34"/>
  <c r="EA135" i="34"/>
  <c r="GJ169" i="34"/>
  <c r="CN34" i="33"/>
  <c r="FW65" i="34"/>
  <c r="CR72" i="33"/>
  <c r="ND62" i="34"/>
  <c r="EG83" i="34"/>
  <c r="LK133" i="34"/>
  <c r="DB43" i="33"/>
  <c r="EJ78" i="34"/>
  <c r="FN69" i="34"/>
  <c r="R28" i="33"/>
  <c r="Y55" i="34"/>
  <c r="GA40" i="33"/>
  <c r="EJ118" i="34"/>
  <c r="BL30" i="33"/>
  <c r="JD160" i="34"/>
  <c r="LJ183" i="34"/>
  <c r="FB142" i="34"/>
  <c r="BH41" i="33"/>
  <c r="AS48" i="34"/>
  <c r="AE33" i="33"/>
  <c r="PK96" i="34"/>
  <c r="IT48" i="34"/>
  <c r="T159" i="34"/>
  <c r="FO90" i="34"/>
  <c r="AO163" i="34"/>
  <c r="FZ81" i="33"/>
  <c r="KQ188" i="34"/>
  <c r="LY108" i="34"/>
  <c r="KU4" i="34"/>
  <c r="AZ150" i="34"/>
  <c r="JC94" i="34"/>
  <c r="EJ107" i="34"/>
  <c r="KA130" i="34"/>
  <c r="K128" i="34"/>
  <c r="DI124" i="34"/>
  <c r="FB63" i="34"/>
  <c r="AD48" i="34"/>
  <c r="KM104" i="34"/>
  <c r="V47" i="34"/>
  <c r="IB183" i="34"/>
  <c r="DI67" i="34"/>
  <c r="CG110" i="34"/>
  <c r="JW95" i="34"/>
  <c r="BN54" i="33"/>
  <c r="LF165" i="34"/>
  <c r="MG96" i="34"/>
  <c r="I25" i="33"/>
  <c r="BQ76" i="34"/>
  <c r="EG71" i="33"/>
  <c r="CI26" i="33"/>
  <c r="CN156" i="34"/>
  <c r="AC121" i="34"/>
  <c r="HD105" i="34"/>
  <c r="MN146" i="34"/>
  <c r="NC126" i="34"/>
  <c r="ED110" i="34"/>
  <c r="EA119" i="34"/>
  <c r="HY83" i="34"/>
  <c r="IR79" i="34"/>
  <c r="V188" i="34"/>
  <c r="FJ82" i="33"/>
  <c r="V77" i="34"/>
  <c r="AW161" i="34"/>
  <c r="AD50" i="34"/>
  <c r="OM157" i="34"/>
  <c r="K91" i="34"/>
  <c r="NL156" i="34"/>
  <c r="U165" i="34"/>
  <c r="PB159" i="34"/>
  <c r="NE174" i="34"/>
  <c r="PA154" i="34"/>
  <c r="KR62" i="34"/>
  <c r="LC169" i="34"/>
  <c r="EE56" i="34"/>
  <c r="JX146" i="34"/>
  <c r="JF176" i="34"/>
  <c r="CP30" i="33"/>
  <c r="Y133" i="34"/>
  <c r="AA181" i="34"/>
  <c r="LB103" i="34"/>
  <c r="MK100" i="34"/>
  <c r="EW80" i="34"/>
  <c r="CE136" i="34"/>
  <c r="AO135" i="34"/>
  <c r="AZ103" i="34"/>
  <c r="HF131" i="34"/>
  <c r="HX112" i="34"/>
  <c r="EG78" i="33"/>
  <c r="PB147" i="34"/>
  <c r="PA153" i="34"/>
  <c r="AC44" i="34"/>
  <c r="JA73" i="34"/>
  <c r="JH62" i="34"/>
  <c r="JZ136" i="34"/>
  <c r="LY140" i="34"/>
  <c r="KB178" i="34"/>
  <c r="GJ88" i="34"/>
  <c r="EX105" i="34"/>
  <c r="DX106" i="34"/>
  <c r="CF166" i="34"/>
  <c r="DX132" i="34"/>
  <c r="DA160" i="34"/>
  <c r="JT48" i="34"/>
  <c r="DA143" i="34"/>
  <c r="KQ108" i="34"/>
  <c r="GL158" i="34"/>
  <c r="CU49" i="33"/>
  <c r="GM42" i="34"/>
  <c r="HZ63" i="34"/>
  <c r="EG82" i="34"/>
  <c r="FX107" i="34"/>
  <c r="AS26" i="33"/>
  <c r="MC81" i="34"/>
  <c r="IC43" i="34"/>
  <c r="AK81" i="33"/>
  <c r="AR136" i="34"/>
  <c r="KO181" i="34"/>
  <c r="IY134" i="34"/>
  <c r="S164" i="23"/>
  <c r="C36" i="17"/>
  <c r="LI176" i="34"/>
  <c r="BN132" i="34"/>
  <c r="IC116" i="34"/>
  <c r="HZ158" i="34"/>
  <c r="FB86" i="34"/>
  <c r="DA159" i="34"/>
  <c r="CG171" i="34"/>
  <c r="JC73" i="34"/>
  <c r="GK75" i="34"/>
  <c r="FS63" i="34"/>
  <c r="FP82" i="34"/>
  <c r="AD118" i="34"/>
  <c r="JC134" i="34"/>
  <c r="HF81" i="34"/>
  <c r="CW39" i="33"/>
  <c r="FX117" i="34"/>
  <c r="IS51" i="34"/>
  <c r="AR175" i="34"/>
  <c r="GJ90" i="34"/>
  <c r="AM65" i="33"/>
  <c r="CD51" i="34"/>
  <c r="JW84" i="34"/>
  <c r="PG160" i="34"/>
  <c r="EG70" i="34"/>
  <c r="DA132" i="34"/>
  <c r="KP142" i="34"/>
  <c r="CJ56" i="34"/>
  <c r="BR99" i="34"/>
  <c r="LH61" i="34"/>
  <c r="IB100" i="34"/>
  <c r="EM54" i="33"/>
  <c r="AM84" i="34"/>
  <c r="FU56" i="34"/>
  <c r="AL69" i="33"/>
  <c r="NM79" i="34"/>
  <c r="AV69" i="34"/>
  <c r="DA71" i="34"/>
  <c r="FP98" i="34"/>
  <c r="CM175" i="34"/>
  <c r="IW51" i="34"/>
  <c r="CB65" i="33"/>
  <c r="EE59" i="34"/>
  <c r="FA170" i="34"/>
  <c r="GM43" i="34"/>
  <c r="KM97" i="34"/>
  <c r="HU138" i="34"/>
  <c r="MK162" i="34"/>
  <c r="IS87" i="34"/>
  <c r="PA176" i="34"/>
  <c r="IB151" i="34"/>
  <c r="HW75" i="34"/>
  <c r="IW64" i="34"/>
  <c r="EW160" i="34"/>
  <c r="BB150" i="34"/>
  <c r="JH111" i="34"/>
  <c r="BS84" i="33"/>
  <c r="NM160" i="34"/>
  <c r="KQ57" i="34"/>
  <c r="JC111" i="34"/>
  <c r="JW115" i="34"/>
  <c r="LY153" i="34"/>
  <c r="AQ69" i="34"/>
  <c r="FT105" i="34"/>
  <c r="BN79" i="34"/>
  <c r="DM57" i="33"/>
  <c r="KR42" i="34"/>
  <c r="NE65" i="34"/>
  <c r="Z157" i="34"/>
  <c r="FU97" i="34"/>
  <c r="JX63" i="34"/>
  <c r="KC125" i="34"/>
  <c r="BO167" i="34"/>
  <c r="NL81" i="34"/>
  <c r="AP159" i="34"/>
  <c r="AV115" i="34"/>
  <c r="KR68" i="34"/>
  <c r="FU93" i="34"/>
  <c r="DI55" i="34"/>
  <c r="EK43" i="34"/>
  <c r="DF66" i="33"/>
  <c r="NM178" i="34"/>
  <c r="HC43" i="34"/>
  <c r="AZ134" i="34"/>
  <c r="K45" i="34"/>
  <c r="KL101" i="34"/>
  <c r="CK101" i="34"/>
  <c r="W118" i="34"/>
  <c r="NE66" i="34"/>
  <c r="JY140" i="34"/>
  <c r="CP79" i="33"/>
  <c r="F56" i="17"/>
  <c r="IR46" i="34"/>
  <c r="FT94" i="34"/>
  <c r="HN10" i="34"/>
  <c r="FV138" i="34"/>
  <c r="FO56" i="34"/>
  <c r="DC81" i="34"/>
  <c r="KM153" i="34"/>
  <c r="CH140" i="34"/>
  <c r="X73" i="34"/>
  <c r="LD123" i="34"/>
  <c r="JF137" i="34"/>
  <c r="NJ187" i="34"/>
  <c r="CL70" i="33"/>
  <c r="CX71" i="33"/>
  <c r="IC53" i="34"/>
  <c r="JG156" i="34"/>
  <c r="BR126" i="34"/>
  <c r="AS127" i="34"/>
  <c r="KN169" i="34"/>
  <c r="JU120" i="34"/>
  <c r="FQ47" i="34"/>
  <c r="LI148" i="34"/>
  <c r="DF167" i="34"/>
  <c r="MN78" i="34"/>
  <c r="KO46" i="34"/>
  <c r="NG52" i="34"/>
  <c r="FR60" i="34"/>
  <c r="MM87" i="34"/>
  <c r="CE127" i="34"/>
  <c r="IA110" i="34"/>
  <c r="AX88" i="34"/>
  <c r="LW74" i="34"/>
  <c r="DL71" i="33"/>
  <c r="IC124" i="34"/>
  <c r="LH181" i="34"/>
  <c r="PX166" i="34"/>
  <c r="DD142" i="34"/>
  <c r="V55" i="34"/>
  <c r="IY46" i="34"/>
  <c r="MG157" i="34"/>
  <c r="AC133" i="34"/>
  <c r="NM124" i="34"/>
  <c r="CY48" i="33"/>
  <c r="HD62" i="34"/>
  <c r="DF70" i="33"/>
  <c r="EC168" i="34"/>
  <c r="T81" i="34"/>
  <c r="LK137" i="34"/>
  <c r="MK159" i="34"/>
  <c r="AT145" i="34"/>
  <c r="AD68" i="34"/>
  <c r="DA134" i="34"/>
  <c r="BQ92" i="34"/>
  <c r="ID105" i="34"/>
  <c r="FY76" i="33"/>
  <c r="GN89" i="34"/>
  <c r="U167" i="34"/>
  <c r="EG172" i="34"/>
  <c r="FQ171" i="34"/>
  <c r="AT147" i="34"/>
  <c r="NO159" i="34"/>
  <c r="LZ171" i="34"/>
  <c r="JZ48" i="34"/>
  <c r="AP28" i="33"/>
  <c r="P66" i="33"/>
  <c r="LX84" i="34"/>
  <c r="AM126" i="34"/>
  <c r="JT159" i="34"/>
  <c r="HT65" i="34"/>
  <c r="CD163" i="34"/>
  <c r="CN83" i="33"/>
  <c r="GQ187" i="34"/>
  <c r="BB75" i="34"/>
  <c r="NC86" i="34"/>
  <c r="AB143" i="34"/>
  <c r="LE132" i="34"/>
  <c r="EG93" i="34"/>
  <c r="J159" i="34"/>
  <c r="FV166" i="34"/>
  <c r="DG144" i="34"/>
  <c r="JT54" i="34"/>
  <c r="BN57" i="33"/>
  <c r="CF141" i="34"/>
  <c r="AM121" i="34"/>
  <c r="PJ95" i="34"/>
  <c r="PZ78" i="34"/>
  <c r="IE175" i="34"/>
  <c r="AU123" i="34"/>
  <c r="CF125" i="34"/>
  <c r="DW146" i="34"/>
  <c r="GH49" i="33"/>
  <c r="BR38" i="33"/>
  <c r="EY61" i="33"/>
  <c r="ED50" i="34"/>
  <c r="NE116" i="34"/>
  <c r="EA113" i="34"/>
  <c r="IV64" i="34"/>
  <c r="GK162" i="34"/>
  <c r="JV99" i="34"/>
  <c r="KN45" i="34"/>
  <c r="EW108" i="34"/>
  <c r="HU91" i="34"/>
  <c r="HF149" i="34"/>
  <c r="JX161" i="34"/>
  <c r="AX66" i="34"/>
  <c r="CE42" i="33"/>
  <c r="HF186" i="34"/>
  <c r="CM155" i="34"/>
  <c r="T163" i="34"/>
  <c r="V102" i="34"/>
  <c r="HH127" i="34"/>
  <c r="CO136" i="34"/>
  <c r="J39" i="33"/>
  <c r="HU159" i="34"/>
  <c r="HC62" i="34"/>
  <c r="EH58" i="34"/>
  <c r="BA94" i="34"/>
  <c r="EF188" i="34"/>
  <c r="EH94" i="34"/>
  <c r="AC126" i="34"/>
  <c r="DB126" i="34"/>
  <c r="EW109" i="34"/>
  <c r="EH89" i="34"/>
  <c r="JZ109" i="34"/>
  <c r="LE166" i="34"/>
  <c r="KA48" i="34"/>
  <c r="NB169" i="34"/>
  <c r="LK116" i="34"/>
  <c r="CF109" i="34"/>
  <c r="JW153" i="34"/>
  <c r="T43" i="34"/>
  <c r="JV70" i="34"/>
  <c r="CL104" i="34"/>
  <c r="BN157" i="34"/>
  <c r="KM86" i="34"/>
  <c r="FT161" i="34"/>
  <c r="LW186" i="34"/>
  <c r="MO149" i="34"/>
  <c r="DI139" i="34"/>
  <c r="FV44" i="33"/>
  <c r="L39" i="33"/>
  <c r="HF63" i="34"/>
  <c r="EK117" i="34"/>
  <c r="CJ178" i="34"/>
  <c r="EC147" i="34"/>
  <c r="EE106" i="34"/>
  <c r="LB145" i="34"/>
  <c r="LJ131" i="34"/>
  <c r="MC49" i="34"/>
  <c r="DD173" i="34"/>
  <c r="IE116" i="34"/>
  <c r="ME171" i="34"/>
  <c r="IA86" i="34"/>
  <c r="AQ87" i="34"/>
  <c r="DC108" i="34"/>
  <c r="CI90" i="34"/>
  <c r="CE55" i="34"/>
  <c r="DK26" i="33"/>
  <c r="DB187" i="34"/>
  <c r="CO98" i="34"/>
  <c r="Z123" i="34"/>
  <c r="HX101" i="34"/>
  <c r="AB110" i="34"/>
  <c r="GN115" i="34"/>
  <c r="OJ84" i="34"/>
  <c r="DY69" i="34"/>
  <c r="AV49" i="34"/>
  <c r="GA45" i="33"/>
  <c r="S18" i="23"/>
  <c r="IZ139" i="34"/>
  <c r="EZ105" i="34"/>
  <c r="GO175" i="34"/>
  <c r="FQ92" i="34"/>
  <c r="HC183" i="34"/>
  <c r="MI96" i="34"/>
  <c r="LB41" i="34"/>
  <c r="NA128" i="34"/>
  <c r="HD111" i="34"/>
  <c r="OJ89" i="34"/>
  <c r="DW82" i="34"/>
  <c r="BN102" i="34"/>
  <c r="FS57" i="34"/>
  <c r="JD58" i="34"/>
  <c r="HH155" i="34"/>
  <c r="DI117" i="34"/>
  <c r="LD125" i="34"/>
  <c r="PI73" i="34"/>
  <c r="HU90" i="34"/>
  <c r="NE46" i="34"/>
  <c r="X106" i="34"/>
  <c r="V58" i="34"/>
  <c r="BO34" i="33"/>
  <c r="BN133" i="34"/>
  <c r="KM146" i="34"/>
  <c r="DF147" i="34"/>
  <c r="FN178" i="34"/>
  <c r="FA164" i="34"/>
  <c r="JU175" i="34"/>
  <c r="IW154" i="34"/>
  <c r="AS162" i="34"/>
  <c r="NH126" i="34"/>
  <c r="DD188" i="34"/>
  <c r="L82" i="33"/>
  <c r="LF71" i="34"/>
  <c r="IV138" i="34"/>
  <c r="EC74" i="34"/>
  <c r="FS32" i="33"/>
  <c r="AD147" i="34"/>
  <c r="LJ92" i="34"/>
  <c r="NO171" i="34"/>
  <c r="NO145" i="34"/>
  <c r="DG147" i="34"/>
  <c r="CQ81" i="33"/>
  <c r="U138" i="34"/>
  <c r="S83" i="33"/>
  <c r="HW44" i="34"/>
  <c r="AK75" i="33"/>
  <c r="AW54" i="34"/>
  <c r="FK25" i="33"/>
  <c r="JW188" i="34"/>
  <c r="HF91" i="34"/>
  <c r="EQ54" i="33"/>
  <c r="AN141" i="34"/>
  <c r="DK35" i="33"/>
  <c r="BN158" i="34"/>
  <c r="GP157" i="34"/>
  <c r="CP51" i="33"/>
  <c r="EA47" i="33"/>
  <c r="EC133" i="34"/>
  <c r="DX57" i="34"/>
  <c r="IS89" i="34"/>
  <c r="ND123" i="34"/>
  <c r="LZ102" i="34"/>
  <c r="V6" i="17"/>
  <c r="GN118" i="34"/>
  <c r="DV77" i="34"/>
  <c r="LE186" i="34"/>
  <c r="ME79" i="34"/>
  <c r="Y161" i="34"/>
  <c r="IU134" i="34"/>
  <c r="CM101" i="34"/>
  <c r="AM158" i="34"/>
  <c r="GK55" i="33"/>
  <c r="CW80" i="33"/>
  <c r="CD115" i="34"/>
  <c r="JA112" i="34"/>
  <c r="CJ130" i="34"/>
  <c r="HG49" i="34"/>
  <c r="IV93" i="34"/>
  <c r="IW75" i="34"/>
  <c r="NE107" i="34"/>
  <c r="HZ121" i="34"/>
  <c r="K97" i="34"/>
  <c r="HU167" i="34"/>
  <c r="AU90" i="33"/>
  <c r="ON71" i="34"/>
  <c r="HY149" i="34"/>
  <c r="BA48" i="33"/>
  <c r="ME88" i="34"/>
  <c r="FQ76" i="34"/>
  <c r="BR165" i="34"/>
  <c r="AR168" i="34"/>
  <c r="NG159" i="34"/>
  <c r="CE55" i="33"/>
  <c r="B27" i="17"/>
  <c r="ID72" i="34"/>
  <c r="OL64" i="34"/>
  <c r="GF86" i="33"/>
  <c r="HE173" i="34"/>
  <c r="GP168" i="34"/>
  <c r="NJ45" i="34"/>
  <c r="LC135" i="34"/>
  <c r="DZ136" i="34"/>
  <c r="JW43" i="34"/>
  <c r="GL75" i="33"/>
  <c r="LJ85" i="34"/>
  <c r="MF64" i="34"/>
  <c r="W59" i="33"/>
  <c r="KB119" i="34"/>
  <c r="FH75" i="33"/>
  <c r="Y76" i="34"/>
  <c r="OI163" i="34"/>
  <c r="FY92" i="33"/>
  <c r="BQ82" i="34"/>
  <c r="FA156" i="34"/>
  <c r="GJ135" i="34"/>
  <c r="J64" i="34"/>
  <c r="CK56" i="34"/>
  <c r="DE43" i="34"/>
  <c r="BQ77" i="34"/>
  <c r="LE57" i="34"/>
  <c r="OH49" i="34"/>
  <c r="HU93" i="34"/>
  <c r="IC80" i="34"/>
  <c r="BA45" i="33"/>
  <c r="LH105" i="34"/>
  <c r="MG181" i="34"/>
  <c r="EQ40" i="33"/>
  <c r="OL125" i="34"/>
  <c r="MF150" i="34"/>
  <c r="DA104" i="34"/>
  <c r="KC53" i="34"/>
  <c r="B26" i="17"/>
  <c r="HE59" i="34"/>
  <c r="FX163" i="34"/>
  <c r="CW27" i="33"/>
  <c r="AD154" i="34"/>
  <c r="JV82" i="34"/>
  <c r="JV153" i="34"/>
  <c r="EZ136" i="34"/>
  <c r="AC52" i="34"/>
  <c r="PH126" i="34"/>
  <c r="FN58" i="34"/>
  <c r="EW56" i="34"/>
  <c r="CI85" i="34"/>
  <c r="LW63" i="34"/>
  <c r="EF90" i="34"/>
  <c r="HH108" i="34"/>
  <c r="IW55" i="34"/>
  <c r="BQ80" i="34"/>
  <c r="EY188" i="34"/>
  <c r="DJ170" i="34"/>
  <c r="IR62" i="34"/>
  <c r="ED90" i="34"/>
  <c r="HX71" i="34"/>
  <c r="FO83" i="34"/>
  <c r="DH61" i="33"/>
  <c r="AN73" i="33"/>
  <c r="X53" i="34"/>
  <c r="FY29" i="33"/>
  <c r="U163" i="34"/>
  <c r="AW145" i="34"/>
  <c r="FX178" i="34"/>
  <c r="LH59" i="34"/>
  <c r="LF169" i="34"/>
  <c r="DH150" i="34"/>
  <c r="BK68" i="33"/>
  <c r="KR50" i="34"/>
  <c r="CD93" i="34"/>
  <c r="MN58" i="34"/>
  <c r="CD141" i="34"/>
  <c r="OM181" i="34"/>
  <c r="IW67" i="34"/>
  <c r="CK73" i="34"/>
  <c r="AO165" i="34"/>
  <c r="MD85" i="34"/>
  <c r="EK70" i="33"/>
  <c r="GJ27" i="33"/>
  <c r="AE60" i="33"/>
  <c r="NF139" i="34"/>
  <c r="BB140" i="34"/>
  <c r="AR187" i="34"/>
  <c r="JX73" i="34"/>
  <c r="ED43" i="34"/>
  <c r="FS37" i="33"/>
  <c r="CW46" i="33"/>
  <c r="FB167" i="34"/>
  <c r="AQ96" i="34"/>
  <c r="FF81" i="33"/>
  <c r="BP102" i="34"/>
  <c r="HZ149" i="34"/>
  <c r="J93" i="34"/>
  <c r="KC84" i="34"/>
  <c r="HG112" i="34"/>
  <c r="JB137" i="34"/>
  <c r="HZ141" i="34"/>
  <c r="GO123" i="34"/>
  <c r="U149" i="34"/>
  <c r="NK188" i="34"/>
  <c r="IA87" i="34"/>
  <c r="K173" i="34"/>
  <c r="HX92" i="34"/>
  <c r="LF76" i="34"/>
  <c r="LI116" i="34"/>
  <c r="CE165" i="34"/>
  <c r="GK135" i="34"/>
  <c r="B60" i="28"/>
  <c r="LZ134" i="34"/>
  <c r="NF170" i="34"/>
  <c r="GM183" i="34"/>
  <c r="CO101" i="34"/>
  <c r="FV97" i="34"/>
  <c r="JF97" i="34"/>
  <c r="CS26" i="33"/>
  <c r="CH83" i="34"/>
  <c r="DH99" i="34"/>
  <c r="HE170" i="34"/>
  <c r="AM73" i="33"/>
  <c r="JX100" i="34"/>
  <c r="KR128" i="34"/>
  <c r="AY62" i="34"/>
  <c r="CM158" i="34"/>
  <c r="DD9" i="33"/>
  <c r="HE95" i="34"/>
  <c r="KB92" i="34"/>
  <c r="MN171" i="34"/>
  <c r="IT65" i="34"/>
  <c r="NA119" i="34"/>
  <c r="BS73" i="33"/>
  <c r="BB77" i="34"/>
  <c r="IV178" i="34"/>
  <c r="AU157" i="34"/>
  <c r="JY186" i="34"/>
  <c r="LJ156" i="34"/>
  <c r="AX44" i="33"/>
  <c r="PZ154" i="34"/>
  <c r="CI108" i="34"/>
  <c r="LX58" i="34"/>
  <c r="GG60" i="33"/>
  <c r="K68" i="34"/>
  <c r="BL71" i="33"/>
  <c r="K44" i="34"/>
  <c r="BJ53" i="28"/>
  <c r="DX146" i="34"/>
  <c r="Y69" i="34"/>
  <c r="ID65" i="34"/>
  <c r="FX43" i="34"/>
  <c r="H30" i="33"/>
  <c r="HY162" i="34"/>
  <c r="LF41" i="34"/>
  <c r="FZ43" i="33"/>
  <c r="EE131" i="34"/>
  <c r="HX50" i="34"/>
  <c r="EI71" i="34"/>
  <c r="W9" i="33"/>
  <c r="LX142" i="34"/>
  <c r="OK143" i="34"/>
  <c r="NL88" i="34"/>
  <c r="EG58" i="34"/>
  <c r="FR98" i="34"/>
  <c r="FM52" i="33"/>
  <c r="IB188" i="34"/>
  <c r="JY169" i="34"/>
  <c r="AM43" i="34"/>
  <c r="IV76" i="34"/>
  <c r="IZ172" i="34"/>
  <c r="AB164" i="34"/>
  <c r="BB36" i="33"/>
  <c r="CI98" i="34"/>
  <c r="ED106" i="34"/>
  <c r="FZ45" i="33"/>
  <c r="AX123" i="34"/>
  <c r="IC187" i="34"/>
  <c r="ND90" i="34"/>
  <c r="BO169" i="34"/>
  <c r="HF120" i="34"/>
  <c r="LD91" i="34"/>
  <c r="EW41" i="34"/>
  <c r="DW158" i="34"/>
  <c r="NO79" i="34"/>
  <c r="FA83" i="34"/>
  <c r="AC159" i="34"/>
  <c r="KM111" i="34"/>
  <c r="AO122" i="34"/>
  <c r="MM126" i="34"/>
  <c r="LB175" i="34"/>
  <c r="HY169" i="34"/>
  <c r="KN62" i="34"/>
  <c r="LK77" i="34"/>
  <c r="AU119" i="34"/>
  <c r="L120" i="28"/>
  <c r="J123" i="34"/>
  <c r="AW119" i="34"/>
  <c r="BP121" i="34"/>
  <c r="K90" i="34"/>
  <c r="PC91" i="34"/>
  <c r="DB122" i="34"/>
  <c r="GQ164" i="34"/>
  <c r="S181" i="23"/>
  <c r="MB77" i="34"/>
  <c r="EC59" i="34"/>
  <c r="JV146" i="34"/>
  <c r="AT123" i="34"/>
  <c r="BJ84" i="28"/>
  <c r="MD71" i="34"/>
  <c r="BQ63" i="34"/>
  <c r="FU86" i="34"/>
  <c r="NL111" i="34"/>
  <c r="AU85" i="33"/>
  <c r="AT41" i="33"/>
  <c r="DC75" i="34"/>
  <c r="CO68" i="34"/>
  <c r="EK167" i="34"/>
  <c r="DG66" i="34"/>
  <c r="LD99" i="34"/>
  <c r="CO146" i="34"/>
  <c r="PF93" i="34"/>
  <c r="AX67" i="34"/>
  <c r="AR188" i="34"/>
  <c r="F59" i="28"/>
  <c r="CW54" i="33"/>
  <c r="JW100" i="34"/>
  <c r="W86" i="34"/>
  <c r="LF139" i="34"/>
  <c r="FB155" i="34"/>
  <c r="BC46" i="33"/>
  <c r="IA111" i="34"/>
  <c r="FC70" i="33"/>
  <c r="KC66" i="34"/>
  <c r="JB173" i="34"/>
  <c r="LH136" i="34"/>
  <c r="HW110" i="34"/>
  <c r="EA62" i="34"/>
  <c r="BQ45" i="34"/>
  <c r="FP145" i="34"/>
  <c r="FB136" i="34"/>
  <c r="JY124" i="34"/>
  <c r="AZ102" i="34"/>
  <c r="FP167" i="34"/>
  <c r="EE66" i="34"/>
  <c r="JY108" i="34"/>
  <c r="AZ154" i="34"/>
  <c r="DC58" i="34"/>
  <c r="AX154" i="34"/>
  <c r="MG123" i="34"/>
  <c r="JW80" i="34"/>
  <c r="JZ165" i="34"/>
  <c r="M71" i="33"/>
  <c r="LG100" i="34"/>
  <c r="AP48" i="34"/>
  <c r="BM57" i="33"/>
  <c r="HE119" i="34"/>
  <c r="HT70" i="34"/>
  <c r="CH55" i="34"/>
  <c r="AC111" i="34"/>
  <c r="GK94" i="34"/>
  <c r="BH90" i="33"/>
  <c r="AJ65" i="33"/>
  <c r="NK161" i="34"/>
  <c r="CL162" i="34"/>
  <c r="HD51" i="34"/>
  <c r="HC150" i="34"/>
  <c r="FL78" i="33"/>
  <c r="BW49" i="33"/>
  <c r="AN130" i="34"/>
  <c r="H19" i="17"/>
  <c r="EE141" i="34"/>
  <c r="CX67" i="33"/>
  <c r="AP39" i="33"/>
  <c r="CL74" i="34"/>
  <c r="EC117" i="34"/>
  <c r="IR151" i="34"/>
  <c r="CO183" i="34"/>
  <c r="AT171" i="34"/>
  <c r="KN94" i="34"/>
  <c r="DE99" i="34"/>
  <c r="HG155" i="34"/>
  <c r="HZ155" i="34"/>
  <c r="IQ89" i="34"/>
  <c r="OJ109" i="34"/>
  <c r="KB160" i="34"/>
  <c r="EZ44" i="34"/>
  <c r="FW173" i="34"/>
  <c r="NN130" i="34"/>
  <c r="HC59" i="34"/>
  <c r="AB123" i="34"/>
  <c r="EI90" i="34"/>
  <c r="JB56" i="34"/>
  <c r="Y84" i="34"/>
  <c r="AB58" i="34"/>
  <c r="IS117" i="34"/>
  <c r="LJ81" i="34"/>
  <c r="DG151" i="34"/>
  <c r="IE163" i="34"/>
  <c r="JE121" i="34"/>
  <c r="CM164" i="34"/>
  <c r="OJ142" i="34"/>
  <c r="EF126" i="34"/>
  <c r="BG71" i="33"/>
  <c r="FL77" i="33"/>
  <c r="PY129" i="34"/>
  <c r="NC58" i="34"/>
  <c r="OJ70" i="34"/>
  <c r="LC153" i="34"/>
  <c r="ID68" i="34"/>
  <c r="LI138" i="34"/>
  <c r="FE58" i="33"/>
  <c r="DE97" i="34"/>
  <c r="NN132" i="34"/>
  <c r="FA48" i="34"/>
  <c r="AX73" i="33"/>
  <c r="EW163" i="34"/>
  <c r="JD111" i="34"/>
  <c r="AS75" i="34"/>
  <c r="LC126" i="34"/>
  <c r="DJ77" i="34"/>
  <c r="AN47" i="34"/>
  <c r="AD123" i="34"/>
  <c r="CI137" i="34"/>
  <c r="DC129" i="34"/>
  <c r="DB72" i="33"/>
  <c r="BN45" i="34"/>
  <c r="DF96" i="34"/>
  <c r="OJ183" i="34"/>
  <c r="S21" i="23"/>
  <c r="PJ155" i="34"/>
  <c r="CM100" i="34"/>
  <c r="BR79" i="34"/>
  <c r="DI164" i="34"/>
  <c r="GG65" i="33"/>
  <c r="MB148" i="34"/>
  <c r="FA80" i="34"/>
  <c r="NN165" i="34"/>
  <c r="DY133" i="34"/>
  <c r="IZ142" i="34"/>
  <c r="FP96" i="34"/>
  <c r="AL66" i="33"/>
  <c r="FP84" i="34"/>
  <c r="LX152" i="34"/>
  <c r="EH168" i="34"/>
  <c r="HU118" i="34"/>
  <c r="JW156" i="34"/>
  <c r="AD162" i="34"/>
  <c r="AN120" i="34"/>
  <c r="AA40" i="33"/>
  <c r="JY162" i="34"/>
  <c r="AX116" i="34"/>
  <c r="EJ144" i="34"/>
  <c r="AD119" i="34"/>
  <c r="AM47" i="34"/>
  <c r="BP96" i="34"/>
  <c r="FW143" i="34"/>
  <c r="HU48" i="34"/>
  <c r="NO73" i="34"/>
  <c r="EF113" i="34"/>
  <c r="CO68" i="33"/>
  <c r="JA92" i="34"/>
  <c r="EA59" i="33"/>
  <c r="IZ77" i="34"/>
  <c r="LW91" i="34"/>
  <c r="DH156" i="34"/>
  <c r="FS30" i="33"/>
  <c r="BO64" i="34"/>
  <c r="BS53" i="33"/>
  <c r="T80" i="34"/>
  <c r="JA133" i="34"/>
  <c r="AP50" i="33"/>
  <c r="ED150" i="34"/>
  <c r="KP149" i="34"/>
  <c r="IA50" i="34"/>
  <c r="CD105" i="34"/>
  <c r="GK144" i="34"/>
  <c r="JA157" i="34"/>
  <c r="AW59" i="34"/>
  <c r="JF92" i="34"/>
  <c r="DO35" i="33"/>
  <c r="MN163" i="34"/>
  <c r="HY132" i="34"/>
  <c r="L106" i="28"/>
  <c r="LA81" i="34"/>
  <c r="AU120" i="34"/>
  <c r="EZ90" i="34"/>
  <c r="EI171" i="34"/>
  <c r="BR120" i="34"/>
  <c r="FH82" i="33"/>
  <c r="K134" i="34"/>
  <c r="FU118" i="34"/>
  <c r="FQ31" i="33"/>
  <c r="ME53" i="34"/>
  <c r="KO121" i="34"/>
  <c r="EZ82" i="33"/>
  <c r="LG151" i="34"/>
  <c r="LA87" i="34"/>
  <c r="HU102" i="34"/>
  <c r="AQ158" i="34"/>
  <c r="MA55" i="34"/>
  <c r="AI82" i="33"/>
  <c r="GO58" i="33"/>
  <c r="DB101" i="34"/>
  <c r="DE103" i="34"/>
  <c r="CE92" i="33"/>
  <c r="MK186" i="34"/>
  <c r="EJ103" i="34"/>
  <c r="IZ158" i="34"/>
  <c r="PK51" i="34"/>
  <c r="LC79" i="34"/>
  <c r="FX71" i="33"/>
  <c r="HG48" i="34"/>
  <c r="HE110" i="34"/>
  <c r="GN149" i="34"/>
  <c r="EK141" i="34"/>
  <c r="HH136" i="34"/>
  <c r="LH108" i="34"/>
  <c r="EJ176" i="34"/>
  <c r="AM155" i="34"/>
  <c r="AQ88" i="34"/>
  <c r="DR59" i="33"/>
  <c r="GQ47" i="34"/>
  <c r="IR84" i="34"/>
  <c r="LY150" i="34"/>
  <c r="Y164" i="34"/>
  <c r="AJ70" i="33"/>
  <c r="NP178" i="34"/>
  <c r="HE175" i="34"/>
  <c r="CN118" i="34"/>
  <c r="EI61" i="34"/>
  <c r="BP174" i="34"/>
  <c r="DZ80" i="34"/>
  <c r="BO44" i="33"/>
  <c r="FX60" i="34"/>
  <c r="PA129" i="34"/>
  <c r="LY46" i="34"/>
  <c r="JZ178" i="34"/>
  <c r="BR94" i="34"/>
  <c r="JF155" i="34"/>
  <c r="EI74" i="34"/>
  <c r="FQ83" i="34"/>
  <c r="AA168" i="34"/>
  <c r="FR84" i="34"/>
  <c r="DF115" i="34"/>
  <c r="AY87" i="34"/>
  <c r="CK52" i="34"/>
  <c r="V126" i="34"/>
  <c r="CI134" i="34"/>
  <c r="FP48" i="33"/>
  <c r="DV146" i="34"/>
  <c r="IB148" i="34"/>
  <c r="MI83" i="34"/>
  <c r="U75" i="34"/>
  <c r="EK149" i="34"/>
  <c r="OH161" i="34"/>
  <c r="AW125" i="34"/>
  <c r="NI83" i="34"/>
  <c r="DJ63" i="34"/>
  <c r="AA188" i="34"/>
  <c r="CS5" i="34"/>
  <c r="JY135" i="34"/>
  <c r="ID130" i="34"/>
  <c r="K93" i="34"/>
  <c r="CO71" i="33"/>
  <c r="FQ63" i="34"/>
  <c r="ID107" i="34"/>
  <c r="GL9" i="33"/>
  <c r="FB183" i="34"/>
  <c r="DZ144" i="34"/>
  <c r="CO96" i="34"/>
  <c r="PB187" i="34"/>
  <c r="KB80" i="34"/>
  <c r="NK95" i="34"/>
  <c r="EJ48" i="33"/>
  <c r="AD74" i="33"/>
  <c r="KN156" i="34"/>
  <c r="MD132" i="34"/>
  <c r="AB173" i="34"/>
  <c r="BB107" i="34"/>
  <c r="GL86" i="34"/>
  <c r="AB174" i="34"/>
  <c r="AZ181" i="34"/>
  <c r="JE135" i="34"/>
  <c r="AX81" i="34"/>
  <c r="EG44" i="33"/>
  <c r="Y120" i="34"/>
  <c r="CM187" i="34"/>
  <c r="AO89" i="34"/>
  <c r="AZ171" i="34"/>
  <c r="IE164" i="34"/>
  <c r="NC163" i="34"/>
  <c r="J90" i="34"/>
  <c r="CM152" i="34"/>
  <c r="CN132" i="34"/>
  <c r="DN4" i="34"/>
  <c r="JX158" i="34"/>
  <c r="HU183" i="34"/>
  <c r="GO48" i="33"/>
  <c r="EK170" i="34"/>
  <c r="CR57" i="33"/>
  <c r="MC104" i="34"/>
  <c r="AA80" i="34"/>
  <c r="GL176" i="34"/>
  <c r="CH81" i="34"/>
  <c r="JF48" i="34"/>
  <c r="MA42" i="34"/>
  <c r="IZ148" i="34"/>
  <c r="LZ143" i="34"/>
  <c r="DV161" i="34"/>
  <c r="BG76" i="33"/>
  <c r="CF86" i="34"/>
  <c r="CO155" i="34"/>
  <c r="NH149" i="34"/>
  <c r="AA35" i="33"/>
  <c r="ED70" i="33"/>
  <c r="JC103" i="34"/>
  <c r="W42" i="34"/>
  <c r="EG113" i="34"/>
  <c r="CA61" i="33"/>
  <c r="AK46" i="33"/>
  <c r="IR90" i="34"/>
  <c r="FE56" i="33"/>
  <c r="NF186" i="34"/>
  <c r="EZ42" i="33"/>
  <c r="AC45" i="34"/>
  <c r="BB146" i="34"/>
  <c r="BA95" i="34"/>
  <c r="EW153" i="34"/>
  <c r="AT44" i="33"/>
  <c r="JV92" i="34"/>
  <c r="CM121" i="34"/>
  <c r="JE123" i="34"/>
  <c r="J44" i="34"/>
  <c r="DV187" i="34"/>
  <c r="FS113" i="34"/>
  <c r="LK90" i="34"/>
  <c r="IE79" i="34"/>
  <c r="CS58" i="33"/>
  <c r="AY77" i="34"/>
  <c r="DH56" i="34"/>
  <c r="GL74" i="34"/>
  <c r="PG109" i="34"/>
  <c r="GQ77" i="34"/>
  <c r="MD56" i="34"/>
  <c r="GM120" i="34"/>
  <c r="FS104" i="34"/>
  <c r="GM161" i="34"/>
  <c r="AD26" i="33"/>
  <c r="AP41" i="34"/>
  <c r="DX121" i="34"/>
  <c r="GO119" i="34"/>
  <c r="LJ98" i="34"/>
  <c r="GI27" i="33"/>
  <c r="AU161" i="34"/>
  <c r="EW181" i="34"/>
  <c r="BQ170" i="34"/>
  <c r="JF174" i="34"/>
  <c r="PY105" i="34"/>
  <c r="AJ63" i="33"/>
  <c r="JF101" i="34"/>
  <c r="KM76" i="34"/>
  <c r="BR100" i="34"/>
  <c r="ML170" i="34"/>
  <c r="BO128" i="34"/>
  <c r="EG159" i="34"/>
  <c r="AY59" i="34"/>
  <c r="MO42" i="34"/>
  <c r="AZ94" i="34"/>
  <c r="EE73" i="33"/>
  <c r="BP58" i="34"/>
  <c r="OI99" i="34"/>
  <c r="CL26" i="33"/>
  <c r="KQ178" i="34"/>
  <c r="OJ43" i="34"/>
  <c r="FQ76" i="33"/>
  <c r="LC101" i="34"/>
  <c r="JA165" i="34"/>
  <c r="NC71" i="34"/>
  <c r="NG86" i="34"/>
  <c r="BS47" i="33"/>
  <c r="AR116" i="34"/>
  <c r="FR157" i="34"/>
  <c r="GK165" i="34"/>
  <c r="LJ113" i="34"/>
  <c r="GG75" i="33"/>
  <c r="CN117" i="34"/>
  <c r="LB84" i="34"/>
  <c r="AS118" i="34"/>
  <c r="DF163" i="34"/>
  <c r="JF74" i="34"/>
  <c r="BH63" i="33"/>
  <c r="KP186" i="34"/>
  <c r="AT136" i="34"/>
  <c r="DZ161" i="34"/>
  <c r="AJ29" i="33"/>
  <c r="EL35" i="33"/>
  <c r="CE105" i="34"/>
  <c r="HE102" i="34"/>
  <c r="DC87" i="34"/>
  <c r="EG52" i="34"/>
  <c r="JE60" i="34"/>
  <c r="T78" i="34"/>
  <c r="EH181" i="34"/>
  <c r="ME162" i="34"/>
  <c r="AB78" i="34"/>
  <c r="DF159" i="34"/>
  <c r="LA77" i="34"/>
  <c r="AT186" i="34"/>
  <c r="CH176" i="34"/>
  <c r="NC85" i="34"/>
  <c r="DV64" i="34"/>
  <c r="NJ158" i="34"/>
  <c r="FT162" i="34"/>
  <c r="V63" i="34"/>
  <c r="U44" i="34"/>
  <c r="T59" i="34"/>
  <c r="MJ42" i="34"/>
  <c r="CQ44" i="33"/>
  <c r="BJ193" i="28"/>
  <c r="NH152" i="34"/>
  <c r="EK187" i="34"/>
  <c r="HW121" i="34"/>
  <c r="JE102" i="34"/>
  <c r="DF63" i="34"/>
  <c r="KC70" i="34"/>
  <c r="HD73" i="34"/>
  <c r="AM102" i="34"/>
  <c r="DW44" i="34"/>
  <c r="JW51" i="34"/>
  <c r="GQ132" i="34"/>
  <c r="K160" i="34"/>
  <c r="CM61" i="34"/>
  <c r="JU52" i="34"/>
  <c r="AB52" i="34"/>
  <c r="IW79" i="34"/>
  <c r="KO166" i="34"/>
  <c r="HE85" i="34"/>
  <c r="KA76" i="34"/>
  <c r="EF25" i="33"/>
  <c r="JG141" i="34"/>
  <c r="DV105" i="34"/>
  <c r="DA64" i="33"/>
  <c r="EY80" i="33"/>
  <c r="LZ141" i="34"/>
  <c r="V77" i="33"/>
  <c r="PD139" i="34"/>
  <c r="ND65" i="34"/>
  <c r="HY55" i="34"/>
  <c r="DC56" i="34"/>
  <c r="PJ141" i="34"/>
  <c r="BA129" i="34"/>
  <c r="NG63" i="34"/>
  <c r="JU168" i="34"/>
  <c r="AU147" i="34"/>
  <c r="S102" i="23"/>
  <c r="FU80" i="34"/>
  <c r="R69" i="33"/>
  <c r="DH127" i="34"/>
  <c r="DZ91" i="34"/>
  <c r="IB124" i="34"/>
  <c r="AA64" i="34"/>
  <c r="IS169" i="34"/>
  <c r="LD82" i="34"/>
  <c r="HD115" i="34"/>
  <c r="F29" i="33"/>
  <c r="AX67" i="33"/>
  <c r="T39" i="33"/>
  <c r="X145" i="34"/>
  <c r="LA139" i="34"/>
  <c r="AD173" i="34"/>
  <c r="IT164" i="34"/>
  <c r="AT134" i="34"/>
  <c r="KN84" i="34"/>
  <c r="KR89" i="34"/>
  <c r="BN139" i="34"/>
  <c r="DO85" i="33"/>
  <c r="NG176" i="34"/>
  <c r="IE129" i="34"/>
  <c r="JX67" i="34"/>
  <c r="EX143" i="34"/>
  <c r="JY129" i="34"/>
  <c r="K43" i="34"/>
  <c r="FX170" i="34"/>
  <c r="PZ46" i="34"/>
  <c r="FW97" i="33"/>
  <c r="AO59" i="34"/>
  <c r="W166" i="34"/>
  <c r="EK74" i="34"/>
  <c r="Z56" i="34"/>
  <c r="FW105" i="34"/>
  <c r="MN113" i="34"/>
  <c r="DC82" i="33"/>
  <c r="LI94" i="34"/>
  <c r="MM113" i="34"/>
  <c r="AT122" i="34"/>
  <c r="GO146" i="34"/>
  <c r="GJ73" i="34"/>
  <c r="AX45" i="34"/>
  <c r="OJ65" i="34"/>
  <c r="FU109" i="34"/>
  <c r="ID150" i="34"/>
  <c r="GK45" i="33"/>
  <c r="OO112" i="34"/>
  <c r="EX123" i="34"/>
  <c r="CO83" i="33"/>
  <c r="KQ49" i="34"/>
  <c r="OS4" i="34"/>
  <c r="LJ166" i="34"/>
  <c r="NG66" i="34"/>
  <c r="AD92" i="33"/>
  <c r="MG90" i="34"/>
  <c r="V67" i="33"/>
  <c r="IZ78" i="34"/>
  <c r="ED168" i="34"/>
  <c r="KP170" i="34"/>
  <c r="MK145" i="34"/>
  <c r="EW99" i="34"/>
  <c r="IT92" i="34"/>
  <c r="LD69" i="34"/>
  <c r="DB43" i="34"/>
  <c r="GL161" i="34"/>
  <c r="JT92" i="34"/>
  <c r="DG186" i="34"/>
  <c r="CX9" i="33"/>
  <c r="MG129" i="34"/>
  <c r="CI36" i="33"/>
  <c r="CN58" i="34"/>
  <c r="IQ143" i="34"/>
  <c r="EY59" i="33"/>
  <c r="OI159" i="34"/>
  <c r="DW71" i="34"/>
  <c r="GQ48" i="34"/>
  <c r="EL42" i="33"/>
  <c r="Y166" i="34"/>
  <c r="NP113" i="34"/>
  <c r="JY118" i="34"/>
  <c r="FX171" i="34"/>
  <c r="DS86" i="33"/>
  <c r="JV94" i="34"/>
  <c r="KL48" i="34"/>
  <c r="EJ44" i="33"/>
  <c r="GP135" i="34"/>
  <c r="AN109" i="34"/>
  <c r="EX117" i="34"/>
  <c r="BM81" i="33"/>
  <c r="CO64" i="34"/>
  <c r="DD126" i="34"/>
  <c r="AQ126" i="34"/>
  <c r="CM51" i="34"/>
  <c r="NO161" i="34"/>
  <c r="IV160" i="34"/>
  <c r="MC79" i="34"/>
  <c r="GL103" i="34"/>
  <c r="CZ53" i="33"/>
  <c r="CD41" i="33"/>
  <c r="HW64" i="34"/>
  <c r="CD162" i="34"/>
  <c r="GP116" i="34"/>
  <c r="FR72" i="34"/>
  <c r="FV75" i="33"/>
  <c r="HF68" i="34"/>
  <c r="IE100" i="34"/>
  <c r="AX149" i="34"/>
  <c r="DJ41" i="34"/>
  <c r="HC108" i="34"/>
  <c r="CD173" i="34"/>
  <c r="N86" i="33"/>
  <c r="IU164" i="34"/>
  <c r="JB57" i="34"/>
  <c r="BQ50" i="33"/>
  <c r="NJ85" i="34"/>
  <c r="KM106" i="34"/>
  <c r="W186" i="34"/>
  <c r="LA58" i="34"/>
  <c r="BR52" i="34"/>
  <c r="HE97" i="34"/>
  <c r="LX68" i="34"/>
  <c r="NG117" i="34"/>
  <c r="BP119" i="34"/>
  <c r="IE112" i="34"/>
  <c r="HX117" i="34"/>
  <c r="HG105" i="34"/>
  <c r="BA54" i="33"/>
  <c r="CO131" i="34"/>
  <c r="DE143" i="34"/>
  <c r="DZ56" i="33"/>
  <c r="BO166" i="34"/>
  <c r="IR67" i="34"/>
  <c r="HH152" i="34"/>
  <c r="LE102" i="34"/>
  <c r="NO48" i="34"/>
  <c r="FA143" i="34"/>
  <c r="HF147" i="34"/>
  <c r="JX153" i="34"/>
  <c r="AW100" i="34"/>
  <c r="GO57" i="34"/>
  <c r="JY53" i="34"/>
  <c r="AT164" i="34"/>
  <c r="J98" i="34"/>
  <c r="DZ174" i="34"/>
  <c r="AO81" i="34"/>
  <c r="MG67" i="34"/>
  <c r="AZ130" i="34"/>
  <c r="FX98" i="34"/>
  <c r="S178" i="23"/>
  <c r="AV151" i="34"/>
  <c r="AC98" i="34"/>
  <c r="JU176" i="34"/>
  <c r="OH81" i="34"/>
  <c r="GN57" i="34"/>
  <c r="U74" i="34"/>
  <c r="CE60" i="34"/>
  <c r="BQ126" i="34"/>
  <c r="DW86" i="34"/>
  <c r="BB163" i="34"/>
  <c r="JG149" i="34"/>
  <c r="IB165" i="34"/>
  <c r="LZ79" i="34"/>
  <c r="AP66" i="33"/>
  <c r="LA117" i="34"/>
  <c r="FN90" i="34"/>
  <c r="FW136" i="34"/>
  <c r="GP137" i="34"/>
  <c r="DY87" i="34"/>
  <c r="EJ128" i="34"/>
  <c r="U102" i="34"/>
  <c r="IB83" i="34"/>
  <c r="HZ142" i="34"/>
  <c r="HZ111" i="34"/>
  <c r="AZ145" i="34"/>
  <c r="NI176" i="34"/>
  <c r="IQ142" i="34"/>
  <c r="BR9" i="33"/>
  <c r="Y65" i="34"/>
  <c r="BF59" i="33"/>
  <c r="KM98" i="34"/>
  <c r="DE57" i="33"/>
  <c r="W141" i="34"/>
  <c r="EX56" i="34"/>
  <c r="OK141" i="34"/>
  <c r="DV172" i="34"/>
  <c r="FA74" i="34"/>
  <c r="CQ40" i="33"/>
  <c r="FR94" i="34"/>
  <c r="FO60" i="33"/>
  <c r="MF88" i="34"/>
  <c r="NH116" i="34"/>
  <c r="T97" i="34"/>
  <c r="AS133" i="34"/>
  <c r="KN51" i="34"/>
  <c r="IA145" i="34"/>
  <c r="JC113" i="34"/>
  <c r="OK125" i="34"/>
  <c r="DU50" i="33"/>
  <c r="AS141" i="34"/>
  <c r="CD49" i="33"/>
  <c r="HV53" i="34"/>
  <c r="AA45" i="34"/>
  <c r="DL43" i="33"/>
  <c r="DH175" i="34"/>
  <c r="HC47" i="34"/>
  <c r="K58" i="34"/>
  <c r="FP124" i="34"/>
  <c r="HE80" i="34"/>
  <c r="DZ55" i="34"/>
  <c r="DE145" i="34"/>
  <c r="KA126" i="34"/>
  <c r="JD90" i="34"/>
  <c r="HE51" i="34"/>
  <c r="GF32" i="33"/>
  <c r="HY60" i="34"/>
  <c r="LH89" i="34"/>
  <c r="AA130" i="34"/>
  <c r="EB146" i="34"/>
  <c r="LI74" i="34"/>
  <c r="FO55" i="34"/>
  <c r="BQ141" i="34"/>
  <c r="IV45" i="34"/>
  <c r="BR59" i="34"/>
  <c r="JF153" i="34"/>
  <c r="Y90" i="34"/>
  <c r="DF102" i="34"/>
  <c r="Y50" i="34"/>
  <c r="MN77" i="34"/>
  <c r="EE93" i="34"/>
  <c r="FO113" i="34"/>
  <c r="DH35" i="33"/>
  <c r="FA111" i="34"/>
  <c r="LB144" i="34"/>
  <c r="NJ166" i="34"/>
  <c r="GF30" i="33"/>
  <c r="DY123" i="34"/>
  <c r="FU61" i="34"/>
  <c r="NI158" i="34"/>
  <c r="FN116" i="34"/>
  <c r="LY133" i="34"/>
  <c r="LE45" i="34"/>
  <c r="DC151" i="34"/>
  <c r="GJ80" i="33"/>
  <c r="NG109" i="34"/>
  <c r="HF61" i="34"/>
  <c r="LF97" i="34"/>
  <c r="MC158" i="34"/>
  <c r="DF173" i="34"/>
  <c r="KP97" i="34"/>
  <c r="EZ50" i="34"/>
  <c r="BC78" i="33"/>
  <c r="DZ149" i="34"/>
  <c r="HZ89" i="34"/>
  <c r="BR167" i="34"/>
  <c r="BO45" i="34"/>
  <c r="K169" i="34"/>
  <c r="LH98" i="34"/>
  <c r="AX85" i="34"/>
  <c r="AX70" i="34"/>
  <c r="FA135" i="34"/>
  <c r="GJ93" i="34"/>
  <c r="JA55" i="34"/>
  <c r="HW82" i="34"/>
  <c r="AP67" i="34"/>
  <c r="EG130" i="34"/>
  <c r="AU80" i="34"/>
  <c r="HD175" i="34"/>
  <c r="IS149" i="34"/>
  <c r="CE50" i="33"/>
  <c r="JZ131" i="34"/>
  <c r="HE167" i="34"/>
  <c r="DA127" i="34"/>
  <c r="HC121" i="34"/>
  <c r="KA93" i="34"/>
  <c r="HG44" i="34"/>
  <c r="AX112" i="34"/>
  <c r="MM53" i="34"/>
  <c r="HD86" i="34"/>
  <c r="JU66" i="34"/>
  <c r="V11" i="17"/>
  <c r="CL115" i="34"/>
  <c r="HZ62" i="34"/>
  <c r="V153" i="34"/>
  <c r="FZ65" i="33"/>
  <c r="CN155" i="34"/>
  <c r="DD49" i="34"/>
  <c r="CI78" i="34"/>
  <c r="FB164" i="34"/>
  <c r="OO93" i="34"/>
  <c r="LW97" i="34"/>
  <c r="GN156" i="34"/>
  <c r="EB91" i="34"/>
  <c r="CH143" i="34"/>
  <c r="ED130" i="34"/>
  <c r="FN159" i="34"/>
  <c r="DZ125" i="34"/>
  <c r="EV52" i="33"/>
  <c r="EZ69" i="34"/>
  <c r="DI57" i="34"/>
  <c r="U34" i="33"/>
  <c r="DV139" i="34"/>
  <c r="HC143" i="34"/>
  <c r="NK181" i="34"/>
  <c r="FO66" i="33"/>
  <c r="GA29" i="33"/>
  <c r="FN26" i="33"/>
  <c r="KN104" i="34"/>
  <c r="PK169" i="34"/>
  <c r="EX170" i="34"/>
  <c r="PY153" i="34"/>
  <c r="ID102" i="34"/>
  <c r="JC60" i="34"/>
  <c r="JC151" i="34"/>
  <c r="AB102" i="34"/>
  <c r="FT100" i="34"/>
  <c r="JA83" i="34"/>
  <c r="DO70" i="33"/>
  <c r="PY69" i="34"/>
  <c r="GG72" i="33"/>
  <c r="J53" i="34"/>
  <c r="MM158" i="34"/>
  <c r="Y178" i="34"/>
  <c r="AR62" i="33"/>
  <c r="EX173" i="34"/>
  <c r="IE44" i="34"/>
  <c r="JA78" i="34"/>
  <c r="LF144" i="34"/>
  <c r="AC54" i="34"/>
  <c r="JW113" i="34"/>
  <c r="NI140" i="34"/>
  <c r="FW148" i="34"/>
  <c r="NM88" i="34"/>
  <c r="FV74" i="33"/>
  <c r="AR96" i="34"/>
  <c r="JD59" i="34"/>
  <c r="DZ38" i="33"/>
  <c r="KQ47" i="34"/>
  <c r="JZ49" i="34"/>
  <c r="MN118" i="34"/>
  <c r="HZ54" i="34"/>
  <c r="GK85" i="33"/>
  <c r="KQ73" i="34"/>
  <c r="PX156" i="34"/>
  <c r="IA167" i="34"/>
  <c r="U87" i="34"/>
  <c r="CK61" i="34"/>
  <c r="BO46" i="34"/>
  <c r="LB146" i="34"/>
  <c r="Y142" i="34"/>
  <c r="FW96" i="34"/>
  <c r="AC90" i="33"/>
  <c r="IS104" i="34"/>
  <c r="KL124" i="34"/>
  <c r="BR169" i="34"/>
  <c r="BO165" i="34"/>
  <c r="JE149" i="34"/>
  <c r="EX73" i="34"/>
  <c r="BM57" i="28"/>
  <c r="BB142" i="34"/>
  <c r="LH119" i="34"/>
  <c r="GO71" i="33"/>
  <c r="DG164" i="34"/>
  <c r="NP81" i="34"/>
  <c r="KP110" i="34"/>
  <c r="MI147" i="34"/>
  <c r="U57" i="34"/>
  <c r="LI52" i="34"/>
  <c r="BO127" i="34"/>
  <c r="FB172" i="34"/>
  <c r="EK48" i="33"/>
  <c r="T70" i="33"/>
  <c r="AA142" i="34"/>
  <c r="PY145" i="34"/>
  <c r="IB150" i="34"/>
  <c r="JW126" i="34"/>
  <c r="IR132" i="34"/>
  <c r="HX62" i="34"/>
  <c r="CQ27" i="33"/>
  <c r="HF153" i="34"/>
  <c r="JB158" i="34"/>
  <c r="JC150" i="34"/>
  <c r="FB53" i="34"/>
  <c r="JT72" i="34"/>
  <c r="DC113" i="34"/>
  <c r="AS116" i="34"/>
  <c r="HG187" i="34"/>
  <c r="J54" i="33"/>
  <c r="MJ139" i="34"/>
  <c r="BJ15" i="28"/>
  <c r="GO100" i="34"/>
  <c r="S90" i="33"/>
  <c r="CD183" i="34"/>
  <c r="LF173" i="34"/>
  <c r="AZ49" i="33"/>
  <c r="LA187" i="34"/>
  <c r="CF76" i="33"/>
  <c r="JA186" i="34"/>
  <c r="JC183" i="34"/>
  <c r="BT20" i="33"/>
  <c r="DF51" i="34"/>
  <c r="N9" i="34"/>
  <c r="PX57" i="34"/>
  <c r="MA137" i="34"/>
  <c r="NO102" i="34"/>
  <c r="DA37" i="33"/>
  <c r="FA42" i="34"/>
  <c r="JZ89" i="34"/>
  <c r="HC142" i="34"/>
  <c r="KB129" i="34"/>
  <c r="BM75" i="33"/>
  <c r="EI163" i="34"/>
  <c r="AT120" i="34"/>
  <c r="AU39" i="33"/>
  <c r="NB49" i="34"/>
  <c r="NP77" i="34"/>
  <c r="ED94" i="34"/>
  <c r="EB112" i="34"/>
  <c r="M44" i="33"/>
  <c r="T139" i="34"/>
  <c r="Y49" i="34"/>
  <c r="FV136" i="34"/>
  <c r="Z146" i="34"/>
  <c r="CO149" i="34"/>
  <c r="EA46" i="34"/>
  <c r="BB72" i="34"/>
  <c r="HH161" i="34"/>
  <c r="AG79" i="33"/>
  <c r="MK84" i="34"/>
  <c r="CG153" i="34"/>
  <c r="EK145" i="34"/>
  <c r="AC59" i="34"/>
  <c r="JA154" i="34"/>
  <c r="EW113" i="34"/>
  <c r="ES61" i="33"/>
  <c r="GJ68" i="33"/>
  <c r="FR183" i="34"/>
  <c r="GP187" i="34"/>
  <c r="GM41" i="33"/>
  <c r="CU73" i="33"/>
  <c r="AA72" i="34"/>
  <c r="EX78" i="34"/>
  <c r="S3" i="23"/>
  <c r="EA165" i="34"/>
  <c r="AX101" i="34"/>
  <c r="EJ60" i="33"/>
  <c r="GB37" i="33"/>
  <c r="FX166" i="34"/>
  <c r="AR40" i="33"/>
  <c r="IQ181" i="34"/>
  <c r="B66" i="28"/>
  <c r="U55" i="33"/>
  <c r="GG51" i="33"/>
  <c r="KN137" i="34"/>
  <c r="DJ90" i="34"/>
  <c r="PC161" i="34"/>
  <c r="F68" i="17"/>
  <c r="MM178" i="34"/>
  <c r="AX106" i="34"/>
  <c r="IC155" i="34"/>
  <c r="IZ101" i="34"/>
  <c r="U81" i="33"/>
  <c r="DU84" i="33"/>
  <c r="Z121" i="34"/>
  <c r="JW57" i="34"/>
  <c r="HG63" i="34"/>
  <c r="BC74" i="33"/>
  <c r="CF152" i="34"/>
  <c r="DT85" i="33"/>
  <c r="CF176" i="34"/>
  <c r="DE62" i="34"/>
  <c r="JB68" i="34"/>
  <c r="FX59" i="33"/>
  <c r="CL51" i="33"/>
  <c r="GN130" i="34"/>
  <c r="FH90" i="33"/>
  <c r="JX98" i="34"/>
  <c r="ED162" i="34"/>
  <c r="EV86" i="33"/>
  <c r="S168" i="23"/>
  <c r="ER64" i="33"/>
  <c r="CL75" i="34"/>
  <c r="LD92" i="34"/>
  <c r="ED42" i="33"/>
  <c r="NE106" i="34"/>
  <c r="EK41" i="33"/>
  <c r="MI87" i="34"/>
  <c r="DC111" i="34"/>
  <c r="EI49" i="34"/>
  <c r="IK4" i="34"/>
  <c r="GN133" i="34"/>
  <c r="HX131" i="34"/>
  <c r="OM62" i="34"/>
  <c r="ON66" i="34"/>
  <c r="CL49" i="34"/>
  <c r="DD77" i="33"/>
  <c r="EG39" i="33"/>
  <c r="NA130" i="34"/>
  <c r="FP48" i="34"/>
  <c r="DF91" i="34"/>
  <c r="DX73" i="34"/>
  <c r="DZ152" i="34"/>
  <c r="T83" i="34"/>
  <c r="BA131" i="34"/>
  <c r="CJ47" i="34"/>
  <c r="NI77" i="34"/>
  <c r="DA128" i="34"/>
  <c r="HT155" i="34"/>
  <c r="LI119" i="34"/>
  <c r="KL157" i="34"/>
  <c r="KQ88" i="34"/>
  <c r="IT147" i="34"/>
  <c r="KR147" i="34"/>
  <c r="DC52" i="34"/>
  <c r="AD170" i="34"/>
  <c r="AM51" i="33"/>
  <c r="DY187" i="34"/>
  <c r="DI161" i="34"/>
  <c r="DD20" i="33"/>
  <c r="EY124" i="34"/>
  <c r="HD117" i="34"/>
  <c r="JE138" i="34"/>
  <c r="AS92" i="34"/>
  <c r="AR25" i="33"/>
  <c r="HD127" i="34"/>
  <c r="CG72" i="34"/>
  <c r="JF125" i="34"/>
  <c r="GJ49" i="34"/>
  <c r="EZ159" i="34"/>
  <c r="GN125" i="34"/>
  <c r="CN149" i="34"/>
  <c r="LY65" i="34"/>
  <c r="DT80" i="33"/>
  <c r="EK89" i="34"/>
  <c r="FP71" i="34"/>
  <c r="IS84" i="34"/>
  <c r="AM171" i="34"/>
  <c r="AD153" i="34"/>
  <c r="V108" i="34"/>
  <c r="GQ116" i="34"/>
  <c r="IE96" i="34"/>
  <c r="EG164" i="34"/>
  <c r="MD51" i="34"/>
  <c r="Z117" i="34"/>
  <c r="LF156" i="34"/>
  <c r="DX141" i="34"/>
  <c r="JE176" i="34"/>
  <c r="NP87" i="34"/>
  <c r="EC144" i="34"/>
  <c r="ML55" i="34"/>
  <c r="BO161" i="34"/>
  <c r="EC86" i="34"/>
  <c r="HV147" i="34"/>
  <c r="AX50" i="33"/>
  <c r="G79" i="33"/>
  <c r="DM56" i="33"/>
  <c r="IT61" i="34"/>
  <c r="KM80" i="34"/>
  <c r="IW171" i="34"/>
  <c r="DJ66" i="34"/>
  <c r="CN68" i="34"/>
  <c r="DF85" i="33"/>
  <c r="HF88" i="34"/>
  <c r="EZ86" i="34"/>
  <c r="DK39" i="33"/>
  <c r="JV51" i="34"/>
  <c r="BO143" i="34"/>
  <c r="MM55" i="34"/>
  <c r="AX85" i="33"/>
  <c r="IS154" i="34"/>
  <c r="AO85" i="34"/>
  <c r="NI90" i="34"/>
  <c r="NL73" i="34"/>
  <c r="NL149" i="34"/>
  <c r="CJ66" i="34"/>
  <c r="HF160" i="34"/>
  <c r="CD100" i="34"/>
  <c r="AC55" i="33"/>
  <c r="JG83" i="34"/>
  <c r="CK51" i="33"/>
  <c r="BN53" i="33"/>
  <c r="MB145" i="34"/>
  <c r="EG149" i="34"/>
  <c r="BZ83" i="33"/>
  <c r="KB130" i="34"/>
  <c r="AY115" i="34"/>
  <c r="EX118" i="34"/>
  <c r="MN145" i="34"/>
  <c r="DY70" i="34"/>
  <c r="BZ82" i="33"/>
  <c r="DS64" i="33"/>
  <c r="EA178" i="34"/>
  <c r="LF152" i="34"/>
  <c r="CL119" i="34"/>
  <c r="NK127" i="34"/>
  <c r="CD97" i="34"/>
  <c r="GN45" i="34"/>
  <c r="BN161" i="34"/>
  <c r="LE122" i="34"/>
  <c r="FR141" i="34"/>
  <c r="ID134" i="34"/>
  <c r="DV131" i="34"/>
  <c r="FB169" i="34"/>
  <c r="CL128" i="34"/>
  <c r="AW188" i="34"/>
  <c r="JG138" i="34"/>
  <c r="NF166" i="34"/>
  <c r="AS117" i="34"/>
  <c r="BP158" i="34"/>
  <c r="CD75" i="34"/>
  <c r="HF163" i="34"/>
  <c r="PJ79" i="34"/>
  <c r="KC176" i="34"/>
  <c r="V60" i="33"/>
  <c r="ME106" i="34"/>
  <c r="MD118" i="34"/>
  <c r="AL65" i="33"/>
  <c r="FV55" i="34"/>
  <c r="CH146" i="34"/>
  <c r="JE119" i="34"/>
  <c r="AB89" i="34"/>
  <c r="CE54" i="34"/>
  <c r="EF160" i="34"/>
  <c r="MH186" i="34"/>
  <c r="U69" i="34"/>
  <c r="LK169" i="34"/>
  <c r="FC31" i="33"/>
  <c r="EG118" i="34"/>
  <c r="AR80" i="33"/>
  <c r="PK44" i="34"/>
  <c r="AV92" i="33"/>
  <c r="BH46" i="33"/>
  <c r="GP164" i="34"/>
  <c r="IZ44" i="34"/>
  <c r="AF39" i="33"/>
  <c r="HZ71" i="34"/>
  <c r="KC159" i="34"/>
  <c r="HF57" i="34"/>
  <c r="AN154" i="34"/>
  <c r="CY83" i="33"/>
  <c r="IT93" i="34"/>
  <c r="GB63" i="33"/>
  <c r="PX45" i="34"/>
  <c r="DH38" i="33"/>
  <c r="HV122" i="34"/>
  <c r="DV133" i="34"/>
  <c r="BA130" i="34"/>
  <c r="EP90" i="33"/>
  <c r="CL129" i="34"/>
  <c r="EA39" i="33"/>
  <c r="J82" i="33"/>
  <c r="BY55" i="33"/>
  <c r="CM139" i="34"/>
  <c r="D42" i="17"/>
  <c r="KM166" i="34"/>
  <c r="DV106" i="34"/>
  <c r="AL76" i="33"/>
  <c r="EX100" i="34"/>
  <c r="LE143" i="34"/>
  <c r="NM153" i="34"/>
  <c r="NN108" i="34"/>
  <c r="AF58" i="33"/>
  <c r="PA45" i="34"/>
  <c r="AT115" i="34"/>
  <c r="LB91" i="34"/>
  <c r="IB74" i="34"/>
  <c r="CN46" i="33"/>
  <c r="PW48" i="34"/>
  <c r="FQ79" i="34"/>
  <c r="GP41" i="34"/>
  <c r="HG75" i="34"/>
  <c r="DF58" i="33"/>
  <c r="FW90" i="34"/>
  <c r="EE130" i="34"/>
  <c r="FA53" i="34"/>
  <c r="JG100" i="34"/>
  <c r="IE81" i="34"/>
  <c r="JH59" i="34"/>
  <c r="BO139" i="34"/>
  <c r="AQ38" i="33"/>
  <c r="GQ155" i="34"/>
  <c r="PH99" i="34"/>
  <c r="BE86" i="33"/>
  <c r="IS128" i="34"/>
  <c r="GO44" i="34"/>
  <c r="AQ132" i="34"/>
  <c r="IZ137" i="34"/>
  <c r="LD104" i="34"/>
  <c r="EY83" i="33"/>
  <c r="GL39" i="33"/>
  <c r="FA188" i="34"/>
  <c r="FX84" i="34"/>
  <c r="FM25" i="33"/>
  <c r="DV72" i="34"/>
  <c r="AJ42" i="33"/>
  <c r="PE112" i="34"/>
  <c r="JG145" i="34"/>
  <c r="EK47" i="34"/>
  <c r="DB141" i="34"/>
  <c r="EC165" i="34"/>
  <c r="FR145" i="34"/>
  <c r="DB33" i="33"/>
  <c r="U81" i="34"/>
  <c r="DW76" i="34"/>
  <c r="HU76" i="34"/>
  <c r="BK71" i="33"/>
  <c r="LZ63" i="34"/>
  <c r="AO83" i="34"/>
  <c r="AC58" i="33"/>
  <c r="HX175" i="34"/>
  <c r="EH82" i="34"/>
  <c r="Z57" i="34"/>
  <c r="FQ34" i="33"/>
  <c r="JF93" i="34"/>
  <c r="AZ160" i="34"/>
  <c r="EM81" i="33"/>
  <c r="CH130" i="34"/>
  <c r="AZ188" i="34"/>
  <c r="DU63" i="33"/>
  <c r="V98" i="34"/>
  <c r="IV94" i="34"/>
  <c r="CC46" i="33"/>
  <c r="AY43" i="33"/>
  <c r="OB7" i="34"/>
  <c r="EQ60" i="33"/>
  <c r="EA152" i="34"/>
  <c r="BJ104" i="28"/>
  <c r="S51" i="23"/>
  <c r="MD62" i="34"/>
  <c r="CG77" i="34"/>
  <c r="AT107" i="34"/>
  <c r="Y79" i="33"/>
  <c r="PC166" i="34"/>
  <c r="GH79" i="33"/>
  <c r="AF82" i="33"/>
  <c r="CD51" i="33"/>
  <c r="LK110" i="34"/>
  <c r="FM66" i="33"/>
  <c r="EX146" i="34"/>
  <c r="GN164" i="34"/>
  <c r="CL167" i="34"/>
  <c r="OL95" i="34"/>
  <c r="FA56" i="33"/>
  <c r="CF131" i="34"/>
  <c r="FO151" i="34"/>
  <c r="DA59" i="33"/>
  <c r="EZ53" i="34"/>
  <c r="JX136" i="34"/>
  <c r="BA53" i="33"/>
  <c r="DE53" i="33"/>
  <c r="J87" i="34"/>
  <c r="Y137" i="34"/>
  <c r="DY74" i="34"/>
  <c r="FQ62" i="34"/>
  <c r="OK121" i="34"/>
  <c r="AN87" i="34"/>
  <c r="BL34" i="33"/>
  <c r="JC92" i="34"/>
  <c r="NK72" i="34"/>
  <c r="DZ119" i="34"/>
  <c r="CV76" i="33"/>
  <c r="DG127" i="34"/>
  <c r="AQ66" i="34"/>
  <c r="V61" i="34"/>
  <c r="FX154" i="34"/>
  <c r="DF128" i="34"/>
  <c r="CX84" i="33"/>
  <c r="MF162" i="34"/>
  <c r="AC113" i="34"/>
  <c r="HU125" i="34"/>
  <c r="DC97" i="34"/>
  <c r="FA90" i="33"/>
  <c r="BN118" i="34"/>
  <c r="FS109" i="34"/>
  <c r="MD81" i="34"/>
  <c r="HF144" i="34"/>
  <c r="MI79" i="34"/>
  <c r="BS63" i="33"/>
  <c r="CI133" i="34"/>
  <c r="HX61" i="34"/>
  <c r="EG53" i="33"/>
  <c r="AN148" i="34"/>
  <c r="LF119" i="34"/>
  <c r="JA149" i="34"/>
  <c r="JV150" i="34"/>
  <c r="KN116" i="34"/>
  <c r="PZ67" i="34"/>
  <c r="S12" i="23"/>
  <c r="IZ51" i="34"/>
  <c r="PI113" i="34"/>
  <c r="AV148" i="34"/>
  <c r="EH110" i="34"/>
  <c r="CP62" i="33"/>
  <c r="GK46" i="33"/>
  <c r="GP42" i="34"/>
  <c r="JU106" i="34"/>
  <c r="EE101" i="34"/>
  <c r="U136" i="34"/>
  <c r="BO29" i="33"/>
  <c r="JW49" i="34"/>
  <c r="GM76" i="34"/>
  <c r="Z153" i="34"/>
  <c r="PC89" i="34"/>
  <c r="ED152" i="34"/>
  <c r="FN97" i="34"/>
  <c r="KP100" i="34"/>
  <c r="FN170" i="34"/>
  <c r="FA85" i="33"/>
  <c r="FW74" i="34"/>
  <c r="AY127" i="34"/>
  <c r="AM166" i="34"/>
  <c r="CB72" i="33"/>
  <c r="AY175" i="34"/>
  <c r="BN97" i="34"/>
  <c r="EB66" i="34"/>
  <c r="AO137" i="34"/>
  <c r="FX167" i="34"/>
  <c r="FX52" i="33"/>
  <c r="AZ163" i="34"/>
  <c r="DY101" i="34"/>
  <c r="HX95" i="34"/>
  <c r="FH53" i="33"/>
  <c r="GK132" i="34"/>
  <c r="AZ187" i="34"/>
  <c r="LJ128" i="34"/>
  <c r="F59" i="33"/>
  <c r="FN56" i="33"/>
  <c r="DH68" i="34"/>
  <c r="AM162" i="34"/>
  <c r="ND104" i="34"/>
  <c r="IA188" i="34"/>
  <c r="AY128" i="34"/>
  <c r="HU123" i="34"/>
  <c r="DE118" i="34"/>
  <c r="CU44" i="33"/>
  <c r="V62" i="34"/>
  <c r="JB128" i="34"/>
  <c r="EK66" i="34"/>
  <c r="GA35" i="33"/>
  <c r="HG47" i="34"/>
  <c r="CD188" i="34"/>
  <c r="DB171" i="34"/>
  <c r="KB158" i="34"/>
  <c r="JT186" i="34"/>
  <c r="BZ39" i="33"/>
  <c r="LY154" i="34"/>
  <c r="W81" i="33"/>
  <c r="EI89" i="34"/>
  <c r="Z36" i="33"/>
  <c r="HV168" i="34"/>
  <c r="CE178" i="34"/>
  <c r="LF62" i="34"/>
  <c r="CN53" i="34"/>
  <c r="NA46" i="34"/>
  <c r="HD142" i="34"/>
  <c r="DA141" i="34"/>
  <c r="FQ156" i="34"/>
  <c r="EB168" i="34"/>
  <c r="V80" i="33"/>
  <c r="HT163" i="34"/>
  <c r="CC86" i="33"/>
  <c r="GN52" i="33"/>
  <c r="MJ166" i="34"/>
  <c r="GM98" i="34"/>
  <c r="PA111" i="34"/>
  <c r="LZ62" i="34"/>
  <c r="JD76" i="34"/>
  <c r="AV120" i="34"/>
  <c r="JF66" i="34"/>
  <c r="LY167" i="34"/>
  <c r="FA103" i="34"/>
  <c r="HV152" i="34"/>
  <c r="DZ78" i="34"/>
  <c r="CJ52" i="34"/>
  <c r="CD58" i="33"/>
  <c r="CJ77" i="34"/>
  <c r="ID104" i="34"/>
  <c r="JZ77" i="34"/>
  <c r="KB86" i="34"/>
  <c r="AW56" i="33"/>
  <c r="JW141" i="34"/>
  <c r="EH73" i="34"/>
  <c r="JH155" i="34"/>
  <c r="DV97" i="34"/>
  <c r="NH120" i="34"/>
  <c r="AP89" i="34"/>
  <c r="W175" i="34"/>
  <c r="BA83" i="33"/>
  <c r="PF100" i="34"/>
  <c r="HD159" i="34"/>
  <c r="FB104" i="34"/>
  <c r="AD71" i="34"/>
  <c r="EW57" i="33"/>
  <c r="FU75" i="34"/>
  <c r="IV77" i="34"/>
  <c r="IZ65" i="34"/>
  <c r="AR49" i="33"/>
  <c r="MB176" i="34"/>
  <c r="CQ30" i="33"/>
  <c r="LH101" i="34"/>
  <c r="HE127" i="34"/>
  <c r="FN29" i="33"/>
  <c r="CI41" i="33"/>
  <c r="EI77" i="34"/>
  <c r="CG66" i="34"/>
  <c r="JA90" i="34"/>
  <c r="CS69" i="33"/>
  <c r="B71" i="28"/>
  <c r="EI161" i="34"/>
  <c r="FQ52" i="34"/>
  <c r="CO110" i="34"/>
  <c r="FA166" i="34"/>
  <c r="AD68" i="33"/>
  <c r="AR93" i="34"/>
  <c r="AX65" i="34"/>
  <c r="DZ168" i="34"/>
  <c r="GO61" i="34"/>
  <c r="AQ115" i="34"/>
  <c r="MO72" i="34"/>
  <c r="HX108" i="34"/>
  <c r="GM32" i="33"/>
  <c r="S166" i="23"/>
  <c r="LA94" i="34"/>
  <c r="LD62" i="34"/>
  <c r="DP92" i="33"/>
  <c r="BE74" i="33"/>
  <c r="CN104" i="34"/>
  <c r="DA63" i="33"/>
  <c r="IA72" i="34"/>
  <c r="FQ9" i="33"/>
  <c r="BR145" i="34"/>
  <c r="HV106" i="34"/>
  <c r="DV174" i="34"/>
  <c r="HV159" i="34"/>
  <c r="OI59" i="34"/>
  <c r="BA138" i="34"/>
  <c r="HV132" i="34"/>
  <c r="NK66" i="34"/>
  <c r="EJ86" i="34"/>
  <c r="T57" i="33"/>
  <c r="FU47" i="34"/>
  <c r="Y86" i="34"/>
  <c r="AW79" i="34"/>
  <c r="NG145" i="34"/>
  <c r="NN46" i="34"/>
  <c r="IR154" i="34"/>
  <c r="DV91" i="34"/>
  <c r="IC52" i="34"/>
  <c r="AQ102" i="34"/>
  <c r="FP66" i="34"/>
  <c r="HC134" i="34"/>
  <c r="HT174" i="34"/>
  <c r="KM79" i="34"/>
  <c r="CI73" i="34"/>
  <c r="AY119" i="34"/>
  <c r="CD139" i="34"/>
  <c r="FV46" i="33"/>
  <c r="DD94" i="34"/>
  <c r="BB98" i="34"/>
  <c r="GN82" i="34"/>
  <c r="BA82" i="34"/>
  <c r="EW183" i="34"/>
  <c r="AP144" i="34"/>
  <c r="FA81" i="34"/>
  <c r="JH135" i="34"/>
  <c r="CJ86" i="33"/>
  <c r="CL57" i="34"/>
  <c r="MM139" i="34"/>
  <c r="CE69" i="34"/>
  <c r="PW54" i="34"/>
  <c r="EE111" i="34"/>
  <c r="ML160" i="34"/>
  <c r="DZ49" i="33"/>
  <c r="CD171" i="34"/>
  <c r="LX139" i="34"/>
  <c r="HW162" i="34"/>
  <c r="GQ64" i="34"/>
  <c r="LE135" i="34"/>
  <c r="EW156" i="34"/>
  <c r="FM90" i="33"/>
  <c r="AM67" i="34"/>
  <c r="CO151" i="34"/>
  <c r="CK171" i="34"/>
  <c r="IY71" i="34"/>
  <c r="EL92" i="33"/>
  <c r="KC145" i="34"/>
  <c r="AV77" i="34"/>
  <c r="AY76" i="33"/>
  <c r="MM49" i="34"/>
  <c r="LD148" i="34"/>
  <c r="BO86" i="33"/>
  <c r="AM72" i="33"/>
  <c r="JC44" i="34"/>
  <c r="NJ56" i="34"/>
  <c r="HV96" i="34"/>
  <c r="GP156" i="34"/>
  <c r="JZ123" i="34"/>
  <c r="HE121" i="34"/>
  <c r="AI50" i="33"/>
  <c r="EW81" i="34"/>
  <c r="KM52" i="34"/>
  <c r="BR159" i="34"/>
  <c r="FN56" i="34"/>
  <c r="O82" i="33"/>
  <c r="EY159" i="34"/>
  <c r="JF132" i="34"/>
  <c r="LE162" i="34"/>
  <c r="NN60" i="34"/>
  <c r="AG19" i="34"/>
  <c r="FV78" i="33"/>
  <c r="CV54" i="33"/>
  <c r="FX83" i="34"/>
  <c r="LK120" i="34"/>
  <c r="HT145" i="34"/>
  <c r="CG98" i="34"/>
  <c r="EK134" i="34"/>
  <c r="M62" i="33"/>
  <c r="KC62" i="34"/>
  <c r="BB60" i="33"/>
  <c r="JZ103" i="34"/>
  <c r="AQ42" i="33"/>
  <c r="DI83" i="34"/>
  <c r="KR148" i="34"/>
  <c r="FP120" i="34"/>
  <c r="AQ56" i="34"/>
  <c r="CU65" i="33"/>
  <c r="PA75" i="34"/>
  <c r="EP39" i="33"/>
  <c r="MK176" i="34"/>
  <c r="AA106" i="34"/>
  <c r="DF9" i="33"/>
  <c r="CG69" i="34"/>
  <c r="AX27" i="33"/>
  <c r="HV57" i="34"/>
  <c r="FQ93" i="34"/>
  <c r="FS170" i="34"/>
  <c r="HU144" i="34"/>
  <c r="AW75" i="33"/>
  <c r="IE42" i="34"/>
  <c r="OK168" i="34"/>
  <c r="KC158" i="34"/>
  <c r="CM163" i="34"/>
  <c r="LW155" i="34"/>
  <c r="DD102" i="34"/>
  <c r="DI62" i="34"/>
  <c r="EZ113" i="34"/>
  <c r="DC95" i="34"/>
  <c r="GO50" i="33"/>
  <c r="DD181" i="34"/>
  <c r="JV127" i="34"/>
  <c r="Z141" i="34"/>
  <c r="ID175" i="34"/>
  <c r="IC152" i="34"/>
  <c r="MC78" i="34"/>
  <c r="GO73" i="34"/>
  <c r="DJ93" i="34"/>
  <c r="CO92" i="34"/>
  <c r="KP146" i="34"/>
  <c r="JH53" i="34"/>
  <c r="JX53" i="34"/>
  <c r="JF131" i="34"/>
  <c r="ML101" i="34"/>
  <c r="OL99" i="34"/>
  <c r="AS89" i="34"/>
  <c r="JT70" i="34"/>
  <c r="FX50" i="33"/>
  <c r="AY73" i="33"/>
  <c r="G66" i="33"/>
  <c r="HZ153" i="34"/>
  <c r="EK85" i="34"/>
  <c r="JE50" i="34"/>
  <c r="EW130" i="34"/>
  <c r="PH150" i="34"/>
  <c r="EZ130" i="34"/>
  <c r="HF110" i="34"/>
  <c r="MO44" i="34"/>
  <c r="Z102" i="34"/>
  <c r="BO26" i="33"/>
  <c r="S81" i="23"/>
  <c r="FA132" i="34"/>
  <c r="AI55" i="33"/>
  <c r="DW94" i="34"/>
  <c r="MD82" i="34"/>
  <c r="IR113" i="34"/>
  <c r="FO188" i="34"/>
  <c r="DG82" i="33"/>
  <c r="DL92" i="33"/>
  <c r="CO95" i="34"/>
  <c r="MN153" i="34"/>
  <c r="CE76" i="34"/>
  <c r="HE57" i="34"/>
  <c r="DJ138" i="34"/>
  <c r="CR27" i="33"/>
  <c r="BO61" i="34"/>
  <c r="CU31" i="33"/>
  <c r="AP86" i="34"/>
  <c r="IV131" i="34"/>
  <c r="FA69" i="34"/>
  <c r="EY152" i="34"/>
  <c r="LY47" i="34"/>
  <c r="GJ70" i="33"/>
  <c r="ED161" i="34"/>
  <c r="AR101" i="34"/>
  <c r="AY52" i="34"/>
  <c r="EH93" i="34"/>
  <c r="FT166" i="34"/>
  <c r="HD45" i="34"/>
  <c r="IY139" i="34"/>
  <c r="KM163" i="34"/>
  <c r="IC106" i="34"/>
  <c r="DU92" i="33"/>
  <c r="GL117" i="34"/>
  <c r="BA100" i="34"/>
  <c r="ME102" i="34"/>
  <c r="ML100" i="34"/>
  <c r="PC66" i="34"/>
  <c r="JU90" i="34"/>
  <c r="DI121" i="34"/>
  <c r="LC147" i="34"/>
  <c r="PH127" i="34"/>
  <c r="DP39" i="33"/>
  <c r="JY158" i="34"/>
  <c r="JY132" i="34"/>
  <c r="GL73" i="34"/>
  <c r="KQ101" i="34"/>
  <c r="LJ102" i="34"/>
  <c r="MN149" i="34"/>
  <c r="EB44" i="34"/>
  <c r="DJ49" i="33"/>
  <c r="BM36" i="33"/>
  <c r="AW170" i="34"/>
  <c r="DW78" i="34"/>
  <c r="BS61" i="33"/>
  <c r="FG23" i="33"/>
  <c r="AC94" i="34"/>
  <c r="GM64" i="33"/>
  <c r="OJ47" i="34"/>
  <c r="FS44" i="34"/>
  <c r="JY173" i="34"/>
  <c r="BA48" i="34"/>
  <c r="BP143" i="34"/>
  <c r="KP144" i="34"/>
  <c r="HG62" i="34"/>
  <c r="IZ160" i="34"/>
  <c r="EF137" i="34"/>
  <c r="HH138" i="34"/>
  <c r="EH111" i="34"/>
  <c r="J99" i="34"/>
  <c r="CL65" i="33"/>
  <c r="IA64" i="34"/>
  <c r="AM54" i="34"/>
  <c r="NF188" i="34"/>
  <c r="KN103" i="34"/>
  <c r="AY104" i="34"/>
  <c r="DA72" i="34"/>
  <c r="GO54" i="33"/>
  <c r="T170" i="34"/>
  <c r="FU53" i="33"/>
  <c r="ER84" i="33"/>
  <c r="EZ102" i="34"/>
  <c r="GN175" i="34"/>
  <c r="T172" i="34"/>
  <c r="FO134" i="34"/>
  <c r="AR158" i="34"/>
  <c r="HZ48" i="34"/>
  <c r="EC66" i="34"/>
  <c r="CE144" i="34"/>
  <c r="BA174" i="34"/>
  <c r="HT129" i="34"/>
  <c r="BH9" i="34"/>
  <c r="BB100" i="34"/>
  <c r="EK146" i="34"/>
  <c r="DZ69" i="34"/>
  <c r="GG77" i="33"/>
  <c r="PB183" i="34"/>
  <c r="HV45" i="34"/>
  <c r="DE59" i="34"/>
  <c r="EK56" i="34"/>
  <c r="HE162" i="34"/>
  <c r="I37" i="33"/>
  <c r="GK112" i="34"/>
  <c r="CJ101" i="34"/>
  <c r="IA106" i="34"/>
  <c r="CF139" i="34"/>
  <c r="JT175" i="34"/>
  <c r="DZ84" i="34"/>
  <c r="IS45" i="34"/>
  <c r="JF112" i="34"/>
  <c r="LE158" i="34"/>
  <c r="JX47" i="34"/>
  <c r="NK42" i="34"/>
  <c r="LC158" i="34"/>
  <c r="EW68" i="34"/>
  <c r="MD170" i="34"/>
  <c r="NK128" i="34"/>
  <c r="AR147" i="34"/>
  <c r="AX119" i="34"/>
  <c r="CH103" i="34"/>
  <c r="DW85" i="34"/>
  <c r="FU87" i="34"/>
  <c r="CC63" i="33"/>
  <c r="FU53" i="34"/>
  <c r="NH128" i="34"/>
  <c r="DV173" i="34"/>
  <c r="BN91" i="34"/>
  <c r="LH73" i="34"/>
  <c r="EC64" i="34"/>
  <c r="IA68" i="34"/>
  <c r="PX103" i="34"/>
  <c r="JA76" i="34"/>
  <c r="BJ153" i="28"/>
  <c r="X70" i="33"/>
  <c r="LE59" i="34"/>
  <c r="HY133" i="34"/>
  <c r="JF150" i="34"/>
  <c r="IV141" i="34"/>
  <c r="NB174" i="34"/>
  <c r="FS34" i="33"/>
  <c r="F47" i="17"/>
  <c r="IT142" i="34"/>
  <c r="V59" i="34"/>
  <c r="T135" i="34"/>
  <c r="NO142" i="34"/>
  <c r="AP63" i="33"/>
  <c r="CO66" i="33"/>
  <c r="KL72" i="34"/>
  <c r="DX41" i="34"/>
  <c r="JZ47" i="34"/>
  <c r="AO70" i="34"/>
  <c r="GF79" i="33"/>
  <c r="HG94" i="34"/>
  <c r="T63" i="33"/>
  <c r="CF69" i="34"/>
  <c r="EK33" i="33"/>
  <c r="DV102" i="34"/>
  <c r="GM57" i="34"/>
  <c r="FW25" i="33"/>
  <c r="BL33" i="33"/>
  <c r="GB57" i="33"/>
  <c r="AD94" i="34"/>
  <c r="CK178" i="34"/>
  <c r="CC39" i="33"/>
  <c r="KQ46" i="34"/>
  <c r="AX164" i="34"/>
  <c r="GF59" i="33"/>
  <c r="CK45" i="34"/>
  <c r="AU46" i="34"/>
  <c r="HZ78" i="34"/>
  <c r="KP152" i="34"/>
  <c r="EA90" i="34"/>
  <c r="MG150" i="34"/>
  <c r="PC55" i="34"/>
  <c r="U76" i="34"/>
  <c r="EI75" i="34"/>
  <c r="GP145" i="34"/>
  <c r="BJ182" i="28"/>
  <c r="FA62" i="34"/>
  <c r="DU80" i="33"/>
  <c r="AQ117" i="34"/>
  <c r="IT171" i="34"/>
  <c r="EA147" i="34"/>
  <c r="X69" i="33"/>
  <c r="MA64" i="34"/>
  <c r="CO63" i="33"/>
  <c r="CD76" i="34"/>
  <c r="HH88" i="34"/>
  <c r="F32" i="33"/>
  <c r="FV176" i="34"/>
  <c r="CO79" i="34"/>
  <c r="DG53" i="34"/>
  <c r="MF90" i="34"/>
  <c r="NM83" i="34"/>
  <c r="AZ112" i="34"/>
  <c r="P23" i="33"/>
  <c r="JU149" i="34"/>
  <c r="ON79" i="34"/>
  <c r="CL155" i="34"/>
  <c r="ED77" i="34"/>
  <c r="GE41" i="33"/>
  <c r="GN50" i="34"/>
  <c r="PZ97" i="34"/>
  <c r="Z43" i="34"/>
  <c r="LG129" i="34"/>
  <c r="AP100" i="34"/>
  <c r="DA130" i="34"/>
  <c r="CB31" i="33"/>
  <c r="IT167" i="34"/>
  <c r="DX181" i="34"/>
  <c r="LY157" i="34"/>
  <c r="DA163" i="34"/>
  <c r="NL76" i="34"/>
  <c r="LE77" i="34"/>
  <c r="EC172" i="34"/>
  <c r="LY113" i="34"/>
  <c r="BO175" i="34"/>
  <c r="KO42" i="34"/>
  <c r="BA123" i="34"/>
  <c r="FU115" i="34"/>
  <c r="LG176" i="34"/>
  <c r="DF79" i="34"/>
  <c r="GJ160" i="34"/>
  <c r="DE74" i="33"/>
  <c r="DR70" i="33"/>
  <c r="LJ167" i="34"/>
  <c r="FI72" i="33"/>
  <c r="FV172" i="34"/>
  <c r="GJ156" i="34"/>
  <c r="CD77" i="34"/>
  <c r="FP158" i="34"/>
  <c r="BR45" i="34"/>
  <c r="EB151" i="34"/>
  <c r="HC100" i="34"/>
  <c r="PJ165" i="34"/>
  <c r="EH139" i="34"/>
  <c r="BP139" i="34"/>
  <c r="ID62" i="34"/>
  <c r="ER68" i="33"/>
  <c r="CI80" i="33"/>
  <c r="ML166" i="34"/>
  <c r="GG42" i="33"/>
  <c r="CH60" i="33"/>
  <c r="CL56" i="34"/>
  <c r="LG61" i="34"/>
  <c r="IE111" i="34"/>
  <c r="CN35" i="33"/>
  <c r="DI118" i="34"/>
  <c r="AV157" i="34"/>
  <c r="CE73" i="34"/>
  <c r="DM68" i="33"/>
  <c r="V73" i="33"/>
  <c r="HX73" i="34"/>
  <c r="IA98" i="34"/>
  <c r="BC44" i="33"/>
  <c r="NP131" i="34"/>
  <c r="MK60" i="34"/>
  <c r="CJ28" i="33"/>
  <c r="AV174" i="34"/>
  <c r="AB149" i="34"/>
  <c r="FZ49" i="33"/>
  <c r="MK112" i="34"/>
  <c r="AM181" i="34"/>
  <c r="BB90" i="34"/>
  <c r="LG152" i="34"/>
  <c r="DD65" i="34"/>
  <c r="HF181" i="34"/>
  <c r="DY47" i="33"/>
  <c r="FA89" i="34"/>
  <c r="OM120" i="34"/>
  <c r="FB143" i="34"/>
  <c r="U113" i="34"/>
  <c r="BY81" i="33"/>
  <c r="G63" i="33"/>
  <c r="BY29" i="33"/>
  <c r="JG131" i="34"/>
  <c r="CK126" i="34"/>
  <c r="IS64" i="34"/>
  <c r="CF87" i="34"/>
  <c r="CJ65" i="34"/>
  <c r="MG186" i="34"/>
  <c r="CM64" i="34"/>
  <c r="Z82" i="34"/>
  <c r="MB89" i="34"/>
  <c r="FA175" i="34"/>
  <c r="EX85" i="34"/>
  <c r="AM64" i="33"/>
  <c r="HV139" i="34"/>
  <c r="GP77" i="34"/>
  <c r="HU49" i="34"/>
  <c r="HF183" i="34"/>
  <c r="KO118" i="34"/>
  <c r="MJ130" i="34"/>
  <c r="PY168" i="34"/>
  <c r="IA81" i="34"/>
  <c r="T63" i="34"/>
  <c r="LE131" i="34"/>
  <c r="DG84" i="33"/>
  <c r="AW83" i="34"/>
  <c r="GD71" i="33"/>
  <c r="GK116" i="34"/>
  <c r="CL86" i="34"/>
  <c r="MB82" i="34"/>
  <c r="S44" i="23"/>
  <c r="NF164" i="34"/>
  <c r="DB158" i="34"/>
  <c r="K125" i="34"/>
  <c r="IB53" i="34"/>
  <c r="NI117" i="34"/>
  <c r="FA52" i="34"/>
  <c r="AP66" i="34"/>
  <c r="OO83" i="34"/>
  <c r="V75" i="34"/>
  <c r="FO54" i="34"/>
  <c r="CS45" i="33"/>
  <c r="AW36" i="33"/>
  <c r="EC69" i="34"/>
  <c r="DF81" i="34"/>
  <c r="AX79" i="34"/>
  <c r="LX144" i="34"/>
  <c r="FA169" i="34"/>
  <c r="S66" i="33"/>
  <c r="FU155" i="34"/>
  <c r="FV49" i="33"/>
  <c r="CD153" i="34"/>
  <c r="CE166" i="34"/>
  <c r="FO70" i="33"/>
  <c r="EF117" i="34"/>
  <c r="DA49" i="33"/>
  <c r="HH111" i="34"/>
  <c r="FL64" i="33"/>
  <c r="FB74" i="34"/>
  <c r="JU63" i="34"/>
  <c r="GM90" i="34"/>
  <c r="HZ46" i="34"/>
  <c r="BU33" i="33"/>
  <c r="FU68" i="33"/>
  <c r="GN65" i="33"/>
  <c r="ED166" i="34"/>
  <c r="EK135" i="34"/>
  <c r="JT106" i="34"/>
  <c r="GN90" i="34"/>
  <c r="BN175" i="34"/>
  <c r="GK31" i="33"/>
  <c r="AN77" i="33"/>
  <c r="BY78" i="33"/>
  <c r="MC181" i="34"/>
  <c r="FX133" i="34"/>
  <c r="HD100" i="34"/>
  <c r="AI68" i="33"/>
  <c r="JZ52" i="34"/>
  <c r="AR78" i="34"/>
  <c r="FV104" i="34"/>
  <c r="BO59" i="33"/>
  <c r="HC46" i="34"/>
  <c r="DX80" i="33"/>
  <c r="AS150" i="34"/>
  <c r="BQ42" i="34"/>
  <c r="CJ78" i="34"/>
  <c r="AO129" i="34"/>
  <c r="MG142" i="34"/>
  <c r="ID163" i="34"/>
  <c r="OI126" i="34"/>
  <c r="DG81" i="34"/>
  <c r="GO54" i="34"/>
  <c r="FO87" i="34"/>
  <c r="NA51" i="34"/>
  <c r="FR84" i="33"/>
  <c r="NJ89" i="34"/>
  <c r="BO163" i="34"/>
  <c r="HW63" i="34"/>
  <c r="KB154" i="34"/>
  <c r="FU167" i="34"/>
  <c r="PZ137" i="34"/>
  <c r="CQ59" i="33"/>
  <c r="JU112" i="34"/>
  <c r="EP51" i="33"/>
  <c r="FP115" i="34"/>
  <c r="IS95" i="34"/>
  <c r="AW45" i="34"/>
  <c r="MD173" i="34"/>
  <c r="BR76" i="34"/>
  <c r="DF50" i="34"/>
  <c r="FT83" i="34"/>
  <c r="KO68" i="34"/>
  <c r="BO83" i="33"/>
  <c r="PY148" i="34"/>
  <c r="FM39" i="33"/>
  <c r="T50" i="34"/>
  <c r="DC118" i="34"/>
  <c r="DI97" i="34"/>
  <c r="EY48" i="33"/>
  <c r="JF55" i="34"/>
  <c r="AJ43" i="33"/>
  <c r="BC27" i="33"/>
  <c r="BA41" i="34"/>
  <c r="AD30" i="33"/>
  <c r="HY187" i="34"/>
  <c r="HF96" i="34"/>
  <c r="GP103" i="34"/>
  <c r="LY62" i="34"/>
  <c r="BA188" i="34"/>
  <c r="LH72" i="34"/>
  <c r="BH39" i="33"/>
  <c r="F34" i="17"/>
  <c r="FW54" i="34"/>
  <c r="DR40" i="33"/>
  <c r="IS151" i="34"/>
  <c r="NO44" i="34"/>
  <c r="AS77" i="33"/>
  <c r="AU135" i="34"/>
  <c r="BQ117" i="34"/>
  <c r="GL59" i="34"/>
  <c r="DH44" i="34"/>
  <c r="CE141" i="34"/>
  <c r="BR90" i="34"/>
  <c r="MN84" i="34"/>
  <c r="EC44" i="34"/>
  <c r="DE136" i="34"/>
  <c r="X128" i="34"/>
  <c r="JF46" i="34"/>
  <c r="AG76" i="33"/>
  <c r="NI88" i="34"/>
  <c r="CD54" i="34"/>
  <c r="CX31" i="33"/>
  <c r="LF149" i="34"/>
  <c r="CU76" i="33"/>
  <c r="DA119" i="34"/>
  <c r="K25" i="33"/>
  <c r="AO60" i="34"/>
  <c r="EA70" i="33"/>
  <c r="FQ35" i="33"/>
  <c r="H28" i="33"/>
  <c r="IU137" i="34"/>
  <c r="DJ149" i="34"/>
  <c r="BO156" i="34"/>
  <c r="EG96" i="34"/>
  <c r="GE25" i="33"/>
  <c r="FW90" i="33"/>
  <c r="GH31" i="33"/>
  <c r="EJ156" i="34"/>
  <c r="HZ45" i="34"/>
  <c r="FS112" i="34"/>
  <c r="CK55" i="34"/>
  <c r="HH168" i="34"/>
  <c r="AO154" i="34"/>
  <c r="HV60" i="34"/>
  <c r="DB144" i="34"/>
  <c r="CM99" i="34"/>
  <c r="U188" i="34"/>
  <c r="BO117" i="34"/>
  <c r="FG72" i="33"/>
  <c r="HH69" i="34"/>
  <c r="IC186" i="34"/>
  <c r="GN90" i="33"/>
  <c r="DZ165" i="34"/>
  <c r="CO72" i="34"/>
  <c r="FN110" i="34"/>
  <c r="GO117" i="34"/>
  <c r="FN154" i="34"/>
  <c r="CH68" i="34"/>
  <c r="ED45" i="33"/>
  <c r="EG55" i="34"/>
  <c r="AT105" i="34"/>
  <c r="GF31" i="33"/>
  <c r="CJ81" i="33"/>
  <c r="AS84" i="34"/>
  <c r="EH160" i="34"/>
  <c r="LK78" i="34"/>
  <c r="DA82" i="34"/>
  <c r="LH62" i="34"/>
  <c r="IA65" i="34"/>
  <c r="MB46" i="34"/>
  <c r="V91" i="34"/>
  <c r="GP53" i="34"/>
  <c r="AT78" i="33"/>
  <c r="CK111" i="34"/>
  <c r="DH60" i="34"/>
  <c r="GB52" i="33"/>
  <c r="EX137" i="34"/>
  <c r="BN120" i="34"/>
  <c r="FW42" i="33"/>
  <c r="LX135" i="34"/>
  <c r="W165" i="34"/>
  <c r="BR87" i="34"/>
  <c r="FV105" i="34"/>
  <c r="MG146" i="34"/>
  <c r="AD145" i="34"/>
  <c r="AV176" i="34"/>
  <c r="CK49" i="34"/>
  <c r="AZ50" i="33"/>
  <c r="IZ68" i="34"/>
  <c r="FG84" i="33"/>
  <c r="BR29" i="33"/>
  <c r="BS90" i="33"/>
  <c r="HG107" i="34"/>
  <c r="FX134" i="34"/>
  <c r="HH55" i="34"/>
  <c r="ND113" i="34"/>
  <c r="ON80" i="34"/>
  <c r="AU30" i="33"/>
  <c r="KN111" i="34"/>
  <c r="FT178" i="34"/>
  <c r="DG76" i="34"/>
  <c r="IA97" i="34"/>
  <c r="DX83" i="34"/>
  <c r="NC87" i="34"/>
  <c r="AU76" i="34"/>
  <c r="CJ111" i="34"/>
  <c r="NP63" i="34"/>
  <c r="W108" i="34"/>
  <c r="LY63" i="34"/>
  <c r="EM65" i="33"/>
  <c r="CS48" i="33"/>
  <c r="Z145" i="34"/>
  <c r="FU103" i="34"/>
  <c r="JW89" i="34"/>
  <c r="IZ91" i="34"/>
  <c r="FB100" i="34"/>
  <c r="W68" i="34"/>
  <c r="GN54" i="34"/>
  <c r="EG56" i="33"/>
  <c r="GQ42" i="34"/>
  <c r="DH151" i="34"/>
  <c r="EW96" i="34"/>
  <c r="DY188" i="34"/>
  <c r="AX126" i="34"/>
  <c r="HW68" i="34"/>
  <c r="CZ46" i="33"/>
  <c r="AP51" i="33"/>
  <c r="AQ155" i="34"/>
  <c r="ED82" i="33"/>
  <c r="HT63" i="34"/>
  <c r="CI135" i="34"/>
  <c r="PI171" i="34"/>
  <c r="DA129" i="34"/>
  <c r="LA172" i="34"/>
  <c r="IV110" i="34"/>
  <c r="BO144" i="34"/>
  <c r="FN62" i="34"/>
  <c r="HV141" i="34"/>
  <c r="EJ124" i="34"/>
  <c r="DC125" i="34"/>
  <c r="AB62" i="34"/>
  <c r="IY138" i="34"/>
  <c r="GP49" i="34"/>
  <c r="IR108" i="34"/>
  <c r="DF161" i="34"/>
  <c r="ME72" i="34"/>
  <c r="CI153" i="34"/>
  <c r="CK76" i="33"/>
  <c r="EG84" i="33"/>
  <c r="IR106" i="34"/>
  <c r="FR165" i="34"/>
  <c r="NF111" i="34"/>
  <c r="EY151" i="34"/>
  <c r="DV130" i="34"/>
  <c r="HD69" i="34"/>
  <c r="AQ107" i="34"/>
  <c r="HG135" i="34"/>
  <c r="IC45" i="34"/>
  <c r="AA72" i="33"/>
  <c r="AQ106" i="34"/>
  <c r="AA78" i="34"/>
  <c r="JV147" i="34"/>
  <c r="LE96" i="34"/>
  <c r="ND120" i="34"/>
  <c r="AD43" i="34"/>
  <c r="EK87" i="34"/>
  <c r="J25" i="33"/>
  <c r="LF135" i="34"/>
  <c r="KQ141" i="34"/>
  <c r="LD178" i="34"/>
  <c r="DA162" i="34"/>
  <c r="FS139" i="34"/>
  <c r="FR70" i="33"/>
  <c r="KR176" i="34"/>
  <c r="GQ138" i="34"/>
  <c r="BN145" i="34"/>
  <c r="DX95" i="34"/>
  <c r="JZ150" i="34"/>
  <c r="HW160" i="34"/>
  <c r="KO164" i="34"/>
  <c r="JT168" i="34"/>
  <c r="GF54" i="33"/>
  <c r="GI26" i="33"/>
  <c r="IC56" i="34"/>
  <c r="CD103" i="34"/>
  <c r="CA84" i="33"/>
  <c r="MJ144" i="34"/>
  <c r="BP101" i="34"/>
  <c r="BR59" i="33"/>
  <c r="EK25" i="33"/>
  <c r="HC159" i="34"/>
  <c r="MI131" i="34"/>
  <c r="CW81" i="33"/>
  <c r="JY49" i="34"/>
  <c r="DP71" i="33"/>
  <c r="EF103" i="34"/>
  <c r="MO102" i="34"/>
  <c r="OB4" i="34"/>
  <c r="ER30" i="33"/>
  <c r="X25" i="33"/>
  <c r="BG72" i="33"/>
  <c r="JH152" i="34"/>
  <c r="GK82" i="33"/>
  <c r="AG37" i="33"/>
  <c r="DI104" i="34"/>
  <c r="BO78" i="34"/>
  <c r="GL174" i="34"/>
  <c r="JD121" i="34"/>
  <c r="JV54" i="34"/>
  <c r="AN76" i="34"/>
  <c r="IQ124" i="34"/>
  <c r="T129" i="34"/>
  <c r="DB81" i="34"/>
  <c r="EA54" i="34"/>
  <c r="BF62" i="33"/>
  <c r="K120" i="34"/>
  <c r="K69" i="34"/>
  <c r="FB173" i="34"/>
  <c r="DI86" i="34"/>
  <c r="CE154" i="34"/>
  <c r="AB119" i="34"/>
  <c r="BO60" i="34"/>
  <c r="GL183" i="34"/>
  <c r="AQ98" i="34"/>
  <c r="FM60" i="33"/>
  <c r="DH134" i="34"/>
  <c r="EI43" i="34"/>
  <c r="BR49" i="34"/>
  <c r="NF155" i="34"/>
  <c r="Y122" i="34"/>
  <c r="DA167" i="34"/>
  <c r="DB64" i="34"/>
  <c r="FR188" i="34"/>
  <c r="GM170" i="34"/>
  <c r="K133" i="34"/>
  <c r="CJ88" i="34"/>
  <c r="DH137" i="34"/>
  <c r="HF73" i="34"/>
  <c r="NN125" i="34"/>
  <c r="ME132" i="34"/>
  <c r="LA125" i="34"/>
  <c r="FO131" i="34"/>
  <c r="Z63" i="34"/>
  <c r="CL69" i="33"/>
  <c r="DE31" i="33"/>
  <c r="CN170" i="34"/>
  <c r="OM123" i="34"/>
  <c r="JF116" i="34"/>
  <c r="MM54" i="34"/>
  <c r="CG111" i="34"/>
  <c r="AB129" i="34"/>
  <c r="EY147" i="34"/>
  <c r="IV68" i="34"/>
  <c r="MA175" i="34"/>
  <c r="PE56" i="34"/>
  <c r="JZ95" i="34"/>
  <c r="KM178" i="34"/>
  <c r="DB165" i="34"/>
  <c r="AZ55" i="33"/>
  <c r="DT57" i="33"/>
  <c r="MJ100" i="34"/>
  <c r="EX175" i="34"/>
  <c r="N11" i="34"/>
  <c r="FW144" i="34"/>
  <c r="EE173" i="34"/>
  <c r="AA31" i="33"/>
  <c r="AZ105" i="34"/>
  <c r="BI25" i="33"/>
  <c r="CU46" i="33"/>
  <c r="AM96" i="34"/>
  <c r="NB167" i="34"/>
  <c r="FX79" i="34"/>
  <c r="AS73" i="33"/>
  <c r="IT44" i="34"/>
  <c r="HU53" i="34"/>
  <c r="U28" i="33"/>
  <c r="EZ67" i="34"/>
  <c r="CJ108" i="34"/>
  <c r="DZ86" i="34"/>
  <c r="ML97" i="34"/>
  <c r="HG188" i="34"/>
  <c r="DB59" i="34"/>
  <c r="HY159" i="34"/>
  <c r="BY56" i="33"/>
  <c r="HE132" i="34"/>
  <c r="MB86" i="34"/>
  <c r="DF87" i="34"/>
  <c r="LB143" i="34"/>
  <c r="HH59" i="34"/>
  <c r="ON55" i="34"/>
  <c r="EA45" i="34"/>
  <c r="DC64" i="33"/>
  <c r="IQ153" i="34"/>
  <c r="BB69" i="34"/>
  <c r="CJ45" i="33"/>
  <c r="V73" i="34"/>
  <c r="DY172" i="34"/>
  <c r="GO103" i="34"/>
  <c r="U127" i="34"/>
  <c r="AV73" i="34"/>
  <c r="EW59" i="34"/>
  <c r="EH52" i="34"/>
  <c r="HX146" i="34"/>
  <c r="CI54" i="34"/>
  <c r="DM59" i="33"/>
  <c r="CE124" i="34"/>
  <c r="BN40" i="33"/>
  <c r="HW78" i="34"/>
  <c r="DA113" i="34"/>
  <c r="CJ121" i="34"/>
  <c r="CX74" i="33"/>
  <c r="FX67" i="34"/>
  <c r="AY145" i="34"/>
  <c r="DJ68" i="33"/>
  <c r="NL104" i="34"/>
  <c r="MF91" i="34"/>
  <c r="EV54" i="33"/>
  <c r="PF171" i="34"/>
  <c r="ED76" i="34"/>
  <c r="DC105" i="34"/>
  <c r="FO47" i="33"/>
  <c r="FB149" i="34"/>
  <c r="CK175" i="34"/>
  <c r="EK129" i="34"/>
  <c r="EB123" i="34"/>
  <c r="EC118" i="34"/>
  <c r="AN79" i="34"/>
  <c r="EG158" i="34"/>
  <c r="PY77" i="34"/>
  <c r="J46" i="34"/>
  <c r="JX54" i="34"/>
  <c r="NO99" i="34"/>
  <c r="CP54" i="33"/>
  <c r="CC37" i="33"/>
  <c r="PD169" i="34"/>
  <c r="AJ83" i="33"/>
  <c r="EE169" i="34"/>
  <c r="CC29" i="33"/>
  <c r="EG46" i="34"/>
  <c r="DF150" i="34"/>
  <c r="DA170" i="34"/>
  <c r="KM175" i="34"/>
  <c r="MM104" i="34"/>
  <c r="ED69" i="34"/>
  <c r="Z85" i="34"/>
  <c r="AX100" i="34"/>
  <c r="AD124" i="34"/>
  <c r="KL69" i="34"/>
  <c r="JZ79" i="34"/>
  <c r="KB90" i="34"/>
  <c r="HZ118" i="34"/>
  <c r="FV125" i="34"/>
  <c r="DN63" i="33"/>
  <c r="DA109" i="34"/>
  <c r="LI87" i="34"/>
  <c r="BO58" i="34"/>
  <c r="W61" i="34"/>
  <c r="Z32" i="33"/>
  <c r="CM157" i="34"/>
  <c r="DX48" i="34"/>
  <c r="HY54" i="34"/>
  <c r="JY55" i="34"/>
  <c r="GM117" i="34"/>
  <c r="HF103" i="34"/>
  <c r="Y188" i="34"/>
  <c r="GK44" i="33"/>
  <c r="EE119" i="34"/>
  <c r="PG80" i="34"/>
  <c r="FW151" i="34"/>
  <c r="DE49" i="33"/>
  <c r="HZ80" i="34"/>
  <c r="IC105" i="34"/>
  <c r="GO40" i="33"/>
  <c r="CE57" i="34"/>
  <c r="DF64" i="33"/>
  <c r="IS119" i="34"/>
  <c r="BI32" i="33"/>
  <c r="IE159" i="34"/>
  <c r="CV40" i="33"/>
  <c r="GJ46" i="34"/>
  <c r="S28" i="17"/>
  <c r="DD133" i="34"/>
  <c r="AU113" i="34"/>
  <c r="JT78" i="34"/>
  <c r="GL43" i="34"/>
  <c r="EP29" i="33"/>
  <c r="IA154" i="34"/>
  <c r="FV62" i="34"/>
  <c r="BB49" i="34"/>
  <c r="LA135" i="34"/>
  <c r="EE44" i="33"/>
  <c r="AA135" i="34"/>
  <c r="GJ69" i="34"/>
  <c r="AY82" i="34"/>
  <c r="JX111" i="34"/>
  <c r="AT41" i="34"/>
  <c r="W40" i="33"/>
  <c r="KN58" i="34"/>
  <c r="HV156" i="34"/>
  <c r="LZ53" i="34"/>
  <c r="GP79" i="34"/>
  <c r="CE146" i="34"/>
  <c r="FV123" i="34"/>
  <c r="IE76" i="34"/>
  <c r="HG79" i="34"/>
  <c r="U98" i="34"/>
  <c r="DW152" i="34"/>
  <c r="BQ98" i="34"/>
  <c r="DH165" i="34"/>
  <c r="JX62" i="34"/>
  <c r="DY81" i="33"/>
  <c r="Z135" i="34"/>
  <c r="AT106" i="34"/>
  <c r="DM58" i="33"/>
  <c r="FZ68" i="33"/>
  <c r="NO95" i="34"/>
  <c r="KB155" i="34"/>
  <c r="HY42" i="34"/>
  <c r="IZ84" i="34"/>
  <c r="EC45" i="34"/>
  <c r="EW38" i="33"/>
  <c r="JB188" i="34"/>
  <c r="LJ171" i="34"/>
  <c r="BH31" i="33"/>
  <c r="LJ63" i="34"/>
  <c r="DY60" i="34"/>
  <c r="DD43" i="33"/>
  <c r="DV90" i="34"/>
  <c r="ED101" i="34"/>
  <c r="BT49" i="33"/>
  <c r="W53" i="34"/>
  <c r="K82" i="34"/>
  <c r="HX187" i="34"/>
  <c r="GM63" i="34"/>
  <c r="K135" i="34"/>
  <c r="CU26" i="33"/>
  <c r="DZ51" i="34"/>
  <c r="AX171" i="34"/>
  <c r="MO94" i="34"/>
  <c r="OI71" i="34"/>
  <c r="DH93" i="34"/>
  <c r="CN59" i="33"/>
  <c r="JB98" i="34"/>
  <c r="GP93" i="34"/>
  <c r="LE61" i="34"/>
  <c r="BQ52" i="34"/>
  <c r="HT79" i="34"/>
  <c r="DY86" i="33"/>
  <c r="JA173" i="34"/>
  <c r="EW169" i="34"/>
  <c r="BO98" i="34"/>
  <c r="FR162" i="34"/>
  <c r="DF77" i="33"/>
  <c r="DZ76" i="34"/>
  <c r="DG110" i="34"/>
  <c r="FV101" i="34"/>
  <c r="JV105" i="34"/>
  <c r="ML153" i="34"/>
  <c r="BU58" i="33"/>
  <c r="AL55" i="33"/>
  <c r="K86" i="34"/>
  <c r="AP128" i="34"/>
  <c r="CE84" i="33"/>
  <c r="DN56" i="33"/>
  <c r="DW91" i="34"/>
  <c r="LA136" i="34"/>
  <c r="IW74" i="34"/>
  <c r="JE79" i="34"/>
  <c r="HZ98" i="34"/>
  <c r="AD84" i="33"/>
  <c r="Z125" i="34"/>
  <c r="X75" i="34"/>
  <c r="DX77" i="33"/>
  <c r="AF53" i="33"/>
  <c r="Y175" i="34"/>
  <c r="EE157" i="34"/>
  <c r="JW125" i="34"/>
  <c r="W121" i="34"/>
  <c r="DY164" i="34"/>
  <c r="DP86" i="33"/>
  <c r="CF124" i="34"/>
  <c r="CO82" i="34"/>
  <c r="BM78" i="33"/>
  <c r="BA115" i="34"/>
  <c r="Y47" i="34"/>
  <c r="IB76" i="34"/>
  <c r="FU122" i="34"/>
  <c r="IQ183" i="34"/>
  <c r="LK144" i="34"/>
  <c r="MN64" i="34"/>
  <c r="EE49" i="34"/>
  <c r="NI118" i="34"/>
  <c r="CG99" i="34"/>
  <c r="LB158" i="34"/>
  <c r="JF152" i="34"/>
  <c r="EM37" i="33"/>
  <c r="AZ166" i="34"/>
  <c r="EF187" i="34"/>
  <c r="CY29" i="33"/>
  <c r="DH58" i="34"/>
  <c r="DR64" i="33"/>
  <c r="J178" i="34"/>
  <c r="BR72" i="34"/>
  <c r="AV97" i="34"/>
  <c r="AK32" i="33"/>
  <c r="KB67" i="34"/>
  <c r="FS145" i="34"/>
  <c r="CF90" i="33"/>
  <c r="LX161" i="34"/>
  <c r="EE174" i="34"/>
  <c r="MK183" i="34"/>
  <c r="BU79" i="33"/>
  <c r="MJ81" i="34"/>
  <c r="PK41" i="34"/>
  <c r="I59" i="33"/>
  <c r="HE46" i="34"/>
  <c r="AB157" i="34"/>
  <c r="DP27" i="33"/>
  <c r="F34" i="33"/>
  <c r="FR148" i="34"/>
  <c r="S176" i="23"/>
  <c r="DF32" i="33"/>
  <c r="CN105" i="34"/>
  <c r="FV170" i="34"/>
  <c r="CG48" i="34"/>
  <c r="EX49" i="34"/>
  <c r="BP129" i="34"/>
  <c r="GP188" i="34"/>
  <c r="DJ60" i="34"/>
  <c r="GK102" i="34"/>
  <c r="KC134" i="34"/>
  <c r="DX171" i="34"/>
  <c r="CH124" i="34"/>
  <c r="JV122" i="34"/>
  <c r="Z83" i="34"/>
  <c r="CI25" i="33"/>
  <c r="LI73" i="34"/>
  <c r="IA44" i="34"/>
  <c r="CH133" i="34"/>
  <c r="FS150" i="34"/>
  <c r="AB103" i="34"/>
  <c r="V75" i="33"/>
  <c r="AM99" i="34"/>
  <c r="FW77" i="33"/>
  <c r="AV70" i="33"/>
  <c r="DG44" i="34"/>
  <c r="PC113" i="34"/>
  <c r="BJ72" i="33"/>
  <c r="CJ188" i="34"/>
  <c r="AU154" i="34"/>
  <c r="FN155" i="34"/>
  <c r="NC61" i="34"/>
  <c r="LB163" i="34"/>
  <c r="FS29" i="33"/>
  <c r="FQ117" i="34"/>
  <c r="EA117" i="34"/>
  <c r="CK75" i="33"/>
  <c r="AM76" i="33"/>
  <c r="FT34" i="33"/>
  <c r="J81" i="34"/>
  <c r="KO105" i="34"/>
  <c r="NI147" i="34"/>
  <c r="CE44" i="34"/>
  <c r="HX130" i="34"/>
  <c r="AP82" i="33"/>
  <c r="HY75" i="34"/>
  <c r="EE56" i="33"/>
  <c r="HU59" i="34"/>
  <c r="KC80" i="34"/>
  <c r="NF67" i="34"/>
  <c r="U63" i="34"/>
  <c r="ME141" i="34"/>
  <c r="Z73" i="33"/>
  <c r="AA71" i="33"/>
  <c r="DB137" i="34"/>
  <c r="CJ171" i="34"/>
  <c r="AU79" i="34"/>
  <c r="AN116" i="34"/>
  <c r="O36" i="33"/>
  <c r="K144" i="34"/>
  <c r="AE41" i="33"/>
  <c r="DJ49" i="34"/>
  <c r="MG166" i="34"/>
  <c r="MJ154" i="34"/>
  <c r="DX123" i="34"/>
  <c r="V113" i="34"/>
  <c r="JZ138" i="34"/>
  <c r="EK61" i="33"/>
  <c r="Y163" i="34"/>
  <c r="IR162" i="34"/>
  <c r="FL40" i="33"/>
  <c r="BO171" i="34"/>
  <c r="FS43" i="33"/>
  <c r="EB104" i="34"/>
  <c r="CS82" i="33"/>
  <c r="NO80" i="34"/>
  <c r="F10" i="17"/>
  <c r="GO151" i="34"/>
  <c r="DC88" i="34"/>
  <c r="OH174" i="34"/>
  <c r="EA174" i="34"/>
  <c r="AY154" i="34"/>
  <c r="EH137" i="34"/>
  <c r="AC158" i="34"/>
  <c r="JE183" i="34"/>
  <c r="DL45" i="33"/>
  <c r="T48" i="33"/>
  <c r="DS31" i="33"/>
  <c r="KQ50" i="34"/>
  <c r="PH144" i="34"/>
  <c r="H27" i="33"/>
  <c r="AA131" i="34"/>
  <c r="AK30" i="33"/>
  <c r="PC67" i="34"/>
  <c r="IQ121" i="34"/>
  <c r="AD86" i="34"/>
  <c r="GB67" i="33"/>
  <c r="EM50" i="33"/>
  <c r="FY27" i="33"/>
  <c r="FV79" i="33"/>
  <c r="OO159" i="34"/>
  <c r="PY57" i="34"/>
  <c r="IW155" i="34"/>
  <c r="LD126" i="34"/>
  <c r="DC166" i="34"/>
  <c r="KL60" i="34"/>
  <c r="AW123" i="34"/>
  <c r="KN160" i="34"/>
  <c r="S108" i="23"/>
  <c r="PE113" i="34"/>
  <c r="V68" i="34"/>
  <c r="N70" i="33"/>
  <c r="PF55" i="34"/>
  <c r="BK82" i="33"/>
  <c r="BG62" i="33"/>
  <c r="GI85" i="33"/>
  <c r="DT67" i="33"/>
  <c r="JD130" i="34"/>
  <c r="FU77" i="34"/>
  <c r="ID158" i="34"/>
  <c r="MD135" i="34"/>
  <c r="F53" i="33"/>
  <c r="KB51" i="34"/>
  <c r="ON139" i="34"/>
  <c r="CB34" i="33"/>
  <c r="OJ125" i="34"/>
  <c r="S85" i="33"/>
  <c r="DF27" i="33"/>
  <c r="DH178" i="34"/>
  <c r="FW55" i="34"/>
  <c r="JG161" i="34"/>
  <c r="DH111" i="34"/>
  <c r="MO140" i="34"/>
  <c r="KR105" i="34"/>
  <c r="FP65" i="34"/>
  <c r="IC164" i="34"/>
  <c r="AN132" i="34"/>
  <c r="FN89" i="34"/>
  <c r="AA74" i="33"/>
  <c r="OL165" i="34"/>
  <c r="CJ53" i="34"/>
  <c r="MN142" i="34"/>
  <c r="DH158" i="34"/>
  <c r="AE81" i="33"/>
  <c r="AS72" i="34"/>
  <c r="AZ119" i="34"/>
  <c r="MB67" i="34"/>
  <c r="BA142" i="34"/>
  <c r="V186" i="34"/>
  <c r="AR163" i="34"/>
  <c r="DV57" i="34"/>
  <c r="AA78" i="33"/>
  <c r="KL152" i="34"/>
  <c r="AC49" i="33"/>
  <c r="JZ42" i="34"/>
  <c r="EB110" i="34"/>
  <c r="BC68" i="33"/>
  <c r="ER79" i="33"/>
  <c r="FZ39" i="33"/>
  <c r="FP132" i="34"/>
  <c r="FW84" i="33"/>
  <c r="GP56" i="34"/>
  <c r="BO83" i="34"/>
  <c r="IB82" i="34"/>
  <c r="HV42" i="34"/>
  <c r="U124" i="34"/>
  <c r="FN74" i="34"/>
  <c r="MB68" i="34"/>
  <c r="U116" i="34"/>
  <c r="FS77" i="34"/>
  <c r="JH165" i="34"/>
  <c r="IS52" i="34"/>
  <c r="LC141" i="34"/>
  <c r="IR172" i="34"/>
  <c r="LJ118" i="34"/>
  <c r="AZ101" i="34"/>
  <c r="JH110" i="34"/>
  <c r="IS187" i="34"/>
  <c r="AQ67" i="33"/>
  <c r="BF33" i="33"/>
  <c r="IB152" i="34"/>
  <c r="KQ138" i="34"/>
  <c r="BZ28" i="33"/>
  <c r="S82" i="33"/>
  <c r="S114" i="23"/>
  <c r="W39" i="33"/>
  <c r="EA74" i="34"/>
  <c r="MN71" i="34"/>
  <c r="AC128" i="34"/>
  <c r="MF147" i="34"/>
  <c r="LJ72" i="34"/>
  <c r="ON112" i="34"/>
  <c r="CB32" i="33"/>
  <c r="DO78" i="33"/>
  <c r="AN36" i="33"/>
  <c r="FP42" i="34"/>
  <c r="AC64" i="34"/>
  <c r="JB166" i="34"/>
  <c r="Z79" i="33"/>
  <c r="NE103" i="34"/>
  <c r="JU130" i="34"/>
  <c r="FX58" i="34"/>
  <c r="HF125" i="34"/>
  <c r="AQ83" i="33"/>
  <c r="JA109" i="34"/>
  <c r="DB152" i="34"/>
  <c r="EI162" i="34"/>
  <c r="EE61" i="33"/>
  <c r="HH78" i="34"/>
  <c r="KN149" i="34"/>
  <c r="DC181" i="34"/>
  <c r="CD86" i="34"/>
  <c r="DB65" i="34"/>
  <c r="BR50" i="34"/>
  <c r="GL122" i="34"/>
  <c r="FB77" i="34"/>
  <c r="DB9" i="33"/>
  <c r="W80" i="33"/>
  <c r="ED78" i="33"/>
  <c r="LH70" i="34"/>
  <c r="NI85" i="34"/>
  <c r="EZ66" i="34"/>
  <c r="NN84" i="34"/>
  <c r="AA147" i="34"/>
  <c r="AT175" i="34"/>
  <c r="AR50" i="34"/>
  <c r="DB154" i="34"/>
  <c r="EA97" i="34"/>
  <c r="AU104" i="34"/>
  <c r="H70" i="33"/>
  <c r="BS56" i="33"/>
  <c r="ER75" i="33"/>
  <c r="MM175" i="34"/>
  <c r="NN139" i="34"/>
  <c r="KC74" i="34"/>
  <c r="HC91" i="34"/>
  <c r="JX88" i="34"/>
  <c r="FW77" i="34"/>
  <c r="W61" i="33"/>
  <c r="CN146" i="34"/>
  <c r="FT85" i="33"/>
  <c r="AC112" i="34"/>
  <c r="PC128" i="34"/>
  <c r="MM169" i="34"/>
  <c r="DY67" i="33"/>
  <c r="CG187" i="34"/>
  <c r="HF92" i="34"/>
  <c r="FS33" i="33"/>
  <c r="DY146" i="34"/>
  <c r="HZ53" i="34"/>
  <c r="HX170" i="34"/>
  <c r="LE69" i="34"/>
  <c r="GB42" i="33"/>
  <c r="CF130" i="34"/>
  <c r="EE142" i="34"/>
  <c r="JD137" i="34"/>
  <c r="IY106" i="34"/>
  <c r="IR85" i="34"/>
  <c r="FQ36" i="33"/>
  <c r="BW39" i="33"/>
  <c r="GM155" i="34"/>
  <c r="FP93" i="34"/>
  <c r="JX94" i="34"/>
  <c r="ID169" i="34"/>
  <c r="DD55" i="33"/>
  <c r="KA50" i="34"/>
  <c r="GD86" i="33"/>
  <c r="DZ46" i="34"/>
  <c r="GM118" i="34"/>
  <c r="DB109" i="34"/>
  <c r="FE63" i="33"/>
  <c r="NO70" i="34"/>
  <c r="LB111" i="34"/>
  <c r="AX78" i="33"/>
  <c r="NB85" i="34"/>
  <c r="IB81" i="34"/>
  <c r="AW46" i="34"/>
  <c r="FF92" i="33"/>
  <c r="MA157" i="34"/>
  <c r="CN168" i="34"/>
  <c r="JD136" i="34"/>
  <c r="AN84" i="34"/>
  <c r="AV40" i="33"/>
  <c r="AX42" i="33"/>
  <c r="LF49" i="34"/>
  <c r="GJ107" i="34"/>
  <c r="BN166" i="34"/>
  <c r="JD42" i="34"/>
  <c r="GN64" i="34"/>
  <c r="AN28" i="33"/>
  <c r="AR68" i="34"/>
  <c r="KP95" i="34"/>
  <c r="NI156" i="34"/>
  <c r="ND183" i="34"/>
  <c r="HF158" i="34"/>
  <c r="FB73" i="34"/>
  <c r="FN174" i="34"/>
  <c r="ES79" i="33"/>
  <c r="EG150" i="34"/>
  <c r="DV118" i="34"/>
  <c r="GK27" i="33"/>
  <c r="DD150" i="34"/>
  <c r="DE183" i="34"/>
  <c r="LH109" i="34"/>
  <c r="AT178" i="34"/>
  <c r="CL103" i="34"/>
  <c r="V136" i="34"/>
  <c r="DA83" i="33"/>
  <c r="ED125" i="34"/>
  <c r="MO61" i="34"/>
  <c r="GK60" i="34"/>
  <c r="CI44" i="33"/>
  <c r="FM69" i="33"/>
  <c r="DH27" i="33"/>
  <c r="L32" i="33"/>
  <c r="HC64" i="34"/>
  <c r="BY80" i="33"/>
  <c r="JC123" i="34"/>
  <c r="JD135" i="34"/>
  <c r="LC87" i="34"/>
  <c r="AY79" i="33"/>
  <c r="CD42" i="34"/>
  <c r="AI66" i="33"/>
  <c r="BP181" i="34"/>
  <c r="LI169" i="34"/>
  <c r="CJ55" i="33"/>
  <c r="BR107" i="34"/>
  <c r="HU96" i="34"/>
  <c r="EX116" i="34"/>
  <c r="AW26" i="33"/>
  <c r="AC57" i="33"/>
  <c r="GE28" i="33"/>
  <c r="CY71" i="33"/>
  <c r="OJ62" i="34"/>
  <c r="PH77" i="34"/>
  <c r="JY133" i="34"/>
  <c r="JG95" i="34"/>
  <c r="BN183" i="34"/>
  <c r="AY123" i="34"/>
  <c r="OJ105" i="34"/>
  <c r="BO57" i="34"/>
  <c r="IC142" i="34"/>
  <c r="AN34" i="33"/>
  <c r="DG162" i="34"/>
  <c r="FO49" i="34"/>
  <c r="MM144" i="34"/>
  <c r="BR54" i="34"/>
  <c r="BN37" i="33"/>
  <c r="BQ171" i="34"/>
  <c r="BA186" i="34"/>
  <c r="BA46" i="33"/>
  <c r="PZ164" i="34"/>
  <c r="HZ169" i="34"/>
  <c r="LB126" i="34"/>
  <c r="AM169" i="34"/>
  <c r="V45" i="34"/>
  <c r="DV50" i="34"/>
  <c r="K148" i="34"/>
  <c r="DL83" i="33"/>
  <c r="EX45" i="34"/>
  <c r="HC147" i="34"/>
  <c r="HY140" i="34"/>
  <c r="EZ80" i="34"/>
  <c r="LK61" i="34"/>
  <c r="CZ86" i="33"/>
  <c r="JT154" i="34"/>
  <c r="AO100" i="34"/>
  <c r="ON127" i="34"/>
  <c r="JD139" i="34"/>
  <c r="CV47" i="33"/>
  <c r="IV44" i="34"/>
  <c r="CM170" i="34"/>
  <c r="DB77" i="34"/>
  <c r="IY151" i="34"/>
  <c r="GJ125" i="34"/>
  <c r="AX127" i="34"/>
  <c r="JW124" i="34"/>
  <c r="DA164" i="34"/>
  <c r="CO80" i="34"/>
  <c r="HE124" i="34"/>
  <c r="AD127" i="34"/>
  <c r="DF145" i="34"/>
  <c r="IW156" i="34"/>
  <c r="NC100" i="34"/>
  <c r="FQ96" i="34"/>
  <c r="CK110" i="34"/>
  <c r="IU65" i="34"/>
  <c r="NO107" i="34"/>
  <c r="DI110" i="34"/>
  <c r="JH85" i="34"/>
  <c r="GN171" i="34"/>
  <c r="AW178" i="34"/>
  <c r="HY128" i="34"/>
  <c r="PC88" i="34"/>
  <c r="KO186" i="34"/>
  <c r="CE62" i="34"/>
  <c r="GN99" i="34"/>
  <c r="IT70" i="34"/>
  <c r="GJ61" i="33"/>
  <c r="AY45" i="34"/>
  <c r="AA171" i="34"/>
  <c r="BK73" i="33"/>
  <c r="GK92" i="33"/>
  <c r="FA100" i="34"/>
  <c r="AV34" i="33"/>
  <c r="JT108" i="34"/>
  <c r="GE35" i="33"/>
  <c r="FB119" i="34"/>
  <c r="NM129" i="34"/>
  <c r="MD84" i="34"/>
  <c r="FT84" i="33"/>
  <c r="EX44" i="34"/>
  <c r="EZ121" i="34"/>
  <c r="CN112" i="34"/>
  <c r="IK6" i="34"/>
  <c r="KB58" i="34"/>
  <c r="HV170" i="34"/>
  <c r="HV100" i="34"/>
  <c r="IB169" i="34"/>
  <c r="KO81" i="34"/>
  <c r="EK142" i="34"/>
  <c r="AL28" i="33"/>
  <c r="CS67" i="33"/>
  <c r="B16" i="17"/>
  <c r="DI80" i="34"/>
  <c r="EA68" i="34"/>
  <c r="DZ64" i="33"/>
  <c r="OO105" i="34"/>
  <c r="KL140" i="34"/>
  <c r="NP119" i="34"/>
  <c r="KM150" i="34"/>
  <c r="BZ63" i="33"/>
  <c r="L102" i="28"/>
  <c r="CC36" i="33"/>
  <c r="CE42" i="34"/>
  <c r="JB178" i="34"/>
  <c r="EC56" i="34"/>
  <c r="B20" i="17"/>
  <c r="CX34" i="33"/>
  <c r="LI175" i="34"/>
  <c r="LH78" i="34"/>
  <c r="JU143" i="34"/>
  <c r="NN82" i="34"/>
  <c r="KL110" i="34"/>
  <c r="EE47" i="33"/>
  <c r="DJ53" i="33"/>
  <c r="CJ48" i="34"/>
  <c r="JW130" i="34"/>
  <c r="EG143" i="34"/>
  <c r="CM173" i="34"/>
  <c r="JH56" i="34"/>
  <c r="GD32" i="33"/>
  <c r="CH59" i="33"/>
  <c r="EC173" i="34"/>
  <c r="BN59" i="34"/>
  <c r="KL128" i="34"/>
  <c r="GP152" i="34"/>
  <c r="AM120" i="34"/>
  <c r="DX129" i="34"/>
  <c r="AQ26" i="33"/>
  <c r="BK27" i="33"/>
  <c r="PX96" i="34"/>
  <c r="JC48" i="34"/>
  <c r="EZ45" i="34"/>
  <c r="FR173" i="34"/>
  <c r="BJ62" i="33"/>
  <c r="CK173" i="34"/>
  <c r="EX81" i="34"/>
  <c r="BU42" i="33"/>
  <c r="AP168" i="34"/>
  <c r="BI48" i="33"/>
  <c r="EC138" i="34"/>
  <c r="FT82" i="34"/>
  <c r="DC142" i="34"/>
  <c r="DC80" i="34"/>
  <c r="V130" i="34"/>
  <c r="W173" i="34"/>
  <c r="AW9" i="33"/>
  <c r="IR64" i="34"/>
  <c r="JA71" i="34"/>
  <c r="CR60" i="33"/>
  <c r="EK82" i="33"/>
  <c r="GP68" i="34"/>
  <c r="FI66" i="33"/>
  <c r="EX131" i="34"/>
  <c r="FN79" i="34"/>
  <c r="AE83" i="33"/>
  <c r="DE58" i="34"/>
  <c r="CJ32" i="33"/>
  <c r="BR61" i="34"/>
  <c r="FI51" i="33"/>
  <c r="IZ87" i="34"/>
  <c r="AS32" i="33"/>
  <c r="FU38" i="33"/>
  <c r="KB89" i="34"/>
  <c r="MC157" i="34"/>
  <c r="LB159" i="34"/>
  <c r="FQ161" i="34"/>
  <c r="BA102" i="34"/>
  <c r="HC77" i="34"/>
  <c r="HV127" i="34"/>
  <c r="FS136" i="34"/>
  <c r="FO74" i="34"/>
  <c r="KB122" i="34"/>
  <c r="HU54" i="34"/>
  <c r="CD50" i="33"/>
  <c r="BR181" i="34"/>
  <c r="OO120" i="34"/>
  <c r="EE78" i="34"/>
  <c r="LY50" i="34"/>
  <c r="LY64" i="34"/>
  <c r="BO49" i="34"/>
  <c r="LB169" i="34"/>
  <c r="DV67" i="34"/>
  <c r="AP56" i="33"/>
  <c r="DG109" i="34"/>
  <c r="EA32" i="33"/>
  <c r="DD85" i="34"/>
  <c r="AJ55" i="33"/>
  <c r="EY120" i="34"/>
  <c r="JE153" i="34"/>
  <c r="K172" i="34"/>
  <c r="MF174" i="34"/>
  <c r="LE104" i="34"/>
  <c r="CF126" i="34"/>
  <c r="AM150" i="34"/>
  <c r="EZ50" i="33"/>
  <c r="T86" i="34"/>
  <c r="M57" i="33"/>
  <c r="BB81" i="34"/>
  <c r="KA75" i="34"/>
  <c r="LB57" i="34"/>
  <c r="BK83" i="33"/>
  <c r="EF40" i="33"/>
  <c r="BU38" i="33"/>
  <c r="EZ41" i="33"/>
  <c r="DD76" i="34"/>
  <c r="BC79" i="33"/>
  <c r="AV61" i="34"/>
  <c r="BB141" i="34"/>
  <c r="HT78" i="34"/>
  <c r="BV9" i="33"/>
  <c r="CF161" i="34"/>
  <c r="T45" i="33"/>
  <c r="AM115" i="34"/>
  <c r="AC147" i="34"/>
  <c r="PZ91" i="34"/>
  <c r="FW128" i="34"/>
  <c r="HD132" i="34"/>
  <c r="FQ43" i="33"/>
  <c r="AX181" i="34"/>
  <c r="HU113" i="34"/>
  <c r="AN137" i="34"/>
  <c r="DI96" i="34"/>
  <c r="FQ73" i="34"/>
  <c r="AV37" i="33"/>
  <c r="X143" i="34"/>
  <c r="HD163" i="34"/>
  <c r="AS57" i="33"/>
  <c r="PF66" i="34"/>
  <c r="CY47" i="33"/>
  <c r="AP169" i="34"/>
  <c r="LJ152" i="34"/>
  <c r="EX91" i="34"/>
  <c r="LW171" i="34"/>
  <c r="KC69" i="34"/>
  <c r="KO67" i="34"/>
  <c r="FB178" i="34"/>
  <c r="JE86" i="34"/>
  <c r="MC163" i="34"/>
  <c r="S34" i="33"/>
  <c r="AM76" i="34"/>
  <c r="KM83" i="34"/>
  <c r="KR99" i="34"/>
  <c r="AQ65" i="34"/>
  <c r="GJ61" i="34"/>
  <c r="OK50" i="34"/>
  <c r="N51" i="33"/>
  <c r="MN75" i="34"/>
  <c r="HC56" i="34"/>
  <c r="BA45" i="34"/>
  <c r="CX39" i="33"/>
  <c r="Z100" i="34"/>
  <c r="DT90" i="33"/>
  <c r="EG100" i="34"/>
  <c r="KB151" i="34"/>
  <c r="JT52" i="34"/>
  <c r="CI44" i="34"/>
  <c r="HG178" i="34"/>
  <c r="AW133" i="34"/>
  <c r="HT85" i="34"/>
  <c r="NM108" i="34"/>
  <c r="AH92" i="33"/>
  <c r="I86" i="33"/>
  <c r="CW36" i="33"/>
  <c r="CD132" i="34"/>
  <c r="FM43" i="33"/>
  <c r="JX43" i="34"/>
  <c r="BP146" i="34"/>
  <c r="FS67" i="33"/>
  <c r="HY71" i="34"/>
  <c r="GO41" i="34"/>
  <c r="GM142" i="34"/>
  <c r="FN137" i="34"/>
  <c r="EJ67" i="34"/>
  <c r="GB25" i="33"/>
  <c r="FS138" i="34"/>
  <c r="AQ67" i="34"/>
  <c r="HF169" i="34"/>
  <c r="DA78" i="34"/>
  <c r="EW128" i="34"/>
  <c r="EX168" i="34"/>
  <c r="PH118" i="34"/>
  <c r="IQ72" i="34"/>
  <c r="CH56" i="33"/>
  <c r="BM85" i="33"/>
  <c r="EL71" i="33"/>
  <c r="MG81" i="34"/>
  <c r="GN74" i="34"/>
  <c r="IR54" i="34"/>
  <c r="F41" i="17"/>
  <c r="AU173" i="34"/>
  <c r="AW147" i="34"/>
  <c r="FQ55" i="34"/>
  <c r="EJ26" i="33"/>
  <c r="AT172" i="34"/>
  <c r="LB121" i="34"/>
  <c r="EW76" i="34"/>
  <c r="MJ162" i="34"/>
  <c r="MN141" i="34"/>
  <c r="DI150" i="34"/>
  <c r="OM56" i="34"/>
  <c r="HY79" i="34"/>
  <c r="IA101" i="34"/>
  <c r="CR47" i="33"/>
  <c r="JU136" i="34"/>
  <c r="AD76" i="34"/>
  <c r="HG156" i="34"/>
  <c r="DH132" i="34"/>
  <c r="IZ47" i="34"/>
  <c r="NA76" i="34"/>
  <c r="AM157" i="34"/>
  <c r="HU101" i="34"/>
  <c r="GL75" i="34"/>
  <c r="T41" i="34"/>
  <c r="FO90" i="33"/>
  <c r="FX50" i="34"/>
  <c r="DZ56" i="34"/>
  <c r="CF83" i="34"/>
  <c r="GP90" i="34"/>
  <c r="BY42" i="33"/>
  <c r="JG128" i="34"/>
  <c r="HU136" i="34"/>
  <c r="BT84" i="33"/>
  <c r="ED129" i="34"/>
  <c r="EA45" i="33"/>
  <c r="GQ140" i="34"/>
  <c r="CV9" i="33"/>
  <c r="GP62" i="34"/>
  <c r="EH174" i="34"/>
  <c r="FV41" i="34"/>
  <c r="BQ148" i="34"/>
  <c r="CB74" i="33"/>
  <c r="HT162" i="34"/>
  <c r="DH87" i="34"/>
  <c r="AQ139" i="34"/>
  <c r="NF124" i="34"/>
  <c r="MM48" i="34"/>
  <c r="JV66" i="34"/>
  <c r="DY167" i="34"/>
  <c r="EB145" i="34"/>
  <c r="HU175" i="34"/>
  <c r="EX126" i="34"/>
  <c r="MO132" i="34"/>
  <c r="DX186" i="34"/>
  <c r="FS123" i="34"/>
  <c r="LY145" i="34"/>
  <c r="LB109" i="34"/>
  <c r="DE119" i="34"/>
  <c r="EM43" i="33"/>
  <c r="NE74" i="34"/>
  <c r="BQ47" i="33"/>
  <c r="IA80" i="34"/>
  <c r="FX169" i="34"/>
  <c r="LK188" i="34"/>
  <c r="NM87" i="34"/>
  <c r="CX37" i="33"/>
  <c r="EG45" i="33"/>
  <c r="MJ51" i="34"/>
  <c r="MK45" i="34"/>
  <c r="GO125" i="34"/>
  <c r="PW140" i="34"/>
  <c r="FA145" i="34"/>
  <c r="IW126" i="34"/>
  <c r="BP118" i="34"/>
  <c r="AA6" i="17"/>
  <c r="AR41" i="34"/>
  <c r="LE161" i="34"/>
  <c r="EK69" i="34"/>
  <c r="EL26" i="33"/>
  <c r="DH143" i="34"/>
  <c r="LB78" i="34"/>
  <c r="AD168" i="34"/>
  <c r="HE112" i="34"/>
  <c r="GJ77" i="33"/>
  <c r="DW138" i="34"/>
  <c r="LE171" i="34"/>
  <c r="NI100" i="34"/>
  <c r="AI56" i="33"/>
  <c r="GO77" i="34"/>
  <c r="I54" i="33"/>
  <c r="JY155" i="34"/>
  <c r="AF85" i="33"/>
  <c r="FH92" i="33"/>
  <c r="DE78" i="33"/>
  <c r="FP107" i="34"/>
  <c r="IV137" i="34"/>
  <c r="MM115" i="34"/>
  <c r="AC48" i="34"/>
  <c r="GQ186" i="34"/>
  <c r="CY57" i="33"/>
  <c r="DT33" i="33"/>
  <c r="OJ44" i="34"/>
  <c r="EW119" i="34"/>
  <c r="AC93" i="34"/>
  <c r="BO62" i="34"/>
  <c r="GL155" i="34"/>
  <c r="HC174" i="34"/>
  <c r="NP132" i="34"/>
  <c r="JD52" i="34"/>
  <c r="BR104" i="34"/>
  <c r="EC143" i="34"/>
  <c r="CQ26" i="33"/>
  <c r="EE65" i="33"/>
  <c r="NC132" i="34"/>
  <c r="AC107" i="34"/>
  <c r="DL82" i="33"/>
  <c r="LG67" i="34"/>
  <c r="FQ155" i="34"/>
  <c r="CJ116" i="34"/>
  <c r="IE166" i="34"/>
  <c r="FH32" i="33"/>
  <c r="DB103" i="34"/>
  <c r="BO87" i="34"/>
  <c r="LH131" i="34"/>
  <c r="FR62" i="34"/>
  <c r="W66" i="34"/>
  <c r="X130" i="34"/>
  <c r="CF187" i="34"/>
  <c r="EH157" i="34"/>
  <c r="IE125" i="34"/>
  <c r="FF30" i="33"/>
  <c r="AE27" i="33"/>
  <c r="BF53" i="33"/>
  <c r="DG90" i="33"/>
  <c r="Y48" i="33"/>
  <c r="BG68" i="33"/>
  <c r="FW70" i="33"/>
  <c r="CO111" i="34"/>
  <c r="NC59" i="34"/>
  <c r="KO51" i="34"/>
  <c r="BP122" i="34"/>
  <c r="HD120" i="34"/>
  <c r="EC41" i="34"/>
  <c r="BO37" i="33"/>
  <c r="EL32" i="33"/>
  <c r="LF147" i="34"/>
  <c r="NK71" i="34"/>
  <c r="JU82" i="34"/>
  <c r="EY47" i="34"/>
  <c r="MG163" i="34"/>
  <c r="IA157" i="34"/>
  <c r="DE49" i="34"/>
  <c r="LA116" i="34"/>
  <c r="AX60" i="34"/>
  <c r="AY43" i="34"/>
  <c r="MC62" i="34"/>
  <c r="JD56" i="34"/>
  <c r="HF48" i="34"/>
  <c r="DC169" i="34"/>
  <c r="FV72" i="33"/>
  <c r="CI142" i="34"/>
  <c r="EY138" i="34"/>
  <c r="ME83" i="34"/>
  <c r="GJ55" i="33"/>
  <c r="MM70" i="34"/>
  <c r="IS77" i="34"/>
  <c r="EE116" i="34"/>
  <c r="CI81" i="34"/>
  <c r="CV49" i="33"/>
  <c r="DH106" i="34"/>
  <c r="HY153" i="34"/>
  <c r="EZ45" i="33"/>
  <c r="AB111" i="34"/>
  <c r="JA81" i="34"/>
  <c r="PX53" i="34"/>
  <c r="MK80" i="34"/>
  <c r="JE187" i="34"/>
  <c r="PF49" i="34"/>
  <c r="OH149" i="34"/>
  <c r="AU112" i="34"/>
  <c r="FY47" i="33"/>
  <c r="HG183" i="34"/>
  <c r="CE123" i="34"/>
  <c r="DE110" i="34"/>
  <c r="AT39" i="33"/>
  <c r="FO67" i="34"/>
  <c r="FV72" i="34"/>
  <c r="BA75" i="34"/>
  <c r="GO121" i="34"/>
  <c r="BM65" i="33"/>
  <c r="IA166" i="34"/>
  <c r="MA144" i="34"/>
  <c r="FR57" i="34"/>
  <c r="AM107" i="34"/>
  <c r="K87" i="34"/>
  <c r="HT64" i="34"/>
  <c r="H50" i="33"/>
  <c r="FS126" i="34"/>
  <c r="J151" i="34"/>
  <c r="EJ35" i="33"/>
  <c r="IA90" i="34"/>
  <c r="IC123" i="34"/>
  <c r="FP30" i="33"/>
  <c r="JX178" i="34"/>
  <c r="LK126" i="34"/>
  <c r="W101" i="34"/>
  <c r="GO86" i="33"/>
  <c r="HU51" i="34"/>
  <c r="AO162" i="34"/>
  <c r="FW104" i="34"/>
  <c r="IV171" i="34"/>
  <c r="DD83" i="34"/>
  <c r="GO122" i="34"/>
  <c r="GO62" i="33"/>
  <c r="CL132" i="34"/>
  <c r="GP99" i="34"/>
  <c r="LD138" i="34"/>
  <c r="HY173" i="34"/>
  <c r="DW132" i="34"/>
  <c r="HT149" i="34"/>
  <c r="FY35" i="33"/>
  <c r="V176" i="34"/>
  <c r="JD157" i="34"/>
  <c r="DY63" i="34"/>
  <c r="AX71" i="33"/>
  <c r="MN104" i="34"/>
  <c r="MC166" i="34"/>
  <c r="AZ172" i="34"/>
  <c r="EW86" i="33"/>
  <c r="FA47" i="34"/>
  <c r="NF96" i="34"/>
  <c r="LI147" i="34"/>
  <c r="HZ147" i="34"/>
  <c r="CE155" i="34"/>
  <c r="DT50" i="33"/>
  <c r="CD166" i="34"/>
  <c r="GK85" i="34"/>
  <c r="LJ56" i="34"/>
  <c r="AS135" i="34"/>
  <c r="BR135" i="34"/>
  <c r="AO127" i="34"/>
  <c r="MO139" i="34"/>
  <c r="EY30" i="33"/>
  <c r="NA173" i="34"/>
  <c r="CH102" i="34"/>
  <c r="O83" i="33"/>
  <c r="CG159" i="34"/>
  <c r="HX49" i="34"/>
  <c r="CF61" i="34"/>
  <c r="MC99" i="34"/>
  <c r="HX123" i="34"/>
  <c r="MG74" i="34"/>
  <c r="LD131" i="34"/>
  <c r="MD123" i="34"/>
  <c r="AP117" i="34"/>
  <c r="GO63" i="34"/>
  <c r="DC156" i="34"/>
  <c r="NO149" i="34"/>
  <c r="JX60" i="34"/>
  <c r="EF93" i="34"/>
  <c r="NC148" i="34"/>
  <c r="DE124" i="34"/>
  <c r="FQ181" i="34"/>
  <c r="BQ162" i="34"/>
  <c r="J146" i="34"/>
  <c r="CK53" i="33"/>
  <c r="FU188" i="34"/>
  <c r="FL29" i="33"/>
  <c r="LZ159" i="34"/>
  <c r="MK151" i="34"/>
  <c r="EW134" i="34"/>
  <c r="CO90" i="34"/>
  <c r="BB188" i="34"/>
  <c r="BY58" i="33"/>
  <c r="AS145" i="34"/>
  <c r="FS93" i="34"/>
  <c r="BR44" i="34"/>
  <c r="CA51" i="33"/>
  <c r="AT85" i="34"/>
  <c r="EH102" i="34"/>
  <c r="LC106" i="34"/>
  <c r="ES36" i="33"/>
  <c r="CK43" i="34"/>
  <c r="IZ82" i="34"/>
  <c r="EK44" i="33"/>
  <c r="FU65" i="34"/>
  <c r="HV171" i="34"/>
  <c r="L70" i="33"/>
  <c r="KN147" i="34"/>
  <c r="AU175" i="34"/>
  <c r="AM26" i="33"/>
  <c r="ED62" i="33"/>
  <c r="AJ38" i="33"/>
  <c r="FT44" i="33"/>
  <c r="AE46" i="33"/>
  <c r="HU72" i="34"/>
  <c r="G84" i="33"/>
  <c r="CR81" i="33"/>
  <c r="NE183" i="34"/>
  <c r="ND127" i="34"/>
  <c r="DE67" i="34"/>
  <c r="NI141" i="34"/>
  <c r="JW109" i="34"/>
  <c r="LD186" i="34"/>
  <c r="BB84" i="34"/>
  <c r="BA59" i="33"/>
  <c r="GL86" i="33"/>
  <c r="EK72" i="33"/>
  <c r="LH147" i="34"/>
  <c r="HE116" i="34"/>
  <c r="KC52" i="34"/>
  <c r="FS82" i="34"/>
  <c r="CR50" i="33"/>
  <c r="CK158" i="34"/>
  <c r="JE173" i="34"/>
  <c r="IR53" i="34"/>
  <c r="DV111" i="34"/>
  <c r="IQ84" i="34"/>
  <c r="JY152" i="34"/>
  <c r="ND84" i="34"/>
  <c r="EV32" i="33"/>
  <c r="LH81" i="34"/>
  <c r="LK187" i="34"/>
  <c r="BR40" i="33"/>
  <c r="J113" i="34"/>
  <c r="BI58" i="33"/>
  <c r="DY46" i="34"/>
  <c r="FW60" i="33"/>
  <c r="GM44" i="34"/>
  <c r="S9" i="33"/>
  <c r="J57" i="33"/>
  <c r="CI47" i="34"/>
  <c r="EH97" i="34"/>
  <c r="J75" i="33"/>
  <c r="KA111" i="34"/>
  <c r="BL57" i="33"/>
  <c r="LJ139" i="34"/>
  <c r="AV188" i="34"/>
  <c r="HZ79" i="34"/>
  <c r="CX32" i="33"/>
  <c r="AQ92" i="33"/>
  <c r="DY173" i="34"/>
  <c r="DJ176" i="34"/>
  <c r="EJ105" i="34"/>
  <c r="ME165" i="34"/>
  <c r="Z58" i="33"/>
  <c r="ML71" i="34"/>
  <c r="AC144" i="34"/>
  <c r="FD58" i="33"/>
  <c r="IU77" i="34"/>
  <c r="DH78" i="33"/>
  <c r="U96" i="34"/>
  <c r="BA50" i="33"/>
  <c r="EW141" i="34"/>
  <c r="T50" i="33"/>
  <c r="U146" i="34"/>
  <c r="AV46" i="34"/>
  <c r="MO51" i="34"/>
  <c r="EZ88" i="34"/>
  <c r="IA82" i="34"/>
  <c r="EW73" i="34"/>
  <c r="NK183" i="34"/>
  <c r="HV67" i="34"/>
  <c r="AA41" i="34"/>
  <c r="NM187" i="34"/>
  <c r="AM30" i="33"/>
  <c r="CK141" i="34"/>
  <c r="EW30" i="33"/>
  <c r="AP110" i="34"/>
  <c r="FW75" i="34"/>
  <c r="JH88" i="34"/>
  <c r="BR68" i="34"/>
  <c r="EB117" i="34"/>
  <c r="O55" i="33"/>
  <c r="FH72" i="33"/>
  <c r="AC29" i="33"/>
  <c r="EK176" i="34"/>
  <c r="AD171" i="34"/>
  <c r="AY89" i="34"/>
  <c r="FT58" i="33"/>
  <c r="AN146" i="34"/>
  <c r="FA126" i="34"/>
  <c r="JD61" i="34"/>
  <c r="AU160" i="34"/>
  <c r="DD39" i="33"/>
  <c r="AU121" i="34"/>
  <c r="AJ74" i="33"/>
  <c r="BR25" i="33"/>
  <c r="FB152" i="34"/>
  <c r="GE61" i="33"/>
  <c r="FO28" i="33"/>
  <c r="HH164" i="34"/>
  <c r="JG113" i="34"/>
  <c r="FS127" i="34"/>
  <c r="CB9" i="33"/>
  <c r="AU49" i="33"/>
  <c r="BG42" i="33"/>
  <c r="AE31" i="33"/>
  <c r="NH105" i="34"/>
  <c r="KL45" i="34"/>
  <c r="DD166" i="34"/>
  <c r="GH50" i="33"/>
  <c r="PY41" i="34"/>
  <c r="KA82" i="34"/>
  <c r="LF174" i="34"/>
  <c r="DU86" i="33"/>
  <c r="CM60" i="34"/>
  <c r="DP79" i="33"/>
  <c r="Z118" i="34"/>
  <c r="EY62" i="33"/>
  <c r="DI56" i="34"/>
  <c r="LZ162" i="34"/>
  <c r="FK59" i="33"/>
  <c r="FU81" i="33"/>
  <c r="ER74" i="33"/>
  <c r="DA67" i="33"/>
  <c r="LC139" i="34"/>
  <c r="IY58" i="34"/>
  <c r="CE102" i="34"/>
  <c r="DI102" i="34"/>
  <c r="KC61" i="34"/>
  <c r="OK86" i="34"/>
  <c r="FQ116" i="34"/>
  <c r="DF183" i="34"/>
  <c r="BS42" i="33"/>
  <c r="X129" i="34"/>
  <c r="LC81" i="34"/>
  <c r="CH54" i="34"/>
  <c r="EI118" i="34"/>
  <c r="LD52" i="34"/>
  <c r="AD141" i="34"/>
  <c r="X153" i="34"/>
  <c r="AD105" i="34"/>
  <c r="AE74" i="33"/>
  <c r="AV63" i="34"/>
  <c r="DH75" i="34"/>
  <c r="BV76" i="33"/>
  <c r="GN47" i="34"/>
  <c r="J161" i="34"/>
  <c r="JX163" i="34"/>
  <c r="GA26" i="33"/>
  <c r="AN93" i="34"/>
  <c r="EF55" i="34"/>
  <c r="CL72" i="34"/>
  <c r="ID42" i="34"/>
  <c r="T55" i="34"/>
  <c r="JZ86" i="34"/>
  <c r="DA111" i="34"/>
  <c r="DN28" i="33"/>
  <c r="BB35" i="33"/>
  <c r="DV69" i="34"/>
  <c r="J47" i="34"/>
  <c r="JV178" i="34"/>
  <c r="LE163" i="34"/>
  <c r="EI113" i="34"/>
  <c r="AX93" i="34"/>
  <c r="BB27" i="33"/>
  <c r="FS101" i="34"/>
  <c r="FI46" i="33"/>
  <c r="CK119" i="34"/>
  <c r="NP127" i="34"/>
  <c r="K57" i="34"/>
  <c r="CN82" i="34"/>
  <c r="BZ79" i="33"/>
  <c r="AQ72" i="34"/>
  <c r="AF31" i="33"/>
  <c r="KQ174" i="34"/>
  <c r="EE150" i="34"/>
  <c r="DD29" i="33"/>
  <c r="LI167" i="34"/>
  <c r="GP143" i="34"/>
  <c r="HU154" i="34"/>
  <c r="BO67" i="34"/>
  <c r="KA122" i="34"/>
  <c r="AU71" i="34"/>
  <c r="JX112" i="34"/>
  <c r="EF149" i="34"/>
  <c r="FO140" i="34"/>
  <c r="AS121" i="34"/>
  <c r="PD113" i="34"/>
  <c r="LD101" i="34"/>
  <c r="DZ146" i="34"/>
  <c r="EE38" i="33"/>
  <c r="LE170" i="34"/>
  <c r="HZ164" i="34"/>
  <c r="AV102" i="34"/>
  <c r="L44" i="33"/>
  <c r="JH170" i="34"/>
  <c r="CR76" i="33"/>
  <c r="EY9" i="33"/>
  <c r="JX144" i="34"/>
  <c r="DZ101" i="34"/>
  <c r="HG116" i="34"/>
  <c r="AN82" i="34"/>
  <c r="EV51" i="33"/>
  <c r="HE188" i="34"/>
  <c r="MN49" i="34"/>
  <c r="AZ169" i="34"/>
  <c r="GB33" i="33"/>
  <c r="X43" i="33"/>
  <c r="NP64" i="34"/>
  <c r="DF62" i="34"/>
  <c r="EE143" i="34"/>
  <c r="EW173" i="34"/>
  <c r="JV115" i="34"/>
  <c r="BB111" i="34"/>
  <c r="HE151" i="34"/>
  <c r="ND110" i="34"/>
  <c r="DW84" i="34"/>
  <c r="CR51" i="33"/>
  <c r="CO156" i="34"/>
  <c r="IV113" i="34"/>
  <c r="PC162" i="34"/>
  <c r="JB181" i="34"/>
  <c r="FK80" i="33"/>
  <c r="IT148" i="34"/>
  <c r="KM51" i="34"/>
  <c r="KL61" i="34"/>
  <c r="CE139" i="34"/>
  <c r="EE32" i="33"/>
  <c r="HX44" i="34"/>
  <c r="JT176" i="34"/>
  <c r="DI93" i="34"/>
  <c r="IW131" i="34"/>
  <c r="GK128" i="34"/>
  <c r="J79" i="33"/>
  <c r="BN89" i="34"/>
  <c r="CO41" i="34"/>
  <c r="FV56" i="33"/>
  <c r="GL108" i="34"/>
  <c r="GM90" i="33"/>
  <c r="DV47" i="34"/>
  <c r="DH120" i="34"/>
  <c r="DJ39" i="33"/>
  <c r="BO174" i="34"/>
  <c r="ED68" i="33"/>
  <c r="CR33" i="33"/>
  <c r="JZ58" i="34"/>
  <c r="FD65" i="33"/>
  <c r="GI49" i="33"/>
  <c r="DB134" i="34"/>
  <c r="I48" i="33"/>
  <c r="JZ188" i="34"/>
  <c r="HX178" i="34"/>
  <c r="JF142" i="34"/>
  <c r="LH151" i="34"/>
  <c r="CO113" i="34"/>
  <c r="GG25" i="33"/>
  <c r="MN116" i="34"/>
  <c r="JC152" i="34"/>
  <c r="BN49" i="34"/>
  <c r="FE44" i="33"/>
  <c r="IU109" i="34"/>
  <c r="BN39" i="33"/>
  <c r="HH98" i="34"/>
  <c r="ML50" i="34"/>
  <c r="BP65" i="34"/>
  <c r="M73" i="33"/>
  <c r="DI71" i="34"/>
  <c r="MF157" i="34"/>
  <c r="FW39" i="33"/>
  <c r="FE84" i="33"/>
  <c r="KL53" i="34"/>
  <c r="FR67" i="34"/>
  <c r="CG122" i="34"/>
  <c r="W53" i="33"/>
  <c r="KA89" i="34"/>
  <c r="BQ139" i="34"/>
  <c r="IR131" i="34"/>
  <c r="CG158" i="34"/>
  <c r="DX92" i="33"/>
  <c r="LH90" i="34"/>
  <c r="EG62" i="33"/>
  <c r="JU148" i="34"/>
  <c r="LK48" i="34"/>
  <c r="DJ48" i="33"/>
  <c r="K132" i="28"/>
  <c r="CH127" i="34"/>
  <c r="DO54" i="33"/>
  <c r="K171" i="34"/>
  <c r="DG46" i="34"/>
  <c r="Y169" i="34"/>
  <c r="GJ32" i="33"/>
  <c r="DP43" i="33"/>
  <c r="FK27" i="33"/>
  <c r="HT175" i="34"/>
  <c r="GP153" i="34"/>
  <c r="U159" i="34"/>
  <c r="GO126" i="34"/>
  <c r="IA181" i="34"/>
  <c r="EA71" i="34"/>
  <c r="AD92" i="34"/>
  <c r="DG128" i="34"/>
  <c r="AZ35" i="33"/>
  <c r="EQ34" i="33"/>
  <c r="DG41" i="33"/>
  <c r="CZ43" i="33"/>
  <c r="JV145" i="34"/>
  <c r="DJ169" i="34"/>
  <c r="CW38" i="33"/>
  <c r="GK44" i="34"/>
  <c r="AN52" i="34"/>
  <c r="EY68" i="33"/>
  <c r="LJ141" i="34"/>
  <c r="FX92" i="34"/>
  <c r="DS66" i="33"/>
  <c r="KL59" i="34"/>
  <c r="FW110" i="34"/>
  <c r="S38" i="33"/>
  <c r="FJ39" i="33"/>
  <c r="OL45" i="34"/>
  <c r="JE144" i="34"/>
  <c r="JU45" i="34"/>
  <c r="EK32" i="33"/>
  <c r="KB181" i="34"/>
  <c r="X30" i="33"/>
  <c r="CR73" i="33"/>
  <c r="ED136" i="34"/>
  <c r="MM86" i="34"/>
  <c r="EQ37" i="33"/>
  <c r="BQ69" i="34"/>
  <c r="DJ56" i="34"/>
  <c r="DZ37" i="33"/>
  <c r="FT153" i="34"/>
  <c r="EA36" i="33"/>
  <c r="J138" i="34"/>
  <c r="U59" i="34"/>
  <c r="DE153" i="34"/>
  <c r="Z25" i="33"/>
  <c r="FW52" i="34"/>
  <c r="AA90" i="34"/>
  <c r="EB120" i="34"/>
  <c r="G76" i="33"/>
  <c r="AM176" i="34"/>
  <c r="GM52" i="34"/>
  <c r="AM136" i="34"/>
  <c r="IE124" i="34"/>
  <c r="DH139" i="34"/>
  <c r="DD138" i="34"/>
  <c r="S208" i="23"/>
  <c r="DY159" i="34"/>
  <c r="HC83" i="34"/>
  <c r="W64" i="34"/>
  <c r="FE30" i="33"/>
  <c r="HE67" i="34"/>
  <c r="KM181" i="34"/>
  <c r="BB138" i="34"/>
  <c r="ID89" i="34"/>
  <c r="LB96" i="34"/>
  <c r="V28" i="33"/>
  <c r="HF118" i="34"/>
  <c r="W59" i="34"/>
  <c r="EW133" i="34"/>
  <c r="GE81" i="33"/>
  <c r="AS111" i="34"/>
  <c r="MB163" i="34"/>
  <c r="FI78" i="33"/>
  <c r="DX68" i="33"/>
  <c r="AX135" i="34"/>
  <c r="CJ82" i="33"/>
  <c r="W56" i="34"/>
  <c r="IW140" i="34"/>
  <c r="DY165" i="34"/>
  <c r="EW28" i="33"/>
  <c r="MF57" i="34"/>
  <c r="AF70" i="33"/>
  <c r="CH67" i="34"/>
  <c r="FU66" i="34"/>
  <c r="DF82" i="34"/>
  <c r="AR48" i="34"/>
  <c r="FS163" i="34"/>
  <c r="EB60" i="34"/>
  <c r="KL88" i="34"/>
  <c r="BJ47" i="33"/>
  <c r="CI149" i="34"/>
  <c r="IT170" i="34"/>
  <c r="HY137" i="34"/>
  <c r="FQ29" i="33"/>
  <c r="EK52" i="34"/>
  <c r="HV166" i="34"/>
  <c r="GD6" i="34"/>
  <c r="DS29" i="33"/>
  <c r="T154" i="34"/>
  <c r="DB31" i="33"/>
  <c r="AH46" i="33"/>
  <c r="FW168" i="34"/>
  <c r="KM47" i="34"/>
  <c r="BW46" i="33"/>
  <c r="DU90" i="33"/>
  <c r="AD82" i="34"/>
  <c r="FB171" i="34"/>
  <c r="BO153" i="34"/>
  <c r="IQ48" i="34"/>
  <c r="CL84" i="34"/>
  <c r="FN48" i="33"/>
  <c r="DD116" i="34"/>
  <c r="FX141" i="34"/>
  <c r="EJ74" i="34"/>
  <c r="AZ36" i="33"/>
  <c r="J116" i="34"/>
  <c r="Z51" i="33"/>
  <c r="FF6" i="34"/>
  <c r="Z54" i="33"/>
  <c r="KM138" i="34"/>
  <c r="KA131" i="34"/>
  <c r="BP166" i="34"/>
  <c r="U176" i="34"/>
  <c r="NL85" i="34"/>
  <c r="JD119" i="34"/>
  <c r="DH162" i="34"/>
  <c r="BT31" i="33"/>
  <c r="KB42" i="34"/>
  <c r="EE167" i="34"/>
  <c r="KR116" i="34"/>
  <c r="AQ41" i="34"/>
  <c r="EX119" i="34"/>
  <c r="CJ138" i="34"/>
  <c r="BO84" i="34"/>
  <c r="X156" i="34"/>
  <c r="EW42" i="34"/>
  <c r="KR102" i="34"/>
  <c r="FN61" i="33"/>
  <c r="K53" i="33"/>
  <c r="BK58" i="33"/>
  <c r="MO157" i="34"/>
  <c r="MI76" i="34"/>
  <c r="ID152" i="34"/>
  <c r="FP56" i="34"/>
  <c r="GK152" i="34"/>
  <c r="S64" i="33"/>
  <c r="BA64" i="33"/>
  <c r="IW173" i="34"/>
  <c r="CK86" i="34"/>
  <c r="KO147" i="34"/>
  <c r="AS138" i="34"/>
  <c r="EB98" i="34"/>
  <c r="CC64" i="33"/>
  <c r="DF60" i="34"/>
  <c r="AW136" i="34"/>
  <c r="GL156" i="34"/>
  <c r="FJ72" i="33"/>
  <c r="AI47" i="33"/>
  <c r="GL121" i="34"/>
  <c r="BV31" i="33"/>
  <c r="EP60" i="33"/>
  <c r="CN187" i="34"/>
  <c r="DE171" i="34"/>
  <c r="BU52" i="33"/>
  <c r="AU81" i="34"/>
  <c r="FV116" i="34"/>
  <c r="FQ90" i="33"/>
  <c r="H39" i="17"/>
  <c r="MD99" i="34"/>
  <c r="BO99" i="34"/>
  <c r="JD116" i="34"/>
  <c r="EX107" i="34"/>
  <c r="FK50" i="33"/>
  <c r="LH96" i="34"/>
  <c r="EL56" i="33"/>
  <c r="DY61" i="33"/>
  <c r="DG77" i="34"/>
  <c r="LH123" i="34"/>
  <c r="HC51" i="34"/>
  <c r="EC162" i="34"/>
  <c r="EP78" i="33"/>
  <c r="IS62" i="34"/>
  <c r="FR73" i="33"/>
  <c r="DL49" i="33"/>
  <c r="FF4" i="34"/>
  <c r="L109" i="28"/>
  <c r="DH72" i="34"/>
  <c r="IC71" i="34"/>
  <c r="NI112" i="34"/>
  <c r="BL80" i="33"/>
  <c r="DB149" i="34"/>
  <c r="ME47" i="34"/>
  <c r="CE87" i="34"/>
  <c r="MG99" i="34"/>
  <c r="EY66" i="33"/>
  <c r="LY87" i="34"/>
  <c r="FP94" i="34"/>
  <c r="AM188" i="34"/>
  <c r="Z53" i="34"/>
  <c r="EB174" i="34"/>
  <c r="IT75" i="34"/>
  <c r="DH53" i="33"/>
  <c r="HT131" i="34"/>
  <c r="V33" i="33"/>
  <c r="AS80" i="34"/>
  <c r="FP44" i="34"/>
  <c r="CW30" i="33"/>
  <c r="FU144" i="34"/>
  <c r="AN95" i="34"/>
  <c r="GH29" i="33"/>
  <c r="EF46" i="33"/>
  <c r="KC187" i="34"/>
  <c r="EQ67" i="33"/>
  <c r="PE155" i="34"/>
  <c r="MG66" i="34"/>
  <c r="AT49" i="34"/>
  <c r="EG145" i="34"/>
  <c r="CE48" i="33"/>
  <c r="FV144" i="34"/>
  <c r="CJ38" i="33"/>
  <c r="LK106" i="34"/>
  <c r="ES64" i="33"/>
  <c r="IT104" i="34"/>
  <c r="EJ94" i="34"/>
  <c r="CU48" i="33"/>
  <c r="LY56" i="34"/>
  <c r="CO140" i="34"/>
  <c r="KB50" i="34"/>
  <c r="JC101" i="34"/>
  <c r="AV62" i="33"/>
  <c r="JG105" i="34"/>
  <c r="T34" i="33"/>
  <c r="JX74" i="34"/>
  <c r="PH131" i="34"/>
  <c r="AU50" i="33"/>
  <c r="GQ157" i="34"/>
  <c r="LF115" i="34"/>
  <c r="AU48" i="34"/>
  <c r="HF142" i="34"/>
  <c r="ED99" i="34"/>
  <c r="IS153" i="34"/>
  <c r="V41" i="34"/>
  <c r="O30" i="33"/>
  <c r="FQ152" i="34"/>
  <c r="ME55" i="34"/>
  <c r="DC112" i="34"/>
  <c r="EG175" i="34"/>
  <c r="LG116" i="34"/>
  <c r="EP84" i="33"/>
  <c r="LI133" i="34"/>
  <c r="DC25" i="33"/>
  <c r="DP30" i="33"/>
  <c r="GM77" i="33"/>
  <c r="FR53" i="33"/>
  <c r="LF125" i="34"/>
  <c r="DO79" i="33"/>
  <c r="CE111" i="34"/>
  <c r="S136" i="23"/>
  <c r="JY165" i="34"/>
  <c r="DV148" i="34"/>
  <c r="AD132" i="34"/>
  <c r="FZ83" i="33"/>
  <c r="CK90" i="34"/>
  <c r="DA65" i="33"/>
  <c r="DD59" i="33"/>
  <c r="Z129" i="34"/>
  <c r="AC38" i="33"/>
  <c r="LA63" i="34"/>
  <c r="AQ163" i="34"/>
  <c r="R84" i="33"/>
  <c r="DY33" i="33"/>
  <c r="FD31" i="33"/>
  <c r="BM35" i="33"/>
  <c r="CE83" i="34"/>
  <c r="PC158" i="34"/>
  <c r="BB102" i="34"/>
  <c r="BR98" i="34"/>
  <c r="BC45" i="33"/>
  <c r="HC128" i="34"/>
  <c r="NP104" i="34"/>
  <c r="AW52" i="34"/>
  <c r="FX108" i="34"/>
  <c r="FB158" i="34"/>
  <c r="FN156" i="34"/>
  <c r="JD105" i="34"/>
  <c r="AJ90" i="33"/>
  <c r="FH54" i="33"/>
  <c r="AN57" i="33"/>
  <c r="IC46" i="34"/>
  <c r="KB99" i="34"/>
  <c r="P44" i="33"/>
  <c r="S137" i="23"/>
  <c r="EG41" i="33"/>
  <c r="GD7" i="34"/>
  <c r="KC95" i="34"/>
  <c r="EP92" i="33"/>
  <c r="EI143" i="34"/>
  <c r="T158" i="34"/>
  <c r="AM117" i="34"/>
  <c r="DI130" i="34"/>
  <c r="FS181" i="34"/>
  <c r="MF188" i="34"/>
  <c r="AR120" i="34"/>
  <c r="R82" i="33"/>
  <c r="NM125" i="34"/>
  <c r="EF64" i="34"/>
  <c r="AC116" i="34"/>
  <c r="FV148" i="34"/>
  <c r="JW99" i="34"/>
  <c r="FP41" i="34"/>
  <c r="CO61" i="34"/>
  <c r="FN120" i="34"/>
  <c r="ML75" i="34"/>
  <c r="DZ87" i="34"/>
  <c r="JW178" i="34"/>
  <c r="AI63" i="33"/>
  <c r="IV81" i="34"/>
  <c r="CY33" i="33"/>
  <c r="NB146" i="34"/>
  <c r="DH65" i="33"/>
  <c r="KA68" i="34"/>
  <c r="CN120" i="34"/>
  <c r="NI168" i="34"/>
  <c r="GK66" i="33"/>
  <c r="IA74" i="34"/>
  <c r="CL77" i="33"/>
  <c r="DC152" i="34"/>
  <c r="JB66" i="34"/>
  <c r="JH158" i="34"/>
  <c r="IB87" i="34"/>
  <c r="AC74" i="33"/>
  <c r="CM94" i="34"/>
  <c r="FM64" i="33"/>
  <c r="DY52" i="33"/>
  <c r="DP83" i="33"/>
  <c r="J46" i="33"/>
  <c r="KP188" i="34"/>
  <c r="AV70" i="34"/>
  <c r="DG93" i="34"/>
  <c r="AQ162" i="34"/>
  <c r="HZ162" i="34"/>
  <c r="BB29" i="33"/>
  <c r="AW43" i="33"/>
  <c r="AN138" i="34"/>
  <c r="K68" i="33"/>
  <c r="KA105" i="34"/>
  <c r="FH43" i="33"/>
  <c r="JU51" i="34"/>
  <c r="DC86" i="34"/>
  <c r="ID90" i="34"/>
  <c r="HC186" i="34"/>
  <c r="JA137" i="34"/>
  <c r="KR80" i="34"/>
  <c r="BI28" i="33"/>
  <c r="KL54" i="34"/>
  <c r="CD167" i="34"/>
  <c r="BQ34" i="33"/>
  <c r="LH95" i="34"/>
  <c r="DF148" i="34"/>
  <c r="FX88" i="34"/>
  <c r="BK63" i="33"/>
  <c r="KB146" i="34"/>
  <c r="CU45" i="33"/>
  <c r="F57" i="28"/>
  <c r="CD52" i="34"/>
  <c r="EW64" i="33"/>
  <c r="IA115" i="34"/>
  <c r="EE117" i="34"/>
  <c r="AJ41" i="33"/>
  <c r="HC79" i="34"/>
  <c r="AO88" i="34"/>
  <c r="CF79" i="33"/>
  <c r="AV167" i="34"/>
  <c r="NN95" i="34"/>
  <c r="S47" i="23"/>
  <c r="FO46" i="34"/>
  <c r="FH78" i="33"/>
  <c r="DI171" i="34"/>
  <c r="EF84" i="34"/>
  <c r="Y74" i="33"/>
  <c r="AP130" i="34"/>
  <c r="EZ57" i="34"/>
  <c r="AF71" i="33"/>
  <c r="FN107" i="34"/>
  <c r="AZ70" i="34"/>
  <c r="BP164" i="34"/>
  <c r="CA46" i="33"/>
  <c r="FS81" i="34"/>
  <c r="FA130" i="34"/>
  <c r="HU60" i="34"/>
  <c r="NL159" i="34"/>
  <c r="FO100" i="34"/>
  <c r="ED186" i="34"/>
  <c r="GH66" i="33"/>
  <c r="CE104" i="34"/>
  <c r="GK79" i="33"/>
  <c r="IT94" i="34"/>
  <c r="V132" i="34"/>
  <c r="IV41" i="34"/>
  <c r="LE152" i="34"/>
  <c r="FO150" i="34"/>
  <c r="KQ43" i="34"/>
  <c r="AU168" i="34"/>
  <c r="GQ147" i="34"/>
  <c r="W81" i="34"/>
  <c r="FW101" i="34"/>
  <c r="MH168" i="34"/>
  <c r="IE64" i="34"/>
  <c r="DA148" i="34"/>
  <c r="MM78" i="34"/>
  <c r="MB100" i="34"/>
  <c r="LO4" i="34"/>
  <c r="EW53" i="34"/>
  <c r="EK136" i="34"/>
  <c r="EW26" i="33"/>
  <c r="JD109" i="34"/>
  <c r="EB140" i="34"/>
  <c r="FF36" i="33"/>
  <c r="AK78" i="33"/>
  <c r="FT59" i="34"/>
  <c r="MN51" i="34"/>
  <c r="W65" i="33"/>
  <c r="PJ132" i="34"/>
  <c r="OO165" i="34"/>
  <c r="T147" i="34"/>
  <c r="CX59" i="33"/>
  <c r="OJ76" i="34"/>
  <c r="FP113" i="34"/>
  <c r="EA181" i="34"/>
  <c r="EY84" i="33"/>
  <c r="AC90" i="34"/>
  <c r="DH65" i="34"/>
  <c r="AZ66" i="34"/>
  <c r="IC42" i="34"/>
  <c r="NM74" i="34"/>
  <c r="DC59" i="33"/>
  <c r="Z144" i="34"/>
  <c r="DD115" i="34"/>
  <c r="AB147" i="34"/>
  <c r="PJ117" i="34"/>
  <c r="IW144" i="34"/>
  <c r="FW172" i="34"/>
  <c r="BU90" i="33"/>
  <c r="EF78" i="34"/>
  <c r="CK170" i="34"/>
  <c r="BR148" i="34"/>
  <c r="K150" i="28"/>
  <c r="JV132" i="34"/>
  <c r="EE46" i="33"/>
  <c r="GO65" i="34"/>
  <c r="HU145" i="34"/>
  <c r="DZ50" i="33"/>
  <c r="FZ37" i="33"/>
  <c r="IR103" i="34"/>
  <c r="AS66" i="34"/>
  <c r="AS99" i="34"/>
  <c r="FT123" i="34"/>
  <c r="FX161" i="34"/>
  <c r="JH87" i="34"/>
  <c r="T48" i="34"/>
  <c r="EZ94" i="34"/>
  <c r="BJ82" i="33"/>
  <c r="JF158" i="34"/>
  <c r="HH176" i="34"/>
  <c r="IZ155" i="34"/>
  <c r="GO164" i="34"/>
  <c r="FR27" i="33"/>
  <c r="PI136" i="34"/>
  <c r="AM72" i="34"/>
  <c r="BQ93" i="34"/>
  <c r="BB48" i="33"/>
  <c r="BC92" i="33"/>
  <c r="CK117" i="34"/>
  <c r="CH70" i="34"/>
  <c r="DV68" i="34"/>
  <c r="GF62" i="33"/>
  <c r="I57" i="33"/>
  <c r="HU143" i="34"/>
  <c r="DI167" i="34"/>
  <c r="EF159" i="34"/>
  <c r="BZ86" i="33"/>
  <c r="AD98" i="34"/>
  <c r="BJ55" i="33"/>
  <c r="EW98" i="34"/>
  <c r="GL25" i="33"/>
  <c r="CG73" i="34"/>
  <c r="AZ34" i="33"/>
  <c r="EE123" i="34"/>
  <c r="ED111" i="34"/>
  <c r="IZ55" i="34"/>
  <c r="FX58" i="33"/>
  <c r="AR36" i="33"/>
  <c r="AX104" i="34"/>
  <c r="IT99" i="34"/>
  <c r="CH155" i="34"/>
  <c r="AK86" i="33"/>
  <c r="DI58" i="34"/>
  <c r="LH60" i="34"/>
  <c r="HV44" i="34"/>
  <c r="IQ136" i="34"/>
  <c r="OO175" i="34"/>
  <c r="DZ82" i="34"/>
  <c r="BY33" i="33"/>
  <c r="BE54" i="33"/>
  <c r="HC148" i="34"/>
  <c r="CJ186" i="34"/>
  <c r="DB87" i="34"/>
  <c r="DP4" i="34"/>
  <c r="KN81" i="34"/>
  <c r="AR55" i="33"/>
  <c r="FD63" i="33"/>
  <c r="BK85" i="33"/>
  <c r="CX45" i="33"/>
  <c r="EX120" i="34"/>
  <c r="DG118" i="34"/>
  <c r="BP131" i="34"/>
  <c r="HU84" i="34"/>
  <c r="BB59" i="33"/>
  <c r="DT45" i="33"/>
  <c r="AY60" i="34"/>
  <c r="ME97" i="34"/>
  <c r="V61" i="33"/>
  <c r="LB49" i="34"/>
  <c r="MF100" i="34"/>
  <c r="EW89" i="34"/>
  <c r="ME186" i="34"/>
  <c r="GQ178" i="34"/>
  <c r="U49" i="33"/>
  <c r="HH42" i="34"/>
  <c r="EA169" i="34"/>
  <c r="HC151" i="34"/>
  <c r="NP70" i="34"/>
  <c r="EG108" i="34"/>
  <c r="EE138" i="34"/>
  <c r="U158" i="34"/>
  <c r="W169" i="34"/>
  <c r="PB86" i="34"/>
  <c r="IR124" i="34"/>
  <c r="AU98" i="34"/>
  <c r="AW69" i="34"/>
  <c r="GO29" i="33"/>
  <c r="MO66" i="34"/>
  <c r="N10" i="34"/>
  <c r="MM133" i="34"/>
  <c r="AD111" i="34"/>
  <c r="EA44" i="34"/>
  <c r="E18" i="3"/>
  <c r="NH61" i="34"/>
  <c r="EA63" i="34"/>
  <c r="AV181" i="34"/>
  <c r="ID167" i="34"/>
  <c r="EW74" i="33"/>
  <c r="DH103" i="34"/>
  <c r="FA125" i="34"/>
  <c r="EC141" i="34"/>
  <c r="NH73" i="34"/>
  <c r="DX120" i="34"/>
  <c r="BZ32" i="33"/>
  <c r="Y75" i="33"/>
  <c r="GJ123" i="34"/>
  <c r="DL48" i="33"/>
  <c r="DH95" i="34"/>
  <c r="CX90" i="33"/>
  <c r="X168" i="34"/>
  <c r="EX127" i="34"/>
  <c r="KR66" i="34"/>
  <c r="CI68" i="34"/>
  <c r="MC102" i="34"/>
  <c r="AB175" i="34"/>
  <c r="HZ170" i="34"/>
  <c r="DJ30" i="33"/>
  <c r="FF83" i="33"/>
  <c r="DE47" i="33"/>
  <c r="DX166" i="34"/>
  <c r="BQ107" i="34"/>
  <c r="AB105" i="34"/>
  <c r="MC152" i="34"/>
  <c r="AX186" i="34"/>
  <c r="EY109" i="34"/>
  <c r="ES75" i="33"/>
  <c r="DY66" i="34"/>
  <c r="IB85" i="34"/>
  <c r="EY183" i="34"/>
  <c r="DJ135" i="34"/>
  <c r="K74" i="34"/>
  <c r="AX34" i="33"/>
  <c r="CH81" i="33"/>
  <c r="DH43" i="34"/>
  <c r="CQ69" i="33"/>
  <c r="CD27" i="33"/>
  <c r="FB135" i="34"/>
  <c r="FO56" i="33"/>
  <c r="AM54" i="33"/>
  <c r="FX57" i="34"/>
  <c r="FU55" i="34"/>
  <c r="FN162" i="34"/>
  <c r="CO86" i="33"/>
  <c r="PC43" i="34"/>
  <c r="AS55" i="34"/>
  <c r="G58" i="33"/>
  <c r="EJ163" i="34"/>
  <c r="AY109" i="34"/>
  <c r="AR30" i="33"/>
  <c r="CJ71" i="33"/>
  <c r="JU76" i="34"/>
  <c r="EZ72" i="34"/>
  <c r="FQ57" i="33"/>
  <c r="NJ82" i="34"/>
  <c r="BV56" i="33"/>
  <c r="JG71" i="34"/>
  <c r="JU69" i="34"/>
  <c r="AM90" i="33"/>
  <c r="JC187" i="34"/>
  <c r="DD99" i="34"/>
  <c r="GE56" i="33"/>
  <c r="PB60" i="34"/>
  <c r="CJ75" i="33"/>
  <c r="O58" i="33"/>
  <c r="BO86" i="34"/>
  <c r="FS140" i="34"/>
  <c r="FU153" i="34"/>
  <c r="CJ68" i="34"/>
  <c r="JD51" i="34"/>
  <c r="IV107" i="34"/>
  <c r="Y73" i="33"/>
  <c r="LJ135" i="34"/>
  <c r="CD65" i="33"/>
  <c r="HC48" i="34"/>
  <c r="FM41" i="33"/>
  <c r="CX72" i="33"/>
  <c r="P36" i="33"/>
  <c r="AC105" i="34"/>
  <c r="JA178" i="34"/>
  <c r="FU148" i="34"/>
  <c r="NG106" i="34"/>
  <c r="DJ26" i="33"/>
  <c r="HD76" i="34"/>
  <c r="FX99" i="34"/>
  <c r="GE52" i="33"/>
  <c r="EY43" i="34"/>
  <c r="PZ126" i="34"/>
  <c r="BJ74" i="28"/>
  <c r="K80" i="33"/>
  <c r="JU188" i="34"/>
  <c r="FK66" i="33"/>
  <c r="DW120" i="34"/>
  <c r="ER82" i="33"/>
  <c r="S125" i="23"/>
  <c r="GP155" i="34"/>
  <c r="PI94" i="34"/>
  <c r="KR121" i="34"/>
  <c r="AG13" i="34"/>
  <c r="GB78" i="33"/>
  <c r="DI188" i="34"/>
  <c r="EI81" i="34"/>
  <c r="IE92" i="34"/>
  <c r="AR75" i="34"/>
  <c r="Z42" i="33"/>
  <c r="GL55" i="33"/>
  <c r="BG40" i="33"/>
  <c r="CN55" i="33"/>
  <c r="AN170" i="34"/>
  <c r="AX142" i="34"/>
  <c r="HH46" i="34"/>
  <c r="BH36" i="33"/>
  <c r="O81" i="33"/>
  <c r="FX147" i="34"/>
  <c r="HD110" i="34"/>
  <c r="AQ109" i="34"/>
  <c r="DE170" i="34"/>
  <c r="AB45" i="34"/>
  <c r="FN77" i="33"/>
  <c r="HW145" i="34"/>
  <c r="CH156" i="34"/>
  <c r="CN125" i="34"/>
  <c r="HX53" i="34"/>
  <c r="FW81" i="34"/>
  <c r="CI59" i="33"/>
  <c r="BB160" i="34"/>
  <c r="FV64" i="33"/>
  <c r="AM69" i="33"/>
  <c r="HH131" i="34"/>
  <c r="BJ150" i="28"/>
  <c r="JU161" i="34"/>
  <c r="GL136" i="34"/>
  <c r="IU170" i="34"/>
  <c r="AN82" i="33"/>
  <c r="FO50" i="33"/>
  <c r="GE39" i="33"/>
  <c r="CA76" i="33"/>
  <c r="AX118" i="34"/>
  <c r="HD50" i="34"/>
  <c r="CL82" i="33"/>
  <c r="CN108" i="34"/>
  <c r="DI47" i="34"/>
  <c r="HF106" i="34"/>
  <c r="DH39" i="33"/>
  <c r="IQ59" i="34"/>
  <c r="BC67" i="33"/>
  <c r="JZ84" i="34"/>
  <c r="GL188" i="34"/>
  <c r="AO102" i="34"/>
  <c r="IZ175" i="34"/>
  <c r="EL50" i="33"/>
  <c r="FL90" i="33"/>
  <c r="JG101" i="34"/>
  <c r="V122" i="34"/>
  <c r="FT43" i="34"/>
  <c r="X120" i="34"/>
  <c r="MK43" i="34"/>
  <c r="L61" i="33"/>
  <c r="AA121" i="34"/>
  <c r="KO43" i="34"/>
  <c r="KC45" i="34"/>
  <c r="G46" i="33"/>
  <c r="ES51" i="33"/>
  <c r="AA44" i="34"/>
  <c r="IZ150" i="34"/>
  <c r="AT110" i="34"/>
  <c r="AZ158" i="34"/>
  <c r="AW43" i="34"/>
  <c r="X99" i="34"/>
  <c r="LG133" i="34"/>
  <c r="JD99" i="34"/>
  <c r="V152" i="34"/>
  <c r="KC96" i="34"/>
  <c r="LY61" i="34"/>
  <c r="IA93" i="34"/>
  <c r="DF101" i="34"/>
  <c r="AY124" i="34"/>
  <c r="FT141" i="34"/>
  <c r="HE131" i="34"/>
  <c r="KO137" i="34"/>
  <c r="ED84" i="33"/>
  <c r="IT46" i="34"/>
  <c r="CQ92" i="33"/>
  <c r="EW94" i="34"/>
  <c r="O79" i="33"/>
  <c r="AK49" i="33"/>
  <c r="AQ37" i="33"/>
  <c r="HF143" i="34"/>
  <c r="CE68" i="33"/>
  <c r="FV53" i="33"/>
  <c r="MD104" i="34"/>
  <c r="AR43" i="34"/>
  <c r="KA90" i="34"/>
  <c r="PY53" i="34"/>
  <c r="FH51" i="33"/>
  <c r="X138" i="34"/>
  <c r="FP122" i="34"/>
  <c r="AN46" i="34"/>
  <c r="NP139" i="34"/>
  <c r="IA129" i="34"/>
  <c r="BP130" i="34"/>
  <c r="JD113" i="34"/>
  <c r="GP126" i="34"/>
  <c r="IB134" i="34"/>
  <c r="DM77" i="33"/>
  <c r="CI92" i="34"/>
  <c r="AX159" i="34"/>
  <c r="CF172" i="34"/>
  <c r="NH51" i="34"/>
  <c r="BP171" i="34"/>
  <c r="ME116" i="34"/>
  <c r="GL186" i="34"/>
  <c r="NJ103" i="34"/>
  <c r="CI123" i="34"/>
  <c r="BO159" i="34"/>
  <c r="DV186" i="34"/>
  <c r="CG63" i="34"/>
  <c r="GM59" i="34"/>
  <c r="EJ111" i="34"/>
  <c r="AF80" i="33"/>
  <c r="MH113" i="34"/>
  <c r="AJ48" i="33"/>
  <c r="IQ82" i="34"/>
  <c r="IQ158" i="34"/>
  <c r="OJ143" i="34"/>
  <c r="AN30" i="33"/>
  <c r="FX152" i="34"/>
  <c r="U62" i="34"/>
  <c r="FA160" i="34"/>
  <c r="LD172" i="34"/>
  <c r="AN27" i="33"/>
  <c r="BO73" i="34"/>
  <c r="DW67" i="34"/>
  <c r="BV71" i="33"/>
  <c r="EH147" i="34"/>
  <c r="AY66" i="34"/>
  <c r="BA65" i="34"/>
  <c r="NG166" i="34"/>
  <c r="BK36" i="33"/>
  <c r="V87" i="34"/>
  <c r="PJ115" i="34"/>
  <c r="FY71" i="33"/>
  <c r="IE87" i="34"/>
  <c r="CN62" i="34"/>
  <c r="DY58" i="33"/>
  <c r="FV187" i="34"/>
  <c r="FN134" i="34"/>
  <c r="H84" i="33"/>
  <c r="DT39" i="33"/>
  <c r="CR29" i="33"/>
  <c r="BC77" i="33"/>
  <c r="CK153" i="34"/>
  <c r="GL37" i="33"/>
  <c r="ML121" i="34"/>
  <c r="FP73" i="34"/>
  <c r="AB163" i="34"/>
  <c r="JE68" i="34"/>
  <c r="HH61" i="34"/>
  <c r="LZ108" i="34"/>
  <c r="NL43" i="34"/>
  <c r="DZ160" i="34"/>
  <c r="MN43" i="34"/>
  <c r="CJ31" i="33"/>
  <c r="CK88" i="34"/>
  <c r="CM97" i="34"/>
  <c r="DG166" i="34"/>
  <c r="AA146" i="34"/>
  <c r="DX83" i="33"/>
  <c r="EF142" i="34"/>
  <c r="BO116" i="34"/>
  <c r="CE94" i="34"/>
  <c r="FK90" i="33"/>
  <c r="PX49" i="34"/>
  <c r="AM51" i="34"/>
  <c r="DD79" i="33"/>
  <c r="AK64" i="33"/>
  <c r="DC116" i="34"/>
  <c r="DJ111" i="34"/>
  <c r="IC107" i="34"/>
  <c r="HF45" i="34"/>
  <c r="AM59" i="33"/>
  <c r="DX150" i="34"/>
  <c r="DX178" i="34"/>
  <c r="EY29" i="33"/>
  <c r="AZ153" i="34"/>
  <c r="HD135" i="34"/>
  <c r="KC88" i="34"/>
  <c r="GI34" i="33"/>
  <c r="CL54" i="34"/>
  <c r="AT166" i="34"/>
  <c r="AD164" i="34"/>
  <c r="NN122" i="34"/>
  <c r="ND68" i="34"/>
  <c r="EJ104" i="34"/>
  <c r="CJ153" i="34"/>
  <c r="BO160" i="34"/>
  <c r="AA137" i="34"/>
  <c r="NG135" i="34"/>
  <c r="ML188" i="34"/>
  <c r="CE101" i="34"/>
  <c r="CX81" i="33"/>
  <c r="DG139" i="34"/>
  <c r="EA26" i="33"/>
  <c r="CF57" i="33"/>
  <c r="EE62" i="33"/>
  <c r="EY53" i="33"/>
  <c r="GM51" i="33"/>
  <c r="BP70" i="34"/>
  <c r="GL83" i="33"/>
  <c r="EP82" i="33"/>
  <c r="FX44" i="33"/>
  <c r="CO57" i="34"/>
  <c r="AS60" i="33"/>
  <c r="AZ90" i="33"/>
  <c r="AW73" i="33"/>
  <c r="GH92" i="33"/>
  <c r="HD95" i="34"/>
  <c r="DM29" i="33"/>
  <c r="Z158" i="34"/>
  <c r="V36" i="33"/>
  <c r="Z54" i="34"/>
  <c r="JE171" i="34"/>
  <c r="LK45" i="34"/>
  <c r="FU74" i="34"/>
  <c r="EA91" i="34"/>
  <c r="GI38" i="33"/>
  <c r="X93" i="34"/>
  <c r="CR65" i="33"/>
  <c r="DO33" i="33"/>
  <c r="BO101" i="34"/>
  <c r="AQ123" i="34"/>
  <c r="FP42" i="33"/>
  <c r="X144" i="34"/>
  <c r="EY181" i="34"/>
  <c r="IQ112" i="34"/>
  <c r="GP170" i="34"/>
  <c r="HW165" i="34"/>
  <c r="JE124" i="34"/>
  <c r="FC35" i="33"/>
  <c r="KR150" i="34"/>
  <c r="CU42" i="33"/>
  <c r="ND134" i="34"/>
  <c r="DV51" i="34"/>
  <c r="AI29" i="33"/>
  <c r="AQ79" i="34"/>
  <c r="IA92" i="34"/>
  <c r="BS62" i="33"/>
  <c r="AW98" i="34"/>
  <c r="GG48" i="33"/>
  <c r="GN178" i="34"/>
  <c r="FA51" i="34"/>
  <c r="IR49" i="34"/>
  <c r="K123" i="34"/>
  <c r="IY133" i="34"/>
  <c r="CM181" i="34"/>
  <c r="GD76" i="33"/>
  <c r="GK136" i="34"/>
  <c r="CK70" i="34"/>
  <c r="NA154" i="34"/>
  <c r="DE54" i="34"/>
  <c r="BP155" i="34"/>
  <c r="NK136" i="34"/>
  <c r="FB62" i="34"/>
  <c r="FA183" i="34"/>
  <c r="AZ62" i="34"/>
  <c r="GK75" i="33"/>
  <c r="T164" i="34"/>
  <c r="BW65" i="33"/>
  <c r="MD158" i="34"/>
  <c r="CX68" i="33"/>
  <c r="CN91" i="34"/>
  <c r="FN148" i="34"/>
  <c r="IY41" i="34"/>
  <c r="JB122" i="34"/>
  <c r="EJ57" i="33"/>
  <c r="DX107" i="34"/>
  <c r="FB49" i="34"/>
  <c r="CI61" i="34"/>
  <c r="CU50" i="33"/>
  <c r="FO104" i="34"/>
  <c r="PB115" i="34"/>
  <c r="DC49" i="34"/>
  <c r="FP62" i="33"/>
  <c r="PB70" i="34"/>
  <c r="EI105" i="34"/>
  <c r="EA52" i="33"/>
  <c r="NC102" i="34"/>
  <c r="BV47" i="33"/>
  <c r="DE93" i="34"/>
  <c r="CI79" i="34"/>
  <c r="IE136" i="34"/>
  <c r="DG161" i="34"/>
  <c r="DU74" i="33"/>
  <c r="FR67" i="33"/>
  <c r="W129" i="34"/>
  <c r="CQ54" i="33"/>
  <c r="AZ159" i="34"/>
  <c r="BR56" i="33"/>
  <c r="Y129" i="34"/>
  <c r="JB131" i="34"/>
  <c r="CO85" i="33"/>
  <c r="DS49" i="33"/>
  <c r="CX83" i="33"/>
  <c r="HT118" i="34"/>
  <c r="FZ61" i="33"/>
  <c r="IU110" i="34"/>
  <c r="Z59" i="34"/>
  <c r="S57" i="33"/>
  <c r="GL71" i="34"/>
  <c r="NK106" i="34"/>
  <c r="FO133" i="34"/>
  <c r="JB133" i="34"/>
  <c r="JF57" i="34"/>
  <c r="EJ63" i="33"/>
  <c r="NG83" i="34"/>
  <c r="AV108" i="34"/>
  <c r="AL20" i="33"/>
  <c r="V48" i="33"/>
  <c r="DX102" i="34"/>
  <c r="JN7" i="34"/>
  <c r="AR88" i="34"/>
  <c r="HV117" i="34"/>
  <c r="AW152" i="34"/>
  <c r="LZ126" i="34"/>
  <c r="GP84" i="34"/>
  <c r="FL28" i="33"/>
  <c r="MB109" i="34"/>
  <c r="AT96" i="34"/>
  <c r="BQ56" i="33"/>
  <c r="GL52" i="33"/>
  <c r="EB67" i="34"/>
  <c r="AC89" i="34"/>
  <c r="ES42" i="33"/>
  <c r="GF48" i="33"/>
  <c r="AH80" i="33"/>
  <c r="DS43" i="33"/>
  <c r="KN63" i="34"/>
  <c r="PZ55" i="34"/>
  <c r="FO71" i="33"/>
  <c r="GO80" i="34"/>
  <c r="U67" i="33"/>
  <c r="IT107" i="34"/>
  <c r="OL156" i="34"/>
  <c r="AS83" i="33"/>
  <c r="LE112" i="34"/>
  <c r="KN72" i="34"/>
  <c r="EH83" i="34"/>
  <c r="PJ161" i="34"/>
  <c r="JA117" i="34"/>
  <c r="FV82" i="33"/>
  <c r="DX56" i="34"/>
  <c r="AR186" i="34"/>
  <c r="LX94" i="34"/>
  <c r="JU105" i="34"/>
  <c r="MD108" i="34"/>
  <c r="FQ56" i="34"/>
  <c r="FX85" i="34"/>
  <c r="ED60" i="33"/>
  <c r="DF60" i="33"/>
  <c r="LF84" i="34"/>
  <c r="EC125" i="34"/>
  <c r="CE172" i="34"/>
  <c r="ML92" i="34"/>
  <c r="LK84" i="34"/>
  <c r="IT157" i="34"/>
  <c r="DP48" i="33"/>
  <c r="CH152" i="34"/>
  <c r="IB170" i="34"/>
  <c r="DD41" i="33"/>
  <c r="HD124" i="34"/>
  <c r="CJ74" i="33"/>
  <c r="L36" i="33"/>
  <c r="IB93" i="34"/>
  <c r="AH29" i="33"/>
  <c r="Y141" i="34"/>
  <c r="DB157" i="34"/>
  <c r="DV170" i="34"/>
  <c r="BQ97" i="34"/>
  <c r="KC77" i="34"/>
  <c r="K78" i="34"/>
  <c r="AI33" i="33"/>
  <c r="NO60" i="34"/>
  <c r="AR54" i="34"/>
  <c r="DD121" i="34"/>
  <c r="HY148" i="34"/>
  <c r="PK128" i="34"/>
  <c r="LA147" i="34"/>
  <c r="DG26" i="33"/>
  <c r="IE172" i="34"/>
  <c r="DD64" i="33"/>
  <c r="EZ131" i="34"/>
  <c r="HZ157" i="34"/>
  <c r="JW116" i="34"/>
  <c r="J94" i="34"/>
  <c r="CI92" i="33"/>
  <c r="AA58" i="33"/>
  <c r="DF153" i="34"/>
  <c r="AZ81" i="34"/>
  <c r="CO122" i="34"/>
  <c r="GB30" i="33"/>
  <c r="DF106" i="34"/>
  <c r="KR85" i="34"/>
  <c r="DJ148" i="34"/>
  <c r="BJ169" i="28"/>
  <c r="ME73" i="34"/>
  <c r="DD48" i="34"/>
  <c r="CI31" i="33"/>
  <c r="W38" i="33"/>
  <c r="FQ165" i="34"/>
  <c r="EY113" i="34"/>
  <c r="DF64" i="34"/>
  <c r="DD59" i="34"/>
  <c r="HX84" i="34"/>
  <c r="DG72" i="34"/>
  <c r="AC83" i="34"/>
  <c r="P28" i="33"/>
  <c r="GH48" i="33"/>
  <c r="IC64" i="34"/>
  <c r="HZ154" i="34"/>
  <c r="HE49" i="34"/>
  <c r="FN62" i="33"/>
  <c r="FE85" i="33"/>
  <c r="CF108" i="34"/>
  <c r="EV85" i="33"/>
  <c r="EW82" i="33"/>
  <c r="KM174" i="34"/>
  <c r="JW167" i="34"/>
  <c r="CG155" i="34"/>
  <c r="EX156" i="34"/>
  <c r="DT60" i="33"/>
  <c r="GG32" i="33"/>
  <c r="FV156" i="34"/>
  <c r="BB30" i="33"/>
  <c r="IQ113" i="34"/>
  <c r="EG66" i="34"/>
  <c r="MA79" i="34"/>
  <c r="FP70" i="33"/>
  <c r="J134" i="34"/>
  <c r="EV42" i="33"/>
  <c r="FU29" i="33"/>
  <c r="CO130" i="34"/>
  <c r="DT51" i="33"/>
  <c r="DG86" i="34"/>
  <c r="NF55" i="34"/>
  <c r="NJ74" i="34"/>
  <c r="HC88" i="34"/>
  <c r="EC167" i="34"/>
  <c r="FR46" i="33"/>
  <c r="EY160" i="34"/>
  <c r="PY52" i="34"/>
  <c r="GB43" i="33"/>
  <c r="DI89" i="34"/>
  <c r="NO87" i="34"/>
  <c r="CO106" i="34"/>
  <c r="CM87" i="34"/>
  <c r="EY64" i="33"/>
  <c r="CL126" i="34"/>
  <c r="MN137" i="34"/>
  <c r="LJ119" i="34"/>
  <c r="K49" i="33"/>
  <c r="CD73" i="34"/>
  <c r="DF85" i="34"/>
  <c r="BM34" i="33"/>
  <c r="GJ159" i="34"/>
  <c r="DG54" i="33"/>
  <c r="MC143" i="34"/>
  <c r="GN183" i="34"/>
  <c r="BA59" i="34"/>
  <c r="U67" i="34"/>
  <c r="AF76" i="33"/>
  <c r="EC135" i="34"/>
  <c r="DH67" i="34"/>
  <c r="KO57" i="34"/>
  <c r="DD84" i="34"/>
  <c r="CH27" i="33"/>
  <c r="BR32" i="33"/>
  <c r="BI79" i="33"/>
  <c r="LJ57" i="34"/>
  <c r="MB63" i="34"/>
  <c r="AW85" i="34"/>
  <c r="HY57" i="34"/>
  <c r="FF76" i="33"/>
  <c r="KM119" i="34"/>
  <c r="IT49" i="34"/>
  <c r="B59" i="17"/>
  <c r="BB94" i="34"/>
  <c r="DH188" i="34"/>
  <c r="AZ74" i="34"/>
  <c r="FO57" i="34"/>
  <c r="KQ176" i="34"/>
  <c r="Y149" i="34"/>
  <c r="FV81" i="33"/>
  <c r="FN139" i="34"/>
  <c r="BJ70" i="33"/>
  <c r="OI51" i="34"/>
  <c r="FE74" i="33"/>
  <c r="GJ72" i="34"/>
  <c r="OK91" i="34"/>
  <c r="FO58" i="34"/>
  <c r="FR52" i="33"/>
  <c r="AI64" i="33"/>
  <c r="GG64" i="33"/>
  <c r="LG134" i="34"/>
  <c r="L50" i="33"/>
  <c r="BR142" i="34"/>
  <c r="FV134" i="34"/>
  <c r="DJ130" i="34"/>
  <c r="IV150" i="34"/>
  <c r="IY94" i="34"/>
  <c r="AG41" i="33"/>
  <c r="L83" i="33"/>
  <c r="BI77" i="33"/>
  <c r="DK48" i="33"/>
  <c r="FJ50" i="33"/>
  <c r="FT42" i="34"/>
  <c r="BU70" i="33"/>
  <c r="BO40" i="33"/>
  <c r="BB51" i="34"/>
  <c r="C39" i="17"/>
  <c r="AR9" i="33"/>
  <c r="CH93" i="34"/>
  <c r="FF45" i="33"/>
  <c r="HU115" i="34"/>
  <c r="BR144" i="34"/>
  <c r="G92" i="33"/>
  <c r="LJ106" i="34"/>
  <c r="OJ68" i="34"/>
  <c r="AF81" i="33"/>
  <c r="FW113" i="34"/>
  <c r="HN7" i="34"/>
  <c r="EL45" i="33"/>
  <c r="AT79" i="34"/>
  <c r="GO89" i="34"/>
  <c r="N58" i="33"/>
  <c r="JU103" i="34"/>
  <c r="AW29" i="33"/>
  <c r="LY59" i="34"/>
  <c r="NH140" i="34"/>
  <c r="V146" i="34"/>
  <c r="GN29" i="33"/>
  <c r="BA154" i="34"/>
  <c r="AN158" i="34"/>
  <c r="EA44" i="33"/>
  <c r="BO84" i="33"/>
  <c r="JG162" i="34"/>
  <c r="AT67" i="33"/>
  <c r="CJ54" i="34"/>
  <c r="AR84" i="33"/>
  <c r="EB62" i="34"/>
  <c r="CK43" i="33"/>
  <c r="EV30" i="33"/>
  <c r="PX44" i="34"/>
  <c r="MO151" i="34"/>
  <c r="AN92" i="34"/>
  <c r="EB77" i="34"/>
  <c r="CI38" i="33"/>
  <c r="AP61" i="33"/>
  <c r="EY98" i="34"/>
  <c r="LX61" i="34"/>
  <c r="BV43" i="33"/>
  <c r="AS176" i="34"/>
  <c r="DV178" i="34"/>
  <c r="DW161" i="34"/>
  <c r="HX188" i="34"/>
  <c r="FR48" i="33"/>
  <c r="CA79" i="33"/>
  <c r="EE36" i="33"/>
  <c r="BP78" i="34"/>
  <c r="EF148" i="34"/>
  <c r="IA108" i="34"/>
  <c r="LA154" i="34"/>
  <c r="LK101" i="34"/>
  <c r="V64" i="33"/>
  <c r="GO73" i="33"/>
  <c r="HD131" i="34"/>
  <c r="GJ53" i="33"/>
  <c r="DE165" i="34"/>
  <c r="LB141" i="34"/>
  <c r="AS113" i="34"/>
  <c r="EF57" i="34"/>
  <c r="GE65" i="33"/>
  <c r="AX29" i="33"/>
  <c r="PG69" i="34"/>
  <c r="MJ44" i="34"/>
  <c r="JC148" i="34"/>
  <c r="DJ9" i="33"/>
  <c r="AH55" i="33"/>
  <c r="U39" i="33"/>
  <c r="EQ68" i="33"/>
  <c r="PI156" i="34"/>
  <c r="AZ117" i="34"/>
  <c r="EY67" i="34"/>
  <c r="DB47" i="33"/>
  <c r="DK76" i="33"/>
  <c r="EA59" i="34"/>
  <c r="JX97" i="34"/>
  <c r="JV167" i="34"/>
  <c r="LF138" i="34"/>
  <c r="EP49" i="33"/>
  <c r="DJ29" i="33"/>
  <c r="AA51" i="34"/>
  <c r="DG117" i="34"/>
  <c r="AG12" i="34"/>
  <c r="BI26" i="33"/>
  <c r="IT91" i="34"/>
  <c r="MC120" i="34"/>
  <c r="DH63" i="33"/>
  <c r="CM134" i="34"/>
  <c r="GI69" i="33"/>
  <c r="BI67" i="33"/>
  <c r="HU126" i="34"/>
  <c r="AA91" i="34"/>
  <c r="EA76" i="33"/>
  <c r="FV132" i="34"/>
  <c r="DH92" i="34"/>
  <c r="EG75" i="33"/>
  <c r="CN76" i="34"/>
  <c r="CE75" i="34"/>
  <c r="HU43" i="34"/>
  <c r="DY43" i="33"/>
  <c r="AO141" i="34"/>
  <c r="BJ73" i="33"/>
  <c r="J77" i="34"/>
  <c r="AS181" i="34"/>
  <c r="NO117" i="34"/>
  <c r="EI175" i="34"/>
  <c r="GL49" i="33"/>
  <c r="FM53" i="33"/>
  <c r="LB130" i="34"/>
  <c r="FN76" i="34"/>
  <c r="G39" i="33"/>
  <c r="CU28" i="33"/>
  <c r="FO164" i="34"/>
  <c r="EZ61" i="33"/>
  <c r="IC178" i="34"/>
  <c r="BO51" i="33"/>
  <c r="DG173" i="34"/>
  <c r="DG47" i="33"/>
  <c r="MM140" i="34"/>
  <c r="DS63" i="33"/>
  <c r="AQ27" i="33"/>
  <c r="HE53" i="34"/>
  <c r="FY41" i="33"/>
  <c r="AR64" i="33"/>
  <c r="U82" i="34"/>
  <c r="M36" i="33"/>
  <c r="CL98" i="34"/>
  <c r="AJ53" i="33"/>
  <c r="MS4" i="34"/>
  <c r="CF145" i="34"/>
  <c r="NO104" i="34"/>
  <c r="LH122" i="34"/>
  <c r="CO133" i="34"/>
  <c r="DH53" i="34"/>
  <c r="IU121" i="34"/>
  <c r="EA43" i="33"/>
  <c r="AC44" i="33"/>
  <c r="HH83" i="34"/>
  <c r="V37" i="17"/>
  <c r="JD164" i="34"/>
  <c r="LA69" i="34"/>
  <c r="AX153" i="34"/>
  <c r="HH173" i="34"/>
  <c r="CW43" i="33"/>
  <c r="PF172" i="34"/>
  <c r="AY27" i="33"/>
  <c r="AJ69" i="33"/>
  <c r="NC73" i="34"/>
  <c r="ER67" i="33"/>
  <c r="CI55" i="33"/>
  <c r="J78" i="33"/>
  <c r="AQ80" i="33"/>
  <c r="FR123" i="34"/>
  <c r="FO44" i="34"/>
  <c r="CX43" i="33"/>
  <c r="JG63" i="34"/>
  <c r="HF51" i="34"/>
  <c r="FL32" i="33"/>
  <c r="ON77" i="34"/>
  <c r="NL174" i="34"/>
  <c r="NB82" i="34"/>
  <c r="BY63" i="33"/>
  <c r="Y143" i="34"/>
  <c r="GO72" i="34"/>
  <c r="IR187" i="34"/>
  <c r="AY58" i="34"/>
  <c r="JA141" i="34"/>
  <c r="R92" i="33"/>
  <c r="CY90" i="33"/>
  <c r="GJ112" i="34"/>
  <c r="EF82" i="33"/>
  <c r="FD72" i="33"/>
  <c r="X85" i="34"/>
  <c r="BT54" i="33"/>
  <c r="EJ67" i="33"/>
  <c r="LH187" i="34"/>
  <c r="BA55" i="33"/>
  <c r="FO72" i="34"/>
  <c r="HT42" i="34"/>
  <c r="BG45" i="33"/>
  <c r="MM171" i="34"/>
  <c r="MB41" i="34"/>
  <c r="X178" i="34"/>
  <c r="DH86" i="34"/>
  <c r="BR70" i="33"/>
  <c r="MG183" i="34"/>
  <c r="GN111" i="34"/>
  <c r="EC90" i="34"/>
  <c r="AZ66" i="33"/>
  <c r="FA70" i="34"/>
  <c r="PC130" i="34"/>
  <c r="T79" i="34"/>
  <c r="FL80" i="33"/>
  <c r="FA128" i="34"/>
  <c r="PW61" i="34"/>
  <c r="HH82" i="34"/>
  <c r="AX130" i="34"/>
  <c r="BL28" i="33"/>
  <c r="NM92" i="34"/>
  <c r="AM66" i="34"/>
  <c r="JF64" i="34"/>
  <c r="MA71" i="34"/>
  <c r="CL138" i="34"/>
  <c r="F40" i="33"/>
  <c r="AR157" i="34"/>
  <c r="FO65" i="33"/>
  <c r="GM82" i="34"/>
  <c r="AZ41" i="33"/>
  <c r="CF39" i="33"/>
  <c r="EH148" i="34"/>
  <c r="AT151" i="34"/>
  <c r="NK75" i="34"/>
  <c r="AW55" i="34"/>
  <c r="DB143" i="34"/>
  <c r="CD70" i="33"/>
  <c r="GB76" i="33"/>
  <c r="GF90" i="33"/>
  <c r="MG49" i="34"/>
  <c r="HF64" i="34"/>
  <c r="BJ114" i="28"/>
  <c r="FR90" i="33"/>
  <c r="ND137" i="34"/>
  <c r="X51" i="33"/>
  <c r="DJ40" i="33"/>
  <c r="FA119" i="34"/>
  <c r="KQ187" i="34"/>
  <c r="DA80" i="33"/>
  <c r="FO106" i="34"/>
  <c r="DM34" i="33"/>
  <c r="CD94" i="34"/>
  <c r="IY89" i="34"/>
  <c r="EY127" i="34"/>
  <c r="FC73" i="33"/>
  <c r="JF135" i="34"/>
  <c r="JB108" i="34"/>
  <c r="CE129" i="34"/>
  <c r="EC132" i="34"/>
  <c r="LZ158" i="34"/>
  <c r="DY72" i="34"/>
  <c r="IV106" i="34"/>
  <c r="JG72" i="34"/>
  <c r="AV173" i="34"/>
  <c r="LC123" i="34"/>
  <c r="CU81" i="33"/>
  <c r="DI85" i="34"/>
  <c r="IU89" i="34"/>
  <c r="JD162" i="34"/>
  <c r="K60" i="33"/>
  <c r="AU172" i="34"/>
  <c r="X95" i="34"/>
  <c r="BR74" i="34"/>
  <c r="LG44" i="34"/>
  <c r="X28" i="33"/>
  <c r="JW69" i="34"/>
  <c r="IV91" i="34"/>
  <c r="KL166" i="34"/>
  <c r="GB61" i="33"/>
  <c r="AZ157" i="34"/>
  <c r="DF136" i="34"/>
  <c r="FD77" i="33"/>
  <c r="PI76" i="34"/>
  <c r="AO55" i="34"/>
  <c r="L101" i="28"/>
  <c r="AC68" i="33"/>
  <c r="BN67" i="33"/>
  <c r="HH87" i="34"/>
  <c r="L54" i="33"/>
  <c r="DY68" i="34"/>
  <c r="CK80" i="34"/>
  <c r="FA60" i="34"/>
  <c r="DM84" i="33"/>
  <c r="AT101" i="34"/>
  <c r="FM63" i="33"/>
  <c r="DY65" i="33"/>
  <c r="FV60" i="34"/>
  <c r="FK71" i="33"/>
  <c r="DC27" i="33"/>
  <c r="CY58" i="33"/>
  <c r="AI97" i="33"/>
  <c r="KM155" i="34"/>
  <c r="JW173" i="34"/>
  <c r="HY88" i="34"/>
  <c r="EM26" i="33"/>
  <c r="MC115" i="34"/>
  <c r="PB135" i="34"/>
  <c r="IZ141" i="34"/>
  <c r="MM136" i="34"/>
  <c r="BE49" i="33"/>
  <c r="ES38" i="33"/>
  <c r="CD62" i="33"/>
  <c r="CL118" i="34"/>
  <c r="FN32" i="33"/>
  <c r="Z94" i="34"/>
  <c r="LI83" i="34"/>
  <c r="T64" i="33"/>
  <c r="FZ80" i="33"/>
  <c r="ED181" i="34"/>
  <c r="CP78" i="33"/>
  <c r="BN46" i="34"/>
  <c r="HG50" i="34"/>
  <c r="MJ149" i="34"/>
  <c r="FS137" i="34"/>
  <c r="JV181" i="34"/>
  <c r="EJ170" i="34"/>
  <c r="N33" i="33"/>
  <c r="AX174" i="34"/>
  <c r="EB136" i="34"/>
  <c r="CE170" i="34"/>
  <c r="DV86" i="34"/>
  <c r="Z103" i="34"/>
  <c r="IS42" i="34"/>
  <c r="MF60" i="34"/>
  <c r="JG89" i="34"/>
  <c r="EX54" i="34"/>
  <c r="AB133" i="34"/>
  <c r="GN109" i="34"/>
  <c r="MI169" i="34"/>
  <c r="DX65" i="33"/>
  <c r="DY85" i="33"/>
  <c r="BA40" i="33"/>
  <c r="CJ73" i="33"/>
  <c r="NH46" i="34"/>
  <c r="CO115" i="34"/>
  <c r="CU86" i="33"/>
  <c r="LG95" i="34"/>
  <c r="IS146" i="34"/>
  <c r="LB176" i="34"/>
  <c r="GE57" i="33"/>
  <c r="AP9" i="33"/>
  <c r="Y152" i="34"/>
  <c r="JA188" i="34"/>
  <c r="LF186" i="34"/>
  <c r="DC149" i="34"/>
  <c r="CM102" i="34"/>
  <c r="LZ154" i="34"/>
  <c r="IA171" i="34"/>
  <c r="Z133" i="34"/>
  <c r="JF167" i="34"/>
  <c r="LD105" i="34"/>
  <c r="H25" i="33"/>
  <c r="AC31" i="33"/>
  <c r="CD175" i="34"/>
  <c r="KR142" i="34"/>
  <c r="PX59" i="34"/>
  <c r="EM41" i="33"/>
  <c r="DN35" i="33"/>
  <c r="EF80" i="34"/>
  <c r="LD150" i="34"/>
  <c r="IC167" i="34"/>
  <c r="LD139" i="34"/>
  <c r="FI27" i="33"/>
  <c r="CI43" i="34"/>
  <c r="BA132" i="34"/>
  <c r="EF135" i="34"/>
  <c r="IV79" i="34"/>
  <c r="FS45" i="34"/>
  <c r="KP124" i="34"/>
  <c r="CC26" i="33"/>
  <c r="PY51" i="34"/>
  <c r="MK125" i="34"/>
  <c r="DD158" i="34"/>
  <c r="GF40" i="33"/>
  <c r="PB143" i="34"/>
  <c r="MC100" i="34"/>
  <c r="EY77" i="33"/>
  <c r="CM113" i="34"/>
  <c r="JT162" i="34"/>
  <c r="AE29" i="33"/>
  <c r="GG78" i="33"/>
  <c r="KN120" i="34"/>
  <c r="MD151" i="34"/>
  <c r="LB67" i="34"/>
  <c r="JE99" i="34"/>
  <c r="BB25" i="33"/>
  <c r="DJ61" i="33"/>
  <c r="GM156" i="34"/>
  <c r="S44" i="17"/>
  <c r="CF143" i="34"/>
  <c r="AG70" i="33"/>
  <c r="LA174" i="34"/>
  <c r="DZ157" i="34"/>
  <c r="JX51" i="34"/>
  <c r="DW58" i="34"/>
  <c r="DD88" i="34"/>
  <c r="AD76" i="33"/>
  <c r="ID83" i="34"/>
  <c r="U44" i="33"/>
  <c r="OL69" i="34"/>
  <c r="EH108" i="34"/>
  <c r="FV147" i="34"/>
  <c r="FU73" i="34"/>
  <c r="FU106" i="34"/>
  <c r="BN125" i="34"/>
  <c r="NE58" i="34"/>
  <c r="CF66" i="34"/>
  <c r="FB75" i="34"/>
  <c r="HD121" i="34"/>
  <c r="FH48" i="33"/>
  <c r="EI187" i="34"/>
  <c r="EW91" i="34"/>
  <c r="DB76" i="33"/>
  <c r="CJ20" i="33"/>
  <c r="HT164" i="34"/>
  <c r="BZ78" i="33"/>
  <c r="JX181" i="34"/>
  <c r="GO128" i="34"/>
  <c r="JF136" i="34"/>
  <c r="FX46" i="33"/>
  <c r="FN157" i="34"/>
  <c r="AQ72" i="33"/>
  <c r="CK127" i="34"/>
  <c r="CA49" i="33"/>
  <c r="NE89" i="34"/>
  <c r="FH6" i="34"/>
  <c r="X56" i="34"/>
  <c r="HZ110" i="34"/>
  <c r="LF86" i="34"/>
  <c r="CN131" i="34"/>
  <c r="DX142" i="34"/>
  <c r="AW76" i="33"/>
  <c r="BS66" i="33"/>
  <c r="MF78" i="34"/>
  <c r="FS80" i="34"/>
  <c r="AP56" i="34"/>
  <c r="JZ137" i="34"/>
  <c r="AA2" i="17"/>
  <c r="CE72" i="33"/>
  <c r="IT54" i="34"/>
  <c r="DC128" i="34"/>
  <c r="GO83" i="34"/>
  <c r="CJ70" i="33"/>
  <c r="FS118" i="34"/>
  <c r="GP162" i="34"/>
  <c r="DG96" i="34"/>
  <c r="P90" i="33"/>
  <c r="BB32" i="33"/>
  <c r="FW117" i="34"/>
  <c r="GM60" i="33"/>
  <c r="DY98" i="34"/>
  <c r="CA62" i="33"/>
  <c r="AK70" i="33"/>
  <c r="FV79" i="34"/>
  <c r="LB102" i="34"/>
  <c r="MH187" i="34"/>
  <c r="AI67" i="33"/>
  <c r="HC176" i="34"/>
  <c r="DC73" i="33"/>
  <c r="MO127" i="34"/>
  <c r="EE57" i="33"/>
  <c r="IR104" i="34"/>
  <c r="HG72" i="34"/>
  <c r="FY73" i="33"/>
  <c r="DF74" i="33"/>
  <c r="HD157" i="34"/>
  <c r="AA174" i="34"/>
  <c r="FR83" i="34"/>
  <c r="FN150" i="34"/>
  <c r="LJ58" i="34"/>
  <c r="DX111" i="34"/>
  <c r="AB98" i="34"/>
  <c r="BQ64" i="34"/>
  <c r="BS92" i="33"/>
  <c r="HZ101" i="34"/>
  <c r="J154" i="34"/>
  <c r="L92" i="33"/>
  <c r="IZ167" i="34"/>
  <c r="LY142" i="34"/>
  <c r="DI120" i="34"/>
  <c r="F48" i="17"/>
  <c r="Z46" i="33"/>
  <c r="HW168" i="34"/>
  <c r="JC167" i="34"/>
  <c r="FN92" i="34"/>
  <c r="CL64" i="33"/>
  <c r="M85" i="33"/>
  <c r="DH90" i="34"/>
  <c r="GL165" i="34"/>
  <c r="NA113" i="34"/>
  <c r="EW92" i="34"/>
  <c r="J176" i="34"/>
  <c r="BO49" i="33"/>
  <c r="AP91" i="34"/>
  <c r="DH97" i="34"/>
  <c r="JE59" i="34"/>
  <c r="AV61" i="33"/>
  <c r="EL64" i="33"/>
  <c r="DA60" i="34"/>
  <c r="AM46" i="33"/>
  <c r="GK80" i="33"/>
  <c r="HE101" i="34"/>
  <c r="AX58" i="34"/>
  <c r="NE121" i="34"/>
  <c r="FR122" i="34"/>
  <c r="EW164" i="34"/>
  <c r="HU62" i="34"/>
  <c r="GP149" i="34"/>
  <c r="ID46" i="34"/>
  <c r="NJ143" i="34"/>
  <c r="KA95" i="34"/>
  <c r="DV83" i="34"/>
  <c r="AU146" i="34"/>
  <c r="HX126" i="34"/>
  <c r="HX161" i="34"/>
  <c r="AH32" i="33"/>
  <c r="AA59" i="33"/>
  <c r="FP168" i="34"/>
  <c r="AR161" i="34"/>
  <c r="V90" i="34"/>
  <c r="NL72" i="34"/>
  <c r="K50" i="34"/>
  <c r="EY118" i="34"/>
  <c r="LA178" i="34"/>
  <c r="Z137" i="34"/>
  <c r="AB116" i="34"/>
  <c r="FB159" i="34"/>
  <c r="DN40" i="33"/>
  <c r="AF9" i="33"/>
  <c r="AD69" i="34"/>
  <c r="FI31" i="33"/>
  <c r="FS27" i="33"/>
  <c r="LZ172" i="34"/>
  <c r="CO186" i="34"/>
  <c r="DP33" i="33"/>
  <c r="JB175" i="34"/>
  <c r="GJ132" i="34"/>
  <c r="L63" i="33"/>
  <c r="JC90" i="34"/>
  <c r="AQ40" i="33"/>
  <c r="CL85" i="33"/>
  <c r="Z55" i="34"/>
  <c r="IR81" i="34"/>
  <c r="FU56" i="33"/>
  <c r="NJ43" i="34"/>
  <c r="AN84" i="33"/>
  <c r="MM176" i="34"/>
  <c r="NM43" i="34"/>
  <c r="KO145" i="34"/>
  <c r="OM99" i="34"/>
  <c r="FU127" i="34"/>
  <c r="HZ82" i="34"/>
  <c r="W55" i="34"/>
  <c r="FW79" i="33"/>
  <c r="EF38" i="33"/>
  <c r="CH164" i="34"/>
  <c r="MF136" i="34"/>
  <c r="AX175" i="34"/>
  <c r="HZ122" i="34"/>
  <c r="LH47" i="34"/>
  <c r="F43" i="33"/>
  <c r="ED89" i="34"/>
  <c r="EZ89" i="34"/>
  <c r="ON90" i="34"/>
  <c r="CV68" i="33"/>
  <c r="HV81" i="34"/>
  <c r="ED55" i="34"/>
  <c r="DJ76" i="33"/>
  <c r="B89" i="28"/>
  <c r="AX77" i="34"/>
  <c r="CN72" i="33"/>
  <c r="FS87" i="34"/>
  <c r="IV97" i="34"/>
  <c r="PA89" i="34"/>
  <c r="CE116" i="34"/>
  <c r="DD60" i="34"/>
  <c r="KP137" i="34"/>
  <c r="DU79" i="33"/>
  <c r="FR131" i="34"/>
  <c r="V170" i="34"/>
  <c r="AH43" i="33"/>
  <c r="JU46" i="34"/>
  <c r="FV153" i="34"/>
  <c r="DS73" i="33"/>
  <c r="CS35" i="33"/>
  <c r="H57" i="33"/>
  <c r="CM76" i="34"/>
  <c r="AI59" i="33"/>
  <c r="FA49" i="33"/>
  <c r="AG63" i="33"/>
  <c r="BT43" i="33"/>
  <c r="DF47" i="34"/>
  <c r="NP188" i="34"/>
  <c r="CC44" i="33"/>
  <c r="CS79" i="33"/>
  <c r="BP116" i="34"/>
  <c r="BJ83" i="28"/>
  <c r="DT28" i="33"/>
  <c r="CF103" i="34"/>
  <c r="S147" i="23"/>
  <c r="JA42" i="34"/>
  <c r="JG93" i="34"/>
  <c r="O43" i="33"/>
  <c r="CL63" i="33"/>
  <c r="EB78" i="34"/>
  <c r="U103" i="34"/>
  <c r="EX71" i="34"/>
  <c r="NE47" i="34"/>
  <c r="KC91" i="34"/>
  <c r="CK42" i="33"/>
  <c r="Z60" i="34"/>
  <c r="DO45" i="33"/>
  <c r="F23" i="17"/>
  <c r="PA187" i="34"/>
  <c r="HY118" i="34"/>
  <c r="FM51" i="33"/>
  <c r="AS35" i="33"/>
  <c r="R83" i="33"/>
  <c r="HT187" i="34"/>
  <c r="EH61" i="34"/>
  <c r="BN34" i="33"/>
  <c r="EA160" i="34"/>
  <c r="CL152" i="34"/>
  <c r="DD118" i="34"/>
  <c r="CJ91" i="34"/>
  <c r="NF79" i="34"/>
  <c r="FU126" i="34"/>
  <c r="AM57" i="33"/>
  <c r="NO146" i="34"/>
  <c r="NA88" i="34"/>
  <c r="LZ146" i="34"/>
  <c r="KQ45" i="34"/>
  <c r="GL84" i="34"/>
  <c r="JF96" i="34"/>
  <c r="FH9" i="33"/>
  <c r="GO85" i="34"/>
  <c r="AJ37" i="33"/>
  <c r="AU9" i="33"/>
  <c r="AN136" i="34"/>
  <c r="HU174" i="34"/>
  <c r="AN89" i="34"/>
  <c r="EW131" i="34"/>
  <c r="AY77" i="33"/>
  <c r="EK28" i="33"/>
  <c r="AC162" i="34"/>
  <c r="LA105" i="34"/>
  <c r="DW123" i="34"/>
  <c r="HF55" i="34"/>
  <c r="LF112" i="34"/>
  <c r="AC80" i="34"/>
  <c r="BK49" i="33"/>
  <c r="GJ140" i="34"/>
  <c r="DY44" i="33"/>
  <c r="MK103" i="34"/>
  <c r="AZ165" i="34"/>
  <c r="PD93" i="34"/>
  <c r="BR47" i="34"/>
  <c r="DF100" i="34"/>
  <c r="CJ62" i="33"/>
  <c r="PF181" i="34"/>
  <c r="CE35" i="33"/>
  <c r="IY81" i="34"/>
  <c r="CG137" i="34"/>
  <c r="JA45" i="34"/>
  <c r="DC160" i="34"/>
  <c r="J125" i="34"/>
  <c r="CM46" i="34"/>
  <c r="KO50" i="34"/>
  <c r="HV187" i="34"/>
  <c r="GI57" i="33"/>
  <c r="BN152" i="34"/>
  <c r="LY152" i="34"/>
  <c r="KN102" i="34"/>
  <c r="EB83" i="34"/>
  <c r="BO50" i="34"/>
  <c r="F100" i="28"/>
  <c r="CD25" i="33"/>
  <c r="CA42" i="33"/>
  <c r="LK41" i="34"/>
  <c r="BE78" i="33"/>
  <c r="IA94" i="34"/>
  <c r="W92" i="33"/>
  <c r="NK70" i="34"/>
  <c r="FJ46" i="33"/>
  <c r="AZ42" i="34"/>
  <c r="EI147" i="34"/>
  <c r="CK66" i="34"/>
  <c r="PH100" i="34"/>
  <c r="IT139" i="34"/>
  <c r="FN63" i="34"/>
  <c r="PX163" i="34"/>
  <c r="ML142" i="34"/>
  <c r="DZ155" i="34"/>
  <c r="JX167" i="34"/>
  <c r="FA77" i="34"/>
  <c r="N54" i="33"/>
  <c r="AJ35" i="33"/>
  <c r="MB83" i="34"/>
  <c r="DC85" i="33"/>
  <c r="FA64" i="33"/>
  <c r="EZ168" i="34"/>
  <c r="AQ9" i="33"/>
  <c r="CZ45" i="33"/>
  <c r="GM79" i="33"/>
  <c r="DM82" i="33"/>
  <c r="BI80" i="33"/>
  <c r="CR43" i="33"/>
  <c r="EJ61" i="34"/>
  <c r="CP47" i="33"/>
  <c r="ED27" i="33"/>
  <c r="FB137" i="34"/>
  <c r="HZ113" i="34"/>
  <c r="KO172" i="34"/>
  <c r="AU90" i="34"/>
  <c r="LZ107" i="34"/>
  <c r="CF81" i="34"/>
  <c r="FT92" i="34"/>
  <c r="CO76" i="33"/>
  <c r="AA56" i="33"/>
  <c r="AB188" i="34"/>
  <c r="LJ55" i="34"/>
  <c r="LZ127" i="34"/>
  <c r="JV116" i="34"/>
  <c r="EC55" i="34"/>
  <c r="DF121" i="34"/>
  <c r="W145" i="34"/>
  <c r="PD105" i="34"/>
  <c r="GQ134" i="34"/>
  <c r="FB83" i="34"/>
  <c r="JB126" i="34"/>
  <c r="AA103" i="34"/>
  <c r="LZ116" i="34"/>
  <c r="CG112" i="34"/>
  <c r="FX165" i="34"/>
  <c r="DE90" i="34"/>
  <c r="GP111" i="34"/>
  <c r="AY92" i="33"/>
  <c r="R29" i="33"/>
  <c r="GO27" i="33"/>
  <c r="PB181" i="34"/>
  <c r="DS28" i="33"/>
  <c r="FF54" i="33"/>
  <c r="E16" i="3"/>
  <c r="GM158" i="34"/>
  <c r="DC153" i="34"/>
  <c r="FN44" i="33"/>
  <c r="BZ70" i="33"/>
  <c r="GJ65" i="34"/>
  <c r="KL50" i="34"/>
  <c r="FU83" i="34"/>
  <c r="FV130" i="34"/>
  <c r="CN101" i="34"/>
  <c r="AC109" i="34"/>
  <c r="BN153" i="34"/>
  <c r="AP60" i="34"/>
  <c r="EB171" i="34"/>
  <c r="CQ41" i="33"/>
  <c r="GL109" i="34"/>
  <c r="S109" i="23"/>
  <c r="GK58" i="33"/>
  <c r="DB49" i="34"/>
  <c r="LG187" i="34"/>
  <c r="AM55" i="33"/>
  <c r="DJ132" i="34"/>
  <c r="NF62" i="34"/>
  <c r="JZ125" i="34"/>
  <c r="JF72" i="34"/>
  <c r="J164" i="34"/>
  <c r="JZ169" i="34"/>
  <c r="CC68" i="33"/>
  <c r="AZ56" i="33"/>
  <c r="OK100" i="34"/>
  <c r="FX149" i="34"/>
  <c r="MK105" i="34"/>
  <c r="EZ164" i="34"/>
  <c r="NF83" i="34"/>
  <c r="IW88" i="34"/>
  <c r="EE67" i="34"/>
  <c r="PE128" i="34"/>
  <c r="HX138" i="34"/>
  <c r="FQ94" i="34"/>
  <c r="EB45" i="34"/>
  <c r="MD117" i="34"/>
  <c r="JG53" i="34"/>
  <c r="KL92" i="34"/>
  <c r="DA34" i="33"/>
  <c r="CJ49" i="33"/>
  <c r="HU77" i="34"/>
  <c r="JD149" i="34"/>
  <c r="PY95" i="34"/>
  <c r="T146" i="34"/>
  <c r="AP126" i="34"/>
  <c r="OO109" i="34"/>
  <c r="BL53" i="33"/>
  <c r="AR74" i="34"/>
  <c r="DB90" i="34"/>
  <c r="FA28" i="33"/>
  <c r="IB132" i="34"/>
  <c r="JE91" i="34"/>
  <c r="I44" i="33"/>
  <c r="LE151" i="34"/>
  <c r="DI88" i="34"/>
  <c r="BB87" i="34"/>
  <c r="CN163" i="34"/>
  <c r="FG92" i="33"/>
  <c r="P40" i="33"/>
  <c r="JU132" i="34"/>
  <c r="FP45" i="34"/>
  <c r="MN86" i="34"/>
  <c r="IY110" i="34"/>
  <c r="IB141" i="34"/>
  <c r="GG62" i="33"/>
  <c r="OK102" i="34"/>
  <c r="AC168" i="34"/>
  <c r="EJ90" i="34"/>
  <c r="AN175" i="34"/>
  <c r="BL81" i="33"/>
  <c r="DI149" i="34"/>
  <c r="FR74" i="34"/>
  <c r="ED35" i="33"/>
  <c r="GL57" i="34"/>
  <c r="GK67" i="34"/>
  <c r="IZ46" i="34"/>
  <c r="F33" i="17"/>
  <c r="KO96" i="34"/>
  <c r="FE54" i="33"/>
  <c r="FY46" i="33"/>
  <c r="AW174" i="34"/>
  <c r="EE158" i="34"/>
  <c r="CK72" i="33"/>
  <c r="OM41" i="34"/>
  <c r="C58" i="17"/>
  <c r="N74" i="33"/>
  <c r="KN49" i="34"/>
  <c r="N53" i="33"/>
  <c r="IB69" i="34"/>
  <c r="AZ80" i="33"/>
  <c r="GG54" i="33"/>
  <c r="NI154" i="34"/>
  <c r="AP127" i="34"/>
  <c r="BA34" i="33"/>
  <c r="FY74" i="33"/>
  <c r="GF60" i="33"/>
  <c r="JY84" i="34"/>
  <c r="JG65" i="34"/>
  <c r="IQ61" i="34"/>
  <c r="NH71" i="34"/>
  <c r="BQ61" i="33"/>
  <c r="AD52" i="34"/>
  <c r="J126" i="34"/>
  <c r="GE66" i="33"/>
  <c r="FS74" i="33"/>
  <c r="DG58" i="34"/>
  <c r="GJ161" i="34"/>
  <c r="IY68" i="34"/>
  <c r="MA169" i="34"/>
  <c r="AU187" i="34"/>
  <c r="CM104" i="34"/>
  <c r="DW135" i="34"/>
  <c r="FH26" i="33"/>
  <c r="JY67" i="34"/>
  <c r="OH118" i="34"/>
  <c r="GD92" i="33"/>
  <c r="CQ70" i="33"/>
  <c r="CH163" i="34"/>
  <c r="PJ107" i="34"/>
  <c r="LF150" i="34"/>
  <c r="BM77" i="33"/>
  <c r="BA176" i="34"/>
  <c r="AE77" i="33"/>
  <c r="DE133" i="34"/>
  <c r="CJ55" i="34"/>
  <c r="KA176" i="34"/>
  <c r="DD154" i="34"/>
  <c r="DW80" i="34"/>
  <c r="FG74" i="33"/>
  <c r="HY145" i="34"/>
  <c r="AX183" i="34"/>
  <c r="GK29" i="33"/>
  <c r="GL187" i="34"/>
  <c r="LF69" i="34"/>
  <c r="GP178" i="34"/>
  <c r="MH166" i="34"/>
  <c r="EH130" i="34"/>
  <c r="BT81" i="33"/>
  <c r="JV96" i="34"/>
  <c r="DP32" i="33"/>
  <c r="FG36" i="33"/>
  <c r="EE145" i="34"/>
  <c r="BM9" i="33"/>
  <c r="AD77" i="33"/>
  <c r="PI124" i="34"/>
  <c r="AO72" i="34"/>
  <c r="CJ152" i="34"/>
  <c r="FQ41" i="34"/>
  <c r="EY134" i="34"/>
  <c r="FO109" i="34"/>
  <c r="EF152" i="34"/>
  <c r="EY57" i="34"/>
  <c r="DA175" i="34"/>
  <c r="N63" i="33"/>
  <c r="EG161" i="34"/>
  <c r="HH102" i="34"/>
  <c r="DJ153" i="34"/>
  <c r="CF105" i="34"/>
  <c r="BO68" i="33"/>
  <c r="GI25" i="33"/>
  <c r="IR82" i="34"/>
  <c r="JE168" i="34"/>
  <c r="JX156" i="34"/>
  <c r="GJ118" i="34"/>
  <c r="JD68" i="34"/>
  <c r="EP34" i="33"/>
  <c r="DO61" i="33"/>
  <c r="T56" i="33"/>
  <c r="AJ50" i="33"/>
  <c r="AP43" i="34"/>
  <c r="Z152" i="34"/>
  <c r="DB44" i="34"/>
  <c r="W52" i="33"/>
  <c r="DY51" i="34"/>
  <c r="CJ175" i="34"/>
  <c r="GK59" i="33"/>
  <c r="LF103" i="34"/>
  <c r="AB65" i="34"/>
  <c r="G57" i="33"/>
  <c r="GM166" i="34"/>
  <c r="AY73" i="34"/>
  <c r="IE57" i="34"/>
  <c r="S71" i="23"/>
  <c r="LJ109" i="34"/>
  <c r="DD44" i="34"/>
  <c r="FH56" i="33"/>
  <c r="DY157" i="34"/>
  <c r="KM124" i="34"/>
  <c r="AA170" i="34"/>
  <c r="AD128" i="34"/>
  <c r="KC98" i="34"/>
  <c r="IV147" i="34"/>
  <c r="IW57" i="34"/>
  <c r="AO71" i="34"/>
  <c r="PF110" i="34"/>
  <c r="LX171" i="34"/>
  <c r="FP87" i="34"/>
  <c r="EG50" i="33"/>
  <c r="DB162" i="34"/>
  <c r="X97" i="34"/>
  <c r="DB118" i="34"/>
  <c r="CM148" i="34"/>
  <c r="AV66" i="34"/>
  <c r="DU71" i="33"/>
  <c r="JG46" i="34"/>
  <c r="EI153" i="34"/>
  <c r="BN62" i="34"/>
  <c r="FT36" i="33"/>
  <c r="GL118" i="34"/>
  <c r="LC69" i="34"/>
  <c r="EW172" i="34"/>
  <c r="S84" i="23"/>
  <c r="HY165" i="34"/>
  <c r="GM150" i="34"/>
  <c r="FB133" i="34"/>
  <c r="H61" i="33"/>
  <c r="DP36" i="33"/>
  <c r="OM42" i="34"/>
  <c r="BN83" i="34"/>
  <c r="AT84" i="33"/>
  <c r="FR155" i="34"/>
  <c r="CO50" i="33"/>
  <c r="EM79" i="33"/>
  <c r="HH181" i="34"/>
  <c r="DH126" i="34"/>
  <c r="KN170" i="34"/>
  <c r="PZ103" i="34"/>
  <c r="GN94" i="34"/>
  <c r="GM101" i="34"/>
  <c r="FT83" i="33"/>
  <c r="CS52" i="33"/>
  <c r="NG154" i="34"/>
  <c r="EW62" i="33"/>
  <c r="IC145" i="34"/>
  <c r="IY145" i="34"/>
  <c r="T153" i="34"/>
  <c r="IE150" i="34"/>
  <c r="NO89" i="34"/>
  <c r="EX115" i="34"/>
  <c r="G45" i="33"/>
  <c r="EV78" i="33"/>
  <c r="DC93" i="34"/>
  <c r="BQ149" i="34"/>
  <c r="ES92" i="33"/>
  <c r="EB65" i="34"/>
  <c r="ID121" i="34"/>
  <c r="Z72" i="34"/>
  <c r="FW160" i="34"/>
  <c r="HY178" i="34"/>
  <c r="CN41" i="34"/>
  <c r="HV153" i="34"/>
  <c r="EW159" i="34"/>
  <c r="GQ113" i="34"/>
  <c r="GE46" i="33"/>
  <c r="DZ115" i="34"/>
  <c r="EF85" i="33"/>
  <c r="ML109" i="34"/>
  <c r="GM72" i="33"/>
  <c r="AQ110" i="34"/>
  <c r="EG141" i="34"/>
  <c r="LI80" i="34"/>
  <c r="BU54" i="33"/>
  <c r="AW77" i="33"/>
  <c r="DY41" i="33"/>
  <c r="EG117" i="34"/>
  <c r="CR36" i="33"/>
  <c r="EF65" i="33"/>
  <c r="K106" i="34"/>
  <c r="BB158" i="34"/>
  <c r="LA83" i="34"/>
  <c r="DX57" i="33"/>
  <c r="NI188" i="34"/>
  <c r="CF104" i="34"/>
  <c r="DH94" i="34"/>
  <c r="NA58" i="34"/>
  <c r="KL97" i="34"/>
  <c r="IQ86" i="34"/>
  <c r="EC174" i="34"/>
  <c r="JB94" i="34"/>
  <c r="AV170" i="34"/>
  <c r="FO172" i="34"/>
  <c r="LW102" i="34"/>
  <c r="CE49" i="34"/>
  <c r="BE27" i="33"/>
  <c r="DZ59" i="34"/>
  <c r="BA73" i="33"/>
  <c r="AC104" i="34"/>
  <c r="BJ29" i="33"/>
  <c r="K47" i="34"/>
  <c r="BW37" i="33"/>
  <c r="OL168" i="34"/>
  <c r="Z107" i="34"/>
  <c r="V161" i="34"/>
  <c r="PZ47" i="34"/>
  <c r="BL77" i="33"/>
  <c r="GD9" i="33"/>
  <c r="FY50" i="33"/>
  <c r="NA74" i="34"/>
  <c r="IB167" i="34"/>
  <c r="IY173" i="34"/>
  <c r="FE39" i="33"/>
  <c r="DB41" i="34"/>
  <c r="BZ9" i="33"/>
  <c r="EE67" i="33"/>
  <c r="HX58" i="34"/>
  <c r="NK41" i="34"/>
  <c r="AM46" i="34"/>
  <c r="MF140" i="34"/>
  <c r="DA58" i="34"/>
  <c r="EX132" i="34"/>
  <c r="HY163" i="34"/>
  <c r="KR56" i="34"/>
  <c r="FW155" i="34"/>
  <c r="HT120" i="34"/>
  <c r="X165" i="34"/>
  <c r="EM33" i="33"/>
  <c r="HW124" i="34"/>
  <c r="AV125" i="34"/>
  <c r="N55" i="33"/>
  <c r="AR109" i="34"/>
  <c r="EF181" i="34"/>
  <c r="IW105" i="34"/>
  <c r="EX108" i="34"/>
  <c r="JE131" i="34"/>
  <c r="AN160" i="34"/>
  <c r="CF89" i="34"/>
  <c r="S73" i="33"/>
  <c r="JG92" i="34"/>
  <c r="MD109" i="34"/>
  <c r="FP139" i="34"/>
  <c r="AI61" i="33"/>
  <c r="JG104" i="34"/>
  <c r="MJ80" i="34"/>
  <c r="CM50" i="34"/>
  <c r="AZ183" i="34"/>
  <c r="CH78" i="33"/>
  <c r="FZ73" i="33"/>
  <c r="LB42" i="34"/>
  <c r="BH53" i="33"/>
  <c r="IZ122" i="34"/>
  <c r="U111" i="34"/>
  <c r="DL36" i="33"/>
  <c r="CF44" i="34"/>
  <c r="CP74" i="33"/>
  <c r="DG85" i="34"/>
  <c r="LJ59" i="34"/>
  <c r="FM82" i="33"/>
  <c r="GB40" i="33"/>
  <c r="KO93" i="34"/>
  <c r="AV47" i="34"/>
  <c r="DJ65" i="34"/>
  <c r="AY186" i="34"/>
  <c r="FX63" i="34"/>
  <c r="BO141" i="34"/>
  <c r="J71" i="33"/>
  <c r="KQ154" i="34"/>
  <c r="GL94" i="34"/>
  <c r="AB70" i="34"/>
  <c r="AK65" i="33"/>
  <c r="Y94" i="34"/>
  <c r="MC127" i="34"/>
  <c r="AQ82" i="34"/>
  <c r="CY30" i="33"/>
  <c r="DU32" i="33"/>
  <c r="CE159" i="34"/>
  <c r="AU103" i="34"/>
  <c r="IY111" i="34"/>
  <c r="K140" i="34"/>
  <c r="AY170" i="34"/>
  <c r="AT158" i="34"/>
  <c r="ID133" i="34"/>
  <c r="HV186" i="34"/>
  <c r="AA10" i="17"/>
  <c r="CF30" i="33"/>
  <c r="CI55" i="34"/>
  <c r="AW157" i="34"/>
  <c r="CK188" i="34"/>
  <c r="FX175" i="34"/>
  <c r="AX41" i="34"/>
  <c r="AQ168" i="34"/>
  <c r="CU59" i="33"/>
  <c r="KM141" i="34"/>
  <c r="NB181" i="34"/>
  <c r="CY84" i="33"/>
  <c r="BQ136" i="34"/>
  <c r="EP48" i="33"/>
  <c r="AY39" i="33"/>
  <c r="Z95" i="34"/>
  <c r="EJ84" i="33"/>
  <c r="CI141" i="34"/>
  <c r="HE73" i="34"/>
  <c r="BQ51" i="33"/>
  <c r="LB140" i="34"/>
  <c r="PD104" i="34"/>
  <c r="LD96" i="34"/>
  <c r="BP111" i="34"/>
  <c r="FT110" i="34"/>
  <c r="IA125" i="34"/>
  <c r="AA70" i="34"/>
  <c r="CD55" i="33"/>
  <c r="LI153" i="34"/>
  <c r="H77" i="33"/>
  <c r="CZ55" i="33"/>
  <c r="ME168" i="34"/>
  <c r="ON109" i="34"/>
  <c r="DG129" i="34"/>
  <c r="AA154" i="34"/>
  <c r="GJ101" i="34"/>
  <c r="FB156" i="34"/>
  <c r="DD62" i="34"/>
  <c r="DO60" i="33"/>
  <c r="DJ124" i="34"/>
  <c r="HF53" i="34"/>
  <c r="AR55" i="34"/>
  <c r="J56" i="33"/>
  <c r="FD54" i="33"/>
  <c r="NN134" i="34"/>
  <c r="HV51" i="34"/>
  <c r="BM62" i="28"/>
  <c r="IB147" i="34"/>
  <c r="EY85" i="34"/>
  <c r="EK159" i="34"/>
  <c r="CG165" i="34"/>
  <c r="FX69" i="34"/>
  <c r="LG167" i="34"/>
  <c r="BK57" i="33"/>
  <c r="FV38" i="33"/>
  <c r="EX50" i="34"/>
  <c r="IR186" i="34"/>
  <c r="EV39" i="33"/>
  <c r="AT59" i="33"/>
  <c r="FC34" i="33"/>
  <c r="BJ77" i="28"/>
  <c r="IY67" i="34"/>
  <c r="AA112" i="34"/>
  <c r="AC146" i="34"/>
  <c r="GN84" i="33"/>
  <c r="S77" i="23"/>
  <c r="EX60" i="34"/>
  <c r="KO90" i="34"/>
  <c r="BS75" i="33"/>
  <c r="LA163" i="34"/>
  <c r="S91" i="23"/>
  <c r="AV163" i="34"/>
  <c r="LY78" i="34"/>
  <c r="HX90" i="34"/>
  <c r="DX70" i="34"/>
  <c r="N45" i="33"/>
  <c r="U71" i="34"/>
  <c r="J153" i="34"/>
  <c r="OO91" i="34"/>
  <c r="IV152" i="34"/>
  <c r="AN58" i="33"/>
  <c r="LZ115" i="34"/>
  <c r="IC102" i="34"/>
  <c r="B55" i="17"/>
  <c r="PZ43" i="34"/>
  <c r="KL87" i="34"/>
  <c r="AC70" i="33"/>
  <c r="KB72" i="34"/>
  <c r="AA65" i="34"/>
  <c r="AO187" i="34"/>
  <c r="JV151" i="34"/>
  <c r="E14" i="3"/>
  <c r="FR38" i="33"/>
  <c r="BY92" i="33"/>
  <c r="DB125" i="34"/>
  <c r="EW84" i="33"/>
  <c r="Y144" i="34"/>
  <c r="BG58" i="33"/>
  <c r="CC25" i="33"/>
  <c r="S174" i="23"/>
  <c r="V107" i="34"/>
  <c r="BA78" i="34"/>
  <c r="EZ49" i="34"/>
  <c r="EX58" i="34"/>
  <c r="JX113" i="34"/>
  <c r="FU152" i="34"/>
  <c r="LE142" i="34"/>
  <c r="CQ50" i="33"/>
  <c r="MK136" i="34"/>
  <c r="AF72" i="33"/>
  <c r="JB41" i="34"/>
  <c r="JC118" i="34"/>
  <c r="BP154" i="34"/>
  <c r="AD117" i="34"/>
  <c r="LF117" i="34"/>
  <c r="Z44" i="34"/>
  <c r="FP188" i="34"/>
  <c r="NN107" i="34"/>
  <c r="JT146" i="34"/>
  <c r="EW43" i="33"/>
  <c r="AP61" i="34"/>
  <c r="AE70" i="33"/>
  <c r="EK108" i="34"/>
  <c r="FU66" i="33"/>
  <c r="CM186" i="34"/>
  <c r="GK72" i="34"/>
  <c r="HZ125" i="34"/>
  <c r="AD109" i="34"/>
  <c r="ID153" i="34"/>
  <c r="HZ165" i="34"/>
  <c r="BR151" i="34"/>
  <c r="DJ88" i="34"/>
  <c r="GB4" i="34"/>
  <c r="KP49" i="34"/>
  <c r="F45" i="33"/>
  <c r="DK92" i="33"/>
  <c r="FU129" i="34"/>
  <c r="AC50" i="33"/>
  <c r="KO173" i="34"/>
  <c r="BS78" i="33"/>
  <c r="J70" i="34"/>
  <c r="FL49" i="33"/>
  <c r="I32" i="33"/>
  <c r="DZ44" i="34"/>
  <c r="GJ56" i="34"/>
  <c r="U151" i="34"/>
  <c r="BV44" i="33"/>
  <c r="AF51" i="33"/>
  <c r="DO62" i="33"/>
  <c r="BO123" i="34"/>
  <c r="LJ134" i="34"/>
  <c r="DK36" i="33"/>
  <c r="AL73" i="33"/>
  <c r="FS47" i="34"/>
  <c r="FR111" i="34"/>
  <c r="PI176" i="34"/>
  <c r="O45" i="33"/>
  <c r="EH92" i="34"/>
  <c r="B110" i="28"/>
  <c r="DF164" i="34"/>
  <c r="HD106" i="34"/>
  <c r="Y97" i="33"/>
  <c r="JG68" i="34"/>
  <c r="FG68" i="33"/>
  <c r="CG128" i="34"/>
  <c r="BJ33" i="33"/>
  <c r="HV178" i="34"/>
  <c r="FO65" i="34"/>
  <c r="GQ54" i="34"/>
  <c r="JY70" i="34"/>
  <c r="IA140" i="34"/>
  <c r="DJ75" i="34"/>
  <c r="GN159" i="34"/>
  <c r="GD45" i="33"/>
  <c r="FA87" i="34"/>
  <c r="BU71" i="33"/>
  <c r="GL29" i="33"/>
  <c r="DE81" i="34"/>
  <c r="CW50" i="33"/>
  <c r="IY74" i="34"/>
  <c r="CF81" i="33"/>
  <c r="IQ140" i="34"/>
  <c r="AU186" i="34"/>
  <c r="PA71" i="34"/>
  <c r="HE56" i="34"/>
  <c r="AY50" i="33"/>
  <c r="FR113" i="34"/>
  <c r="HY68" i="34"/>
  <c r="DI176" i="34"/>
  <c r="JY58" i="34"/>
  <c r="T132" i="34"/>
  <c r="CG101" i="34"/>
  <c r="JC170" i="34"/>
  <c r="GB51" i="33"/>
  <c r="AO186" i="34"/>
  <c r="S77" i="33"/>
  <c r="BH35" i="33"/>
  <c r="IA58" i="34"/>
  <c r="PB58" i="34"/>
  <c r="FR110" i="34"/>
  <c r="AS104" i="34"/>
  <c r="JX66" i="34"/>
  <c r="JB149" i="34"/>
  <c r="IW41" i="34"/>
  <c r="FO170" i="34"/>
  <c r="CD146" i="34"/>
  <c r="BG48" i="33"/>
  <c r="NO88" i="34"/>
  <c r="GK188" i="34"/>
  <c r="NL143" i="34"/>
  <c r="EC124" i="34"/>
  <c r="IC94" i="34"/>
  <c r="IR148" i="34"/>
  <c r="NB165" i="34"/>
  <c r="W86" i="33"/>
  <c r="IT89" i="34"/>
  <c r="ER85" i="33"/>
  <c r="EP86" i="33"/>
  <c r="JD151" i="34"/>
  <c r="FB87" i="34"/>
  <c r="IC70" i="34"/>
  <c r="DW59" i="34"/>
  <c r="IR150" i="34"/>
  <c r="DS38" i="33"/>
  <c r="JG51" i="34"/>
  <c r="DL85" i="33"/>
  <c r="BO93" i="34"/>
  <c r="OI119" i="34"/>
  <c r="EB63" i="34"/>
  <c r="JB156" i="34"/>
  <c r="DX96" i="34"/>
  <c r="BN77" i="33"/>
  <c r="CI65" i="34"/>
  <c r="JH67" i="34"/>
  <c r="AQ35" i="33"/>
  <c r="AA124" i="34"/>
  <c r="DL78" i="33"/>
  <c r="AV56" i="33"/>
  <c r="U161" i="34"/>
  <c r="BA52" i="34"/>
  <c r="BB83" i="34"/>
  <c r="AW80" i="34"/>
  <c r="BQ150" i="34"/>
  <c r="KC68" i="34"/>
  <c r="EE46" i="34"/>
  <c r="BN119" i="34"/>
  <c r="BQ145" i="34"/>
  <c r="AM33" i="33"/>
  <c r="NB183" i="34"/>
  <c r="AR153" i="34"/>
  <c r="GJ20" i="33"/>
  <c r="AN61" i="34"/>
  <c r="HT108" i="34"/>
  <c r="LC97" i="34"/>
  <c r="GI42" i="33"/>
  <c r="FT131" i="34"/>
  <c r="AR53" i="33"/>
  <c r="FT67" i="34"/>
  <c r="DF35" i="33"/>
  <c r="S173" i="23"/>
  <c r="FU59" i="34"/>
  <c r="AN42" i="33"/>
  <c r="M30" i="33"/>
  <c r="IB46" i="34"/>
  <c r="AW63" i="34"/>
  <c r="DO83" i="33"/>
  <c r="FX47" i="34"/>
  <c r="CE68" i="34"/>
  <c r="L84" i="33"/>
  <c r="F70" i="33"/>
  <c r="DK31" i="33"/>
  <c r="CW28" i="33"/>
  <c r="CD110" i="34"/>
  <c r="EY168" i="34"/>
  <c r="AE34" i="33"/>
  <c r="DD53" i="33"/>
  <c r="FX42" i="34"/>
  <c r="DD168" i="34"/>
  <c r="FP181" i="34"/>
  <c r="DR55" i="33"/>
  <c r="GG59" i="33"/>
  <c r="KL46" i="34"/>
  <c r="IE59" i="34"/>
  <c r="HD68" i="34"/>
  <c r="IW136" i="34"/>
  <c r="GI51" i="33"/>
  <c r="KO101" i="34"/>
  <c r="DC136" i="34"/>
  <c r="IW43" i="34"/>
  <c r="EH103" i="34"/>
  <c r="NC81" i="34"/>
  <c r="FO92" i="33"/>
  <c r="HY92" i="34"/>
  <c r="KB52" i="34"/>
  <c r="IR45" i="34"/>
  <c r="Z78" i="34"/>
  <c r="EE113" i="34"/>
  <c r="CO46" i="33"/>
  <c r="NJ134" i="34"/>
  <c r="BO69" i="34"/>
  <c r="GM35" i="33"/>
  <c r="FX145" i="34"/>
  <c r="KF4" i="34"/>
  <c r="EM80" i="33"/>
  <c r="KN67" i="34"/>
  <c r="CL164" i="34"/>
  <c r="IT69" i="34"/>
  <c r="GH45" i="33"/>
  <c r="CO54" i="33"/>
  <c r="CE53" i="34"/>
  <c r="HT54" i="34"/>
  <c r="BN50" i="34"/>
  <c r="AQ48" i="34"/>
  <c r="CY52" i="33"/>
  <c r="CL120" i="34"/>
  <c r="AA127" i="34"/>
  <c r="CS40" i="33"/>
  <c r="CD92" i="33"/>
  <c r="HC160" i="34"/>
  <c r="GB9" i="33"/>
  <c r="ED143" i="34"/>
  <c r="JT100" i="34"/>
  <c r="FU46" i="33"/>
  <c r="DK44" i="33"/>
  <c r="AC143" i="34"/>
  <c r="GO147" i="34"/>
  <c r="FA176" i="34"/>
  <c r="CL149" i="34"/>
  <c r="IA84" i="34"/>
  <c r="DF30" i="33"/>
  <c r="CE47" i="34"/>
  <c r="T58" i="34"/>
  <c r="BM76" i="33"/>
  <c r="CK40" i="33"/>
  <c r="DA65" i="34"/>
  <c r="HT128" i="34"/>
  <c r="K117" i="34"/>
  <c r="IT155" i="34"/>
  <c r="KO108" i="34"/>
  <c r="IE137" i="34"/>
  <c r="L80" i="33"/>
  <c r="AF29" i="33"/>
  <c r="HE140" i="34"/>
  <c r="FQ25" i="33"/>
  <c r="Z101" i="34"/>
  <c r="OI84" i="34"/>
  <c r="ID186" i="34"/>
  <c r="HT92" i="34"/>
  <c r="DA116" i="34"/>
  <c r="DH54" i="34"/>
  <c r="JV175" i="34"/>
  <c r="DZ47" i="34"/>
  <c r="CD50" i="34"/>
  <c r="EZ115" i="34"/>
  <c r="CJ90" i="34"/>
  <c r="AA50" i="34"/>
  <c r="LF77" i="34"/>
  <c r="FZ86" i="33"/>
  <c r="AX63" i="34"/>
  <c r="AN181" i="34"/>
  <c r="PB81" i="34"/>
  <c r="U46" i="34"/>
  <c r="IW139" i="34"/>
  <c r="IZ63" i="34"/>
  <c r="EF77" i="34"/>
  <c r="BQ90" i="34"/>
  <c r="LF108" i="34"/>
  <c r="JD173" i="34"/>
  <c r="T171" i="34"/>
  <c r="T82" i="33"/>
  <c r="EH116" i="34"/>
  <c r="DA78" i="33"/>
  <c r="DV43" i="34"/>
  <c r="BF28" i="33"/>
  <c r="Z55" i="33"/>
  <c r="DG20" i="33"/>
  <c r="HV97" i="34"/>
  <c r="FV165" i="34"/>
  <c r="EK81" i="34"/>
  <c r="V155" i="34"/>
  <c r="MK109" i="34"/>
  <c r="DZ58" i="33"/>
  <c r="K163" i="34"/>
  <c r="BO187" i="34"/>
  <c r="GG39" i="33"/>
  <c r="BR154" i="34"/>
  <c r="LK97" i="34"/>
  <c r="KL103" i="34"/>
  <c r="DD131" i="34"/>
  <c r="NJ110" i="34"/>
  <c r="DH138" i="34"/>
  <c r="AV158" i="34"/>
  <c r="CN188" i="34"/>
  <c r="DG146" i="34"/>
  <c r="AM86" i="33"/>
  <c r="ES48" i="33"/>
  <c r="DN39" i="33"/>
  <c r="NG174" i="34"/>
  <c r="IQ149" i="34"/>
  <c r="CZ31" i="33"/>
  <c r="LI163" i="34"/>
  <c r="MF165" i="34"/>
  <c r="Y30" i="33"/>
  <c r="FY79" i="33"/>
  <c r="JV56" i="34"/>
  <c r="DY122" i="34"/>
  <c r="AX165" i="34"/>
  <c r="AQ43" i="33"/>
  <c r="D11" i="17"/>
  <c r="FS162" i="34"/>
  <c r="FM35" i="33"/>
  <c r="GF37" i="33"/>
  <c r="GN63" i="34"/>
  <c r="KP51" i="34"/>
  <c r="DH80" i="33"/>
  <c r="AX73" i="34"/>
  <c r="U171" i="34"/>
  <c r="T98" i="34"/>
  <c r="DP42" i="33"/>
  <c r="V30" i="17"/>
  <c r="DH56" i="33"/>
  <c r="AV87" i="34"/>
  <c r="DH83" i="33"/>
  <c r="FS111" i="34"/>
  <c r="MN129" i="34"/>
  <c r="OB6" i="34"/>
  <c r="W78" i="33"/>
  <c r="FQ38" i="33"/>
  <c r="NE153" i="34"/>
  <c r="AC66" i="34"/>
  <c r="DY126" i="34"/>
  <c r="FT46" i="34"/>
  <c r="HC112" i="34"/>
  <c r="DX45" i="34"/>
  <c r="FJ67" i="33"/>
  <c r="EX169" i="34"/>
  <c r="ID161" i="34"/>
  <c r="LW95" i="34"/>
  <c r="ML82" i="34"/>
  <c r="HC104" i="34"/>
  <c r="JA145" i="34"/>
  <c r="MB155" i="34"/>
  <c r="BQ119" i="34"/>
  <c r="ID67" i="34"/>
  <c r="HW132" i="34"/>
  <c r="KN115" i="34"/>
  <c r="HV98" i="34"/>
  <c r="GO138" i="34"/>
  <c r="U106" i="34"/>
  <c r="AC69" i="34"/>
  <c r="NK62" i="34"/>
  <c r="AT100" i="34"/>
  <c r="DF61" i="34"/>
  <c r="GL70" i="34"/>
  <c r="EC166" i="34"/>
  <c r="AA123" i="34"/>
  <c r="KN79" i="34"/>
  <c r="CC31" i="33"/>
  <c r="CL76" i="33"/>
  <c r="U94" i="34"/>
  <c r="KN136" i="34"/>
  <c r="MA77" i="34"/>
  <c r="ER33" i="33"/>
  <c r="AM161" i="34"/>
  <c r="LJ175" i="34"/>
  <c r="AB46" i="34"/>
  <c r="AR183" i="34"/>
  <c r="IE140" i="34"/>
  <c r="AM123" i="34"/>
  <c r="EY45" i="33"/>
  <c r="AL33" i="33"/>
  <c r="AT150" i="34"/>
  <c r="DB91" i="34"/>
  <c r="LY183" i="34"/>
  <c r="GJ141" i="34"/>
  <c r="FQ85" i="33"/>
  <c r="MF175" i="34"/>
  <c r="AV172" i="34"/>
  <c r="CN25" i="33"/>
  <c r="HG127" i="34"/>
  <c r="LZ57" i="34"/>
  <c r="DF125" i="34"/>
  <c r="NO49" i="34"/>
  <c r="CC53" i="33"/>
  <c r="IT174" i="34"/>
  <c r="HZ73" i="34"/>
  <c r="BZ72" i="33"/>
  <c r="F76" i="33"/>
  <c r="OI44" i="34"/>
  <c r="IS109" i="34"/>
  <c r="AA9" i="17"/>
  <c r="N66" i="33"/>
  <c r="FH70" i="33"/>
  <c r="HH188" i="34"/>
  <c r="EF81" i="34"/>
  <c r="DK9" i="33"/>
  <c r="FY51" i="33"/>
  <c r="AE56" i="33"/>
  <c r="JG73" i="34"/>
  <c r="AU139" i="34"/>
  <c r="AX56" i="33"/>
  <c r="PC146" i="34"/>
  <c r="DH157" i="34"/>
  <c r="CQ31" i="33"/>
  <c r="NO140" i="34"/>
  <c r="FS83" i="33"/>
  <c r="S85" i="23"/>
  <c r="FV178" i="34"/>
  <c r="AW168" i="34"/>
  <c r="PJ171" i="34"/>
  <c r="JC169" i="34"/>
  <c r="AW94" i="34"/>
  <c r="AP97" i="34"/>
  <c r="DF57" i="33"/>
  <c r="IZ67" i="34"/>
  <c r="IB163" i="34"/>
  <c r="S37" i="17"/>
  <c r="Z67" i="34"/>
  <c r="DW130" i="34"/>
  <c r="MA94" i="34"/>
  <c r="CH85" i="33"/>
  <c r="R44" i="33"/>
  <c r="ML144" i="34"/>
  <c r="T72" i="33"/>
  <c r="DK70" i="33"/>
  <c r="J73" i="34"/>
  <c r="AR130" i="34"/>
  <c r="GO139" i="34"/>
  <c r="JV48" i="34"/>
  <c r="BJ36" i="33"/>
  <c r="FR156" i="34"/>
  <c r="CM91" i="34"/>
  <c r="FA121" i="34"/>
  <c r="IY59" i="34"/>
  <c r="NH129" i="34"/>
  <c r="KO104" i="34"/>
  <c r="AY49" i="33"/>
  <c r="ES83" i="33"/>
  <c r="PD71" i="34"/>
  <c r="FQ112" i="34"/>
  <c r="W57" i="33"/>
  <c r="FN124" i="34"/>
  <c r="CU6" i="34"/>
  <c r="AP116" i="34"/>
  <c r="FT147" i="34"/>
  <c r="IV166" i="34"/>
  <c r="AR44" i="34"/>
  <c r="LH97" i="34"/>
  <c r="DL74" i="33"/>
  <c r="LH111" i="34"/>
  <c r="IT172" i="34"/>
  <c r="FG53" i="33"/>
  <c r="GL151" i="34"/>
  <c r="EB61" i="34"/>
  <c r="HH41" i="34"/>
  <c r="CO150" i="34"/>
  <c r="DX53" i="34"/>
  <c r="FA47" i="33"/>
  <c r="DL68" i="33"/>
  <c r="N14" i="34"/>
  <c r="R25" i="33"/>
  <c r="NE42" i="34"/>
  <c r="JV64" i="34"/>
  <c r="AU61" i="33"/>
  <c r="HT102" i="34"/>
  <c r="J81" i="33"/>
  <c r="EF47" i="34"/>
  <c r="HH70" i="34"/>
  <c r="IS83" i="34"/>
  <c r="AB95" i="34"/>
  <c r="EA85" i="33"/>
  <c r="CI181" i="34"/>
  <c r="LB153" i="34"/>
  <c r="JT73" i="34"/>
  <c r="NL158" i="34"/>
  <c r="JE164" i="34"/>
  <c r="AZ110" i="34"/>
  <c r="AH74" i="33"/>
  <c r="DE41" i="33"/>
  <c r="JB95" i="34"/>
  <c r="PE171" i="34"/>
  <c r="GN110" i="34"/>
  <c r="FT183" i="34"/>
  <c r="NN75" i="34"/>
  <c r="AR174" i="34"/>
  <c r="Z108" i="34"/>
  <c r="JD134" i="34"/>
  <c r="GD69" i="33"/>
  <c r="DU47" i="33"/>
  <c r="V78" i="33"/>
  <c r="BV52" i="33"/>
  <c r="IR171" i="34"/>
  <c r="KO128" i="34"/>
  <c r="AP160" i="34"/>
  <c r="PK174" i="34"/>
  <c r="EA159" i="34"/>
  <c r="FP109" i="34"/>
  <c r="DJ145" i="34"/>
  <c r="DI116" i="34"/>
  <c r="GL115" i="34"/>
  <c r="IS80" i="34"/>
  <c r="JF133" i="34"/>
  <c r="LX140" i="34"/>
  <c r="CK147" i="34"/>
  <c r="IB118" i="34"/>
  <c r="DJ33" i="33"/>
  <c r="DC61" i="33"/>
  <c r="CD82" i="33"/>
  <c r="BN83" i="33"/>
  <c r="EA49" i="33"/>
  <c r="MK93" i="34"/>
  <c r="BP62" i="34"/>
  <c r="IT100" i="34"/>
  <c r="FA78" i="34"/>
  <c r="IQ148" i="34"/>
  <c r="DB160" i="34"/>
  <c r="EC76" i="34"/>
  <c r="AB183" i="34"/>
  <c r="KB144" i="34"/>
  <c r="EZ73" i="34"/>
  <c r="EX172" i="34"/>
  <c r="IA105" i="34"/>
  <c r="EF101" i="34"/>
  <c r="CY41" i="33"/>
  <c r="BB45" i="34"/>
  <c r="AA164" i="34"/>
  <c r="AQ75" i="34"/>
  <c r="DN55" i="33"/>
  <c r="IV89" i="34"/>
  <c r="GO55" i="34"/>
  <c r="JX72" i="34"/>
  <c r="BP125" i="34"/>
  <c r="JF80" i="34"/>
  <c r="FR58" i="33"/>
  <c r="EQ76" i="33"/>
  <c r="AC67" i="34"/>
  <c r="IE104" i="34"/>
  <c r="JZ122" i="34"/>
  <c r="KA72" i="34"/>
  <c r="GO148" i="34"/>
  <c r="CD60" i="34"/>
  <c r="HH156" i="34"/>
  <c r="GN32" i="33"/>
  <c r="AG84" i="33"/>
  <c r="GN51" i="33"/>
  <c r="AB120" i="34"/>
  <c r="MD91" i="34"/>
  <c r="FL92" i="33"/>
  <c r="BY74" i="33"/>
  <c r="HY70" i="34"/>
  <c r="EV25" i="33"/>
  <c r="BV57" i="33"/>
  <c r="DF83" i="33"/>
  <c r="FB76" i="34"/>
  <c r="FU64" i="34"/>
  <c r="NF145" i="34"/>
  <c r="KA86" i="34"/>
  <c r="GQ162" i="34"/>
  <c r="T42" i="34"/>
  <c r="HX80" i="34"/>
  <c r="FO84" i="33"/>
  <c r="ID91" i="34"/>
  <c r="AQ86" i="33"/>
  <c r="BJ141" i="28"/>
  <c r="FT68" i="34"/>
  <c r="MA91" i="34"/>
  <c r="FX83" i="33"/>
  <c r="EE72" i="33"/>
  <c r="BU66" i="33"/>
  <c r="CU79" i="33"/>
  <c r="U174" i="34"/>
  <c r="HF82" i="34"/>
  <c r="EQ20" i="33"/>
  <c r="AZ142" i="34"/>
  <c r="CA82" i="33"/>
  <c r="DE80" i="33"/>
  <c r="FS100" i="34"/>
  <c r="AA84" i="34"/>
  <c r="AS81" i="33"/>
  <c r="GF80" i="33"/>
  <c r="GW4" i="34"/>
  <c r="DF154" i="34"/>
  <c r="K115" i="34"/>
  <c r="CD123" i="34"/>
  <c r="IS57" i="34"/>
  <c r="IT62" i="34"/>
  <c r="AN63" i="33"/>
  <c r="LB108" i="34"/>
  <c r="GQ112" i="34"/>
  <c r="HC138" i="34"/>
  <c r="HU89" i="34"/>
  <c r="FO108" i="34"/>
  <c r="FB116" i="34"/>
  <c r="IA137" i="34"/>
  <c r="DW79" i="34"/>
  <c r="NI93" i="34"/>
  <c r="BJ78" i="28"/>
  <c r="ES50" i="33"/>
  <c r="AO151" i="34"/>
  <c r="EC61" i="34"/>
  <c r="DC89" i="34"/>
  <c r="GP44" i="34"/>
  <c r="CE117" i="34"/>
  <c r="EZ31" i="33"/>
  <c r="KC167" i="34"/>
  <c r="KO150" i="34"/>
  <c r="Y36" i="33"/>
  <c r="AR65" i="34"/>
  <c r="HD165" i="34"/>
  <c r="BQ67" i="33"/>
  <c r="MA176" i="34"/>
  <c r="JC53" i="34"/>
  <c r="DC74" i="33"/>
  <c r="CZ44" i="33"/>
  <c r="AQ173" i="34"/>
  <c r="P47" i="33"/>
  <c r="HU64" i="34"/>
  <c r="MD172" i="34"/>
  <c r="AQ77" i="33"/>
  <c r="BL26" i="33"/>
  <c r="NP143" i="34"/>
  <c r="GL162" i="34"/>
  <c r="BU81" i="33"/>
  <c r="NJ108" i="34"/>
  <c r="NA126" i="34"/>
  <c r="AP142" i="34"/>
  <c r="CF137" i="34"/>
  <c r="FU44" i="33"/>
  <c r="GP142" i="34"/>
  <c r="DP29" i="33"/>
  <c r="CE86" i="34"/>
  <c r="BW85" i="33"/>
  <c r="DW98" i="34"/>
  <c r="NC94" i="34"/>
  <c r="W132" i="34"/>
  <c r="IC108" i="34"/>
  <c r="IR57" i="34"/>
  <c r="MC53" i="34"/>
  <c r="NE134" i="34"/>
  <c r="C51" i="17"/>
  <c r="HY66" i="34"/>
  <c r="AT68" i="34"/>
  <c r="BS71" i="33"/>
  <c r="FV83" i="33"/>
  <c r="U170" i="34"/>
  <c r="NO164" i="34"/>
  <c r="DX43" i="34"/>
  <c r="BS67" i="33"/>
  <c r="CG130" i="34"/>
  <c r="FU120" i="34"/>
  <c r="DP6" i="34"/>
  <c r="HV121" i="34"/>
  <c r="JT82" i="34"/>
  <c r="JY50" i="34"/>
  <c r="AN85" i="34"/>
  <c r="JG49" i="34"/>
  <c r="FL30" i="33"/>
  <c r="AS149" i="34"/>
  <c r="LG137" i="34"/>
  <c r="GA52" i="33"/>
  <c r="JU65" i="34"/>
  <c r="BG64" i="33"/>
  <c r="EW50" i="33"/>
  <c r="GL133" i="34"/>
  <c r="AC167" i="34"/>
  <c r="AA55" i="33"/>
  <c r="AN147" i="34"/>
  <c r="DI52" i="34"/>
  <c r="DH70" i="34"/>
  <c r="KO49" i="34"/>
  <c r="AA134" i="34"/>
  <c r="AD47" i="34"/>
  <c r="BA79" i="33"/>
  <c r="DO9" i="33"/>
  <c r="JT96" i="34"/>
  <c r="KO98" i="34"/>
  <c r="HT132" i="34"/>
  <c r="HU82" i="34"/>
  <c r="DI54" i="34"/>
  <c r="BN67" i="34"/>
  <c r="BN163" i="34"/>
  <c r="EF75" i="34"/>
  <c r="LE128" i="34"/>
  <c r="AU158" i="34"/>
  <c r="MN188" i="34"/>
  <c r="JC110" i="34"/>
  <c r="AS42" i="33"/>
  <c r="GD61" i="33"/>
  <c r="AQ49" i="33"/>
  <c r="AT72" i="33"/>
  <c r="DZ41" i="33"/>
  <c r="LZ170" i="34"/>
  <c r="HC101" i="34"/>
  <c r="AY56" i="33"/>
  <c r="FC72" i="33"/>
  <c r="S215" i="23"/>
  <c r="T74" i="33"/>
  <c r="IT183" i="34"/>
  <c r="BP85" i="34"/>
  <c r="OJ174" i="34"/>
  <c r="AP90" i="33"/>
  <c r="DJ58" i="33"/>
  <c r="GD28" i="33"/>
  <c r="EG41" i="34"/>
  <c r="FU28" i="33"/>
  <c r="W119" i="34"/>
  <c r="NJ150" i="34"/>
  <c r="DM75" i="33"/>
  <c r="LG146" i="34"/>
  <c r="FX181" i="34"/>
  <c r="EV63" i="33"/>
  <c r="CW75" i="33"/>
  <c r="CS39" i="33"/>
  <c r="BB37" i="33"/>
  <c r="CS6" i="34"/>
  <c r="CR45" i="33"/>
  <c r="AZ47" i="33"/>
  <c r="JB168" i="34"/>
  <c r="KN176" i="34"/>
  <c r="AU32" i="33"/>
  <c r="MG111" i="34"/>
  <c r="DK38" i="33"/>
  <c r="DE89" i="34"/>
  <c r="JX55" i="34"/>
  <c r="CJ181" i="34"/>
  <c r="JZ88" i="34"/>
  <c r="ID85" i="34"/>
  <c r="X170" i="34"/>
  <c r="JG167" i="34"/>
  <c r="DF162" i="34"/>
  <c r="EP25" i="33"/>
  <c r="FB154" i="34"/>
  <c r="Z163" i="34"/>
  <c r="CV82" i="33"/>
  <c r="C64" i="17"/>
  <c r="ER73" i="33"/>
  <c r="BO72" i="34"/>
  <c r="GL32" i="33"/>
  <c r="EJ155" i="34"/>
  <c r="ME78" i="34"/>
  <c r="AB127" i="34"/>
  <c r="AO109" i="34"/>
  <c r="EI115" i="34"/>
  <c r="KP117" i="34"/>
  <c r="J74" i="33"/>
  <c r="MA165" i="34"/>
  <c r="GF70" i="33"/>
  <c r="AZ51" i="33"/>
  <c r="GK63" i="33"/>
  <c r="PC82" i="34"/>
  <c r="KB128" i="34"/>
  <c r="GO66" i="33"/>
  <c r="FT81" i="33"/>
  <c r="FT71" i="33"/>
  <c r="FJ66" i="33"/>
  <c r="CH25" i="33"/>
  <c r="B108" i="28"/>
  <c r="IC183" i="34"/>
  <c r="PX131" i="34"/>
  <c r="KO111" i="34"/>
  <c r="CU92" i="33"/>
  <c r="FX173" i="34"/>
  <c r="DX69" i="33"/>
  <c r="CF119" i="34"/>
  <c r="BK70" i="33"/>
  <c r="AP54" i="33"/>
  <c r="AH48" i="33"/>
  <c r="EM49" i="33"/>
  <c r="Y60" i="33"/>
  <c r="JB104" i="34"/>
  <c r="OU6" i="34"/>
  <c r="LH157" i="34"/>
  <c r="FR134" i="34"/>
  <c r="LD145" i="34"/>
  <c r="AN72" i="33"/>
  <c r="CH76" i="34"/>
  <c r="ED29" i="33"/>
  <c r="M60" i="33"/>
  <c r="FE72" i="33"/>
  <c r="ML187" i="34"/>
  <c r="IQ52" i="34"/>
  <c r="JC155" i="34"/>
  <c r="AX59" i="33"/>
  <c r="HW108" i="34"/>
  <c r="EZ123" i="34"/>
  <c r="FW38" i="33"/>
  <c r="CV74" i="33"/>
  <c r="GP138" i="34"/>
  <c r="DA25" i="33"/>
  <c r="CK30" i="33"/>
  <c r="L74" i="33"/>
  <c r="AT81" i="34"/>
  <c r="FP51" i="33"/>
  <c r="V52" i="33"/>
  <c r="FB59" i="34"/>
  <c r="JU58" i="34"/>
  <c r="GG50" i="33"/>
  <c r="GD47" i="33"/>
  <c r="GI86" i="33"/>
  <c r="FU70" i="34"/>
  <c r="CD90" i="33"/>
  <c r="Z42" i="34"/>
  <c r="DW126" i="34"/>
  <c r="EH152" i="34"/>
  <c r="AN151" i="34"/>
  <c r="AD99" i="34"/>
  <c r="BT68" i="33"/>
  <c r="AZ45" i="33"/>
  <c r="EW139" i="34"/>
  <c r="BM58" i="33"/>
  <c r="JZ175" i="34"/>
  <c r="CH135" i="34"/>
  <c r="JD140" i="34"/>
  <c r="S27" i="33"/>
  <c r="U38" i="33"/>
  <c r="NG181" i="34"/>
  <c r="EY106" i="34"/>
  <c r="GK160" i="34"/>
  <c r="EY119" i="34"/>
  <c r="BJ78" i="33"/>
  <c r="AM40" i="33"/>
  <c r="FN57" i="33"/>
  <c r="LK134" i="34"/>
  <c r="GJ60" i="34"/>
  <c r="KA46" i="34"/>
  <c r="GN39" i="33"/>
  <c r="T61" i="34"/>
  <c r="EC127" i="34"/>
  <c r="HV91" i="34"/>
  <c r="EJ75" i="33"/>
  <c r="DS85" i="33"/>
  <c r="FW122" i="34"/>
  <c r="GA70" i="33"/>
  <c r="CI122" i="34"/>
  <c r="KP119" i="34"/>
  <c r="CE103" i="34"/>
  <c r="DV141" i="34"/>
  <c r="JU68" i="34"/>
  <c r="JY110" i="34"/>
  <c r="DA123" i="34"/>
  <c r="DX172" i="34"/>
  <c r="JH147" i="34"/>
  <c r="AY107" i="34"/>
  <c r="DX81" i="33"/>
  <c r="DB161" i="34"/>
  <c r="GI50" i="33"/>
  <c r="Z87" i="34"/>
  <c r="DA70" i="33"/>
  <c r="FR140" i="34"/>
  <c r="ED134" i="34"/>
  <c r="JD57" i="34"/>
  <c r="CD31" i="33"/>
  <c r="AM187" i="34"/>
  <c r="AY29" i="33"/>
  <c r="AV183" i="34"/>
  <c r="AG20" i="34"/>
  <c r="CI70" i="34"/>
  <c r="CB68" i="33"/>
  <c r="AC124" i="34"/>
  <c r="FZ67" i="33"/>
  <c r="FY61" i="33"/>
  <c r="AL72" i="33"/>
  <c r="FK67" i="33"/>
  <c r="DC162" i="34"/>
  <c r="EF178" i="34"/>
  <c r="BF50" i="33"/>
  <c r="GA50" i="33"/>
  <c r="AQ113" i="34"/>
  <c r="CE133" i="34"/>
  <c r="LG76" i="34"/>
  <c r="FO84" i="34"/>
  <c r="KN172" i="34"/>
  <c r="EJ56" i="33"/>
  <c r="U68" i="33"/>
  <c r="IY77" i="34"/>
  <c r="EP71" i="33"/>
  <c r="EH60" i="34"/>
  <c r="FP110" i="34"/>
  <c r="AY140" i="34"/>
  <c r="EB106" i="34"/>
  <c r="NB139" i="34"/>
  <c r="EM47" i="33"/>
  <c r="DE85" i="34"/>
  <c r="GK138" i="34"/>
  <c r="FF66" i="33"/>
  <c r="CP26" i="33"/>
  <c r="DM83" i="33"/>
  <c r="PK172" i="34"/>
  <c r="DC49" i="33"/>
  <c r="FO141" i="34"/>
  <c r="GK25" i="33"/>
  <c r="DN66" i="33"/>
  <c r="J72" i="34"/>
  <c r="IZ53" i="34"/>
  <c r="DY81" i="34"/>
  <c r="AY165" i="34"/>
  <c r="DY141" i="34"/>
  <c r="BA99" i="34"/>
  <c r="JH54" i="34"/>
  <c r="U36" i="33"/>
  <c r="AP51" i="34"/>
  <c r="DI156" i="34"/>
  <c r="O74" i="33"/>
  <c r="DY48" i="33"/>
  <c r="M46" i="33"/>
  <c r="CZ36" i="33"/>
  <c r="DS44" i="33"/>
  <c r="GK46" i="34"/>
  <c r="DD100" i="34"/>
  <c r="FX78" i="34"/>
  <c r="AV31" i="33"/>
  <c r="BQ76" i="33"/>
  <c r="OO160" i="34"/>
  <c r="FH69" i="33"/>
  <c r="N49" i="33"/>
  <c r="AP42" i="33"/>
  <c r="BQ81" i="34"/>
  <c r="EV59" i="33"/>
  <c r="CK47" i="33"/>
  <c r="GJ81" i="34"/>
  <c r="FI40" i="33"/>
  <c r="BH54" i="33"/>
  <c r="FT98" i="34"/>
  <c r="AV139" i="34"/>
  <c r="IZ170" i="34"/>
  <c r="CE90" i="33"/>
  <c r="BA66" i="34"/>
  <c r="DJ51" i="33"/>
  <c r="CD86" i="33"/>
  <c r="G83" i="33"/>
  <c r="MG52" i="34"/>
  <c r="DY65" i="34"/>
  <c r="CD134" i="34"/>
  <c r="CB27" i="33"/>
  <c r="AP131" i="34"/>
  <c r="AX51" i="34"/>
  <c r="BQ86" i="34"/>
  <c r="BQ173" i="34"/>
  <c r="LX72" i="34"/>
  <c r="KN106" i="34"/>
  <c r="J143" i="34"/>
  <c r="DF155" i="34"/>
  <c r="CZ47" i="33"/>
  <c r="CV60" i="33"/>
  <c r="GJ48" i="33"/>
  <c r="FR63" i="34"/>
  <c r="NI91" i="34"/>
  <c r="LB52" i="34"/>
  <c r="NB126" i="34"/>
  <c r="DZ27" i="33"/>
  <c r="BC64" i="33"/>
  <c r="FN54" i="33"/>
  <c r="T166" i="34"/>
  <c r="PA83" i="34"/>
  <c r="IC137" i="34"/>
  <c r="EE127" i="34"/>
  <c r="IA150" i="34"/>
  <c r="BA168" i="34"/>
  <c r="GK47" i="33"/>
  <c r="EA92" i="33"/>
  <c r="M61" i="33"/>
  <c r="ND115" i="34"/>
  <c r="LH121" i="34"/>
  <c r="AK76" i="33"/>
  <c r="IY154" i="34"/>
  <c r="CJ63" i="34"/>
  <c r="DY72" i="33"/>
  <c r="FR76" i="33"/>
  <c r="AA169" i="34"/>
  <c r="CJ169" i="34"/>
  <c r="IU171" i="34"/>
  <c r="EY91" i="34"/>
  <c r="LC116" i="34"/>
  <c r="FA137" i="34"/>
  <c r="AU29" i="33"/>
  <c r="LG81" i="34"/>
  <c r="DB69" i="34"/>
  <c r="EY77" i="34"/>
  <c r="HC52" i="34"/>
  <c r="DG178" i="34"/>
  <c r="PG44" i="34"/>
  <c r="DZ75" i="33"/>
  <c r="AA46" i="33"/>
  <c r="EB131" i="34"/>
  <c r="GJ144" i="34"/>
  <c r="BR164" i="34"/>
  <c r="JZ61" i="34"/>
  <c r="AD67" i="34"/>
  <c r="GQ148" i="34"/>
  <c r="CN119" i="34"/>
  <c r="FM57" i="33"/>
  <c r="DG175" i="34"/>
  <c r="P46" i="33"/>
  <c r="F13" i="17"/>
  <c r="AC164" i="34"/>
  <c r="EY139" i="34"/>
  <c r="FJ65" i="33"/>
  <c r="CJ85" i="34"/>
  <c r="LC181" i="34"/>
  <c r="HW107" i="34"/>
  <c r="S100" i="23"/>
  <c r="FT140" i="34"/>
  <c r="PI71" i="34"/>
  <c r="DT92" i="33"/>
  <c r="NM133" i="34"/>
  <c r="W49" i="33"/>
  <c r="DX131" i="34"/>
  <c r="AI45" i="33"/>
  <c r="FA55" i="33"/>
  <c r="DE159" i="34"/>
  <c r="HD66" i="34"/>
  <c r="CR55" i="33"/>
  <c r="EE30" i="33"/>
  <c r="HD129" i="34"/>
  <c r="FZ29" i="33"/>
  <c r="LY98" i="34"/>
  <c r="GP139" i="34"/>
  <c r="LK52" i="34"/>
  <c r="W102" i="34"/>
  <c r="NN68" i="34"/>
  <c r="AW144" i="34"/>
  <c r="CK41" i="33"/>
  <c r="ED135" i="34"/>
  <c r="CK41" i="34"/>
  <c r="MD181" i="34"/>
  <c r="CI69" i="34"/>
  <c r="EC186" i="34"/>
  <c r="GL160" i="34"/>
  <c r="FW134" i="34"/>
  <c r="JT158" i="34"/>
  <c r="BB131" i="34"/>
  <c r="AX96" i="34"/>
  <c r="DW112" i="34"/>
  <c r="DI42" i="34"/>
  <c r="LF99" i="34"/>
  <c r="IE61" i="34"/>
  <c r="ML116" i="34"/>
  <c r="IB173" i="34"/>
  <c r="CQ62" i="33"/>
  <c r="AS30" i="33"/>
  <c r="ME117" i="34"/>
  <c r="AU36" i="33"/>
  <c r="DY9" i="33"/>
  <c r="FA81" i="33"/>
  <c r="EY72" i="33"/>
  <c r="DK71" i="33"/>
  <c r="DA154" i="34"/>
  <c r="AQ63" i="33"/>
  <c r="FR47" i="34"/>
  <c r="CL52" i="33"/>
  <c r="MH47" i="34"/>
  <c r="EV53" i="33"/>
  <c r="AH84" i="33"/>
  <c r="KL74" i="34"/>
  <c r="AJ25" i="33"/>
  <c r="AS130" i="34"/>
  <c r="NG69" i="34"/>
  <c r="CM41" i="34"/>
  <c r="AQ93" i="34"/>
  <c r="AI40" i="33"/>
  <c r="I77" i="33"/>
  <c r="JZ102" i="34"/>
  <c r="EI133" i="34"/>
  <c r="AQ52" i="33"/>
  <c r="CW65" i="33"/>
  <c r="AC136" i="34"/>
  <c r="DB138" i="34"/>
  <c r="GJ124" i="34"/>
  <c r="HT55" i="34"/>
  <c r="DM39" i="33"/>
  <c r="AU78" i="33"/>
  <c r="CK61" i="33"/>
  <c r="EE124" i="34"/>
  <c r="ON117" i="34"/>
  <c r="JF106" i="34"/>
  <c r="FA157" i="34"/>
  <c r="BW81" i="33"/>
  <c r="DG74" i="34"/>
  <c r="BO76" i="34"/>
  <c r="DB104" i="34"/>
  <c r="CW63" i="33"/>
  <c r="OH183" i="34"/>
  <c r="CF26" i="33"/>
  <c r="MB165" i="34"/>
  <c r="DE152" i="34"/>
  <c r="GO85" i="33"/>
  <c r="CK45" i="33"/>
  <c r="AV160" i="34"/>
  <c r="LX125" i="34"/>
  <c r="IV61" i="34"/>
  <c r="BI46" i="33"/>
  <c r="DZ47" i="33"/>
  <c r="NO56" i="34"/>
  <c r="AQ46" i="33"/>
  <c r="HW183" i="34"/>
  <c r="IS140" i="34"/>
  <c r="LZ168" i="34"/>
  <c r="EF112" i="34"/>
  <c r="EB124" i="34"/>
  <c r="KQ144" i="34"/>
  <c r="U66" i="34"/>
  <c r="ES80" i="33"/>
  <c r="LF58" i="34"/>
  <c r="EA120" i="34"/>
  <c r="BA33" i="33"/>
  <c r="BQ46" i="34"/>
  <c r="CV63" i="33"/>
  <c r="AA85" i="34"/>
  <c r="LI49" i="34"/>
  <c r="DJ152" i="34"/>
  <c r="KA152" i="34"/>
  <c r="AO44" i="34"/>
  <c r="NG84" i="34"/>
  <c r="GE55" i="33"/>
  <c r="AZ137" i="34"/>
  <c r="AW69" i="33"/>
  <c r="LC113" i="34"/>
  <c r="EY146" i="34"/>
  <c r="EZ110" i="34"/>
  <c r="EW151" i="34"/>
  <c r="K101" i="34"/>
  <c r="F79" i="33"/>
  <c r="BA55" i="34"/>
  <c r="BJ91" i="28"/>
  <c r="FX43" i="33"/>
  <c r="MN62" i="34"/>
  <c r="DV109" i="34"/>
  <c r="GQ81" i="34"/>
  <c r="MG155" i="34"/>
  <c r="FS149" i="34"/>
  <c r="FD86" i="33"/>
  <c r="EW75" i="33"/>
  <c r="CI71" i="33"/>
  <c r="CW44" i="33"/>
  <c r="MG91" i="34"/>
  <c r="GO154" i="34"/>
  <c r="HE125" i="34"/>
  <c r="NH97" i="34"/>
  <c r="GA69" i="33"/>
  <c r="NP140" i="34"/>
  <c r="FR171" i="34"/>
  <c r="OH187" i="34"/>
  <c r="HD166" i="34"/>
  <c r="KB96" i="34"/>
  <c r="BT48" i="33"/>
  <c r="S95" i="23"/>
  <c r="BJ108" i="28"/>
  <c r="DF59" i="34"/>
  <c r="EW135" i="34"/>
  <c r="DN37" i="33"/>
  <c r="FR86" i="34"/>
  <c r="MN121" i="34"/>
  <c r="IU45" i="34"/>
  <c r="NP155" i="34"/>
  <c r="KR125" i="34"/>
  <c r="LB171" i="34"/>
  <c r="FW103" i="34"/>
  <c r="V149" i="34"/>
  <c r="DO57" i="33"/>
  <c r="GQ137" i="34"/>
  <c r="GQ144" i="34"/>
  <c r="FH33" i="33"/>
  <c r="AL47" i="33"/>
  <c r="DD51" i="33"/>
  <c r="EJ39" i="33"/>
  <c r="U119" i="34"/>
  <c r="PG87" i="34"/>
  <c r="CF57" i="34"/>
  <c r="FU81" i="34"/>
  <c r="EA173" i="34"/>
  <c r="CK85" i="33"/>
  <c r="EQ25" i="33"/>
  <c r="AP26" i="33"/>
  <c r="AQ92" i="34"/>
  <c r="AR107" i="34"/>
  <c r="AZ162" i="34"/>
  <c r="EZ74" i="33"/>
  <c r="DH181" i="34"/>
  <c r="EZ117" i="34"/>
  <c r="HE50" i="34"/>
  <c r="BA167" i="34"/>
  <c r="BN74" i="34"/>
  <c r="IV63" i="34"/>
  <c r="DZ140" i="34"/>
  <c r="JU152" i="34"/>
  <c r="AW121" i="34"/>
  <c r="DT64" i="33"/>
  <c r="AS33" i="33"/>
  <c r="BR130" i="34"/>
  <c r="CM93" i="34"/>
  <c r="FA151" i="34"/>
  <c r="AV57" i="34"/>
  <c r="NC161" i="34"/>
  <c r="BO80" i="34"/>
  <c r="JX176" i="34"/>
  <c r="AM86" i="34"/>
  <c r="DE48" i="33"/>
  <c r="DF25" i="33"/>
  <c r="BR35" i="33"/>
  <c r="GN85" i="34"/>
  <c r="MH103" i="34"/>
  <c r="BA109" i="34"/>
  <c r="T9" i="33"/>
  <c r="DX183" i="34"/>
  <c r="DJ81" i="33"/>
  <c r="LK92" i="34"/>
  <c r="ME150" i="34"/>
  <c r="L107" i="28"/>
  <c r="CH120" i="34"/>
  <c r="IC58" i="34"/>
  <c r="BO71" i="33"/>
  <c r="W55" i="33"/>
  <c r="AW67" i="33"/>
  <c r="DE129" i="34"/>
  <c r="GH52" i="33"/>
  <c r="Z50" i="34"/>
  <c r="AS64" i="34"/>
  <c r="HG134" i="34"/>
  <c r="EC109" i="34"/>
  <c r="AI30" i="33"/>
  <c r="IA175" i="34"/>
  <c r="FW33" i="33"/>
  <c r="CF147" i="34"/>
  <c r="JE116" i="34"/>
  <c r="HT109" i="34"/>
  <c r="EE126" i="34"/>
  <c r="CQ57" i="33"/>
  <c r="FA56" i="34"/>
  <c r="AI25" i="33"/>
  <c r="BG34" i="33"/>
  <c r="FC50" i="33"/>
  <c r="DV85" i="34"/>
  <c r="DJ98" i="34"/>
  <c r="AV127" i="34"/>
  <c r="MF132" i="34"/>
  <c r="DP80" i="33"/>
  <c r="KP42" i="34"/>
  <c r="DW70" i="34"/>
  <c r="IS147" i="34"/>
  <c r="GM99" i="34"/>
  <c r="EG72" i="33"/>
  <c r="FA62" i="33"/>
  <c r="IA170" i="34"/>
  <c r="AQ140" i="34"/>
  <c r="EM38" i="33"/>
  <c r="EG82" i="33"/>
  <c r="KP61" i="34"/>
  <c r="AA25" i="33"/>
  <c r="FB144" i="34"/>
  <c r="DI44" i="34"/>
  <c r="JH115" i="34"/>
  <c r="FV41" i="33"/>
  <c r="JY142" i="34"/>
  <c r="AD186" i="34"/>
  <c r="MA68" i="34"/>
  <c r="IW178" i="34"/>
  <c r="AR92" i="33"/>
  <c r="DY183" i="34"/>
  <c r="Z31" i="33"/>
  <c r="DU68" i="33"/>
  <c r="GE84" i="33"/>
  <c r="W117" i="34"/>
  <c r="J63" i="33"/>
  <c r="CH75" i="34"/>
  <c r="BW73" i="33"/>
  <c r="K41" i="33"/>
  <c r="LD142" i="34"/>
  <c r="EG59" i="34"/>
  <c r="CJ100" i="34"/>
  <c r="J91" i="34"/>
  <c r="DJ86" i="34"/>
  <c r="HZ68" i="34"/>
  <c r="CZ29" i="33"/>
  <c r="HE83" i="34"/>
  <c r="CL81" i="34"/>
  <c r="EJ149" i="34"/>
  <c r="BP98" i="34"/>
  <c r="CL91" i="34"/>
  <c r="S59" i="23"/>
  <c r="DH159" i="34"/>
  <c r="KB43" i="34"/>
  <c r="PY118" i="34"/>
  <c r="FO123" i="34"/>
  <c r="KM122" i="34"/>
  <c r="CI97" i="34"/>
  <c r="KC94" i="34"/>
  <c r="EP31" i="33"/>
  <c r="FF78" i="33"/>
  <c r="S13" i="23"/>
  <c r="BO92" i="33"/>
  <c r="EY175" i="34"/>
  <c r="DW164" i="34"/>
  <c r="AL81" i="33"/>
  <c r="IS53" i="34"/>
  <c r="DA89" i="34"/>
  <c r="DX46" i="34"/>
  <c r="FO120" i="34"/>
  <c r="EG27" i="33"/>
  <c r="AI81" i="33"/>
  <c r="JB121" i="34"/>
  <c r="EA104" i="34"/>
  <c r="DX56" i="33"/>
  <c r="FP60" i="33"/>
  <c r="FV161" i="34"/>
  <c r="EY161" i="34"/>
  <c r="MG97" i="34"/>
  <c r="MC132" i="34"/>
  <c r="IA57" i="34"/>
  <c r="AR104" i="34"/>
  <c r="DI158" i="34"/>
  <c r="FO119" i="34"/>
  <c r="V112" i="34"/>
  <c r="BH38" i="33"/>
  <c r="OK119" i="34"/>
  <c r="DA94" i="34"/>
  <c r="F25" i="17"/>
  <c r="MD176" i="34"/>
  <c r="OH140" i="34"/>
  <c r="PI133" i="34"/>
  <c r="LF158" i="34"/>
  <c r="DL47" i="33"/>
  <c r="CU25" i="33"/>
  <c r="J62" i="33"/>
  <c r="IY136" i="34"/>
  <c r="NE87" i="34"/>
  <c r="MA186" i="34"/>
  <c r="OO42" i="34"/>
  <c r="HH113" i="34"/>
  <c r="GK123" i="34"/>
  <c r="L8" i="17"/>
  <c r="DO29" i="33"/>
  <c r="LI170" i="34"/>
  <c r="KP157" i="34"/>
  <c r="CU39" i="33"/>
  <c r="I76" i="33"/>
  <c r="CJ93" i="34"/>
  <c r="JZ156" i="34"/>
  <c r="AV83" i="33"/>
  <c r="DI63" i="34"/>
  <c r="G51" i="33"/>
  <c r="EJ85" i="33"/>
  <c r="DK72" i="33"/>
  <c r="GE75" i="33"/>
  <c r="JV73" i="34"/>
  <c r="FW55" i="33"/>
  <c r="DP51" i="33"/>
  <c r="M41" i="33"/>
  <c r="AC95" i="34"/>
  <c r="HD153" i="34"/>
  <c r="GO111" i="34"/>
  <c r="DJ146" i="34"/>
  <c r="GL46" i="34"/>
  <c r="NF167" i="34"/>
  <c r="HX154" i="34"/>
  <c r="HZ136" i="34"/>
  <c r="DC47" i="34"/>
  <c r="AM170" i="34"/>
  <c r="JZ72" i="34"/>
  <c r="AT70" i="33"/>
  <c r="CF46" i="34"/>
  <c r="HU186" i="34"/>
  <c r="IA139" i="34"/>
  <c r="GF67" i="33"/>
  <c r="LX62" i="34"/>
  <c r="AH82" i="33"/>
  <c r="FU51" i="33"/>
  <c r="AV41" i="34"/>
  <c r="EZ71" i="34"/>
  <c r="JC65" i="34"/>
  <c r="HV151" i="34"/>
  <c r="IQ65" i="34"/>
  <c r="LI56" i="34"/>
  <c r="CW33" i="33"/>
  <c r="L47" i="33"/>
  <c r="GK142" i="34"/>
  <c r="IB96" i="34"/>
  <c r="LX41" i="34"/>
  <c r="W42" i="33"/>
  <c r="IR50" i="34"/>
  <c r="EC104" i="34"/>
  <c r="FS76" i="34"/>
  <c r="CH79" i="34"/>
  <c r="DY90" i="34"/>
  <c r="CX79" i="33"/>
  <c r="K77" i="34"/>
  <c r="FN131" i="34"/>
  <c r="KP108" i="34"/>
  <c r="HF95" i="34"/>
  <c r="LH113" i="34"/>
  <c r="CJ126" i="34"/>
  <c r="DJ67" i="34"/>
  <c r="GQ84" i="34"/>
  <c r="MD49" i="34"/>
  <c r="DE39" i="33"/>
  <c r="CL54" i="33"/>
  <c r="DI157" i="34"/>
  <c r="GO26" i="33"/>
  <c r="HX77" i="34"/>
  <c r="J95" i="34"/>
  <c r="JC125" i="34"/>
  <c r="HU161" i="34"/>
  <c r="IZ74" i="34"/>
  <c r="AY111" i="34"/>
  <c r="AZ136" i="34"/>
  <c r="BN47" i="33"/>
  <c r="Z37" i="33"/>
  <c r="CL25" i="33"/>
  <c r="DD60" i="33"/>
  <c r="AR150" i="34"/>
  <c r="FL48" i="33"/>
  <c r="Y118" i="34"/>
  <c r="KM53" i="34"/>
  <c r="CJ72" i="34"/>
  <c r="IC141" i="34"/>
  <c r="P59" i="33"/>
  <c r="FW142" i="34"/>
  <c r="FH83" i="33"/>
  <c r="EG134" i="34"/>
  <c r="GU5" i="34"/>
  <c r="LC138" i="34"/>
  <c r="BT44" i="33"/>
  <c r="GK157" i="34"/>
  <c r="FS25" i="33"/>
  <c r="AV106" i="34"/>
  <c r="DH169" i="34"/>
  <c r="FP183" i="34"/>
  <c r="JF123" i="34"/>
  <c r="FU69" i="33"/>
  <c r="BR73" i="34"/>
  <c r="EW34" i="33"/>
  <c r="BQ130" i="34"/>
  <c r="CL60" i="34"/>
  <c r="NM42" i="34"/>
  <c r="NB140" i="34"/>
  <c r="BO47" i="34"/>
  <c r="FG61" i="33"/>
  <c r="AO49" i="34"/>
  <c r="BA158" i="34"/>
  <c r="FX143" i="34"/>
  <c r="DC65" i="34"/>
  <c r="KP178" i="34"/>
  <c r="LX118" i="34"/>
  <c r="IQ120" i="34"/>
  <c r="GD20" i="33"/>
  <c r="CL176" i="34"/>
  <c r="H33" i="33"/>
  <c r="FH52" i="33"/>
  <c r="NG148" i="34"/>
  <c r="KP156" i="34"/>
  <c r="EG178" i="34"/>
  <c r="GG30" i="33"/>
  <c r="JX59" i="34"/>
  <c r="KO178" i="34"/>
  <c r="DY46" i="33"/>
  <c r="JU186" i="34"/>
  <c r="X44" i="34"/>
  <c r="GP101" i="34"/>
  <c r="DV44" i="34"/>
  <c r="MO47" i="34"/>
  <c r="DF56" i="33"/>
  <c r="DP44" i="33"/>
  <c r="GL146" i="34"/>
  <c r="JV154" i="34"/>
  <c r="FS54" i="34"/>
  <c r="DC56" i="33"/>
  <c r="FO49" i="33"/>
  <c r="HW174" i="34"/>
  <c r="AC77" i="33"/>
  <c r="DW151" i="34"/>
  <c r="ED141" i="34"/>
  <c r="IY187" i="34"/>
  <c r="CN77" i="34"/>
  <c r="T90" i="33"/>
  <c r="EZ26" i="33"/>
  <c r="EY145" i="34"/>
  <c r="DR29" i="33"/>
  <c r="KA80" i="34"/>
  <c r="GK134" i="34"/>
  <c r="LB110" i="34"/>
  <c r="EZ126" i="34"/>
  <c r="J112" i="34"/>
  <c r="BE82" i="33"/>
  <c r="GP75" i="34"/>
  <c r="N80" i="33"/>
  <c r="CI170" i="34"/>
  <c r="AP85" i="34"/>
  <c r="BQ59" i="33"/>
  <c r="CE70" i="33"/>
  <c r="AZ86" i="34"/>
  <c r="KB83" i="34"/>
  <c r="FF23" i="33"/>
  <c r="JZ110" i="34"/>
  <c r="F47" i="33"/>
  <c r="DA79" i="33"/>
  <c r="CO81" i="33"/>
  <c r="HT152" i="34"/>
  <c r="FP54" i="33"/>
  <c r="DB40" i="33"/>
  <c r="DB52" i="34"/>
  <c r="JD101" i="34"/>
  <c r="IE132" i="34"/>
  <c r="CH86" i="33"/>
  <c r="EJ45" i="33"/>
  <c r="JV57" i="34"/>
  <c r="AZ118" i="34"/>
  <c r="HH143" i="34"/>
  <c r="FL83" i="33"/>
  <c r="DK57" i="33"/>
  <c r="LF151" i="34"/>
  <c r="EV84" i="33"/>
  <c r="BA26" i="33"/>
  <c r="FS60" i="34"/>
  <c r="FD35" i="33"/>
  <c r="FI48" i="33"/>
  <c r="BB61" i="33"/>
  <c r="BA133" i="34"/>
  <c r="FL42" i="33"/>
  <c r="FX70" i="33"/>
  <c r="FZ28" i="33"/>
  <c r="W174" i="34"/>
  <c r="JF146" i="34"/>
  <c r="DK58" i="33"/>
  <c r="W160" i="34"/>
  <c r="M65" i="33"/>
  <c r="BH70" i="33"/>
  <c r="GM78" i="33"/>
  <c r="CK145" i="34"/>
  <c r="FV63" i="34"/>
  <c r="AT47" i="34"/>
  <c r="AU72" i="33"/>
  <c r="GQ168" i="34"/>
  <c r="JC104" i="34"/>
  <c r="ED69" i="33"/>
  <c r="BO74" i="33"/>
  <c r="DY32" i="33"/>
  <c r="FP140" i="34"/>
  <c r="HT105" i="34"/>
  <c r="NA117" i="34"/>
  <c r="MM102" i="34"/>
  <c r="EJ160" i="34"/>
  <c r="DG38" i="33"/>
  <c r="GD34" i="33"/>
  <c r="CJ72" i="33"/>
  <c r="AT155" i="34"/>
  <c r="DA90" i="33"/>
  <c r="AF27" i="33"/>
  <c r="AJ67" i="33"/>
  <c r="X61" i="34"/>
  <c r="KO142" i="34"/>
  <c r="Y57" i="34"/>
  <c r="BO136" i="34"/>
  <c r="BA76" i="34"/>
  <c r="DW186" i="34"/>
  <c r="FO29" i="33"/>
  <c r="KA55" i="34"/>
  <c r="CI160" i="34"/>
  <c r="EI148" i="34"/>
  <c r="IA88" i="34"/>
  <c r="FU134" i="34"/>
  <c r="BM79" i="33"/>
  <c r="DN78" i="33"/>
  <c r="CD26" i="33"/>
  <c r="NB145" i="34"/>
  <c r="BT23" i="33"/>
  <c r="FP59" i="34"/>
  <c r="Y134" i="34"/>
  <c r="GI66" i="33"/>
  <c r="AN66" i="34"/>
  <c r="EK62" i="33"/>
  <c r="AZ78" i="34"/>
  <c r="EG70" i="33"/>
  <c r="DA91" i="34"/>
  <c r="DE149" i="34"/>
  <c r="DA139" i="34"/>
  <c r="AA162" i="34"/>
  <c r="BU72" i="33"/>
  <c r="DU78" i="33"/>
  <c r="AU81" i="33"/>
  <c r="BB82" i="33"/>
  <c r="DA59" i="34"/>
  <c r="IB73" i="34"/>
  <c r="FU33" i="33"/>
  <c r="FL84" i="33"/>
  <c r="AV99" i="34"/>
  <c r="JC100" i="34"/>
  <c r="CR68" i="33"/>
  <c r="FT35" i="33"/>
  <c r="EC115" i="34"/>
  <c r="FQ65" i="33"/>
  <c r="JV74" i="34"/>
  <c r="BN96" i="34"/>
  <c r="BW80" i="33"/>
  <c r="FV122" i="34"/>
  <c r="FS52" i="33"/>
  <c r="GE58" i="33"/>
  <c r="GO76" i="34"/>
  <c r="GB39" i="33"/>
  <c r="JA175" i="34"/>
  <c r="KR166" i="34"/>
  <c r="DH85" i="34"/>
  <c r="L62" i="33"/>
  <c r="EL75" i="33"/>
  <c r="IT161" i="34"/>
  <c r="CH74" i="33"/>
  <c r="FV63" i="33"/>
  <c r="FZ72" i="33"/>
  <c r="MJ112" i="34"/>
  <c r="GQ93" i="34"/>
  <c r="HV146" i="34"/>
  <c r="CM66" i="34"/>
  <c r="FO167" i="34"/>
  <c r="FR46" i="34"/>
  <c r="CH108" i="34"/>
  <c r="PX111" i="34"/>
  <c r="R68" i="33"/>
  <c r="HC139" i="34"/>
  <c r="AM47" i="33"/>
  <c r="MM153" i="34"/>
  <c r="HF134" i="34"/>
  <c r="BR77" i="33"/>
  <c r="AN55" i="33"/>
  <c r="DB156" i="34"/>
  <c r="CU75" i="33"/>
  <c r="AM56" i="34"/>
  <c r="EL51" i="33"/>
  <c r="HU78" i="34"/>
  <c r="BB93" i="34"/>
  <c r="HC162" i="34"/>
  <c r="EG55" i="33"/>
  <c r="BV33" i="33"/>
  <c r="CK38" i="33"/>
  <c r="BQ142" i="34"/>
  <c r="FB128" i="34"/>
  <c r="H16" i="17"/>
  <c r="U49" i="34"/>
  <c r="NA43" i="34"/>
  <c r="FL65" i="33"/>
  <c r="EJ34" i="33"/>
  <c r="DZ150" i="34"/>
  <c r="HY99" i="34"/>
  <c r="CW74" i="33"/>
  <c r="DI41" i="34"/>
  <c r="NN112" i="34"/>
  <c r="CZ40" i="33"/>
  <c r="JU47" i="34"/>
  <c r="FZ33" i="33"/>
  <c r="IV49" i="34"/>
  <c r="HW105" i="34"/>
  <c r="BH51" i="33"/>
  <c r="HU121" i="34"/>
  <c r="GJ75" i="33"/>
  <c r="AM78" i="33"/>
  <c r="DH52" i="33"/>
  <c r="BU64" i="33"/>
  <c r="FU138" i="34"/>
  <c r="EY55" i="33"/>
  <c r="MO176" i="34"/>
  <c r="KA140" i="34"/>
  <c r="DH104" i="34"/>
  <c r="JF42" i="34"/>
  <c r="AS27" i="33"/>
  <c r="DH59" i="33"/>
  <c r="DC148" i="34"/>
  <c r="CE162" i="34"/>
  <c r="EZ72" i="33"/>
  <c r="AR60" i="34"/>
  <c r="DC54" i="34"/>
  <c r="DZ79" i="33"/>
  <c r="EI59" i="34"/>
  <c r="AP74" i="34"/>
  <c r="NP51" i="34"/>
  <c r="BQ153" i="34"/>
  <c r="EF50" i="33"/>
  <c r="EA82" i="33"/>
  <c r="GN146" i="34"/>
  <c r="FH74" i="33"/>
  <c r="AV74" i="34"/>
  <c r="IY103" i="34"/>
  <c r="EE135" i="34"/>
  <c r="CH72" i="33"/>
  <c r="DF174" i="34"/>
  <c r="DM78" i="33"/>
  <c r="DB86" i="33"/>
  <c r="BN46" i="33"/>
  <c r="BW45" i="33"/>
  <c r="NP86" i="34"/>
  <c r="FX72" i="33"/>
  <c r="CS4" i="34"/>
  <c r="AV74" i="33"/>
  <c r="AH66" i="33"/>
  <c r="BM68" i="33"/>
  <c r="BM39" i="33"/>
  <c r="LB117" i="34"/>
  <c r="BA120" i="34"/>
  <c r="FU49" i="33"/>
  <c r="LY68" i="34"/>
  <c r="FP31" i="33"/>
  <c r="BA53" i="34"/>
  <c r="NC46" i="34"/>
  <c r="FS60" i="33"/>
  <c r="DE155" i="34"/>
  <c r="DX85" i="34"/>
  <c r="MI122" i="34"/>
  <c r="FR69" i="33"/>
  <c r="GM89" i="34"/>
  <c r="X86" i="34"/>
  <c r="AG36" i="33"/>
  <c r="FN100" i="34"/>
  <c r="IC122" i="34"/>
  <c r="DJ78" i="33"/>
  <c r="LH171" i="34"/>
  <c r="KC105" i="34"/>
  <c r="LY131" i="34"/>
  <c r="OL46" i="34"/>
  <c r="EE82" i="33"/>
  <c r="EC119" i="34"/>
  <c r="GK104" i="34"/>
  <c r="DF71" i="34"/>
  <c r="FA59" i="33"/>
  <c r="AZ50" i="34"/>
  <c r="CK58" i="34"/>
  <c r="W44" i="33"/>
  <c r="AN67" i="34"/>
  <c r="T168" i="34"/>
  <c r="CD72" i="34"/>
  <c r="BA147" i="34"/>
  <c r="FS51" i="33"/>
  <c r="U65" i="33"/>
  <c r="GJ47" i="34"/>
  <c r="DF55" i="34"/>
  <c r="W105" i="34"/>
  <c r="DC54" i="33"/>
  <c r="OK99" i="34"/>
  <c r="MI72" i="34"/>
  <c r="FU47" i="33"/>
  <c r="K95" i="34"/>
  <c r="EK175" i="34"/>
  <c r="BQ51" i="34"/>
  <c r="EJ142" i="34"/>
  <c r="GF51" i="33"/>
  <c r="AP107" i="34"/>
  <c r="FN81" i="33"/>
  <c r="AM75" i="33"/>
  <c r="GP96" i="34"/>
  <c r="DD28" i="33"/>
  <c r="BN85" i="33"/>
  <c r="CC52" i="33"/>
  <c r="F29" i="17"/>
  <c r="AS128" i="34"/>
  <c r="CS46" i="33"/>
  <c r="MF117" i="34"/>
  <c r="IB43" i="34"/>
  <c r="DX154" i="34"/>
  <c r="HZ148" i="34"/>
  <c r="AZ75" i="33"/>
  <c r="J152" i="34"/>
  <c r="AG9" i="34"/>
  <c r="EY86" i="33"/>
  <c r="GQ59" i="34"/>
  <c r="MK122" i="34"/>
  <c r="LG169" i="34"/>
  <c r="JD152" i="34"/>
  <c r="G44" i="33"/>
  <c r="ND151" i="34"/>
  <c r="AR42" i="33"/>
  <c r="JV85" i="34"/>
  <c r="ER25" i="33"/>
  <c r="EK118" i="34"/>
  <c r="DF157" i="34"/>
  <c r="EJ56" i="34"/>
  <c r="X136" i="34"/>
  <c r="AL27" i="33"/>
  <c r="FT64" i="33"/>
  <c r="Y50" i="33"/>
  <c r="BK28" i="33"/>
  <c r="JZ113" i="34"/>
  <c r="CM124" i="34"/>
  <c r="AK45" i="33"/>
  <c r="U85" i="33"/>
  <c r="ED73" i="34"/>
  <c r="CW70" i="33"/>
  <c r="NE92" i="34"/>
  <c r="LC61" i="34"/>
  <c r="PZ143" i="34"/>
  <c r="AT64" i="34"/>
  <c r="EG146" i="34"/>
  <c r="DH183" i="34"/>
  <c r="FS86" i="33"/>
  <c r="BU31" i="33"/>
  <c r="FW123" i="34"/>
  <c r="CE83" i="33"/>
  <c r="AX176" i="34"/>
  <c r="AV9" i="33"/>
  <c r="JT165" i="34"/>
  <c r="ED51" i="33"/>
  <c r="KM125" i="34"/>
  <c r="EZ79" i="34"/>
  <c r="FL45" i="33"/>
  <c r="IS183" i="34"/>
  <c r="FS116" i="34"/>
  <c r="CM115" i="34"/>
  <c r="CE118" i="34"/>
  <c r="GN112" i="34"/>
  <c r="BQ53" i="34"/>
  <c r="OH90" i="34"/>
  <c r="MJ137" i="34"/>
  <c r="DF120" i="34"/>
  <c r="HV56" i="34"/>
  <c r="AZ148" i="34"/>
  <c r="MM157" i="34"/>
  <c r="EL61" i="33"/>
  <c r="LJ145" i="34"/>
  <c r="JH162" i="34"/>
  <c r="HW187" i="34"/>
  <c r="DT58" i="33"/>
  <c r="FX125" i="34"/>
  <c r="HV58" i="34"/>
  <c r="S60" i="33"/>
  <c r="AU54" i="34"/>
  <c r="KM56" i="34"/>
  <c r="AN103" i="34"/>
  <c r="I78" i="33"/>
  <c r="JU73" i="34"/>
  <c r="HF75" i="34"/>
  <c r="EY90" i="33"/>
  <c r="HU70" i="34"/>
  <c r="LX183" i="34"/>
  <c r="LG124" i="34"/>
  <c r="DJ92" i="34"/>
  <c r="DI165" i="34"/>
  <c r="DJ141" i="34"/>
  <c r="DC71" i="34"/>
  <c r="EV60" i="33"/>
  <c r="LG107" i="34"/>
  <c r="B24" i="17"/>
  <c r="AT130" i="34"/>
  <c r="FT51" i="33"/>
  <c r="GH59" i="33"/>
  <c r="AX84" i="33"/>
  <c r="AT48" i="33"/>
  <c r="DJ67" i="33"/>
  <c r="DB58" i="34"/>
  <c r="R30" i="33"/>
  <c r="AB130" i="34"/>
  <c r="FX61" i="33"/>
  <c r="GG70" i="33"/>
  <c r="CI187" i="34"/>
  <c r="IE122" i="34"/>
  <c r="FM31" i="33"/>
  <c r="EC163" i="34"/>
  <c r="HE74" i="34"/>
  <c r="BT61" i="33"/>
  <c r="FU50" i="33"/>
  <c r="GJ76" i="33"/>
  <c r="FU39" i="33"/>
  <c r="DY39" i="33"/>
  <c r="CH148" i="34"/>
  <c r="PE163" i="34"/>
  <c r="IT132" i="34"/>
  <c r="KQ74" i="34"/>
  <c r="CI150" i="34"/>
  <c r="EG34" i="33"/>
  <c r="EC53" i="34"/>
  <c r="FK51" i="33"/>
  <c r="BN131" i="34"/>
  <c r="LJ93" i="34"/>
  <c r="FS46" i="33"/>
  <c r="DC186" i="34"/>
  <c r="HL4" i="34"/>
  <c r="BJ146" i="28"/>
  <c r="FD45" i="33"/>
  <c r="AD59" i="33"/>
  <c r="CP34" i="33"/>
  <c r="HD85" i="34"/>
  <c r="ID80" i="34"/>
  <c r="AH81" i="33"/>
  <c r="FY57" i="33"/>
  <c r="BL31" i="33"/>
  <c r="HZ127" i="34"/>
  <c r="IC139" i="34"/>
  <c r="FH28" i="33"/>
  <c r="AP133" i="34"/>
  <c r="DU31" i="33"/>
  <c r="JA164" i="34"/>
  <c r="LZ123" i="34"/>
  <c r="J84" i="33"/>
  <c r="KO129" i="34"/>
  <c r="DH145" i="34"/>
  <c r="BS70" i="33"/>
  <c r="GO82" i="34"/>
  <c r="NE126" i="34"/>
  <c r="U25" i="33"/>
  <c r="FJ63" i="33"/>
  <c r="DZ116" i="34"/>
  <c r="AH71" i="33"/>
  <c r="AT168" i="34"/>
  <c r="EX149" i="34"/>
  <c r="I75" i="33"/>
  <c r="DF36" i="33"/>
  <c r="EY42" i="33"/>
  <c r="FS26" i="33"/>
  <c r="BR75" i="34"/>
  <c r="AL57" i="33"/>
  <c r="ER65" i="33"/>
  <c r="IT136" i="34"/>
  <c r="S42" i="23"/>
  <c r="IT59" i="34"/>
  <c r="HT169" i="34"/>
  <c r="OK155" i="34"/>
  <c r="CB43" i="33"/>
  <c r="AD72" i="34"/>
  <c r="CK28" i="33"/>
  <c r="EB43" i="34"/>
  <c r="AX90" i="33"/>
  <c r="ON186" i="34"/>
  <c r="ER72" i="33"/>
  <c r="CI96" i="34"/>
  <c r="AN165" i="34"/>
  <c r="FT130" i="34"/>
  <c r="LX174" i="34"/>
  <c r="DC135" i="34"/>
  <c r="LB128" i="34"/>
  <c r="CM42" i="34"/>
  <c r="FZ85" i="33"/>
  <c r="HV55" i="34"/>
  <c r="AZ86" i="33"/>
  <c r="OJ156" i="34"/>
  <c r="DA155" i="34"/>
  <c r="AN112" i="34"/>
  <c r="Z63" i="33"/>
  <c r="CL41" i="33"/>
  <c r="CO45" i="34"/>
  <c r="DZ20" i="33"/>
  <c r="EK73" i="33"/>
  <c r="GP167" i="34"/>
  <c r="X62" i="34"/>
  <c r="FO176" i="34"/>
  <c r="FS92" i="34"/>
  <c r="LA103" i="34"/>
  <c r="J66" i="33"/>
  <c r="JC131" i="34"/>
  <c r="EH163" i="34"/>
  <c r="FT67" i="33"/>
  <c r="AZ83" i="33"/>
  <c r="KN64" i="34"/>
  <c r="JH159" i="34"/>
  <c r="FG48" i="33"/>
  <c r="GD59" i="33"/>
  <c r="HX110" i="34"/>
  <c r="DV107" i="34"/>
  <c r="BP72" i="34"/>
  <c r="CF72" i="33"/>
  <c r="BG53" i="33"/>
  <c r="AJ27" i="33"/>
  <c r="HZ160" i="34"/>
  <c r="BB70" i="33"/>
  <c r="AH38" i="33"/>
  <c r="EM76" i="33"/>
  <c r="FG58" i="33"/>
  <c r="LF96" i="34"/>
  <c r="FD33" i="33"/>
  <c r="BH57" i="33"/>
  <c r="FJ51" i="33"/>
  <c r="CM103" i="34"/>
  <c r="EB93" i="34"/>
  <c r="FN31" i="33"/>
  <c r="GG38" i="33"/>
  <c r="CM154" i="34"/>
  <c r="EP81" i="33"/>
  <c r="JY83" i="34"/>
  <c r="DP58" i="33"/>
  <c r="CM126" i="34"/>
  <c r="GF45" i="33"/>
  <c r="CG183" i="34"/>
  <c r="GP158" i="34"/>
  <c r="MD130" i="34"/>
  <c r="EW44" i="33"/>
  <c r="PK67" i="34"/>
  <c r="CS55" i="33"/>
  <c r="X79" i="34"/>
  <c r="BF38" i="33"/>
  <c r="DG41" i="34"/>
  <c r="DL37" i="33"/>
  <c r="NN78" i="34"/>
  <c r="EI84" i="34"/>
  <c r="LF121" i="34"/>
  <c r="JF170" i="34"/>
  <c r="NG137" i="34"/>
  <c r="NI107" i="34"/>
  <c r="FQ168" i="34"/>
  <c r="JW147" i="34"/>
  <c r="EE76" i="33"/>
  <c r="JB151" i="34"/>
  <c r="G75" i="33"/>
  <c r="BO75" i="33"/>
  <c r="FX25" i="33"/>
  <c r="AC79" i="33"/>
  <c r="LZ187" i="34"/>
  <c r="HZ146" i="34"/>
  <c r="AQ52" i="34"/>
  <c r="CA27" i="33"/>
  <c r="EH100" i="34"/>
  <c r="EM77" i="33"/>
  <c r="DH155" i="34"/>
  <c r="FI83" i="33"/>
  <c r="CC40" i="33"/>
  <c r="OL101" i="34"/>
  <c r="AV45" i="34"/>
  <c r="CN71" i="34"/>
  <c r="BM25" i="33"/>
  <c r="GE40" i="33"/>
  <c r="NI157" i="34"/>
  <c r="AD73" i="33"/>
  <c r="Z168" i="34"/>
  <c r="CJ144" i="34"/>
  <c r="GQ150" i="34"/>
  <c r="HZ50" i="34"/>
  <c r="BO172" i="34"/>
  <c r="DC52" i="33"/>
  <c r="BJ45" i="28"/>
  <c r="EY131" i="34"/>
  <c r="OI173" i="34"/>
  <c r="JA127" i="34"/>
  <c r="EI172" i="34"/>
  <c r="EJ158" i="34"/>
  <c r="DD42" i="34"/>
  <c r="JG130" i="34"/>
  <c r="BJ81" i="33"/>
  <c r="IT42" i="34"/>
  <c r="AV159" i="34"/>
  <c r="LI53" i="34"/>
  <c r="DV150" i="34"/>
  <c r="FH73" i="33"/>
  <c r="NI57" i="34"/>
  <c r="PW154" i="34"/>
  <c r="BE50" i="33"/>
  <c r="FV66" i="34"/>
  <c r="DJ72" i="33"/>
  <c r="LJ62" i="34"/>
  <c r="FU67" i="33"/>
  <c r="CO134" i="34"/>
  <c r="GF39" i="33"/>
  <c r="FQ128" i="34"/>
  <c r="FO117" i="34"/>
  <c r="G42" i="33"/>
  <c r="KO47" i="34"/>
  <c r="HG71" i="34"/>
  <c r="CJ90" i="33"/>
  <c r="MJ168" i="34"/>
  <c r="JT71" i="34"/>
  <c r="DZ57" i="34"/>
  <c r="NM111" i="34"/>
  <c r="DT75" i="33"/>
  <c r="PD161" i="34"/>
  <c r="DC67" i="33"/>
  <c r="EB121" i="34"/>
  <c r="EE103" i="34"/>
  <c r="ID82" i="34"/>
  <c r="EI145" i="34"/>
  <c r="HX133" i="34"/>
  <c r="AV109" i="34"/>
  <c r="AK55" i="33"/>
  <c r="FO181" i="34"/>
  <c r="CP60" i="33"/>
  <c r="C65" i="17"/>
  <c r="DC43" i="34"/>
  <c r="DH105" i="34"/>
  <c r="CN183" i="34"/>
  <c r="CO164" i="34"/>
  <c r="ED88" i="34"/>
  <c r="DX86" i="33"/>
  <c r="EW35" i="33"/>
  <c r="LY169" i="34"/>
  <c r="CC43" i="33"/>
  <c r="BR46" i="34"/>
  <c r="IT87" i="34"/>
  <c r="HZ172" i="34"/>
  <c r="DS9" i="33"/>
  <c r="FW27" i="33"/>
  <c r="CD85" i="33"/>
  <c r="OK123" i="34"/>
  <c r="MN183" i="34"/>
  <c r="OI79" i="34"/>
  <c r="JE140" i="34"/>
  <c r="CD145" i="34"/>
  <c r="AC103" i="34"/>
  <c r="KR155" i="34"/>
  <c r="IA169" i="34"/>
  <c r="IT188" i="34"/>
  <c r="HX158" i="34"/>
  <c r="CX80" i="33"/>
  <c r="BB67" i="34"/>
  <c r="AP92" i="34"/>
  <c r="MN127" i="34"/>
  <c r="ES70" i="33"/>
  <c r="AT153" i="34"/>
  <c r="AY40" i="33"/>
  <c r="DW128" i="34"/>
  <c r="KL148" i="34"/>
  <c r="IV51" i="34"/>
  <c r="GO47" i="34"/>
  <c r="FM47" i="33"/>
  <c r="AQ83" i="34"/>
  <c r="AT48" i="34"/>
  <c r="ES58" i="33"/>
  <c r="DG167" i="34"/>
  <c r="JD72" i="34"/>
  <c r="DG45" i="33"/>
  <c r="FX62" i="34"/>
  <c r="CA33" i="33"/>
  <c r="BN95" i="34"/>
  <c r="NP56" i="34"/>
  <c r="JT169" i="34"/>
  <c r="JW103" i="34"/>
  <c r="GN86" i="33"/>
  <c r="CX25" i="33"/>
  <c r="DC46" i="33"/>
  <c r="ED159" i="34"/>
  <c r="BY9" i="33"/>
  <c r="GN79" i="34"/>
  <c r="FI75" i="33"/>
  <c r="EZ66" i="33"/>
  <c r="Y99" i="34"/>
  <c r="HF66" i="34"/>
  <c r="MK175" i="34"/>
  <c r="EA105" i="34"/>
  <c r="JD104" i="34"/>
  <c r="EW74" i="34"/>
  <c r="ID162" i="34"/>
  <c r="HZ171" i="34"/>
  <c r="JV103" i="34"/>
  <c r="KR162" i="34"/>
  <c r="AX75" i="34"/>
  <c r="BR86" i="33"/>
  <c r="W48" i="33"/>
  <c r="CL49" i="33"/>
  <c r="DU58" i="33"/>
  <c r="FQ124" i="34"/>
  <c r="EG74" i="33"/>
  <c r="Z72" i="33"/>
  <c r="AC78" i="34"/>
  <c r="BQ102" i="34"/>
  <c r="HV76" i="34"/>
  <c r="AR124" i="34"/>
  <c r="HD141" i="34"/>
  <c r="AX168" i="34"/>
  <c r="LA146" i="34"/>
  <c r="FR51" i="33"/>
  <c r="AP67" i="33"/>
  <c r="EA101" i="34"/>
  <c r="DG71" i="33"/>
  <c r="EA52" i="34"/>
  <c r="BU84" i="33"/>
  <c r="GP129" i="34"/>
  <c r="GE51" i="33"/>
  <c r="MI148" i="34"/>
  <c r="AB124" i="34"/>
  <c r="FQ140" i="34"/>
  <c r="AR111" i="34"/>
  <c r="EC101" i="34"/>
  <c r="GP71" i="34"/>
  <c r="AA70" i="33"/>
  <c r="AL31" i="33"/>
  <c r="LG143" i="34"/>
  <c r="AT45" i="33"/>
  <c r="ME90" i="34"/>
  <c r="U152" i="34"/>
  <c r="FV70" i="33"/>
  <c r="KP46" i="34"/>
  <c r="CD81" i="33"/>
  <c r="KN131" i="34"/>
  <c r="DN50" i="33"/>
  <c r="BF25" i="33"/>
  <c r="GA66" i="33"/>
  <c r="FE42" i="33"/>
  <c r="MN166" i="34"/>
  <c r="FA46" i="33"/>
  <c r="DL35" i="33"/>
  <c r="CK109" i="34"/>
  <c r="DB163" i="34"/>
  <c r="LQ5" i="34"/>
  <c r="LY111" i="34"/>
  <c r="LE83" i="34"/>
  <c r="EP30" i="33"/>
  <c r="BP44" i="34"/>
  <c r="Y61" i="34"/>
  <c r="NO141" i="34"/>
  <c r="GO172" i="34"/>
  <c r="DR85" i="33"/>
  <c r="ED154" i="34"/>
  <c r="EQ61" i="33"/>
  <c r="FC78" i="33"/>
  <c r="FX65" i="33"/>
  <c r="DC72" i="33"/>
  <c r="HV123" i="34"/>
  <c r="CI162" i="34"/>
  <c r="AV150" i="34"/>
  <c r="MN46" i="34"/>
  <c r="EJ106" i="34"/>
  <c r="BP92" i="34"/>
  <c r="CK34" i="33"/>
  <c r="EX113" i="34"/>
  <c r="BP52" i="34"/>
  <c r="BN86" i="34"/>
  <c r="FO67" i="33"/>
  <c r="EV66" i="33"/>
  <c r="H80" i="33"/>
  <c r="NM128" i="34"/>
  <c r="GM81" i="34"/>
  <c r="ME131" i="34"/>
  <c r="K41" i="34"/>
  <c r="AF42" i="33"/>
  <c r="FP49" i="33"/>
  <c r="AB169" i="34"/>
  <c r="CG162" i="34"/>
  <c r="AY90" i="33"/>
  <c r="FN64" i="34"/>
  <c r="LK111" i="34"/>
  <c r="AK44" i="33"/>
  <c r="T88" i="34"/>
  <c r="GA48" i="33"/>
  <c r="EQ27" i="33"/>
  <c r="EZ25" i="33"/>
  <c r="FQ167" i="34"/>
  <c r="ES35" i="33"/>
  <c r="NL142" i="34"/>
  <c r="HG164" i="34"/>
  <c r="AE57" i="33"/>
  <c r="BI34" i="33"/>
  <c r="CI77" i="33"/>
  <c r="HN9" i="34"/>
  <c r="HT134" i="34"/>
  <c r="EP41" i="33"/>
  <c r="GM93" i="34"/>
  <c r="LC137" i="34"/>
  <c r="K90" i="33"/>
  <c r="BQ113" i="34"/>
  <c r="IC57" i="34"/>
  <c r="DC155" i="34"/>
  <c r="JB187" i="34"/>
  <c r="JA82" i="34"/>
  <c r="DH51" i="34"/>
  <c r="CZ25" i="33"/>
  <c r="BQ175" i="34"/>
  <c r="ND150" i="34"/>
  <c r="IQ64" i="34"/>
  <c r="NK79" i="34"/>
  <c r="KA74" i="34"/>
  <c r="IB55" i="34"/>
  <c r="EF41" i="33"/>
  <c r="DH153" i="34"/>
  <c r="EG76" i="33"/>
  <c r="J117" i="34"/>
  <c r="AF33" i="33"/>
  <c r="JA61" i="34"/>
  <c r="AQ64" i="34"/>
  <c r="GJ56" i="33"/>
  <c r="OH123" i="34"/>
  <c r="BW42" i="33"/>
  <c r="EL47" i="33"/>
  <c r="FP66" i="33"/>
  <c r="GO60" i="33"/>
  <c r="FU86" i="33"/>
  <c r="AE92" i="33"/>
  <c r="IZ61" i="34"/>
  <c r="U45" i="33"/>
  <c r="BC35" i="33"/>
  <c r="NL168" i="34"/>
  <c r="FP176" i="34"/>
  <c r="AO176" i="34"/>
  <c r="CH40" i="33"/>
  <c r="DD65" i="33"/>
  <c r="CM116" i="34"/>
  <c r="CD40" i="33"/>
  <c r="DU73" i="33"/>
  <c r="X42" i="34"/>
  <c r="DN80" i="33"/>
  <c r="EG25" i="33"/>
  <c r="OL118" i="34"/>
  <c r="EE54" i="34"/>
  <c r="BM31" i="33"/>
  <c r="DJ127" i="34"/>
  <c r="NK186" i="34"/>
  <c r="HV74" i="34"/>
  <c r="DF55" i="33"/>
  <c r="AC140" i="34"/>
  <c r="R35" i="33"/>
  <c r="EJ139" i="34"/>
  <c r="NN123" i="34"/>
  <c r="BJ95" i="28"/>
  <c r="DM71" i="33"/>
  <c r="EZ100" i="34"/>
  <c r="BO96" i="34"/>
  <c r="DA178" i="34"/>
  <c r="AA68" i="34"/>
  <c r="DF119" i="34"/>
  <c r="CW57" i="33"/>
  <c r="AW83" i="33"/>
  <c r="BV48" i="33"/>
  <c r="P86" i="33"/>
  <c r="GG52" i="33"/>
  <c r="BR51" i="33"/>
  <c r="KL82" i="34"/>
  <c r="AN96" i="34"/>
  <c r="AJ57" i="33"/>
  <c r="AA75" i="34"/>
  <c r="K67" i="33"/>
  <c r="AX50" i="34"/>
  <c r="FN117" i="34"/>
  <c r="CL64" i="34"/>
  <c r="BL85" i="33"/>
  <c r="CN54" i="33"/>
  <c r="CF29" i="33"/>
  <c r="AM140" i="34"/>
  <c r="CQ45" i="33"/>
  <c r="BY30" i="33"/>
  <c r="DF83" i="34"/>
  <c r="GP159" i="34"/>
  <c r="BM64" i="28"/>
  <c r="GL92" i="33"/>
  <c r="MJ77" i="34"/>
  <c r="FQ78" i="34"/>
  <c r="S179" i="23"/>
  <c r="OH54" i="34"/>
  <c r="HC145" i="34"/>
  <c r="EZ148" i="34"/>
  <c r="FI52" i="33"/>
  <c r="DK83" i="33"/>
  <c r="JC71" i="34"/>
  <c r="EF119" i="34"/>
  <c r="HD186" i="34"/>
  <c r="KA110" i="34"/>
  <c r="DW162" i="34"/>
  <c r="FI37" i="33"/>
  <c r="HD133" i="34"/>
  <c r="FR97" i="34"/>
  <c r="DR80" i="33"/>
  <c r="AE36" i="33"/>
  <c r="EL31" i="33"/>
  <c r="ID92" i="34"/>
  <c r="KO86" i="34"/>
  <c r="MG50" i="34"/>
  <c r="DK54" i="33"/>
  <c r="OH139" i="34"/>
  <c r="L67" i="33"/>
  <c r="CL57" i="33"/>
  <c r="FP152" i="34"/>
  <c r="FV46" i="34"/>
  <c r="HF165" i="34"/>
  <c r="DY55" i="33"/>
  <c r="K51" i="34"/>
  <c r="DO39" i="33"/>
  <c r="DY55" i="34"/>
  <c r="CO148" i="34"/>
  <c r="GJ146" i="34"/>
  <c r="X44" i="33"/>
  <c r="FR90" i="34"/>
  <c r="KR137" i="34"/>
  <c r="BJ109" i="28"/>
  <c r="FN60" i="34"/>
  <c r="EC121" i="34"/>
  <c r="KL78" i="34"/>
  <c r="MN176" i="34"/>
  <c r="NF150" i="34"/>
  <c r="GJ40" i="33"/>
  <c r="Z81" i="33"/>
  <c r="GO63" i="33"/>
  <c r="AP45" i="33"/>
  <c r="AZ156" i="34"/>
  <c r="DX44" i="33"/>
  <c r="CF136" i="34"/>
  <c r="U133" i="34"/>
  <c r="BB57" i="33"/>
  <c r="CL59" i="33"/>
  <c r="GO52" i="33"/>
  <c r="FT70" i="34"/>
  <c r="CG43" i="34"/>
  <c r="R73" i="33"/>
  <c r="DR27" i="33"/>
  <c r="OL93" i="34"/>
  <c r="IC113" i="34"/>
  <c r="CY66" i="33"/>
  <c r="EZ137" i="34"/>
  <c r="JV113" i="34"/>
  <c r="BY48" i="33"/>
  <c r="O37" i="33"/>
  <c r="NF84" i="34"/>
  <c r="FQ79" i="33"/>
  <c r="FS40" i="33"/>
  <c r="AM87" i="34"/>
  <c r="MB112" i="34"/>
  <c r="CH41" i="33"/>
  <c r="AU148" i="34"/>
  <c r="AV75" i="33"/>
  <c r="ME96" i="34"/>
  <c r="AS63" i="33"/>
  <c r="AN62" i="33"/>
  <c r="CJ97" i="34"/>
  <c r="GN62" i="33"/>
  <c r="H45" i="33"/>
  <c r="DF137" i="34"/>
  <c r="JD48" i="34"/>
  <c r="IB90" i="34"/>
  <c r="FN160" i="34"/>
  <c r="DZ54" i="33"/>
  <c r="HG129" i="34"/>
  <c r="EI60" i="34"/>
  <c r="CI136" i="34"/>
  <c r="IZ76" i="34"/>
  <c r="AM77" i="34"/>
  <c r="DI136" i="34"/>
  <c r="DH131" i="34"/>
  <c r="NH143" i="34"/>
  <c r="CL123" i="34"/>
  <c r="BP128" i="34"/>
  <c r="HE143" i="34"/>
  <c r="FN57" i="34"/>
  <c r="ID147" i="34"/>
  <c r="FV65" i="33"/>
  <c r="AC100" i="34"/>
  <c r="BV92" i="33"/>
  <c r="CE9" i="33"/>
  <c r="AH44" i="33"/>
  <c r="IT146" i="34"/>
  <c r="AR100" i="34"/>
  <c r="S32" i="17"/>
  <c r="H79" i="33"/>
  <c r="JU117" i="34"/>
  <c r="LJ73" i="34"/>
  <c r="LB115" i="34"/>
  <c r="KC128" i="34"/>
  <c r="HU124" i="34"/>
  <c r="DS72" i="33"/>
  <c r="EA79" i="33"/>
  <c r="DA40" i="33"/>
  <c r="PE41" i="34"/>
  <c r="DA39" i="33"/>
  <c r="CG102" i="34"/>
  <c r="NP117" i="34"/>
  <c r="DC78" i="33"/>
  <c r="ED164" i="34"/>
  <c r="S104" i="23"/>
  <c r="GP115" i="34"/>
  <c r="FQ151" i="34"/>
  <c r="T76" i="33"/>
  <c r="K137" i="34"/>
  <c r="AW96" i="34"/>
  <c r="DY27" i="33"/>
  <c r="S129" i="23"/>
  <c r="FQ173" i="34"/>
  <c r="CP73" i="33"/>
  <c r="KQ163" i="34"/>
  <c r="Z111" i="34"/>
  <c r="FI85" i="33"/>
  <c r="CE59" i="33"/>
  <c r="AH77" i="33"/>
  <c r="MG128" i="34"/>
  <c r="MK59" i="34"/>
  <c r="AT78" i="34"/>
  <c r="IS157" i="34"/>
  <c r="GO157" i="34"/>
  <c r="FT103" i="34"/>
  <c r="FN35" i="33"/>
  <c r="DD79" i="34"/>
  <c r="AH85" i="33"/>
  <c r="CJ124" i="34"/>
  <c r="GN153" i="34"/>
  <c r="FH81" i="33"/>
  <c r="JZ164" i="34"/>
  <c r="JG91" i="34"/>
  <c r="CK50" i="33"/>
  <c r="JE81" i="34"/>
  <c r="J157" i="34"/>
  <c r="KF8" i="34"/>
  <c r="IC62" i="34"/>
  <c r="DG57" i="34"/>
  <c r="CS70" i="33"/>
  <c r="AZ77" i="33"/>
  <c r="Y78" i="34"/>
  <c r="DM55" i="33"/>
  <c r="BE35" i="33"/>
  <c r="CL93" i="34"/>
  <c r="DH66" i="33"/>
  <c r="FN112" i="34"/>
  <c r="FA97" i="34"/>
  <c r="I68" i="33"/>
  <c r="CE181" i="34"/>
  <c r="JX129" i="34"/>
  <c r="DT41" i="33"/>
  <c r="CI46" i="33"/>
  <c r="CG131" i="34"/>
  <c r="CV25" i="33"/>
  <c r="GO167" i="34"/>
  <c r="BN71" i="33"/>
  <c r="EJ108" i="34"/>
  <c r="BN90" i="34"/>
  <c r="DG66" i="33"/>
  <c r="AI62" i="33"/>
  <c r="B23" i="17"/>
  <c r="T83" i="33"/>
  <c r="DG33" i="33"/>
  <c r="NI178" i="34"/>
  <c r="FS120" i="34"/>
  <c r="HV120" i="34"/>
  <c r="FD82" i="33"/>
  <c r="EE77" i="33"/>
  <c r="AO172" i="34"/>
  <c r="EP56" i="33"/>
  <c r="CG94" i="34"/>
  <c r="BR137" i="34"/>
  <c r="CN48" i="33"/>
  <c r="BI70" i="33"/>
  <c r="JA162" i="34"/>
  <c r="AZ58" i="33"/>
  <c r="FB109" i="34"/>
  <c r="FZ57" i="33"/>
  <c r="AW140" i="34"/>
  <c r="GK55" i="34"/>
  <c r="AP64" i="34"/>
  <c r="NB98" i="34"/>
  <c r="AS123" i="34"/>
  <c r="DJ110" i="34"/>
  <c r="CG79" i="34"/>
  <c r="CJ54" i="33"/>
  <c r="IS148" i="34"/>
  <c r="IR178" i="34"/>
  <c r="AZ56" i="34"/>
  <c r="DD45" i="34"/>
  <c r="AS37" i="33"/>
  <c r="CF112" i="34"/>
  <c r="EJ161" i="34"/>
  <c r="KO126" i="34"/>
  <c r="JE88" i="34"/>
  <c r="BP83" i="34"/>
  <c r="AK73" i="33"/>
  <c r="HH79" i="34"/>
  <c r="FN165" i="34"/>
  <c r="JC165" i="34"/>
  <c r="FB122" i="34"/>
  <c r="DB62" i="34"/>
  <c r="P33" i="33"/>
  <c r="LJ41" i="34"/>
  <c r="EH45" i="34"/>
  <c r="AT86" i="34"/>
  <c r="J45" i="33"/>
  <c r="BZ71" i="33"/>
  <c r="IV161" i="34"/>
  <c r="MJ45" i="34"/>
  <c r="IR137" i="34"/>
  <c r="AA82" i="34"/>
  <c r="GP174" i="34"/>
  <c r="BB55" i="34"/>
  <c r="K110" i="34"/>
  <c r="BJ90" i="28"/>
  <c r="CL157" i="34"/>
  <c r="MD178" i="34"/>
  <c r="DB181" i="34"/>
  <c r="BR66" i="34"/>
  <c r="HD59" i="34"/>
  <c r="U100" i="34"/>
  <c r="V145" i="34"/>
  <c r="JF171" i="34"/>
  <c r="DF129" i="34"/>
  <c r="JE42" i="34"/>
  <c r="JA74" i="34"/>
  <c r="FT142" i="34"/>
  <c r="GN82" i="33"/>
  <c r="J92" i="33"/>
  <c r="R66" i="33"/>
  <c r="GQ70" i="34"/>
  <c r="KN57" i="34"/>
  <c r="FR49" i="33"/>
  <c r="CR79" i="33"/>
  <c r="HH84" i="34"/>
  <c r="CO67" i="33"/>
  <c r="DV132" i="34"/>
  <c r="GF57" i="33"/>
  <c r="MF119" i="34"/>
  <c r="L38" i="33"/>
  <c r="FA49" i="34"/>
  <c r="FT25" i="33"/>
  <c r="BV4" i="34"/>
  <c r="DC75" i="33"/>
  <c r="DB83" i="34"/>
  <c r="T46" i="33"/>
  <c r="AD81" i="33"/>
  <c r="CI118" i="34"/>
  <c r="JF79" i="34"/>
  <c r="HU163" i="34"/>
  <c r="BK52" i="33"/>
  <c r="DC92" i="34"/>
  <c r="FA34" i="33"/>
  <c r="GK60" i="33"/>
  <c r="EY144" i="34"/>
  <c r="GL80" i="34"/>
  <c r="AT71" i="34"/>
  <c r="CI188" i="34"/>
  <c r="CH174" i="34"/>
  <c r="LA89" i="34"/>
  <c r="FM37" i="33"/>
  <c r="DH74" i="33"/>
  <c r="AC65" i="34"/>
  <c r="FH41" i="33"/>
  <c r="CK144" i="34"/>
  <c r="FO86" i="33"/>
  <c r="CJ183" i="34"/>
  <c r="AU35" i="33"/>
  <c r="FW48" i="33"/>
  <c r="FT76" i="34"/>
  <c r="LX131" i="34"/>
  <c r="EI141" i="34"/>
  <c r="BC65" i="33"/>
  <c r="AS67" i="33"/>
  <c r="DG36" i="33"/>
  <c r="S31" i="33"/>
  <c r="EF80" i="33"/>
  <c r="S148" i="23"/>
  <c r="BP47" i="34"/>
  <c r="NK56" i="34"/>
  <c r="AS120" i="34"/>
  <c r="AQ89" i="34"/>
  <c r="EG125" i="34"/>
  <c r="FI49" i="33"/>
  <c r="AD41" i="34"/>
  <c r="HF171" i="34"/>
  <c r="AV137" i="34"/>
  <c r="BF45" i="33"/>
  <c r="OK173" i="34"/>
  <c r="KN174" i="34"/>
  <c r="EZ38" i="33"/>
  <c r="CD71" i="34"/>
  <c r="ME103" i="34"/>
  <c r="KB71" i="34"/>
  <c r="CO125" i="34"/>
  <c r="HE104" i="34"/>
  <c r="AD38" i="33"/>
  <c r="LB62" i="34"/>
  <c r="GN100" i="34"/>
  <c r="BR27" i="33"/>
  <c r="BZ66" i="33"/>
  <c r="JC154" i="34"/>
  <c r="GD78" i="33"/>
  <c r="MC52" i="34"/>
  <c r="BO150" i="34"/>
  <c r="DW64" i="34"/>
  <c r="GB72" i="33"/>
  <c r="FP159" i="34"/>
  <c r="KC51" i="34"/>
  <c r="DT49" i="33"/>
  <c r="M39" i="33"/>
  <c r="IR118" i="34"/>
  <c r="AC120" i="34"/>
  <c r="BA105" i="34"/>
  <c r="BN41" i="33"/>
  <c r="DH64" i="33"/>
  <c r="HE130" i="34"/>
  <c r="U68" i="34"/>
  <c r="PA42" i="34"/>
  <c r="PH141" i="34"/>
  <c r="NB63" i="34"/>
  <c r="JE130" i="34"/>
  <c r="JY98" i="34"/>
  <c r="BN176" i="34"/>
  <c r="FI90" i="33"/>
  <c r="AX86" i="33"/>
  <c r="EG123" i="34"/>
  <c r="CA26" i="33"/>
  <c r="AP164" i="34"/>
  <c r="OI186" i="34"/>
  <c r="GK89" i="34"/>
  <c r="AK38" i="33"/>
  <c r="GP85" i="34"/>
  <c r="BQ128" i="34"/>
  <c r="CH79" i="33"/>
  <c r="CH59" i="34"/>
  <c r="AS43" i="34"/>
  <c r="DG138" i="34"/>
  <c r="KA87" i="34"/>
  <c r="FO50" i="34"/>
  <c r="FW47" i="34"/>
  <c r="DN72" i="33"/>
  <c r="FZ34" i="33"/>
  <c r="JU171" i="34"/>
  <c r="DN45" i="33"/>
  <c r="KN148" i="34"/>
  <c r="W34" i="33"/>
  <c r="EA95" i="34"/>
  <c r="NB62" i="34"/>
  <c r="EE171" i="34"/>
  <c r="DB183" i="34"/>
  <c r="BR47" i="33"/>
  <c r="CA29" i="33"/>
  <c r="EI102" i="34"/>
  <c r="AV60" i="33"/>
  <c r="DI99" i="34"/>
  <c r="FK26" i="33"/>
  <c r="AL30" i="33"/>
  <c r="FS175" i="34"/>
  <c r="ND173" i="34"/>
  <c r="BA73" i="34"/>
  <c r="HV164" i="34"/>
  <c r="GM68" i="33"/>
  <c r="BC61" i="33"/>
  <c r="BO170" i="34"/>
  <c r="LI137" i="34"/>
  <c r="AC85" i="33"/>
  <c r="MO90" i="34"/>
  <c r="GA63" i="33"/>
  <c r="AH90" i="33"/>
  <c r="CW83" i="33"/>
  <c r="BA62" i="33"/>
  <c r="BQ37" i="33"/>
  <c r="MA156" i="34"/>
  <c r="DP76" i="33"/>
  <c r="AO159" i="34"/>
  <c r="F9" i="33"/>
  <c r="BR71" i="33"/>
  <c r="S49" i="33"/>
  <c r="Y93" i="34"/>
  <c r="U58" i="33"/>
  <c r="IQ146" i="34"/>
  <c r="DJ155" i="34"/>
  <c r="BN143" i="34"/>
  <c r="DJ154" i="34"/>
  <c r="V141" i="34"/>
  <c r="R71" i="33"/>
  <c r="CG168" i="34"/>
  <c r="BB64" i="34"/>
  <c r="LD72" i="34"/>
  <c r="X142" i="34"/>
  <c r="HE186" i="34"/>
  <c r="CF171" i="34"/>
  <c r="BQ43" i="33"/>
  <c r="LY42" i="34"/>
  <c r="FI64" i="33"/>
  <c r="FN66" i="33"/>
  <c r="HZ64" i="34"/>
  <c r="CF62" i="34"/>
  <c r="LD146" i="34"/>
  <c r="BP112" i="34"/>
  <c r="PJ139" i="34"/>
  <c r="EK178" i="34"/>
  <c r="IY69" i="34"/>
  <c r="AN186" i="34"/>
  <c r="CB66" i="33"/>
  <c r="LA140" i="34"/>
  <c r="BQ158" i="34"/>
  <c r="EA46" i="33"/>
  <c r="I66" i="33"/>
  <c r="GM54" i="33"/>
  <c r="CA67" i="33"/>
  <c r="AA161" i="34"/>
  <c r="EV58" i="33"/>
  <c r="T86" i="33"/>
  <c r="FC86" i="33"/>
  <c r="LH167" i="34"/>
  <c r="AD143" i="34"/>
  <c r="FB67" i="34"/>
  <c r="BL46" i="33"/>
  <c r="CO93" i="34"/>
  <c r="FX29" i="33"/>
  <c r="DM79" i="33"/>
  <c r="DK55" i="33"/>
  <c r="DX134" i="34"/>
  <c r="FL61" i="33"/>
  <c r="DP90" i="33"/>
  <c r="ID109" i="34"/>
  <c r="FW107" i="34"/>
  <c r="JW164" i="34"/>
  <c r="JH103" i="34"/>
  <c r="AO153" i="34"/>
  <c r="CP33" i="33"/>
  <c r="FN78" i="33"/>
  <c r="EB89" i="34"/>
  <c r="ME153" i="34"/>
  <c r="FP99" i="34"/>
  <c r="GN77" i="34"/>
  <c r="AX62" i="34"/>
  <c r="KP43" i="34"/>
  <c r="DN29" i="33"/>
  <c r="EV74" i="33"/>
  <c r="DL51" i="33"/>
  <c r="IS94" i="34"/>
  <c r="CL47" i="34"/>
  <c r="ID113" i="34"/>
  <c r="EF42" i="33"/>
  <c r="X103" i="34"/>
  <c r="CJ78" i="33"/>
  <c r="FC79" i="33"/>
  <c r="MO50" i="34"/>
  <c r="JW149" i="34"/>
  <c r="MN167" i="34"/>
  <c r="IA52" i="34"/>
  <c r="LD71" i="34"/>
  <c r="DA165" i="34"/>
  <c r="NC181" i="34"/>
  <c r="CQ72" i="33"/>
  <c r="AP65" i="33"/>
  <c r="IB117" i="34"/>
  <c r="DA68" i="33"/>
  <c r="X162" i="34"/>
  <c r="CM75" i="34"/>
  <c r="AJ60" i="33"/>
  <c r="FD70" i="33"/>
  <c r="AQ159" i="34"/>
  <c r="BA82" i="33"/>
  <c r="BQ26" i="33"/>
  <c r="NN104" i="34"/>
  <c r="CK98" i="34"/>
  <c r="Z65" i="33"/>
  <c r="DX152" i="34"/>
  <c r="HG51" i="34"/>
  <c r="KO100" i="34"/>
  <c r="AD72" i="33"/>
  <c r="LB51" i="34"/>
  <c r="CI157" i="34"/>
  <c r="KR172" i="34"/>
  <c r="U90" i="33"/>
  <c r="CU72" i="33"/>
  <c r="CR66" i="33"/>
  <c r="JX56" i="34"/>
  <c r="GA47" i="33"/>
  <c r="CH153" i="34"/>
  <c r="DU82" i="33"/>
  <c r="M70" i="33"/>
  <c r="FX75" i="33"/>
  <c r="NM110" i="34"/>
  <c r="LI90" i="34"/>
  <c r="K31" i="33"/>
  <c r="CI173" i="34"/>
  <c r="F30" i="33"/>
  <c r="FP47" i="33"/>
  <c r="AS58" i="34"/>
  <c r="CG95" i="34"/>
  <c r="PZ77" i="34"/>
  <c r="AG39" i="33"/>
  <c r="DY80" i="33"/>
  <c r="CV85" i="33"/>
  <c r="DF98" i="34"/>
  <c r="W116" i="34"/>
  <c r="CL148" i="34"/>
  <c r="CO63" i="34"/>
  <c r="IR119" i="34"/>
  <c r="EH118" i="34"/>
  <c r="HX86" i="34"/>
  <c r="LG72" i="34"/>
  <c r="ML45" i="34"/>
  <c r="DB130" i="34"/>
  <c r="AH60" i="33"/>
  <c r="FX119" i="34"/>
  <c r="DW136" i="34"/>
  <c r="LK71" i="34"/>
  <c r="EF116" i="34"/>
  <c r="CN135" i="34"/>
  <c r="LK155" i="34"/>
  <c r="CV59" i="33"/>
  <c r="DL26" i="33"/>
  <c r="FV28" i="33"/>
  <c r="LE109" i="34"/>
  <c r="JX168" i="34"/>
  <c r="AZ54" i="33"/>
  <c r="BH61" i="33"/>
  <c r="CK27" i="33"/>
  <c r="W91" i="34"/>
  <c r="O28" i="33"/>
  <c r="FV42" i="34"/>
  <c r="BR92" i="33"/>
  <c r="EX186" i="34"/>
  <c r="AC102" i="34"/>
  <c r="FM78" i="33"/>
  <c r="DF97" i="34"/>
  <c r="BB78" i="34"/>
  <c r="GJ66" i="33"/>
  <c r="FW54" i="33"/>
  <c r="NI59" i="34"/>
  <c r="AR131" i="34"/>
  <c r="BO42" i="34"/>
  <c r="AZ125" i="34"/>
  <c r="CF73" i="34"/>
  <c r="LF181" i="34"/>
  <c r="JD85" i="34"/>
  <c r="GP169" i="34"/>
  <c r="GK109" i="34"/>
  <c r="DD71" i="33"/>
  <c r="CD59" i="34"/>
  <c r="FL47" i="33"/>
  <c r="BA77" i="34"/>
  <c r="FX48" i="34"/>
  <c r="FT88" i="34"/>
  <c r="T64" i="34"/>
  <c r="FX47" i="33"/>
  <c r="CY81" i="33"/>
  <c r="AV59" i="34"/>
  <c r="AV51" i="34"/>
  <c r="IE113" i="34"/>
  <c r="EK74" i="33"/>
  <c r="LD155" i="34"/>
  <c r="EW174" i="34"/>
  <c r="OO48" i="34"/>
  <c r="AV83" i="34"/>
  <c r="JG188" i="34"/>
  <c r="AZ178" i="34"/>
  <c r="KB102" i="34"/>
  <c r="Z40" i="33"/>
  <c r="JX187" i="34"/>
  <c r="LW76" i="34"/>
  <c r="KP175" i="34"/>
  <c r="K75" i="34"/>
  <c r="AM119" i="34"/>
  <c r="EF68" i="33"/>
  <c r="BA128" i="34"/>
  <c r="W62" i="33"/>
  <c r="CL130" i="34"/>
  <c r="HW138" i="34"/>
  <c r="DJ76" i="34"/>
  <c r="HT115" i="34"/>
  <c r="ER56" i="33"/>
  <c r="IB50" i="34"/>
  <c r="IE90" i="34"/>
  <c r="FR26" i="33"/>
  <c r="NE125" i="34"/>
  <c r="DA76" i="33"/>
  <c r="EJ52" i="33"/>
  <c r="AD56" i="33"/>
  <c r="HY95" i="34"/>
  <c r="NL169" i="34"/>
  <c r="JD91" i="34"/>
  <c r="EK64" i="33"/>
  <c r="FP144" i="34"/>
  <c r="EW158" i="34"/>
  <c r="BR160" i="34"/>
  <c r="JE178" i="34"/>
  <c r="DU34" i="33"/>
  <c r="JW151" i="34"/>
  <c r="I80" i="33"/>
  <c r="FV30" i="33"/>
  <c r="FG49" i="33"/>
  <c r="JZ134" i="34"/>
  <c r="J72" i="33"/>
  <c r="DO55" i="33"/>
  <c r="DZ122" i="34"/>
  <c r="AD97" i="34"/>
  <c r="GK57" i="34"/>
  <c r="CW67" i="33"/>
  <c r="JX49" i="34"/>
  <c r="FE68" i="33"/>
  <c r="DE9" i="33"/>
  <c r="FQ102" i="34"/>
  <c r="BQ156" i="34"/>
  <c r="CU57" i="33"/>
  <c r="KR98" i="34"/>
  <c r="EF26" i="33"/>
  <c r="CS73" i="33"/>
  <c r="AG55" i="33"/>
  <c r="CS57" i="33"/>
  <c r="Z164" i="34"/>
  <c r="KN183" i="34"/>
  <c r="EJ33" i="33"/>
  <c r="J90" i="33"/>
  <c r="JB157" i="34"/>
  <c r="EY125" i="34"/>
  <c r="G32" i="33"/>
  <c r="EB156" i="34"/>
  <c r="S55" i="23"/>
  <c r="GM70" i="34"/>
  <c r="IA79" i="34"/>
  <c r="AU66" i="34"/>
  <c r="GK74" i="33"/>
  <c r="AT49" i="33"/>
  <c r="DP82" i="33"/>
  <c r="KN158" i="34"/>
  <c r="FU51" i="34"/>
  <c r="LZ112" i="34"/>
  <c r="MD76" i="34"/>
  <c r="EA31" i="33"/>
  <c r="CY86" i="33"/>
  <c r="GF44" i="33"/>
  <c r="JC153" i="34"/>
  <c r="JC120" i="34"/>
  <c r="MK173" i="34"/>
  <c r="AD176" i="34"/>
  <c r="JZ168" i="34"/>
  <c r="DZ88" i="34"/>
  <c r="FP92" i="33"/>
  <c r="NH166" i="34"/>
  <c r="J66" i="34"/>
  <c r="IE149" i="34"/>
  <c r="J77" i="33"/>
  <c r="AJ76" i="33"/>
  <c r="HX186" i="34"/>
  <c r="LI104" i="34"/>
  <c r="AS52" i="34"/>
  <c r="P61" i="33"/>
  <c r="NL135" i="34"/>
  <c r="DU40" i="33"/>
  <c r="F62" i="28"/>
  <c r="EZ150" i="34"/>
  <c r="NM66" i="34"/>
  <c r="FX46" i="34"/>
  <c r="CZ28" i="33"/>
  <c r="HF86" i="34"/>
  <c r="HX48" i="34"/>
  <c r="EW120" i="34"/>
  <c r="AX45" i="33"/>
  <c r="IA66" i="34"/>
  <c r="J144" i="34"/>
  <c r="FR74" i="33"/>
  <c r="C55" i="17"/>
  <c r="FE73" i="33"/>
  <c r="HZ166" i="34"/>
  <c r="FX153" i="34"/>
  <c r="BR127" i="34"/>
  <c r="AP78" i="34"/>
  <c r="BF56" i="33"/>
  <c r="GJ57" i="33"/>
  <c r="AN129" i="34"/>
  <c r="Z89" i="34"/>
  <c r="MC51" i="34"/>
  <c r="FE25" i="33"/>
  <c r="C53" i="17"/>
  <c r="CL36" i="33"/>
  <c r="Z75" i="33"/>
  <c r="FZ50" i="33"/>
  <c r="CF168" i="34"/>
  <c r="X46" i="34"/>
  <c r="JT93" i="34"/>
  <c r="DR9" i="33"/>
  <c r="AO150" i="34"/>
  <c r="AO148" i="34"/>
  <c r="FD32" i="33"/>
  <c r="HG159" i="34"/>
  <c r="J54" i="34"/>
  <c r="LA79" i="34"/>
  <c r="CH115" i="34"/>
  <c r="HG85" i="34"/>
  <c r="BR37" i="33"/>
  <c r="GB35" i="33"/>
  <c r="BN82" i="34"/>
  <c r="FS174" i="34"/>
  <c r="JT126" i="34"/>
  <c r="DJ70" i="34"/>
  <c r="FB103" i="34"/>
  <c r="IT47" i="34"/>
  <c r="DT61" i="33"/>
  <c r="U82" i="33"/>
  <c r="JW86" i="34"/>
  <c r="FA40" i="33"/>
  <c r="FU55" i="33"/>
  <c r="BF4" i="34"/>
  <c r="BC86" i="33"/>
  <c r="HC109" i="34"/>
  <c r="GN53" i="33"/>
  <c r="IZ173" i="34"/>
  <c r="EW78" i="33"/>
  <c r="DO46" i="33"/>
  <c r="EA80" i="33"/>
  <c r="FQ60" i="34"/>
  <c r="EE27" i="33"/>
  <c r="HX162" i="34"/>
  <c r="HY46" i="34"/>
  <c r="AG90" i="33"/>
  <c r="GN97" i="34"/>
  <c r="DJ37" i="33"/>
  <c r="AY137" i="34"/>
  <c r="AT87" i="34"/>
  <c r="JD156" i="34"/>
  <c r="AA54" i="33"/>
  <c r="AN174" i="34"/>
  <c r="AY110" i="34"/>
  <c r="FV48" i="34"/>
  <c r="DP65" i="33"/>
  <c r="KM99" i="34"/>
  <c r="CF52" i="34"/>
  <c r="GE92" i="33"/>
  <c r="EG87" i="34"/>
  <c r="JY119" i="34"/>
  <c r="EW117" i="34"/>
  <c r="T37" i="33"/>
  <c r="MM43" i="34"/>
  <c r="AA53" i="33"/>
  <c r="M54" i="33"/>
  <c r="CH100" i="34"/>
  <c r="HX81" i="34"/>
  <c r="MG69" i="34"/>
  <c r="BN113" i="34"/>
  <c r="GA72" i="33"/>
  <c r="BB104" i="34"/>
  <c r="H68" i="33"/>
  <c r="CU71" i="33"/>
  <c r="CY27" i="33"/>
  <c r="AA136" i="34"/>
  <c r="FP49" i="34"/>
  <c r="KP87" i="34"/>
  <c r="KB62" i="34"/>
  <c r="Y88" i="34"/>
  <c r="BV83" i="33"/>
  <c r="ED169" i="34"/>
  <c r="AX187" i="34"/>
  <c r="JZ62" i="34"/>
  <c r="AG53" i="33"/>
  <c r="AD172" i="34"/>
  <c r="CG170" i="34"/>
  <c r="JB93" i="34"/>
  <c r="AZ91" i="34"/>
  <c r="CI84" i="33"/>
  <c r="FN147" i="34"/>
  <c r="CG167" i="34"/>
  <c r="CN77" i="33"/>
  <c r="GD62" i="33"/>
  <c r="AR56" i="33"/>
  <c r="ME67" i="34"/>
  <c r="JZ107" i="34"/>
  <c r="DX135" i="34"/>
  <c r="KN48" i="34"/>
  <c r="KP169" i="34"/>
  <c r="S61" i="33"/>
  <c r="GO170" i="34"/>
  <c r="HZ108" i="34"/>
  <c r="CN97" i="34"/>
  <c r="MM131" i="34"/>
  <c r="AO143" i="34"/>
  <c r="GE62" i="33"/>
  <c r="CN74" i="33"/>
  <c r="AW82" i="33"/>
  <c r="HU152" i="34"/>
  <c r="T52" i="33"/>
  <c r="FU149" i="34"/>
  <c r="AC45" i="33"/>
  <c r="U60" i="33"/>
  <c r="CC66" i="33"/>
  <c r="HV150" i="34"/>
  <c r="DD134" i="34"/>
  <c r="KR118" i="34"/>
  <c r="AY84" i="33"/>
  <c r="BM69" i="33"/>
  <c r="AM82" i="34"/>
  <c r="DG148" i="34"/>
  <c r="F55" i="33"/>
  <c r="DJ52" i="33"/>
  <c r="S25" i="33"/>
  <c r="DR63" i="33"/>
  <c r="FV62" i="33"/>
  <c r="E35" i="3"/>
  <c r="EV56" i="33"/>
  <c r="HD168" i="34"/>
  <c r="BR54" i="33"/>
  <c r="BT37" i="33"/>
  <c r="EA121" i="34"/>
  <c r="DD34" i="33"/>
  <c r="FW62" i="34"/>
  <c r="JT64" i="34"/>
  <c r="CF63" i="33"/>
  <c r="K129" i="28"/>
  <c r="AB131" i="34"/>
  <c r="JT85" i="34"/>
  <c r="MG107" i="34"/>
  <c r="EA51" i="34"/>
  <c r="AD37" i="33"/>
  <c r="PZ61" i="34"/>
  <c r="EX53" i="34"/>
  <c r="DB45" i="33"/>
  <c r="FT138" i="34"/>
  <c r="AV84" i="34"/>
  <c r="JT66" i="34"/>
  <c r="FC51" i="33"/>
  <c r="CD54" i="33"/>
  <c r="DC126" i="34"/>
  <c r="DZ64" i="34"/>
  <c r="B60" i="17"/>
  <c r="CJ48" i="33"/>
  <c r="KR109" i="34"/>
  <c r="NJ133" i="34"/>
  <c r="FL68" i="33"/>
  <c r="CL97" i="34"/>
  <c r="MA101" i="34"/>
  <c r="JZ76" i="34"/>
  <c r="AU86" i="34"/>
  <c r="F31" i="17"/>
  <c r="DH113" i="34"/>
  <c r="HZ187" i="34"/>
  <c r="GO33" i="33"/>
  <c r="M9" i="33"/>
  <c r="AU82" i="33"/>
  <c r="FK49" i="33"/>
  <c r="HU88" i="34"/>
  <c r="EX59" i="34"/>
  <c r="DE40" i="33"/>
  <c r="I92" i="33"/>
  <c r="AU53" i="33"/>
  <c r="EE64" i="33"/>
  <c r="CS54" i="33"/>
  <c r="DJ161" i="34"/>
  <c r="DX9" i="33"/>
  <c r="CP23" i="33"/>
  <c r="ID165" i="34"/>
  <c r="X82" i="34"/>
  <c r="AK84" i="33"/>
  <c r="K84" i="34"/>
  <c r="FU85" i="34"/>
  <c r="KA149" i="34"/>
  <c r="HZ86" i="34"/>
  <c r="KQ167" i="34"/>
  <c r="LK56" i="34"/>
  <c r="NM174" i="34"/>
  <c r="CY79" i="33"/>
  <c r="CM49" i="34"/>
  <c r="DY169" i="34"/>
  <c r="CU78" i="33"/>
  <c r="AC42" i="33"/>
  <c r="LD152" i="34"/>
  <c r="AR59" i="33"/>
  <c r="OK87" i="34"/>
  <c r="FL33" i="33"/>
  <c r="EF118" i="34"/>
  <c r="FR75" i="34"/>
  <c r="FT46" i="33"/>
  <c r="BQ87" i="34"/>
  <c r="CG50" i="34"/>
  <c r="AO183" i="34"/>
  <c r="F16" i="17"/>
  <c r="FO168" i="34"/>
  <c r="NG116" i="34"/>
  <c r="FW36" i="33"/>
  <c r="HG152" i="34"/>
  <c r="MA168" i="34"/>
  <c r="CL69" i="34"/>
  <c r="HF136" i="34"/>
  <c r="EM27" i="33"/>
  <c r="MJ124" i="34"/>
  <c r="EI111" i="34"/>
  <c r="JY80" i="34"/>
  <c r="EA42" i="33"/>
  <c r="DZ32" i="33"/>
  <c r="GQ115" i="34"/>
  <c r="FC64" i="33"/>
  <c r="BH5" i="34"/>
  <c r="F46" i="33"/>
  <c r="EE102" i="34"/>
  <c r="PY47" i="34"/>
  <c r="CQ79" i="33"/>
  <c r="FG59" i="33"/>
  <c r="BR56" i="34"/>
  <c r="LI47" i="34"/>
  <c r="BH26" i="33"/>
  <c r="AM63" i="33"/>
  <c r="AN41" i="33"/>
  <c r="LE146" i="34"/>
  <c r="KB48" i="34"/>
  <c r="GF34" i="33"/>
  <c r="AP138" i="34"/>
  <c r="HU181" i="34"/>
  <c r="EA128" i="34"/>
  <c r="BA86" i="34"/>
  <c r="BB86" i="33"/>
  <c r="GL66" i="34"/>
  <c r="KN187" i="34"/>
  <c r="EA143" i="34"/>
  <c r="EK152" i="34"/>
  <c r="AA163" i="34"/>
  <c r="FO115" i="34"/>
  <c r="MH67" i="34"/>
  <c r="NV6" i="34"/>
  <c r="AF55" i="33"/>
  <c r="AG40" i="33"/>
  <c r="CI53" i="34"/>
  <c r="P29" i="33"/>
  <c r="CP66" i="33"/>
  <c r="F62" i="33"/>
  <c r="FJ80" i="33"/>
  <c r="GD52" i="33"/>
  <c r="EF69" i="33"/>
  <c r="AS70" i="33"/>
  <c r="K36" i="33"/>
  <c r="CF42" i="33"/>
  <c r="FS134" i="34"/>
  <c r="BQ70" i="34"/>
  <c r="DE132" i="34"/>
  <c r="AR79" i="34"/>
  <c r="PC187" i="34"/>
  <c r="CP81" i="33"/>
  <c r="EK53" i="33"/>
  <c r="C54" i="17"/>
  <c r="CO87" i="34"/>
  <c r="ES85" i="33"/>
  <c r="S78" i="23"/>
  <c r="FA92" i="33"/>
  <c r="DV48" i="34"/>
  <c r="BB43" i="34"/>
  <c r="KQ41" i="34"/>
  <c r="GM71" i="33"/>
  <c r="DC172" i="34"/>
  <c r="IY109" i="34"/>
  <c r="JH113" i="34"/>
  <c r="GA84" i="33"/>
  <c r="EW29" i="33"/>
  <c r="DH44" i="33"/>
  <c r="FO112" i="34"/>
  <c r="ED97" i="34"/>
  <c r="JZ117" i="34"/>
  <c r="CH110" i="34"/>
  <c r="DB59" i="33"/>
  <c r="Y83" i="34"/>
  <c r="FM28" i="33"/>
  <c r="GB36" i="33"/>
  <c r="AD149" i="34"/>
  <c r="AL68" i="33"/>
  <c r="T40" i="33"/>
  <c r="IZ146" i="34"/>
  <c r="GJ31" i="33"/>
  <c r="GF72" i="33"/>
  <c r="ER80" i="33"/>
  <c r="BH84" i="33"/>
  <c r="CE69" i="33"/>
  <c r="JY95" i="34"/>
  <c r="DY110" i="34"/>
  <c r="DI46" i="34"/>
  <c r="DY161" i="34"/>
  <c r="AY176" i="34"/>
  <c r="CQ82" i="33"/>
  <c r="J118" i="34"/>
  <c r="NH146" i="34"/>
  <c r="X49" i="34"/>
  <c r="DX79" i="34"/>
  <c r="LA158" i="34"/>
  <c r="DE68" i="33"/>
  <c r="FX93" i="34"/>
  <c r="LD117" i="34"/>
  <c r="FL39" i="33"/>
  <c r="CV62" i="33"/>
  <c r="LC146" i="34"/>
  <c r="DG100" i="34"/>
  <c r="LC94" i="34"/>
  <c r="IW81" i="34"/>
  <c r="AN187" i="34"/>
  <c r="DU43" i="33"/>
  <c r="MM106" i="34"/>
  <c r="EA87" i="34"/>
  <c r="AN66" i="33"/>
  <c r="BM73" i="33"/>
  <c r="BZ67" i="33"/>
  <c r="J65" i="33"/>
  <c r="EX125" i="34"/>
  <c r="AC74" i="34"/>
  <c r="EH65" i="34"/>
  <c r="JC98" i="34"/>
  <c r="CJ154" i="34"/>
  <c r="JH61" i="34"/>
  <c r="DI105" i="34"/>
  <c r="LD56" i="34"/>
  <c r="P83" i="33"/>
  <c r="AV98" i="34"/>
  <c r="OL135" i="34"/>
  <c r="KM131" i="34"/>
  <c r="FT129" i="34"/>
  <c r="NP106" i="34"/>
  <c r="DB112" i="34"/>
  <c r="PY109" i="34"/>
  <c r="EF168" i="34"/>
  <c r="GJ28" i="33"/>
  <c r="CX82" i="33"/>
  <c r="BG31" i="33"/>
  <c r="FY72" i="33"/>
  <c r="JT98" i="34"/>
  <c r="EZ157" i="34"/>
  <c r="EI158" i="34"/>
  <c r="CV83" i="33"/>
  <c r="FZ71" i="33"/>
  <c r="IV117" i="34"/>
  <c r="HV113" i="34"/>
  <c r="PI84" i="34"/>
  <c r="NB147" i="34"/>
  <c r="DC163" i="34"/>
  <c r="Z65" i="34"/>
  <c r="EQ38" i="33"/>
  <c r="AA46" i="34"/>
  <c r="DI78" i="34"/>
  <c r="IW109" i="34"/>
  <c r="HV73" i="34"/>
  <c r="DR47" i="33"/>
  <c r="AT116" i="34"/>
  <c r="GH51" i="33"/>
  <c r="BQ109" i="34"/>
  <c r="DW89" i="34"/>
  <c r="AT93" i="34"/>
  <c r="CN161" i="34"/>
  <c r="KQ55" i="34"/>
  <c r="B31" i="17"/>
  <c r="G71" i="33"/>
  <c r="FS53" i="33"/>
  <c r="LX181" i="34"/>
  <c r="FJ42" i="33"/>
  <c r="AD63" i="33"/>
  <c r="HH135" i="34"/>
  <c r="CJ52" i="33"/>
  <c r="GD36" i="33"/>
  <c r="CC42" i="33"/>
  <c r="AB69" i="34"/>
  <c r="KB167" i="34"/>
  <c r="AN32" i="33"/>
  <c r="LK82" i="34"/>
  <c r="NF53" i="34"/>
  <c r="DZ55" i="33"/>
  <c r="BF57" i="33"/>
  <c r="LY116" i="34"/>
  <c r="FS168" i="34"/>
  <c r="BR68" i="33"/>
  <c r="CQ52" i="33"/>
  <c r="JB52" i="34"/>
  <c r="U53" i="34"/>
  <c r="DG68" i="33"/>
  <c r="CO25" i="33"/>
  <c r="Z92" i="34"/>
  <c r="IY141" i="34"/>
  <c r="HU67" i="34"/>
  <c r="HC127" i="34"/>
  <c r="FN128" i="34"/>
  <c r="FT112" i="34"/>
  <c r="KR141" i="34"/>
  <c r="FA149" i="34"/>
  <c r="AJ26" i="33"/>
  <c r="HW127" i="34"/>
  <c r="FR75" i="33"/>
  <c r="OO52" i="34"/>
  <c r="DY130" i="34"/>
  <c r="CJ92" i="34"/>
  <c r="JW81" i="34"/>
  <c r="AW137" i="34"/>
  <c r="JW76" i="34"/>
  <c r="GM153" i="34"/>
  <c r="ID183" i="34"/>
  <c r="AM77" i="33"/>
  <c r="NM52" i="34"/>
  <c r="S36" i="17"/>
  <c r="HG76" i="34"/>
  <c r="AZ64" i="33"/>
  <c r="AP92" i="33"/>
  <c r="AC123" i="34"/>
  <c r="EQ30" i="33"/>
  <c r="FK42" i="33"/>
  <c r="DB129" i="34"/>
  <c r="JE96" i="34"/>
  <c r="CK29" i="33"/>
  <c r="FA138" i="34"/>
  <c r="M86" i="33"/>
  <c r="DJ54" i="33"/>
  <c r="AM145" i="34"/>
  <c r="IB159" i="34"/>
  <c r="LZ50" i="34"/>
  <c r="JD75" i="34"/>
  <c r="FI55" i="33"/>
  <c r="GJ52" i="34"/>
  <c r="BG85" i="33"/>
  <c r="BA116" i="34"/>
  <c r="FD74" i="33"/>
  <c r="EJ58" i="33"/>
  <c r="BR82" i="33"/>
  <c r="CK83" i="34"/>
  <c r="KB46" i="34"/>
  <c r="JB64" i="34"/>
  <c r="CK149" i="34"/>
  <c r="DH91" i="34"/>
  <c r="DE187" i="34"/>
  <c r="FK74" i="33"/>
  <c r="AX70" i="33"/>
  <c r="CJ84" i="34"/>
  <c r="DD147" i="34"/>
  <c r="BQ161" i="34"/>
  <c r="LC154" i="34"/>
  <c r="JY122" i="34"/>
  <c r="BB80" i="34"/>
  <c r="Y56" i="33"/>
  <c r="JG144" i="34"/>
  <c r="J136" i="34"/>
  <c r="DG133" i="34"/>
  <c r="IB109" i="34"/>
  <c r="JB116" i="34"/>
  <c r="DB82" i="33"/>
  <c r="DZ186" i="34"/>
  <c r="J168" i="34"/>
  <c r="K165" i="34"/>
  <c r="AI71" i="33"/>
  <c r="HU164" i="34"/>
  <c r="BP88" i="34"/>
  <c r="JY157" i="34"/>
  <c r="AC65" i="33"/>
  <c r="MK129" i="34"/>
  <c r="EK55" i="33"/>
  <c r="JC49" i="34"/>
  <c r="BJ51" i="33"/>
  <c r="BA126" i="34"/>
  <c r="DA75" i="33"/>
  <c r="Y51" i="34"/>
  <c r="DC109" i="34"/>
  <c r="DF111" i="34"/>
  <c r="HT89" i="34"/>
  <c r="CJ41" i="33"/>
  <c r="DU29" i="33"/>
  <c r="JA126" i="34"/>
  <c r="AT127" i="34"/>
  <c r="IE119" i="34"/>
  <c r="KR103" i="34"/>
  <c r="EY95" i="34"/>
  <c r="NF42" i="34"/>
  <c r="JD79" i="34"/>
  <c r="AB97" i="34"/>
  <c r="CJ66" i="33"/>
  <c r="EE45" i="33"/>
  <c r="DM47" i="33"/>
  <c r="LK178" i="34"/>
  <c r="JA68" i="34"/>
  <c r="AZ100" i="34"/>
  <c r="KO144" i="34"/>
  <c r="AQ186" i="34"/>
  <c r="DT78" i="33"/>
  <c r="S107" i="23"/>
  <c r="DT25" i="33"/>
  <c r="AZ90" i="34"/>
  <c r="FQ144" i="34"/>
  <c r="KL121" i="34"/>
  <c r="JX110" i="34"/>
  <c r="FN50" i="34"/>
  <c r="ML42" i="34"/>
  <c r="FU58" i="34"/>
  <c r="J80" i="33"/>
  <c r="AC71" i="34"/>
  <c r="EK75" i="34"/>
  <c r="IY165" i="34"/>
  <c r="DG69" i="33"/>
  <c r="GB55" i="33"/>
  <c r="JZ108" i="34"/>
  <c r="NB131" i="34"/>
  <c r="CA53" i="33"/>
  <c r="CX75" i="33"/>
  <c r="GF36" i="33"/>
  <c r="FH40" i="33"/>
  <c r="BP63" i="34"/>
  <c r="AS76" i="34"/>
  <c r="FJ74" i="33"/>
  <c r="BP56" i="28"/>
  <c r="BB97" i="34"/>
  <c r="FD42" i="33"/>
  <c r="CI42" i="34"/>
  <c r="LB186" i="34"/>
  <c r="DA106" i="34"/>
  <c r="FO103" i="34"/>
  <c r="CI85" i="33"/>
  <c r="EY43" i="33"/>
  <c r="NH109" i="34"/>
  <c r="FS62" i="33"/>
  <c r="DF74" i="34"/>
  <c r="EH112" i="34"/>
  <c r="EY78" i="34"/>
  <c r="HF187" i="34"/>
  <c r="NH163" i="34"/>
  <c r="CI33" i="33"/>
  <c r="PA70" i="34"/>
  <c r="GL41" i="33"/>
  <c r="X54" i="34"/>
  <c r="JZ158" i="34"/>
  <c r="EE45" i="34"/>
  <c r="FK46" i="33"/>
  <c r="GK137" i="34"/>
  <c r="AD52" i="33"/>
  <c r="J50" i="34"/>
  <c r="AS76" i="33"/>
  <c r="BA70" i="33"/>
  <c r="BN55" i="33"/>
  <c r="N41" i="33"/>
  <c r="PX95" i="34"/>
  <c r="EY123" i="34"/>
  <c r="KL107" i="34"/>
  <c r="DB188" i="34"/>
  <c r="HF146" i="34"/>
  <c r="BK9" i="33"/>
  <c r="DO48" i="33"/>
  <c r="FX40" i="33"/>
  <c r="DN25" i="33"/>
  <c r="DM38" i="33"/>
  <c r="AS124" i="34"/>
  <c r="PE64" i="34"/>
  <c r="JA146" i="34"/>
  <c r="T60" i="34"/>
  <c r="ME118" i="34"/>
  <c r="FU136" i="34"/>
  <c r="DD164" i="34"/>
  <c r="AS188" i="34"/>
  <c r="DM76" i="33"/>
  <c r="BR26" i="33"/>
  <c r="HG153" i="34"/>
  <c r="BN48" i="33"/>
  <c r="GM49" i="34"/>
  <c r="EA64" i="33"/>
  <c r="CB59" i="33"/>
  <c r="CL92" i="33"/>
  <c r="DW166" i="34"/>
  <c r="AS166" i="34"/>
  <c r="FG79" i="33"/>
  <c r="AX133" i="34"/>
  <c r="FW41" i="33"/>
  <c r="AT169" i="34"/>
  <c r="AD130" i="34"/>
  <c r="AA109" i="34"/>
  <c r="EH188" i="34"/>
  <c r="GA60" i="33"/>
  <c r="AA83" i="34"/>
  <c r="NF113" i="34"/>
  <c r="BB89" i="34"/>
  <c r="AE69" i="33"/>
  <c r="J27" i="33"/>
  <c r="BZ55" i="33"/>
  <c r="AY188" i="34"/>
  <c r="FX94" i="34"/>
  <c r="FO35" i="33"/>
  <c r="AK31" i="33"/>
  <c r="IZ126" i="34"/>
  <c r="JE136" i="34"/>
  <c r="HU168" i="34"/>
  <c r="CI29" i="33"/>
  <c r="EA148" i="34"/>
  <c r="JT41" i="34"/>
  <c r="LE178" i="34"/>
  <c r="KM187" i="34"/>
  <c r="AU75" i="33"/>
  <c r="EI101" i="34"/>
  <c r="AU27" i="33"/>
  <c r="KL75" i="34"/>
  <c r="CJ98" i="34"/>
  <c r="NO64" i="34"/>
  <c r="Y92" i="33"/>
  <c r="N30" i="33"/>
  <c r="CA73" i="33"/>
  <c r="GJ95" i="34"/>
  <c r="JV84" i="34"/>
  <c r="OO172" i="34"/>
  <c r="NM90" i="34"/>
  <c r="W73" i="34"/>
  <c r="DJ131" i="34"/>
  <c r="FG43" i="33"/>
  <c r="AC43" i="34"/>
  <c r="DC154" i="34"/>
  <c r="FN58" i="33"/>
  <c r="JX103" i="34"/>
  <c r="CU8" i="34"/>
  <c r="MO126" i="34"/>
  <c r="HT87" i="34"/>
  <c r="AD63" i="34"/>
  <c r="DL42" i="33"/>
  <c r="FA129" i="34"/>
  <c r="JC166" i="34"/>
  <c r="KC115" i="34"/>
  <c r="GL82" i="34"/>
  <c r="DY70" i="33"/>
  <c r="NG132" i="34"/>
  <c r="HE118" i="34"/>
  <c r="GN54" i="33"/>
  <c r="NA135" i="34"/>
  <c r="DF107" i="34"/>
  <c r="KA171" i="34"/>
  <c r="CG71" i="34"/>
  <c r="AG56" i="33"/>
  <c r="DE61" i="33"/>
  <c r="LI172" i="34"/>
  <c r="HX144" i="34"/>
  <c r="EJ47" i="33"/>
  <c r="FN144" i="34"/>
  <c r="LK99" i="34"/>
  <c r="B95" i="28"/>
  <c r="DE176" i="34"/>
  <c r="CI171" i="34"/>
  <c r="EY107" i="34"/>
  <c r="AY75" i="33"/>
  <c r="CQ33" i="33"/>
  <c r="BM50" i="33"/>
  <c r="EI97" i="34"/>
  <c r="GN71" i="34"/>
  <c r="AM88" i="34"/>
  <c r="FA94" i="34"/>
  <c r="Z113" i="34"/>
  <c r="EK63" i="34"/>
  <c r="FQ30" i="33"/>
  <c r="DT69" i="33"/>
  <c r="CI174" i="34"/>
  <c r="EF37" i="33"/>
  <c r="NH70" i="34"/>
  <c r="NP108" i="34"/>
  <c r="DY49" i="34"/>
  <c r="GL131" i="34"/>
  <c r="CU29" i="33"/>
  <c r="BZ59" i="33"/>
  <c r="BN104" i="34"/>
  <c r="AA43" i="33"/>
  <c r="EC50" i="34"/>
  <c r="JD74" i="34"/>
  <c r="MD164" i="34"/>
  <c r="DJ79" i="33"/>
  <c r="GN98" i="34"/>
  <c r="ML59" i="34"/>
  <c r="BO63" i="33"/>
  <c r="HH151" i="34"/>
  <c r="CE67" i="34"/>
  <c r="DR78" i="33"/>
  <c r="KC59" i="34"/>
  <c r="EV44" i="33"/>
  <c r="AR89" i="34"/>
  <c r="CL73" i="33"/>
  <c r="EQ44" i="33"/>
  <c r="EJ46" i="33"/>
  <c r="EY38" i="33"/>
  <c r="IA121" i="34"/>
  <c r="IE103" i="34"/>
  <c r="CL67" i="34"/>
  <c r="PY120" i="34"/>
  <c r="W43" i="33"/>
  <c r="EF83" i="34"/>
  <c r="DW110" i="34"/>
  <c r="DR75" i="33"/>
  <c r="AP140" i="34"/>
  <c r="GL51" i="33"/>
  <c r="MO158" i="34"/>
  <c r="ED137" i="34"/>
  <c r="GB34" i="33"/>
  <c r="EW100" i="34"/>
  <c r="LA119" i="34"/>
  <c r="HW57" i="34"/>
  <c r="ED172" i="34"/>
  <c r="CL48" i="34"/>
  <c r="IT51" i="34"/>
  <c r="AT132" i="34"/>
  <c r="EH54" i="34"/>
  <c r="GL82" i="33"/>
  <c r="AD110" i="34"/>
  <c r="JH73" i="34"/>
  <c r="HT50" i="34"/>
  <c r="W51" i="33"/>
  <c r="DY108" i="34"/>
  <c r="CH129" i="34"/>
  <c r="BH50" i="33"/>
  <c r="BI63" i="33"/>
  <c r="BN187" i="34"/>
  <c r="IE97" i="34"/>
  <c r="AM60" i="33"/>
  <c r="DO69" i="33"/>
  <c r="FN41" i="33"/>
  <c r="IT60" i="34"/>
  <c r="FU159" i="34"/>
  <c r="B52" i="17"/>
  <c r="EE128" i="34"/>
  <c r="BB56" i="34"/>
  <c r="DB38" i="33"/>
  <c r="GN43" i="33"/>
  <c r="DC82" i="34"/>
  <c r="BW47" i="33"/>
  <c r="EZ156" i="34"/>
  <c r="BU47" i="33"/>
  <c r="DH160" i="34"/>
  <c r="FR96" i="34"/>
  <c r="KA92" i="34"/>
  <c r="FR129" i="34"/>
  <c r="EV80" i="33"/>
  <c r="HW159" i="34"/>
  <c r="PD162" i="34"/>
  <c r="KL141" i="34"/>
  <c r="FO64" i="33"/>
  <c r="CV30" i="33"/>
  <c r="GQ80" i="34"/>
  <c r="FO51" i="33"/>
  <c r="KL112" i="34"/>
  <c r="FD55" i="33"/>
  <c r="AS86" i="33"/>
  <c r="GL28" i="33"/>
  <c r="DR41" i="33"/>
  <c r="CF43" i="33"/>
  <c r="DZ187" i="34"/>
  <c r="NC129" i="34"/>
  <c r="DL81" i="33"/>
  <c r="AP83" i="33"/>
  <c r="FZ64" i="33"/>
  <c r="DC164" i="34"/>
  <c r="GI47" i="33"/>
  <c r="IW150" i="34"/>
  <c r="HC107" i="34"/>
  <c r="NA165" i="34"/>
  <c r="CX65" i="33"/>
  <c r="FW163" i="34"/>
  <c r="FB186" i="34"/>
  <c r="BL35" i="33"/>
  <c r="BN55" i="34"/>
  <c r="GK183" i="34"/>
  <c r="GM37" i="33"/>
  <c r="EI109" i="34"/>
  <c r="AL79" i="33"/>
  <c r="MJ171" i="34"/>
  <c r="AD81" i="34"/>
  <c r="MD163" i="34"/>
  <c r="AK71" i="33"/>
  <c r="CE36" i="33"/>
  <c r="GI70" i="33"/>
  <c r="DJ87" i="34"/>
  <c r="IC153" i="34"/>
  <c r="AX43" i="33"/>
  <c r="FG85" i="33"/>
  <c r="EJ93" i="34"/>
  <c r="AT53" i="33"/>
  <c r="CC60" i="33"/>
  <c r="LI69" i="34"/>
  <c r="AH34" i="33"/>
  <c r="JC88" i="34"/>
  <c r="JY106" i="34"/>
  <c r="JB141" i="34"/>
  <c r="AX82" i="33"/>
  <c r="EB69" i="34"/>
  <c r="GO78" i="33"/>
  <c r="NL90" i="34"/>
  <c r="GI92" i="33"/>
  <c r="T84" i="34"/>
  <c r="FV61" i="34"/>
  <c r="AY61" i="33"/>
  <c r="AP68" i="33"/>
  <c r="DI108" i="34"/>
  <c r="LB55" i="34"/>
  <c r="HU106" i="34"/>
  <c r="AR91" i="34"/>
  <c r="EJ50" i="34"/>
  <c r="DJ55" i="34"/>
  <c r="EL73" i="33"/>
  <c r="HY56" i="34"/>
  <c r="EG86" i="33"/>
  <c r="DS67" i="33"/>
  <c r="J52" i="34"/>
  <c r="JG166" i="34"/>
  <c r="BM84" i="33"/>
  <c r="NP153" i="34"/>
  <c r="DT26" i="33"/>
  <c r="CI131" i="34"/>
  <c r="FQ162" i="34"/>
  <c r="KL153" i="34"/>
  <c r="FA76" i="34"/>
  <c r="FR143" i="34"/>
  <c r="CD155" i="34"/>
  <c r="AE82" i="33"/>
  <c r="GP45" i="34"/>
  <c r="KM147" i="34"/>
  <c r="CI86" i="34"/>
  <c r="IZ152" i="34"/>
  <c r="JD168" i="34"/>
  <c r="IA83" i="34"/>
  <c r="X176" i="34"/>
  <c r="AD86" i="33"/>
  <c r="HV90" i="34"/>
  <c r="AY150" i="34"/>
  <c r="MN87" i="34"/>
  <c r="FV142" i="34"/>
  <c r="AD42" i="33"/>
  <c r="CD74" i="33"/>
  <c r="DX109" i="34"/>
  <c r="CD66" i="34"/>
  <c r="BJ56" i="33"/>
  <c r="CO67" i="34"/>
  <c r="U99" i="34"/>
  <c r="BJ97" i="28"/>
  <c r="JZ145" i="34"/>
  <c r="EG67" i="33"/>
  <c r="J129" i="34"/>
  <c r="AY58" i="33"/>
  <c r="CL51" i="34"/>
  <c r="NI110" i="34"/>
  <c r="DB92" i="33"/>
  <c r="DZ162" i="34"/>
  <c r="AR69" i="34"/>
  <c r="DI70" i="34"/>
  <c r="HW53" i="34"/>
  <c r="LJ99" i="34"/>
  <c r="AR127" i="34"/>
  <c r="G53" i="33"/>
  <c r="AX65" i="33"/>
  <c r="LY159" i="34"/>
  <c r="EK81" i="33"/>
  <c r="X91" i="34"/>
  <c r="EI122" i="34"/>
  <c r="EE115" i="34"/>
  <c r="I69" i="33"/>
  <c r="N82" i="33"/>
  <c r="NC151" i="34"/>
  <c r="DX163" i="34"/>
  <c r="Z81" i="34"/>
  <c r="LJ122" i="34"/>
  <c r="BR163" i="34"/>
  <c r="LA46" i="34"/>
  <c r="FA25" i="33"/>
  <c r="JV156" i="34"/>
  <c r="EH178" i="34"/>
  <c r="HV52" i="34"/>
  <c r="HW97" i="34"/>
  <c r="HT148" i="34"/>
  <c r="DP69" i="33"/>
  <c r="EC88" i="34"/>
  <c r="PD83" i="34"/>
  <c r="AE84" i="33"/>
  <c r="FQ150" i="34"/>
  <c r="DG187" i="34"/>
  <c r="ED55" i="33"/>
  <c r="DG131" i="34"/>
  <c r="GL36" i="33"/>
  <c r="EZ68" i="33"/>
  <c r="DA86" i="33"/>
  <c r="GM145" i="34"/>
  <c r="BN72" i="33"/>
  <c r="FG31" i="33"/>
  <c r="AV57" i="33"/>
  <c r="GN40" i="33"/>
  <c r="EK186" i="34"/>
  <c r="BB80" i="33"/>
  <c r="FN75" i="34"/>
  <c r="CI65" i="33"/>
  <c r="FP148" i="34"/>
  <c r="AJ79" i="33"/>
  <c r="DC28" i="33"/>
  <c r="OO128" i="34"/>
  <c r="HE169" i="34"/>
  <c r="CL78" i="33"/>
  <c r="MM73" i="34"/>
  <c r="DC183" i="34"/>
  <c r="CA37" i="33"/>
  <c r="EP62" i="33"/>
  <c r="DC78" i="34"/>
  <c r="GJ167" i="34"/>
  <c r="JX91" i="34"/>
  <c r="BJ56" i="28"/>
  <c r="T77" i="33"/>
  <c r="GN83" i="34"/>
  <c r="EG53" i="34"/>
  <c r="FR36" i="33"/>
  <c r="GH60" i="33"/>
  <c r="AS50" i="33"/>
  <c r="IT121" i="34"/>
  <c r="GF55" i="33"/>
  <c r="K72" i="33"/>
  <c r="GK151" i="34"/>
  <c r="KN122" i="34"/>
  <c r="EZ97" i="34"/>
  <c r="JE112" i="34"/>
  <c r="FY66" i="33"/>
  <c r="FS58" i="33"/>
  <c r="AA84" i="33"/>
  <c r="AP170" i="34"/>
  <c r="AD46" i="33"/>
  <c r="CI93" i="34"/>
  <c r="AE54" i="33"/>
  <c r="FG70" i="33"/>
  <c r="CM112" i="34"/>
  <c r="KB150" i="34"/>
  <c r="FJ52" i="33"/>
  <c r="DD45" i="33"/>
  <c r="I82" i="33"/>
  <c r="HH105" i="34"/>
  <c r="AD183" i="34"/>
  <c r="FX41" i="33"/>
  <c r="KQ161" i="34"/>
  <c r="DZ81" i="34"/>
  <c r="BF40" i="33"/>
  <c r="Z178" i="34"/>
  <c r="ID129" i="34"/>
  <c r="BE61" i="33"/>
  <c r="Z52" i="33"/>
  <c r="BJ170" i="28"/>
  <c r="FG67" i="33"/>
  <c r="CY54" i="33"/>
  <c r="V109" i="34"/>
  <c r="GB50" i="33"/>
  <c r="ME107" i="34"/>
  <c r="EE78" i="33"/>
  <c r="EC94" i="34"/>
  <c r="DJ120" i="34"/>
  <c r="I50" i="33"/>
  <c r="HT48" i="34"/>
  <c r="GG79" i="33"/>
  <c r="HZ94" i="34"/>
  <c r="AD142" i="34"/>
  <c r="FV88" i="34"/>
  <c r="EL67" i="33"/>
  <c r="BC80" i="33"/>
  <c r="EV71" i="33"/>
  <c r="FS57" i="33"/>
  <c r="V134" i="34"/>
  <c r="CP68" i="33"/>
  <c r="CL66" i="34"/>
  <c r="IA133" i="34"/>
  <c r="MG135" i="34"/>
  <c r="EK37" i="33"/>
  <c r="ML148" i="34"/>
  <c r="FS44" i="33"/>
  <c r="EW95" i="34"/>
  <c r="IZ181" i="34"/>
  <c r="J48" i="33"/>
  <c r="EI45" i="34"/>
  <c r="U166" i="34"/>
  <c r="DB25" i="33"/>
  <c r="BB71" i="33"/>
  <c r="K52" i="34"/>
  <c r="KM170" i="34"/>
  <c r="PY49" i="34"/>
  <c r="EZ77" i="34"/>
  <c r="EC161" i="34"/>
  <c r="KB174" i="34"/>
  <c r="CZ58" i="33"/>
  <c r="GO65" i="33"/>
  <c r="B82" i="28"/>
  <c r="CD79" i="34"/>
  <c r="GN173" i="34"/>
  <c r="DC77" i="34"/>
  <c r="EK105" i="34"/>
  <c r="GI58" i="33"/>
  <c r="BQ59" i="34"/>
  <c r="CN73" i="33"/>
  <c r="DE35" i="33"/>
  <c r="CM127" i="34"/>
  <c r="JE97" i="34"/>
  <c r="OH51" i="34"/>
  <c r="CK137" i="34"/>
  <c r="GG82" i="33"/>
  <c r="BN136" i="34"/>
  <c r="FP178" i="34"/>
  <c r="FW49" i="34"/>
  <c r="DH107" i="34"/>
  <c r="BA67" i="33"/>
  <c r="MB121" i="34"/>
  <c r="CH159" i="34"/>
  <c r="BI82" i="33"/>
  <c r="GN155" i="34"/>
  <c r="FU116" i="34"/>
  <c r="BL70" i="33"/>
  <c r="AN76" i="33"/>
  <c r="CA86" i="33"/>
  <c r="K49" i="34"/>
  <c r="ME104" i="34"/>
  <c r="BR72" i="33"/>
  <c r="IS143" i="34"/>
  <c r="BN159" i="34"/>
  <c r="BZ80" i="33"/>
  <c r="EP58" i="33"/>
  <c r="EJ165" i="34"/>
  <c r="FQ101" i="34"/>
  <c r="DI147" i="34"/>
  <c r="JW85" i="34"/>
  <c r="K119" i="34"/>
  <c r="AT94" i="34"/>
  <c r="AZ42" i="33"/>
  <c r="DY83" i="33"/>
  <c r="CM95" i="34"/>
  <c r="DU49" i="33"/>
  <c r="F69" i="33"/>
  <c r="IR61" i="34"/>
  <c r="GP147" i="34"/>
  <c r="FB102" i="34"/>
  <c r="NO167" i="34"/>
  <c r="CM153" i="34"/>
  <c r="CH36" i="33"/>
  <c r="DC188" i="34"/>
  <c r="NM162" i="34"/>
  <c r="MN66" i="34"/>
  <c r="P55" i="33"/>
  <c r="IA152" i="34"/>
  <c r="DA149" i="34"/>
  <c r="DF126" i="34"/>
  <c r="M40" i="33"/>
  <c r="AY84" i="34"/>
  <c r="DD92" i="34"/>
  <c r="GL27" i="33"/>
  <c r="GE49" i="33"/>
  <c r="BO32" i="33"/>
  <c r="BN65" i="33"/>
  <c r="V71" i="33"/>
  <c r="BQ122" i="34"/>
  <c r="FH49" i="33"/>
  <c r="AM42" i="34"/>
  <c r="GM103" i="34"/>
  <c r="AS39" i="33"/>
  <c r="FU73" i="33"/>
  <c r="JE94" i="34"/>
  <c r="EQ83" i="33"/>
  <c r="EH145" i="34"/>
  <c r="KO88" i="34"/>
  <c r="DZ108" i="34"/>
  <c r="FU69" i="34"/>
  <c r="AY80" i="33"/>
  <c r="BO157" i="34"/>
  <c r="DH30" i="33"/>
  <c r="FR63" i="33"/>
  <c r="GB75" i="33"/>
  <c r="AH31" i="33"/>
  <c r="EF48" i="33"/>
  <c r="BE53" i="33"/>
  <c r="ED68" i="34"/>
  <c r="AD78" i="34"/>
  <c r="KR106" i="34"/>
  <c r="CH128" i="34"/>
  <c r="JG165" i="34"/>
  <c r="EY67" i="33"/>
  <c r="KR181" i="34"/>
  <c r="BB46" i="33"/>
  <c r="EG56" i="34"/>
  <c r="BQ187" i="34"/>
  <c r="DA62" i="34"/>
  <c r="AQ118" i="34"/>
  <c r="J79" i="34"/>
  <c r="MN111" i="34"/>
  <c r="FS49" i="34"/>
  <c r="BA71" i="33"/>
  <c r="EZ128" i="34"/>
  <c r="GN53" i="34"/>
  <c r="IB154" i="34"/>
  <c r="MA84" i="34"/>
  <c r="FN74" i="33"/>
  <c r="EC52" i="34"/>
  <c r="BS52" i="33"/>
  <c r="LI156" i="34"/>
  <c r="DD74" i="33"/>
  <c r="FX110" i="34"/>
  <c r="NF106" i="34"/>
  <c r="FA187" i="34"/>
  <c r="LC119" i="34"/>
  <c r="CS92" i="33"/>
  <c r="DB66" i="34"/>
  <c r="HX167" i="34"/>
  <c r="DF59" i="33"/>
  <c r="FQ183" i="34"/>
  <c r="IS155" i="34"/>
  <c r="CD74" i="34"/>
  <c r="GI72" i="33"/>
  <c r="FT117" i="34"/>
  <c r="J9" i="33"/>
  <c r="DJ183" i="34"/>
  <c r="MO43" i="34"/>
  <c r="IR156" i="34"/>
  <c r="X167" i="34"/>
  <c r="HW95" i="34"/>
  <c r="PY65" i="34"/>
  <c r="DC68" i="34"/>
  <c r="DE173" i="34"/>
  <c r="I85" i="33"/>
  <c r="FW91" i="34"/>
  <c r="AV75" i="34"/>
  <c r="JZ73" i="34"/>
  <c r="Z57" i="33"/>
  <c r="AP146" i="34"/>
  <c r="BP91" i="34"/>
  <c r="S86" i="33"/>
  <c r="FW46" i="34"/>
  <c r="EY36" i="33"/>
  <c r="ES26" i="33"/>
  <c r="MN131" i="34"/>
  <c r="ED83" i="33"/>
  <c r="CR86" i="33"/>
  <c r="DM30" i="33"/>
  <c r="FS96" i="34"/>
  <c r="BQ72" i="34"/>
  <c r="DA45" i="34"/>
  <c r="CL43" i="33"/>
  <c r="FM36" i="33"/>
  <c r="AA79" i="33"/>
  <c r="GM95" i="34"/>
  <c r="FR29" i="33"/>
  <c r="BP61" i="34"/>
  <c r="DX169" i="34"/>
  <c r="DZ131" i="34"/>
  <c r="IZ98" i="34"/>
  <c r="GJ91" i="34"/>
  <c r="LE90" i="34"/>
  <c r="AQ178" i="34"/>
  <c r="N28" i="33"/>
  <c r="DP64" i="33"/>
  <c r="FF44" i="33"/>
  <c r="AA68" i="33"/>
  <c r="FS159" i="34"/>
  <c r="MD68" i="34"/>
  <c r="JU92" i="34"/>
  <c r="KP163" i="34"/>
  <c r="CL66" i="33"/>
  <c r="M59" i="33"/>
  <c r="EH105" i="34"/>
  <c r="GG84" i="33"/>
  <c r="BQ48" i="33"/>
  <c r="FA70" i="33"/>
  <c r="AX44" i="34"/>
  <c r="IE138" i="34"/>
  <c r="Z62" i="34"/>
  <c r="IS158" i="34"/>
  <c r="DM40" i="33"/>
  <c r="PF168" i="34"/>
  <c r="GG40" i="33"/>
  <c r="B56" i="17"/>
  <c r="HY96" i="34"/>
  <c r="JT43" i="34"/>
  <c r="IV119" i="34"/>
  <c r="GI35" i="33"/>
  <c r="EL9" i="33"/>
  <c r="FW170" i="34"/>
  <c r="MM156" i="34"/>
  <c r="FV45" i="34"/>
  <c r="L81" i="33"/>
  <c r="HY144" i="34"/>
  <c r="GM81" i="33"/>
  <c r="AW71" i="33"/>
  <c r="FF65" i="33"/>
  <c r="DM52" i="33"/>
  <c r="GA44" i="33"/>
  <c r="FA45" i="33"/>
  <c r="EA151" i="34"/>
  <c r="CW58" i="33"/>
  <c r="BQ49" i="34"/>
  <c r="ES45" i="33"/>
  <c r="BG74" i="33"/>
  <c r="N32" i="33"/>
  <c r="AV65" i="33"/>
  <c r="IT109" i="34"/>
  <c r="CB73" i="33"/>
  <c r="AM36" i="33"/>
  <c r="DR31" i="33"/>
  <c r="FJ76" i="33"/>
  <c r="KR188" i="34"/>
  <c r="AO181" i="34"/>
  <c r="AZ123" i="34"/>
  <c r="CS84" i="33"/>
  <c r="CH92" i="33"/>
  <c r="IY161" i="34"/>
  <c r="AU74" i="34"/>
  <c r="BL27" i="33"/>
  <c r="IB79" i="34"/>
  <c r="AA37" i="33"/>
  <c r="FM26" i="33"/>
  <c r="AX28" i="33"/>
  <c r="BW34" i="33"/>
  <c r="KQ66" i="34"/>
  <c r="EF41" i="34"/>
  <c r="EZ56" i="33"/>
  <c r="CR9" i="33"/>
  <c r="LE165" i="34"/>
  <c r="AY47" i="34"/>
  <c r="KM136" i="34"/>
  <c r="AE86" i="33"/>
  <c r="M69" i="33"/>
  <c r="HG139" i="34"/>
  <c r="LZ87" i="34"/>
  <c r="AQ53" i="33"/>
  <c r="ER37" i="33"/>
  <c r="AM131" i="34"/>
  <c r="KO110" i="34"/>
  <c r="GK33" i="33"/>
  <c r="FW68" i="34"/>
  <c r="CH65" i="33"/>
  <c r="AG32" i="33"/>
  <c r="LZ181" i="34"/>
  <c r="MF69" i="34"/>
  <c r="FT52" i="33"/>
  <c r="CV50" i="33"/>
  <c r="MK157" i="34"/>
  <c r="KC135" i="34"/>
  <c r="S41" i="17"/>
  <c r="FU173" i="34"/>
  <c r="FI38" i="33"/>
  <c r="FH42" i="33"/>
  <c r="BO118" i="34"/>
  <c r="JT145" i="34"/>
  <c r="BO71" i="34"/>
  <c r="FY44" i="33"/>
  <c r="S30" i="33"/>
  <c r="X67" i="34"/>
  <c r="BA50" i="34"/>
  <c r="GG71" i="33"/>
  <c r="KA100" i="34"/>
  <c r="JU178" i="34"/>
  <c r="DM46" i="33"/>
  <c r="DO52" i="33"/>
  <c r="X39" i="33"/>
  <c r="BH56" i="33"/>
  <c r="FX86" i="33"/>
  <c r="HT81" i="34"/>
  <c r="Y83" i="33"/>
  <c r="PI96" i="34"/>
  <c r="HU41" i="34"/>
  <c r="JW169" i="34"/>
  <c r="BZ51" i="33"/>
  <c r="AO90" i="34"/>
  <c r="M56" i="33"/>
  <c r="KQ42" i="34"/>
  <c r="BB62" i="33"/>
  <c r="KR178" i="34"/>
  <c r="BW9" i="33"/>
  <c r="DX59" i="33"/>
  <c r="DI166" i="34"/>
  <c r="K128" i="28"/>
  <c r="EW48" i="33"/>
  <c r="FA53" i="33"/>
  <c r="JU86" i="34"/>
  <c r="FT86" i="34"/>
  <c r="FS47" i="33"/>
  <c r="BY37" i="33"/>
  <c r="CC27" i="33"/>
  <c r="MC175" i="34"/>
  <c r="CO173" i="34"/>
  <c r="GP119" i="34"/>
  <c r="AA27" i="33"/>
  <c r="DW113" i="34"/>
  <c r="EG49" i="33"/>
  <c r="EK57" i="34"/>
  <c r="BR133" i="34"/>
  <c r="ME146" i="34"/>
  <c r="JU162" i="34"/>
  <c r="FW74" i="33"/>
  <c r="J36" i="33"/>
  <c r="EL69" i="33"/>
  <c r="GK124" i="34"/>
  <c r="JH173" i="34"/>
  <c r="CC38" i="33"/>
  <c r="IC181" i="34"/>
  <c r="FD78" i="33"/>
  <c r="GO94" i="34"/>
  <c r="EJ188" i="34"/>
  <c r="BA64" i="34"/>
  <c r="FQ81" i="34"/>
  <c r="DH51" i="33"/>
  <c r="MJ178" i="34"/>
  <c r="EL38" i="33"/>
  <c r="B112" i="28"/>
  <c r="BP74" i="34"/>
  <c r="AW65" i="34"/>
  <c r="JH99" i="34"/>
  <c r="DW48" i="34"/>
  <c r="FQ130" i="34"/>
  <c r="DF44" i="34"/>
  <c r="FV109" i="34"/>
  <c r="CH126" i="34"/>
  <c r="AN83" i="34"/>
  <c r="DB41" i="33"/>
  <c r="KM93" i="34"/>
  <c r="HZ92" i="34"/>
  <c r="DD68" i="34"/>
  <c r="CC61" i="33"/>
  <c r="DU55" i="33"/>
  <c r="DG121" i="34"/>
  <c r="PY59" i="34"/>
  <c r="LD169" i="34"/>
  <c r="EY87" i="34"/>
  <c r="HV79" i="34"/>
  <c r="NP162" i="34"/>
  <c r="EK137" i="34"/>
  <c r="IB119" i="34"/>
  <c r="GM171" i="34"/>
  <c r="KL138" i="34"/>
  <c r="FA93" i="34"/>
  <c r="DW170" i="34"/>
  <c r="AJ39" i="33"/>
  <c r="KP50" i="34"/>
  <c r="CO92" i="33"/>
  <c r="X186" i="34"/>
  <c r="CJ92" i="33"/>
  <c r="NJ121" i="34"/>
  <c r="AY74" i="34"/>
  <c r="DE161" i="34"/>
  <c r="FN135" i="34"/>
  <c r="JA155" i="34"/>
  <c r="FO27" i="33"/>
  <c r="AX33" i="33"/>
  <c r="JD144" i="34"/>
  <c r="AA11" i="17"/>
  <c r="EA62" i="33"/>
  <c r="MF130" i="34"/>
  <c r="BI81" i="33"/>
  <c r="P9" i="33"/>
  <c r="W122" i="34"/>
  <c r="DH108" i="34"/>
  <c r="HZ144" i="34"/>
  <c r="AE52" i="33"/>
  <c r="N35" i="33"/>
  <c r="BR46" i="33"/>
  <c r="DK73" i="33"/>
  <c r="AN73" i="34"/>
  <c r="B88" i="28"/>
  <c r="AZ176" i="34"/>
  <c r="GF33" i="33"/>
  <c r="CF133" i="34"/>
  <c r="V10" i="17"/>
  <c r="FW82" i="33"/>
  <c r="KB171" i="34"/>
  <c r="IS125" i="34"/>
  <c r="AC49" i="34"/>
  <c r="EE81" i="34"/>
  <c r="DX157" i="34"/>
  <c r="LZ121" i="34"/>
  <c r="EY78" i="33"/>
  <c r="HU130" i="34"/>
  <c r="EZ30" i="33"/>
  <c r="OM170" i="34"/>
  <c r="DF156" i="34"/>
  <c r="FW28" i="33"/>
  <c r="JG121" i="34"/>
  <c r="DR52" i="33"/>
  <c r="CF90" i="34"/>
  <c r="FP75" i="34"/>
  <c r="AS164" i="34"/>
  <c r="HX143" i="34"/>
  <c r="B14" i="17"/>
  <c r="JU88" i="34"/>
  <c r="AY131" i="34"/>
  <c r="AV100" i="34"/>
  <c r="BF32" i="33"/>
  <c r="DG125" i="34"/>
  <c r="KC152" i="34"/>
  <c r="AN75" i="34"/>
  <c r="CR61" i="33"/>
  <c r="EY20" i="33"/>
  <c r="LJ45" i="34"/>
  <c r="DG99" i="34"/>
  <c r="JW132" i="34"/>
  <c r="OU5" i="34"/>
  <c r="BZ27" i="33"/>
  <c r="AM68" i="33"/>
  <c r="DR46" i="33"/>
  <c r="BO79" i="33"/>
  <c r="AS131" i="34"/>
  <c r="AG68" i="33"/>
  <c r="AZ26" i="33"/>
  <c r="EE105" i="34"/>
  <c r="DV92" i="34"/>
  <c r="BA153" i="34"/>
  <c r="GN78" i="34"/>
  <c r="Y44" i="33"/>
  <c r="EI121" i="34"/>
  <c r="EK171" i="34"/>
  <c r="AY163" i="34"/>
  <c r="PZ188" i="34"/>
  <c r="CL158" i="34"/>
  <c r="KQ137" i="34"/>
  <c r="FV74" i="34"/>
  <c r="EA86" i="34"/>
  <c r="AS25" i="33"/>
  <c r="BZ60" i="33"/>
  <c r="DB28" i="33"/>
  <c r="FS75" i="33"/>
  <c r="S150" i="23"/>
  <c r="JG119" i="34"/>
  <c r="DA44" i="34"/>
  <c r="W85" i="33"/>
  <c r="BS82" i="33"/>
  <c r="CI175" i="34"/>
  <c r="HU112" i="34"/>
  <c r="GL63" i="33"/>
  <c r="F68" i="28"/>
  <c r="MH118" i="34"/>
  <c r="CP82" i="33"/>
  <c r="BR61" i="33"/>
  <c r="D9" i="17"/>
  <c r="JA41" i="34"/>
  <c r="PD42" i="34"/>
  <c r="BR64" i="34"/>
  <c r="CQ48" i="33"/>
  <c r="EI124" i="34"/>
  <c r="FN125" i="34"/>
  <c r="AD156" i="34"/>
  <c r="IQ74" i="34"/>
  <c r="CS61" i="33"/>
  <c r="CE58" i="33"/>
  <c r="Z30" i="33"/>
  <c r="OH48" i="34"/>
  <c r="CI64" i="33"/>
  <c r="DE38" i="33"/>
  <c r="T99" i="34"/>
  <c r="LC93" i="34"/>
  <c r="AN61" i="33"/>
  <c r="FP44" i="33"/>
  <c r="X90" i="34"/>
  <c r="DX60" i="34"/>
  <c r="CK49" i="33"/>
  <c r="FR42" i="34"/>
  <c r="JD78" i="34"/>
  <c r="GF78" i="33"/>
  <c r="AW95" i="34"/>
  <c r="FT40" i="33"/>
  <c r="AA126" i="34"/>
  <c r="JG50" i="34"/>
  <c r="FG71" i="33"/>
  <c r="FP83" i="33"/>
  <c r="DL65" i="33"/>
  <c r="PB91" i="34"/>
  <c r="LY123" i="34"/>
  <c r="R74" i="33"/>
  <c r="FN51" i="33"/>
  <c r="F27" i="33"/>
  <c r="GN56" i="33"/>
  <c r="FD9" i="33"/>
  <c r="BR176" i="34"/>
  <c r="Z43" i="33"/>
  <c r="AA107" i="34"/>
  <c r="P48" i="33"/>
  <c r="EK90" i="33"/>
  <c r="X52" i="34"/>
  <c r="T167" i="34"/>
  <c r="DI43" i="34"/>
  <c r="AZ85" i="34"/>
  <c r="DD58" i="34"/>
  <c r="AQ122" i="34"/>
  <c r="CX64" i="33"/>
  <c r="AA51" i="33"/>
  <c r="U164" i="34"/>
  <c r="GH67" i="33"/>
  <c r="BN28" i="33"/>
  <c r="AA64" i="33"/>
  <c r="AY72" i="33"/>
  <c r="AP69" i="33"/>
  <c r="Y20" i="33"/>
  <c r="ED44" i="33"/>
  <c r="T113" i="34"/>
  <c r="DM60" i="33"/>
  <c r="DJ187" i="34"/>
  <c r="AC53" i="34"/>
  <c r="GP67" i="34"/>
  <c r="AY171" i="34"/>
  <c r="AZ82" i="34"/>
  <c r="CL72" i="33"/>
  <c r="BJ166" i="28"/>
  <c r="IS102" i="34"/>
  <c r="GN33" i="33"/>
  <c r="FV80" i="33"/>
  <c r="LH46" i="34"/>
  <c r="GP86" i="34"/>
  <c r="CK67" i="34"/>
  <c r="CL122" i="34"/>
  <c r="FK56" i="33"/>
  <c r="JA171" i="34"/>
  <c r="FS79" i="33"/>
  <c r="DP77" i="33"/>
  <c r="FX67" i="33"/>
  <c r="HV88" i="34"/>
  <c r="Z85" i="33"/>
  <c r="V37" i="33"/>
  <c r="JA159" i="34"/>
  <c r="DM50" i="33"/>
  <c r="BB39" i="33"/>
  <c r="DH46" i="33"/>
  <c r="GN105" i="34"/>
  <c r="EE146" i="34"/>
  <c r="DB64" i="33"/>
  <c r="JD170" i="34"/>
  <c r="EW39" i="33"/>
  <c r="GG63" i="33"/>
  <c r="CR48" i="33"/>
  <c r="LA123" i="34"/>
  <c r="AU127" i="34"/>
  <c r="BN36" i="33"/>
  <c r="CD45" i="33"/>
  <c r="CU82" i="33"/>
  <c r="DW188" i="34"/>
  <c r="AX74" i="34"/>
  <c r="CQ23" i="33"/>
  <c r="K149" i="28"/>
  <c r="BQ155" i="34"/>
  <c r="KC78" i="34"/>
  <c r="BP145" i="34"/>
  <c r="MD50" i="34"/>
  <c r="PX55" i="34"/>
  <c r="FN70" i="33"/>
  <c r="AE58" i="33"/>
  <c r="BV59" i="33"/>
  <c r="PY50" i="34"/>
  <c r="BB42" i="34"/>
  <c r="EV26" i="33"/>
  <c r="V50" i="34"/>
  <c r="ED86" i="33"/>
  <c r="U47" i="33"/>
  <c r="BH80" i="33"/>
  <c r="PF73" i="34"/>
  <c r="C56" i="17"/>
  <c r="GM34" i="33"/>
  <c r="S72" i="33"/>
  <c r="DA45" i="33"/>
  <c r="NL133" i="34"/>
  <c r="ER59" i="33"/>
  <c r="AX61" i="33"/>
  <c r="GN63" i="33"/>
  <c r="X66" i="34"/>
  <c r="CG47" i="34"/>
  <c r="AX72" i="33"/>
  <c r="CO83" i="34"/>
  <c r="JG168" i="34"/>
  <c r="DH112" i="34"/>
  <c r="AX48" i="34"/>
  <c r="BQ100" i="34"/>
  <c r="GJ55" i="34"/>
  <c r="HC154" i="34"/>
  <c r="BF68" i="33"/>
  <c r="DG120" i="34"/>
  <c r="FJ33" i="33"/>
  <c r="AN113" i="34"/>
  <c r="NL157" i="34"/>
  <c r="AL37" i="33"/>
  <c r="IR112" i="34"/>
  <c r="CM131" i="34"/>
  <c r="FV67" i="33"/>
  <c r="FF25" i="33"/>
  <c r="AY46" i="33"/>
  <c r="BQ54" i="33"/>
  <c r="GH35" i="33"/>
  <c r="EZ63" i="34"/>
  <c r="AW130" i="34"/>
  <c r="AU56" i="34"/>
  <c r="CJ142" i="34"/>
  <c r="KR60" i="34"/>
  <c r="FK43" i="33"/>
  <c r="NN66" i="34"/>
  <c r="BY50" i="33"/>
  <c r="BP82" i="34"/>
  <c r="IV70" i="34"/>
  <c r="BT82" i="33"/>
  <c r="L69" i="33"/>
  <c r="FT63" i="34"/>
  <c r="FT120" i="34"/>
  <c r="BR147" i="34"/>
  <c r="CK120" i="34"/>
  <c r="AR83" i="33"/>
  <c r="CF65" i="33"/>
  <c r="HT88" i="34"/>
  <c r="BO162" i="34"/>
  <c r="DP38" i="33"/>
  <c r="IY167" i="34"/>
  <c r="CH109" i="34"/>
  <c r="DA48" i="34"/>
  <c r="BH28" i="33"/>
  <c r="LY125" i="34"/>
  <c r="DK49" i="33"/>
  <c r="FV95" i="34"/>
  <c r="FU186" i="34"/>
  <c r="AS65" i="33"/>
  <c r="AV154" i="34"/>
  <c r="AQ91" i="34"/>
  <c r="DN76" i="33"/>
  <c r="DT30" i="33"/>
  <c r="DO92" i="33"/>
  <c r="U57" i="33"/>
  <c r="CN54" i="34"/>
  <c r="M64" i="33"/>
  <c r="GJ122" i="34"/>
  <c r="DG98" i="34"/>
  <c r="KP77" i="34"/>
  <c r="AV136" i="34"/>
  <c r="JA150" i="34"/>
  <c r="CO52" i="33"/>
  <c r="AW68" i="33"/>
  <c r="B72" i="28"/>
  <c r="DD64" i="34"/>
  <c r="FK63" i="33"/>
  <c r="GO101" i="34"/>
  <c r="DG46" i="33"/>
  <c r="BJ86" i="28"/>
  <c r="MK69" i="34"/>
  <c r="DF79" i="33"/>
  <c r="NO178" i="34"/>
  <c r="CO143" i="34"/>
  <c r="DF70" i="34"/>
  <c r="EG46" i="33"/>
  <c r="DM42" i="33"/>
  <c r="JZ155" i="34"/>
  <c r="EG57" i="34"/>
  <c r="IY90" i="34"/>
  <c r="CJ165" i="34"/>
  <c r="JG127" i="34"/>
  <c r="LG84" i="34"/>
  <c r="DB82" i="34"/>
  <c r="JV106" i="34"/>
  <c r="LH57" i="34"/>
  <c r="FP123" i="34"/>
  <c r="FB174" i="34"/>
  <c r="GE80" i="33"/>
  <c r="DA82" i="33"/>
  <c r="AB43" i="34"/>
  <c r="GB60" i="33"/>
  <c r="JH157" i="34"/>
  <c r="HW94" i="34"/>
  <c r="JF98" i="34"/>
  <c r="ML111" i="34"/>
  <c r="U71" i="33"/>
  <c r="FT53" i="34"/>
  <c r="EC47" i="34"/>
  <c r="AV77" i="33"/>
  <c r="DC66" i="34"/>
  <c r="IC109" i="34"/>
  <c r="CH118" i="34"/>
  <c r="BI30" i="33"/>
  <c r="CF75" i="33"/>
  <c r="DF131" i="34"/>
  <c r="FD61" i="33"/>
  <c r="FG65" i="33"/>
  <c r="AF56" i="33"/>
  <c r="FH71" i="33"/>
  <c r="IT95" i="34"/>
  <c r="V97" i="34"/>
  <c r="EI69" i="34"/>
  <c r="AT51" i="33"/>
  <c r="AT146" i="34"/>
  <c r="NA161" i="34"/>
  <c r="LC117" i="34"/>
  <c r="BQ45" i="33"/>
  <c r="AX160" i="34"/>
  <c r="X187" i="34"/>
  <c r="BZ92" i="33"/>
  <c r="DY76" i="34"/>
  <c r="EJ101" i="34"/>
  <c r="GO135" i="34"/>
  <c r="FW106" i="34"/>
  <c r="CK123" i="34"/>
  <c r="PH75" i="34"/>
  <c r="CO62" i="33"/>
  <c r="AU124" i="34"/>
  <c r="AZ57" i="33"/>
  <c r="HW148" i="34"/>
  <c r="AQ59" i="34"/>
  <c r="BR81" i="33"/>
  <c r="DI84" i="34"/>
  <c r="HY105" i="34"/>
  <c r="BN111" i="34"/>
  <c r="DL59" i="33"/>
  <c r="CW68" i="33"/>
  <c r="J131" i="34"/>
  <c r="T31" i="33"/>
  <c r="CR53" i="33"/>
  <c r="CN27" i="33"/>
  <c r="FN113" i="34"/>
  <c r="EW70" i="33"/>
  <c r="BC48" i="33"/>
  <c r="NK81" i="34"/>
  <c r="BC38" i="33"/>
  <c r="GO173" i="34"/>
  <c r="CZ70" i="33"/>
  <c r="AG38" i="33"/>
  <c r="NP125" i="34"/>
  <c r="FN104" i="34"/>
  <c r="IS162" i="34"/>
  <c r="JV155" i="34"/>
  <c r="DW172" i="34"/>
  <c r="EC48" i="34"/>
  <c r="MA150" i="34"/>
  <c r="CJ76" i="34"/>
  <c r="EL25" i="33"/>
  <c r="CO79" i="33"/>
  <c r="CH169" i="34"/>
  <c r="GM60" i="34"/>
  <c r="FA163" i="34"/>
  <c r="HC103" i="34"/>
  <c r="B64" i="28"/>
  <c r="PZ79" i="34"/>
  <c r="AG81" i="33"/>
  <c r="IS85" i="34"/>
  <c r="AU93" i="34"/>
  <c r="AS47" i="33"/>
  <c r="EG151" i="34"/>
  <c r="DG87" i="34"/>
  <c r="AO169" i="34"/>
  <c r="MD93" i="34"/>
  <c r="EJ74" i="33"/>
  <c r="DB67" i="34"/>
  <c r="AD53" i="33"/>
  <c r="GG34" i="33"/>
  <c r="O65" i="33"/>
  <c r="GJ66" i="34"/>
  <c r="BG61" i="33"/>
  <c r="DF110" i="34"/>
  <c r="EM66" i="33"/>
  <c r="U62" i="33"/>
  <c r="BB77" i="33"/>
  <c r="BS48" i="33"/>
  <c r="IS99" i="34"/>
  <c r="DD46" i="34"/>
  <c r="T173" i="34"/>
  <c r="IY78" i="34"/>
  <c r="X57" i="33"/>
  <c r="AA73" i="33"/>
  <c r="BR153" i="34"/>
  <c r="AU61" i="34"/>
  <c r="IE167" i="34"/>
  <c r="CB86" i="33"/>
  <c r="BA118" i="34"/>
  <c r="NA82" i="34"/>
  <c r="EF87" i="34"/>
  <c r="LH84" i="34"/>
  <c r="AB51" i="34"/>
  <c r="IV128" i="34"/>
  <c r="AW79" i="33"/>
  <c r="BN112" i="34"/>
  <c r="R55" i="33"/>
  <c r="AW60" i="33"/>
  <c r="BA81" i="34"/>
  <c r="IR76" i="34"/>
  <c r="AX151" i="34"/>
  <c r="DZ164" i="34"/>
  <c r="T43" i="33"/>
  <c r="DA63" i="34"/>
  <c r="KB53" i="34"/>
  <c r="FY31" i="33"/>
  <c r="CH37" i="33"/>
  <c r="NM82" i="34"/>
  <c r="X41" i="33"/>
  <c r="DB32" i="33"/>
  <c r="EG138" i="34"/>
  <c r="FI45" i="33"/>
  <c r="FU124" i="34"/>
  <c r="MO186" i="34"/>
  <c r="DX63" i="34"/>
  <c r="ED86" i="34"/>
  <c r="KA148" i="34"/>
  <c r="BT92" i="33"/>
  <c r="AA67" i="34"/>
  <c r="LX96" i="34"/>
  <c r="AP129" i="34"/>
  <c r="AO65" i="34"/>
  <c r="P31" i="33"/>
  <c r="JG66" i="34"/>
  <c r="EW129" i="34"/>
  <c r="CM136" i="34"/>
  <c r="JC116" i="34"/>
  <c r="EC42" i="34"/>
  <c r="CN139" i="34"/>
  <c r="HG81" i="34"/>
  <c r="DL57" i="33"/>
  <c r="CC41" i="33"/>
  <c r="AW81" i="33"/>
  <c r="AU92" i="33"/>
  <c r="DJ100" i="34"/>
  <c r="GN37" i="33"/>
  <c r="R26" i="33"/>
  <c r="FR35" i="33"/>
  <c r="AV42" i="34"/>
  <c r="AU69" i="33"/>
  <c r="FA30" i="33"/>
  <c r="BS26" i="33"/>
  <c r="T175" i="34"/>
  <c r="PG113" i="34"/>
  <c r="BN70" i="34"/>
  <c r="AX109" i="34"/>
  <c r="FB51" i="34"/>
  <c r="DY92" i="34"/>
  <c r="Y44" i="34"/>
  <c r="NJ51" i="34"/>
  <c r="II5" i="34"/>
  <c r="FW116" i="34"/>
  <c r="BY25" i="33"/>
  <c r="KR165" i="34"/>
  <c r="IS91" i="34"/>
  <c r="U56" i="33"/>
  <c r="DA137" i="34"/>
  <c r="JE125" i="34"/>
  <c r="HC116" i="34"/>
  <c r="AY108" i="34"/>
  <c r="EA86" i="33"/>
  <c r="HV175" i="34"/>
  <c r="Y59" i="34"/>
  <c r="BM29" i="33"/>
  <c r="DN64" i="33"/>
  <c r="FG66" i="33"/>
  <c r="GP95" i="34"/>
  <c r="GM74" i="34"/>
  <c r="FV50" i="33"/>
  <c r="AU41" i="34"/>
  <c r="KP98" i="34"/>
  <c r="U85" i="34"/>
  <c r="DC38" i="33"/>
  <c r="KM107" i="34"/>
  <c r="DW143" i="34"/>
  <c r="AU122" i="34"/>
  <c r="FT115" i="34"/>
  <c r="CP28" i="33"/>
  <c r="CE115" i="34"/>
  <c r="JC121" i="34"/>
  <c r="FP81" i="33"/>
  <c r="EG142" i="34"/>
  <c r="GA36" i="33"/>
  <c r="NL93" i="34"/>
  <c r="CD80" i="33"/>
  <c r="CL140" i="34"/>
  <c r="HU135" i="34"/>
  <c r="BO131" i="34"/>
  <c r="GH69" i="33"/>
  <c r="JG123" i="34"/>
  <c r="BC25" i="33"/>
  <c r="Z122" i="34"/>
  <c r="EY117" i="34"/>
  <c r="FC53" i="33"/>
  <c r="CF74" i="33"/>
  <c r="NM115" i="34"/>
  <c r="JU78" i="34"/>
  <c r="Z172" i="34"/>
  <c r="FO83" i="33"/>
  <c r="CE173" i="34"/>
  <c r="N57" i="33"/>
  <c r="CK115" i="34"/>
  <c r="GQ73" i="34"/>
  <c r="CR64" i="33"/>
  <c r="AU143" i="34"/>
  <c r="FW92" i="34"/>
  <c r="BI74" i="33"/>
  <c r="DV127" i="34"/>
  <c r="CD127" i="34"/>
  <c r="AS91" i="34"/>
  <c r="GJ163" i="34"/>
  <c r="AS9" i="33"/>
  <c r="ER47" i="33"/>
  <c r="DT84" i="33"/>
  <c r="AQ188" i="34"/>
  <c r="FA72" i="33"/>
  <c r="DC84" i="33"/>
  <c r="CS33" i="33"/>
  <c r="BB28" i="33"/>
  <c r="GO69" i="34"/>
  <c r="LD137" i="34"/>
  <c r="FU92" i="33"/>
  <c r="DR77" i="33"/>
  <c r="AA4" i="17"/>
  <c r="CN63" i="33"/>
  <c r="EM58" i="33"/>
  <c r="GJ42" i="33"/>
  <c r="FV159" i="34"/>
  <c r="HZ132" i="34"/>
  <c r="X121" i="34"/>
  <c r="IE106" i="34"/>
  <c r="MD124" i="34"/>
  <c r="GD5" i="34"/>
  <c r="ED63" i="33"/>
  <c r="CH168" i="34"/>
  <c r="HH123" i="34"/>
  <c r="DS53" i="33"/>
  <c r="DZ52" i="34"/>
  <c r="HH44" i="34"/>
  <c r="DE56" i="34"/>
  <c r="FU54" i="33"/>
  <c r="EG57" i="33"/>
  <c r="GO99" i="34"/>
  <c r="JD63" i="34"/>
  <c r="BB90" i="33"/>
  <c r="CJ76" i="33"/>
  <c r="AY74" i="33"/>
  <c r="KR111" i="34"/>
  <c r="DJ38" i="33"/>
  <c r="JY100" i="34"/>
  <c r="LB122" i="34"/>
  <c r="Y33" i="33"/>
  <c r="DL53" i="33"/>
  <c r="KB88" i="34"/>
  <c r="L48" i="33"/>
  <c r="JA49" i="34"/>
  <c r="O60" i="33"/>
  <c r="EJ122" i="34"/>
  <c r="LW71" i="34"/>
  <c r="AX132" i="34"/>
  <c r="EW79" i="33"/>
  <c r="MD160" i="34"/>
  <c r="BQ79" i="33"/>
  <c r="AC61" i="33"/>
  <c r="BA29" i="33"/>
  <c r="FV55" i="33"/>
  <c r="IE187" i="34"/>
  <c r="HT73" i="34"/>
  <c r="CI75" i="34"/>
  <c r="BM45" i="33"/>
  <c r="EH172" i="34"/>
  <c r="LX45" i="34"/>
  <c r="DZ86" i="33"/>
  <c r="BQ84" i="33"/>
  <c r="IE127" i="34"/>
  <c r="AD45" i="34"/>
  <c r="FV162" i="34"/>
  <c r="AC54" i="33"/>
  <c r="AU151" i="34"/>
  <c r="CI28" i="33"/>
  <c r="DC61" i="34"/>
  <c r="AI57" i="33"/>
  <c r="NB64" i="34"/>
  <c r="EK30" i="33"/>
  <c r="AG64" i="33"/>
  <c r="EI67" i="34"/>
  <c r="EB87" i="34"/>
  <c r="CH46" i="33"/>
  <c r="F61" i="28"/>
  <c r="DA168" i="34"/>
  <c r="T107" i="34"/>
  <c r="CI168" i="34"/>
  <c r="EZ63" i="33"/>
  <c r="FQ47" i="33"/>
  <c r="AP155" i="34"/>
  <c r="B70" i="28"/>
  <c r="V83" i="33"/>
  <c r="LH127" i="34"/>
  <c r="GM85" i="33"/>
  <c r="AZ120" i="34"/>
  <c r="IE77" i="34"/>
  <c r="FX64" i="33"/>
  <c r="S207" i="23"/>
  <c r="DL62" i="33"/>
  <c r="EQ70" i="33"/>
  <c r="ID60" i="34"/>
  <c r="X101" i="34"/>
  <c r="CK156" i="34"/>
  <c r="KM121" i="34"/>
  <c r="KR117" i="34"/>
  <c r="IB45" i="34"/>
  <c r="DU36" i="33"/>
  <c r="Y85" i="33"/>
  <c r="DG51" i="33"/>
  <c r="DE108" i="34"/>
  <c r="DE70" i="34"/>
  <c r="CE61" i="34"/>
  <c r="DF61" i="33"/>
  <c r="GN73" i="34"/>
  <c r="CY25" i="33"/>
  <c r="S52" i="23"/>
  <c r="EZ59" i="34"/>
  <c r="FZ84" i="33"/>
  <c r="G47" i="33"/>
  <c r="S47" i="33"/>
  <c r="EF70" i="33"/>
  <c r="DH101" i="34"/>
  <c r="BW33" i="33"/>
  <c r="CS53" i="33"/>
  <c r="FI56" i="33"/>
  <c r="I74" i="33"/>
  <c r="MB173" i="34"/>
  <c r="JZ68" i="34"/>
  <c r="DE163" i="34"/>
  <c r="DF26" i="33"/>
  <c r="HW111" i="34"/>
  <c r="FU76" i="34"/>
  <c r="NG164" i="34"/>
  <c r="GI83" i="33"/>
  <c r="FU34" i="33"/>
  <c r="DV142" i="34"/>
  <c r="AW158" i="34"/>
  <c r="BN75" i="33"/>
  <c r="LA41" i="34"/>
  <c r="FQ27" i="33"/>
  <c r="NK132" i="34"/>
  <c r="AC127" i="34"/>
  <c r="FQ48" i="33"/>
  <c r="HT144" i="34"/>
  <c r="EH50" i="34"/>
  <c r="CH53" i="34"/>
  <c r="CK83" i="33"/>
  <c r="OK122" i="34"/>
  <c r="BL66" i="33"/>
  <c r="DB50" i="33"/>
  <c r="CJ46" i="33"/>
  <c r="EF130" i="34"/>
  <c r="BZ49" i="33"/>
  <c r="LG70" i="34"/>
  <c r="HW90" i="34"/>
  <c r="FL36" i="33"/>
  <c r="BJ81" i="28"/>
  <c r="EY103" i="34"/>
  <c r="MD150" i="34"/>
  <c r="BR55" i="33"/>
  <c r="DJ31" i="33"/>
  <c r="IB71" i="34"/>
  <c r="GK64" i="33"/>
  <c r="DJ139" i="34"/>
  <c r="AT95" i="34"/>
  <c r="CY35" i="33"/>
  <c r="HT113" i="34"/>
  <c r="NG78" i="34"/>
  <c r="AP79" i="33"/>
  <c r="JC171" i="34"/>
  <c r="BJ76" i="33"/>
  <c r="P76" i="33"/>
  <c r="ID45" i="34"/>
  <c r="JV108" i="34"/>
  <c r="FZ82" i="33"/>
  <c r="DZ70" i="33"/>
  <c r="GP57" i="34"/>
  <c r="EV50" i="33"/>
  <c r="AV145" i="34"/>
  <c r="DF49" i="33"/>
  <c r="AA47" i="33"/>
  <c r="DJ44" i="33"/>
  <c r="EC106" i="34"/>
  <c r="JC93" i="34"/>
  <c r="GH34" i="33"/>
  <c r="IT123" i="34"/>
  <c r="EZ86" i="33"/>
  <c r="KB165" i="34"/>
  <c r="DA52" i="33"/>
  <c r="N64" i="33"/>
  <c r="AX31" i="33"/>
  <c r="HE92" i="34"/>
  <c r="S160" i="23"/>
  <c r="ML69" i="34"/>
  <c r="EG29" i="33"/>
  <c r="HX93" i="34"/>
  <c r="H73" i="33"/>
  <c r="MD86" i="34"/>
  <c r="AG66" i="33"/>
  <c r="BS79" i="33"/>
  <c r="CN56" i="33"/>
  <c r="AY98" i="34"/>
  <c r="GQ127" i="34"/>
  <c r="JY130" i="34"/>
  <c r="BQ124" i="34"/>
  <c r="DZ63" i="34"/>
  <c r="CN115" i="34"/>
  <c r="EY93" i="34"/>
  <c r="AU59" i="33"/>
  <c r="FQ82" i="33"/>
  <c r="CD147" i="34"/>
  <c r="NK110" i="34"/>
  <c r="KQ68" i="34"/>
  <c r="LI89" i="34"/>
  <c r="KL118" i="34"/>
  <c r="JZ144" i="34"/>
  <c r="Y81" i="33"/>
  <c r="JY57" i="34"/>
  <c r="HZ47" i="34"/>
  <c r="GO64" i="33"/>
  <c r="AS29" i="33"/>
  <c r="O31" i="33"/>
  <c r="NA112" i="34"/>
  <c r="FW42" i="34"/>
  <c r="GD75" i="33"/>
  <c r="PE92" i="34"/>
  <c r="AV46" i="33"/>
  <c r="AW176" i="34"/>
  <c r="AB150" i="34"/>
  <c r="GI32" i="33"/>
  <c r="AP62" i="33"/>
  <c r="LD111" i="34"/>
  <c r="BQ81" i="33"/>
  <c r="DD87" i="34"/>
  <c r="EG48" i="34"/>
  <c r="HU117" i="34"/>
  <c r="Z73" i="34"/>
  <c r="BJ42" i="28"/>
  <c r="FW52" i="33"/>
  <c r="FF37" i="33"/>
  <c r="AW88" i="34"/>
  <c r="N46" i="33"/>
  <c r="BM72" i="33"/>
  <c r="FR68" i="33"/>
  <c r="AD85" i="33"/>
  <c r="DD96" i="34"/>
  <c r="JB112" i="34"/>
  <c r="AM48" i="34"/>
  <c r="EX66" i="34"/>
  <c r="AX9" i="33"/>
  <c r="BV85" i="33"/>
  <c r="JB152" i="34"/>
  <c r="EV33" i="33"/>
  <c r="JA79" i="34"/>
  <c r="AD83" i="34"/>
  <c r="W135" i="34"/>
  <c r="FS69" i="34"/>
  <c r="EV90" i="33"/>
  <c r="HG128" i="34"/>
  <c r="AX37" i="33"/>
  <c r="IS170" i="34"/>
  <c r="FJ79" i="33"/>
  <c r="FV150" i="34"/>
  <c r="KL116" i="34"/>
  <c r="JE89" i="34"/>
  <c r="DM66" i="33"/>
  <c r="GN102" i="34"/>
  <c r="DZ84" i="33"/>
  <c r="J110" i="34"/>
  <c r="DH40" i="33"/>
  <c r="AP37" i="33"/>
  <c r="CD109" i="34"/>
  <c r="B84" i="28"/>
  <c r="U83" i="33"/>
  <c r="GI68" i="33"/>
  <c r="AV76" i="33"/>
  <c r="JT119" i="34"/>
  <c r="BP127" i="34"/>
  <c r="EW149" i="34"/>
  <c r="LC173" i="34"/>
  <c r="DX175" i="34"/>
  <c r="JV67" i="34"/>
  <c r="EG38" i="33"/>
  <c r="JX109" i="34"/>
  <c r="U139" i="34"/>
  <c r="G29" i="33"/>
  <c r="ER57" i="33"/>
  <c r="FR33" i="33"/>
  <c r="NK123" i="34"/>
  <c r="NL96" i="34"/>
  <c r="DB136" i="34"/>
  <c r="CD48" i="33"/>
  <c r="M83" i="33"/>
  <c r="V45" i="33"/>
  <c r="DF77" i="34"/>
  <c r="CI56" i="34"/>
  <c r="AU46" i="33"/>
  <c r="U91" i="34"/>
  <c r="ED9" i="33"/>
  <c r="FS76" i="33"/>
  <c r="S37" i="33"/>
  <c r="DJ123" i="34"/>
  <c r="DD178" i="34"/>
  <c r="DE95" i="34"/>
  <c r="KO132" i="34"/>
  <c r="CH144" i="34"/>
  <c r="FD25" i="33"/>
  <c r="FP80" i="34"/>
  <c r="CF51" i="34"/>
  <c r="GO43" i="33"/>
  <c r="HW152" i="34"/>
  <c r="FW126" i="34"/>
  <c r="JA48" i="34"/>
  <c r="BM44" i="33"/>
  <c r="FU61" i="33"/>
  <c r="CJ140" i="34"/>
  <c r="DG55" i="33"/>
  <c r="DT53" i="33"/>
  <c r="GP91" i="34"/>
  <c r="GB64" i="33"/>
  <c r="DX44" i="34"/>
  <c r="FT57" i="33"/>
  <c r="FV137" i="34"/>
  <c r="DB62" i="33"/>
  <c r="AQ70" i="33"/>
  <c r="FH61" i="33"/>
  <c r="BR70" i="34"/>
  <c r="AQ81" i="33"/>
  <c r="IW160" i="34"/>
  <c r="LW49" i="34"/>
  <c r="EG61" i="34"/>
  <c r="BV58" i="33"/>
  <c r="BV82" i="33"/>
  <c r="EF69" i="34"/>
  <c r="MK188" i="34"/>
  <c r="DS25" i="33"/>
  <c r="AQ81" i="34"/>
  <c r="IS115" i="34"/>
  <c r="AC61" i="34"/>
  <c r="NP122" i="34"/>
  <c r="AR176" i="34"/>
  <c r="DH174" i="34"/>
  <c r="CD99" i="34"/>
  <c r="EX83" i="34"/>
  <c r="OM166" i="34"/>
  <c r="PZ130" i="34"/>
  <c r="GM44" i="33"/>
  <c r="BU29" i="33"/>
  <c r="AQ129" i="34"/>
  <c r="DY112" i="34"/>
  <c r="DA36" i="33"/>
  <c r="EA37" i="33"/>
  <c r="FN53" i="33"/>
  <c r="IS122" i="34"/>
  <c r="HD56" i="34"/>
  <c r="ES73" i="33"/>
  <c r="FS72" i="34"/>
  <c r="CF117" i="34"/>
  <c r="FC36" i="33"/>
  <c r="FN98" i="34"/>
  <c r="AO134" i="34"/>
  <c r="NI163" i="34"/>
  <c r="PX41" i="34"/>
  <c r="FQ118" i="34"/>
  <c r="DE52" i="33"/>
  <c r="LZ74" i="34"/>
  <c r="G43" i="33"/>
  <c r="KL167" i="34"/>
  <c r="AP90" i="34"/>
  <c r="Z53" i="33"/>
  <c r="FT119" i="34"/>
  <c r="HF152" i="34"/>
  <c r="EH88" i="34"/>
  <c r="AW62" i="34"/>
  <c r="CI156" i="34"/>
  <c r="ND111" i="34"/>
  <c r="BR101" i="34"/>
  <c r="AB73" i="34"/>
  <c r="DF82" i="33"/>
  <c r="U54" i="33"/>
  <c r="FR42" i="33"/>
  <c r="CS44" i="33"/>
  <c r="IS118" i="34"/>
  <c r="KN75" i="34"/>
  <c r="NF72" i="34"/>
  <c r="AF54" i="33"/>
  <c r="ED87" i="34"/>
  <c r="H15" i="17"/>
  <c r="JU137" i="34"/>
  <c r="FM27" i="33"/>
  <c r="FQ105" i="34"/>
  <c r="DF80" i="33"/>
  <c r="EZ172" i="34"/>
  <c r="EC178" i="34"/>
  <c r="CD46" i="33"/>
  <c r="FS105" i="34"/>
  <c r="CP46" i="33"/>
  <c r="JZ152" i="34"/>
  <c r="FF85" i="33"/>
  <c r="EG84" i="34"/>
  <c r="DB85" i="33"/>
  <c r="BI78" i="33"/>
  <c r="HZ77" i="34"/>
  <c r="AB108" i="34"/>
  <c r="CH73" i="33"/>
  <c r="EG128" i="34"/>
  <c r="DC131" i="34"/>
  <c r="HX102" i="34"/>
  <c r="EX174" i="34"/>
  <c r="KC156" i="34"/>
  <c r="AX79" i="33"/>
  <c r="CR40" i="33"/>
  <c r="NC55" i="34"/>
  <c r="FX174" i="34"/>
  <c r="FL73" i="33"/>
  <c r="V133" i="34"/>
  <c r="AV72" i="33"/>
  <c r="LC131" i="34"/>
  <c r="FI86" i="33"/>
  <c r="FQ83" i="33"/>
  <c r="CS59" i="33"/>
  <c r="CK131" i="34"/>
  <c r="EX112" i="34"/>
  <c r="DG32" i="33"/>
  <c r="EA69" i="34"/>
  <c r="EJ69" i="34"/>
  <c r="GP83" i="34"/>
  <c r="GA54" i="33"/>
  <c r="CI62" i="33"/>
  <c r="CK35" i="33"/>
  <c r="DL30" i="33"/>
  <c r="U70" i="33"/>
  <c r="CO171" i="34"/>
  <c r="CA69" i="33"/>
  <c r="JB58" i="34"/>
  <c r="BJ49" i="33"/>
  <c r="EW104" i="34"/>
  <c r="EY140" i="34"/>
  <c r="CE84" i="34"/>
  <c r="IE74" i="34"/>
  <c r="MF176" i="34"/>
  <c r="BE84" i="33"/>
  <c r="ES47" i="33"/>
  <c r="DV71" i="34"/>
  <c r="IE60" i="34"/>
  <c r="DJ45" i="33"/>
  <c r="GO66" i="34"/>
  <c r="CF140" i="34"/>
  <c r="CM74" i="34"/>
  <c r="FC56" i="33"/>
  <c r="T59" i="33"/>
  <c r="AV78" i="33"/>
  <c r="AQ54" i="34"/>
  <c r="FW164" i="34"/>
  <c r="HG126" i="34"/>
  <c r="JD141" i="34"/>
  <c r="BU77" i="33"/>
  <c r="DH31" i="33"/>
  <c r="JG77" i="34"/>
  <c r="CW66" i="33"/>
  <c r="MO171" i="34"/>
  <c r="BJ190" i="28"/>
  <c r="DN43" i="33"/>
  <c r="CK129" i="34"/>
  <c r="JZ82" i="34"/>
  <c r="H56" i="33"/>
  <c r="P80" i="33"/>
  <c r="DZ74" i="33"/>
  <c r="FX42" i="33"/>
  <c r="AA119" i="34"/>
  <c r="ED120" i="34"/>
  <c r="ON73" i="34"/>
  <c r="IR157" i="34"/>
  <c r="CF82" i="34"/>
  <c r="J44" i="33"/>
  <c r="DJ122" i="34"/>
  <c r="FF33" i="33"/>
  <c r="AH62" i="33"/>
  <c r="AM101" i="34"/>
  <c r="HY120" i="34"/>
  <c r="GN61" i="34"/>
  <c r="KN142" i="34"/>
  <c r="FS31" i="33"/>
  <c r="EJ82" i="33"/>
  <c r="E26" i="3"/>
  <c r="IC120" i="34"/>
  <c r="AA143" i="34"/>
  <c r="FX151" i="34"/>
  <c r="AP25" i="33"/>
  <c r="AU133" i="34"/>
  <c r="FU40" i="33"/>
  <c r="DE56" i="33"/>
  <c r="FX80" i="33"/>
  <c r="DY69" i="33"/>
  <c r="GO68" i="34"/>
  <c r="FW30" i="33"/>
  <c r="O61" i="33"/>
  <c r="Z33" i="33"/>
  <c r="NL166" i="34"/>
  <c r="NE115" i="34"/>
  <c r="EG35" i="33"/>
  <c r="EY156" i="34"/>
  <c r="DX126" i="34"/>
  <c r="X166" i="34"/>
  <c r="AI86" i="33"/>
  <c r="EG31" i="33"/>
  <c r="CL159" i="34"/>
  <c r="GQ160" i="34"/>
  <c r="CQ32" i="33"/>
  <c r="LY110" i="34"/>
  <c r="KR157" i="34"/>
  <c r="DC104" i="34"/>
  <c r="BH27" i="33"/>
  <c r="MB44" i="34"/>
  <c r="CF98" i="34"/>
  <c r="BJ99" i="28"/>
  <c r="B33" i="17"/>
  <c r="CC59" i="33"/>
  <c r="LH129" i="34"/>
  <c r="JW58" i="34"/>
  <c r="AT34" i="33"/>
  <c r="JH137" i="34"/>
  <c r="BE42" i="33"/>
  <c r="IV109" i="34"/>
  <c r="NC121" i="34"/>
  <c r="GL171" i="34"/>
  <c r="IA131" i="34"/>
  <c r="JU128" i="34"/>
  <c r="IE170" i="34"/>
  <c r="GN60" i="33"/>
  <c r="FO178" i="34"/>
  <c r="FO52" i="33"/>
  <c r="GO155" i="34"/>
  <c r="AS64" i="33"/>
  <c r="AP46" i="34"/>
  <c r="GN81" i="33"/>
  <c r="LF155" i="34"/>
  <c r="JZ166" i="34"/>
  <c r="GG26" i="33"/>
  <c r="CO88" i="34"/>
  <c r="H36" i="17"/>
  <c r="HW123" i="34"/>
  <c r="IT43" i="34"/>
  <c r="LI48" i="34"/>
  <c r="IR89" i="34"/>
  <c r="S144" i="23"/>
  <c r="DW49" i="34"/>
  <c r="FO78" i="33"/>
  <c r="HD60" i="34"/>
  <c r="CN75" i="33"/>
  <c r="IE72" i="34"/>
  <c r="HW102" i="34"/>
  <c r="ED165" i="34"/>
  <c r="AU43" i="33"/>
  <c r="AT57" i="33"/>
  <c r="EZ36" i="33"/>
  <c r="DI72" i="34"/>
  <c r="LH102" i="34"/>
  <c r="LC152" i="34"/>
  <c r="ED54" i="34"/>
  <c r="C57" i="17"/>
  <c r="V125" i="34"/>
  <c r="CD68" i="33"/>
  <c r="KA150" i="34"/>
  <c r="MI102" i="34"/>
  <c r="LI55" i="34"/>
  <c r="BN115" i="34"/>
  <c r="FF9" i="33"/>
  <c r="AZ168" i="34"/>
  <c r="FA26" i="33"/>
  <c r="BV25" i="33"/>
  <c r="AS49" i="33"/>
  <c r="GM86" i="34"/>
  <c r="FY42" i="33"/>
  <c r="CU7" i="34"/>
  <c r="GD55" i="33"/>
  <c r="FU90" i="33"/>
  <c r="X118" i="34"/>
  <c r="DR30" i="33"/>
  <c r="HW153" i="34"/>
  <c r="AF45" i="33"/>
  <c r="AP143" i="34"/>
  <c r="AN81" i="33"/>
  <c r="MO73" i="34"/>
  <c r="BT45" i="33"/>
  <c r="AI80" i="33"/>
  <c r="CD71" i="33"/>
  <c r="HT97" i="34"/>
  <c r="IC66" i="34"/>
  <c r="MC130" i="34"/>
  <c r="CM125" i="34"/>
  <c r="AP139" i="34"/>
  <c r="JZ132" i="34"/>
  <c r="M42" i="33"/>
  <c r="EY173" i="34"/>
  <c r="EL60" i="33"/>
  <c r="MN123" i="34"/>
  <c r="FM33" i="33"/>
  <c r="FT125" i="34"/>
  <c r="GH70" i="33"/>
  <c r="KP181" i="34"/>
  <c r="I33" i="33"/>
  <c r="X84" i="33"/>
  <c r="DN85" i="33"/>
  <c r="EW46" i="34"/>
  <c r="DN60" i="33"/>
  <c r="CO62" i="34"/>
  <c r="BF37" i="33"/>
  <c r="IV157" i="34"/>
  <c r="JV123" i="34"/>
  <c r="HU74" i="34"/>
  <c r="AU71" i="33"/>
  <c r="MA183" i="34"/>
  <c r="ND126" i="34"/>
  <c r="AM39" i="33"/>
  <c r="CJ131" i="34"/>
  <c r="EE47" i="34"/>
  <c r="LY170" i="34"/>
  <c r="LF65" i="34"/>
  <c r="AY153" i="34"/>
  <c r="BA90" i="33"/>
  <c r="FF74" i="33"/>
  <c r="EF134" i="34"/>
  <c r="IZ188" i="34"/>
  <c r="EL59" i="33"/>
  <c r="CK81" i="33"/>
  <c r="CE125" i="34"/>
  <c r="GB90" i="33"/>
  <c r="BO77" i="33"/>
  <c r="AV64" i="33"/>
  <c r="Y104" i="34"/>
  <c r="AY126" i="34"/>
  <c r="EW87" i="34"/>
  <c r="AW163" i="34"/>
  <c r="FW49" i="33"/>
  <c r="CO60" i="34"/>
  <c r="ER69" i="33"/>
  <c r="OO46" i="34"/>
  <c r="FW58" i="33"/>
  <c r="AA45" i="33"/>
  <c r="LA112" i="34"/>
  <c r="BO66" i="34"/>
  <c r="GB80" i="33"/>
  <c r="AC47" i="34"/>
  <c r="DH163" i="34"/>
  <c r="CA9" i="33"/>
  <c r="FC29" i="33"/>
  <c r="DE60" i="33"/>
  <c r="AA54" i="34"/>
  <c r="GD29" i="33"/>
  <c r="BC76" i="33"/>
  <c r="FD44" i="33"/>
  <c r="AX47" i="33"/>
  <c r="EC183" i="34"/>
  <c r="AQ73" i="33"/>
  <c r="AY130" i="34"/>
  <c r="B57" i="17"/>
  <c r="JF188" i="34"/>
  <c r="GE64" i="33"/>
  <c r="GQ62" i="34"/>
  <c r="GN127" i="34"/>
  <c r="GO74" i="33"/>
  <c r="FV89" i="34"/>
  <c r="HY164" i="34"/>
  <c r="CV65" i="33"/>
  <c r="LI162" i="34"/>
  <c r="BJ65" i="33"/>
  <c r="HX137" i="34"/>
  <c r="EF172" i="34"/>
  <c r="DX27" i="33"/>
  <c r="CE56" i="33"/>
  <c r="BF70" i="33"/>
  <c r="K107" i="34"/>
  <c r="ID79" i="34"/>
  <c r="EK38" i="33"/>
  <c r="AG34" i="33"/>
  <c r="AA44" i="33"/>
  <c r="EY76" i="34"/>
  <c r="AZ109" i="34"/>
  <c r="FA43" i="33"/>
  <c r="FT69" i="34"/>
  <c r="EG81" i="34"/>
  <c r="IT41" i="34"/>
  <c r="MI162" i="34"/>
  <c r="ED78" i="34"/>
  <c r="BO112" i="34"/>
  <c r="FR66" i="34"/>
  <c r="W47" i="33"/>
  <c r="IS129" i="34"/>
  <c r="AT82" i="34"/>
  <c r="S32" i="33"/>
  <c r="CI148" i="34"/>
  <c r="GF46" i="33"/>
  <c r="DU26" i="33"/>
  <c r="FT102" i="34"/>
  <c r="R81" i="33"/>
  <c r="PF127" i="34"/>
  <c r="KB64" i="34"/>
  <c r="AZ170" i="34"/>
  <c r="NK168" i="34"/>
  <c r="IY84" i="34"/>
  <c r="FT54" i="33"/>
  <c r="DA46" i="33"/>
  <c r="EK58" i="34"/>
  <c r="FP37" i="33"/>
  <c r="FK72" i="33"/>
  <c r="I67" i="33"/>
  <c r="V25" i="17"/>
  <c r="HF164" i="34"/>
  <c r="BN90" i="33"/>
  <c r="FY52" i="33"/>
  <c r="GM74" i="33"/>
  <c r="ER81" i="33"/>
  <c r="AW84" i="33"/>
  <c r="AQ170" i="34"/>
  <c r="GG61" i="33"/>
  <c r="EH143" i="34"/>
  <c r="EF107" i="34"/>
  <c r="KP126" i="34"/>
  <c r="AS148" i="34"/>
  <c r="IQ104" i="34"/>
  <c r="CI74" i="33"/>
  <c r="DJ77" i="33"/>
  <c r="GM165" i="34"/>
  <c r="AG58" i="33"/>
  <c r="EY57" i="33"/>
  <c r="JG178" i="34"/>
  <c r="FT30" i="33"/>
  <c r="CD75" i="33"/>
  <c r="DG111" i="34"/>
  <c r="CH38" i="33"/>
  <c r="E32" i="3"/>
  <c r="FY85" i="33"/>
  <c r="AT45" i="34"/>
  <c r="ED91" i="34"/>
  <c r="FX55" i="33"/>
  <c r="EJ66" i="33"/>
  <c r="EA80" i="34"/>
  <c r="X61" i="33"/>
  <c r="LC86" i="34"/>
  <c r="BN116" i="34"/>
  <c r="CK59" i="34"/>
  <c r="CH186" i="34"/>
  <c r="GM59" i="33"/>
  <c r="DP62" i="33"/>
  <c r="EF82" i="34"/>
  <c r="CG133" i="34"/>
  <c r="DC158" i="34"/>
  <c r="T91" i="34"/>
  <c r="GL80" i="33"/>
  <c r="HD102" i="34"/>
  <c r="DF69" i="33"/>
  <c r="GG41" i="33"/>
  <c r="EA51" i="33"/>
  <c r="DG47" i="34"/>
  <c r="L52" i="33"/>
  <c r="GO51" i="33"/>
  <c r="EY51" i="34"/>
  <c r="JE159" i="34"/>
  <c r="DN53" i="33"/>
  <c r="HC75" i="34"/>
  <c r="DE122" i="34"/>
  <c r="BA27" i="33"/>
  <c r="EW107" i="34"/>
  <c r="FR71" i="34"/>
  <c r="AC62" i="34"/>
  <c r="AC52" i="33"/>
  <c r="BN135" i="34"/>
  <c r="FT74" i="33"/>
  <c r="IW108" i="34"/>
  <c r="MC123" i="34"/>
  <c r="KQ67" i="34"/>
  <c r="DJ181" i="34"/>
  <c r="ND78" i="34"/>
  <c r="FD52" i="33"/>
  <c r="GJ33" i="33"/>
  <c r="GK73" i="34"/>
  <c r="AI53" i="33"/>
  <c r="HY136" i="34"/>
  <c r="EJ81" i="33"/>
  <c r="HT151" i="34"/>
  <c r="AL70" i="33"/>
  <c r="CR74" i="33"/>
  <c r="M34" i="33"/>
  <c r="AZ144" i="34"/>
  <c r="FU82" i="33"/>
  <c r="N92" i="33"/>
  <c r="EK155" i="34"/>
  <c r="CJ105" i="34"/>
  <c r="JG140" i="34"/>
  <c r="FU164" i="34"/>
  <c r="K155" i="34"/>
  <c r="Z120" i="34"/>
  <c r="S126" i="23"/>
  <c r="BJ160" i="28"/>
  <c r="AW150" i="34"/>
  <c r="BI35" i="33"/>
  <c r="FQ59" i="33"/>
  <c r="FN151" i="34"/>
  <c r="M47" i="33"/>
  <c r="BQ44" i="34"/>
  <c r="U32" i="33"/>
  <c r="NN124" i="34"/>
  <c r="T38" i="33"/>
  <c r="DF78" i="33"/>
  <c r="IE162" i="34"/>
  <c r="FV47" i="34"/>
  <c r="CI146" i="34"/>
  <c r="J107" i="34"/>
  <c r="FD27" i="33"/>
  <c r="EW73" i="33"/>
  <c r="FX91" i="34"/>
  <c r="AV147" i="34"/>
  <c r="CL58" i="34"/>
  <c r="KC149" i="34"/>
  <c r="AC125" i="34"/>
  <c r="EW111" i="34"/>
  <c r="FD29" i="33"/>
  <c r="CA38" i="33"/>
  <c r="OJ97" i="34"/>
  <c r="FI74" i="33"/>
  <c r="V18" i="17"/>
  <c r="EH173" i="34"/>
  <c r="W31" i="33"/>
  <c r="GD85" i="33"/>
  <c r="JF67" i="34"/>
  <c r="EK100" i="34"/>
  <c r="EG132" i="34"/>
  <c r="NF159" i="34"/>
  <c r="AK80" i="33"/>
  <c r="CM108" i="34"/>
  <c r="CV38" i="33"/>
  <c r="T187" i="34"/>
  <c r="JG52" i="34"/>
  <c r="BP68" i="34"/>
  <c r="Z173" i="34"/>
  <c r="G69" i="33"/>
  <c r="GJ29" i="33"/>
  <c r="AC72" i="33"/>
  <c r="DV87" i="34"/>
  <c r="GI81" i="33"/>
  <c r="AO116" i="34"/>
  <c r="BG73" i="33"/>
  <c r="CZ38" i="33"/>
  <c r="AE85" i="33"/>
  <c r="CF53" i="33"/>
  <c r="HY72" i="34"/>
  <c r="BO41" i="33"/>
  <c r="CD70" i="34"/>
  <c r="EK115" i="34"/>
  <c r="NJ62" i="34"/>
  <c r="AK41" i="33"/>
  <c r="LZ161" i="34"/>
  <c r="IE169" i="34"/>
  <c r="CQ90" i="33"/>
  <c r="HT122" i="34"/>
  <c r="AP34" i="33"/>
  <c r="EW45" i="33"/>
  <c r="FP149" i="34"/>
  <c r="EB128" i="34"/>
  <c r="MF167" i="34"/>
  <c r="BL59" i="33"/>
  <c r="CZ90" i="33"/>
  <c r="FO89" i="34"/>
  <c r="AW39" i="33"/>
  <c r="DH45" i="34"/>
  <c r="AA59" i="34"/>
  <c r="FW115" i="34"/>
  <c r="EW66" i="34"/>
  <c r="O9" i="33"/>
  <c r="CJ148" i="34"/>
  <c r="Y90" i="33"/>
  <c r="DE102" i="34"/>
  <c r="T81" i="33"/>
  <c r="AV79" i="33"/>
  <c r="AH52" i="33"/>
  <c r="JV188" i="34"/>
  <c r="NM164" i="34"/>
  <c r="CI125" i="34"/>
  <c r="DA77" i="33"/>
  <c r="HT130" i="34"/>
  <c r="EM25" i="33"/>
  <c r="KP55" i="34"/>
  <c r="GP113" i="34"/>
  <c r="IE49" i="34"/>
  <c r="LK174" i="34"/>
  <c r="CV81" i="33"/>
  <c r="CD73" i="33"/>
  <c r="EP67" i="33"/>
  <c r="CN50" i="34"/>
  <c r="DV122" i="34"/>
  <c r="JW122" i="34"/>
  <c r="EZ65" i="34"/>
  <c r="FO82" i="33"/>
  <c r="DP40" i="33"/>
  <c r="AJ62" i="33"/>
  <c r="KB162" i="34"/>
  <c r="IB108" i="34"/>
  <c r="AT85" i="33"/>
  <c r="FR37" i="33"/>
  <c r="FR115" i="34"/>
  <c r="IA91" i="34"/>
  <c r="GD58" i="33"/>
  <c r="HG165" i="34"/>
  <c r="KU6" i="34"/>
  <c r="X83" i="33"/>
  <c r="EG167" i="34"/>
  <c r="NH117" i="34"/>
  <c r="BW83" i="33"/>
  <c r="AT32" i="33"/>
  <c r="DG65" i="34"/>
  <c r="CJ46" i="34"/>
  <c r="CK25" i="33"/>
  <c r="MN76" i="34"/>
  <c r="IV139" i="34"/>
  <c r="BF83" i="33"/>
  <c r="LA55" i="34"/>
  <c r="ND95" i="34"/>
  <c r="BA92" i="34"/>
  <c r="JD80" i="34"/>
  <c r="EW64" i="34"/>
  <c r="GH37" i="33"/>
  <c r="BO133" i="34"/>
  <c r="GL65" i="33"/>
  <c r="ER31" i="33"/>
  <c r="PX90" i="34"/>
  <c r="MN91" i="34"/>
  <c r="FW45" i="34"/>
  <c r="P81" i="33"/>
  <c r="KA170" i="34"/>
  <c r="AC60" i="34"/>
  <c r="CZ32" i="33"/>
  <c r="IE66" i="34"/>
  <c r="JE188" i="34"/>
  <c r="FR106" i="34"/>
  <c r="CM188" i="34"/>
  <c r="DX168" i="34"/>
  <c r="Z86" i="33"/>
  <c r="FG46" i="33"/>
  <c r="FH65" i="33"/>
  <c r="NN169" i="34"/>
  <c r="EC62" i="34"/>
  <c r="FR55" i="33"/>
  <c r="KA156" i="34"/>
  <c r="GN92" i="33"/>
  <c r="JC135" i="34"/>
  <c r="BK72" i="33"/>
  <c r="BR58" i="33"/>
  <c r="EL78" i="33"/>
  <c r="EL76" i="33"/>
  <c r="DL67" i="33"/>
  <c r="IZ79" i="34"/>
  <c r="CK68" i="33"/>
  <c r="BS58" i="33"/>
  <c r="KA121" i="34"/>
  <c r="EZ116" i="34"/>
  <c r="U155" i="34"/>
  <c r="CD42" i="33"/>
  <c r="EE137" i="34"/>
  <c r="BQ86" i="33"/>
  <c r="DU48" i="33"/>
  <c r="X29" i="33"/>
  <c r="FA38" i="33"/>
  <c r="EK86" i="34"/>
  <c r="HD55" i="34"/>
  <c r="AP115" i="34"/>
  <c r="EH162" i="34"/>
  <c r="DA99" i="34"/>
  <c r="V143" i="34"/>
  <c r="AP33" i="33"/>
  <c r="HW176" i="34"/>
  <c r="NO125" i="34"/>
  <c r="N7" i="34"/>
  <c r="FO175" i="34"/>
  <c r="FB188" i="34"/>
  <c r="FF27" i="33"/>
  <c r="EJ181" i="34"/>
  <c r="AA69" i="33"/>
  <c r="CZ77" i="33"/>
  <c r="EM46" i="33"/>
  <c r="HH125" i="34"/>
  <c r="Z96" i="34"/>
  <c r="FP77" i="34"/>
  <c r="T95" i="34"/>
  <c r="DD23" i="33"/>
  <c r="AA62" i="33"/>
  <c r="CA39" i="33"/>
  <c r="AB144" i="34"/>
  <c r="AG69" i="33"/>
  <c r="AD152" i="34"/>
  <c r="LI86" i="34"/>
  <c r="LH80" i="34"/>
  <c r="AF86" i="33"/>
  <c r="NP79" i="34"/>
  <c r="AF52" i="33"/>
  <c r="BB96" i="34"/>
  <c r="BQ159" i="34"/>
  <c r="JB76" i="34"/>
  <c r="ES66" i="33"/>
  <c r="KO122" i="34"/>
  <c r="CL63" i="34"/>
  <c r="BA172" i="34"/>
  <c r="EL39" i="33"/>
  <c r="AH30" i="33"/>
  <c r="HX55" i="34"/>
  <c r="CK69" i="33"/>
  <c r="BO176" i="34"/>
  <c r="BU68" i="33"/>
  <c r="CI102" i="34"/>
  <c r="CI115" i="34"/>
  <c r="BK80" i="33"/>
  <c r="CL68" i="34"/>
  <c r="AY30" i="33"/>
  <c r="FX92" i="33"/>
  <c r="FT62" i="34"/>
  <c r="AR43" i="33"/>
  <c r="HD92" i="34"/>
  <c r="K130" i="28"/>
  <c r="DK86" i="33"/>
  <c r="AH25" i="33"/>
  <c r="PX51" i="34"/>
  <c r="BE57" i="33"/>
  <c r="FI44" i="33"/>
  <c r="KR115" i="34"/>
  <c r="DR32" i="33"/>
  <c r="MN69" i="34"/>
  <c r="HZ65" i="34"/>
  <c r="AD61" i="33"/>
  <c r="DF142" i="34"/>
  <c r="AR160" i="34"/>
  <c r="LI97" i="34"/>
  <c r="CE37" i="33"/>
  <c r="AC63" i="34"/>
  <c r="NK178" i="34"/>
  <c r="AQ121" i="34"/>
  <c r="CO51" i="34"/>
  <c r="AM69" i="34"/>
  <c r="HE142" i="34"/>
  <c r="OI92" i="34"/>
  <c r="FR44" i="33"/>
  <c r="DN75" i="33"/>
  <c r="IR75" i="34"/>
  <c r="GL77" i="33"/>
  <c r="FY67" i="33"/>
  <c r="MO98" i="34"/>
  <c r="CE26" i="33"/>
  <c r="EE57" i="34"/>
  <c r="AA63" i="34"/>
  <c r="JC54" i="34"/>
  <c r="FQ55" i="33"/>
  <c r="EL72" i="33"/>
  <c r="KQ54" i="34"/>
  <c r="AW134" i="34"/>
  <c r="KA91" i="34"/>
  <c r="DI159" i="34"/>
  <c r="EJ173" i="34"/>
  <c r="HV102" i="34"/>
  <c r="DF117" i="34"/>
  <c r="DD176" i="34"/>
  <c r="HY59" i="34"/>
  <c r="JH51" i="34"/>
  <c r="CM81" i="34"/>
  <c r="IQ110" i="34"/>
  <c r="CK60" i="33"/>
  <c r="FC49" i="33"/>
  <c r="BN38" i="33"/>
  <c r="CK65" i="33"/>
  <c r="CP59" i="33"/>
  <c r="BQ25" i="33"/>
  <c r="HV107" i="34"/>
  <c r="CV58" i="33"/>
  <c r="Y72" i="33"/>
  <c r="T126" i="34"/>
  <c r="ME71" i="34"/>
  <c r="GN44" i="34"/>
  <c r="DF88" i="34"/>
  <c r="CS29" i="33"/>
  <c r="S158" i="23"/>
  <c r="JV69" i="34"/>
  <c r="Y45" i="33"/>
  <c r="MO64" i="34"/>
  <c r="FV143" i="34"/>
  <c r="DF130" i="34"/>
  <c r="EQ73" i="33"/>
  <c r="GQ153" i="34"/>
  <c r="DC32" i="33"/>
  <c r="CE61" i="33"/>
  <c r="BL25" i="33"/>
  <c r="F22" i="17"/>
  <c r="F72" i="28"/>
  <c r="FW153" i="34"/>
  <c r="DY51" i="33"/>
  <c r="KN70" i="34"/>
  <c r="L45" i="33"/>
  <c r="MD58" i="34"/>
  <c r="GI43" i="33"/>
  <c r="BN130" i="34"/>
  <c r="R45" i="33"/>
  <c r="AA26" i="33"/>
  <c r="EC171" i="34"/>
  <c r="AN60" i="33"/>
  <c r="FN28" i="33"/>
  <c r="GA41" i="33"/>
  <c r="DS46" i="33"/>
  <c r="S165" i="23"/>
  <c r="EJ88" i="34"/>
  <c r="GN41" i="33"/>
  <c r="BI60" i="33"/>
  <c r="AT83" i="33"/>
  <c r="AR46" i="33"/>
  <c r="KB183" i="34"/>
  <c r="BJ187" i="28"/>
  <c r="CA25" i="33"/>
  <c r="ML135" i="34"/>
  <c r="AP77" i="33"/>
  <c r="F9" i="17"/>
  <c r="KP176" i="34"/>
  <c r="ER60" i="33"/>
  <c r="M58" i="33"/>
  <c r="IT153" i="34"/>
  <c r="BN43" i="34"/>
  <c r="AX94" i="34"/>
  <c r="HY111" i="34"/>
  <c r="BB43" i="33"/>
  <c r="FB82" i="34"/>
  <c r="GB26" i="33"/>
  <c r="CN175" i="34"/>
  <c r="HG78" i="34"/>
  <c r="BG52" i="33"/>
  <c r="ND45" i="34"/>
  <c r="EJ65" i="33"/>
  <c r="JW166" i="34"/>
  <c r="EA150" i="34"/>
  <c r="FC76" i="33"/>
  <c r="IE99" i="34"/>
  <c r="GN165" i="34"/>
  <c r="AX120" i="34"/>
  <c r="GK42" i="33"/>
  <c r="S3" i="17"/>
  <c r="FR61" i="33"/>
  <c r="FF84" i="33"/>
  <c r="K78" i="33"/>
  <c r="EM40" i="33"/>
  <c r="JX172" i="34"/>
  <c r="I36" i="33"/>
  <c r="GN108" i="34"/>
  <c r="CM52" i="34"/>
  <c r="ON62" i="34"/>
  <c r="CD57" i="34"/>
  <c r="FQ68" i="33"/>
  <c r="KA102" i="34"/>
  <c r="AG49" i="33"/>
  <c r="K55" i="33"/>
  <c r="JE141" i="34"/>
  <c r="S134" i="23"/>
  <c r="BB65" i="33"/>
  <c r="CZ59" i="33"/>
  <c r="LY52" i="34"/>
  <c r="FS85" i="33"/>
  <c r="T169" i="34"/>
  <c r="CK85" i="34"/>
  <c r="GN187" i="34"/>
  <c r="DM27" i="33"/>
  <c r="DF67" i="33"/>
  <c r="AV27" i="33"/>
  <c r="CQ42" i="33"/>
  <c r="LW133" i="34"/>
  <c r="HG43" i="34"/>
  <c r="GG29" i="33"/>
  <c r="FP162" i="34"/>
  <c r="JF168" i="34"/>
  <c r="KO123" i="34"/>
  <c r="BU41" i="33"/>
  <c r="FK54" i="33"/>
  <c r="CH173" i="34"/>
  <c r="BU53" i="33"/>
  <c r="HX104" i="34"/>
  <c r="J69" i="34"/>
  <c r="EP77" i="33"/>
  <c r="IA151" i="34"/>
  <c r="MN100" i="34"/>
  <c r="AF40" i="33"/>
  <c r="DX59" i="34"/>
  <c r="GQ51" i="34"/>
  <c r="DW149" i="34"/>
  <c r="DP55" i="33"/>
  <c r="JZ154" i="34"/>
  <c r="FQ100" i="34"/>
  <c r="BZ40" i="33"/>
  <c r="JE47" i="34"/>
  <c r="CI121" i="34"/>
  <c r="PK188" i="34"/>
  <c r="AS68" i="33"/>
  <c r="EG160" i="34"/>
  <c r="Z71" i="34"/>
  <c r="EK163" i="34"/>
  <c r="AR79" i="33"/>
  <c r="CH64" i="33"/>
  <c r="BV74" i="33"/>
  <c r="AQ41" i="33"/>
  <c r="ED72" i="33"/>
  <c r="Y63" i="34"/>
  <c r="DJ113" i="34"/>
  <c r="BA121" i="34"/>
  <c r="X32" i="33"/>
  <c r="MM69" i="34"/>
  <c r="LE56" i="34"/>
  <c r="FT56" i="33"/>
  <c r="BR183" i="34"/>
  <c r="T47" i="34"/>
  <c r="CC32" i="33"/>
  <c r="CB45" i="33"/>
  <c r="X40" i="33"/>
  <c r="DR44" i="33"/>
  <c r="AP29" i="33"/>
  <c r="CL53" i="34"/>
  <c r="NM89" i="34"/>
  <c r="HY155" i="34"/>
  <c r="DY42" i="33"/>
  <c r="GO107" i="34"/>
  <c r="CX78" i="33"/>
  <c r="BJ40" i="33"/>
  <c r="CZ39" i="33"/>
  <c r="AW64" i="34"/>
  <c r="IC41" i="34"/>
  <c r="AZ88" i="34"/>
  <c r="DC9" i="33"/>
  <c r="FG37" i="33"/>
  <c r="BY27" i="33"/>
  <c r="DF40" i="33"/>
  <c r="BW66" i="33"/>
  <c r="AP171" i="34"/>
  <c r="LE73" i="34"/>
  <c r="FF70" i="33"/>
  <c r="DP70" i="33"/>
  <c r="EY176" i="34"/>
  <c r="KN50" i="34"/>
  <c r="AR51" i="34"/>
  <c r="CJ44" i="33"/>
  <c r="EA116" i="34"/>
  <c r="HZ107" i="34"/>
  <c r="MO121" i="34"/>
  <c r="AU73" i="34"/>
  <c r="W65" i="34"/>
  <c r="FQ88" i="34"/>
  <c r="JG122" i="34"/>
  <c r="AA60" i="34"/>
  <c r="IC111" i="34"/>
  <c r="AO142" i="34"/>
  <c r="HU111" i="34"/>
  <c r="B32" i="17"/>
  <c r="AO139" i="34"/>
  <c r="IW186" i="34"/>
  <c r="AS45" i="33"/>
  <c r="KC116" i="34"/>
  <c r="CG136" i="34"/>
  <c r="GK96" i="34"/>
  <c r="X152" i="34"/>
  <c r="G78" i="33"/>
  <c r="CM156" i="34"/>
  <c r="BO145" i="34"/>
  <c r="EG147" i="34"/>
  <c r="AE66" i="33"/>
  <c r="I34" i="33"/>
  <c r="CU27" i="33"/>
  <c r="JZ78" i="34"/>
  <c r="F65" i="33"/>
  <c r="LB73" i="34"/>
  <c r="HE139" i="34"/>
  <c r="FW92" i="33"/>
  <c r="IS60" i="34"/>
  <c r="NP105" i="34"/>
  <c r="DE175" i="34"/>
  <c r="AT80" i="33"/>
  <c r="CN57" i="33"/>
  <c r="AQ71" i="33"/>
  <c r="KP107" i="34"/>
  <c r="FX28" i="33"/>
  <c r="BO155" i="34"/>
  <c r="EZ44" i="33"/>
  <c r="FY25" i="33"/>
  <c r="LA127" i="34"/>
  <c r="AB109" i="34"/>
  <c r="M33" i="33"/>
  <c r="F42" i="17"/>
  <c r="GJ145" i="34"/>
  <c r="EY53" i="34"/>
  <c r="FV98" i="34"/>
  <c r="AA34" i="33"/>
  <c r="DN27" i="33"/>
  <c r="BT64" i="33"/>
  <c r="FH80" i="33"/>
  <c r="FS79" i="34"/>
  <c r="PZ69" i="34"/>
  <c r="BM38" i="33"/>
  <c r="CI47" i="33"/>
  <c r="X67" i="33"/>
  <c r="MB111" i="34"/>
  <c r="FS66" i="34"/>
  <c r="BQ181" i="34"/>
  <c r="BU25" i="33"/>
  <c r="N44" i="33"/>
  <c r="CR42" i="33"/>
  <c r="FD92" i="33"/>
  <c r="FP164" i="34"/>
  <c r="OM151" i="34"/>
  <c r="DJ142" i="34"/>
  <c r="EY52" i="34"/>
  <c r="GO105" i="34"/>
  <c r="CA54" i="33"/>
  <c r="JU85" i="34"/>
  <c r="BJ51" i="28"/>
  <c r="I40" i="33"/>
  <c r="CI147" i="34"/>
  <c r="AQ141" i="34"/>
  <c r="DZ77" i="34"/>
  <c r="BG25" i="33"/>
  <c r="NG68" i="34"/>
  <c r="FR102" i="34"/>
  <c r="IR73" i="34"/>
  <c r="AN41" i="34"/>
  <c r="KR183" i="34"/>
  <c r="ER90" i="33"/>
  <c r="GQ82" i="34"/>
  <c r="CX69" i="33"/>
  <c r="CJ156" i="34"/>
  <c r="DP85" i="33"/>
  <c r="CY61" i="33"/>
  <c r="EH53" i="34"/>
  <c r="AT70" i="34"/>
  <c r="HD151" i="34"/>
  <c r="EB82" i="34"/>
  <c r="KP133" i="34"/>
  <c r="CO77" i="33"/>
  <c r="V31" i="33"/>
  <c r="AT126" i="34"/>
  <c r="IE89" i="34"/>
  <c r="K29" i="33"/>
  <c r="OM105" i="34"/>
  <c r="FQ33" i="33"/>
  <c r="IV55" i="34"/>
  <c r="CL39" i="33"/>
  <c r="DT27" i="33"/>
  <c r="T136" i="34"/>
  <c r="DZ45" i="34"/>
  <c r="FP89" i="34"/>
  <c r="CE85" i="33"/>
  <c r="AS50" i="34"/>
  <c r="FV59" i="33"/>
  <c r="DX66" i="33"/>
  <c r="EB187" i="34"/>
  <c r="ON133" i="34"/>
  <c r="HV50" i="34"/>
  <c r="FS73" i="34"/>
  <c r="H31" i="33"/>
  <c r="JH164" i="34"/>
  <c r="FV70" i="34"/>
  <c r="DB124" i="34"/>
  <c r="AV124" i="34"/>
  <c r="BI64" i="33"/>
  <c r="AW116" i="34"/>
  <c r="EM29" i="33"/>
  <c r="DF116" i="34"/>
  <c r="AO131" i="34"/>
  <c r="AK68" i="33"/>
  <c r="CD76" i="33"/>
  <c r="DZ141" i="34"/>
  <c r="AY44" i="33"/>
  <c r="CK74" i="34"/>
  <c r="AA156" i="34"/>
  <c r="NM142" i="34"/>
  <c r="FK68" i="33"/>
  <c r="FY60" i="33"/>
  <c r="EH69" i="34"/>
  <c r="FV119" i="34"/>
  <c r="AO91" i="34"/>
  <c r="FR50" i="34"/>
  <c r="AC28" i="33"/>
  <c r="F58" i="33"/>
  <c r="AM32" i="33"/>
  <c r="NA132" i="34"/>
  <c r="FN43" i="33"/>
  <c r="T181" i="34"/>
  <c r="BA159" i="34"/>
  <c r="HC93" i="34"/>
  <c r="MJ105" i="34"/>
  <c r="AV126" i="34"/>
  <c r="GJ25" i="33"/>
  <c r="CO39" i="33"/>
  <c r="NJ104" i="34"/>
  <c r="BM32" i="33"/>
  <c r="CI45" i="33"/>
  <c r="DF68" i="33"/>
  <c r="S82" i="23"/>
  <c r="CV29" i="33"/>
  <c r="FE49" i="33"/>
  <c r="ER55" i="33"/>
  <c r="X53" i="33"/>
  <c r="FW75" i="33"/>
  <c r="DK29" i="33"/>
  <c r="FN109" i="34"/>
  <c r="EK84" i="33"/>
  <c r="BO126" i="34"/>
  <c r="G73" i="33"/>
  <c r="OK69" i="34"/>
  <c r="KA134" i="34"/>
  <c r="IA178" i="34"/>
  <c r="LY85" i="34"/>
  <c r="DJ151" i="34"/>
  <c r="JH108" i="34"/>
  <c r="BB178" i="34"/>
  <c r="BO65" i="33"/>
  <c r="DF20" i="33"/>
  <c r="AS53" i="34"/>
  <c r="BC9" i="33"/>
  <c r="BR79" i="33"/>
  <c r="FA27" i="33"/>
  <c r="MH65" i="34"/>
  <c r="FR164" i="34"/>
  <c r="GP118" i="34"/>
  <c r="DE50" i="33"/>
  <c r="AA63" i="33"/>
  <c r="GA31" i="33"/>
  <c r="EF54" i="33"/>
  <c r="AD44" i="34"/>
  <c r="ML145" i="34"/>
  <c r="EG69" i="33"/>
  <c r="NC150" i="34"/>
  <c r="IY72" i="34"/>
  <c r="FO9" i="33"/>
  <c r="JY45" i="34"/>
  <c r="AX166" i="34"/>
  <c r="AP74" i="33"/>
  <c r="CB29" i="33"/>
  <c r="BZ73" i="33"/>
  <c r="CF115" i="34"/>
  <c r="DA135" i="34"/>
  <c r="LC148" i="34"/>
  <c r="ER48" i="33"/>
  <c r="KB60" i="34"/>
  <c r="BJ189" i="28"/>
  <c r="S98" i="23"/>
  <c r="AH70" i="33"/>
  <c r="GL92" i="34"/>
  <c r="BK64" i="33"/>
  <c r="GM66" i="33"/>
  <c r="HU97" i="34"/>
  <c r="CN66" i="34"/>
  <c r="FF69" i="33"/>
  <c r="FS158" i="34"/>
  <c r="CV37" i="33"/>
  <c r="AP125" i="34"/>
  <c r="JU71" i="34"/>
  <c r="DB54" i="34"/>
  <c r="FU158" i="34"/>
  <c r="BS43" i="33"/>
  <c r="KB104" i="34"/>
  <c r="BQ134" i="34"/>
  <c r="FX102" i="34"/>
  <c r="BA90" i="34"/>
  <c r="DL38" i="33"/>
  <c r="FC65" i="33"/>
  <c r="CN49" i="34"/>
  <c r="Y77" i="33"/>
  <c r="HV87" i="34"/>
  <c r="EH70" i="34"/>
  <c r="AR52" i="33"/>
  <c r="FH35" i="33"/>
  <c r="AQ57" i="33"/>
  <c r="FJ29" i="33"/>
  <c r="CK160" i="34"/>
  <c r="GK133" i="34"/>
  <c r="EP28" i="33"/>
  <c r="GJ130" i="34"/>
  <c r="GM163" i="34"/>
  <c r="NM119" i="34"/>
  <c r="DZ110" i="34"/>
  <c r="EG63" i="33"/>
  <c r="IT115" i="34"/>
  <c r="FO139" i="34"/>
  <c r="NJ131" i="34"/>
  <c r="AS55" i="33"/>
  <c r="IE48" i="34"/>
  <c r="DW168" i="34"/>
  <c r="DD141" i="34"/>
  <c r="CD84" i="33"/>
  <c r="OM70" i="34"/>
  <c r="MO143" i="34"/>
  <c r="CH33" i="33"/>
  <c r="DD139" i="34"/>
  <c r="CV84" i="33"/>
  <c r="BF41" i="33"/>
  <c r="FV51" i="33"/>
  <c r="DG74" i="33"/>
  <c r="MU4" i="34"/>
  <c r="BV49" i="33"/>
  <c r="JE53" i="34"/>
  <c r="HV105" i="34"/>
  <c r="CF77" i="33"/>
  <c r="BN87" i="34"/>
  <c r="J102" i="34"/>
  <c r="DA69" i="33"/>
  <c r="FF32" i="33"/>
  <c r="BQ77" i="33"/>
  <c r="GQ67" i="34"/>
  <c r="CS31" i="33"/>
  <c r="EF100" i="34"/>
  <c r="EW138" i="34"/>
  <c r="H25" i="17"/>
  <c r="KC103" i="34"/>
  <c r="HG154" i="34"/>
  <c r="CL133" i="34"/>
  <c r="HX148" i="34"/>
  <c r="DD81" i="33"/>
  <c r="DC123" i="34"/>
  <c r="ED79" i="33"/>
  <c r="AF26" i="33"/>
  <c r="GL85" i="33"/>
  <c r="EP63" i="33"/>
  <c r="EF51" i="33"/>
  <c r="NB150" i="34"/>
  <c r="AL23" i="33"/>
  <c r="AC166" i="34"/>
  <c r="CE20" i="33"/>
  <c r="DG30" i="33"/>
  <c r="JB125" i="34"/>
  <c r="X9" i="33"/>
  <c r="W74" i="34"/>
  <c r="J130" i="34"/>
  <c r="JX64" i="34"/>
  <c r="CY44" i="33"/>
  <c r="J45" i="34"/>
  <c r="CR71" i="33"/>
  <c r="LA59" i="34"/>
  <c r="AG46" i="33"/>
  <c r="FO39" i="33"/>
  <c r="BV38" i="33"/>
  <c r="DB53" i="33"/>
  <c r="CH139" i="34"/>
  <c r="AV59" i="33"/>
  <c r="FO77" i="34"/>
  <c r="HC76" i="34"/>
  <c r="HY94" i="34"/>
  <c r="EI138" i="34"/>
  <c r="AN71" i="33"/>
  <c r="CY45" i="33"/>
  <c r="FW176" i="34"/>
  <c r="MD111" i="34"/>
  <c r="FV100" i="34"/>
  <c r="NM76" i="34"/>
  <c r="KA45" i="34"/>
  <c r="ES65" i="33"/>
  <c r="AI48" i="33"/>
  <c r="AZ83" i="34"/>
  <c r="EI100" i="34"/>
  <c r="LG130" i="34"/>
  <c r="D43" i="17"/>
  <c r="BJ53" i="33"/>
  <c r="CF56" i="33"/>
  <c r="LK117" i="34"/>
  <c r="FN85" i="34"/>
  <c r="DX174" i="34"/>
  <c r="KP44" i="34"/>
  <c r="CZ72" i="33"/>
  <c r="CD160" i="34"/>
  <c r="HD143" i="34"/>
  <c r="GH55" i="33"/>
  <c r="AN86" i="33"/>
  <c r="Z110" i="34"/>
  <c r="IA123" i="34"/>
  <c r="EK69" i="33"/>
  <c r="JD126" i="34"/>
  <c r="GM154" i="34"/>
  <c r="FA115" i="34"/>
  <c r="JV53" i="34"/>
  <c r="AZ152" i="34"/>
  <c r="BJ103" i="28"/>
  <c r="DF51" i="33"/>
  <c r="EG168" i="34"/>
  <c r="FT54" i="34"/>
  <c r="EH80" i="34"/>
  <c r="BQ143" i="34"/>
  <c r="BU30" i="33"/>
  <c r="FA146" i="34"/>
  <c r="CH51" i="33"/>
  <c r="LX66" i="34"/>
  <c r="EW48" i="34"/>
  <c r="FT52" i="34"/>
  <c r="FA65" i="33"/>
  <c r="AP49" i="33"/>
  <c r="AW20" i="33"/>
  <c r="AS41" i="33"/>
  <c r="FO121" i="34"/>
  <c r="GK176" i="34"/>
  <c r="AR113" i="34"/>
  <c r="JW134" i="34"/>
  <c r="KC150" i="34"/>
  <c r="DW163" i="34"/>
  <c r="FT50" i="33"/>
  <c r="BY65" i="33"/>
  <c r="FU75" i="33"/>
  <c r="FJ47" i="33"/>
  <c r="EW85" i="33"/>
  <c r="IZ176" i="34"/>
  <c r="CH50" i="33"/>
  <c r="AS170" i="34"/>
  <c r="DP75" i="33"/>
  <c r="EJ83" i="34"/>
  <c r="L43" i="33"/>
  <c r="IE80" i="34"/>
  <c r="FV102" i="34"/>
  <c r="EM69" i="33"/>
  <c r="CG143" i="34"/>
  <c r="DC53" i="33"/>
  <c r="BY85" i="33"/>
  <c r="N83" i="33"/>
  <c r="DX90" i="34"/>
  <c r="T33" i="33"/>
  <c r="IQ111" i="34"/>
  <c r="DC48" i="34"/>
  <c r="LA47" i="34"/>
  <c r="DD71" i="34"/>
  <c r="V86" i="33"/>
  <c r="AQ50" i="34"/>
  <c r="AM89" i="34"/>
  <c r="LJ188" i="34"/>
  <c r="AM65" i="34"/>
  <c r="CI50" i="33"/>
  <c r="X47" i="33"/>
  <c r="FN38" i="33"/>
  <c r="CL116" i="34"/>
  <c r="EC81" i="34"/>
  <c r="LE48" i="34"/>
  <c r="EY76" i="33"/>
  <c r="HT68" i="34"/>
  <c r="BG77" i="33"/>
  <c r="AL41" i="33"/>
  <c r="X172" i="34"/>
  <c r="DE90" i="33"/>
  <c r="EL86" i="33"/>
  <c r="CH62" i="33"/>
  <c r="X63" i="33"/>
  <c r="FR176" i="34"/>
  <c r="CN144" i="34"/>
  <c r="CK136" i="34"/>
  <c r="CB79" i="33"/>
  <c r="FP79" i="33"/>
  <c r="EH107" i="34"/>
  <c r="FP78" i="33"/>
  <c r="CA41" i="33"/>
  <c r="O52" i="33"/>
  <c r="HU58" i="34"/>
  <c r="O84" i="33"/>
  <c r="DC147" i="34"/>
  <c r="CJ120" i="34"/>
  <c r="BZ44" i="33"/>
  <c r="FN25" i="33"/>
  <c r="CH94" i="34"/>
  <c r="DU42" i="33"/>
  <c r="EZ40" i="33"/>
  <c r="FW119" i="34"/>
  <c r="DW137" i="34"/>
  <c r="CC75" i="33"/>
  <c r="JA140" i="34"/>
  <c r="MM41" i="34"/>
  <c r="FA35" i="33"/>
  <c r="EX93" i="34"/>
  <c r="HD54" i="34"/>
  <c r="GM46" i="34"/>
  <c r="L55" i="33"/>
  <c r="AY99" i="34"/>
  <c r="HG66" i="34"/>
  <c r="K56" i="34"/>
  <c r="K64" i="33"/>
  <c r="JV44" i="34"/>
  <c r="DE25" i="33"/>
  <c r="GH65" i="33"/>
  <c r="DB168" i="34"/>
  <c r="S130" i="23"/>
  <c r="DJ178" i="34"/>
  <c r="GN70" i="34"/>
  <c r="AS75" i="33"/>
  <c r="DO63" i="33"/>
  <c r="HH77" i="34"/>
  <c r="BJ44" i="33"/>
  <c r="BU62" i="33"/>
  <c r="FA104" i="34"/>
  <c r="CZ63" i="33"/>
  <c r="BB42" i="33"/>
  <c r="IB75" i="34"/>
  <c r="BW28" i="33"/>
  <c r="NL48" i="34"/>
  <c r="CH48" i="33"/>
  <c r="BQ78" i="33"/>
  <c r="LJ65" i="34"/>
  <c r="OH159" i="34"/>
  <c r="KO48" i="34"/>
  <c r="EJ25" i="33"/>
  <c r="CD57" i="33"/>
  <c r="FY34" i="33"/>
  <c r="HF112" i="34"/>
  <c r="GO47" i="33"/>
  <c r="AY120" i="34"/>
  <c r="AS161" i="34"/>
  <c r="CC30" i="33"/>
  <c r="F37" i="33"/>
  <c r="EF77" i="33"/>
  <c r="DA66" i="33"/>
  <c r="HY171" i="34"/>
  <c r="FR85" i="34"/>
  <c r="DS82" i="33"/>
  <c r="AU55" i="34"/>
  <c r="LE121" i="34"/>
  <c r="EZ111" i="34"/>
  <c r="KC175" i="34"/>
  <c r="CM144" i="34"/>
  <c r="EX135" i="34"/>
  <c r="FD80" i="33"/>
  <c r="FE78" i="33"/>
  <c r="DG37" i="33"/>
  <c r="BP84" i="34"/>
  <c r="CK86" i="33"/>
  <c r="AX20" i="33"/>
  <c r="Z34" i="33"/>
  <c r="KO116" i="34"/>
  <c r="BN41" i="34"/>
  <c r="AJ71" i="33"/>
  <c r="X65" i="34"/>
  <c r="AL44" i="33"/>
  <c r="FP85" i="33"/>
  <c r="DH42" i="33"/>
  <c r="BB119" i="34"/>
  <c r="MG187" i="34"/>
  <c r="AU83" i="33"/>
  <c r="GJ104" i="34"/>
  <c r="EE164" i="34"/>
  <c r="DA85" i="34"/>
  <c r="IZ168" i="34"/>
  <c r="EW106" i="34"/>
  <c r="JG79" i="34"/>
  <c r="S118" i="23"/>
  <c r="DI107" i="34"/>
  <c r="AL58" i="33"/>
  <c r="BJ18" i="28"/>
  <c r="AE43" i="33"/>
  <c r="IQ176" i="34"/>
  <c r="HU103" i="34"/>
  <c r="DF46" i="33"/>
  <c r="O42" i="33"/>
  <c r="CC83" i="33"/>
  <c r="HD97" i="34"/>
  <c r="CH167" i="34"/>
  <c r="KC141" i="34"/>
  <c r="DO36" i="33"/>
  <c r="BQ101" i="34"/>
  <c r="BO61" i="33"/>
  <c r="FI69" i="33"/>
  <c r="O48" i="33"/>
  <c r="LZ124" i="34"/>
  <c r="GL129" i="34"/>
  <c r="BZ68" i="33"/>
  <c r="GM125" i="34"/>
  <c r="PE54" i="34"/>
  <c r="CY85" i="33"/>
  <c r="BH45" i="33"/>
  <c r="MC71" i="34"/>
  <c r="S56" i="23"/>
  <c r="BF58" i="33"/>
  <c r="CZ54" i="33"/>
  <c r="MF50" i="34"/>
  <c r="FF79" i="33"/>
  <c r="S45" i="17"/>
  <c r="JU121" i="34"/>
  <c r="CR31" i="33"/>
  <c r="CW42" i="33"/>
  <c r="DX164" i="34"/>
  <c r="EK124" i="34"/>
  <c r="H51" i="33"/>
  <c r="BJ100" i="28"/>
  <c r="DV120" i="34"/>
  <c r="CJ137" i="34"/>
  <c r="AW42" i="33"/>
  <c r="AH54" i="33"/>
  <c r="GA43" i="33"/>
  <c r="EZ73" i="33"/>
  <c r="HE157" i="34"/>
  <c r="MG188" i="34"/>
  <c r="CJ44" i="34"/>
  <c r="FH60" i="33"/>
  <c r="AT74" i="33"/>
  <c r="DW95" i="34"/>
  <c r="DP41" i="33"/>
  <c r="DA73" i="33"/>
  <c r="F44" i="33"/>
  <c r="DF84" i="33"/>
  <c r="GK45" i="34"/>
  <c r="FN166" i="34"/>
  <c r="CS66" i="33"/>
  <c r="CQ55" i="33"/>
  <c r="FB138" i="34"/>
  <c r="JB42" i="34"/>
  <c r="T120" i="34"/>
  <c r="AD74" i="34"/>
  <c r="LJ77" i="34"/>
  <c r="BX4" i="34"/>
  <c r="FC81" i="33"/>
  <c r="IZ56" i="34"/>
  <c r="DX112" i="34"/>
  <c r="AR97" i="34"/>
  <c r="CQ61" i="33"/>
  <c r="AB54" i="34"/>
  <c r="BA149" i="34"/>
  <c r="CK78" i="33"/>
  <c r="CL75" i="33"/>
  <c r="EV70" i="33"/>
  <c r="S106" i="23"/>
  <c r="LY92" i="34"/>
  <c r="EY49" i="34"/>
  <c r="HH186" i="34"/>
  <c r="JE75" i="34"/>
  <c r="JG155" i="34"/>
  <c r="DG80" i="33"/>
  <c r="H78" i="33"/>
  <c r="FW35" i="33"/>
  <c r="V174" i="34"/>
  <c r="HC58" i="34"/>
  <c r="AZ121" i="34"/>
  <c r="M29" i="33"/>
  <c r="BR78" i="34"/>
  <c r="FY62" i="33"/>
  <c r="K186" i="34"/>
  <c r="BJ155" i="28"/>
  <c r="U112" i="34"/>
  <c r="BR83" i="33"/>
  <c r="CG150" i="34"/>
  <c r="CD9" i="33"/>
  <c r="GG49" i="33"/>
  <c r="AV128" i="34"/>
  <c r="CN31" i="33"/>
  <c r="GA39" i="33"/>
  <c r="JE118" i="34"/>
  <c r="BT74" i="33"/>
  <c r="FO160" i="34"/>
  <c r="AV92" i="34"/>
  <c r="ME173" i="34"/>
  <c r="CY78" i="33"/>
  <c r="CR78" i="33"/>
  <c r="EY111" i="34"/>
  <c r="AR144" i="34"/>
  <c r="AA43" i="34"/>
  <c r="KA167" i="34"/>
  <c r="DN58" i="33"/>
  <c r="FP86" i="33"/>
  <c r="GN148" i="34"/>
  <c r="KP68" i="34"/>
  <c r="DW68" i="34"/>
  <c r="CK163" i="34"/>
  <c r="DF52" i="33"/>
  <c r="EQ6" i="34"/>
  <c r="S45" i="23"/>
  <c r="DA117" i="34"/>
  <c r="AJ82" i="33"/>
  <c r="FT68" i="33"/>
  <c r="AY38" i="33"/>
  <c r="DZ129" i="34"/>
  <c r="CE47" i="33"/>
  <c r="KQ72" i="34"/>
  <c r="FW26" i="33"/>
  <c r="DF31" i="33"/>
  <c r="KM75" i="34"/>
  <c r="GO30" i="33"/>
  <c r="GL45" i="34"/>
  <c r="DW47" i="34"/>
  <c r="AH86" i="33"/>
  <c r="K167" i="34"/>
  <c r="EE110" i="34"/>
  <c r="X46" i="33"/>
  <c r="FS36" i="33"/>
  <c r="KN151" i="34"/>
  <c r="FI53" i="33"/>
  <c r="EC108" i="34"/>
  <c r="BH85" i="33"/>
  <c r="EF57" i="33"/>
  <c r="AW148" i="34"/>
  <c r="N50" i="33"/>
  <c r="DA51" i="33"/>
  <c r="FX27" i="33"/>
  <c r="BM61" i="33"/>
  <c r="BW56" i="33"/>
  <c r="FB41" i="34"/>
  <c r="AW66" i="33"/>
  <c r="AV132" i="34"/>
  <c r="LA169" i="34"/>
  <c r="CO166" i="34"/>
  <c r="CR44" i="33"/>
  <c r="CF61" i="33"/>
  <c r="F26" i="17"/>
  <c r="LI125" i="34"/>
  <c r="FX66" i="34"/>
  <c r="DX41" i="33"/>
  <c r="CC51" i="33"/>
  <c r="DB79" i="33"/>
  <c r="LB113" i="34"/>
  <c r="NA41" i="34"/>
  <c r="LC84" i="34"/>
  <c r="N71" i="33"/>
  <c r="DX61" i="34"/>
  <c r="AC175" i="34"/>
  <c r="AF30" i="33"/>
  <c r="DA42" i="33"/>
  <c r="JB145" i="34"/>
  <c r="BC55" i="33"/>
  <c r="LD158" i="34"/>
  <c r="K61" i="34"/>
  <c r="EJ81" i="34"/>
  <c r="CY9" i="33"/>
  <c r="G52" i="33"/>
  <c r="CH187" i="34"/>
  <c r="AG57" i="33"/>
  <c r="KR44" i="34"/>
  <c r="BO79" i="34"/>
  <c r="HC157" i="34"/>
  <c r="BQ73" i="34"/>
  <c r="CD79" i="33"/>
  <c r="FS141" i="34"/>
  <c r="DO28" i="33"/>
  <c r="CK159" i="34"/>
  <c r="CJ96" i="34"/>
  <c r="CO55" i="33"/>
  <c r="IZ117" i="34"/>
  <c r="HF49" i="34"/>
  <c r="DU60" i="33"/>
  <c r="CG88" i="34"/>
  <c r="GM47" i="33"/>
  <c r="GN172" i="34"/>
  <c r="IW138" i="34"/>
  <c r="DE169" i="34"/>
  <c r="AP95" i="34"/>
  <c r="HT71" i="34"/>
  <c r="J76" i="34"/>
  <c r="CS42" i="33"/>
  <c r="GL105" i="34"/>
  <c r="FH66" i="33"/>
  <c r="IV186" i="34"/>
  <c r="CL31" i="33"/>
  <c r="BR77" i="34"/>
  <c r="M52" i="33"/>
  <c r="KR65" i="34"/>
  <c r="DY171" i="34"/>
  <c r="ML137" i="34"/>
  <c r="AM91" i="34"/>
  <c r="HW173" i="34"/>
  <c r="LA183" i="34"/>
  <c r="FX106" i="34"/>
  <c r="OK108" i="34"/>
  <c r="BJ23" i="33"/>
  <c r="EE43" i="33"/>
  <c r="AX77" i="33"/>
  <c r="FL81" i="33"/>
  <c r="AN172" i="34"/>
  <c r="IE75" i="34"/>
  <c r="AI73" i="33"/>
  <c r="EB127" i="34"/>
  <c r="P67" i="33"/>
  <c r="DW119" i="34"/>
  <c r="J169" i="34"/>
  <c r="BA65" i="33"/>
  <c r="L5" i="17"/>
  <c r="DE47" i="34"/>
  <c r="JY149" i="34"/>
  <c r="LH162" i="34"/>
  <c r="AY121" i="34"/>
  <c r="EJ57" i="34"/>
  <c r="GK30" i="33"/>
  <c r="GA38" i="33"/>
  <c r="IU113" i="34"/>
  <c r="EY25" i="33"/>
  <c r="DJ83" i="34"/>
  <c r="V63" i="33"/>
  <c r="NV7" i="34"/>
  <c r="ES72" i="33"/>
  <c r="AR164" i="34"/>
  <c r="CN52" i="33"/>
  <c r="CD106" i="34"/>
  <c r="BN70" i="33"/>
  <c r="AY63" i="33"/>
  <c r="NM166" i="34"/>
  <c r="AN56" i="34"/>
  <c r="DI131" i="34"/>
  <c r="AD75" i="34"/>
  <c r="ID99" i="34"/>
  <c r="FH30" i="33"/>
  <c r="HZ103" i="34"/>
  <c r="CW59" i="33"/>
  <c r="GH68" i="33"/>
  <c r="JW144" i="34"/>
  <c r="K126" i="34"/>
  <c r="OL188" i="34"/>
  <c r="EV72" i="33"/>
  <c r="E25" i="3"/>
  <c r="FY78" i="33"/>
  <c r="KM112" i="34"/>
  <c r="AZ143" i="34"/>
  <c r="AP121" i="34"/>
  <c r="KB139" i="34"/>
  <c r="KR82" i="34"/>
  <c r="HE86" i="34"/>
  <c r="R79" i="33"/>
  <c r="GN31" i="33"/>
  <c r="EB172" i="34"/>
  <c r="DT34" i="33"/>
  <c r="DJ119" i="34"/>
  <c r="AT90" i="33"/>
  <c r="DY94" i="34"/>
  <c r="PG138" i="34"/>
  <c r="FR28" i="33"/>
  <c r="DY111" i="34"/>
  <c r="BY79" i="33"/>
  <c r="BM59" i="33"/>
  <c r="N34" i="33"/>
  <c r="EK35" i="33"/>
  <c r="V85" i="34"/>
  <c r="K67" i="34"/>
  <c r="AY164" i="34"/>
  <c r="EQ55" i="33"/>
  <c r="EW86" i="34"/>
  <c r="PC77" i="34"/>
  <c r="CZ84" i="33"/>
  <c r="FX104" i="34"/>
  <c r="EY33" i="33"/>
  <c r="F43" i="17"/>
  <c r="BU50" i="33"/>
  <c r="HC178" i="34"/>
  <c r="V69" i="34"/>
  <c r="GM121" i="34"/>
  <c r="ED26" i="33"/>
  <c r="EY92" i="34"/>
  <c r="W106" i="34"/>
  <c r="AD103" i="34"/>
  <c r="FB68" i="34"/>
  <c r="CN147" i="34"/>
  <c r="KQ83" i="34"/>
  <c r="B68" i="28"/>
  <c r="CZ85" i="33"/>
  <c r="M55" i="33"/>
  <c r="EQ59" i="33"/>
  <c r="W66" i="33"/>
  <c r="AY41" i="34"/>
  <c r="ED79" i="34"/>
  <c r="FQ61" i="34"/>
  <c r="IY53" i="34"/>
  <c r="DJ121" i="34"/>
  <c r="JZ176" i="34"/>
  <c r="NF88" i="34"/>
  <c r="JC142" i="34"/>
  <c r="ED174" i="34"/>
  <c r="T118" i="34"/>
  <c r="EI53" i="34"/>
  <c r="AN50" i="33"/>
  <c r="FU85" i="33"/>
  <c r="CF101" i="34"/>
  <c r="AR99" i="34"/>
  <c r="DD175" i="34"/>
  <c r="CO100" i="34"/>
  <c r="DS62" i="33"/>
  <c r="HU137" i="34"/>
  <c r="EK59" i="33"/>
  <c r="DF75" i="34"/>
  <c r="FT111" i="34"/>
  <c r="FG40" i="33"/>
  <c r="DY28" i="33"/>
  <c r="GN35" i="33"/>
  <c r="JC43" i="34"/>
  <c r="BN169" i="34"/>
  <c r="PY43" i="34"/>
  <c r="K130" i="34"/>
  <c r="CJ125" i="34"/>
  <c r="FJ9" i="33"/>
  <c r="I29" i="33"/>
  <c r="CR37" i="33"/>
  <c r="DW88" i="34"/>
  <c r="HW157" i="34"/>
  <c r="CD122" i="34"/>
  <c r="JF122" i="34"/>
  <c r="BG55" i="33"/>
  <c r="CX42" i="33"/>
  <c r="PF183" i="34"/>
  <c r="AN64" i="33"/>
  <c r="EE79" i="34"/>
  <c r="LG160" i="34"/>
  <c r="BW69" i="33"/>
  <c r="MK74" i="34"/>
  <c r="OJ139" i="34"/>
  <c r="CQ76" i="33"/>
  <c r="KR167" i="34"/>
  <c r="EJ168" i="34"/>
  <c r="J83" i="33"/>
  <c r="AF79" i="33"/>
  <c r="GL45" i="33"/>
  <c r="FL55" i="33"/>
  <c r="FY63" i="33"/>
  <c r="DH72" i="33"/>
  <c r="L76" i="33"/>
  <c r="KC130" i="34"/>
  <c r="V92" i="33"/>
  <c r="EC68" i="34"/>
  <c r="AB47" i="34"/>
  <c r="S135" i="23"/>
  <c r="HG157" i="34"/>
  <c r="AK28" i="33"/>
  <c r="AT9" i="33"/>
  <c r="ED49" i="34"/>
  <c r="JB139" i="34"/>
  <c r="CN86" i="33"/>
  <c r="Y113" i="34"/>
  <c r="Y38" i="33"/>
  <c r="BJ52" i="33"/>
  <c r="BE65" i="33"/>
  <c r="BR81" i="34"/>
  <c r="R49" i="33"/>
  <c r="DZ42" i="33"/>
  <c r="BT90" i="33"/>
  <c r="DR66" i="33"/>
  <c r="BU59" i="33"/>
  <c r="CK71" i="34"/>
  <c r="BI45" i="33"/>
  <c r="CI151" i="34"/>
  <c r="BL78" i="33"/>
  <c r="DJ150" i="34"/>
  <c r="AC130" i="34"/>
  <c r="AW47" i="33"/>
  <c r="AV107" i="34"/>
  <c r="CN152" i="34"/>
  <c r="CG138" i="34"/>
  <c r="DZ81" i="33"/>
  <c r="EZ144" i="34"/>
  <c r="EJ49" i="33"/>
  <c r="HU120" i="34"/>
  <c r="EG183" i="34"/>
  <c r="CM58" i="34"/>
  <c r="O72" i="33"/>
  <c r="IA99" i="34"/>
  <c r="EO4" i="34"/>
  <c r="DG59" i="33"/>
  <c r="W90" i="33"/>
  <c r="DY176" i="34"/>
  <c r="DE63" i="33"/>
  <c r="IC126" i="34"/>
  <c r="EA186" i="34"/>
  <c r="DF43" i="34"/>
  <c r="BM26" i="33"/>
  <c r="AX92" i="34"/>
  <c r="EW9" i="33"/>
  <c r="IW63" i="34"/>
  <c r="EE54" i="33"/>
  <c r="CY43" i="33"/>
  <c r="CI49" i="34"/>
  <c r="LY73" i="34"/>
  <c r="NF102" i="34"/>
  <c r="EY60" i="33"/>
  <c r="W32" i="33"/>
  <c r="EB138" i="34"/>
  <c r="LG64" i="34"/>
  <c r="BL9" i="33"/>
  <c r="DU61" i="33"/>
  <c r="GM113" i="34"/>
  <c r="FE53" i="33"/>
  <c r="EW102" i="34"/>
  <c r="BR62" i="33"/>
  <c r="FW80" i="34"/>
  <c r="CG149" i="34"/>
  <c r="JA43" i="34"/>
  <c r="P54" i="33"/>
  <c r="X183" i="34"/>
  <c r="JE85" i="34"/>
  <c r="DC139" i="34"/>
  <c r="FU37" i="33"/>
  <c r="EF46" i="34"/>
  <c r="CB35" i="33"/>
  <c r="FF62" i="33"/>
  <c r="MC117" i="34"/>
  <c r="HG65" i="34"/>
  <c r="FB107" i="34"/>
  <c r="DK43" i="33"/>
  <c r="AN157" i="34"/>
  <c r="JX152" i="34"/>
  <c r="NK119" i="34"/>
  <c r="BE34" i="33"/>
  <c r="AY93" i="34"/>
  <c r="DF37" i="33"/>
  <c r="CM145" i="34"/>
  <c r="AM134" i="34"/>
  <c r="M45" i="33"/>
  <c r="FG47" i="33"/>
  <c r="GL84" i="33"/>
  <c r="GN78" i="33"/>
  <c r="ES76" i="33"/>
  <c r="BJ47" i="28"/>
  <c r="DZ35" i="33"/>
  <c r="U86" i="33"/>
  <c r="AS109" i="34"/>
  <c r="KP139" i="34"/>
  <c r="CZ80" i="33"/>
  <c r="ER50" i="33"/>
  <c r="LE72" i="34"/>
  <c r="MA63" i="34"/>
  <c r="ES53" i="33"/>
  <c r="LI88" i="34"/>
  <c r="BT30" i="33"/>
  <c r="FG50" i="33"/>
  <c r="EM42" i="33"/>
  <c r="AW153" i="34"/>
  <c r="GO61" i="33"/>
  <c r="DI128" i="34"/>
  <c r="IZ71" i="34"/>
  <c r="FA65" i="34"/>
  <c r="EG94" i="34"/>
  <c r="BV55" i="33"/>
  <c r="CO53" i="33"/>
  <c r="GB59" i="33"/>
  <c r="FK75" i="33"/>
  <c r="DI145" i="34"/>
  <c r="JW77" i="34"/>
  <c r="AS175" i="34"/>
  <c r="DF76" i="34"/>
  <c r="EQ75" i="33"/>
  <c r="EW41" i="33"/>
  <c r="MF41" i="34"/>
  <c r="BJ48" i="33"/>
  <c r="AP60" i="33"/>
  <c r="EF56" i="33"/>
  <c r="EF86" i="34"/>
  <c r="AK34" i="33"/>
  <c r="LG128" i="34"/>
  <c r="BU55" i="33"/>
  <c r="DC84" i="34"/>
  <c r="BF30" i="33"/>
  <c r="AA120" i="34"/>
  <c r="ED118" i="34"/>
  <c r="CD120" i="34"/>
  <c r="EQ65" i="33"/>
  <c r="JY74" i="34"/>
  <c r="HT157" i="34"/>
  <c r="FC71" i="33"/>
  <c r="OO87" i="34"/>
  <c r="AC47" i="33"/>
  <c r="EQ29" i="33"/>
  <c r="GL95" i="34"/>
  <c r="AD136" i="34"/>
  <c r="GG47" i="33"/>
  <c r="AS79" i="33"/>
  <c r="HG162" i="34"/>
  <c r="LF178" i="34"/>
  <c r="O75" i="33"/>
  <c r="J51" i="34"/>
  <c r="NB152" i="34"/>
  <c r="KL173" i="34"/>
  <c r="GF25" i="33"/>
  <c r="CH69" i="33"/>
  <c r="BP161" i="34"/>
  <c r="K147" i="34"/>
  <c r="CA66" i="33"/>
  <c r="DJ128" i="34"/>
  <c r="FL34" i="33"/>
  <c r="BO152" i="34"/>
  <c r="KR43" i="34"/>
  <c r="LX178" i="34"/>
  <c r="CD64" i="33"/>
  <c r="CQ84" i="33"/>
  <c r="BR125" i="34"/>
  <c r="DH50" i="33"/>
  <c r="LE113" i="34"/>
  <c r="AC76" i="33"/>
  <c r="CE109" i="34"/>
  <c r="DO84" i="33"/>
  <c r="F69" i="28"/>
  <c r="BG39" i="33"/>
  <c r="FT38" i="33"/>
  <c r="MG105" i="34"/>
  <c r="LC129" i="34"/>
  <c r="T68" i="33"/>
  <c r="AP134" i="34"/>
  <c r="OH122" i="34"/>
  <c r="FP131" i="34"/>
  <c r="AO66" i="34"/>
  <c r="S68" i="23"/>
  <c r="AR102" i="34"/>
  <c r="CD61" i="34"/>
  <c r="AV35" i="33"/>
  <c r="EG127" i="34"/>
  <c r="IT97" i="34"/>
  <c r="CL121" i="34"/>
  <c r="S211" i="23"/>
  <c r="GG46" i="33"/>
  <c r="FP58" i="33"/>
  <c r="HU94" i="34"/>
  <c r="EM64" i="33"/>
  <c r="BN92" i="33"/>
  <c r="NK153" i="34"/>
  <c r="R59" i="33"/>
  <c r="DE45" i="33"/>
  <c r="BJ147" i="28"/>
  <c r="EX97" i="34"/>
  <c r="MF103" i="34"/>
  <c r="CP70" i="33"/>
  <c r="PX47" i="34"/>
  <c r="HW169" i="34"/>
  <c r="EC85" i="34"/>
  <c r="IC91" i="34"/>
  <c r="PF81" i="34"/>
  <c r="FC80" i="33"/>
  <c r="GE53" i="33"/>
  <c r="BR106" i="34"/>
  <c r="AC160" i="34"/>
  <c r="KR107" i="34"/>
  <c r="DP68" i="33"/>
  <c r="DW92" i="34"/>
  <c r="DM80" i="33"/>
  <c r="FM55" i="33"/>
  <c r="DS90" i="33"/>
  <c r="BV26" i="33"/>
  <c r="EZ133" i="34"/>
  <c r="EQ77" i="33"/>
  <c r="BR86" i="34"/>
  <c r="FW53" i="34"/>
  <c r="FT44" i="34"/>
  <c r="FN82" i="33"/>
  <c r="DV78" i="34"/>
  <c r="CX26" i="33"/>
  <c r="CE77" i="34"/>
  <c r="BA58" i="33"/>
  <c r="AC91" i="34"/>
  <c r="DP78" i="33"/>
  <c r="CE75" i="33"/>
  <c r="FD53" i="33"/>
  <c r="DS51" i="33"/>
  <c r="FT65" i="33"/>
  <c r="BB40" i="33"/>
  <c r="BH48" i="33"/>
  <c r="CI9" i="33"/>
  <c r="FT28" i="33"/>
  <c r="BN165" i="34"/>
  <c r="DV156" i="34"/>
  <c r="DH37" i="33"/>
  <c r="BF76" i="33"/>
  <c r="BR170" i="34"/>
  <c r="EG43" i="34"/>
  <c r="LI67" i="34"/>
  <c r="DE111" i="34"/>
  <c r="CH96" i="34"/>
  <c r="HF42" i="34"/>
  <c r="ER54" i="33"/>
  <c r="MC66" i="34"/>
  <c r="EK157" i="34"/>
  <c r="DG31" i="33"/>
  <c r="HZ102" i="34"/>
  <c r="AO93" i="34"/>
  <c r="O34" i="33"/>
  <c r="BA80" i="33"/>
  <c r="GG37" i="33"/>
  <c r="CW92" i="33"/>
  <c r="IQ159" i="34"/>
  <c r="LD60" i="34"/>
  <c r="Y68" i="33"/>
  <c r="H66" i="33"/>
  <c r="FQ49" i="33"/>
  <c r="AM79" i="34"/>
  <c r="PZ57" i="34"/>
  <c r="JF102" i="34"/>
  <c r="GG68" i="33"/>
  <c r="K63" i="33"/>
  <c r="FL67" i="33"/>
  <c r="FO31" i="33"/>
  <c r="FS102" i="34"/>
  <c r="AN25" i="33"/>
  <c r="GH81" i="33"/>
  <c r="FQ113" i="34"/>
  <c r="BI71" i="33"/>
  <c r="DI143" i="34"/>
  <c r="MF46" i="34"/>
  <c r="DZ63" i="33"/>
  <c r="HT153" i="34"/>
  <c r="LK143" i="34"/>
  <c r="DY44" i="34"/>
  <c r="FB89" i="34"/>
  <c r="BV68" i="33"/>
  <c r="NO186" i="34"/>
  <c r="EA79" i="34"/>
  <c r="DJ116" i="34"/>
  <c r="DC46" i="34"/>
  <c r="K170" i="34"/>
  <c r="KC118" i="34"/>
  <c r="DO68" i="33"/>
  <c r="DK67" i="33"/>
  <c r="BQ116" i="34"/>
  <c r="KN140" i="34"/>
  <c r="GO80" i="33"/>
  <c r="DB127" i="34"/>
  <c r="EK154" i="34"/>
  <c r="EE80" i="34"/>
  <c r="V105" i="34"/>
  <c r="DJ34" i="33"/>
  <c r="ER53" i="33"/>
  <c r="CH123" i="34"/>
  <c r="HW58" i="34"/>
  <c r="AP188" i="34"/>
  <c r="DG95" i="34"/>
  <c r="IW143" i="34"/>
  <c r="HG181" i="34"/>
  <c r="FU45" i="33"/>
  <c r="FB101" i="34"/>
  <c r="EW58" i="34"/>
  <c r="FU43" i="34"/>
  <c r="FV52" i="33"/>
  <c r="FS56" i="34"/>
  <c r="HW149" i="34"/>
  <c r="DG149" i="34"/>
  <c r="AY42" i="33"/>
  <c r="EE55" i="33"/>
  <c r="IC59" i="34"/>
  <c r="FO69" i="34"/>
  <c r="GL157" i="34"/>
  <c r="FR77" i="33"/>
  <c r="I46" i="33"/>
  <c r="IZ113" i="34"/>
  <c r="DJ63" i="33"/>
  <c r="M68" i="33"/>
  <c r="BK44" i="33"/>
  <c r="DA146" i="34"/>
  <c r="BA30" i="33"/>
  <c r="J69" i="33"/>
  <c r="NM116" i="34"/>
  <c r="FW79" i="34"/>
  <c r="ED36" i="33"/>
  <c r="LW84" i="34"/>
  <c r="P85" i="33"/>
  <c r="Z83" i="33"/>
  <c r="BA38" i="33"/>
  <c r="EH165" i="34"/>
  <c r="BR178" i="34"/>
  <c r="DH33" i="33"/>
  <c r="EZ49" i="33"/>
  <c r="JG85" i="34"/>
  <c r="FF57" i="33"/>
  <c r="EV37" i="33"/>
  <c r="PZ118" i="34"/>
  <c r="CG49" i="34"/>
  <c r="AS132" i="34"/>
  <c r="CA56" i="33"/>
  <c r="GI33" i="33"/>
  <c r="AM100" i="34"/>
  <c r="JE100" i="34"/>
  <c r="CN159" i="34"/>
  <c r="DI187" i="34"/>
  <c r="AD146" i="34"/>
  <c r="AV44" i="33"/>
  <c r="K82" i="33"/>
  <c r="DD74" i="34"/>
  <c r="GM134" i="34"/>
  <c r="AT44" i="34"/>
  <c r="BE31" i="33"/>
  <c r="FA172" i="34"/>
  <c r="LB125" i="34"/>
  <c r="BS29" i="33"/>
  <c r="B21" i="17"/>
  <c r="EK50" i="33"/>
  <c r="D44" i="17"/>
  <c r="AA83" i="33"/>
  <c r="IV86" i="34"/>
  <c r="JB172" i="34"/>
  <c r="AP103" i="34"/>
  <c r="MH188" i="34"/>
  <c r="DN32" i="33"/>
  <c r="FH27" i="33"/>
  <c r="JU174" i="34"/>
  <c r="CL37" i="33"/>
  <c r="DD78" i="33"/>
  <c r="DK33" i="33"/>
  <c r="CD43" i="33"/>
  <c r="K40" i="33"/>
  <c r="LK147" i="34"/>
  <c r="CO159" i="34"/>
  <c r="OO161" i="34"/>
  <c r="N78" i="33"/>
  <c r="AG9" i="33"/>
  <c r="MM89" i="34"/>
  <c r="CI80" i="34"/>
  <c r="GF42" i="33"/>
  <c r="OL83" i="34"/>
  <c r="Y146" i="34"/>
  <c r="MO69" i="34"/>
  <c r="FA50" i="33"/>
  <c r="GK168" i="34"/>
  <c r="EA129" i="34"/>
  <c r="DA42" i="34"/>
  <c r="EI72" i="34"/>
  <c r="BH62" i="33"/>
  <c r="BN73" i="33"/>
  <c r="U126" i="34"/>
  <c r="DZ102" i="34"/>
  <c r="CF159" i="34"/>
  <c r="NG130" i="34"/>
  <c r="BB73" i="33"/>
  <c r="GO58" i="34"/>
  <c r="GQ96" i="34"/>
  <c r="BS35" i="33"/>
  <c r="CF113" i="34"/>
  <c r="FT62" i="33"/>
  <c r="DN68" i="33"/>
  <c r="CH26" i="33"/>
  <c r="GL104" i="34"/>
  <c r="FP136" i="34"/>
  <c r="LA99" i="34"/>
  <c r="FP105" i="34"/>
  <c r="BV64" i="33"/>
  <c r="DB75" i="33"/>
  <c r="GO44" i="33"/>
  <c r="IC188" i="34"/>
  <c r="CE51" i="33"/>
  <c r="EQ26" i="33"/>
  <c r="FE67" i="33"/>
  <c r="AR75" i="33"/>
  <c r="HC181" i="34"/>
  <c r="Y54" i="33"/>
  <c r="J60" i="33"/>
  <c r="BR150" i="34"/>
  <c r="BB66" i="33"/>
  <c r="JA101" i="34"/>
  <c r="FS130" i="34"/>
  <c r="JW152" i="34"/>
  <c r="CI72" i="33"/>
  <c r="KB186" i="34"/>
  <c r="R50" i="33"/>
  <c r="DX53" i="33"/>
  <c r="CN84" i="33"/>
  <c r="FZ9" i="33"/>
  <c r="CW48" i="33"/>
  <c r="AI77" i="33"/>
  <c r="BS31" i="33"/>
  <c r="N68" i="33"/>
  <c r="MK96" i="34"/>
  <c r="GN95" i="34"/>
  <c r="AZ48" i="33"/>
  <c r="DY148" i="34"/>
  <c r="NH133" i="34"/>
  <c r="Z67" i="33"/>
  <c r="CC72" i="33"/>
  <c r="PY91" i="34"/>
  <c r="V169" i="34"/>
  <c r="JY101" i="34"/>
  <c r="BM28" i="33"/>
  <c r="IE46" i="34"/>
  <c r="KM157" i="34"/>
  <c r="EY79" i="33"/>
  <c r="GO57" i="33"/>
  <c r="IW163" i="34"/>
  <c r="IW187" i="34"/>
  <c r="BN147" i="34"/>
  <c r="AA56" i="34"/>
  <c r="R31" i="33"/>
  <c r="BH83" i="33"/>
  <c r="AU55" i="33"/>
  <c r="FU157" i="34"/>
  <c r="GJ85" i="33"/>
  <c r="PC105" i="34"/>
  <c r="AR173" i="34"/>
  <c r="NE133" i="34"/>
  <c r="GM70" i="33"/>
  <c r="BM49" i="33"/>
  <c r="Y26" i="33"/>
  <c r="HY161" i="34"/>
  <c r="NM145" i="34"/>
  <c r="BR85" i="33"/>
  <c r="IV59" i="34"/>
  <c r="AS86" i="34"/>
  <c r="GQ126" i="34"/>
  <c r="S58" i="33"/>
  <c r="MD78" i="34"/>
  <c r="PA156" i="34"/>
  <c r="J52" i="33"/>
  <c r="FS58" i="34"/>
  <c r="BQ132" i="34"/>
  <c r="ES67" i="33"/>
  <c r="CC67" i="33"/>
  <c r="W75" i="33"/>
  <c r="BG65" i="33"/>
  <c r="AW162" i="34"/>
  <c r="AW44" i="33"/>
  <c r="AG60" i="33"/>
  <c r="LZ72" i="34"/>
  <c r="EP9" i="33"/>
  <c r="EI99" i="34"/>
  <c r="BR131" i="34"/>
  <c r="FB65" i="34"/>
  <c r="DD47" i="33"/>
  <c r="GI77" i="33"/>
  <c r="B3" i="3"/>
  <c r="AD85" i="34"/>
  <c r="HV69" i="34"/>
  <c r="FO75" i="34"/>
  <c r="EI169" i="34"/>
  <c r="AN45" i="33"/>
  <c r="CB53" i="33"/>
  <c r="IZ81" i="34"/>
  <c r="V96" i="34"/>
  <c r="DY25" i="33"/>
  <c r="GN76" i="33"/>
  <c r="BB133" i="34"/>
  <c r="CA40" i="33"/>
  <c r="FB42" i="34"/>
  <c r="MN158" i="34"/>
  <c r="AT82" i="33"/>
  <c r="EK148" i="34"/>
  <c r="X42" i="33"/>
  <c r="EG33" i="33"/>
  <c r="PC134" i="34"/>
  <c r="EQ84" i="33"/>
  <c r="FN55" i="33"/>
  <c r="GI40" i="33"/>
  <c r="AY81" i="33"/>
  <c r="PW98" i="34"/>
  <c r="NE98" i="34"/>
  <c r="BM82" i="33"/>
  <c r="DH71" i="34"/>
  <c r="DW61" i="34"/>
  <c r="BL90" i="33"/>
  <c r="Z38" i="33"/>
  <c r="O33" i="33"/>
  <c r="BR28" i="33"/>
  <c r="NE71" i="34"/>
  <c r="FT29" i="33"/>
  <c r="BZ85" i="33"/>
  <c r="Z175" i="34"/>
  <c r="NB71" i="34"/>
  <c r="DE75" i="33"/>
  <c r="AP43" i="33"/>
  <c r="EX87" i="34"/>
  <c r="AK77" i="33"/>
  <c r="DO37" i="33"/>
  <c r="EY42" i="34"/>
  <c r="HC117" i="34"/>
  <c r="CD82" i="34"/>
  <c r="JY64" i="34"/>
  <c r="NF68" i="34"/>
  <c r="FQ69" i="33"/>
  <c r="W139" i="34"/>
  <c r="PZ111" i="34"/>
  <c r="FN90" i="33"/>
  <c r="CK33" i="33"/>
  <c r="AJ59" i="33"/>
  <c r="BS45" i="33"/>
  <c r="DH79" i="34"/>
  <c r="NO71" i="34"/>
  <c r="BU75" i="33"/>
  <c r="IR161" i="34"/>
  <c r="AZ59" i="33"/>
  <c r="GO169" i="34"/>
  <c r="FO124" i="34"/>
  <c r="EG131" i="34"/>
  <c r="LE123" i="34"/>
  <c r="AU108" i="34"/>
  <c r="EL55" i="33"/>
  <c r="AX178" i="34"/>
  <c r="AU78" i="34"/>
  <c r="AZ155" i="34"/>
  <c r="GB41" i="33"/>
  <c r="AV73" i="33"/>
  <c r="IZ89" i="34"/>
  <c r="BM83" i="33"/>
  <c r="AH72" i="33"/>
  <c r="AW84" i="34"/>
  <c r="FN44" i="34"/>
  <c r="EZ92" i="34"/>
  <c r="BQ82" i="33"/>
  <c r="AN59" i="33"/>
  <c r="FZ78" i="33"/>
  <c r="EM30" i="33"/>
  <c r="DA56" i="33"/>
  <c r="AK62" i="33"/>
  <c r="AO103" i="34"/>
  <c r="AU25" i="33"/>
  <c r="AN49" i="34"/>
  <c r="CV44" i="33"/>
  <c r="T54" i="34"/>
  <c r="AW34" i="33"/>
  <c r="GP76" i="34"/>
  <c r="LC111" i="34"/>
  <c r="B74" i="28"/>
  <c r="DY31" i="33"/>
  <c r="AZ82" i="33"/>
  <c r="CR80" i="33"/>
  <c r="BK54" i="33"/>
  <c r="KB107" i="34"/>
  <c r="BJ133" i="28"/>
  <c r="Y82" i="33"/>
  <c r="FC63" i="33"/>
  <c r="ML78" i="34"/>
  <c r="BW84" i="33"/>
  <c r="HX75" i="34"/>
  <c r="DO41" i="33"/>
  <c r="EE96" i="34"/>
  <c r="EB53" i="34"/>
  <c r="EJ146" i="34"/>
  <c r="BL42" i="33"/>
  <c r="CE67" i="33"/>
  <c r="GF35" i="33"/>
  <c r="EK98" i="34"/>
  <c r="HZ75" i="34"/>
  <c r="IB175" i="34"/>
  <c r="H52" i="33"/>
  <c r="EQ66" i="33"/>
  <c r="V110" i="34"/>
  <c r="LI61" i="34"/>
  <c r="EJ109" i="34"/>
  <c r="EC111" i="34"/>
  <c r="IC165" i="34"/>
  <c r="IC96" i="34"/>
  <c r="MN73" i="34"/>
  <c r="AN9" i="33"/>
  <c r="GI53" i="33"/>
  <c r="GJ94" i="34"/>
  <c r="DB52" i="33"/>
  <c r="LF73" i="34"/>
  <c r="FD43" i="33"/>
  <c r="CI83" i="34"/>
  <c r="AD90" i="34"/>
  <c r="DJ91" i="34"/>
  <c r="DB155" i="34"/>
  <c r="HD137" i="34"/>
  <c r="V22" i="17"/>
  <c r="NI131" i="34"/>
  <c r="LA104" i="34"/>
  <c r="LZ155" i="34"/>
  <c r="DH36" i="33"/>
  <c r="B113" i="28"/>
  <c r="CC49" i="33"/>
  <c r="KB116" i="34"/>
  <c r="AT25" i="33"/>
  <c r="BA119" i="34"/>
  <c r="MA155" i="34"/>
  <c r="FV92" i="33"/>
  <c r="CM45" i="34"/>
  <c r="EK47" i="33"/>
  <c r="DD25" i="33"/>
  <c r="FB126" i="34"/>
  <c r="AB121" i="34"/>
  <c r="AN79" i="33"/>
  <c r="JT46" i="34"/>
  <c r="GN72" i="34"/>
  <c r="CG56" i="34"/>
  <c r="AT77" i="34"/>
  <c r="BG66" i="33"/>
  <c r="KA139" i="34"/>
  <c r="GG55" i="33"/>
  <c r="HW175" i="34"/>
  <c r="U92" i="33"/>
  <c r="CI58" i="34"/>
  <c r="EF74" i="33"/>
  <c r="Y58" i="33"/>
  <c r="FR57" i="33"/>
  <c r="KB78" i="34"/>
  <c r="FN80" i="34"/>
  <c r="CD111" i="34"/>
  <c r="Z27" i="33"/>
  <c r="LD113" i="34"/>
  <c r="FS9" i="33"/>
  <c r="FM86" i="33"/>
  <c r="EW71" i="33"/>
  <c r="FT80" i="33"/>
  <c r="DH86" i="33"/>
  <c r="IU106" i="34"/>
  <c r="LZ44" i="34"/>
  <c r="CE34" i="33"/>
  <c r="FO135" i="34"/>
  <c r="DX78" i="33"/>
  <c r="FP106" i="34"/>
  <c r="EW63" i="33"/>
  <c r="BB116" i="34"/>
  <c r="EY48" i="34"/>
  <c r="EH77" i="34"/>
  <c r="EF94" i="34"/>
  <c r="DS48" i="33"/>
  <c r="MC94" i="34"/>
  <c r="W63" i="34"/>
  <c r="CR83" i="33"/>
  <c r="IC110" i="34"/>
  <c r="EE71" i="34"/>
  <c r="PY67" i="34"/>
  <c r="DD104" i="34"/>
  <c r="EJ148" i="34"/>
  <c r="CN39" i="33"/>
  <c r="AD126" i="34"/>
  <c r="F51" i="33"/>
  <c r="EL29" i="33"/>
  <c r="BF29" i="33"/>
  <c r="S103" i="23"/>
  <c r="HF126" i="34"/>
  <c r="DW139" i="34"/>
  <c r="JA85" i="34"/>
  <c r="DE178" i="34"/>
  <c r="BW61" i="33"/>
  <c r="AK40" i="33"/>
  <c r="JT47" i="34"/>
  <c r="KA70" i="34"/>
  <c r="NI64" i="34"/>
  <c r="EB119" i="34"/>
  <c r="DR43" i="33"/>
  <c r="S51" i="17"/>
  <c r="AI37" i="33"/>
  <c r="CF49" i="33"/>
  <c r="AY97" i="34"/>
  <c r="GK111" i="34"/>
  <c r="KM96" i="34"/>
  <c r="FT26" i="33"/>
  <c r="GN51" i="34"/>
  <c r="GL60" i="33"/>
  <c r="CG84" i="34"/>
  <c r="BZ45" i="33"/>
  <c r="FQ65" i="34"/>
  <c r="EA115" i="34"/>
  <c r="NM113" i="34"/>
  <c r="AS48" i="33"/>
  <c r="LG163" i="34"/>
  <c r="BP57" i="34"/>
  <c r="EK166" i="34"/>
  <c r="H76" i="33"/>
  <c r="FT37" i="33"/>
  <c r="NF105" i="34"/>
  <c r="MC167" i="34"/>
  <c r="JV158" i="34"/>
  <c r="CL45" i="34"/>
  <c r="EV69" i="33"/>
  <c r="LA91" i="34"/>
  <c r="BY64" i="33"/>
  <c r="AW71" i="34"/>
  <c r="EB55" i="34"/>
  <c r="GQ167" i="34"/>
  <c r="AH83" i="33"/>
  <c r="NC183" i="34"/>
  <c r="AL64" i="33"/>
  <c r="GL50" i="33"/>
  <c r="I31" i="33"/>
  <c r="GF27" i="33"/>
  <c r="FR160" i="34"/>
  <c r="JA51" i="34"/>
  <c r="FY69" i="33"/>
  <c r="EJ40" i="33"/>
  <c r="EF79" i="33"/>
  <c r="AX40" i="33"/>
  <c r="FV186" i="34"/>
  <c r="DA153" i="34"/>
  <c r="GN160" i="34"/>
  <c r="DJ188" i="34"/>
  <c r="AG31" i="33"/>
  <c r="BB67" i="33"/>
  <c r="CP85" i="33"/>
  <c r="IR44" i="34"/>
  <c r="GB79" i="33"/>
  <c r="BO45" i="33"/>
  <c r="AD54" i="34"/>
  <c r="X122" i="34"/>
  <c r="HX118" i="34"/>
  <c r="LA113" i="34"/>
  <c r="IW142" i="34"/>
  <c r="EZ70" i="33"/>
  <c r="IU160" i="34"/>
  <c r="CA65" i="33"/>
  <c r="DW62" i="34"/>
  <c r="LD67" i="34"/>
  <c r="IW152" i="34"/>
  <c r="DG63" i="33"/>
  <c r="S210" i="23"/>
  <c r="FW162" i="34"/>
  <c r="CL95" i="34"/>
  <c r="DS30" i="33"/>
  <c r="BP51" i="34"/>
  <c r="EZ173" i="34"/>
  <c r="GL54" i="33"/>
  <c r="ES68" i="33"/>
  <c r="K34" i="33"/>
  <c r="FP77" i="33"/>
  <c r="DG45" i="34"/>
  <c r="O80" i="33"/>
  <c r="OO143" i="34"/>
  <c r="IC83" i="34"/>
  <c r="U48" i="33"/>
  <c r="DI134" i="34"/>
  <c r="AA138" i="34"/>
  <c r="AM146" i="34"/>
  <c r="HC81" i="34"/>
  <c r="CM70" i="34"/>
  <c r="FT136" i="34"/>
  <c r="EV28" i="33"/>
  <c r="EF62" i="33"/>
  <c r="AA101" i="34"/>
  <c r="JE73" i="34"/>
  <c r="DX176" i="34"/>
  <c r="EK51" i="33"/>
  <c r="FY83" i="33"/>
  <c r="DE67" i="33"/>
  <c r="IA71" i="34"/>
  <c r="IZ90" i="34"/>
  <c r="GP186" i="34"/>
  <c r="HZ151" i="34"/>
  <c r="CR69" i="33"/>
  <c r="CF69" i="33"/>
  <c r="DX77" i="34"/>
  <c r="GI54" i="33"/>
  <c r="GM75" i="34"/>
  <c r="KC109" i="34"/>
  <c r="IQ100" i="34"/>
  <c r="AM79" i="33"/>
  <c r="AV38" i="33"/>
  <c r="CF116" i="34"/>
  <c r="EH154" i="34"/>
  <c r="AO98" i="34"/>
  <c r="AF64" i="33"/>
  <c r="DM54" i="33"/>
  <c r="JE43" i="34"/>
  <c r="LF75" i="34"/>
  <c r="KA161" i="34"/>
  <c r="FR120" i="34"/>
  <c r="HG133" i="34"/>
  <c r="CI57" i="33"/>
  <c r="CE88" i="34"/>
  <c r="CC77" i="33"/>
  <c r="AP174" i="34"/>
  <c r="HG143" i="34"/>
  <c r="AR74" i="33"/>
  <c r="FB88" i="34"/>
  <c r="DX117" i="34"/>
  <c r="AV121" i="34"/>
  <c r="DR36" i="33"/>
  <c r="AC132" i="34"/>
  <c r="KP106" i="34"/>
  <c r="BR161" i="34"/>
  <c r="LK109" i="34"/>
  <c r="CN111" i="34"/>
  <c r="AQ78" i="33"/>
  <c r="AO136" i="34"/>
  <c r="EF52" i="33"/>
  <c r="JC57" i="34"/>
  <c r="CU55" i="33"/>
  <c r="MK174" i="34"/>
  <c r="GM25" i="33"/>
  <c r="DZ97" i="34"/>
  <c r="GD40" i="33"/>
  <c r="GK145" i="34"/>
  <c r="GH73" i="33"/>
  <c r="AT124" i="34"/>
  <c r="Y66" i="33"/>
  <c r="DA66" i="34"/>
  <c r="FW71" i="33"/>
  <c r="AP172" i="34"/>
  <c r="K59" i="33"/>
  <c r="AL34" i="33"/>
  <c r="S65" i="33"/>
  <c r="FO42" i="33"/>
  <c r="AB67" i="34"/>
  <c r="EH166" i="34"/>
  <c r="GI48" i="33"/>
  <c r="AA128" i="34"/>
  <c r="AR140" i="34"/>
  <c r="BG41" i="33"/>
  <c r="AW51" i="34"/>
  <c r="M74" i="33"/>
  <c r="DI148" i="34"/>
  <c r="JA160" i="34"/>
  <c r="BY61" i="33"/>
  <c r="U183" i="34"/>
  <c r="MK155" i="34"/>
  <c r="EZ64" i="34"/>
  <c r="N75" i="33"/>
  <c r="BG28" i="33"/>
  <c r="HG167" i="34"/>
  <c r="JT134" i="34"/>
  <c r="EA68" i="33"/>
  <c r="CA77" i="33"/>
  <c r="BT83" i="33"/>
  <c r="DY71" i="34"/>
  <c r="AA86" i="33"/>
  <c r="EC82" i="34"/>
  <c r="K66" i="34"/>
  <c r="M90" i="33"/>
  <c r="BE36" i="33"/>
  <c r="CE79" i="34"/>
  <c r="DG116" i="34"/>
  <c r="AA85" i="33"/>
  <c r="DX62" i="33"/>
  <c r="MG178" i="34"/>
  <c r="FW64" i="33"/>
  <c r="EK92" i="34"/>
  <c r="AU51" i="34"/>
  <c r="FS55" i="34"/>
  <c r="MF99" i="34"/>
  <c r="IT144" i="34"/>
  <c r="NM65" i="34"/>
  <c r="AD59" i="34"/>
  <c r="BQ66" i="33"/>
  <c r="LE173" i="34"/>
  <c r="DK50" i="33"/>
  <c r="CF71" i="34"/>
  <c r="N60" i="33"/>
  <c r="MD127" i="34"/>
  <c r="CI86" i="33"/>
  <c r="IQ108" i="34"/>
  <c r="GM110" i="34"/>
  <c r="GA56" i="33"/>
  <c r="H65" i="33"/>
  <c r="FR82" i="34"/>
  <c r="MD116" i="34"/>
  <c r="J187" i="34"/>
  <c r="FY54" i="33"/>
  <c r="W82" i="33"/>
  <c r="CF40" i="33"/>
  <c r="AA30" i="33"/>
  <c r="NJ49" i="34"/>
  <c r="FT93" i="34"/>
  <c r="JC141" i="34"/>
  <c r="CH83" i="33"/>
  <c r="AZ70" i="33"/>
  <c r="Z66" i="33"/>
  <c r="EZ139" i="34"/>
  <c r="FL75" i="33"/>
  <c r="HG174" i="34"/>
  <c r="MD89" i="34"/>
  <c r="CL53" i="33"/>
  <c r="FW56" i="33"/>
  <c r="DX86" i="34"/>
  <c r="FN49" i="33"/>
  <c r="FM92" i="33"/>
  <c r="CJ107" i="34"/>
  <c r="CI53" i="33"/>
  <c r="EL48" i="33"/>
  <c r="OK98" i="34"/>
  <c r="DD124" i="34"/>
  <c r="BM43" i="33"/>
  <c r="AI58" i="33"/>
  <c r="CI172" i="34"/>
  <c r="H17" i="17"/>
  <c r="ES56" i="33"/>
  <c r="FQ28" i="33"/>
  <c r="O86" i="33"/>
  <c r="CJ65" i="33"/>
  <c r="AU89" i="34"/>
  <c r="EB84" i="34"/>
  <c r="KB175" i="34"/>
  <c r="AU34" i="33"/>
  <c r="AS169" i="34"/>
  <c r="AD51" i="34"/>
  <c r="EF174" i="34"/>
  <c r="Z9" i="33"/>
  <c r="BS28" i="33"/>
  <c r="EF86" i="33"/>
  <c r="AE67" i="33"/>
  <c r="O70" i="33"/>
  <c r="AZ147" i="34"/>
  <c r="CC76" i="33"/>
  <c r="FY43" i="33"/>
  <c r="HY117" i="34"/>
  <c r="GM26" i="33"/>
  <c r="ED57" i="34"/>
  <c r="FS50" i="33"/>
  <c r="CL136" i="34"/>
  <c r="AT152" i="34"/>
  <c r="FW57" i="33"/>
  <c r="DT71" i="33"/>
  <c r="CG116" i="34"/>
  <c r="AO107" i="34"/>
  <c r="DA86" i="34"/>
  <c r="BE92" i="33"/>
  <c r="FV133" i="34"/>
  <c r="AQ59" i="33"/>
  <c r="EZ127" i="34"/>
  <c r="DZ90" i="33"/>
  <c r="DM70" i="33"/>
  <c r="DT36" i="33"/>
  <c r="BQ62" i="33"/>
  <c r="EY186" i="34"/>
  <c r="DC43" i="33"/>
  <c r="BM33" i="33"/>
  <c r="DV136" i="34"/>
  <c r="AC59" i="33"/>
  <c r="JV102" i="34"/>
  <c r="BJ30" i="33"/>
  <c r="AO175" i="34"/>
  <c r="GH43" i="33"/>
  <c r="GM51" i="34"/>
  <c r="FS49" i="33"/>
  <c r="CK121" i="34"/>
  <c r="V52" i="34"/>
  <c r="AM92" i="33"/>
  <c r="CF186" i="34"/>
  <c r="EL36" i="33"/>
  <c r="FO146" i="34"/>
  <c r="FK92" i="33"/>
  <c r="AD78" i="33"/>
  <c r="IA69" i="34"/>
  <c r="EY56" i="33"/>
  <c r="BG36" i="33"/>
  <c r="JZ170" i="34"/>
  <c r="BJ171" i="28"/>
  <c r="CF49" i="34"/>
  <c r="IS55" i="34"/>
  <c r="IZ60" i="34"/>
  <c r="DX140" i="34"/>
  <c r="NH54" i="34"/>
  <c r="DL34" i="33"/>
  <c r="AS82" i="33"/>
  <c r="LA107" i="34"/>
  <c r="AY46" i="34"/>
  <c r="S99" i="23"/>
  <c r="GJ35" i="33"/>
  <c r="KB121" i="34"/>
  <c r="EC70" i="34"/>
  <c r="DF92" i="33"/>
  <c r="FG41" i="33"/>
  <c r="LD65" i="34"/>
  <c r="IV48" i="34"/>
  <c r="EM61" i="33"/>
  <c r="AW50" i="33"/>
  <c r="JC50" i="34"/>
  <c r="CI178" i="34"/>
  <c r="HZ99" i="34"/>
  <c r="EE37" i="33"/>
  <c r="AD150" i="34"/>
  <c r="AC34" i="33"/>
  <c r="BL84" i="33"/>
  <c r="AG67" i="33"/>
  <c r="FE40" i="33"/>
  <c r="BB52" i="33"/>
  <c r="JA75" i="34"/>
  <c r="U80" i="34"/>
  <c r="DG165" i="34"/>
  <c r="HC137" i="34"/>
  <c r="AQ25" i="33"/>
  <c r="I55" i="33"/>
  <c r="BC73" i="33"/>
  <c r="GL97" i="34"/>
  <c r="JH78" i="34"/>
  <c r="AS54" i="33"/>
  <c r="W87" i="34"/>
  <c r="ED41" i="33"/>
  <c r="BQ74" i="33"/>
  <c r="BG49" i="33"/>
  <c r="AI75" i="33"/>
  <c r="EP69" i="33"/>
  <c r="GQ118" i="34"/>
  <c r="CS51" i="33"/>
  <c r="BH9" i="33"/>
  <c r="DW65" i="34"/>
  <c r="IB157" i="34"/>
  <c r="BH67" i="33"/>
  <c r="LD84" i="34"/>
  <c r="CK26" i="33"/>
  <c r="CL89" i="34"/>
  <c r="AY33" i="33"/>
  <c r="CS62" i="33"/>
  <c r="CF60" i="34"/>
  <c r="DO82" i="33"/>
  <c r="FQ45" i="34"/>
  <c r="DK78" i="33"/>
  <c r="DD107" i="34"/>
  <c r="EB143" i="34"/>
  <c r="DJ186" i="34"/>
  <c r="AL67" i="33"/>
  <c r="GM77" i="34"/>
  <c r="IZ178" i="34"/>
  <c r="HZ139" i="34"/>
  <c r="BK53" i="33"/>
  <c r="I43" i="33"/>
  <c r="Y106" i="34"/>
  <c r="AZ52" i="33"/>
  <c r="EW31" i="33"/>
  <c r="Y125" i="34"/>
  <c r="JT125" i="34"/>
  <c r="CG115" i="34"/>
  <c r="DM81" i="33"/>
  <c r="MF108" i="34"/>
  <c r="EZ52" i="33"/>
  <c r="LW64" i="34"/>
  <c r="BB112" i="34"/>
  <c r="NH131" i="34"/>
  <c r="DE59" i="33"/>
  <c r="EB113" i="34"/>
  <c r="GI79" i="33"/>
  <c r="EZ51" i="33"/>
  <c r="EF120" i="34"/>
  <c r="EJ113" i="34"/>
  <c r="DR58" i="33"/>
  <c r="BO70" i="33"/>
  <c r="LX173" i="34"/>
  <c r="AX80" i="33"/>
  <c r="CY49" i="33"/>
  <c r="ED85" i="33"/>
  <c r="IS161" i="34"/>
  <c r="CH66" i="33"/>
  <c r="EF74" i="34"/>
  <c r="CD169" i="34"/>
  <c r="BB48" i="34"/>
  <c r="ED81" i="34"/>
  <c r="DG43" i="33"/>
  <c r="AQ147" i="34"/>
  <c r="AU42" i="33"/>
  <c r="I27" i="3"/>
  <c r="U117" i="34"/>
  <c r="CG135" i="34"/>
  <c r="DH43" i="33"/>
  <c r="DW104" i="34"/>
  <c r="EI183" i="34"/>
  <c r="AV90" i="33"/>
  <c r="NK98" i="34"/>
  <c r="JW131" i="34"/>
  <c r="GO156" i="34"/>
  <c r="S48" i="23"/>
  <c r="GE20" i="33"/>
  <c r="LG142" i="34"/>
  <c r="CR84" i="33"/>
  <c r="EQ39" i="33"/>
  <c r="M27" i="33"/>
  <c r="DJ51" i="34"/>
  <c r="BW82" i="33"/>
  <c r="J105" i="34"/>
  <c r="BA41" i="33"/>
  <c r="KO169" i="34"/>
  <c r="AY65" i="34"/>
  <c r="DT72" i="33"/>
  <c r="AY57" i="33"/>
  <c r="NC113" i="34"/>
  <c r="BJ92" i="33"/>
  <c r="BE59" i="33"/>
  <c r="FU30" i="33"/>
  <c r="CZ52" i="33"/>
  <c r="BO52" i="33"/>
  <c r="HX69" i="34"/>
  <c r="H24" i="17"/>
  <c r="FM75" i="33"/>
  <c r="DE117" i="34"/>
  <c r="CU34" i="33"/>
  <c r="GF71" i="33"/>
  <c r="FL25" i="33"/>
  <c r="NA174" i="34"/>
  <c r="CN72" i="34"/>
  <c r="DJ27" i="33"/>
  <c r="AV146" i="34"/>
  <c r="EF58" i="33"/>
  <c r="BL56" i="33"/>
  <c r="BJ28" i="33"/>
  <c r="AI70" i="33"/>
  <c r="BF36" i="33"/>
  <c r="JZ99" i="34"/>
  <c r="FQ70" i="33"/>
  <c r="CH65" i="34"/>
  <c r="PY55" i="34"/>
  <c r="AS85" i="33"/>
  <c r="X60" i="33"/>
  <c r="GI44" i="33"/>
  <c r="K42" i="34"/>
  <c r="EX63" i="34"/>
  <c r="EK133" i="34"/>
  <c r="GM86" i="33"/>
  <c r="DA74" i="33"/>
  <c r="X38" i="33"/>
  <c r="DM62" i="33"/>
  <c r="EC75" i="34"/>
  <c r="CN148" i="34"/>
  <c r="CQ9" i="33"/>
  <c r="DB73" i="33"/>
  <c r="HZ57" i="34"/>
  <c r="AR64" i="34"/>
  <c r="NC165" i="34"/>
  <c r="MM51" i="34"/>
  <c r="ED54" i="33"/>
  <c r="EY37" i="33"/>
  <c r="EW80" i="33"/>
  <c r="FO64" i="34"/>
  <c r="HT111" i="34"/>
  <c r="T55" i="33"/>
  <c r="DN38" i="33"/>
  <c r="EF104" i="34"/>
  <c r="CY65" i="33"/>
  <c r="FN80" i="33"/>
  <c r="I64" i="33"/>
  <c r="GQ143" i="34"/>
  <c r="AP27" i="33"/>
  <c r="AS96" i="34"/>
  <c r="FQ80" i="33"/>
  <c r="W158" i="34"/>
  <c r="FN51" i="34"/>
  <c r="EX67" i="34"/>
  <c r="FJ68" i="33"/>
  <c r="BF31" i="33"/>
  <c r="DI137" i="34"/>
  <c r="DB50" i="34"/>
  <c r="GN48" i="33"/>
  <c r="B62" i="17"/>
  <c r="CQ49" i="33"/>
  <c r="EJ29" i="33"/>
  <c r="GL53" i="34"/>
  <c r="CJ104" i="34"/>
  <c r="CH75" i="33"/>
  <c r="AC139" i="34"/>
  <c r="EC139" i="34"/>
  <c r="EB162" i="34"/>
  <c r="F27" i="17"/>
  <c r="AT83" i="34"/>
  <c r="CN86" i="34"/>
  <c r="AD129" i="34"/>
  <c r="Y71" i="34"/>
  <c r="FK36" i="33"/>
  <c r="AX172" i="34"/>
  <c r="CL165" i="34"/>
  <c r="GN59" i="34"/>
  <c r="P53" i="33"/>
  <c r="AZ58" i="34"/>
  <c r="NM60" i="34"/>
  <c r="IV122" i="34"/>
  <c r="GG85" i="33"/>
  <c r="IT85" i="34"/>
  <c r="CV69" i="33"/>
  <c r="Y130" i="34"/>
  <c r="CD117" i="34"/>
  <c r="OI56" i="34"/>
  <c r="IY65" i="34"/>
  <c r="HG142" i="34"/>
  <c r="AA76" i="34"/>
  <c r="CK82" i="33"/>
  <c r="Z60" i="33"/>
  <c r="AX74" i="33"/>
  <c r="DO59" i="33"/>
  <c r="LI143" i="34"/>
  <c r="DI154" i="34"/>
  <c r="CI35" i="33"/>
  <c r="ER49" i="33"/>
  <c r="GA92" i="33"/>
  <c r="AE44" i="33"/>
  <c r="IT68" i="34"/>
  <c r="EF96" i="34"/>
  <c r="GJ74" i="33"/>
  <c r="FQ45" i="33"/>
  <c r="CB38" i="33"/>
  <c r="AM57" i="34"/>
  <c r="AM125" i="34"/>
  <c r="DS39" i="33"/>
  <c r="BF47" i="33"/>
  <c r="DA69" i="34"/>
  <c r="DB71" i="34"/>
  <c r="EM67" i="33"/>
  <c r="MC41" i="34"/>
  <c r="GK57" i="33"/>
  <c r="ES37" i="33"/>
  <c r="CC85" i="33"/>
  <c r="CM135" i="34"/>
  <c r="KL91" i="34"/>
  <c r="W75" i="34"/>
  <c r="DY37" i="33"/>
  <c r="B76" i="28"/>
  <c r="DY150" i="34"/>
  <c r="MF92" i="34"/>
  <c r="JW129" i="34"/>
  <c r="ER26" i="33"/>
  <c r="HU148" i="34"/>
  <c r="MD142" i="34"/>
  <c r="AQ135" i="34"/>
  <c r="DE71" i="34"/>
  <c r="FN72" i="34"/>
  <c r="FU45" i="34"/>
  <c r="FK33" i="33"/>
  <c r="JW53" i="34"/>
  <c r="GK35" i="33"/>
  <c r="MJ76" i="34"/>
  <c r="JV128" i="34"/>
  <c r="LC98" i="34"/>
  <c r="DZ9" i="33"/>
  <c r="CK108" i="34"/>
  <c r="DY62" i="33"/>
  <c r="GD39" i="33"/>
  <c r="BV62" i="33"/>
  <c r="CF85" i="33"/>
  <c r="IA109" i="34"/>
  <c r="DX45" i="33"/>
  <c r="GG69" i="33"/>
  <c r="CC56" i="33"/>
  <c r="CI56" i="33"/>
  <c r="FI26" i="33"/>
  <c r="AH69" i="33"/>
  <c r="AC170" i="34"/>
  <c r="AM43" i="33"/>
  <c r="FE34" i="33"/>
  <c r="HG161" i="34"/>
  <c r="HY154" i="34"/>
  <c r="KA188" i="34"/>
  <c r="BO31" i="33"/>
  <c r="CG154" i="34"/>
  <c r="AZ116" i="34"/>
  <c r="EZ29" i="33"/>
  <c r="EW56" i="33"/>
  <c r="FG9" i="33"/>
  <c r="CD78" i="33"/>
  <c r="AW86" i="33"/>
  <c r="EE153" i="34"/>
  <c r="PZ151" i="34"/>
  <c r="KM77" i="34"/>
  <c r="LW85" i="34"/>
  <c r="FS59" i="34"/>
  <c r="NO96" i="34"/>
  <c r="IB42" i="34"/>
  <c r="BO76" i="33"/>
  <c r="GA77" i="33"/>
  <c r="HH126" i="34"/>
  <c r="BR102" i="34"/>
  <c r="AJ52" i="33"/>
  <c r="BF51" i="33"/>
  <c r="Z140" i="34"/>
  <c r="JB100" i="34"/>
  <c r="X33" i="33"/>
  <c r="CW61" i="33"/>
  <c r="EV55" i="33"/>
  <c r="CI94" i="34"/>
  <c r="GF76" i="33"/>
  <c r="DC50" i="34"/>
  <c r="AB118" i="34"/>
  <c r="JZ126" i="34"/>
  <c r="HC82" i="34"/>
  <c r="CU52" i="33"/>
  <c r="AL56" i="33"/>
  <c r="BJ145" i="28"/>
  <c r="HH147" i="34"/>
  <c r="BM51" i="33"/>
  <c r="AA100" i="34"/>
  <c r="EQ43" i="33"/>
  <c r="EK78" i="34"/>
  <c r="FW57" i="34"/>
  <c r="T62" i="33"/>
  <c r="NL66" i="34"/>
  <c r="FP117" i="34"/>
  <c r="AM27" i="33"/>
  <c r="JD62" i="34"/>
  <c r="CV77" i="33"/>
  <c r="IW181" i="34"/>
  <c r="AV80" i="34"/>
  <c r="AM70" i="34"/>
  <c r="AT65" i="34"/>
  <c r="DJ163" i="34"/>
  <c r="HE155" i="34"/>
  <c r="HE136" i="34"/>
  <c r="BG60" i="33"/>
  <c r="JH154" i="34"/>
  <c r="DI123" i="34"/>
  <c r="AH78" i="33"/>
  <c r="BJ13" i="28"/>
  <c r="NE79" i="34"/>
  <c r="ER40" i="33"/>
  <c r="CF71" i="33"/>
  <c r="FB141" i="34"/>
  <c r="AC80" i="33"/>
  <c r="Y86" i="33"/>
  <c r="T29" i="33"/>
  <c r="GO132" i="34"/>
  <c r="CB81" i="33"/>
  <c r="FS61" i="34"/>
  <c r="AU28" i="33"/>
  <c r="MI161" i="34"/>
  <c r="S170" i="23"/>
  <c r="IB95" i="34"/>
  <c r="BP124" i="34"/>
  <c r="AG75" i="33"/>
  <c r="JD125" i="34"/>
  <c r="AV68" i="33"/>
  <c r="AG44" i="33"/>
  <c r="K33" i="33"/>
  <c r="CK161" i="34"/>
  <c r="MD83" i="34"/>
  <c r="ED65" i="34"/>
  <c r="CY36" i="33"/>
  <c r="GN71" i="33"/>
  <c r="ID55" i="34"/>
  <c r="DV41" i="34"/>
  <c r="FE55" i="33"/>
  <c r="CF183" i="34"/>
  <c r="AS66" i="33"/>
  <c r="BT60" i="33"/>
  <c r="AO46" i="34"/>
  <c r="EK29" i="33"/>
  <c r="BZ90" i="33"/>
  <c r="LC186" i="34"/>
  <c r="EJ86" i="33"/>
  <c r="DA96" i="34"/>
  <c r="DD49" i="33"/>
  <c r="CK70" i="33"/>
  <c r="EW176" i="34"/>
  <c r="DD90" i="33"/>
  <c r="AD66" i="34"/>
  <c r="Y168" i="34"/>
  <c r="JH44" i="34"/>
  <c r="EZ153" i="34"/>
  <c r="BN48" i="34"/>
  <c r="DN92" i="33"/>
  <c r="DJ82" i="34"/>
  <c r="IS96" i="34"/>
  <c r="AC60" i="33"/>
  <c r="AA80" i="33"/>
  <c r="DB74" i="33"/>
  <c r="IC117" i="34"/>
  <c r="BH6" i="34"/>
  <c r="MF82" i="34"/>
  <c r="DY103" i="34"/>
  <c r="FP68" i="34"/>
  <c r="FO61" i="34"/>
  <c r="HZ183" i="34"/>
  <c r="AX32" i="33"/>
  <c r="F75" i="33"/>
  <c r="JE113" i="34"/>
  <c r="T79" i="33"/>
  <c r="DB164" i="34"/>
  <c r="EZ34" i="33"/>
  <c r="BJ194" i="28"/>
  <c r="EA75" i="33"/>
  <c r="EC160" i="34"/>
  <c r="I41" i="33"/>
  <c r="DC71" i="33"/>
  <c r="K154" i="34"/>
  <c r="L110" i="28"/>
  <c r="AM41" i="34"/>
  <c r="PZ135" i="34"/>
  <c r="DS65" i="33"/>
  <c r="DG56" i="33"/>
  <c r="V55" i="33"/>
  <c r="GG58" i="33"/>
  <c r="DW124" i="34"/>
  <c r="DF160" i="34"/>
  <c r="BR187" i="34"/>
  <c r="FR167" i="34"/>
  <c r="AR54" i="33"/>
  <c r="CJ29" i="33"/>
  <c r="FQ54" i="33"/>
  <c r="HE88" i="34"/>
  <c r="FN67" i="34"/>
  <c r="DW159" i="34"/>
  <c r="GJ113" i="34"/>
  <c r="FF64" i="33"/>
  <c r="DL55" i="33"/>
  <c r="AX111" i="34"/>
  <c r="GB56" i="33"/>
  <c r="DR73" i="33"/>
  <c r="W82" i="34"/>
  <c r="HF109" i="34"/>
  <c r="KR70" i="34"/>
  <c r="X169" i="34"/>
  <c r="MO52" i="34"/>
  <c r="FL74" i="33"/>
  <c r="Y95" i="34"/>
  <c r="DR54" i="33"/>
  <c r="EX178" i="34"/>
  <c r="W33" i="33"/>
  <c r="AY42" i="34"/>
  <c r="FJ35" i="33"/>
  <c r="BV39" i="33"/>
  <c r="GU6" i="34"/>
  <c r="V111" i="34"/>
  <c r="DZ26" i="33"/>
  <c r="FH84" i="33"/>
  <c r="EG68" i="33"/>
  <c r="CA78" i="33"/>
  <c r="BO105" i="34"/>
  <c r="FS188" i="34"/>
  <c r="CO31" i="33"/>
  <c r="S138" i="23"/>
  <c r="DW81" i="34"/>
  <c r="FX95" i="34"/>
  <c r="MK56" i="34"/>
  <c r="DU39" i="33"/>
  <c r="IE69" i="34"/>
  <c r="HD72" i="34"/>
  <c r="GA75" i="33"/>
  <c r="BV61" i="33"/>
  <c r="FQ75" i="33"/>
  <c r="GK61" i="34"/>
  <c r="ID53" i="34"/>
  <c r="AF43" i="33"/>
  <c r="IC157" i="34"/>
  <c r="JC144" i="34"/>
  <c r="EA65" i="33"/>
  <c r="FQ58" i="33"/>
  <c r="ED127" i="34"/>
  <c r="CF51" i="33"/>
  <c r="FD76" i="33"/>
  <c r="DB74" i="34"/>
  <c r="DC98" i="34"/>
  <c r="IV90" i="34"/>
  <c r="EE151" i="34"/>
  <c r="FK69" i="33"/>
  <c r="EP37" i="33"/>
  <c r="IB68" i="34"/>
  <c r="DO47" i="33"/>
  <c r="BS41" i="33"/>
  <c r="EE107" i="34"/>
  <c r="HF119" i="34"/>
  <c r="F61" i="33"/>
  <c r="K37" i="33"/>
  <c r="B34" i="17"/>
  <c r="JU140" i="34"/>
  <c r="JV144" i="34"/>
  <c r="BJ75" i="28"/>
  <c r="AX38" i="33"/>
  <c r="CM86" i="34"/>
  <c r="HG137" i="34"/>
  <c r="BJ40" i="28"/>
  <c r="S54" i="33"/>
  <c r="ID126" i="34"/>
  <c r="O27" i="33"/>
  <c r="AQ43" i="34"/>
  <c r="X58" i="33"/>
  <c r="DZ40" i="33"/>
  <c r="GQ101" i="34"/>
  <c r="DX48" i="33"/>
  <c r="F37" i="17"/>
  <c r="CM82" i="34"/>
  <c r="KM151" i="34"/>
  <c r="BQ123" i="34"/>
  <c r="LH120" i="34"/>
  <c r="LX160" i="34"/>
  <c r="AV72" i="34"/>
  <c r="BA106" i="34"/>
  <c r="EF145" i="34"/>
  <c r="JE167" i="34"/>
  <c r="PA55" i="34"/>
  <c r="LH55" i="34"/>
  <c r="CR90" i="33"/>
  <c r="GF43" i="33"/>
  <c r="BG79" i="33"/>
  <c r="CU83" i="33"/>
  <c r="AU79" i="33"/>
  <c r="DE101" i="34"/>
  <c r="IZ151" i="34"/>
  <c r="FN45" i="34"/>
  <c r="DD117" i="34"/>
  <c r="MO57" i="34"/>
  <c r="BL43" i="33"/>
  <c r="FU150" i="34"/>
  <c r="NE91" i="34"/>
  <c r="AR139" i="34"/>
  <c r="EC149" i="34"/>
  <c r="FR100" i="34"/>
  <c r="JW157" i="34"/>
  <c r="AB85" i="34"/>
  <c r="CF25" i="33"/>
  <c r="GB70" i="33"/>
  <c r="U47" i="34"/>
  <c r="JB153" i="34"/>
  <c r="T101" i="34"/>
  <c r="FB71" i="34"/>
  <c r="V74" i="34"/>
  <c r="CW53" i="33"/>
  <c r="FC59" i="33"/>
  <c r="IQ138" i="34"/>
  <c r="R78" i="33"/>
  <c r="EG116" i="34"/>
  <c r="FN169" i="34"/>
  <c r="IB106" i="34"/>
  <c r="JY187" i="34"/>
  <c r="NJ87" i="34"/>
  <c r="T65" i="34"/>
  <c r="GB74" i="33"/>
  <c r="NG110" i="34"/>
  <c r="CR58" i="33"/>
  <c r="DH74" i="34"/>
  <c r="FT31" i="33"/>
  <c r="AY95" i="34"/>
  <c r="AU48" i="33"/>
  <c r="FT72" i="33"/>
  <c r="GH38" i="33"/>
  <c r="BH58" i="33"/>
  <c r="DE116" i="34"/>
  <c r="FR41" i="34"/>
  <c r="JB81" i="34"/>
  <c r="GJ86" i="33"/>
  <c r="AD9" i="33"/>
  <c r="CN29" i="33"/>
  <c r="AH50" i="33"/>
  <c r="DM72" i="33"/>
  <c r="GH54" i="33"/>
  <c r="GH71" i="33"/>
  <c r="DD56" i="34"/>
  <c r="MF97" i="34"/>
  <c r="AT99" i="34"/>
  <c r="X89" i="34"/>
  <c r="MD113" i="34"/>
  <c r="Y9" i="33"/>
  <c r="DR51" i="33"/>
  <c r="EH151" i="34"/>
  <c r="DP57" i="33"/>
  <c r="GP171" i="34"/>
  <c r="CQ77" i="33"/>
  <c r="Y84" i="33"/>
  <c r="CS30" i="33"/>
  <c r="G36" i="33"/>
  <c r="MM44" i="34"/>
  <c r="LB61" i="34"/>
  <c r="AZ79" i="33"/>
  <c r="EJ69" i="33"/>
  <c r="NL165" i="34"/>
  <c r="AF59" i="33"/>
  <c r="PJ134" i="34"/>
  <c r="FL9" i="33"/>
  <c r="KO64" i="34"/>
  <c r="DY134" i="34"/>
  <c r="FK48" i="33"/>
  <c r="HE111" i="34"/>
  <c r="IA70" i="34"/>
  <c r="FT86" i="33"/>
  <c r="M32" i="33"/>
  <c r="JU56" i="34"/>
  <c r="FU101" i="34"/>
  <c r="KR73" i="34"/>
  <c r="FY59" i="33"/>
  <c r="CJ117" i="34"/>
  <c r="CM150" i="34"/>
  <c r="FP134" i="34"/>
  <c r="DH92" i="33"/>
  <c r="CD62" i="34"/>
  <c r="EI170" i="34"/>
  <c r="FR45" i="33"/>
  <c r="GO133" i="34"/>
  <c r="HG100" i="34"/>
  <c r="AW52" i="33"/>
  <c r="BA69" i="34"/>
  <c r="X92" i="34"/>
  <c r="GL69" i="34"/>
  <c r="FL46" i="33"/>
  <c r="DW157" i="34"/>
  <c r="AH57" i="33"/>
  <c r="FZ58" i="33"/>
  <c r="EJ115" i="34"/>
  <c r="GO76" i="33"/>
  <c r="C49" i="17"/>
  <c r="FC61" i="33"/>
  <c r="FX131" i="34"/>
  <c r="DB75" i="34"/>
  <c r="X52" i="33"/>
  <c r="FA66" i="33"/>
  <c r="Y78" i="33"/>
  <c r="AP46" i="33"/>
  <c r="DT54" i="33"/>
  <c r="NO72" i="34"/>
  <c r="KO73" i="34"/>
  <c r="AY75" i="34"/>
  <c r="CF67" i="33"/>
  <c r="DO73" i="33"/>
  <c r="BA122" i="34"/>
  <c r="IB67" i="34"/>
  <c r="CO188" i="34"/>
  <c r="DG9" i="33"/>
  <c r="P73" i="33"/>
  <c r="I45" i="33"/>
  <c r="EP70" i="33"/>
  <c r="X76" i="33"/>
  <c r="DS81" i="33"/>
  <c r="LG149" i="34"/>
  <c r="HU50" i="34"/>
  <c r="JX173" i="34"/>
  <c r="HH63" i="34"/>
  <c r="AO158" i="34"/>
  <c r="AU63" i="33"/>
  <c r="FU178" i="34"/>
  <c r="AF35" i="33"/>
  <c r="CA70" i="33"/>
  <c r="FP65" i="33"/>
  <c r="BK75" i="33"/>
  <c r="AR35" i="33"/>
  <c r="JD87" i="34"/>
  <c r="FB165" i="34"/>
  <c r="G70" i="33"/>
  <c r="JA106" i="34"/>
  <c r="CI81" i="33"/>
  <c r="LA90" i="34"/>
  <c r="FC46" i="33"/>
  <c r="GL120" i="34"/>
  <c r="AQ80" i="34"/>
  <c r="EZ155" i="34"/>
  <c r="W68" i="33"/>
  <c r="JY154" i="34"/>
  <c r="BR78" i="33"/>
  <c r="AS43" i="33"/>
  <c r="MI98" i="34"/>
  <c r="DB86" i="34"/>
  <c r="P27" i="33"/>
  <c r="EF67" i="33"/>
  <c r="HE159" i="34"/>
  <c r="GI45" i="33"/>
  <c r="FQ46" i="34"/>
  <c r="IV153" i="34"/>
  <c r="EG121" i="34"/>
  <c r="GF53" i="33"/>
  <c r="DV45" i="34"/>
  <c r="IA141" i="34"/>
  <c r="CO41" i="33"/>
  <c r="AP44" i="34"/>
  <c r="DZ178" i="34"/>
  <c r="DG75" i="34"/>
  <c r="HC171" i="34"/>
  <c r="KO151" i="34"/>
  <c r="FD75" i="33"/>
  <c r="DB79" i="34"/>
  <c r="AM94" i="34"/>
  <c r="JZ159" i="34"/>
  <c r="HY142" i="34"/>
  <c r="AZ146" i="34"/>
  <c r="B48" i="17"/>
  <c r="ID123" i="34"/>
  <c r="NI49" i="34"/>
  <c r="BF60" i="33"/>
  <c r="EK127" i="34"/>
  <c r="CP71" i="33"/>
  <c r="AW61" i="33"/>
  <c r="BO111" i="34"/>
  <c r="DX82" i="34"/>
  <c r="JA119" i="34"/>
  <c r="MI68" i="34"/>
  <c r="JY97" i="34"/>
  <c r="FJ58" i="33"/>
  <c r="CV43" i="33"/>
  <c r="DY105" i="34"/>
  <c r="DY29" i="33"/>
  <c r="LD173" i="34"/>
  <c r="HE78" i="34"/>
  <c r="HT104" i="34"/>
  <c r="X43" i="34"/>
  <c r="GK153" i="34"/>
  <c r="EH140" i="34"/>
  <c r="DX64" i="34"/>
  <c r="IZ59" i="34"/>
  <c r="DV73" i="34"/>
  <c r="BA141" i="34"/>
  <c r="CD129" i="34"/>
  <c r="BW59" i="33"/>
  <c r="O51" i="33"/>
  <c r="EE108" i="34"/>
  <c r="FQ74" i="33"/>
  <c r="FA106" i="34"/>
  <c r="DA47" i="33"/>
  <c r="BK37" i="33"/>
  <c r="DR26" i="33"/>
  <c r="GF66" i="33"/>
  <c r="W60" i="33"/>
  <c r="AA61" i="33"/>
  <c r="AY26" i="33"/>
  <c r="EW51" i="34"/>
  <c r="AW76" i="34"/>
  <c r="AK59" i="33"/>
  <c r="JU127" i="34"/>
  <c r="CF149" i="34"/>
  <c r="NG168" i="34"/>
  <c r="GJ173" i="34"/>
  <c r="EK66" i="33"/>
  <c r="AF65" i="33"/>
  <c r="B35" i="17"/>
  <c r="AM148" i="34"/>
  <c r="IQ127" i="34"/>
  <c r="KA104" i="34"/>
  <c r="DE154" i="34"/>
  <c r="GO166" i="34"/>
  <c r="BW92" i="33"/>
  <c r="BR168" i="34"/>
  <c r="Z149" i="34"/>
  <c r="S80" i="33"/>
  <c r="CI76" i="34"/>
  <c r="E74" i="3"/>
  <c r="Y53" i="33"/>
  <c r="CD44" i="33"/>
  <c r="DZ77" i="33"/>
  <c r="NE165" i="34"/>
  <c r="AB152" i="34"/>
  <c r="AJ84" i="33"/>
  <c r="CJ123" i="34"/>
  <c r="HU129" i="34"/>
  <c r="U140" i="34"/>
  <c r="S86" i="23"/>
  <c r="EG90" i="33"/>
  <c r="B99" i="28"/>
  <c r="HV84" i="34"/>
  <c r="FF48" i="33"/>
  <c r="NM104" i="34"/>
  <c r="FW86" i="33"/>
  <c r="LG172" i="34"/>
  <c r="IZ134" i="34"/>
  <c r="AD70" i="33"/>
  <c r="CD37" i="33"/>
  <c r="GM67" i="34"/>
  <c r="PC149" i="34"/>
  <c r="DX144" i="34"/>
  <c r="CM63" i="34"/>
  <c r="EF154" i="34"/>
  <c r="GM45" i="34"/>
  <c r="DF43" i="33"/>
  <c r="AB81" i="34"/>
  <c r="LI132" i="34"/>
  <c r="W51" i="34"/>
  <c r="LE78" i="34"/>
  <c r="JB90" i="34"/>
  <c r="BB53" i="34"/>
  <c r="EA90" i="33"/>
  <c r="DD69" i="34"/>
  <c r="DO81" i="33"/>
  <c r="AG7" i="34"/>
  <c r="LG89" i="34"/>
  <c r="FS65" i="33"/>
  <c r="NF135" i="34"/>
  <c r="HH80" i="34"/>
  <c r="OO62" i="34"/>
  <c r="JT164" i="34"/>
  <c r="LB83" i="34"/>
  <c r="S90" i="23"/>
  <c r="AO164" i="34"/>
  <c r="BP55" i="34"/>
  <c r="AN122" i="34"/>
  <c r="K162" i="34"/>
  <c r="BQ53" i="33"/>
  <c r="HY135" i="34"/>
  <c r="AY37" i="33"/>
  <c r="CH42" i="33"/>
  <c r="BI59" i="33"/>
  <c r="CN32" i="33"/>
  <c r="Z90" i="34"/>
  <c r="GM136" i="34"/>
  <c r="CD53" i="34"/>
  <c r="DA68" i="34"/>
  <c r="GL47" i="34"/>
  <c r="DD144" i="34"/>
  <c r="DX153" i="34"/>
  <c r="T53" i="34"/>
  <c r="CW62" i="33"/>
  <c r="AR70" i="33"/>
  <c r="CH145" i="34"/>
  <c r="BQ71" i="33"/>
  <c r="DA57" i="34"/>
  <c r="EI130" i="34"/>
  <c r="U37" i="33"/>
  <c r="AY86" i="33"/>
  <c r="BO103" i="34"/>
  <c r="DM32" i="33"/>
  <c r="AT63" i="34"/>
  <c r="AD89" i="34"/>
  <c r="KQ98" i="34"/>
  <c r="EJ55" i="34"/>
  <c r="AD160" i="34"/>
  <c r="CV31" i="33"/>
  <c r="BL73" i="33"/>
  <c r="JA70" i="34"/>
  <c r="AY32" i="33"/>
  <c r="BR44" i="33"/>
  <c r="CB80" i="33"/>
  <c r="H53" i="33"/>
  <c r="CN71" i="33"/>
  <c r="DG50" i="33"/>
  <c r="R62" i="33"/>
  <c r="AM20" i="33"/>
  <c r="MG93" i="34"/>
  <c r="GM64" i="34"/>
  <c r="EF49" i="33"/>
  <c r="AC32" i="33"/>
  <c r="CO86" i="34"/>
  <c r="FO33" i="33"/>
  <c r="J43" i="33"/>
  <c r="BR66" i="33"/>
  <c r="CB28" i="33"/>
  <c r="I65" i="33"/>
  <c r="AB134" i="34"/>
  <c r="DK82" i="33"/>
  <c r="H42" i="33"/>
  <c r="W46" i="33"/>
  <c r="ER70" i="33"/>
  <c r="LD59" i="34"/>
  <c r="AQ85" i="33"/>
  <c r="AZ71" i="33"/>
  <c r="FQ48" i="34"/>
  <c r="AP59" i="33"/>
  <c r="MC46" i="34"/>
  <c r="GA78" i="33"/>
  <c r="BH78" i="33"/>
  <c r="NO152" i="34"/>
  <c r="GL40" i="33"/>
  <c r="EW58" i="33"/>
  <c r="KC153" i="34"/>
  <c r="JZ133" i="34"/>
  <c r="AB75" i="34"/>
  <c r="AV89" i="34"/>
  <c r="JE67" i="34"/>
  <c r="DK63" i="33"/>
  <c r="GJ51" i="33"/>
  <c r="AU70" i="33"/>
  <c r="CG62" i="34"/>
  <c r="DI175" i="34"/>
  <c r="H32" i="33"/>
  <c r="DD165" i="34"/>
  <c r="CX38" i="33"/>
  <c r="CH84" i="33"/>
  <c r="F64" i="33"/>
  <c r="BP167" i="34"/>
  <c r="EK27" i="33"/>
  <c r="EK121" i="34"/>
  <c r="EY51" i="33"/>
  <c r="NC153" i="34"/>
  <c r="ED81" i="33"/>
  <c r="GQ159" i="34"/>
  <c r="GB66" i="33"/>
  <c r="M53" i="33"/>
  <c r="NK101" i="34"/>
  <c r="AN167" i="34"/>
  <c r="BH92" i="33"/>
  <c r="DD26" i="33"/>
  <c r="BP147" i="34"/>
  <c r="FQ122" i="34"/>
  <c r="DI169" i="34"/>
  <c r="GO79" i="34"/>
  <c r="BK59" i="33"/>
  <c r="GJ119" i="34"/>
  <c r="KN108" i="34"/>
  <c r="BU48" i="33"/>
  <c r="AE32" i="33"/>
  <c r="DE127" i="34"/>
  <c r="FG77" i="33"/>
  <c r="KL73" i="34"/>
  <c r="EW47" i="33"/>
  <c r="CJ34" i="33"/>
  <c r="KQ102" i="34"/>
  <c r="AP187" i="34"/>
  <c r="P69" i="33"/>
  <c r="CV72" i="33"/>
  <c r="EE83" i="33"/>
  <c r="CD137" i="34"/>
  <c r="X139" i="34"/>
  <c r="FQ77" i="33"/>
  <c r="CW45" i="33"/>
  <c r="GL38" i="33"/>
  <c r="AL71" i="33"/>
  <c r="PY99" i="34"/>
  <c r="EH56" i="34"/>
  <c r="S14" i="23"/>
  <c r="LC66" i="34"/>
  <c r="OJ80" i="34"/>
  <c r="BS81" i="33"/>
  <c r="GO91" i="34"/>
  <c r="U156" i="34"/>
  <c r="AV152" i="34"/>
  <c r="CB69" i="33"/>
  <c r="DH68" i="33"/>
  <c r="AW135" i="34"/>
  <c r="MB66" i="34"/>
  <c r="GJ67" i="33"/>
  <c r="DP46" i="33"/>
  <c r="BP69" i="34"/>
  <c r="DK41" i="33"/>
  <c r="GO28" i="33"/>
  <c r="GN55" i="33"/>
  <c r="EG37" i="33"/>
  <c r="EH81" i="34"/>
  <c r="GL72" i="33"/>
  <c r="DC37" i="33"/>
  <c r="FJ26" i="33"/>
  <c r="AD50" i="33"/>
  <c r="JX120" i="34"/>
  <c r="CJ147" i="34"/>
  <c r="EA94" i="34"/>
  <c r="Y34" i="33"/>
  <c r="AO111" i="34"/>
  <c r="J40" i="33"/>
  <c r="CR38" i="33"/>
  <c r="AI31" i="33"/>
  <c r="GJ171" i="34"/>
  <c r="M63" i="33"/>
  <c r="AO48" i="34"/>
  <c r="HG170" i="34"/>
  <c r="KB55" i="34"/>
  <c r="GL93" i="34"/>
  <c r="AX122" i="34"/>
  <c r="IA183" i="34"/>
  <c r="IA163" i="34"/>
  <c r="CE122" i="34"/>
  <c r="IQ132" i="34"/>
  <c r="CJ174" i="34"/>
  <c r="CE95" i="34"/>
  <c r="J59" i="34"/>
  <c r="GL166" i="34"/>
  <c r="GL61" i="34"/>
  <c r="BB109" i="34"/>
  <c r="OL94" i="34"/>
  <c r="AB160" i="34"/>
  <c r="BS44" i="33"/>
  <c r="GK20" i="33"/>
  <c r="KC122" i="34"/>
  <c r="HU160" i="34"/>
  <c r="AW81" i="34"/>
  <c r="FQ56" i="33"/>
  <c r="BB70" i="34"/>
  <c r="IV85" i="34"/>
  <c r="GD37" i="33"/>
  <c r="LD68" i="34"/>
  <c r="AP152" i="34"/>
  <c r="AC62" i="33"/>
  <c r="AN29" i="33"/>
  <c r="EZ62" i="33"/>
  <c r="DX75" i="34"/>
  <c r="CL71" i="33"/>
  <c r="FN30" i="33"/>
  <c r="DJ32" i="33"/>
  <c r="K56" i="33"/>
  <c r="GJ92" i="33"/>
  <c r="EM63" i="33"/>
  <c r="S32" i="23"/>
  <c r="K139" i="34"/>
  <c r="AU128" i="34"/>
  <c r="IS105" i="34"/>
  <c r="NF75" i="34"/>
  <c r="CI79" i="33"/>
  <c r="GB77" i="33"/>
  <c r="DK65" i="33"/>
  <c r="FA142" i="34"/>
  <c r="IZ165" i="34"/>
  <c r="JB74" i="34"/>
  <c r="JE110" i="34"/>
  <c r="EG51" i="33"/>
  <c r="LJ91" i="34"/>
  <c r="HX119" i="34"/>
  <c r="HZ49" i="34"/>
  <c r="HH178" i="34"/>
  <c r="FB139" i="34"/>
  <c r="BR141" i="34"/>
  <c r="K127" i="34"/>
  <c r="DF73" i="34"/>
  <c r="DI87" i="34"/>
  <c r="FR118" i="34"/>
  <c r="EZ122" i="34"/>
  <c r="JE52" i="34"/>
  <c r="FO41" i="33"/>
  <c r="FO152" i="34"/>
  <c r="CI82" i="33"/>
  <c r="BP107" i="34"/>
  <c r="FH86" i="33"/>
  <c r="MB166" i="34"/>
  <c r="HT93" i="34"/>
  <c r="DF123" i="34"/>
  <c r="AM138" i="34"/>
  <c r="BA107" i="34"/>
  <c r="IZ154" i="34"/>
  <c r="CJ103" i="34"/>
  <c r="BO30" i="33"/>
  <c r="FW85" i="34"/>
  <c r="J78" i="34"/>
  <c r="DJ65" i="33"/>
  <c r="NG72" i="34"/>
  <c r="Z45" i="34"/>
  <c r="EZ55" i="33"/>
  <c r="GN116" i="34"/>
  <c r="Z48" i="33"/>
  <c r="AU40" i="33"/>
  <c r="BB123" i="34"/>
  <c r="BO132" i="34"/>
  <c r="GI76" i="33"/>
  <c r="AH36" i="33"/>
  <c r="BQ73" i="33"/>
  <c r="HZ60" i="34"/>
  <c r="AX110" i="34"/>
  <c r="HH74" i="34"/>
  <c r="BO130" i="34"/>
  <c r="BR90" i="33"/>
  <c r="HT158" i="34"/>
  <c r="AB72" i="34"/>
  <c r="AV169" i="34"/>
  <c r="HH45" i="34"/>
  <c r="FT156" i="34"/>
  <c r="Z39" i="33"/>
  <c r="BJ24" i="28"/>
  <c r="EF31" i="33"/>
  <c r="Z59" i="33"/>
  <c r="CW40" i="33"/>
  <c r="BY54" i="33"/>
  <c r="V32" i="33"/>
  <c r="GE47" i="33"/>
  <c r="GI65" i="33"/>
  <c r="ND106" i="34"/>
  <c r="BO90" i="33"/>
  <c r="LE60" i="34"/>
  <c r="BO59" i="34"/>
  <c r="FH79" i="33"/>
  <c r="ED173" i="34"/>
  <c r="EF71" i="33"/>
  <c r="GK146" i="34"/>
  <c r="AH75" i="33"/>
  <c r="ID95" i="34"/>
  <c r="CF162" i="34"/>
  <c r="JA163" i="34"/>
  <c r="GM128" i="34"/>
  <c r="BW68" i="33"/>
  <c r="HV101" i="34"/>
  <c r="GH86" i="33"/>
  <c r="IZ138" i="34"/>
  <c r="CF33" i="33"/>
  <c r="GM104" i="34"/>
  <c r="BT41" i="33"/>
  <c r="X126" i="34"/>
  <c r="MG100" i="34"/>
  <c r="AG33" i="33"/>
  <c r="CS36" i="33"/>
  <c r="KC83" i="34"/>
  <c r="LC155" i="34"/>
  <c r="LI140" i="34"/>
  <c r="ID146" i="34"/>
  <c r="BU78" i="33"/>
  <c r="JT84" i="34"/>
  <c r="FW181" i="34"/>
  <c r="BF42" i="33"/>
  <c r="GD46" i="33"/>
  <c r="DC94" i="34"/>
  <c r="CL80" i="33"/>
  <c r="DO71" i="33"/>
  <c r="BB64" i="33"/>
  <c r="GG31" i="33"/>
  <c r="NK135" i="34"/>
  <c r="AV54" i="34"/>
  <c r="FV37" i="33"/>
  <c r="K75" i="33"/>
  <c r="HC113" i="34"/>
  <c r="GK90" i="33"/>
  <c r="GD26" i="33"/>
  <c r="BI47" i="33"/>
  <c r="FU67" i="34"/>
  <c r="GM53" i="33"/>
  <c r="JY103" i="34"/>
  <c r="EH59" i="34"/>
  <c r="IA41" i="34"/>
  <c r="DX147" i="34"/>
  <c r="LK102" i="34"/>
  <c r="BQ115" i="34"/>
  <c r="AY31" i="33"/>
  <c r="Y57" i="33"/>
  <c r="CK148" i="34"/>
  <c r="DC76" i="34"/>
  <c r="DA97" i="34"/>
  <c r="AA9" i="33"/>
  <c r="CJ136" i="34"/>
  <c r="CF58" i="34"/>
  <c r="DZ48" i="34"/>
  <c r="HH187" i="34"/>
  <c r="AC110" i="34"/>
  <c r="DF42" i="33"/>
  <c r="FH57" i="33"/>
  <c r="EE186" i="34"/>
  <c r="BJ86" i="33"/>
  <c r="AC46" i="34"/>
  <c r="AQ130" i="34"/>
  <c r="CB57" i="33"/>
  <c r="AL49" i="33"/>
  <c r="CO81" i="34"/>
  <c r="AP38" i="33"/>
  <c r="AN67" i="33"/>
  <c r="M81" i="33"/>
  <c r="EE66" i="33"/>
  <c r="FG45" i="33"/>
  <c r="OL67" i="34"/>
  <c r="BB61" i="34"/>
  <c r="HT84" i="34"/>
  <c r="BW79" i="33"/>
  <c r="FB46" i="34"/>
  <c r="FT181" i="34"/>
  <c r="EI174" i="34"/>
  <c r="GH90" i="33"/>
  <c r="DH69" i="34"/>
  <c r="BN77" i="34"/>
  <c r="HZ69" i="34"/>
  <c r="CB46" i="33"/>
  <c r="FW183" i="34"/>
  <c r="CM118" i="34"/>
  <c r="BM52" i="33"/>
  <c r="ED71" i="34"/>
  <c r="EF127" i="34"/>
  <c r="BT77" i="33"/>
  <c r="FL27" i="33"/>
  <c r="FY49" i="33"/>
  <c r="EI79" i="34"/>
  <c r="AT63" i="33"/>
  <c r="CH57" i="33"/>
  <c r="BY62" i="33"/>
  <c r="FQ71" i="33"/>
  <c r="DB54" i="33"/>
  <c r="CA50" i="33"/>
  <c r="GQ56" i="34"/>
  <c r="OJ98" i="34"/>
  <c r="KQ165" i="34"/>
  <c r="BE64" i="33"/>
  <c r="AC33" i="33"/>
  <c r="W98" i="34"/>
  <c r="CP64" i="33"/>
  <c r="EY28" i="33"/>
  <c r="FB78" i="34"/>
  <c r="EY26" i="33"/>
  <c r="EJ78" i="33"/>
  <c r="CM111" i="34"/>
  <c r="HT124" i="34"/>
  <c r="DZ43" i="34"/>
  <c r="GP181" i="34"/>
  <c r="W161" i="34"/>
  <c r="BE48" i="33"/>
  <c r="AZ44" i="34"/>
  <c r="JG59" i="34"/>
  <c r="EW170" i="34"/>
  <c r="GN59" i="33"/>
  <c r="BB170" i="34"/>
  <c r="MJ52" i="34"/>
  <c r="V83" i="34"/>
  <c r="FN65" i="33"/>
  <c r="AQ71" i="34"/>
  <c r="GJ26" i="33"/>
  <c r="CH188" i="34"/>
  <c r="BB91" i="34"/>
  <c r="JE133" i="34"/>
  <c r="IB120" i="34"/>
  <c r="CK46" i="33"/>
  <c r="GO69" i="33"/>
  <c r="N5" i="34"/>
  <c r="BZ52" i="33"/>
  <c r="IB41" i="34"/>
  <c r="FW65" i="33"/>
  <c r="EW77" i="33"/>
  <c r="EV62" i="33"/>
  <c r="AK27" i="33"/>
  <c r="GJ81" i="33"/>
  <c r="AK25" i="33"/>
  <c r="JH171" i="34"/>
  <c r="FY36" i="33"/>
  <c r="FN96" i="34"/>
  <c r="EF91" i="34"/>
  <c r="EP32" i="33"/>
  <c r="AT52" i="33"/>
  <c r="CQ85" i="33"/>
  <c r="OI155" i="34"/>
  <c r="HF99" i="34"/>
  <c r="FG38" i="33"/>
  <c r="NA106" i="34"/>
  <c r="BR80" i="33"/>
  <c r="CR28" i="33"/>
  <c r="BO46" i="33"/>
  <c r="PA139" i="34"/>
  <c r="GO108" i="34"/>
  <c r="AB187" i="34"/>
  <c r="EF141" i="34"/>
  <c r="GP74" i="34"/>
  <c r="NH57" i="34"/>
  <c r="DJ162" i="34"/>
  <c r="CG125" i="34"/>
  <c r="AT43" i="34"/>
  <c r="EW46" i="33"/>
  <c r="CX57" i="33"/>
  <c r="HY183" i="34"/>
  <c r="DF72" i="34"/>
  <c r="FO153" i="34"/>
  <c r="EM48" i="33"/>
  <c r="Z92" i="33"/>
  <c r="I63" i="33"/>
  <c r="AJ85" i="33"/>
  <c r="W69" i="34"/>
  <c r="MD165" i="34"/>
  <c r="CF82" i="33"/>
  <c r="DF38" i="33"/>
  <c r="J61" i="34"/>
  <c r="ES40" i="33"/>
  <c r="DE34" i="33"/>
  <c r="MD136" i="34"/>
  <c r="DC36" i="33"/>
  <c r="AP75" i="33"/>
  <c r="CE134" i="34"/>
  <c r="AS186" i="34"/>
  <c r="OL79" i="34"/>
  <c r="GJ87" i="34"/>
  <c r="HC163" i="34"/>
  <c r="AQ46" i="34"/>
  <c r="BK20" i="33"/>
  <c r="CB60" i="33"/>
  <c r="FR87" i="34"/>
  <c r="IY188" i="34"/>
  <c r="FQ92" i="33"/>
  <c r="AA48" i="33"/>
  <c r="FT72" i="34"/>
  <c r="JA152" i="34"/>
  <c r="AD62" i="33"/>
  <c r="R47" i="33"/>
  <c r="BQ56" i="34"/>
  <c r="BN156" i="34"/>
  <c r="CV57" i="33"/>
  <c r="W77" i="34"/>
  <c r="LC76" i="34"/>
  <c r="P34" i="33"/>
  <c r="DF72" i="33"/>
  <c r="EZ90" i="33"/>
  <c r="T42" i="33"/>
  <c r="AN115" i="34"/>
  <c r="BN108" i="34"/>
  <c r="BN140" i="34"/>
  <c r="AS78" i="33"/>
  <c r="IW123" i="34"/>
  <c r="EK120" i="34"/>
  <c r="JY96" i="34"/>
  <c r="GD23" i="33"/>
  <c r="CO103" i="34"/>
  <c r="HF154" i="34"/>
  <c r="FP171" i="34"/>
  <c r="FI36" i="33"/>
  <c r="EV9" i="33"/>
  <c r="AZ74" i="33"/>
  <c r="FD83" i="33"/>
  <c r="Y61" i="33"/>
  <c r="JT59" i="34"/>
  <c r="DE62" i="33"/>
  <c r="CD32" i="33"/>
  <c r="X77" i="33"/>
  <c r="AW115" i="34"/>
  <c r="CN143" i="34"/>
  <c r="BT62" i="33"/>
  <c r="LW77" i="34"/>
  <c r="GJ69" i="33"/>
  <c r="LB98" i="34"/>
  <c r="CU85" i="33"/>
  <c r="EL58" i="33"/>
  <c r="HD174" i="34"/>
  <c r="KA119" i="34"/>
  <c r="AS61" i="33"/>
  <c r="KO143" i="34"/>
  <c r="DG27" i="33"/>
  <c r="AU178" i="34"/>
  <c r="GE69" i="33"/>
  <c r="HY61" i="34"/>
  <c r="AP53" i="34"/>
  <c r="IE84" i="34"/>
  <c r="S177" i="23"/>
  <c r="BK46" i="33"/>
  <c r="JV169" i="34"/>
  <c r="CO28" i="33"/>
  <c r="GJ109" i="34"/>
  <c r="AS137" i="34"/>
  <c r="KM154" i="34"/>
  <c r="CM167" i="34"/>
  <c r="DB68" i="33"/>
  <c r="AD79" i="33"/>
  <c r="FJ28" i="33"/>
  <c r="AR76" i="33"/>
  <c r="AH47" i="33"/>
  <c r="CF59" i="34"/>
  <c r="BM86" i="33"/>
  <c r="EX167" i="34"/>
  <c r="Y52" i="34"/>
  <c r="EV29" i="33"/>
  <c r="CO121" i="34"/>
  <c r="CO105" i="34"/>
  <c r="CS56" i="33"/>
  <c r="CW29" i="33"/>
  <c r="CO65" i="34"/>
  <c r="CJ36" i="33"/>
  <c r="AR58" i="33"/>
  <c r="AR112" i="34"/>
  <c r="CL84" i="33"/>
  <c r="LG59" i="34"/>
  <c r="CV45" i="33"/>
  <c r="FT127" i="34"/>
  <c r="JD69" i="34"/>
  <c r="AB162" i="34"/>
  <c r="CB77" i="33"/>
  <c r="JF65" i="34"/>
  <c r="EZ101" i="34"/>
  <c r="DP63" i="33"/>
  <c r="ME181" i="34"/>
  <c r="KB109" i="34"/>
  <c r="AT50" i="33"/>
  <c r="DV65" i="34"/>
  <c r="EL65" i="33"/>
  <c r="AT188" i="34"/>
  <c r="J67" i="33"/>
  <c r="LF172" i="34"/>
  <c r="BJ136" i="28"/>
  <c r="JT44" i="34"/>
  <c r="EJ47" i="34"/>
  <c r="LZ128" i="34"/>
  <c r="CW90" i="33"/>
  <c r="AN90" i="34"/>
  <c r="FK61" i="33"/>
  <c r="FX39" i="33"/>
  <c r="ED112" i="34"/>
  <c r="ED75" i="33"/>
  <c r="IU48" i="34"/>
  <c r="IY79" i="34"/>
  <c r="AN90" i="33"/>
  <c r="AV155" i="34"/>
  <c r="DY34" i="33"/>
  <c r="FR78" i="34"/>
  <c r="T109" i="34"/>
  <c r="IC44" i="34"/>
  <c r="DB175" i="34"/>
  <c r="GL30" i="33"/>
  <c r="AJ54" i="33"/>
  <c r="IB166" i="34"/>
  <c r="DK62" i="33"/>
  <c r="CK165" i="34"/>
  <c r="FC82" i="33"/>
  <c r="JZ128" i="34"/>
  <c r="L25" i="33"/>
  <c r="NM77" i="34"/>
  <c r="FF59" i="33"/>
  <c r="HD178" i="34"/>
  <c r="AI27" i="33"/>
  <c r="FA41" i="33"/>
  <c r="BN81" i="34"/>
  <c r="FX115" i="34"/>
  <c r="LX99" i="34"/>
  <c r="NL137" i="34"/>
  <c r="R53" i="33"/>
  <c r="JZ96" i="34"/>
  <c r="BJ149" i="28"/>
  <c r="DH81" i="34"/>
  <c r="S52" i="33"/>
  <c r="HC130" i="34"/>
  <c r="BW48" i="33"/>
  <c r="GL141" i="34"/>
  <c r="FH76" i="33"/>
  <c r="DF109" i="34"/>
  <c r="BA156" i="34"/>
  <c r="FD69" i="33"/>
  <c r="AK92" i="33"/>
  <c r="FU105" i="34"/>
  <c r="V43" i="33"/>
  <c r="L90" i="33"/>
  <c r="AP154" i="34"/>
  <c r="FI43" i="33"/>
  <c r="CL65" i="34"/>
  <c r="EI107" i="34"/>
  <c r="AP63" i="34"/>
  <c r="AA41" i="33"/>
  <c r="DG83" i="33"/>
  <c r="FS59" i="33"/>
  <c r="FX85" i="33"/>
  <c r="DG140" i="34"/>
  <c r="FF52" i="33"/>
  <c r="EL90" i="33"/>
  <c r="BW72" i="33"/>
  <c r="AW51" i="33"/>
  <c r="EE178" i="34"/>
  <c r="GP176" i="34"/>
  <c r="S73" i="23"/>
  <c r="HG115" i="34"/>
  <c r="EG64" i="33"/>
  <c r="DT76" i="33"/>
  <c r="AK36" i="33"/>
  <c r="GM45" i="33"/>
  <c r="Y59" i="33"/>
  <c r="GO98" i="34"/>
  <c r="GL128" i="34"/>
  <c r="CO40" i="33"/>
  <c r="MD187" i="34"/>
  <c r="AN83" i="33"/>
  <c r="CK166" i="34"/>
  <c r="FT104" i="34"/>
  <c r="FY28" i="33"/>
  <c r="S40" i="33"/>
  <c r="IY126" i="34"/>
  <c r="FP76" i="33"/>
  <c r="AZ167" i="34"/>
  <c r="EW52" i="34"/>
  <c r="FZ32" i="33"/>
  <c r="BN62" i="33"/>
  <c r="LC83" i="34"/>
  <c r="V65" i="34"/>
  <c r="Y68" i="34"/>
  <c r="EG58" i="33"/>
  <c r="JG96" i="34"/>
  <c r="BO55" i="34"/>
  <c r="G40" i="33"/>
  <c r="CM106" i="34"/>
  <c r="MJ101" i="34"/>
  <c r="EB133" i="34"/>
  <c r="EY69" i="33"/>
  <c r="FV25" i="33"/>
  <c r="EH133" i="34"/>
  <c r="FQ44" i="34"/>
  <c r="AL29" i="33"/>
  <c r="DY79" i="34"/>
  <c r="FJ25" i="33"/>
  <c r="V17" i="17"/>
  <c r="G30" i="33"/>
  <c r="GJ63" i="33"/>
  <c r="GK100" i="34"/>
  <c r="FZ26" i="33"/>
  <c r="CM138" i="34"/>
  <c r="JH97" i="34"/>
  <c r="EA112" i="34"/>
  <c r="BF54" i="33"/>
  <c r="BR108" i="34"/>
  <c r="IR66" i="34"/>
  <c r="GB85" i="33"/>
  <c r="K174" i="34"/>
  <c r="BN160" i="34"/>
  <c r="V47" i="33"/>
  <c r="BE81" i="33"/>
  <c r="BV53" i="33"/>
  <c r="AO78" i="34"/>
  <c r="ID137" i="34"/>
  <c r="GJ50" i="33"/>
  <c r="MD171" i="34"/>
  <c r="EE34" i="33"/>
  <c r="AW142" i="34"/>
  <c r="FE81" i="33"/>
  <c r="AM63" i="34"/>
  <c r="AO130" i="34"/>
  <c r="AM127" i="34"/>
  <c r="MA171" i="34"/>
  <c r="S79" i="23"/>
  <c r="DB76" i="34"/>
  <c r="GM175" i="34"/>
  <c r="FC48" i="33"/>
  <c r="NB106" i="34"/>
  <c r="PW151" i="34"/>
  <c r="CS38" i="33"/>
  <c r="LA128" i="34"/>
  <c r="AQ76" i="34"/>
  <c r="W99" i="34"/>
  <c r="FX142" i="34"/>
  <c r="IV71" i="34"/>
  <c r="LX92" i="34"/>
  <c r="FH63" i="33"/>
  <c r="BJ139" i="28"/>
  <c r="BO47" i="33"/>
  <c r="DG40" i="33"/>
  <c r="AI52" i="33"/>
  <c r="MC174" i="34"/>
  <c r="FA141" i="34"/>
  <c r="CE86" i="33"/>
  <c r="CH104" i="34"/>
  <c r="FD28" i="33"/>
  <c r="BZ47" i="33"/>
  <c r="HV149" i="34"/>
  <c r="S22" i="23"/>
  <c r="EZ75" i="33"/>
  <c r="BN142" i="34"/>
  <c r="FJ81" i="33"/>
  <c r="EI63" i="34"/>
  <c r="AQ82" i="33"/>
  <c r="CE64" i="33"/>
  <c r="FR130" i="34"/>
  <c r="EQ80" i="33"/>
  <c r="L100" i="28"/>
  <c r="AM130" i="34"/>
  <c r="BL68" i="33"/>
  <c r="GM75" i="33"/>
  <c r="E19" i="3"/>
  <c r="IE55" i="34"/>
  <c r="GP60" i="34"/>
  <c r="AW35" i="33"/>
  <c r="CD143" i="34"/>
  <c r="NJ165" i="34"/>
  <c r="AV81" i="33"/>
  <c r="IQ107" i="34"/>
  <c r="IC150" i="34"/>
  <c r="NN65" i="34"/>
  <c r="F96" i="28"/>
  <c r="CF56" i="34"/>
  <c r="HG117" i="34"/>
  <c r="JZ172" i="34"/>
  <c r="CY63" i="33"/>
  <c r="DC41" i="33"/>
  <c r="LB174" i="34"/>
  <c r="DO75" i="33"/>
  <c r="X66" i="33"/>
  <c r="PZ105" i="34"/>
  <c r="CF62" i="33"/>
  <c r="EG85" i="34"/>
  <c r="F68" i="33"/>
  <c r="AL36" i="33"/>
  <c r="CF99" i="34"/>
  <c r="AQ164" i="34"/>
  <c r="HG80" i="34"/>
  <c r="BR110" i="34"/>
  <c r="AI76" i="33"/>
  <c r="JA144" i="34"/>
  <c r="FA29" i="33"/>
  <c r="FM58" i="33"/>
  <c r="BB58" i="34"/>
  <c r="JB63" i="34"/>
  <c r="EE48" i="33"/>
  <c r="GL56" i="34"/>
  <c r="BF48" i="33"/>
  <c r="IA75" i="34"/>
  <c r="NE145" i="34"/>
  <c r="KO152" i="34"/>
  <c r="DG48" i="33"/>
  <c r="CK172" i="34"/>
  <c r="R36" i="33"/>
  <c r="CH122" i="34"/>
  <c r="HZ85" i="34"/>
  <c r="DH48" i="33"/>
  <c r="HV160" i="34"/>
  <c r="FC83" i="33"/>
  <c r="O64" i="33"/>
  <c r="EF30" i="33"/>
  <c r="EK53" i="34"/>
  <c r="EW142" i="34"/>
  <c r="AS115" i="34"/>
  <c r="IQ187" i="34"/>
  <c r="EK109" i="34"/>
  <c r="BK43" i="33"/>
  <c r="FV68" i="33"/>
  <c r="Y111" i="34"/>
  <c r="DX100" i="34"/>
  <c r="CA59" i="33"/>
  <c r="ED61" i="33"/>
  <c r="O50" i="33"/>
  <c r="BJ9" i="33"/>
  <c r="CE30" i="33"/>
  <c r="DH26" i="33"/>
  <c r="DC47" i="33"/>
  <c r="BB95" i="34"/>
  <c r="CO42" i="33"/>
  <c r="GK28" i="33"/>
  <c r="GB82" i="33"/>
  <c r="GQ165" i="34"/>
  <c r="IC67" i="34"/>
  <c r="DX31" i="33"/>
  <c r="D10" i="17"/>
  <c r="S212" i="23"/>
  <c r="FQ40" i="33"/>
  <c r="CA30" i="33"/>
  <c r="BU65" i="33"/>
  <c r="LE42" i="34"/>
  <c r="BJ80" i="33"/>
  <c r="FJ59" i="33"/>
  <c r="AZ124" i="34"/>
  <c r="AQ84" i="33"/>
  <c r="EY166" i="34"/>
  <c r="AW41" i="34"/>
  <c r="U104" i="34"/>
  <c r="DL46" i="33"/>
  <c r="FI59" i="33"/>
  <c r="CP36" i="33"/>
  <c r="CU35" i="33"/>
  <c r="GD56" i="33"/>
  <c r="FC58" i="33"/>
  <c r="IZ62" i="34"/>
  <c r="AC86" i="34"/>
  <c r="JC52" i="34"/>
  <c r="PX159" i="34"/>
  <c r="FL71" i="33"/>
  <c r="CI161" i="34"/>
  <c r="O29" i="33"/>
  <c r="CJ37" i="33"/>
  <c r="T92" i="33"/>
  <c r="X149" i="34"/>
  <c r="GK76" i="33"/>
  <c r="CU54" i="33"/>
  <c r="DX42" i="34"/>
  <c r="BV46" i="33"/>
  <c r="EF88" i="34"/>
  <c r="HY166" i="34"/>
  <c r="BA31" i="33"/>
  <c r="P65" i="33"/>
  <c r="EA69" i="33"/>
  <c r="CE160" i="34"/>
  <c r="GM132" i="34"/>
  <c r="BQ58" i="34"/>
  <c r="GP144" i="34"/>
  <c r="DG72" i="33"/>
  <c r="BC42" i="33"/>
  <c r="AZ31" i="33"/>
  <c r="AC187" i="34"/>
  <c r="P39" i="33"/>
  <c r="AA104" i="34"/>
  <c r="FQ133" i="34"/>
  <c r="CU70" i="33"/>
  <c r="BB148" i="34"/>
  <c r="GF28" i="33"/>
  <c r="BN92" i="34"/>
  <c r="FX113" i="34"/>
  <c r="EG136" i="34"/>
  <c r="DB84" i="33"/>
  <c r="JH118" i="34"/>
  <c r="MC164" i="34"/>
  <c r="FA174" i="34"/>
  <c r="CC71" i="33"/>
  <c r="BP67" i="34"/>
  <c r="Y181" i="34"/>
  <c r="DZ45" i="33"/>
  <c r="S175" i="23"/>
  <c r="AB44" i="34"/>
  <c r="BQ99" i="34"/>
  <c r="PF153" i="34"/>
  <c r="CJ33" i="33"/>
  <c r="NP109" i="34"/>
  <c r="IA173" i="34"/>
  <c r="FH44" i="33"/>
  <c r="BZ64" i="33"/>
  <c r="FW88" i="34"/>
  <c r="JX99" i="34"/>
  <c r="CQ71" i="33"/>
  <c r="DX128" i="34"/>
  <c r="JV58" i="34"/>
  <c r="K131" i="28"/>
  <c r="JA98" i="34"/>
  <c r="NF178" i="34"/>
  <c r="GE78" i="33"/>
  <c r="F57" i="33"/>
  <c r="DN71" i="33"/>
  <c r="T67" i="33"/>
  <c r="NM146" i="34"/>
  <c r="DH168" i="34"/>
  <c r="JT102" i="34"/>
  <c r="AL85" i="33"/>
  <c r="IU148" i="34"/>
  <c r="JV62" i="34"/>
  <c r="EY92" i="33"/>
  <c r="LA129" i="34"/>
  <c r="DE73" i="33"/>
  <c r="KM100" i="34"/>
  <c r="FE32" i="33"/>
  <c r="EH43" i="34"/>
  <c r="AY76" i="34"/>
  <c r="W84" i="33"/>
  <c r="DA54" i="33"/>
  <c r="FF60" i="33"/>
  <c r="HC42" i="34"/>
  <c r="BQ60" i="33"/>
  <c r="HH133" i="34"/>
  <c r="HF59" i="34"/>
  <c r="AH9" i="33"/>
  <c r="ES62" i="33"/>
  <c r="BW78" i="33"/>
  <c r="IA67" i="34"/>
  <c r="MD106" i="34"/>
  <c r="V81" i="33"/>
  <c r="KB79" i="34"/>
  <c r="GN88" i="34"/>
  <c r="BE70" i="33"/>
  <c r="EY128" i="34"/>
  <c r="DN81" i="33"/>
  <c r="LC162" i="34"/>
  <c r="BT69" i="33"/>
  <c r="DC31" i="33"/>
  <c r="DP56" i="33"/>
  <c r="AN110" i="34"/>
  <c r="EZ187" i="34"/>
  <c r="CF67" i="34"/>
  <c r="ES86" i="33"/>
  <c r="J89" i="34"/>
  <c r="AN111" i="34"/>
  <c r="FF40" i="33"/>
  <c r="AB156" i="34"/>
  <c r="IR43" i="34"/>
  <c r="FN138" i="34"/>
  <c r="EE148" i="34"/>
  <c r="FA67" i="33"/>
  <c r="EG92" i="33"/>
  <c r="BL79" i="33"/>
  <c r="IE147" i="34"/>
  <c r="ED80" i="33"/>
  <c r="EP46" i="33"/>
  <c r="GF56" i="33"/>
  <c r="AB135" i="34"/>
  <c r="BJ148" i="28"/>
  <c r="CY31" i="33"/>
  <c r="IQ135" i="34"/>
  <c r="GJ74" i="34"/>
  <c r="Z160" i="34"/>
  <c r="AX49" i="33"/>
  <c r="ED52" i="33"/>
  <c r="Y27" i="33"/>
  <c r="BR115" i="34"/>
  <c r="DI170" i="34"/>
  <c r="AZ92" i="33"/>
  <c r="IY119" i="34"/>
  <c r="CQ80" i="33"/>
  <c r="DY137" i="34"/>
  <c r="EP47" i="33"/>
  <c r="FE90" i="33"/>
  <c r="PY101" i="34"/>
  <c r="HV143" i="34"/>
  <c r="CC55" i="33"/>
  <c r="JU55" i="34"/>
  <c r="CG82" i="34"/>
  <c r="GO42" i="33"/>
  <c r="AZ67" i="33"/>
  <c r="FS45" i="33"/>
  <c r="EF52" i="34"/>
  <c r="CF52" i="33"/>
  <c r="EC116" i="34"/>
  <c r="FS56" i="33"/>
  <c r="AT26" i="33"/>
  <c r="MJ98" i="34"/>
  <c r="FZ56" i="33"/>
  <c r="DF41" i="33"/>
  <c r="BT47" i="33"/>
  <c r="EA72" i="34"/>
  <c r="AY70" i="33"/>
  <c r="GE48" i="33"/>
  <c r="BR175" i="34"/>
  <c r="FS186" i="34"/>
  <c r="CO145" i="34"/>
  <c r="PZ93" i="34"/>
  <c r="ED61" i="34"/>
  <c r="CN90" i="33"/>
  <c r="KP128" i="34"/>
  <c r="FP186" i="34"/>
  <c r="FY75" i="33"/>
  <c r="AQ84" i="34"/>
  <c r="AU57" i="33"/>
  <c r="AC86" i="33"/>
  <c r="CC45" i="33"/>
  <c r="CI158" i="34"/>
  <c r="F28" i="33"/>
  <c r="IY117" i="34"/>
  <c r="CH157" i="34"/>
  <c r="GB86" i="33"/>
  <c r="DG64" i="33"/>
  <c r="HV94" i="34"/>
  <c r="FO79" i="34"/>
  <c r="JU42" i="34"/>
  <c r="AQ50" i="33"/>
  <c r="BC39" i="33"/>
  <c r="LY134" i="34"/>
  <c r="KL158" i="34"/>
  <c r="Y45" i="34"/>
  <c r="BJ192" i="28"/>
  <c r="Y131" i="34"/>
  <c r="FO70" i="34"/>
  <c r="CZ34" i="33"/>
  <c r="JA97" i="34"/>
  <c r="FT50" i="34"/>
  <c r="BR85" i="34"/>
  <c r="JY116" i="34"/>
  <c r="H39" i="33"/>
  <c r="DG156" i="34"/>
  <c r="FJ71" i="33"/>
  <c r="BQ72" i="33"/>
  <c r="NO67" i="34"/>
  <c r="DB45" i="34"/>
  <c r="CH92" i="34"/>
  <c r="MC186" i="34"/>
  <c r="DO77" i="33"/>
  <c r="EZ83" i="34"/>
  <c r="AC67" i="33"/>
  <c r="AQ29" i="33"/>
  <c r="PD121" i="34"/>
  <c r="AV23" i="33"/>
  <c r="HE100" i="34"/>
  <c r="K137" i="28"/>
  <c r="FY26" i="33"/>
  <c r="T49" i="33"/>
  <c r="CJ129" i="34"/>
  <c r="K103" i="34"/>
  <c r="HT121" i="34"/>
  <c r="ID174" i="34"/>
  <c r="Y165" i="34"/>
  <c r="HE117" i="34"/>
  <c r="HT125" i="34"/>
  <c r="CD98" i="34"/>
  <c r="EJ73" i="33"/>
  <c r="GK66" i="34"/>
  <c r="JF159" i="34"/>
  <c r="CZ66" i="33"/>
  <c r="GB32" i="33"/>
  <c r="AC78" i="33"/>
  <c r="LD63" i="34"/>
  <c r="LF109" i="34"/>
  <c r="U9" i="33"/>
  <c r="AD84" i="34"/>
  <c r="T66" i="33"/>
  <c r="BN30" i="33"/>
  <c r="MK73" i="34"/>
  <c r="FK77" i="33"/>
  <c r="CO147" i="34"/>
  <c r="FF56" i="33"/>
  <c r="AF25" i="33"/>
  <c r="DB145" i="34"/>
  <c r="IB52" i="34"/>
  <c r="AI34" i="33"/>
  <c r="DJ60" i="33"/>
  <c r="JX145" i="34"/>
  <c r="IU128" i="34"/>
  <c r="AX58" i="33"/>
  <c r="HC95" i="34"/>
  <c r="BA49" i="33"/>
  <c r="CG106" i="34"/>
  <c r="AX78" i="34"/>
  <c r="GA34" i="33"/>
  <c r="AR68" i="33"/>
  <c r="GO168" i="34"/>
  <c r="FH67" i="33"/>
  <c r="CE78" i="34"/>
  <c r="DA172" i="34"/>
  <c r="W47" i="34"/>
  <c r="CO127" i="34"/>
  <c r="HV145" i="34"/>
  <c r="AM80" i="34"/>
  <c r="IR51" i="34"/>
  <c r="Y46" i="33"/>
  <c r="DZ103" i="34"/>
  <c r="AK42" i="33"/>
  <c r="AU44" i="34"/>
  <c r="J140" i="34"/>
  <c r="FP35" i="33"/>
  <c r="AP58" i="33"/>
  <c r="IC60" i="34"/>
  <c r="IV170" i="34"/>
  <c r="BE63" i="33"/>
  <c r="EQ52" i="33"/>
  <c r="EZ149" i="34"/>
  <c r="FL76" i="33"/>
  <c r="GE76" i="33"/>
  <c r="DC150" i="34"/>
  <c r="PA155" i="34"/>
  <c r="BY47" i="33"/>
  <c r="DX42" i="33"/>
  <c r="DM65" i="33"/>
  <c r="BJ52" i="28"/>
  <c r="AM122" i="34"/>
  <c r="CY60" i="33"/>
  <c r="MM143" i="34"/>
  <c r="GB62" i="33"/>
  <c r="NB87" i="34"/>
  <c r="BW74" i="33"/>
  <c r="ML141" i="34"/>
  <c r="AD69" i="33"/>
  <c r="AZ55" i="34"/>
  <c r="AB176" i="34"/>
  <c r="AT51" i="34"/>
  <c r="DP31" i="33"/>
  <c r="HV118" i="34"/>
  <c r="FN71" i="33"/>
  <c r="FO57" i="33"/>
  <c r="FI35" i="33"/>
  <c r="EP85" i="33"/>
  <c r="IC79" i="34"/>
  <c r="GN65" i="34"/>
  <c r="CE45" i="33"/>
  <c r="EM28" i="33"/>
  <c r="GH80" i="33"/>
  <c r="DD66" i="33"/>
  <c r="KP64" i="34"/>
  <c r="AD43" i="33"/>
  <c r="G49" i="33"/>
  <c r="AY53" i="33"/>
  <c r="CD186" i="34"/>
  <c r="KL108" i="34"/>
  <c r="JB61" i="34"/>
  <c r="FN55" i="34"/>
  <c r="CU30" i="33"/>
  <c r="FA84" i="33"/>
  <c r="FF55" i="33"/>
  <c r="AZ69" i="34"/>
  <c r="FV51" i="34"/>
  <c r="J42" i="34"/>
  <c r="IB171" i="34"/>
  <c r="T80" i="33"/>
  <c r="AO61" i="34"/>
  <c r="DM90" i="33"/>
  <c r="LK148" i="34"/>
  <c r="CI152" i="34"/>
  <c r="Y116" i="34"/>
  <c r="DK27" i="33"/>
  <c r="FV45" i="33"/>
  <c r="BX7" i="34"/>
  <c r="BH79" i="33"/>
  <c r="BZ36" i="33"/>
  <c r="AK63" i="33"/>
  <c r="GK122" i="34"/>
  <c r="DS76" i="33"/>
  <c r="ID120" i="34"/>
  <c r="NK67" i="34"/>
  <c r="MI118" i="34"/>
  <c r="AI39" i="33"/>
  <c r="CE91" i="34"/>
  <c r="IW141" i="34"/>
  <c r="BU80" i="33"/>
  <c r="FH5" i="34"/>
  <c r="Z71" i="33"/>
  <c r="DX136" i="34"/>
  <c r="K70" i="33"/>
  <c r="HH67" i="34"/>
  <c r="HY112" i="34"/>
  <c r="AO105" i="34"/>
  <c r="IE120" i="34"/>
  <c r="BM40" i="33"/>
  <c r="EQ74" i="33"/>
  <c r="DS83" i="33"/>
  <c r="LC89" i="34"/>
  <c r="J50" i="33"/>
  <c r="ES63" i="33"/>
  <c r="OH112" i="34"/>
  <c r="L4" i="17"/>
  <c r="GD79" i="33"/>
  <c r="KQ123" i="34"/>
  <c r="AU174" i="34"/>
  <c r="FG62" i="33"/>
  <c r="DX79" i="33"/>
  <c r="BH8" i="34"/>
  <c r="AZ135" i="34"/>
  <c r="EF35" i="33"/>
  <c r="EE62" i="34"/>
  <c r="FR32" i="33"/>
  <c r="FZ41" i="33"/>
  <c r="BO102" i="34"/>
  <c r="CP25" i="33"/>
  <c r="CL142" i="34"/>
  <c r="FW29" i="33"/>
  <c r="AS56" i="34"/>
  <c r="EL52" i="33"/>
  <c r="GJ175" i="34"/>
  <c r="CQ64" i="33"/>
  <c r="BJ59" i="33"/>
  <c r="LC80" i="34"/>
  <c r="CN49" i="33"/>
  <c r="EZ183" i="34"/>
  <c r="J31" i="33"/>
  <c r="FX187" i="34"/>
  <c r="EV23" i="33"/>
  <c r="IC125" i="34"/>
  <c r="FT132" i="34"/>
  <c r="LD49" i="34"/>
  <c r="AZ59" i="34"/>
  <c r="BO36" i="33"/>
  <c r="AW82" i="34"/>
  <c r="BA84" i="34"/>
  <c r="IB125" i="34"/>
  <c r="HW146" i="34"/>
  <c r="IC78" i="34"/>
  <c r="HC55" i="34"/>
  <c r="LB147" i="34"/>
  <c r="AM59" i="34"/>
  <c r="FZ69" i="33"/>
  <c r="IS58" i="34"/>
  <c r="FN84" i="34"/>
  <c r="FI50" i="33"/>
  <c r="EE134" i="34"/>
  <c r="V144" i="34"/>
  <c r="GO70" i="34"/>
  <c r="CO108" i="34"/>
  <c r="CZ30" i="33"/>
  <c r="HY102" i="34"/>
  <c r="DO51" i="33"/>
  <c r="IW85" i="34"/>
  <c r="F74" i="33"/>
  <c r="PE174" i="34"/>
  <c r="GH82" i="33"/>
  <c r="DJ35" i="33"/>
  <c r="DE33" i="33"/>
  <c r="AY67" i="33"/>
  <c r="NP174" i="34"/>
  <c r="HD81" i="34"/>
  <c r="EJ154" i="34"/>
  <c r="AL50" i="33"/>
  <c r="AN126" i="34"/>
  <c r="GM105" i="34"/>
  <c r="GM49" i="33"/>
  <c r="K79" i="33"/>
  <c r="JT88" i="34"/>
  <c r="GA79" i="33"/>
  <c r="HU63" i="34"/>
  <c r="BI85" i="33"/>
  <c r="FS166" i="34"/>
  <c r="DE174" i="34"/>
  <c r="AT33" i="33"/>
  <c r="GB38" i="33"/>
  <c r="HE115" i="34"/>
  <c r="ES77" i="33"/>
  <c r="K143" i="34"/>
  <c r="GF63" i="33"/>
  <c r="BY43" i="33"/>
  <c r="BG81" i="33"/>
  <c r="GH74" i="33"/>
  <c r="JH83" i="34"/>
  <c r="AY69" i="34"/>
  <c r="AH28" i="33"/>
  <c r="FW72" i="34"/>
  <c r="IZ96" i="34"/>
  <c r="BK42" i="33"/>
  <c r="AW49" i="33"/>
  <c r="S19" i="17"/>
  <c r="AB57" i="34"/>
  <c r="MH126" i="34"/>
  <c r="BN29" i="33"/>
  <c r="AD51" i="33"/>
  <c r="KL77" i="34"/>
  <c r="IS134" i="34"/>
  <c r="FW95" i="34"/>
  <c r="GE63" i="33"/>
  <c r="DY38" i="33"/>
  <c r="BG51" i="33"/>
  <c r="AT64" i="33"/>
  <c r="JC81" i="34"/>
  <c r="FT124" i="34"/>
  <c r="MF53" i="34"/>
  <c r="GO35" i="33"/>
  <c r="BO51" i="34"/>
  <c r="MN128" i="34"/>
  <c r="EJ136" i="34"/>
  <c r="EY75" i="33"/>
  <c r="EC67" i="34"/>
  <c r="EF176" i="34"/>
  <c r="DZ79" i="34"/>
  <c r="BK92" i="33"/>
  <c r="CV36" i="33"/>
  <c r="BQ36" i="33"/>
  <c r="BZ84" i="33"/>
  <c r="Z124" i="34"/>
  <c r="G62" i="33"/>
  <c r="S23" i="17"/>
  <c r="X141" i="34"/>
  <c r="FW149" i="34"/>
  <c r="BQ39" i="33"/>
  <c r="AW108" i="34"/>
  <c r="AA86" i="34"/>
  <c r="DY107" i="34"/>
  <c r="CE74" i="33"/>
  <c r="BV75" i="33"/>
  <c r="EQ23" i="33"/>
  <c r="KB138" i="34"/>
  <c r="NE117" i="34"/>
  <c r="CN186" i="34"/>
  <c r="FJ44" i="33"/>
  <c r="DZ159" i="34"/>
  <c r="FZ47" i="33"/>
  <c r="LH128" i="34"/>
  <c r="FX49" i="34"/>
  <c r="EJ95" i="34"/>
  <c r="GN42" i="33"/>
  <c r="K9" i="33"/>
  <c r="GF58" i="33"/>
  <c r="DX76" i="33"/>
  <c r="BU60" i="33"/>
  <c r="AN98" i="34"/>
  <c r="LI96" i="34"/>
  <c r="BF55" i="33"/>
  <c r="DF76" i="33"/>
  <c r="Y41" i="33"/>
  <c r="GH77" i="33"/>
  <c r="I51" i="33"/>
  <c r="LB80" i="34"/>
  <c r="FF39" i="33"/>
  <c r="CP20" i="33"/>
  <c r="LA53" i="34"/>
  <c r="CF55" i="33"/>
  <c r="DY48" i="34"/>
  <c r="G68" i="33"/>
  <c r="BR49" i="33"/>
  <c r="GG44" i="33"/>
  <c r="DG106" i="34"/>
  <c r="AH41" i="33"/>
  <c r="EV64" i="33"/>
  <c r="EI178" i="34"/>
  <c r="AS31" i="33"/>
  <c r="IR126" i="34"/>
  <c r="LG56" i="34"/>
  <c r="DL80" i="33"/>
  <c r="CE89" i="34"/>
  <c r="BH30" i="33"/>
  <c r="CN47" i="34"/>
  <c r="FK70" i="33"/>
  <c r="AU134" i="34"/>
  <c r="KM158" i="34"/>
  <c r="S172" i="23"/>
  <c r="IC175" i="34"/>
  <c r="GG66" i="33"/>
  <c r="CZ78" i="33"/>
  <c r="CC92" i="33"/>
  <c r="JT68" i="34"/>
  <c r="X154" i="34"/>
  <c r="K71" i="33"/>
  <c r="FT47" i="33"/>
  <c r="CA32" i="33"/>
  <c r="AA110" i="34"/>
  <c r="BT33" i="33"/>
  <c r="GE44" i="33"/>
  <c r="EV36" i="33"/>
  <c r="EY172" i="34"/>
  <c r="AX66" i="33"/>
  <c r="BO85" i="34"/>
  <c r="AF57" i="33"/>
  <c r="Y48" i="34"/>
  <c r="HV48" i="34"/>
  <c r="IE130" i="34"/>
  <c r="EL41" i="33"/>
  <c r="HC125" i="34"/>
  <c r="KO72" i="34"/>
  <c r="CK81" i="34"/>
  <c r="M76" i="33"/>
  <c r="GE26" i="33"/>
  <c r="U134" i="34"/>
  <c r="DJ78" i="34"/>
  <c r="BK69" i="33"/>
  <c r="BJ75" i="33"/>
  <c r="BQ49" i="33"/>
  <c r="AL90" i="33"/>
  <c r="BI68" i="33"/>
  <c r="PZ129" i="34"/>
  <c r="HW119" i="34"/>
  <c r="LF89" i="34"/>
  <c r="U52" i="34"/>
  <c r="NG162" i="34"/>
  <c r="BR155" i="34"/>
  <c r="FZ53" i="33"/>
  <c r="DZ154" i="34"/>
  <c r="AV58" i="34"/>
  <c r="EW40" i="33"/>
  <c r="HE145" i="34"/>
  <c r="ML48" i="34"/>
  <c r="FB181" i="34"/>
  <c r="S209" i="23"/>
  <c r="CJ167" i="34"/>
  <c r="CS60" i="33"/>
  <c r="IC88" i="34"/>
  <c r="LY96" i="34"/>
  <c r="AY60" i="33"/>
  <c r="NH138" i="34"/>
  <c r="BW30" i="33"/>
  <c r="DE84" i="34"/>
  <c r="DR38" i="33"/>
  <c r="GD48" i="33"/>
  <c r="CL30" i="33"/>
  <c r="DA51" i="34"/>
  <c r="EL28" i="33"/>
  <c r="CH90" i="33"/>
  <c r="CQ53" i="33"/>
  <c r="JB163" i="34"/>
  <c r="EF72" i="33"/>
  <c r="CS41" i="33"/>
  <c r="FR9" i="33"/>
  <c r="CE44" i="33"/>
  <c r="BJ42" i="33"/>
  <c r="AU75" i="34"/>
  <c r="GM29" i="33"/>
  <c r="HZ104" i="34"/>
  <c r="AZ84" i="33"/>
  <c r="HT147" i="34"/>
  <c r="GK171" i="34"/>
  <c r="CN173" i="34"/>
  <c r="GK71" i="33"/>
  <c r="DE30" i="33"/>
  <c r="GJ60" i="33"/>
  <c r="FP60" i="34"/>
  <c r="CP39" i="33"/>
  <c r="LK119" i="34"/>
  <c r="AM128" i="34"/>
  <c r="FR66" i="33"/>
  <c r="FV149" i="34"/>
  <c r="U75" i="33"/>
  <c r="AX76" i="33"/>
  <c r="FN73" i="33"/>
  <c r="BC26" i="33"/>
  <c r="DZ93" i="34"/>
  <c r="FN93" i="34"/>
  <c r="HZ140" i="34"/>
  <c r="FA71" i="34"/>
  <c r="BA88" i="34"/>
  <c r="CD130" i="34"/>
  <c r="GD42" i="33"/>
  <c r="JA91" i="34"/>
  <c r="DB146" i="34"/>
  <c r="EP55" i="33"/>
  <c r="DA67" i="34"/>
  <c r="GK26" i="33"/>
  <c r="GD50" i="33"/>
  <c r="CN128" i="34"/>
  <c r="KB134" i="34"/>
  <c r="EC156" i="34"/>
  <c r="BV72" i="33"/>
  <c r="BQ54" i="34"/>
  <c r="GF38" i="33"/>
  <c r="CL166" i="34"/>
  <c r="FT60" i="33"/>
  <c r="DS33" i="33"/>
  <c r="CS64" i="33"/>
  <c r="NP72" i="34"/>
  <c r="DF28" i="33"/>
  <c r="GN126" i="34"/>
  <c r="OO111" i="34"/>
  <c r="JW75" i="34"/>
  <c r="FT92" i="33"/>
  <c r="KC56" i="34"/>
  <c r="EI155" i="34"/>
  <c r="AM81" i="34"/>
  <c r="KR168" i="34"/>
  <c r="JE152" i="34"/>
  <c r="FK47" i="33"/>
  <c r="FN161" i="34"/>
  <c r="CC90" i="33"/>
  <c r="EW121" i="34"/>
  <c r="AA65" i="33"/>
  <c r="CE43" i="33"/>
  <c r="AO101" i="34"/>
  <c r="GP88" i="34"/>
  <c r="NM131" i="34"/>
  <c r="LD110" i="34"/>
  <c r="DH60" i="33"/>
  <c r="CN50" i="33"/>
  <c r="AW120" i="34"/>
  <c r="DS69" i="33"/>
  <c r="DF95" i="34"/>
  <c r="GB44" i="33"/>
  <c r="FK44" i="33"/>
  <c r="FF72" i="33"/>
  <c r="AQ137" i="34"/>
  <c r="BI75" i="33"/>
  <c r="DF39" i="33"/>
  <c r="P68" i="33"/>
  <c r="DX76" i="34"/>
  <c r="FA73" i="33"/>
  <c r="AE42" i="33"/>
  <c r="AU188" i="34"/>
  <c r="CO78" i="34"/>
  <c r="GJ164" i="34"/>
  <c r="U92" i="34"/>
  <c r="GD30" i="33"/>
  <c r="DH80" i="34"/>
  <c r="LF126" i="34"/>
  <c r="GJ38" i="33"/>
  <c r="AY51" i="33"/>
  <c r="GN141" i="34"/>
  <c r="LA143" i="34"/>
  <c r="BR109" i="34"/>
  <c r="DV135" i="34"/>
  <c r="BJ157" i="28"/>
  <c r="AD131" i="34"/>
  <c r="PI123" i="34"/>
  <c r="FR31" i="33"/>
  <c r="DU37" i="33"/>
  <c r="P35" i="33"/>
  <c r="AR178" i="34"/>
  <c r="U30" i="33"/>
  <c r="PZ51" i="34"/>
  <c r="AC172" i="34"/>
  <c r="DD140" i="34"/>
  <c r="G27" i="33"/>
  <c r="AW56" i="34"/>
  <c r="FC42" i="33"/>
  <c r="KM95" i="34"/>
  <c r="FR153" i="34"/>
  <c r="FN69" i="33"/>
  <c r="CA35" i="33"/>
  <c r="GK67" i="33"/>
  <c r="AS44" i="33"/>
  <c r="BR128" i="34"/>
  <c r="FP69" i="34"/>
  <c r="GH57" i="33"/>
  <c r="MK133" i="34"/>
  <c r="DY99" i="34"/>
  <c r="CL38" i="33"/>
  <c r="GD57" i="33"/>
  <c r="LE81" i="34"/>
  <c r="KA52" i="34"/>
  <c r="AZ108" i="34"/>
  <c r="AF60" i="33"/>
  <c r="JC96" i="34"/>
  <c r="JF151" i="34"/>
  <c r="AN64" i="34"/>
  <c r="BB68" i="34"/>
  <c r="BW26" i="33"/>
  <c r="U110" i="34"/>
  <c r="GL83" i="34"/>
  <c r="MD146" i="34"/>
  <c r="CH39" i="33"/>
  <c r="AP35" i="33"/>
  <c r="DL27" i="33"/>
  <c r="GP70" i="34"/>
  <c r="AO57" i="34"/>
  <c r="AN33" i="33"/>
  <c r="EH121" i="34"/>
  <c r="FY39" i="33"/>
  <c r="CR54" i="33"/>
  <c r="FH58" i="33"/>
  <c r="HZ91" i="34"/>
  <c r="FV164" i="34"/>
  <c r="DF54" i="33"/>
  <c r="O32" i="33"/>
  <c r="ID59" i="34"/>
  <c r="DH28" i="33"/>
  <c r="JA125" i="34"/>
  <c r="IA147" i="34"/>
  <c r="O26" i="33"/>
  <c r="BQ85" i="33"/>
  <c r="S53" i="17"/>
  <c r="BR31" i="33"/>
  <c r="BC84" i="33"/>
  <c r="AS46" i="33"/>
  <c r="EK173" i="34"/>
  <c r="JF63" i="34"/>
  <c r="AR92" i="34"/>
  <c r="AA95" i="34"/>
  <c r="DX138" i="34"/>
  <c r="FU36" i="33"/>
  <c r="EW115" i="34"/>
  <c r="DX118" i="34"/>
  <c r="DU65" i="33"/>
  <c r="FR41" i="33"/>
  <c r="CL171" i="34"/>
  <c r="BH34" i="33"/>
  <c r="W134" i="34"/>
  <c r="NL138" i="34"/>
  <c r="B102" i="28"/>
  <c r="KA108" i="34"/>
  <c r="JU164" i="34"/>
  <c r="OH138" i="34"/>
  <c r="ES78" i="33"/>
  <c r="GN46" i="34"/>
  <c r="S202" i="23"/>
  <c r="KC86" i="34"/>
  <c r="Y162" i="34"/>
  <c r="M49" i="33"/>
  <c r="AC137" i="34"/>
  <c r="V25" i="33"/>
  <c r="GN67" i="33"/>
  <c r="FI58" i="33"/>
  <c r="AT149" i="34"/>
  <c r="NN71" i="34"/>
  <c r="CM55" i="34"/>
  <c r="EF131" i="34"/>
  <c r="HF54" i="34"/>
  <c r="AM71" i="33"/>
  <c r="CN162" i="34"/>
  <c r="JG163" i="34"/>
  <c r="EB169" i="34"/>
  <c r="AM48" i="33"/>
  <c r="EG155" i="34"/>
  <c r="DA73" i="34"/>
  <c r="GG57" i="33"/>
  <c r="GL78" i="33"/>
  <c r="DU75" i="33"/>
  <c r="GM73" i="33"/>
  <c r="PA135" i="34"/>
  <c r="DI135" i="34"/>
  <c r="CI155" i="34"/>
  <c r="LD187" i="34"/>
  <c r="AB106" i="34"/>
  <c r="BV79" i="33"/>
  <c r="LF122" i="34"/>
  <c r="K113" i="34"/>
  <c r="DD63" i="34"/>
  <c r="BR97" i="34"/>
  <c r="CB56" i="33"/>
  <c r="CK76" i="34"/>
  <c r="DA85" i="33"/>
  <c r="EZ59" i="33"/>
  <c r="F50" i="33"/>
  <c r="X51" i="34"/>
  <c r="D8" i="17"/>
  <c r="IQ87" i="34"/>
  <c r="PE188" i="34"/>
  <c r="Z181" i="34"/>
  <c r="BS59" i="33"/>
  <c r="DK46" i="33"/>
  <c r="AV76" i="34"/>
  <c r="MD129" i="34"/>
  <c r="CQ43" i="33"/>
  <c r="AS46" i="34"/>
  <c r="EI73" i="34"/>
  <c r="AL92" i="33"/>
  <c r="S61" i="23"/>
  <c r="BF92" i="33"/>
  <c r="BQ166" i="34"/>
  <c r="PZ54" i="34"/>
  <c r="GM48" i="34"/>
  <c r="DC176" i="34"/>
  <c r="CI67" i="34"/>
  <c r="DW87" i="34"/>
  <c r="AV50" i="33"/>
  <c r="FV77" i="34"/>
  <c r="DA30" i="33"/>
  <c r="BQ127" i="34"/>
  <c r="LK44" i="34"/>
  <c r="FX129" i="34"/>
  <c r="EQ50" i="33"/>
  <c r="GE37" i="33"/>
  <c r="NI63" i="34"/>
  <c r="AV58" i="33"/>
  <c r="FO77" i="33"/>
  <c r="R33" i="33"/>
  <c r="DW150" i="34"/>
  <c r="BJ45" i="33"/>
  <c r="BR41" i="33"/>
  <c r="KC133" i="34"/>
  <c r="CO170" i="34"/>
  <c r="HT142" i="34"/>
  <c r="LE119" i="34"/>
  <c r="DE157" i="34"/>
  <c r="DD110" i="34"/>
  <c r="DR62" i="33"/>
  <c r="FA76" i="33"/>
  <c r="KQ134" i="34"/>
  <c r="EA106" i="34"/>
  <c r="EY137" i="34"/>
  <c r="EP38" i="33"/>
  <c r="FI84" i="33"/>
  <c r="CQ36" i="33"/>
  <c r="EJ87" i="34"/>
  <c r="CQ83" i="33"/>
  <c r="AX105" i="34"/>
  <c r="DB95" i="34"/>
  <c r="J109" i="34"/>
  <c r="NN79" i="34"/>
  <c r="GJ71" i="33"/>
  <c r="GB29" i="33"/>
  <c r="DE158" i="34"/>
  <c r="CN40" i="33"/>
  <c r="V58" i="33"/>
  <c r="Z147" i="34"/>
  <c r="BA101" i="34"/>
  <c r="BL64" i="33"/>
  <c r="AI85" i="33"/>
  <c r="CI112" i="34"/>
  <c r="FA108" i="34"/>
  <c r="BJ34" i="33"/>
  <c r="EC146" i="34"/>
  <c r="FY65" i="33"/>
  <c r="FV188" i="34"/>
  <c r="FS154" i="34"/>
  <c r="AG61" i="33"/>
  <c r="GQ158" i="34"/>
  <c r="AP118" i="34"/>
  <c r="BT78" i="33"/>
  <c r="KL170" i="34"/>
  <c r="LJ70" i="34"/>
  <c r="ML158" i="34"/>
  <c r="CE59" i="34"/>
  <c r="CJ53" i="33"/>
  <c r="AP80" i="33"/>
  <c r="MD87" i="34"/>
  <c r="HD145" i="34"/>
  <c r="JY59" i="34"/>
  <c r="JA113" i="34"/>
  <c r="AR87" i="34"/>
  <c r="W64" i="33"/>
  <c r="EG103" i="34"/>
  <c r="EZ54" i="33"/>
  <c r="DT37" i="33"/>
  <c r="GA59" i="33"/>
  <c r="FC84" i="33"/>
  <c r="Y39" i="33"/>
  <c r="U33" i="33"/>
  <c r="CU51" i="33"/>
  <c r="IR163" i="34"/>
  <c r="CP67" i="33"/>
  <c r="HE99" i="34"/>
  <c r="HE43" i="34"/>
  <c r="NO188" i="34"/>
  <c r="BN59" i="33"/>
  <c r="HU158" i="34"/>
  <c r="CX60" i="33"/>
  <c r="AF41" i="33"/>
  <c r="ND48" i="34"/>
  <c r="JY121" i="34"/>
  <c r="S169" i="23"/>
  <c r="Y172" i="34"/>
  <c r="FP90" i="33"/>
  <c r="EE70" i="34"/>
  <c r="BQ68" i="33"/>
  <c r="AE40" i="33"/>
  <c r="EE43" i="34"/>
  <c r="P49" i="33"/>
  <c r="MJ141" i="34"/>
  <c r="FV78" i="34"/>
  <c r="EH51" i="34"/>
  <c r="CH74" i="34"/>
  <c r="FS151" i="34"/>
  <c r="BF85" i="33"/>
  <c r="CK139" i="34"/>
  <c r="FO97" i="34"/>
  <c r="IQ58" i="34"/>
  <c r="GL142" i="34"/>
  <c r="JE174" i="34"/>
  <c r="AU97" i="34"/>
  <c r="BN98" i="34"/>
  <c r="CL44" i="33"/>
  <c r="IT119" i="34"/>
  <c r="JD53" i="34"/>
  <c r="BJ186" i="28"/>
  <c r="BL69" i="33"/>
  <c r="CK32" i="33"/>
  <c r="E36" i="3"/>
  <c r="GI29" i="33"/>
  <c r="FC25" i="33"/>
  <c r="MG118" i="34"/>
  <c r="GK83" i="33"/>
  <c r="OK79" i="34"/>
  <c r="AY69" i="33"/>
  <c r="GK76" i="34"/>
  <c r="EK112" i="34"/>
  <c r="BM55" i="33"/>
  <c r="BN168" i="34"/>
  <c r="CW9" i="33"/>
  <c r="FC69" i="33"/>
  <c r="FV34" i="33"/>
  <c r="BB83" i="33"/>
  <c r="DW108" i="34"/>
  <c r="AZ87" i="34"/>
  <c r="S171" i="23"/>
  <c r="EH161" i="34"/>
  <c r="T69" i="33"/>
  <c r="NL79" i="34"/>
  <c r="EC58" i="34"/>
  <c r="DD129" i="34"/>
  <c r="S23" i="23"/>
  <c r="F63" i="28"/>
  <c r="EJ70" i="33"/>
  <c r="CD119" i="34"/>
  <c r="KQ90" i="34"/>
  <c r="BC51" i="33"/>
  <c r="HH92" i="34"/>
  <c r="BO154" i="34"/>
  <c r="PI117" i="34"/>
  <c r="KP63" i="34"/>
  <c r="BE30" i="33"/>
  <c r="BO43" i="33"/>
  <c r="R27" i="33"/>
  <c r="DE186" i="34"/>
  <c r="R75" i="33"/>
  <c r="EY73" i="33"/>
  <c r="CD44" i="34"/>
  <c r="AQ181" i="34"/>
  <c r="JZ142" i="34"/>
  <c r="NK85" i="34"/>
  <c r="T70" i="34"/>
  <c r="DL69" i="33"/>
  <c r="DF44" i="33"/>
  <c r="AH33" i="33"/>
  <c r="AV79" i="34"/>
  <c r="L31" i="33"/>
  <c r="GJ133" i="34"/>
  <c r="FU107" i="34"/>
  <c r="EF44" i="33"/>
  <c r="FT9" i="33"/>
  <c r="NB45" i="34"/>
  <c r="Y107" i="34"/>
  <c r="CN151" i="34"/>
  <c r="BF63" i="33"/>
  <c r="JT116" i="34"/>
  <c r="FA92" i="34"/>
  <c r="GP130" i="34"/>
  <c r="AK72" i="33"/>
  <c r="HW144" i="34"/>
  <c r="DY168" i="34"/>
  <c r="CE52" i="33"/>
  <c r="OJ169" i="34"/>
  <c r="EC155" i="34"/>
  <c r="AL25" i="33"/>
  <c r="T123" i="34"/>
  <c r="CG85" i="34"/>
  <c r="CN76" i="33"/>
  <c r="DA92" i="33"/>
  <c r="AS82" i="34"/>
  <c r="CO76" i="34"/>
  <c r="BV35" i="33"/>
  <c r="Z68" i="33"/>
  <c r="NF168" i="34"/>
  <c r="HF132" i="34"/>
  <c r="GK72" i="33"/>
  <c r="AD64" i="33"/>
  <c r="EB116" i="34"/>
  <c r="CQ37" i="33"/>
  <c r="GO142" i="34"/>
  <c r="AA50" i="33"/>
  <c r="HC118" i="34"/>
  <c r="FS98" i="34"/>
  <c r="BI37" i="33"/>
  <c r="FX82" i="34"/>
  <c r="AS173" i="34"/>
  <c r="AR37" i="33"/>
  <c r="FT78" i="33"/>
  <c r="DH116" i="34"/>
  <c r="GJ41" i="33"/>
  <c r="AT119" i="34"/>
  <c r="CG164" i="34"/>
  <c r="E24" i="3"/>
  <c r="CI89" i="34"/>
  <c r="EY99" i="34"/>
  <c r="HD138" i="34"/>
  <c r="BE75" i="33"/>
  <c r="ES29" i="33"/>
  <c r="GN50" i="33"/>
  <c r="EP73" i="33"/>
  <c r="FF35" i="33"/>
  <c r="CS71" i="33"/>
  <c r="IY56" i="34"/>
  <c r="HV109" i="34"/>
  <c r="Y32" i="33"/>
  <c r="GO42" i="34"/>
  <c r="CK135" i="34"/>
  <c r="P50" i="33"/>
  <c r="BA47" i="33"/>
  <c r="GD90" i="33"/>
  <c r="MN103" i="34"/>
  <c r="LG166" i="34"/>
  <c r="CN78" i="33"/>
  <c r="BW31" i="33"/>
  <c r="FK37" i="33"/>
  <c r="OM169" i="34"/>
  <c r="EZ81" i="34"/>
  <c r="B81" i="28"/>
  <c r="AC173" i="34"/>
  <c r="V167" i="34"/>
  <c r="DD30" i="33"/>
  <c r="JH47" i="34"/>
  <c r="IA63" i="34"/>
  <c r="AG50" i="33"/>
  <c r="GL64" i="33"/>
  <c r="AM35" i="33"/>
  <c r="EW32" i="33"/>
  <c r="DV55" i="34"/>
  <c r="DJ48" i="34"/>
  <c r="DJ109" i="34"/>
  <c r="CW73" i="33"/>
  <c r="DU64" i="33"/>
  <c r="JE70" i="34"/>
  <c r="AD151" i="34"/>
  <c r="KO102" i="34"/>
  <c r="KN47" i="34"/>
  <c r="FD37" i="33"/>
  <c r="DH25" i="33"/>
  <c r="FT165" i="34"/>
  <c r="GK73" i="33"/>
  <c r="AW48" i="33"/>
  <c r="IS73" i="34"/>
  <c r="BB60" i="34"/>
  <c r="K60" i="34"/>
  <c r="IY122" i="34"/>
  <c r="AN74" i="33"/>
  <c r="PF144" i="34"/>
  <c r="FW80" i="33"/>
  <c r="EA66" i="34"/>
  <c r="DV62" i="34"/>
  <c r="FX34" i="33"/>
  <c r="AB117" i="34"/>
  <c r="EJ132" i="34"/>
  <c r="DO66" i="33"/>
  <c r="FX103" i="34"/>
  <c r="M72" i="33"/>
  <c r="BG46" i="33"/>
  <c r="OO76" i="34"/>
  <c r="AX30" i="33"/>
  <c r="IV140" i="34"/>
  <c r="CY56" i="33"/>
  <c r="BQ157" i="34"/>
  <c r="FV141" i="34"/>
  <c r="J121" i="34"/>
  <c r="AD65" i="34"/>
  <c r="BA39" i="33"/>
  <c r="NK139" i="34"/>
  <c r="DE83" i="33"/>
  <c r="FW150" i="34"/>
  <c r="KR95" i="34"/>
  <c r="EF156" i="34"/>
  <c r="CZ33" i="33"/>
  <c r="CK167" i="34"/>
  <c r="AW55" i="33"/>
  <c r="DM33" i="33"/>
  <c r="MD154" i="34"/>
  <c r="GP141" i="34"/>
  <c r="GN61" i="33"/>
  <c r="BR71" i="34"/>
  <c r="GQ57" i="34"/>
  <c r="AO170" i="34"/>
  <c r="AS84" i="33"/>
  <c r="BA144" i="34"/>
  <c r="HV167" i="34"/>
  <c r="AE68" i="33"/>
  <c r="IW183" i="34"/>
  <c r="IS144" i="34"/>
  <c r="EP43" i="33"/>
  <c r="LY106" i="34"/>
  <c r="W30" i="33"/>
  <c r="J142" i="34"/>
  <c r="IR52" i="34"/>
  <c r="H22" i="17"/>
  <c r="DC121" i="34"/>
  <c r="JV117" i="34"/>
  <c r="GG86" i="33"/>
  <c r="FS81" i="33"/>
  <c r="AN48" i="33"/>
  <c r="AS165" i="34"/>
  <c r="EE53" i="34"/>
  <c r="BP141" i="34"/>
  <c r="FP121" i="34"/>
  <c r="BQ103" i="34"/>
  <c r="S84" i="33"/>
  <c r="AW78" i="34"/>
  <c r="HC158" i="34"/>
  <c r="EA63" i="33"/>
  <c r="GL67" i="34"/>
  <c r="AT53" i="34"/>
  <c r="JX165" i="34"/>
  <c r="H54" i="33"/>
  <c r="U46" i="33"/>
  <c r="DH90" i="33"/>
  <c r="EJ54" i="33"/>
  <c r="GQ120" i="34"/>
  <c r="AY116" i="34"/>
  <c r="AA57" i="34"/>
  <c r="HW79" i="34"/>
  <c r="GO51" i="34"/>
  <c r="GO78" i="34"/>
  <c r="BW53" i="33"/>
  <c r="BO108" i="34"/>
  <c r="CN33" i="33"/>
  <c r="F90" i="33"/>
  <c r="FA42" i="33"/>
  <c r="FQ53" i="33"/>
  <c r="ER63" i="33"/>
  <c r="KO79" i="34"/>
  <c r="FK82" i="33"/>
  <c r="CF97" i="34"/>
  <c r="IQ174" i="34"/>
  <c r="BT42" i="33"/>
  <c r="H72" i="33"/>
  <c r="FW44" i="33"/>
  <c r="L58" i="33"/>
  <c r="EY68" i="34"/>
  <c r="FJ60" i="33"/>
  <c r="HU162" i="34"/>
  <c r="HW161" i="34"/>
  <c r="DO27" i="33"/>
  <c r="BW60" i="33"/>
  <c r="CE158" i="34"/>
  <c r="CZ64" i="33"/>
  <c r="EA187" i="34"/>
  <c r="S116" i="23"/>
  <c r="AU45" i="33"/>
  <c r="EF139" i="34"/>
  <c r="AS70" i="34"/>
  <c r="AE80" i="33"/>
  <c r="DJ115" i="34"/>
  <c r="EE9" i="33"/>
  <c r="Z29" i="33"/>
  <c r="IE70" i="34"/>
  <c r="AX57" i="34"/>
  <c r="IC81" i="34"/>
  <c r="CO74" i="33"/>
  <c r="EI186" i="34"/>
  <c r="FJ45" i="33"/>
  <c r="EC100" i="34"/>
  <c r="F42" i="33"/>
  <c r="AX52" i="33"/>
  <c r="BC43" i="33"/>
  <c r="IR129" i="34"/>
  <c r="EB107" i="34"/>
  <c r="Y42" i="34"/>
  <c r="BH66" i="33"/>
  <c r="AZ29" i="33"/>
  <c r="FS51" i="34"/>
  <c r="JD167" i="34"/>
  <c r="FR101" i="34"/>
  <c r="DR25" i="33"/>
  <c r="JW94" i="34"/>
  <c r="DH84" i="34"/>
  <c r="FV26" i="33"/>
  <c r="L23" i="17"/>
  <c r="DG39" i="33"/>
  <c r="FN34" i="33"/>
  <c r="GQ49" i="34"/>
  <c r="LD54" i="34"/>
  <c r="DD92" i="33"/>
  <c r="U41" i="33"/>
  <c r="KC132" i="34"/>
  <c r="Y51" i="33"/>
  <c r="CS28" i="33"/>
  <c r="FF63" i="33"/>
  <c r="JG176" i="34"/>
  <c r="J122" i="34"/>
  <c r="BM70" i="33"/>
  <c r="AT43" i="33"/>
  <c r="AG43" i="33"/>
  <c r="JU53" i="34"/>
  <c r="GK175" i="34"/>
  <c r="BB74" i="34"/>
  <c r="IV83" i="34"/>
  <c r="FZ76" i="33"/>
  <c r="BV27" i="33"/>
  <c r="AY183" i="34"/>
  <c r="CP41" i="33"/>
  <c r="FQ175" i="34"/>
  <c r="LY168" i="34"/>
  <c r="BF90" i="33"/>
  <c r="PD47" i="34"/>
  <c r="AS95" i="34"/>
  <c r="JV109" i="34"/>
  <c r="EM45" i="33"/>
  <c r="GM169" i="34"/>
  <c r="JV139" i="34"/>
  <c r="DB170" i="34"/>
  <c r="V36" i="17"/>
  <c r="HT100" i="34"/>
  <c r="MO152" i="34"/>
  <c r="MB75" i="34"/>
  <c r="CU43" i="33"/>
  <c r="IC104" i="34"/>
  <c r="GK9" i="33"/>
  <c r="FX60" i="33"/>
  <c r="EF132" i="34"/>
  <c r="J55" i="34"/>
  <c r="EM59" i="33"/>
  <c r="EF61" i="33"/>
  <c r="DF57" i="34"/>
  <c r="HE135" i="34"/>
  <c r="OO70" i="34"/>
  <c r="AS49" i="34"/>
  <c r="CG178" i="34"/>
  <c r="MF54" i="34"/>
  <c r="BY41" i="33"/>
  <c r="CL156" i="34"/>
  <c r="AP148" i="34"/>
  <c r="EI117" i="34"/>
  <c r="DV137" i="34"/>
  <c r="JE147" i="34"/>
  <c r="FV32" i="33"/>
  <c r="CK93" i="34"/>
  <c r="ED176" i="34"/>
  <c r="AS105" i="34"/>
  <c r="AZ65" i="33"/>
  <c r="LG112" i="34"/>
  <c r="EK44" i="34"/>
  <c r="DA181" i="34"/>
  <c r="PH55" i="34"/>
  <c r="AZ78" i="33"/>
  <c r="DV183" i="34"/>
  <c r="FV124" i="34"/>
  <c r="IV162" i="34"/>
  <c r="FX164" i="34"/>
  <c r="FW152" i="34"/>
  <c r="LY118" i="34"/>
  <c r="Z80" i="33"/>
  <c r="GM63" i="33"/>
  <c r="IB89" i="34"/>
  <c r="AB100" i="34"/>
  <c r="GD68" i="33"/>
  <c r="BN58" i="33"/>
  <c r="CN95" i="34"/>
  <c r="FR43" i="33"/>
  <c r="EH123" i="34"/>
  <c r="CG148" i="34"/>
  <c r="ED48" i="33"/>
  <c r="O46" i="33"/>
  <c r="GJ105" i="34"/>
  <c r="GO45" i="34"/>
  <c r="BB79" i="33"/>
  <c r="DY68" i="33"/>
  <c r="JA187" i="34"/>
  <c r="CK130" i="34"/>
  <c r="AV25" i="33"/>
  <c r="EZ60" i="33"/>
  <c r="MH163" i="34"/>
  <c r="BN56" i="33"/>
  <c r="CJ95" i="34"/>
  <c r="V128" i="34"/>
  <c r="K188" i="34"/>
  <c r="BO54" i="33"/>
  <c r="LB72" i="34"/>
  <c r="W92" i="34"/>
  <c r="CD49" i="34"/>
  <c r="CU74" i="33"/>
  <c r="K149" i="34"/>
  <c r="FI70" i="33"/>
  <c r="AH61" i="33"/>
  <c r="DG81" i="33"/>
  <c r="CK183" i="34"/>
  <c r="FE64" i="33"/>
  <c r="BL52" i="33"/>
  <c r="DN82" i="33"/>
  <c r="KN162" i="34"/>
  <c r="MC126" i="34"/>
  <c r="AC99" i="34"/>
  <c r="BK55" i="33"/>
  <c r="BO178" i="34"/>
  <c r="BH49" i="33"/>
  <c r="J135" i="34"/>
  <c r="JT74" i="34"/>
  <c r="NG124" i="34"/>
  <c r="FU112" i="34"/>
  <c r="GL116" i="34"/>
  <c r="CN55" i="34"/>
  <c r="AU73" i="33"/>
  <c r="EZ61" i="34"/>
  <c r="CN30" i="33"/>
  <c r="R9" i="33"/>
  <c r="AD165" i="34"/>
  <c r="GA33" i="33"/>
  <c r="HG110" i="34"/>
  <c r="NM46" i="34"/>
  <c r="DZ153" i="34"/>
  <c r="CB85" i="33"/>
  <c r="MA104" i="34"/>
  <c r="EQ32" i="33"/>
  <c r="HF175" i="34"/>
  <c r="BP109" i="34"/>
  <c r="DS54" i="33"/>
  <c r="J55" i="33"/>
  <c r="JF181" i="34"/>
  <c r="DD76" i="33"/>
  <c r="KL137" i="34"/>
  <c r="T151" i="34"/>
  <c r="BA150" i="34"/>
  <c r="MD88" i="34"/>
  <c r="EB157" i="34"/>
  <c r="EI48" i="34"/>
  <c r="BF74" i="33"/>
  <c r="U107" i="34"/>
  <c r="PW50" i="34"/>
  <c r="CN150" i="34"/>
  <c r="V140" i="34"/>
  <c r="AT56" i="33"/>
  <c r="EF83" i="33"/>
  <c r="K26" i="33"/>
  <c r="BZ65" i="33"/>
  <c r="DM35" i="33"/>
  <c r="AN56" i="33"/>
  <c r="DP49" i="33"/>
  <c r="BT58" i="33"/>
  <c r="DA93" i="34"/>
  <c r="BC85" i="33"/>
  <c r="DA126" i="34"/>
  <c r="EP54" i="33"/>
  <c r="FM44" i="33"/>
  <c r="CE70" i="34"/>
  <c r="AN50" i="34"/>
  <c r="OH50" i="34"/>
  <c r="AU105" i="34"/>
  <c r="ON173" i="34"/>
  <c r="BO80" i="33"/>
  <c r="K39" i="33"/>
  <c r="HG140" i="34"/>
  <c r="FU174" i="34"/>
  <c r="IE181" i="34"/>
  <c r="GJ30" i="33"/>
  <c r="FX76" i="33"/>
  <c r="AS38" i="33"/>
  <c r="ML134" i="34"/>
  <c r="CD101" i="34"/>
  <c r="S190" i="23"/>
  <c r="LZ133" i="34"/>
  <c r="FQ63" i="33"/>
  <c r="IC69" i="34"/>
  <c r="GK38" i="33"/>
  <c r="HD77" i="34"/>
  <c r="DB55" i="33"/>
  <c r="LY112" i="34"/>
  <c r="FR50" i="33"/>
  <c r="HZ176" i="34"/>
  <c r="DR92" i="33"/>
  <c r="EI54" i="34"/>
  <c r="EE28" i="33"/>
  <c r="BP46" i="34"/>
  <c r="DJ50" i="33"/>
  <c r="AZ62" i="33"/>
  <c r="AC58" i="34"/>
  <c r="BR152" i="34"/>
  <c r="GO144" i="34"/>
  <c r="CF92" i="34"/>
  <c r="LY119" i="34"/>
  <c r="BA32" i="33"/>
  <c r="EZ48" i="34"/>
  <c r="PB47" i="34"/>
  <c r="AJ40" i="33"/>
  <c r="CQ66" i="33"/>
  <c r="BJ76" i="28"/>
  <c r="DB66" i="33"/>
  <c r="FB108" i="34"/>
  <c r="BQ69" i="33"/>
  <c r="MN41" i="34"/>
  <c r="ME61" i="34"/>
  <c r="MA161" i="34"/>
  <c r="NA79" i="34"/>
  <c r="JW183" i="34"/>
  <c r="ED43" i="33"/>
  <c r="HH53" i="34"/>
  <c r="FG90" i="33"/>
  <c r="CO138" i="34"/>
  <c r="DY66" i="33"/>
  <c r="CD90" i="34"/>
  <c r="FO41" i="34"/>
  <c r="FU139" i="34"/>
  <c r="BN66" i="33"/>
  <c r="EK39" i="33"/>
  <c r="BN33" i="33"/>
  <c r="AR90" i="34"/>
  <c r="FP74" i="33"/>
  <c r="BS80" i="33"/>
  <c r="AG26" i="33"/>
  <c r="DB39" i="33"/>
  <c r="AS68" i="34"/>
  <c r="AY160" i="34"/>
  <c r="IA113" i="34"/>
  <c r="FA102" i="34"/>
  <c r="DK25" i="33"/>
  <c r="NB42" i="34"/>
  <c r="AK35" i="33"/>
  <c r="PY73" i="34"/>
  <c r="FQ170" i="34"/>
  <c r="NE187" i="34"/>
  <c r="HZ95" i="34"/>
  <c r="LG122" i="34"/>
  <c r="EF73" i="33"/>
  <c r="PK101" i="34"/>
  <c r="EC89" i="34"/>
  <c r="EA70" i="34"/>
  <c r="V9" i="17"/>
  <c r="BR57" i="33"/>
  <c r="AF67" i="33"/>
  <c r="HW69" i="34"/>
  <c r="BQ129" i="34"/>
  <c r="DC133" i="34"/>
  <c r="EC97" i="34"/>
  <c r="CO61" i="33"/>
  <c r="AY132" i="34"/>
  <c r="AA118" i="34"/>
  <c r="AY25" i="33"/>
  <c r="HU52" i="34"/>
  <c r="JB85" i="34"/>
  <c r="Z176" i="34"/>
  <c r="FR77" i="34"/>
  <c r="T51" i="34"/>
  <c r="CB42" i="33"/>
  <c r="V43" i="34"/>
  <c r="DE79" i="33"/>
  <c r="EK58" i="33"/>
  <c r="CB63" i="33"/>
  <c r="DN90" i="33"/>
  <c r="AY55" i="33"/>
  <c r="EI140" i="34"/>
  <c r="EJ37" i="33"/>
  <c r="BT85" i="33"/>
  <c r="P82" i="33"/>
  <c r="JE77" i="34"/>
  <c r="BO67" i="33"/>
  <c r="FC57" i="33"/>
  <c r="GF81" i="33"/>
  <c r="BJ154" i="28"/>
  <c r="IR169" i="34"/>
  <c r="BG78" i="33"/>
  <c r="EY83" i="34"/>
  <c r="IS112" i="34"/>
  <c r="PE75" i="34"/>
  <c r="DU25" i="33"/>
  <c r="LF81" i="34"/>
  <c r="BP151" i="34"/>
  <c r="FW108" i="34"/>
  <c r="FJ53" i="33"/>
  <c r="FE28" i="33"/>
  <c r="GE85" i="33"/>
  <c r="AX128" i="34"/>
  <c r="CD85" i="34"/>
  <c r="CK48" i="33"/>
  <c r="CD107" i="34"/>
  <c r="AM25" i="33"/>
  <c r="MB186" i="34"/>
  <c r="ME121" i="34"/>
  <c r="EG65" i="33"/>
  <c r="S31" i="17"/>
  <c r="CJ57" i="33"/>
  <c r="GN176" i="34"/>
  <c r="CG142" i="34"/>
  <c r="FC45" i="33"/>
  <c r="IA127" i="34"/>
  <c r="GI55" i="33"/>
  <c r="BS30" i="33"/>
  <c r="K57" i="33"/>
  <c r="DW148" i="34"/>
  <c r="V26" i="33"/>
  <c r="S6" i="23"/>
  <c r="J120" i="34"/>
  <c r="BB55" i="33"/>
  <c r="DW116" i="34"/>
  <c r="AP36" i="33"/>
  <c r="FI41" i="33"/>
  <c r="DZ67" i="33"/>
  <c r="GK39" i="33"/>
  <c r="IA95" i="34"/>
  <c r="CE82" i="34"/>
  <c r="DA142" i="34"/>
  <c r="JU154" i="34"/>
  <c r="ND141" i="34"/>
  <c r="GL34" i="33"/>
  <c r="JH187" i="34"/>
  <c r="IS72" i="34"/>
  <c r="AA111" i="34"/>
  <c r="CF95" i="34"/>
  <c r="DD83" i="33"/>
  <c r="GA46" i="33"/>
  <c r="DE88" i="34"/>
  <c r="AG11" i="34"/>
  <c r="NJ63" i="34"/>
  <c r="CR82" i="33"/>
  <c r="DZ83" i="33"/>
  <c r="M84" i="33"/>
  <c r="BL76" i="33"/>
  <c r="AC188" i="34"/>
  <c r="FE48" i="33"/>
  <c r="AS174" i="34"/>
  <c r="KB157" i="34"/>
  <c r="DO56" i="33"/>
  <c r="CN61" i="34"/>
  <c r="GQ60" i="34"/>
  <c r="LE155" i="34"/>
  <c r="DW109" i="34"/>
  <c r="CF75" i="34"/>
  <c r="GK158" i="34"/>
  <c r="FM50" i="33"/>
  <c r="GG36" i="33"/>
  <c r="S46" i="17"/>
  <c r="EY74" i="34"/>
  <c r="CL74" i="33"/>
  <c r="DI48" i="34"/>
  <c r="JF187" i="34"/>
  <c r="AV85" i="33"/>
  <c r="GO161" i="34"/>
  <c r="T131" i="34"/>
  <c r="BE67" i="33"/>
  <c r="JA148" i="34"/>
  <c r="AU171" i="34"/>
  <c r="NO128" i="34"/>
  <c r="AC39" i="33"/>
  <c r="FX52" i="34"/>
  <c r="EW60" i="33"/>
  <c r="JB55" i="34"/>
  <c r="DE46" i="33"/>
  <c r="J76" i="33"/>
  <c r="CN65" i="33"/>
  <c r="AO110" i="34"/>
  <c r="GD33" i="33"/>
  <c r="DS34" i="33"/>
  <c r="BG80" i="33"/>
  <c r="DR83" i="33"/>
  <c r="EW49" i="33"/>
  <c r="GL59" i="33"/>
  <c r="DC57" i="34"/>
  <c r="H92" i="33"/>
  <c r="ER76" i="33"/>
  <c r="DX74" i="33"/>
  <c r="GQ58" i="34"/>
  <c r="DF133" i="34"/>
  <c r="S83" i="23"/>
  <c r="Z186" i="34"/>
  <c r="FW63" i="33"/>
  <c r="BN47" i="34"/>
  <c r="EL30" i="33"/>
  <c r="DB63" i="34"/>
  <c r="PZ99" i="34"/>
  <c r="CH77" i="33"/>
  <c r="BE76" i="33"/>
  <c r="BV78" i="33"/>
  <c r="GQ154" i="34"/>
  <c r="EG36" i="33"/>
  <c r="L103" i="28"/>
  <c r="FY56" i="33"/>
  <c r="GB58" i="33"/>
  <c r="EP27" i="33"/>
  <c r="CO71" i="34"/>
  <c r="V46" i="34"/>
  <c r="KM54" i="34"/>
  <c r="W76" i="34"/>
  <c r="HW67" i="34"/>
  <c r="GK78" i="33"/>
  <c r="FD64" i="33"/>
  <c r="CI67" i="33"/>
  <c r="X48" i="33"/>
  <c r="PX60" i="34"/>
  <c r="EJ91" i="34"/>
  <c r="R56" i="33"/>
  <c r="DC81" i="33"/>
  <c r="I53" i="33"/>
  <c r="K72" i="34"/>
  <c r="BJ84" i="33"/>
  <c r="CH28" i="33"/>
  <c r="GD66" i="33"/>
  <c r="AE49" i="33"/>
  <c r="AR172" i="34"/>
  <c r="BO53" i="34"/>
  <c r="PZ120" i="34"/>
  <c r="AO45" i="34"/>
  <c r="DV60" i="34"/>
  <c r="DN52" i="33"/>
  <c r="IQ123" i="34"/>
  <c r="FG32" i="33"/>
  <c r="GN91" i="34"/>
  <c r="EE81" i="33"/>
  <c r="S12" i="17"/>
  <c r="EA29" i="33"/>
  <c r="DN34" i="33"/>
  <c r="NF158" i="34"/>
  <c r="DO86" i="33"/>
  <c r="I90" i="33"/>
  <c r="CA57" i="33"/>
  <c r="CE76" i="33"/>
  <c r="FU154" i="34"/>
  <c r="T89" i="34"/>
  <c r="BJ68" i="28"/>
  <c r="V68" i="33"/>
  <c r="GN138" i="34"/>
  <c r="CZ56" i="33"/>
  <c r="EM32" i="33"/>
  <c r="BR173" i="34"/>
  <c r="JE162" i="34"/>
  <c r="CJ61" i="33"/>
  <c r="FQ52" i="33"/>
  <c r="GQ98" i="34"/>
  <c r="HY48" i="34"/>
  <c r="BT34" i="33"/>
  <c r="FV87" i="34"/>
  <c r="DF124" i="34"/>
  <c r="CG51" i="34"/>
  <c r="AF47" i="33"/>
  <c r="OJ94" i="34"/>
  <c r="JT77" i="34"/>
  <c r="GG83" i="33"/>
  <c r="JZ111" i="34"/>
  <c r="AJ58" i="33"/>
  <c r="DZ96" i="34"/>
  <c r="DN33" i="33"/>
  <c r="GO55" i="33"/>
  <c r="KP92" i="34"/>
  <c r="BT72" i="33"/>
  <c r="DB77" i="33"/>
  <c r="S67" i="23"/>
  <c r="AA122" i="34"/>
  <c r="E22" i="3"/>
  <c r="FW84" i="34"/>
  <c r="BB85" i="33"/>
  <c r="DH133" i="34"/>
  <c r="EH109" i="34"/>
  <c r="KC160" i="34"/>
  <c r="AV52" i="33"/>
  <c r="DC79" i="34"/>
  <c r="T93" i="34"/>
  <c r="MH171" i="34"/>
  <c r="U59" i="33"/>
  <c r="NK173" i="34"/>
  <c r="N38" i="33"/>
  <c r="JX132" i="34"/>
  <c r="FV53" i="34"/>
  <c r="AX53" i="34"/>
  <c r="AC75" i="33"/>
  <c r="CM80" i="34"/>
  <c r="CI101" i="34"/>
  <c r="HH154" i="34"/>
  <c r="PH90" i="34"/>
  <c r="CE186" i="34"/>
  <c r="CJ59" i="34"/>
  <c r="FG27" i="33"/>
  <c r="IV187" i="34"/>
  <c r="X132" i="34"/>
  <c r="X84" i="34"/>
  <c r="AP52" i="33"/>
  <c r="L46" i="33"/>
  <c r="IC171" i="34"/>
  <c r="AP108" i="34"/>
  <c r="M82" i="33"/>
  <c r="M28" i="33"/>
  <c r="KL142" i="34"/>
  <c r="HC74" i="34"/>
  <c r="IY123" i="34"/>
  <c r="B75" i="28"/>
  <c r="AZ73" i="33"/>
  <c r="JG48" i="34"/>
  <c r="CE29" i="33"/>
  <c r="DR74" i="33"/>
  <c r="BR83" i="34"/>
  <c r="AZ164" i="34"/>
  <c r="AR72" i="33"/>
  <c r="CP48" i="33"/>
  <c r="AW58" i="33"/>
  <c r="DD122" i="34"/>
  <c r="CL90" i="34"/>
  <c r="F6" i="17"/>
  <c r="AM74" i="33"/>
  <c r="BK51" i="33"/>
  <c r="FL60" i="33"/>
  <c r="AS78" i="34"/>
  <c r="FQ43" i="34"/>
  <c r="CX52" i="33"/>
  <c r="NV4" i="34"/>
  <c r="FX33" i="33"/>
  <c r="BB134" i="34"/>
  <c r="JB113" i="34"/>
  <c r="JC75" i="34"/>
  <c r="HH54" i="34"/>
  <c r="Y109" i="34"/>
  <c r="HH104" i="34"/>
  <c r="BL32" i="33"/>
  <c r="FB93" i="34"/>
  <c r="EP26" i="33"/>
  <c r="FQ103" i="34"/>
  <c r="DX49" i="33"/>
  <c r="BB63" i="33"/>
  <c r="CR41" i="33"/>
  <c r="AG4" i="34"/>
  <c r="AJ36" i="33"/>
  <c r="W60" i="34"/>
  <c r="IC47" i="34"/>
  <c r="HF123" i="34"/>
  <c r="GM42" i="33"/>
  <c r="EM39" i="33"/>
  <c r="AN46" i="33"/>
  <c r="HG89" i="34"/>
  <c r="BO82" i="34"/>
  <c r="V56" i="34"/>
  <c r="DO50" i="33"/>
  <c r="T78" i="33"/>
  <c r="EY174" i="34"/>
  <c r="FR71" i="33"/>
  <c r="G67" i="33"/>
  <c r="DX90" i="33"/>
  <c r="ND58" i="34"/>
  <c r="X92" i="33"/>
  <c r="BC66" i="33"/>
  <c r="FY82" i="33"/>
  <c r="HC71" i="34"/>
  <c r="HU61" i="34"/>
  <c r="CN153" i="34"/>
  <c r="GN57" i="33"/>
  <c r="MA100" i="34"/>
  <c r="FV61" i="33"/>
  <c r="W124" i="34"/>
  <c r="CZ92" i="33"/>
  <c r="IV149" i="34"/>
  <c r="GN55" i="34"/>
  <c r="BA125" i="34"/>
  <c r="GF41" i="33"/>
  <c r="HU44" i="34"/>
  <c r="BC59" i="33"/>
  <c r="EW55" i="34"/>
  <c r="BY44" i="33"/>
  <c r="DU62" i="33"/>
  <c r="IY155" i="34"/>
  <c r="C50" i="17"/>
  <c r="Z77" i="34"/>
  <c r="DZ100" i="34"/>
  <c r="DE65" i="33"/>
  <c r="LA138" i="34"/>
  <c r="NI48" i="34"/>
  <c r="BE43" i="33"/>
  <c r="AV111" i="34"/>
  <c r="Z165" i="34"/>
  <c r="KM152" i="34"/>
  <c r="CF100" i="34"/>
  <c r="C60" i="17"/>
  <c r="BQ60" i="34"/>
  <c r="EK9" i="33"/>
  <c r="FU52" i="34"/>
  <c r="GJ137" i="34"/>
  <c r="DF71" i="33"/>
  <c r="FM70" i="33"/>
  <c r="DL79" i="33"/>
  <c r="HY69" i="34"/>
  <c r="IB60" i="34"/>
  <c r="EQ47" i="33"/>
  <c r="Y92" i="34"/>
  <c r="AP178" i="34"/>
  <c r="S63" i="33"/>
  <c r="N12" i="34"/>
  <c r="IW94" i="34"/>
  <c r="FE35" i="33"/>
  <c r="DS84" i="33"/>
  <c r="BG92" i="33"/>
  <c r="BA35" i="33"/>
  <c r="CO34" i="33"/>
  <c r="MG55" i="34"/>
  <c r="BY83" i="33"/>
  <c r="BY38" i="33"/>
  <c r="BU32" i="33"/>
  <c r="IZ116" i="34"/>
  <c r="AC57" i="34"/>
  <c r="MB105" i="34"/>
  <c r="CS34" i="33"/>
  <c r="IT67" i="34"/>
  <c r="CD165" i="34"/>
  <c r="FO62" i="34"/>
  <c r="DD135" i="34"/>
  <c r="DV124" i="34"/>
  <c r="GJ64" i="33"/>
  <c r="FD71" i="33"/>
  <c r="GG56" i="33"/>
  <c r="AD137" i="34"/>
  <c r="I35" i="33"/>
  <c r="KR78" i="34"/>
  <c r="GN101" i="34"/>
  <c r="EG85" i="33"/>
  <c r="BT86" i="33"/>
  <c r="EA33" i="33"/>
  <c r="ML155" i="34"/>
  <c r="FZ30" i="33"/>
  <c r="X81" i="34"/>
  <c r="BB49" i="33"/>
  <c r="DF158" i="34"/>
  <c r="CO126" i="34"/>
  <c r="BB120" i="34"/>
  <c r="CE97" i="34"/>
  <c r="AR26" i="33"/>
  <c r="AB165" i="34"/>
  <c r="PI131" i="34"/>
  <c r="EP59" i="33"/>
  <c r="GO92" i="33"/>
  <c r="DI132" i="34"/>
  <c r="GA30" i="33"/>
  <c r="V151" i="34"/>
  <c r="DJ85" i="33"/>
  <c r="BY84" i="33"/>
  <c r="S40" i="23"/>
  <c r="LI109" i="34"/>
  <c r="IC98" i="34"/>
  <c r="BG27" i="33"/>
  <c r="DY91" i="34"/>
  <c r="DS32" i="33"/>
  <c r="AQ99" i="34"/>
  <c r="KB61" i="34"/>
  <c r="FQ39" i="33"/>
  <c r="HE156" i="34"/>
  <c r="EL83" i="33"/>
  <c r="FU48" i="34"/>
  <c r="FD73" i="33"/>
  <c r="JZ101" i="34"/>
  <c r="AN183" i="34"/>
  <c r="NI54" i="34"/>
  <c r="HX156" i="34"/>
  <c r="GA27" i="33"/>
  <c r="O90" i="33"/>
  <c r="CA47" i="33"/>
  <c r="DM45" i="33"/>
  <c r="FJ49" i="33"/>
  <c r="AT60" i="34"/>
  <c r="EX129" i="34"/>
  <c r="EL74" i="33"/>
  <c r="EY27" i="33"/>
  <c r="FP75" i="33"/>
  <c r="KN82" i="34"/>
  <c r="JX137" i="34"/>
  <c r="DZ137" i="34"/>
  <c r="BG57" i="33"/>
  <c r="IQ50" i="34"/>
  <c r="FP40" i="33"/>
  <c r="NJ68" i="34"/>
  <c r="FT150" i="34"/>
  <c r="BO60" i="33"/>
  <c r="CB58" i="33"/>
  <c r="GN128" i="34"/>
  <c r="AT112" i="34"/>
  <c r="BZ37" i="33"/>
  <c r="X108" i="34"/>
  <c r="CN85" i="34"/>
  <c r="ED170" i="34"/>
  <c r="AX117" i="34"/>
  <c r="GM39" i="33"/>
  <c r="DR76" i="33"/>
  <c r="KP58" i="34"/>
  <c r="AS153" i="34"/>
  <c r="AZ129" i="34"/>
  <c r="FN181" i="34"/>
  <c r="EA73" i="33"/>
  <c r="DN26" i="33"/>
  <c r="AF32" i="33"/>
  <c r="IE165" i="34"/>
  <c r="GJ47" i="33"/>
  <c r="FQ154" i="34"/>
  <c r="BO100" i="34"/>
  <c r="NJ116" i="34"/>
  <c r="B98" i="28"/>
  <c r="FU26" i="33"/>
  <c r="HG122" i="34"/>
  <c r="DD86" i="33"/>
  <c r="FG57" i="33"/>
  <c r="ML154" i="34"/>
  <c r="K76" i="33"/>
  <c r="T130" i="34"/>
  <c r="ON57" i="34"/>
  <c r="DA112" i="34"/>
  <c r="GJ49" i="33"/>
  <c r="BI44" i="33"/>
  <c r="FC27" i="33"/>
  <c r="NK144" i="34"/>
  <c r="U29" i="33"/>
  <c r="CV75" i="33"/>
  <c r="DG58" i="33"/>
  <c r="BV63" i="33"/>
  <c r="BI55" i="33"/>
  <c r="FX51" i="33"/>
  <c r="BJ74" i="33"/>
  <c r="HX79" i="34"/>
  <c r="FM74" i="33"/>
  <c r="G28" i="33"/>
  <c r="AZ122" i="34"/>
  <c r="BS83" i="33"/>
  <c r="DE109" i="34"/>
  <c r="FA80" i="33"/>
  <c r="FZ31" i="33"/>
  <c r="BJ33" i="28"/>
  <c r="IC148" i="34"/>
  <c r="CY46" i="33"/>
  <c r="FQ66" i="33"/>
  <c r="GF74" i="33"/>
  <c r="LK115" i="34"/>
  <c r="FZ55" i="33"/>
  <c r="V54" i="33"/>
  <c r="DT43" i="33"/>
  <c r="JW50" i="34"/>
  <c r="AA145" i="34"/>
  <c r="FX127" i="34"/>
  <c r="BE25" i="33"/>
  <c r="CL68" i="33"/>
  <c r="CL81" i="33"/>
  <c r="KB124" i="34"/>
  <c r="EA58" i="33"/>
  <c r="DC161" i="34"/>
  <c r="EQ72" i="33"/>
  <c r="DM26" i="33"/>
  <c r="AN65" i="34"/>
  <c r="CS78" i="33"/>
  <c r="CK116" i="34"/>
  <c r="GE33" i="33"/>
  <c r="U35" i="33"/>
  <c r="FU96" i="34"/>
  <c r="DM25" i="33"/>
  <c r="J149" i="34"/>
  <c r="CA75" i="33"/>
  <c r="FD60" i="33"/>
  <c r="AJ75" i="33"/>
  <c r="IQ90" i="34"/>
  <c r="BA93" i="34"/>
  <c r="FJ32" i="33"/>
  <c r="FT90" i="34"/>
  <c r="BW75" i="33"/>
  <c r="FU110" i="34"/>
  <c r="AS53" i="33"/>
  <c r="BF34" i="33"/>
  <c r="ES60" i="33"/>
  <c r="DU41" i="33"/>
  <c r="FW85" i="33"/>
  <c r="AV32" i="33"/>
  <c r="V38" i="33"/>
  <c r="O44" i="33"/>
  <c r="AT157" i="34"/>
  <c r="FX32" i="33"/>
  <c r="DE36" i="33"/>
  <c r="PH88" i="34"/>
  <c r="GO158" i="34"/>
  <c r="ML147" i="34"/>
  <c r="JV43" i="34"/>
  <c r="V84" i="34"/>
  <c r="CL99" i="34"/>
  <c r="DI79" i="34"/>
  <c r="AE45" i="33"/>
  <c r="AQ95" i="34"/>
  <c r="FD79" i="33"/>
  <c r="CZ61" i="33"/>
  <c r="FO32" i="33"/>
  <c r="HY121" i="34"/>
  <c r="GM112" i="34"/>
  <c r="EA50" i="33"/>
  <c r="AD71" i="33"/>
  <c r="GQ124" i="34"/>
  <c r="FA75" i="33"/>
  <c r="FO61" i="33"/>
  <c r="M51" i="33"/>
  <c r="GO120" i="34"/>
  <c r="IT74" i="34"/>
  <c r="LA134" i="34"/>
  <c r="GM181" i="34"/>
  <c r="HU79" i="34"/>
  <c r="PG162" i="34"/>
  <c r="KB45" i="34"/>
  <c r="AY65" i="33"/>
  <c r="FG55" i="33"/>
  <c r="AH26" i="33"/>
  <c r="DY41" i="34"/>
  <c r="EW25" i="33"/>
  <c r="B109" i="28"/>
  <c r="DH187" i="34"/>
  <c r="DY75" i="34"/>
  <c r="CD67" i="34"/>
  <c r="DU46" i="33"/>
  <c r="HW136" i="34"/>
  <c r="AB158" i="34"/>
  <c r="ED58" i="34"/>
  <c r="HV128" i="34"/>
  <c r="DJ52" i="34"/>
  <c r="BN124" i="34"/>
  <c r="V79" i="34"/>
  <c r="LH140" i="34"/>
  <c r="DY73" i="33"/>
  <c r="DI115" i="34"/>
  <c r="R63" i="33"/>
  <c r="S81" i="33"/>
  <c r="FU132" i="34"/>
  <c r="IC138" i="34"/>
  <c r="AW30" i="33"/>
  <c r="EE85" i="33"/>
  <c r="FW171" i="34"/>
  <c r="JD172" i="34"/>
  <c r="PH65" i="34"/>
  <c r="HC102" i="34"/>
  <c r="AK54" i="33"/>
  <c r="AT68" i="33"/>
  <c r="BO140" i="34"/>
  <c r="DH58" i="33"/>
  <c r="DZ132" i="34"/>
  <c r="LY126" i="34"/>
  <c r="AH39" i="33"/>
  <c r="DX54" i="33"/>
  <c r="JB174" i="34"/>
  <c r="EI128" i="34"/>
  <c r="Y171" i="34"/>
  <c r="AQ69" i="33"/>
  <c r="AD36" i="33"/>
  <c r="CN60" i="33"/>
  <c r="Y28" i="33"/>
  <c r="FN141" i="34"/>
  <c r="BA92" i="33"/>
  <c r="ES81" i="33"/>
  <c r="BH33" i="33"/>
  <c r="CR49" i="33"/>
  <c r="ND59" i="34"/>
  <c r="CO33" i="33"/>
  <c r="AQ145" i="34"/>
  <c r="AM142" i="34"/>
  <c r="AJ61" i="33"/>
  <c r="F69" i="17"/>
  <c r="DP74" i="33"/>
  <c r="DS58" i="33"/>
  <c r="FB130" i="34"/>
  <c r="EL49" i="33"/>
  <c r="BO113" i="34"/>
  <c r="EQ49" i="33"/>
  <c r="EY65" i="33"/>
  <c r="FC37" i="33"/>
  <c r="DA158" i="34"/>
  <c r="MI157" i="34"/>
  <c r="EH170" i="34"/>
  <c r="EM86" i="33"/>
  <c r="H85" i="33"/>
  <c r="ED90" i="33"/>
  <c r="JA139" i="34"/>
  <c r="GO79" i="33"/>
  <c r="AH59" i="33"/>
  <c r="KQ97" i="34"/>
  <c r="R60" i="33"/>
  <c r="X151" i="34"/>
  <c r="PZ95" i="34"/>
  <c r="DC74" i="34"/>
  <c r="IU161" i="34"/>
  <c r="BJ158" i="28"/>
  <c r="NL116" i="34"/>
  <c r="DC45" i="34"/>
  <c r="BB54" i="33"/>
  <c r="W48" i="34"/>
  <c r="CJ172" i="34"/>
  <c r="EA75" i="34"/>
  <c r="BZ53" i="33"/>
  <c r="BC60" i="33"/>
  <c r="Y124" i="34"/>
  <c r="CH69" i="34"/>
  <c r="HX52" i="34"/>
  <c r="AT35" i="33"/>
  <c r="KA128" i="34"/>
  <c r="LC157" i="34"/>
  <c r="DJ68" i="34"/>
  <c r="FB50" i="34"/>
  <c r="MC135" i="34"/>
  <c r="CX70" i="33"/>
  <c r="DZ65" i="34"/>
  <c r="EM60" i="33"/>
  <c r="FI57" i="33"/>
  <c r="EH41" i="34"/>
  <c r="DE66" i="33"/>
  <c r="CW69" i="33"/>
  <c r="HE158" i="34"/>
  <c r="DN59" i="33"/>
  <c r="EJ63" i="34"/>
  <c r="IS174" i="34"/>
  <c r="OI67" i="34"/>
  <c r="JZ70" i="34"/>
  <c r="BV45" i="33"/>
  <c r="EK41" i="34"/>
  <c r="CE38" i="33"/>
  <c r="GL107" i="34"/>
  <c r="W52" i="34"/>
  <c r="HU141" i="34"/>
  <c r="W72" i="33"/>
  <c r="OM79" i="34"/>
  <c r="DU83" i="33"/>
  <c r="AO41" i="34"/>
  <c r="F21" i="17"/>
  <c r="HE113" i="34"/>
  <c r="GB83" i="33"/>
  <c r="S16" i="23"/>
  <c r="MD94" i="34"/>
  <c r="H90" i="33"/>
  <c r="GP124" i="34"/>
  <c r="H20" i="17"/>
  <c r="B61" i="17"/>
  <c r="CF50" i="33"/>
  <c r="CK80" i="33"/>
  <c r="ME145" i="34"/>
  <c r="BO81" i="33"/>
  <c r="JV83" i="34"/>
  <c r="FK35" i="33"/>
  <c r="FT73" i="33"/>
  <c r="S75" i="23"/>
  <c r="AC181" i="34"/>
  <c r="DJ156" i="34"/>
  <c r="JF175" i="34"/>
  <c r="DC62" i="33"/>
  <c r="FK64" i="33"/>
  <c r="GF68" i="33"/>
  <c r="FY81" i="33"/>
  <c r="K35" i="33"/>
  <c r="EA34" i="33"/>
  <c r="GL63" i="34"/>
  <c r="IB102" i="34"/>
  <c r="DL31" i="33"/>
  <c r="CO64" i="33"/>
  <c r="EZ60" i="34"/>
  <c r="AG16" i="34"/>
  <c r="AK82" i="33"/>
  <c r="CN172" i="34"/>
  <c r="BA63" i="34"/>
  <c r="FL43" i="33"/>
  <c r="CE71" i="33"/>
  <c r="FG69" i="33"/>
  <c r="CL76" i="34"/>
  <c r="EM92" i="33"/>
  <c r="AV33" i="33"/>
  <c r="GK84" i="34"/>
  <c r="CO30" i="33"/>
  <c r="DI153" i="34"/>
  <c r="AI49" i="33"/>
  <c r="DF45" i="33"/>
  <c r="IV46" i="34"/>
  <c r="ER58" i="33"/>
  <c r="DG105" i="34"/>
  <c r="AM50" i="33"/>
  <c r="DD109" i="34"/>
  <c r="ID135" i="34"/>
  <c r="GM140" i="34"/>
  <c r="OL145" i="34"/>
  <c r="GI73" i="33"/>
  <c r="Y52" i="33"/>
  <c r="BT66" i="33"/>
  <c r="DV145" i="34"/>
  <c r="DX47" i="33"/>
  <c r="MJ133" i="34"/>
  <c r="EK86" i="33"/>
  <c r="HU80" i="34"/>
  <c r="BJ46" i="28"/>
  <c r="AV144" i="34"/>
  <c r="CV41" i="33"/>
  <c r="BS37" i="33"/>
  <c r="DN86" i="33"/>
  <c r="BF64" i="33"/>
  <c r="FL62" i="33"/>
  <c r="FO75" i="33"/>
  <c r="LA52" i="34"/>
  <c r="FB66" i="34"/>
  <c r="DV117" i="34"/>
  <c r="IT116" i="34"/>
  <c r="AW181" i="34"/>
  <c r="DZ175" i="34"/>
  <c r="BJ11" i="28"/>
  <c r="FC75" i="33"/>
  <c r="EA67" i="33"/>
  <c r="CO66" i="34"/>
  <c r="HC54" i="34"/>
  <c r="AY135" i="34"/>
  <c r="BT50" i="33"/>
  <c r="DE138" i="34"/>
  <c r="BN31" i="33"/>
  <c r="GN30" i="33"/>
  <c r="HY43" i="34"/>
  <c r="CE27" i="33"/>
  <c r="IA187" i="34"/>
  <c r="KB59" i="34"/>
  <c r="AP112" i="34"/>
  <c r="DE44" i="34"/>
  <c r="DZ25" i="33"/>
  <c r="DB80" i="33"/>
  <c r="KP109" i="34"/>
  <c r="EJ28" i="33"/>
  <c r="JG54" i="34"/>
  <c r="X55" i="33"/>
  <c r="AP52" i="34"/>
  <c r="BL29" i="33"/>
  <c r="GD63" i="33"/>
  <c r="LD97" i="34"/>
  <c r="NC63" i="34"/>
  <c r="FU104" i="34"/>
  <c r="BL54" i="33"/>
  <c r="IY146" i="34"/>
  <c r="AC85" i="34"/>
  <c r="GI67" i="33"/>
  <c r="NC98" i="34"/>
  <c r="CH125" i="34"/>
  <c r="DL52" i="33"/>
  <c r="BB38" i="33"/>
  <c r="CA74" i="33"/>
  <c r="DG123" i="34"/>
  <c r="CE39" i="33"/>
  <c r="FU147" i="34"/>
  <c r="AS143" i="34"/>
  <c r="BT39" i="33"/>
  <c r="AJ46" i="33"/>
  <c r="R52" i="33"/>
  <c r="FU25" i="33"/>
  <c r="GL66" i="33"/>
  <c r="AX86" i="34"/>
  <c r="CQ47" i="33"/>
  <c r="CR59" i="33"/>
  <c r="CO118" i="34"/>
  <c r="FN64" i="33"/>
  <c r="GJ77" i="34"/>
  <c r="BL61" i="33"/>
  <c r="K122" i="34"/>
  <c r="DZ30" i="33"/>
  <c r="GO109" i="34"/>
  <c r="E29" i="3"/>
  <c r="GJ58" i="33"/>
  <c r="LB54" i="34"/>
  <c r="KA124" i="34"/>
  <c r="HW171" i="34"/>
  <c r="BN170" i="34"/>
  <c r="H64" i="33"/>
  <c r="HX47" i="34"/>
  <c r="OK84" i="34"/>
  <c r="GI64" i="33"/>
  <c r="GF9" i="33"/>
  <c r="HW147" i="34"/>
  <c r="X94" i="34"/>
  <c r="EE60" i="33"/>
  <c r="EK76" i="34"/>
  <c r="AN48" i="34"/>
  <c r="P78" i="33"/>
  <c r="J51" i="33"/>
  <c r="EF29" i="33"/>
  <c r="EF150" i="34"/>
  <c r="NM170" i="34"/>
  <c r="BH64" i="33"/>
  <c r="HV110" i="34"/>
  <c r="JH64" i="34"/>
  <c r="EW88" i="34"/>
  <c r="FG42" i="33"/>
  <c r="LH170" i="34"/>
  <c r="PD77" i="34"/>
  <c r="EC95" i="34"/>
  <c r="DZ82" i="33"/>
  <c r="EF166" i="34"/>
  <c r="CF135" i="34"/>
  <c r="DO80" i="33"/>
  <c r="KL52" i="34"/>
  <c r="AN70" i="34"/>
  <c r="GD84" i="33"/>
  <c r="CU62" i="33"/>
  <c r="HU46" i="34"/>
  <c r="BE37" i="33"/>
  <c r="S33" i="17"/>
  <c r="AN44" i="33"/>
  <c r="NH144" i="34"/>
  <c r="EE44" i="34"/>
  <c r="FP187" i="34"/>
  <c r="EB132" i="34"/>
  <c r="EH78" i="34"/>
  <c r="CY40" i="33"/>
  <c r="HF137" i="34"/>
  <c r="FE46" i="33"/>
  <c r="O49" i="33"/>
  <c r="IB58" i="34"/>
  <c r="LB164" i="34"/>
  <c r="DJ64" i="33"/>
  <c r="FZ90" i="33"/>
  <c r="FV35" i="33"/>
  <c r="FF41" i="33"/>
  <c r="AW38" i="33"/>
  <c r="FQ67" i="33"/>
  <c r="DZ127" i="34"/>
  <c r="BH44" i="33"/>
  <c r="DB42" i="33"/>
  <c r="DP81" i="33"/>
  <c r="ME159" i="34"/>
  <c r="V27" i="33"/>
  <c r="W127" i="34"/>
  <c r="EW186" i="34"/>
  <c r="FR83" i="33"/>
  <c r="EK73" i="34"/>
  <c r="EF90" i="33"/>
  <c r="CD67" i="33"/>
  <c r="FX73" i="33"/>
  <c r="N47" i="33"/>
  <c r="CN154" i="34"/>
  <c r="FG86" i="33"/>
  <c r="EB76" i="34"/>
  <c r="FU64" i="33"/>
  <c r="FZ75" i="33"/>
  <c r="EK147" i="34"/>
  <c r="DG122" i="34"/>
  <c r="JT160" i="34"/>
  <c r="D7" i="17"/>
  <c r="EF167" i="34"/>
  <c r="EJ62" i="33"/>
  <c r="EL68" i="33"/>
  <c r="FR117" i="34"/>
  <c r="P30" i="33"/>
  <c r="GO188" i="34"/>
  <c r="GQ183" i="34"/>
  <c r="CG86" i="34"/>
  <c r="EF84" i="33"/>
  <c r="DR86" i="33"/>
  <c r="AH27" i="33"/>
  <c r="FX55" i="34"/>
  <c r="HW109" i="34"/>
  <c r="DF90" i="33"/>
  <c r="ME75" i="34"/>
  <c r="ED59" i="33"/>
  <c r="PY122" i="34"/>
  <c r="DY76" i="33"/>
  <c r="Z98" i="34"/>
  <c r="FT39" i="33"/>
  <c r="FP146" i="34"/>
  <c r="EI91" i="34"/>
  <c r="FV43" i="33"/>
  <c r="EI165" i="34"/>
  <c r="IE82" i="34"/>
  <c r="BR89" i="34"/>
  <c r="DB89" i="34"/>
  <c r="U50" i="34"/>
  <c r="BA113" i="34"/>
  <c r="JA47" i="34"/>
  <c r="CN166" i="34"/>
  <c r="JB53" i="34"/>
  <c r="IE135" i="34"/>
  <c r="CD38" i="33"/>
  <c r="BY35" i="33"/>
  <c r="FI71" i="33"/>
  <c r="ES57" i="33"/>
  <c r="X137" i="34"/>
  <c r="FK53" i="33"/>
  <c r="EE29" i="33"/>
  <c r="AB64" i="34"/>
  <c r="AW183" i="34"/>
  <c r="OI111" i="34"/>
  <c r="LG157" i="34"/>
  <c r="HU92" i="34"/>
  <c r="DK69" i="33"/>
  <c r="JV143" i="34"/>
  <c r="IR109" i="34"/>
  <c r="IU115" i="34"/>
  <c r="FI47" i="33"/>
  <c r="DE146" i="34"/>
  <c r="Y23" i="33"/>
  <c r="U50" i="33"/>
  <c r="MG164" i="34"/>
  <c r="CW25" i="33"/>
  <c r="CE62" i="33"/>
  <c r="BO55" i="33"/>
  <c r="AR80" i="34"/>
  <c r="AB63" i="34"/>
  <c r="T110" i="34"/>
  <c r="CN43" i="33"/>
  <c r="CO69" i="33"/>
  <c r="J128" i="34"/>
  <c r="FA82" i="33"/>
  <c r="GF61" i="33"/>
  <c r="DY50" i="33"/>
  <c r="BJ20" i="28"/>
  <c r="GK32" i="33"/>
  <c r="JH65" i="34"/>
  <c r="AD125" i="34"/>
  <c r="FO74" i="33"/>
  <c r="FO60" i="34"/>
  <c r="DW187" i="34"/>
  <c r="GJ52" i="33"/>
  <c r="KA49" i="34"/>
  <c r="GO124" i="34"/>
  <c r="M38" i="33"/>
  <c r="AS54" i="34"/>
  <c r="FV27" i="33"/>
  <c r="DH55" i="34"/>
  <c r="CD176" i="34"/>
  <c r="EW37" i="33"/>
  <c r="DD91" i="34"/>
  <c r="GP166" i="34"/>
  <c r="EB141" i="34"/>
  <c r="FU70" i="33"/>
  <c r="BG69" i="33"/>
  <c r="FN173" i="34"/>
  <c r="AJ81" i="33"/>
  <c r="AE75" i="33"/>
  <c r="FR172" i="34"/>
  <c r="DK77" i="33"/>
  <c r="CH111" i="34"/>
  <c r="BW50" i="33"/>
  <c r="DG70" i="33"/>
  <c r="FT55" i="33"/>
  <c r="DI152" i="34"/>
  <c r="DN74" i="33"/>
  <c r="BL39" i="33"/>
  <c r="DU28" i="33"/>
  <c r="BH55" i="33"/>
  <c r="IB72" i="34"/>
  <c r="IB130" i="34"/>
  <c r="FO45" i="33"/>
  <c r="EF128" i="34"/>
  <c r="DY143" i="34"/>
  <c r="MF80" i="34"/>
  <c r="L75" i="33"/>
  <c r="EW178" i="34"/>
  <c r="JC80" i="34"/>
  <c r="AZ32" i="33"/>
  <c r="GH42" i="33"/>
  <c r="GF82" i="33"/>
  <c r="CP27" i="33"/>
  <c r="AW78" i="33"/>
  <c r="D45" i="17"/>
  <c r="CX51" i="33"/>
  <c r="FS77" i="33"/>
  <c r="BU83" i="33"/>
  <c r="CE63" i="34"/>
  <c r="DB83" i="33"/>
  <c r="FU68" i="34"/>
  <c r="IQ109" i="34"/>
  <c r="DZ163" i="34"/>
  <c r="DW160" i="34"/>
  <c r="CO94" i="34"/>
  <c r="GP133" i="34"/>
  <c r="JB89" i="34"/>
  <c r="HH163" i="34"/>
  <c r="NN83" i="34"/>
  <c r="GH32" i="33"/>
  <c r="EB80" i="34"/>
  <c r="FQ41" i="33"/>
  <c r="NF130" i="34"/>
  <c r="IU138" i="34"/>
  <c r="FV47" i="33"/>
  <c r="GQ46" i="34"/>
  <c r="CV61" i="33"/>
  <c r="BO88" i="34"/>
  <c r="FF5" i="34"/>
  <c r="IZ140" i="34"/>
  <c r="U178" i="34"/>
  <c r="AU67" i="33"/>
  <c r="MC48" i="34"/>
  <c r="CN110" i="34"/>
  <c r="EE42" i="33"/>
  <c r="BQ68" i="34"/>
  <c r="NL41" i="34"/>
  <c r="JT83" i="34"/>
  <c r="EG75" i="34"/>
  <c r="FO111" i="34"/>
  <c r="FT42" i="33"/>
  <c r="AP30" i="33"/>
  <c r="AW141" i="34"/>
  <c r="AT92" i="34"/>
  <c r="LG91" i="34"/>
  <c r="AX161" i="34"/>
  <c r="GF49" i="33"/>
  <c r="EK42" i="33"/>
  <c r="BP162" i="34"/>
  <c r="R72" i="33"/>
  <c r="IS173" i="34"/>
  <c r="CF54" i="33"/>
  <c r="W149" i="34"/>
  <c r="EF162" i="34"/>
  <c r="AY54" i="33"/>
  <c r="JD41" i="34"/>
  <c r="AN54" i="34"/>
  <c r="DH41" i="34"/>
  <c r="ND136" i="34"/>
  <c r="BQ28" i="33"/>
  <c r="AS103" i="34"/>
  <c r="CK124" i="34"/>
  <c r="DU56" i="33"/>
  <c r="EM56" i="33"/>
  <c r="G54" i="33"/>
  <c r="AJ68" i="33"/>
  <c r="DE140" i="34"/>
  <c r="AU106" i="34"/>
  <c r="AV28" i="33"/>
  <c r="DY175" i="34"/>
  <c r="S189" i="23"/>
  <c r="CJ42" i="33"/>
  <c r="DH85" i="33"/>
  <c r="LJ96" i="34"/>
  <c r="DX36" i="33"/>
  <c r="JE122" i="34"/>
  <c r="EG139" i="34"/>
  <c r="DE86" i="33"/>
  <c r="H36" i="33"/>
  <c r="BO48" i="33"/>
  <c r="JW140" i="34"/>
  <c r="BB168" i="34"/>
  <c r="F7" i="17"/>
  <c r="BV28" i="33"/>
  <c r="EV79" i="33"/>
  <c r="MN147" i="34"/>
  <c r="B28" i="17"/>
  <c r="DG137" i="34"/>
  <c r="BY51" i="33"/>
  <c r="NH102" i="34"/>
  <c r="JE115" i="34"/>
  <c r="AP175" i="34"/>
  <c r="EY122" i="34"/>
  <c r="K85" i="34"/>
  <c r="LH69" i="34"/>
  <c r="CE140" i="34"/>
  <c r="BJ69" i="33"/>
  <c r="FB146" i="34"/>
  <c r="U26" i="33"/>
  <c r="MN169" i="34"/>
  <c r="AT62" i="34"/>
  <c r="CE126" i="34"/>
  <c r="GN154" i="34"/>
  <c r="PX66" i="34"/>
  <c r="LX113" i="34"/>
  <c r="FQ174" i="34"/>
  <c r="BF9" i="33"/>
  <c r="GN28" i="33"/>
  <c r="DV84" i="34"/>
  <c r="IQ63" i="34"/>
  <c r="AI54" i="33"/>
  <c r="T25" i="33"/>
  <c r="CY80" i="33"/>
  <c r="EF63" i="33"/>
  <c r="DX119" i="34"/>
  <c r="FP69" i="33"/>
  <c r="DM63" i="33"/>
  <c r="CP31" i="33"/>
  <c r="AM38" i="33"/>
  <c r="GB69" i="33"/>
  <c r="CP75" i="33"/>
  <c r="FR73" i="34"/>
  <c r="BI84" i="33"/>
  <c r="N48" i="33"/>
  <c r="BS38" i="33"/>
  <c r="BR63" i="33"/>
  <c r="JW118" i="34"/>
  <c r="AP57" i="33"/>
  <c r="HD118" i="34"/>
  <c r="CI37" i="33"/>
  <c r="FL54" i="33"/>
  <c r="AR85" i="33"/>
  <c r="FO48" i="33"/>
  <c r="FE60" i="33"/>
  <c r="LH88" i="34"/>
  <c r="AP71" i="34"/>
  <c r="T121" i="34"/>
  <c r="DH186" i="34"/>
  <c r="BJ32" i="33"/>
  <c r="LI120" i="34"/>
  <c r="DA151" i="34"/>
  <c r="EK26" i="33"/>
  <c r="DL54" i="33"/>
  <c r="FN59" i="34"/>
  <c r="GJ149" i="34"/>
  <c r="R77" i="33"/>
  <c r="L64" i="33"/>
  <c r="IR99" i="34"/>
  <c r="CB71" i="33"/>
  <c r="JD127" i="34"/>
  <c r="CS83" i="33"/>
  <c r="JF49" i="34"/>
  <c r="FO105" i="34"/>
  <c r="HE160" i="34"/>
  <c r="CL82" i="34"/>
  <c r="H9" i="33"/>
  <c r="JX133" i="34"/>
  <c r="BJ43" i="28"/>
  <c r="ED71" i="33"/>
  <c r="EW71" i="34"/>
  <c r="AP153" i="34"/>
  <c r="AN59" i="34"/>
  <c r="AJ56" i="33"/>
  <c r="U45" i="34"/>
  <c r="PW135" i="34"/>
  <c r="KO109" i="34"/>
  <c r="BP81" i="34"/>
  <c r="CK51" i="34"/>
  <c r="EA156" i="34"/>
  <c r="GE79" i="33"/>
  <c r="DD172" i="34"/>
  <c r="EC187" i="34"/>
  <c r="KO61" i="34"/>
  <c r="AB126" i="34"/>
  <c r="JU64" i="34"/>
  <c r="AA7" i="17"/>
  <c r="FB90" i="34"/>
  <c r="AR152" i="34"/>
  <c r="BK79" i="33"/>
  <c r="EK78" i="33"/>
  <c r="FF42" i="33"/>
  <c r="CI68" i="33"/>
  <c r="FO26" i="33"/>
  <c r="BA52" i="33"/>
  <c r="MO107" i="34"/>
  <c r="N90" i="33"/>
  <c r="FC41" i="33"/>
  <c r="HW170" i="34"/>
  <c r="R58" i="33"/>
  <c r="CO102" i="34"/>
  <c r="LJ159" i="34"/>
  <c r="BN134" i="34"/>
  <c r="AY9" i="33"/>
  <c r="EY136" i="34"/>
  <c r="IQ147" i="34"/>
  <c r="FE61" i="33"/>
  <c r="EI110" i="34"/>
  <c r="CR52" i="33"/>
  <c r="FJ23" i="33"/>
  <c r="HT137" i="34"/>
  <c r="FU183" i="34"/>
  <c r="CH71" i="34"/>
  <c r="EZ165" i="34"/>
  <c r="BJ26" i="33"/>
  <c r="DJ56" i="33"/>
  <c r="BE80" i="33"/>
  <c r="EZ46" i="34"/>
  <c r="DZ44" i="33"/>
  <c r="EZ170" i="34"/>
  <c r="CN116" i="34"/>
  <c r="F66" i="33"/>
  <c r="KM188" i="34"/>
  <c r="AL78" i="33"/>
  <c r="AO124" i="34"/>
  <c r="V26" i="17"/>
  <c r="AO51" i="34"/>
  <c r="PJ153" i="34"/>
  <c r="DW147" i="34"/>
  <c r="BA66" i="33"/>
  <c r="NL70" i="34"/>
  <c r="DB51" i="34"/>
  <c r="EK183" i="34"/>
  <c r="W50" i="33"/>
  <c r="PW100" i="34"/>
  <c r="AE55" i="33"/>
  <c r="CR63" i="33"/>
  <c r="FT76" i="33"/>
  <c r="EG115" i="34"/>
  <c r="FC92" i="33"/>
  <c r="R90" i="33"/>
  <c r="EJ49" i="34"/>
  <c r="AM106" i="34"/>
  <c r="DG28" i="33"/>
  <c r="EK144" i="34"/>
  <c r="CE156" i="34"/>
  <c r="CN137" i="34"/>
  <c r="GM31" i="33"/>
  <c r="EB56" i="34"/>
  <c r="HH170" i="34"/>
  <c r="NF132" i="34"/>
  <c r="CV56" i="33"/>
  <c r="LE106" i="34"/>
  <c r="DN48" i="33"/>
  <c r="F26" i="33"/>
  <c r="FT158" i="34"/>
  <c r="KP150" i="34"/>
  <c r="EK93" i="34"/>
  <c r="DX25" i="33"/>
  <c r="FV106" i="34"/>
  <c r="MC44" i="34"/>
  <c r="Z64" i="33"/>
  <c r="JA96" i="34"/>
  <c r="EI82" i="34"/>
  <c r="K30" i="33"/>
  <c r="AW41" i="33"/>
  <c r="V80" i="34"/>
  <c r="DK85" i="33"/>
  <c r="HV75" i="34"/>
  <c r="J96" i="34"/>
  <c r="K109" i="34"/>
  <c r="BJ60" i="28"/>
  <c r="HC67" i="34"/>
  <c r="AW124" i="34"/>
  <c r="BQ165" i="34"/>
  <c r="CU38" i="33"/>
  <c r="Z41" i="33"/>
  <c r="AD139" i="34"/>
  <c r="CF78" i="33"/>
  <c r="EY41" i="34"/>
  <c r="JB79" i="34"/>
  <c r="CI64" i="34"/>
  <c r="DG48" i="34"/>
  <c r="DC55" i="33"/>
  <c r="BB51" i="33"/>
  <c r="K48" i="33"/>
  <c r="DE130" i="34"/>
  <c r="BS76" i="33"/>
  <c r="KM42" i="34"/>
  <c r="MN54" i="34"/>
  <c r="JX166" i="34"/>
  <c r="DV147" i="34"/>
  <c r="BT51" i="33"/>
  <c r="JU165" i="34"/>
  <c r="CI110" i="34"/>
  <c r="KA173" i="34"/>
  <c r="DL25" i="33"/>
  <c r="EZ32" i="33"/>
  <c r="CA28" i="33"/>
  <c r="KA172" i="34"/>
  <c r="JE169" i="34"/>
  <c r="FV57" i="33"/>
  <c r="FK86" i="33"/>
  <c r="CG117" i="34"/>
  <c r="EJ61" i="33"/>
  <c r="EY142" i="34"/>
  <c r="EE74" i="33"/>
  <c r="LF132" i="34"/>
  <c r="DS57" i="33"/>
  <c r="CD64" i="34"/>
  <c r="AC26" i="33"/>
  <c r="AF50" i="33"/>
  <c r="EX42" i="34"/>
  <c r="DW99" i="34"/>
  <c r="IE141" i="34"/>
  <c r="BS85" i="33"/>
  <c r="CR85" i="33"/>
  <c r="GJ79" i="34"/>
  <c r="JA50" i="34"/>
  <c r="AU166" i="34"/>
  <c r="EG98" i="34"/>
  <c r="O20" i="33"/>
  <c r="AW54" i="33"/>
  <c r="W45" i="34"/>
  <c r="DT86" i="33"/>
  <c r="GO37" i="33"/>
  <c r="AQ57" i="34"/>
  <c r="NP76" i="34"/>
  <c r="GL55" i="34"/>
  <c r="CD68" i="34"/>
  <c r="EQ35" i="33"/>
  <c r="NA160" i="34"/>
  <c r="GK174" i="34"/>
  <c r="AJ9" i="33"/>
  <c r="DV101" i="34"/>
  <c r="EX46" i="34"/>
  <c r="DH170" i="34"/>
  <c r="DE72" i="33"/>
  <c r="L42" i="33"/>
  <c r="GL134" i="34"/>
  <c r="FR139" i="34"/>
  <c r="MG149" i="34"/>
  <c r="K77" i="33"/>
  <c r="LH156" i="34"/>
  <c r="CD168" i="34"/>
  <c r="AT79" i="33"/>
  <c r="AN51" i="34"/>
  <c r="HY126" i="34"/>
  <c r="CK67" i="33"/>
  <c r="DD55" i="34"/>
  <c r="EF108" i="34"/>
  <c r="EY65" i="34"/>
  <c r="AA115" i="34"/>
  <c r="EC137" i="34"/>
  <c r="NM102" i="34"/>
  <c r="B63" i="17"/>
  <c r="FM80" i="33"/>
  <c r="ME183" i="34"/>
  <c r="DV162" i="34"/>
  <c r="FO62" i="33"/>
  <c r="EK143" i="34"/>
  <c r="FU62" i="34"/>
  <c r="FP72" i="33"/>
  <c r="U175" i="34"/>
  <c r="DC57" i="33"/>
  <c r="GL44" i="33"/>
  <c r="CK55" i="33"/>
  <c r="FS73" i="33"/>
  <c r="BJ132" i="28"/>
  <c r="MB84" i="34"/>
  <c r="HH110" i="34"/>
  <c r="AZ84" i="34"/>
  <c r="AQ47" i="33"/>
  <c r="EW69" i="34"/>
  <c r="DC41" i="34"/>
  <c r="P74" i="33"/>
  <c r="GO84" i="33"/>
  <c r="AX55" i="33"/>
  <c r="K121" i="34"/>
  <c r="FO69" i="33"/>
  <c r="HW72" i="34"/>
  <c r="CK46" i="34"/>
  <c r="HW65" i="34"/>
  <c r="HF67" i="34"/>
  <c r="PY87" i="34"/>
  <c r="AQ79" i="33"/>
  <c r="FN140" i="34"/>
  <c r="NI166" i="34"/>
  <c r="NG141" i="34"/>
  <c r="AU118" i="34"/>
  <c r="AA133" i="34"/>
  <c r="EK125" i="34"/>
  <c r="BE90" i="33"/>
  <c r="DA27" i="33"/>
  <c r="AQ49" i="34"/>
  <c r="F40" i="17"/>
  <c r="JX80" i="34"/>
  <c r="M48" i="33"/>
  <c r="G64" i="33"/>
  <c r="KL99" i="34"/>
  <c r="EG120" i="34"/>
  <c r="ED28" i="33"/>
  <c r="EA53" i="33"/>
  <c r="CM120" i="34"/>
  <c r="EB96" i="34"/>
  <c r="AG73" i="33"/>
  <c r="HX106" i="34"/>
  <c r="DD69" i="33"/>
  <c r="FL50" i="33"/>
  <c r="DD35" i="33"/>
  <c r="BR65" i="33"/>
  <c r="MH93" i="34"/>
  <c r="AU117" i="34"/>
  <c r="AL35" i="33"/>
  <c r="AV63" i="33"/>
  <c r="KP71" i="34"/>
  <c r="BN101" i="34"/>
  <c r="MI116" i="34"/>
  <c r="CX50" i="33"/>
  <c r="T53" i="33"/>
  <c r="H58" i="33"/>
  <c r="AK56" i="33"/>
  <c r="DH142" i="34"/>
  <c r="GI60" i="33"/>
  <c r="CK157" i="34"/>
  <c r="U69" i="33"/>
  <c r="KC89" i="34"/>
  <c r="PZ116" i="34"/>
  <c r="Y42" i="33"/>
  <c r="BY40" i="33"/>
  <c r="FS35" i="33"/>
  <c r="CD78" i="34"/>
  <c r="ID138" i="34"/>
  <c r="GM146" i="34"/>
  <c r="BA173" i="34"/>
  <c r="DW165" i="34"/>
  <c r="K55" i="34"/>
  <c r="EB42" i="34"/>
  <c r="FT27" i="33"/>
  <c r="HG138" i="34"/>
  <c r="AD61" i="34"/>
  <c r="JT117" i="34"/>
  <c r="AB142" i="34"/>
  <c r="BE62" i="33"/>
  <c r="GJ98" i="34"/>
  <c r="CI104" i="34"/>
  <c r="CE132" i="34"/>
  <c r="AW65" i="33"/>
  <c r="G48" i="33"/>
  <c r="J137" i="34"/>
  <c r="AM81" i="33"/>
  <c r="DY120" i="34"/>
  <c r="JW105" i="34"/>
  <c r="GH26" i="33"/>
  <c r="LF146" i="34"/>
  <c r="CN26" i="33"/>
  <c r="EB95" i="34"/>
  <c r="MF160" i="34"/>
  <c r="DM36" i="33"/>
  <c r="PW56" i="34"/>
  <c r="AN80" i="34"/>
  <c r="BL75" i="33"/>
  <c r="AR71" i="33"/>
  <c r="BC75" i="33"/>
  <c r="K27" i="33"/>
  <c r="U76" i="33"/>
  <c r="AG10" i="34"/>
  <c r="BU85" i="33"/>
  <c r="AV43" i="34"/>
  <c r="KL178" i="34"/>
  <c r="CY50" i="33"/>
  <c r="AZ63" i="34"/>
  <c r="FU63" i="33"/>
  <c r="LD115" i="34"/>
  <c r="KM186" i="34"/>
  <c r="AV168" i="34"/>
  <c r="AY118" i="34"/>
  <c r="EZ92" i="33"/>
  <c r="KC107" i="34"/>
  <c r="BJ73" i="28"/>
  <c r="AG51" i="33"/>
  <c r="KO158" i="34"/>
  <c r="HX139" i="34"/>
  <c r="AN51" i="33"/>
  <c r="FP50" i="33"/>
  <c r="FK9" i="33"/>
  <c r="JZ151" i="34"/>
  <c r="ED48" i="34"/>
  <c r="EA161" i="34"/>
  <c r="CH181" i="34"/>
  <c r="CK52" i="33"/>
  <c r="BP77" i="34"/>
  <c r="FA113" i="34"/>
  <c r="AC69" i="33"/>
  <c r="EB58" i="34"/>
  <c r="FA123" i="34"/>
  <c r="AS126" i="34"/>
  <c r="BA68" i="33"/>
  <c r="DF86" i="33"/>
  <c r="BQ57" i="34"/>
  <c r="ES84" i="33"/>
  <c r="LA48" i="34"/>
  <c r="GA74" i="33"/>
  <c r="IV132" i="34"/>
  <c r="GJ116" i="34"/>
  <c r="AT176" i="34"/>
  <c r="FL63" i="33"/>
  <c r="FW43" i="33"/>
  <c r="FA32" i="33"/>
  <c r="AD49" i="33"/>
  <c r="AW67" i="34"/>
  <c r="FN54" i="34"/>
  <c r="FN133" i="34"/>
  <c r="CS49" i="33"/>
  <c r="GL132" i="34"/>
  <c r="Z77" i="33"/>
  <c r="ED67" i="33"/>
  <c r="L73" i="33"/>
  <c r="AC75" i="34"/>
  <c r="ED156" i="34"/>
  <c r="EX138" i="34"/>
  <c r="AG54" i="33"/>
  <c r="GH25" i="33"/>
  <c r="EE50" i="34"/>
  <c r="FR39" i="33"/>
  <c r="BV77" i="33"/>
  <c r="BM90" i="33"/>
  <c r="K54" i="33"/>
  <c r="AY47" i="33"/>
  <c r="EF34" i="33"/>
  <c r="BR143" i="34"/>
  <c r="GM40" i="33"/>
  <c r="IT71" i="34"/>
  <c r="S28" i="33"/>
  <c r="DP73" i="33"/>
  <c r="FU60" i="34"/>
  <c r="BN141" i="34"/>
  <c r="HX127" i="34"/>
  <c r="S154" i="23"/>
  <c r="CK164" i="34"/>
  <c r="KN124" i="34"/>
  <c r="CF164" i="34"/>
  <c r="EP52" i="33"/>
  <c r="FS42" i="34"/>
  <c r="IC127" i="34"/>
  <c r="AM85" i="33"/>
  <c r="BH65" i="33"/>
  <c r="CJ141" i="34"/>
  <c r="J37" i="33"/>
  <c r="V158" i="34"/>
  <c r="CA45" i="33"/>
  <c r="AR47" i="34"/>
  <c r="J64" i="33"/>
  <c r="CE85" i="34"/>
  <c r="MN101" i="34"/>
  <c r="AE76" i="33"/>
  <c r="Z148" i="34"/>
  <c r="FD85" i="33"/>
  <c r="LD77" i="34"/>
  <c r="K151" i="34"/>
  <c r="KF9" i="34"/>
  <c r="BF77" i="33"/>
  <c r="DP26" i="33"/>
  <c r="L85" i="33"/>
  <c r="FR119" i="34"/>
  <c r="AU109" i="34"/>
  <c r="NH162" i="34"/>
  <c r="T150" i="34"/>
  <c r="CO45" i="33"/>
  <c r="AJ78" i="33"/>
  <c r="B87" i="28"/>
  <c r="CK176" i="34"/>
  <c r="AZ61" i="33"/>
  <c r="FG26" i="33"/>
  <c r="H26" i="33"/>
  <c r="CL35" i="33"/>
  <c r="IT126" i="34"/>
  <c r="GJ44" i="33"/>
  <c r="AB83" i="34"/>
  <c r="DT74" i="33"/>
  <c r="AP94" i="34"/>
  <c r="BA63" i="33"/>
  <c r="DY77" i="33"/>
  <c r="LE52" i="34"/>
  <c r="JT97" i="34"/>
  <c r="HF94" i="34"/>
  <c r="AE26" i="33"/>
  <c r="H37" i="33"/>
  <c r="BW86" i="33"/>
  <c r="EL84" i="33"/>
  <c r="IC129" i="34"/>
  <c r="GK61" i="33"/>
  <c r="CO174" i="34"/>
  <c r="FV54" i="34"/>
  <c r="FI54" i="33"/>
  <c r="AM75" i="34"/>
  <c r="AS59" i="33"/>
  <c r="AW27" i="33"/>
  <c r="ID86" i="34"/>
  <c r="DV98" i="34"/>
  <c r="L7" i="17"/>
  <c r="P32" i="33"/>
  <c r="CH101" i="34"/>
  <c r="JT131" i="34"/>
  <c r="M37" i="33"/>
  <c r="AM85" i="34"/>
  <c r="IB168" i="34"/>
  <c r="AS61" i="34"/>
  <c r="BN106" i="34"/>
  <c r="EA72" i="33"/>
  <c r="FV58" i="33"/>
  <c r="LZ56" i="34"/>
  <c r="R70" i="33"/>
  <c r="FO54" i="33"/>
  <c r="CP52" i="33"/>
  <c r="FV39" i="33"/>
  <c r="AO106" i="34"/>
  <c r="GN80" i="33"/>
  <c r="EG32" i="33"/>
  <c r="BY53" i="33"/>
  <c r="M26" i="33"/>
  <c r="DZ71" i="33"/>
  <c r="JZ162" i="34"/>
  <c r="DJ43" i="34"/>
  <c r="L59" i="33"/>
  <c r="BC36" i="33"/>
  <c r="AY94" i="34"/>
  <c r="CG126" i="34"/>
  <c r="L66" i="33"/>
  <c r="IB62" i="34"/>
  <c r="AW77" i="34"/>
  <c r="AD115" i="34"/>
  <c r="Y80" i="33"/>
  <c r="EB166" i="34"/>
  <c r="LB94" i="34"/>
  <c r="EY71" i="33"/>
  <c r="L27" i="33"/>
  <c r="DC83" i="33"/>
  <c r="DO53" i="33"/>
  <c r="F35" i="33"/>
  <c r="AG86" i="33"/>
  <c r="MM79" i="34"/>
  <c r="FB111" i="34"/>
  <c r="FA95" i="34"/>
  <c r="AA33" i="33"/>
  <c r="JX128" i="34"/>
  <c r="KC139" i="34"/>
  <c r="KL64" i="34"/>
  <c r="EG170" i="34"/>
  <c r="DR71" i="33"/>
  <c r="EJ99" i="34"/>
  <c r="EJ92" i="33"/>
  <c r="FH37" i="33"/>
  <c r="EF105" i="34"/>
  <c r="HG145" i="34"/>
  <c r="DE92" i="33"/>
  <c r="AZ43" i="33"/>
  <c r="KO83" i="34"/>
  <c r="BP159" i="34"/>
  <c r="EY56" i="34"/>
  <c r="AC70" i="34"/>
  <c r="AI78" i="33"/>
  <c r="K62" i="34"/>
  <c r="EE72" i="34"/>
  <c r="EY141" i="34"/>
  <c r="MA178" i="34"/>
  <c r="PZ101" i="34"/>
  <c r="BP123" i="34"/>
  <c r="KP69" i="34"/>
  <c r="HG148" i="34"/>
  <c r="AM108" i="34"/>
  <c r="CQ63" i="33"/>
  <c r="BA75" i="33"/>
  <c r="BB165" i="34"/>
  <c r="KP105" i="34"/>
  <c r="IS90" i="34"/>
  <c r="AR121" i="34"/>
  <c r="IE73" i="34"/>
  <c r="AO58" i="34"/>
  <c r="GK43" i="34"/>
  <c r="FN33" i="33"/>
  <c r="BR124" i="34"/>
  <c r="IV136" i="34"/>
  <c r="AC171" i="34"/>
  <c r="GB31" i="33"/>
  <c r="EI87" i="34"/>
  <c r="FD81" i="33"/>
  <c r="CJ89" i="34"/>
  <c r="AR76" i="34"/>
  <c r="HZ152" i="34"/>
  <c r="GN64" i="33"/>
  <c r="DJ59" i="33"/>
  <c r="GM102" i="34"/>
  <c r="CI49" i="33"/>
  <c r="AW70" i="33"/>
  <c r="EF102" i="34"/>
  <c r="AP113" i="34"/>
  <c r="ID106" i="34"/>
  <c r="DV74" i="34"/>
  <c r="NM167" i="34"/>
  <c r="HF124" i="34"/>
  <c r="FU83" i="33"/>
  <c r="NJ92" i="34"/>
  <c r="BQ50" i="34"/>
  <c r="JA122" i="34"/>
  <c r="CM132" i="34"/>
  <c r="HW122" i="34"/>
  <c r="LI186" i="34"/>
  <c r="GL87" i="34"/>
  <c r="DH62" i="33"/>
  <c r="JY105" i="34"/>
  <c r="FI9" i="33"/>
  <c r="EZ83" i="33"/>
  <c r="DP61" i="33"/>
  <c r="FN136" i="34"/>
  <c r="ED163" i="34"/>
  <c r="FX78" i="33"/>
  <c r="AT28" i="33"/>
  <c r="CA80" i="33"/>
  <c r="JX76" i="34"/>
  <c r="DY47" i="34"/>
  <c r="ND97" i="34"/>
  <c r="CS90" i="33"/>
  <c r="EW66" i="33"/>
  <c r="CL124" i="34"/>
  <c r="AA5" i="17"/>
  <c r="FW112" i="34"/>
  <c r="BQ75" i="33"/>
  <c r="DC138" i="34"/>
  <c r="F71" i="33"/>
  <c r="EJ52" i="34"/>
  <c r="AM163" i="34"/>
  <c r="LH168" i="34"/>
  <c r="FO43" i="33"/>
  <c r="FV77" i="33"/>
  <c r="BU73" i="33"/>
  <c r="AX49" i="34"/>
  <c r="CV78" i="33"/>
  <c r="PY113" i="34"/>
  <c r="EW105" i="34"/>
  <c r="HC61" i="34"/>
  <c r="IU146" i="34"/>
  <c r="CM68" i="34"/>
  <c r="DY181" i="34"/>
  <c r="DZ99" i="34"/>
  <c r="T174" i="34"/>
  <c r="FZ60" i="33"/>
  <c r="DB110" i="34"/>
  <c r="AM42" i="33"/>
  <c r="CI48" i="33"/>
  <c r="CR46" i="33"/>
  <c r="FK85" i="33"/>
  <c r="DZ109" i="34"/>
  <c r="LC172" i="34"/>
  <c r="GL71" i="33"/>
  <c r="FX41" i="34"/>
  <c r="S155" i="23"/>
  <c r="AM80" i="33"/>
  <c r="AQ167" i="34"/>
  <c r="GL91" i="34"/>
  <c r="CR35" i="33"/>
  <c r="AT47" i="33"/>
  <c r="BP156" i="34"/>
  <c r="DI146" i="34"/>
  <c r="FM71" i="33"/>
  <c r="CM57" i="34"/>
  <c r="HC153" i="34"/>
  <c r="HX103" i="34"/>
  <c r="BU63" i="33"/>
  <c r="CG113" i="34"/>
  <c r="FQ99" i="34"/>
  <c r="FU80" i="33"/>
  <c r="CW82" i="33"/>
  <c r="KO138" i="34"/>
  <c r="ES30" i="33"/>
  <c r="AH65" i="33"/>
  <c r="DT66" i="33"/>
  <c r="FU59" i="33"/>
  <c r="HX63" i="34"/>
  <c r="CH134" i="34"/>
  <c r="CH88" i="34"/>
  <c r="CP61" i="33"/>
  <c r="AR78" i="33"/>
  <c r="DY61" i="34"/>
  <c r="NH103" i="34"/>
  <c r="U74" i="33"/>
  <c r="EK79" i="33"/>
  <c r="JB91" i="34"/>
  <c r="AR62" i="34"/>
  <c r="FY68" i="33"/>
  <c r="FT134" i="34"/>
  <c r="DL61" i="33"/>
  <c r="ER43" i="33"/>
  <c r="X63" i="34"/>
  <c r="CR77" i="33"/>
  <c r="BG33" i="33"/>
  <c r="BE33" i="33"/>
  <c r="EK59" i="34"/>
  <c r="T44" i="33"/>
  <c r="PF78" i="34"/>
  <c r="ID96" i="34"/>
  <c r="EF98" i="34"/>
  <c r="CA55" i="33"/>
  <c r="EZ85" i="33"/>
  <c r="DL58" i="33"/>
  <c r="ER92" i="33"/>
  <c r="T161" i="34"/>
  <c r="N62" i="33"/>
  <c r="X85" i="33"/>
  <c r="CG109" i="34"/>
  <c r="DU59" i="33"/>
  <c r="CB40" i="33"/>
  <c r="BT71" i="33"/>
  <c r="BE72" i="33"/>
  <c r="CW72" i="33"/>
  <c r="Y101" i="34"/>
  <c r="NO170" i="34"/>
  <c r="NJ69" i="34"/>
  <c r="BJ50" i="33"/>
  <c r="IW95" i="34"/>
  <c r="BO137" i="34"/>
  <c r="BO70" i="34"/>
  <c r="K46" i="34"/>
  <c r="F11" i="17"/>
  <c r="FS52" i="34"/>
  <c r="GH33" i="33"/>
  <c r="S42" i="33"/>
  <c r="DA53" i="33"/>
  <c r="O40" i="33"/>
  <c r="BQ84" i="34"/>
  <c r="IY166" i="34"/>
  <c r="NN145" i="34"/>
  <c r="BJ14" i="28"/>
  <c r="AM55" i="34"/>
  <c r="NC47" i="34"/>
  <c r="HT170" i="34"/>
  <c r="FC54" i="33"/>
  <c r="CX27" i="33"/>
  <c r="DN65" i="33"/>
  <c r="FP43" i="33"/>
  <c r="BB169" i="34"/>
  <c r="PY107" i="34"/>
  <c r="CY37" i="33"/>
  <c r="HD136" i="34"/>
  <c r="X36" i="33"/>
  <c r="L108" i="28"/>
  <c r="BU57" i="33"/>
  <c r="NP121" i="34"/>
  <c r="EL23" i="33"/>
  <c r="BQ80" i="33"/>
  <c r="FC60" i="33"/>
  <c r="AR67" i="33"/>
  <c r="AP32" i="33"/>
  <c r="JT53" i="34"/>
  <c r="FN85" i="33"/>
  <c r="AN124" i="34"/>
  <c r="NA66" i="34"/>
  <c r="MG108" i="34"/>
  <c r="JF134" i="34"/>
  <c r="FU62" i="33"/>
  <c r="LZ85" i="34"/>
  <c r="AC145" i="34"/>
  <c r="CE168" i="34"/>
  <c r="DX37" i="33"/>
  <c r="NA150" i="34"/>
  <c r="KC67" i="34"/>
  <c r="CK66" i="33"/>
  <c r="HH62" i="34"/>
  <c r="W144" i="34"/>
  <c r="MJ175" i="34"/>
  <c r="HG125" i="34"/>
  <c r="NM154" i="34"/>
  <c r="J28" i="33"/>
  <c r="AE35" i="33"/>
  <c r="BK84" i="33"/>
  <c r="CU36" i="33"/>
  <c r="FR175" i="34"/>
  <c r="DG85" i="33"/>
  <c r="BH71" i="33"/>
  <c r="CH121" i="34"/>
  <c r="HW151" i="34"/>
  <c r="X80" i="34"/>
  <c r="X68" i="33"/>
  <c r="AP44" i="33"/>
  <c r="DS50" i="33"/>
  <c r="AO53" i="34"/>
  <c r="DD57" i="33"/>
  <c r="IE65" i="34"/>
  <c r="CY42" i="33"/>
  <c r="DK28" i="33"/>
  <c r="BK31" i="33"/>
  <c r="IQ69" i="34"/>
  <c r="NM95" i="34"/>
  <c r="P92" i="33"/>
  <c r="FC30" i="33"/>
  <c r="GH75" i="33"/>
  <c r="JZ147" i="34"/>
  <c r="LD163" i="34"/>
  <c r="MF72" i="34"/>
  <c r="O68" i="33"/>
  <c r="JD89" i="34"/>
  <c r="GE59" i="33"/>
  <c r="N9" i="33"/>
  <c r="CN47" i="33"/>
  <c r="AP78" i="33"/>
  <c r="BI29" i="33"/>
  <c r="JY89" i="34"/>
  <c r="EM23" i="33"/>
  <c r="I58" i="33"/>
  <c r="AS140" i="34"/>
  <c r="AH53" i="33"/>
  <c r="E12" i="3"/>
  <c r="GP65" i="34"/>
  <c r="BO109" i="34"/>
  <c r="FG25" i="33"/>
  <c r="KP122" i="34"/>
  <c r="IS47" i="34"/>
  <c r="DL77" i="33"/>
  <c r="DD120" i="34"/>
  <c r="W130" i="34"/>
  <c r="BB172" i="34"/>
  <c r="BA51" i="33"/>
  <c r="FT126" i="34"/>
  <c r="HE65" i="34"/>
  <c r="CS25" i="33"/>
  <c r="F80" i="33"/>
  <c r="DX91" i="34"/>
  <c r="CE66" i="33"/>
  <c r="AL60" i="33"/>
  <c r="EI151" i="34"/>
  <c r="CB50" i="33"/>
  <c r="AV49" i="33"/>
  <c r="CS75" i="33"/>
  <c r="JA143" i="34"/>
  <c r="O63" i="33"/>
  <c r="CX77" i="33"/>
  <c r="DG163" i="34"/>
  <c r="EJ20" i="33"/>
  <c r="JA86" i="34"/>
  <c r="GE34" i="33"/>
  <c r="FC32" i="33"/>
  <c r="BP87" i="34"/>
  <c r="EM83" i="33"/>
  <c r="K58" i="33"/>
  <c r="FW83" i="33"/>
  <c r="EW68" i="33"/>
  <c r="DX60" i="33"/>
  <c r="AY143" i="34"/>
  <c r="DY166" i="34"/>
  <c r="GJ48" i="34"/>
  <c r="T57" i="34"/>
  <c r="EE79" i="33"/>
  <c r="DX145" i="34"/>
  <c r="B54" i="17"/>
  <c r="DZ72" i="33"/>
  <c r="AA117" i="34"/>
  <c r="EM34" i="33"/>
  <c r="CJ133" i="34"/>
  <c r="AA144" i="34"/>
  <c r="EL63" i="33"/>
  <c r="FR47" i="33"/>
  <c r="LA110" i="34"/>
  <c r="BN9" i="33"/>
  <c r="U77" i="33"/>
  <c r="DP37" i="33"/>
  <c r="IZ107" i="34"/>
  <c r="LF95" i="34"/>
  <c r="GP172" i="34"/>
  <c r="DX34" i="33"/>
  <c r="MF74" i="34"/>
  <c r="CP77" i="33"/>
  <c r="CH46" i="34"/>
  <c r="KM148" i="34"/>
  <c r="JY104" i="34"/>
  <c r="FW76" i="33"/>
  <c r="AA116" i="34"/>
  <c r="MD55" i="34"/>
  <c r="V86" i="34"/>
  <c r="DX51" i="33"/>
  <c r="AS56" i="33"/>
  <c r="FS68" i="34"/>
  <c r="DY156" i="34"/>
  <c r="FQ164" i="34"/>
  <c r="EF81" i="33"/>
  <c r="HG99" i="34"/>
  <c r="J111" i="34"/>
  <c r="GG9" i="33"/>
  <c r="BR186" i="34"/>
  <c r="AA28" i="33"/>
  <c r="FN92" i="33"/>
  <c r="HW150" i="34"/>
  <c r="JX122" i="34"/>
  <c r="F20" i="17"/>
  <c r="NH48" i="34"/>
  <c r="GM28" i="33"/>
  <c r="BQ105" i="34"/>
  <c r="GH56" i="33"/>
  <c r="BK65" i="33"/>
  <c r="DD73" i="33"/>
  <c r="BR136" i="34"/>
  <c r="BJ59" i="28"/>
  <c r="AJ30" i="33"/>
  <c r="GI37" i="33"/>
  <c r="V57" i="34"/>
  <c r="CZ49" i="33"/>
  <c r="DX32" i="33"/>
  <c r="FM81" i="33"/>
  <c r="NF94" i="34"/>
  <c r="FX79" i="33"/>
  <c r="HG53" i="34"/>
  <c r="LB118" i="34"/>
  <c r="FW31" i="33"/>
  <c r="LG108" i="34"/>
  <c r="DW155" i="34"/>
  <c r="FF80" i="33"/>
  <c r="Z26" i="33"/>
  <c r="FN153" i="34"/>
  <c r="BN107" i="34"/>
  <c r="KO113" i="34"/>
  <c r="DJ66" i="33"/>
  <c r="AZ131" i="34"/>
  <c r="FE47" i="33"/>
  <c r="FR34" i="33"/>
  <c r="HW164" i="34"/>
  <c r="EX95" i="34"/>
  <c r="CP84" i="33"/>
  <c r="GJ73" i="33"/>
  <c r="EJ84" i="34"/>
  <c r="FZ40" i="33"/>
  <c r="CK102" i="34"/>
  <c r="JB71" i="34"/>
  <c r="LJ127" i="34"/>
  <c r="GH41" i="33"/>
  <c r="AR41" i="33"/>
  <c r="BQ61" i="34"/>
  <c r="EA66" i="33"/>
  <c r="CL86" i="33"/>
  <c r="FK45" i="33"/>
  <c r="GJ36" i="33"/>
  <c r="FW68" i="33"/>
  <c r="CC9" i="33"/>
  <c r="AR171" i="34"/>
  <c r="MN160" i="34"/>
  <c r="DC51" i="34"/>
  <c r="DD81" i="34"/>
  <c r="JE71" i="34"/>
  <c r="AU100" i="34"/>
  <c r="HZ67" i="34"/>
  <c r="F49" i="17"/>
  <c r="DL60" i="33"/>
  <c r="FX35" i="33"/>
  <c r="BO146" i="34"/>
  <c r="GL79" i="34"/>
  <c r="I62" i="33"/>
  <c r="CP42" i="33"/>
  <c r="BG56" i="33"/>
  <c r="AY82" i="33"/>
  <c r="BU43" i="33"/>
  <c r="CL27" i="33"/>
  <c r="DT48" i="33"/>
  <c r="AR44" i="33"/>
  <c r="AB161" i="34"/>
  <c r="GO163" i="34"/>
  <c r="CV28" i="33"/>
  <c r="FO58" i="33"/>
  <c r="FD68" i="33"/>
  <c r="LD161" i="34"/>
  <c r="K69" i="33"/>
  <c r="BC49" i="33"/>
  <c r="AO138" i="34"/>
  <c r="FT33" i="33"/>
  <c r="FS39" i="33"/>
  <c r="FH4" i="34"/>
  <c r="DF33" i="33"/>
  <c r="CO38" i="33"/>
  <c r="FF77" i="33"/>
  <c r="GA82" i="33"/>
  <c r="KO103" i="34"/>
  <c r="IV146" i="34"/>
  <c r="F14" i="17"/>
  <c r="CE80" i="33"/>
  <c r="HU147" i="34"/>
  <c r="JA147" i="34"/>
  <c r="AV53" i="33"/>
  <c r="ED45" i="34"/>
  <c r="GH62" i="33"/>
  <c r="GK164" i="34"/>
  <c r="AU64" i="33"/>
  <c r="FL79" i="33"/>
  <c r="BJ94" i="28"/>
  <c r="GK54" i="33"/>
  <c r="DC110" i="34"/>
  <c r="GG43" i="33"/>
  <c r="OI107" i="34"/>
  <c r="ER51" i="33"/>
  <c r="DG67" i="34"/>
  <c r="BR112" i="34"/>
  <c r="HC175" i="34"/>
  <c r="BG30" i="33"/>
  <c r="EA41" i="33"/>
  <c r="GM83" i="33"/>
  <c r="DD47" i="34"/>
  <c r="GO53" i="33"/>
  <c r="FS131" i="34"/>
  <c r="HF121" i="34"/>
  <c r="Y65" i="33"/>
  <c r="HE106" i="34"/>
  <c r="OH162" i="34"/>
  <c r="FS80" i="33"/>
  <c r="CN66" i="33"/>
  <c r="IU91" i="34"/>
  <c r="FP173" i="34"/>
  <c r="BC57" i="33"/>
  <c r="BQ137" i="34"/>
  <c r="CI63" i="33"/>
  <c r="BW58" i="33"/>
  <c r="JF41" i="34"/>
  <c r="AA82" i="33"/>
  <c r="HV126" i="34"/>
  <c r="LY41" i="34"/>
  <c r="K42" i="33"/>
  <c r="NC106" i="34"/>
  <c r="LY181" i="34"/>
  <c r="AY100" i="34"/>
  <c r="GJ83" i="33"/>
  <c r="JC97" i="34"/>
  <c r="BT32" i="33"/>
  <c r="V117" i="34"/>
  <c r="EA127" i="34"/>
  <c r="DM61" i="33"/>
  <c r="GM94" i="34"/>
  <c r="FV129" i="34"/>
  <c r="DG136" i="34"/>
  <c r="DD42" i="33"/>
  <c r="GP63" i="34"/>
  <c r="DT29" i="33"/>
  <c r="EK82" i="34"/>
  <c r="MI167" i="34"/>
  <c r="CM90" i="34"/>
  <c r="BZ54" i="33"/>
  <c r="LH91" i="34"/>
  <c r="EW150" i="34"/>
  <c r="MA80" i="34"/>
  <c r="DE44" i="33"/>
  <c r="AE78" i="33"/>
  <c r="GK43" i="33"/>
  <c r="AY68" i="33"/>
  <c r="T41" i="33"/>
  <c r="FS68" i="33"/>
  <c r="BC81" i="33"/>
  <c r="EF76" i="34"/>
  <c r="B64" i="17"/>
  <c r="EK45" i="33"/>
  <c r="CO70" i="33"/>
  <c r="EF163" i="34"/>
  <c r="CP38" i="33"/>
  <c r="EE92" i="34"/>
  <c r="NH154" i="34"/>
  <c r="DD183" i="34"/>
  <c r="EV77" i="33"/>
  <c r="NM139" i="34"/>
  <c r="KN83" i="34"/>
  <c r="BB76" i="33"/>
  <c r="EC150" i="34"/>
  <c r="AX60" i="33"/>
  <c r="FT41" i="33"/>
  <c r="EA27" i="33"/>
  <c r="HZ56" i="34"/>
  <c r="AT62" i="33"/>
  <c r="N13" i="34"/>
  <c r="EY116" i="34"/>
  <c r="AX91" i="34"/>
  <c r="EX154" i="34"/>
  <c r="CN56" i="34"/>
  <c r="EC60" i="34"/>
  <c r="JE98" i="34"/>
  <c r="FL57" i="33"/>
  <c r="DW171" i="34"/>
  <c r="LA62" i="34"/>
  <c r="DZ71" i="34"/>
  <c r="CE40" i="33"/>
  <c r="EP79" i="33"/>
  <c r="EA153" i="34"/>
  <c r="BB124" i="34"/>
  <c r="FH68" i="33"/>
  <c r="AB90" i="34"/>
  <c r="AV30" i="33"/>
  <c r="HF139" i="34"/>
  <c r="BU40" i="33"/>
  <c r="DM43" i="33"/>
  <c r="EZ69" i="33"/>
  <c r="AQ28" i="33"/>
  <c r="DE164" i="34"/>
  <c r="AX75" i="33"/>
  <c r="BB144" i="34"/>
  <c r="DA150" i="34"/>
  <c r="GD72" i="33"/>
  <c r="AA73" i="34"/>
  <c r="DG34" i="33"/>
  <c r="AL53" i="33"/>
  <c r="Y73" i="34"/>
  <c r="EA103" i="34"/>
  <c r="HE120" i="34"/>
  <c r="BA37" i="33"/>
  <c r="CE78" i="33"/>
  <c r="V160" i="34"/>
  <c r="FN84" i="33"/>
  <c r="DE94" i="34"/>
  <c r="DC72" i="34"/>
  <c r="DO74" i="33"/>
  <c r="AD42" i="34"/>
  <c r="GF20" i="33"/>
  <c r="T65" i="33"/>
  <c r="EF146" i="34"/>
  <c r="EK34" i="33"/>
  <c r="OI174" i="34"/>
  <c r="DE64" i="33"/>
  <c r="X82" i="33"/>
  <c r="HT95" i="34"/>
  <c r="FQ61" i="33"/>
  <c r="BS50" i="33"/>
  <c r="DP47" i="33"/>
  <c r="CD174" i="34"/>
  <c r="DC170" i="34"/>
  <c r="LE79" i="34"/>
  <c r="CG59" i="34"/>
  <c r="AS81" i="34"/>
  <c r="N85" i="33"/>
  <c r="KC173" i="34"/>
  <c r="J43" i="34"/>
  <c r="JT148" i="34"/>
  <c r="EV34" i="33"/>
  <c r="DC35" i="33"/>
  <c r="HT165" i="34"/>
  <c r="HU178" i="34"/>
  <c r="Z188" i="34"/>
  <c r="CF96" i="34"/>
  <c r="CX61" i="33"/>
  <c r="IV87" i="34"/>
  <c r="MG41" i="34"/>
  <c r="HW141" i="34"/>
  <c r="FU71" i="33"/>
  <c r="ES69" i="33"/>
  <c r="AS136" i="34"/>
  <c r="EC84" i="34"/>
  <c r="ON93" i="34"/>
  <c r="AN70" i="33"/>
  <c r="BN151" i="34"/>
  <c r="LC73" i="34"/>
  <c r="FY53" i="33"/>
  <c r="FR64" i="34"/>
  <c r="AM56" i="33"/>
  <c r="GF85" i="33"/>
  <c r="CF48" i="33"/>
  <c r="KO107" i="34"/>
  <c r="EK83" i="33"/>
  <c r="EK103" i="34"/>
  <c r="CF91" i="34"/>
  <c r="AQ97" i="34"/>
  <c r="AY78" i="33"/>
  <c r="LJ130" i="34"/>
  <c r="BZ76" i="33"/>
  <c r="AJ51" i="33"/>
  <c r="DE131" i="34"/>
  <c r="AX83" i="33"/>
  <c r="DH66" i="34"/>
  <c r="JA80" i="34"/>
  <c r="FK84" i="33"/>
  <c r="K59" i="34"/>
  <c r="DS60" i="33"/>
  <c r="P77" i="33"/>
  <c r="GO36" i="33"/>
  <c r="L33" i="33"/>
  <c r="KA127" i="34"/>
  <c r="FD84" i="33"/>
  <c r="BN88" i="34"/>
  <c r="FH34" i="33"/>
  <c r="FP28" i="33"/>
  <c r="DL28" i="33"/>
  <c r="FU65" i="33"/>
  <c r="CJ99" i="34"/>
  <c r="EF170" i="34"/>
  <c r="BU86" i="33"/>
  <c r="GM65" i="33"/>
  <c r="P72" i="33"/>
  <c r="CF148" i="34"/>
  <c r="AL80" i="33"/>
  <c r="BB65" i="34"/>
  <c r="AU74" i="33"/>
  <c r="JA131" i="34"/>
  <c r="JY113" i="34"/>
  <c r="IE86" i="34"/>
  <c r="AG42" i="33"/>
  <c r="ML156" i="34"/>
  <c r="F36" i="17"/>
  <c r="K175" i="34"/>
  <c r="DY64" i="33"/>
  <c r="EB73" i="34"/>
  <c r="B17" i="17"/>
  <c r="BF73" i="33"/>
  <c r="CJ112" i="34"/>
  <c r="AM67" i="33"/>
  <c r="MB158" i="34"/>
  <c r="DF187" i="34"/>
  <c r="AC73" i="34"/>
  <c r="V76" i="33"/>
  <c r="JY168" i="34"/>
  <c r="HD173" i="34"/>
  <c r="JD131" i="34"/>
  <c r="EH117" i="34"/>
  <c r="K112" i="34"/>
  <c r="DA43" i="34"/>
  <c r="MB106" i="34"/>
  <c r="JA158" i="34"/>
  <c r="LB119" i="34"/>
  <c r="AO188" i="34"/>
  <c r="CL29" i="33"/>
  <c r="EZ76" i="33"/>
  <c r="GP43" i="34"/>
  <c r="NF98" i="34"/>
  <c r="CK73" i="33"/>
  <c r="FE52" i="33"/>
  <c r="CO80" i="33"/>
  <c r="EC136" i="34"/>
  <c r="DD56" i="33"/>
  <c r="KA88" i="34"/>
  <c r="LG183" i="34"/>
  <c r="R40" i="33"/>
  <c r="AV60" i="34"/>
  <c r="CL153" i="34"/>
  <c r="CH90" i="34"/>
  <c r="BR36" i="33"/>
  <c r="AX26" i="33"/>
  <c r="EE136" i="34"/>
  <c r="BT57" i="33"/>
  <c r="FM46" i="33"/>
  <c r="GM133" i="34"/>
  <c r="CG120" i="34"/>
  <c r="AU167" i="34"/>
  <c r="BJ64" i="33"/>
  <c r="GA42" i="33"/>
  <c r="CM105" i="34"/>
  <c r="DE28" i="33"/>
  <c r="FA112" i="34"/>
  <c r="FR56" i="34"/>
  <c r="L53" i="33"/>
  <c r="DP54" i="33"/>
  <c r="K46" i="33"/>
  <c r="AU150" i="34"/>
  <c r="DJ84" i="33"/>
  <c r="DW51" i="34"/>
  <c r="FE80" i="33"/>
  <c r="CO78" i="33"/>
  <c r="J30" i="33"/>
  <c r="AW127" i="34"/>
  <c r="JU61" i="34"/>
  <c r="GE82" i="33"/>
  <c r="DC101" i="34"/>
  <c r="CJ68" i="33"/>
  <c r="CG91" i="34"/>
  <c r="FV167" i="34"/>
  <c r="CN60" i="34"/>
  <c r="JF161" i="34"/>
  <c r="DR45" i="33"/>
  <c r="FQ153" i="34"/>
  <c r="BL83" i="33"/>
  <c r="AA151" i="34"/>
  <c r="EB154" i="34"/>
  <c r="CQ73" i="33"/>
  <c r="HV133" i="34"/>
  <c r="CN99" i="34"/>
  <c r="DD36" i="33"/>
  <c r="BB82" i="34"/>
  <c r="DA53" i="34"/>
  <c r="GI36" i="33"/>
  <c r="E73" i="3"/>
  <c r="LZ45" i="34"/>
  <c r="EB70" i="34"/>
  <c r="AU60" i="33"/>
  <c r="I27" i="33"/>
  <c r="IS141" i="34"/>
  <c r="AT55" i="33"/>
  <c r="GL47" i="33"/>
  <c r="CF73" i="33"/>
  <c r="EK67" i="33"/>
  <c r="IT135" i="34"/>
  <c r="V101" i="34"/>
  <c r="AU142" i="34"/>
  <c r="GL48" i="33"/>
  <c r="CD126" i="34"/>
  <c r="EW42" i="33"/>
  <c r="JG74" i="34"/>
  <c r="FE43" i="33"/>
  <c r="V66" i="33"/>
  <c r="AO132" i="34"/>
  <c r="MJ132" i="34"/>
  <c r="AD80" i="33"/>
  <c r="T100" i="34"/>
  <c r="FZ25" i="33"/>
  <c r="BG26" i="33"/>
  <c r="AW89" i="34"/>
  <c r="AG29" i="33"/>
  <c r="CO57" i="33"/>
  <c r="AN68" i="34"/>
  <c r="JB119" i="34"/>
  <c r="NB41" i="34"/>
  <c r="AB99" i="34"/>
  <c r="FN152" i="34"/>
  <c r="AN85" i="33"/>
  <c r="FD66" i="33"/>
  <c r="CQ65" i="33"/>
  <c r="FP73" i="33"/>
  <c r="AH49" i="33"/>
  <c r="DC29" i="33"/>
  <c r="EL46" i="33"/>
  <c r="KN42" i="34"/>
  <c r="V35" i="33"/>
  <c r="DS26" i="33"/>
  <c r="CE50" i="34"/>
  <c r="DD80" i="33"/>
  <c r="CN68" i="33"/>
  <c r="HY84" i="34"/>
  <c r="FO76" i="34"/>
  <c r="HW139" i="34"/>
  <c r="AC92" i="34"/>
  <c r="FA68" i="33"/>
  <c r="J173" i="34"/>
  <c r="AT59" i="34"/>
  <c r="R37" i="33"/>
  <c r="ID160" i="34"/>
  <c r="EZ68" i="34"/>
  <c r="KP141" i="34"/>
  <c r="JG181" i="34"/>
  <c r="DG68" i="34"/>
  <c r="FF75" i="33"/>
  <c r="GF26" i="33"/>
  <c r="BI69" i="33"/>
  <c r="F86" i="33"/>
  <c r="LG90" i="34"/>
  <c r="U144" i="34"/>
  <c r="BM74" i="33"/>
  <c r="LH165" i="34"/>
  <c r="AZ45" i="34"/>
  <c r="BW29" i="33"/>
  <c r="FL23" i="33"/>
  <c r="AU111" i="34"/>
  <c r="IB44" i="34"/>
  <c r="AN52" i="33"/>
  <c r="BQ29" i="33"/>
  <c r="NA111" i="34"/>
  <c r="AZ140" i="34"/>
  <c r="IA100" i="34"/>
  <c r="FY55" i="33"/>
  <c r="U77" i="34"/>
  <c r="DT63" i="33"/>
  <c r="FX186" i="34"/>
  <c r="S214" i="23"/>
  <c r="HH130" i="34"/>
  <c r="FQ176" i="34"/>
  <c r="T96" i="34"/>
  <c r="DB65" i="33"/>
  <c r="AS139" i="34"/>
  <c r="AR38" i="33"/>
  <c r="DA115" i="34"/>
  <c r="BR121" i="34"/>
  <c r="AD60" i="33"/>
  <c r="EV68" i="33"/>
  <c r="BF27" i="33"/>
  <c r="JB77" i="34"/>
  <c r="DW175" i="34"/>
  <c r="DL40" i="33"/>
  <c r="AB71" i="34"/>
  <c r="O54" i="33"/>
  <c r="BP45" i="34"/>
  <c r="LF42" i="34"/>
  <c r="CL34" i="33"/>
  <c r="FO101" i="34"/>
  <c r="G77" i="33"/>
  <c r="Z90" i="33"/>
  <c r="AP123" i="34"/>
  <c r="MK121" i="34"/>
  <c r="H55" i="33"/>
  <c r="FN66" i="34"/>
  <c r="FJ43" i="33"/>
  <c r="MI144" i="34"/>
  <c r="DO72" i="33"/>
  <c r="BR42" i="33"/>
  <c r="N29" i="33"/>
  <c r="CB47" i="33"/>
  <c r="GJ181" i="34"/>
  <c r="GG76" i="33"/>
  <c r="GB47" i="33"/>
  <c r="X135" i="34"/>
  <c r="BY28" i="33"/>
  <c r="JA100" i="34"/>
  <c r="CJ143" i="34"/>
  <c r="AA52" i="33"/>
  <c r="AO80" i="34"/>
  <c r="BI57" i="33"/>
  <c r="EQ46" i="33"/>
  <c r="EH55" i="34"/>
  <c r="DC50" i="33"/>
  <c r="AX81" i="33"/>
  <c r="FV43" i="34"/>
  <c r="F60" i="33"/>
  <c r="ON49" i="34"/>
  <c r="EB102" i="34"/>
  <c r="H23" i="17"/>
  <c r="ND164" i="34"/>
  <c r="Z159" i="34"/>
  <c r="MM118" i="34"/>
  <c r="AH73" i="33"/>
  <c r="FT116" i="34"/>
  <c r="DZ76" i="33"/>
  <c r="V72" i="33"/>
  <c r="BG29" i="33"/>
  <c r="W95" i="34"/>
  <c r="NI124" i="34"/>
  <c r="DY154" i="34"/>
  <c r="EK80" i="33"/>
  <c r="EB135" i="34"/>
  <c r="AR77" i="34"/>
  <c r="EF106" i="34"/>
  <c r="HT103" i="34"/>
  <c r="CU32" i="33"/>
  <c r="FE65" i="33"/>
  <c r="BO66" i="33"/>
  <c r="HD89" i="34"/>
  <c r="FF28" i="33"/>
  <c r="GD74" i="33"/>
  <c r="AQ42" i="34"/>
  <c r="OL187" i="34"/>
  <c r="CI117" i="34"/>
  <c r="AB132" i="34"/>
  <c r="FT149" i="34"/>
  <c r="HT96" i="34"/>
  <c r="IS113" i="34"/>
  <c r="AZ149" i="34"/>
  <c r="BJ22" i="28"/>
  <c r="CZ67" i="33"/>
  <c r="Z61" i="33"/>
  <c r="AQ64" i="33"/>
  <c r="FC52" i="33"/>
  <c r="CC79" i="33"/>
  <c r="CG41" i="34"/>
  <c r="IC131" i="34"/>
  <c r="CY53" i="33"/>
  <c r="CK133" i="34"/>
  <c r="FY38" i="33"/>
  <c r="IT122" i="34"/>
  <c r="FU140" i="34"/>
  <c r="EH187" i="34"/>
  <c r="DE123" i="34"/>
  <c r="FI80" i="33"/>
  <c r="AD65" i="33"/>
  <c r="AC81" i="33"/>
  <c r="S44" i="33"/>
  <c r="DJ71" i="33"/>
  <c r="FJ30" i="33"/>
  <c r="IB57" i="34"/>
  <c r="DE32" i="33"/>
  <c r="BB56" i="33"/>
  <c r="T188" i="34"/>
  <c r="AV94" i="34"/>
  <c r="AD25" i="33"/>
  <c r="MG137" i="34"/>
  <c r="BA43" i="33"/>
  <c r="EC77" i="34"/>
  <c r="AV66" i="33"/>
  <c r="MN178" i="34"/>
  <c r="BS54" i="33"/>
  <c r="CF118" i="34"/>
  <c r="PY81" i="34"/>
  <c r="EH87" i="34"/>
  <c r="GE50" i="33"/>
  <c r="EM70" i="33"/>
  <c r="X72" i="34"/>
  <c r="CE32" i="33"/>
  <c r="LE111" i="34"/>
  <c r="HV95" i="34"/>
  <c r="HE163" i="34"/>
  <c r="FM48" i="33"/>
  <c r="LJ108" i="34"/>
  <c r="CL61" i="33"/>
  <c r="DJ47" i="33"/>
  <c r="CO58" i="33"/>
  <c r="KM132" i="34"/>
  <c r="GK48" i="33"/>
  <c r="E71" i="3"/>
  <c r="AU102" i="34"/>
  <c r="NB109" i="34"/>
  <c r="AD40" i="33"/>
  <c r="V79" i="33"/>
  <c r="Y132" i="34"/>
  <c r="BM56" i="33"/>
  <c r="U131" i="34"/>
  <c r="FO127" i="34"/>
  <c r="DA81" i="34"/>
  <c r="CC34" i="33"/>
  <c r="EV27" i="33"/>
  <c r="Y69" i="33"/>
  <c r="IR87" i="34"/>
  <c r="BG47" i="33"/>
  <c r="ED105" i="34"/>
  <c r="EZ55" i="34"/>
  <c r="EK161" i="34"/>
  <c r="ID61" i="34"/>
  <c r="IY62" i="34"/>
  <c r="AR181" i="34"/>
  <c r="L35" i="33"/>
  <c r="LB82" i="34"/>
  <c r="CF155" i="34"/>
  <c r="AN127" i="34"/>
  <c r="GN161" i="34"/>
  <c r="DE77" i="34"/>
  <c r="CP44" i="33"/>
  <c r="AU165" i="34"/>
  <c r="GN38" i="33"/>
  <c r="DN67" i="33"/>
  <c r="DV66" i="34"/>
  <c r="CB33" i="33"/>
  <c r="AS160" i="34"/>
  <c r="DF99" i="34"/>
  <c r="FT75" i="33"/>
  <c r="DX85" i="33"/>
  <c r="BN149" i="34"/>
  <c r="FB47" i="34"/>
  <c r="LI154" i="34"/>
  <c r="FD26" i="33"/>
  <c r="DJ36" i="33"/>
  <c r="AD57" i="33"/>
  <c r="EF75" i="33"/>
  <c r="AW164" i="34"/>
  <c r="C61" i="17"/>
  <c r="AK37" i="33"/>
  <c r="BI52" i="33"/>
  <c r="CB83" i="33"/>
  <c r="AU63" i="34"/>
  <c r="KA136" i="34"/>
  <c r="BU35" i="33"/>
  <c r="FX159" i="34"/>
  <c r="DZ85" i="33"/>
  <c r="BB99" i="34"/>
  <c r="FW133" i="34"/>
  <c r="BY26" i="33"/>
  <c r="EZ46" i="33"/>
  <c r="DB108" i="34"/>
  <c r="DB56" i="34"/>
  <c r="AT54" i="33"/>
  <c r="BA36" i="33"/>
  <c r="LK58" i="34"/>
  <c r="AX69" i="33"/>
  <c r="BO74" i="34"/>
  <c r="S11" i="23"/>
  <c r="AP88" i="34"/>
  <c r="FL82" i="33"/>
  <c r="FG78" i="33"/>
  <c r="DE42" i="33"/>
  <c r="FA69" i="33"/>
  <c r="GE45" i="33"/>
  <c r="AG83" i="33"/>
  <c r="OL49" i="34"/>
  <c r="CG172" i="34"/>
  <c r="BY75" i="33"/>
  <c r="IS100" i="34"/>
  <c r="LH103" i="34"/>
  <c r="CD34" i="33"/>
  <c r="FJ75" i="33"/>
  <c r="DI95" i="34"/>
  <c r="FU161" i="34"/>
  <c r="G26" i="33"/>
  <c r="FW61" i="33"/>
  <c r="EE70" i="33"/>
  <c r="GJ78" i="33"/>
  <c r="JY90" i="34"/>
  <c r="CF43" i="34"/>
  <c r="BJ61" i="33"/>
  <c r="FZ36" i="33"/>
  <c r="GJ142" i="34"/>
  <c r="CV71" i="33"/>
  <c r="EE86" i="33"/>
  <c r="EC80" i="34"/>
  <c r="F48" i="33"/>
  <c r="Z167" i="34"/>
  <c r="IR48" i="34"/>
  <c r="MD183" i="34"/>
  <c r="DH77" i="33"/>
  <c r="EG148" i="34"/>
  <c r="HH57" i="34"/>
  <c r="MA89" i="34"/>
  <c r="EA170" i="34"/>
  <c r="CG45" i="34"/>
  <c r="DJ166" i="34"/>
  <c r="PI157" i="34"/>
  <c r="BC82" i="33"/>
  <c r="AO99" i="34"/>
  <c r="CN82" i="33"/>
  <c r="S36" i="33"/>
  <c r="GL62" i="34"/>
  <c r="CF27" i="33"/>
  <c r="EP83" i="33"/>
  <c r="EZ9" i="33"/>
  <c r="GN75" i="33"/>
  <c r="DH102" i="34"/>
  <c r="DH67" i="33"/>
  <c r="OJ129" i="34"/>
  <c r="AN168" i="34"/>
  <c r="AF78" i="33"/>
  <c r="FW166" i="34"/>
  <c r="CM83" i="34"/>
  <c r="BY70" i="33"/>
  <c r="AD60" i="34"/>
  <c r="S39" i="33"/>
  <c r="GJ96" i="34"/>
  <c r="FK83" i="33"/>
  <c r="X78" i="33"/>
  <c r="GJ34" i="33"/>
  <c r="BP186" i="34"/>
  <c r="ED167" i="34"/>
  <c r="AY122" i="34"/>
  <c r="AN176" i="34"/>
  <c r="CW56" i="33"/>
  <c r="GK37" i="33"/>
  <c r="FQ69" i="34"/>
  <c r="LW181" i="34"/>
  <c r="AT65" i="33"/>
  <c r="CH30" i="33"/>
  <c r="BL55" i="33"/>
  <c r="W63" i="33"/>
  <c r="BO164" i="34"/>
  <c r="AM103" i="34"/>
  <c r="J41" i="33"/>
  <c r="NF138" i="34"/>
  <c r="CI83" i="33"/>
  <c r="FK81" i="33"/>
  <c r="F52" i="33"/>
  <c r="LF78" i="34"/>
  <c r="FW32" i="33"/>
  <c r="CI140" i="34"/>
  <c r="BJ41" i="33"/>
  <c r="AK66" i="33"/>
  <c r="CE64" i="34"/>
  <c r="J103" i="34"/>
  <c r="FW81" i="33"/>
  <c r="CJ77" i="33"/>
  <c r="BW71" i="33"/>
  <c r="JT130" i="34"/>
  <c r="DZ33" i="33"/>
  <c r="EJ134" i="34"/>
  <c r="ER42" i="33"/>
  <c r="BP137" i="34"/>
  <c r="DT59" i="33"/>
  <c r="AK90" i="33"/>
  <c r="FX132" i="34"/>
  <c r="NB128" i="34"/>
  <c r="LF168" i="34"/>
  <c r="I30" i="33"/>
  <c r="EY34" i="33"/>
  <c r="CG87" i="34"/>
  <c r="IE152" i="34"/>
  <c r="AP85" i="33"/>
  <c r="EA140" i="34"/>
  <c r="HY44" i="34"/>
  <c r="FE62" i="33"/>
  <c r="IC103" i="34"/>
  <c r="DG79" i="33"/>
  <c r="DJ80" i="33"/>
  <c r="FN40" i="33"/>
  <c r="CK89" i="34"/>
  <c r="BP42" i="34"/>
  <c r="NK48" i="34"/>
  <c r="GJ128" i="34"/>
  <c r="FN75" i="33"/>
  <c r="IS186" i="34"/>
  <c r="CM166" i="34"/>
  <c r="CH80" i="33"/>
  <c r="GB81" i="33"/>
  <c r="CJ60" i="34"/>
  <c r="AT91" i="34"/>
  <c r="ES33" i="33"/>
  <c r="CX35" i="33"/>
  <c r="LE134" i="34"/>
  <c r="CW84" i="33"/>
  <c r="AY79" i="34"/>
  <c r="CD158" i="34"/>
  <c r="FE51" i="33"/>
  <c r="ID76" i="34"/>
  <c r="DZ111" i="34"/>
  <c r="GF69" i="33"/>
  <c r="CI73" i="33"/>
  <c r="BW54" i="33"/>
  <c r="FQ64" i="33"/>
  <c r="AU164" i="34"/>
  <c r="EE165" i="34"/>
  <c r="CH58" i="33"/>
  <c r="EX151" i="34"/>
  <c r="GO34" i="33"/>
  <c r="ED148" i="34"/>
  <c r="DC70" i="33"/>
  <c r="FW120" i="34"/>
  <c r="KA60" i="34"/>
  <c r="AP122" i="34"/>
  <c r="AW25" i="33"/>
  <c r="BJ140" i="28"/>
  <c r="N72" i="33"/>
  <c r="AU84" i="33"/>
  <c r="CB55" i="33"/>
  <c r="OL157" i="34"/>
  <c r="CK56" i="33"/>
  <c r="EJ46" i="34"/>
  <c r="DN77" i="33"/>
  <c r="GH83" i="33"/>
  <c r="GJ162" i="34"/>
  <c r="EL37" i="33"/>
  <c r="CF77" i="34"/>
  <c r="BI76" i="33"/>
  <c r="FP26" i="33"/>
  <c r="GB46" i="33"/>
  <c r="DB46" i="33"/>
  <c r="BT26" i="33"/>
  <c r="FO85" i="33"/>
  <c r="GN58" i="34"/>
  <c r="CJ149" i="34"/>
  <c r="EZ78" i="33"/>
  <c r="FA48" i="33"/>
  <c r="EI44" i="34"/>
  <c r="KQ181" i="34"/>
  <c r="EK54" i="33"/>
  <c r="DY75" i="33"/>
  <c r="BQ83" i="34"/>
  <c r="DL44" i="33"/>
  <c r="CW85" i="33"/>
  <c r="IY131" i="34"/>
  <c r="AD121" i="34"/>
  <c r="CN38" i="33"/>
  <c r="DE139" i="34"/>
  <c r="BQ30" i="33"/>
  <c r="S50" i="23"/>
  <c r="LI128" i="34"/>
  <c r="CE41" i="33"/>
  <c r="JU87" i="34"/>
  <c r="CD63" i="33"/>
  <c r="AL42" i="33"/>
  <c r="CZ74" i="33"/>
  <c r="MK75" i="34"/>
  <c r="DB90" i="33"/>
  <c r="DZ66" i="33"/>
  <c r="AS187" i="34"/>
  <c r="DI126" i="34"/>
  <c r="EQ9" i="33"/>
  <c r="DD85" i="33"/>
  <c r="AY96" i="34"/>
  <c r="IC97" i="34"/>
  <c r="BC33" i="33"/>
  <c r="S76" i="33"/>
  <c r="DB46" i="34"/>
  <c r="AN133" i="34"/>
  <c r="G33" i="33"/>
  <c r="CH54" i="33"/>
  <c r="EK94" i="34"/>
  <c r="AN92" i="33"/>
  <c r="GN74" i="33"/>
  <c r="GF52" i="33"/>
  <c r="GL67" i="33"/>
  <c r="IC74" i="34"/>
  <c r="BY66" i="33"/>
  <c r="AA67" i="33"/>
  <c r="NJ71" i="34"/>
  <c r="CE119" i="34"/>
  <c r="MJ167" i="34"/>
  <c r="FU156" i="34"/>
  <c r="CL101" i="34"/>
  <c r="CH71" i="33"/>
  <c r="DC60" i="33"/>
  <c r="AZ64" i="34"/>
  <c r="HL5" i="34"/>
  <c r="BA164" i="34"/>
  <c r="BU27" i="33"/>
  <c r="DF178" i="34"/>
  <c r="EX69" i="34"/>
  <c r="BM47" i="33"/>
  <c r="OI63" i="34"/>
  <c r="FN183" i="34"/>
  <c r="MD59" i="34"/>
  <c r="IY113" i="34"/>
  <c r="MO86" i="34"/>
  <c r="T112" i="34"/>
  <c r="EQ28" i="33"/>
  <c r="DA144" i="34"/>
  <c r="FO169" i="34"/>
  <c r="AJ31" i="33"/>
  <c r="EA167" i="34"/>
  <c r="DH59" i="34"/>
  <c r="CO58" i="34"/>
  <c r="KO187" i="34"/>
  <c r="IY183" i="34"/>
  <c r="LY146" i="34"/>
  <c r="EX157" i="34"/>
  <c r="ID132" i="34"/>
  <c r="NC62" i="34"/>
  <c r="JW55" i="34"/>
  <c r="CU41" i="33"/>
  <c r="EX82" i="34"/>
  <c r="PK115" i="34"/>
  <c r="FV139" i="34"/>
  <c r="FJ57" i="33"/>
  <c r="AA160" i="34"/>
  <c r="BC41" i="33"/>
  <c r="AV55" i="34"/>
  <c r="AX80" i="34"/>
  <c r="EA60" i="34"/>
  <c r="KR159" i="34"/>
  <c r="V12" i="17"/>
  <c r="X71" i="33"/>
  <c r="FW132" i="34"/>
  <c r="JX104" i="34"/>
  <c r="CL56" i="33"/>
  <c r="CE138" i="34"/>
  <c r="ME92" i="34"/>
  <c r="I26" i="33"/>
  <c r="PA97" i="34"/>
  <c r="MI145" i="34"/>
  <c r="T144" i="34"/>
  <c r="BL41" i="33"/>
  <c r="BR64" i="33"/>
  <c r="EM71" i="33"/>
  <c r="L56" i="33"/>
  <c r="DW145" i="34"/>
  <c r="GO90" i="34"/>
  <c r="AV84" i="33"/>
  <c r="NJ94" i="34"/>
  <c r="X155" i="34"/>
  <c r="DR39" i="33"/>
  <c r="CW86" i="33"/>
  <c r="GG81" i="33"/>
  <c r="J170" i="34"/>
  <c r="AQ66" i="33"/>
  <c r="JE156" i="34"/>
  <c r="JW52" i="34"/>
  <c r="FY77" i="33"/>
  <c r="AZ53" i="33"/>
  <c r="NK80" i="34"/>
  <c r="CN83" i="34"/>
  <c r="PZ109" i="34"/>
  <c r="AD53" i="34"/>
  <c r="IE126" i="34"/>
  <c r="CB62" i="33"/>
  <c r="AO76" i="34"/>
  <c r="IR175" i="34"/>
  <c r="EZ146" i="34"/>
  <c r="AC64" i="33"/>
  <c r="AY56" i="34"/>
  <c r="DR53" i="33"/>
  <c r="FF61" i="33"/>
  <c r="MC131" i="34"/>
  <c r="AN108" i="34"/>
  <c r="KL156" i="34"/>
  <c r="IT168" i="34"/>
  <c r="AV110" i="34"/>
  <c r="KA120" i="34"/>
  <c r="FX54" i="33"/>
  <c r="BA111" i="34"/>
  <c r="BI43" i="33"/>
  <c r="ED66" i="33"/>
  <c r="DN57" i="33"/>
  <c r="CM78" i="34"/>
  <c r="EJ71" i="33"/>
  <c r="IV133" i="34"/>
  <c r="NI86" i="34"/>
  <c r="GM119" i="34"/>
  <c r="KO97" i="34"/>
  <c r="AB41" i="34"/>
  <c r="EY86" i="34"/>
  <c r="DE55" i="33"/>
  <c r="JB186" i="34"/>
  <c r="DT62" i="33"/>
  <c r="GF77" i="33"/>
  <c r="GI75" i="33"/>
  <c r="AP86" i="33"/>
  <c r="DF138" i="34"/>
  <c r="DY144" i="34"/>
  <c r="S11" i="17"/>
  <c r="N59" i="33"/>
  <c r="DD170" i="34"/>
  <c r="AQ63" i="34"/>
  <c r="DX39" i="33"/>
  <c r="HD82" i="34"/>
  <c r="FV71" i="33"/>
  <c r="BV40" i="33"/>
  <c r="FN63" i="33"/>
  <c r="GG90" i="33"/>
  <c r="BB81" i="33"/>
  <c r="AW92" i="33"/>
  <c r="BR113" i="34"/>
  <c r="EV73" i="33"/>
  <c r="AC81" i="34"/>
  <c r="CU84" i="33"/>
  <c r="DW72" i="34"/>
  <c r="K142" i="34"/>
  <c r="CX63" i="33"/>
  <c r="JE54" i="34"/>
  <c r="CM149" i="34"/>
  <c r="FS82" i="33"/>
  <c r="BE51" i="33"/>
  <c r="BQ121" i="34"/>
  <c r="CP29" i="33"/>
  <c r="KQ121" i="34"/>
  <c r="FW59" i="33"/>
  <c r="GK68" i="34"/>
  <c r="LY109" i="34"/>
  <c r="GM46" i="33"/>
  <c r="EE63" i="33"/>
  <c r="F33" i="33"/>
  <c r="EY165" i="34"/>
  <c r="GG33" i="33"/>
  <c r="CH142" i="34"/>
  <c r="DY45" i="33"/>
  <c r="L28" i="33"/>
  <c r="LK154" i="34"/>
  <c r="AX155" i="34"/>
  <c r="GN46" i="33"/>
  <c r="Z61" i="34"/>
  <c r="BY60" i="33"/>
  <c r="GL74" i="33"/>
  <c r="GM135" i="34"/>
  <c r="ER83" i="33"/>
  <c r="FW73" i="33"/>
  <c r="EW67" i="33"/>
  <c r="DP67" i="33"/>
  <c r="DC174" i="34"/>
  <c r="V53" i="33"/>
  <c r="FR70" i="34"/>
  <c r="FB129" i="34"/>
  <c r="Y135" i="34"/>
  <c r="MG170" i="34"/>
  <c r="FA79" i="34"/>
  <c r="NL181" i="34"/>
  <c r="DD61" i="33"/>
  <c r="DJ79" i="34"/>
  <c r="LI171" i="34"/>
  <c r="AX76" i="34"/>
  <c r="B30" i="17"/>
  <c r="AX150" i="34"/>
  <c r="AK53" i="33"/>
  <c r="DI172" i="34"/>
  <c r="DA188" i="34"/>
  <c r="BV54" i="33"/>
  <c r="NA171" i="34"/>
  <c r="FS28" i="33"/>
  <c r="X31" i="33"/>
  <c r="HG106" i="34"/>
  <c r="CP83" i="33"/>
  <c r="K183" i="34"/>
  <c r="JX77" i="34"/>
  <c r="HU139" i="34"/>
  <c r="AQ61" i="33"/>
  <c r="HY76" i="34"/>
  <c r="GH36" i="33"/>
  <c r="S50" i="33"/>
  <c r="G31" i="33"/>
  <c r="GP80" i="34"/>
  <c r="DF92" i="34"/>
  <c r="NK104" i="34"/>
  <c r="GB45" i="33"/>
  <c r="CB48" i="33"/>
  <c r="CE130" i="34"/>
  <c r="KA98" i="34"/>
  <c r="FR60" i="33"/>
  <c r="DF134" i="34"/>
  <c r="L51" i="33"/>
  <c r="JU156" i="34"/>
  <c r="CN48" i="34"/>
  <c r="AD54" i="33"/>
  <c r="AF46" i="33"/>
  <c r="DR79" i="33"/>
  <c r="AU51" i="33"/>
  <c r="EH101" i="34"/>
  <c r="DC79" i="33"/>
  <c r="CV51" i="33"/>
  <c r="MB92" i="34"/>
  <c r="P25" i="33"/>
  <c r="HE138" i="34"/>
  <c r="CM56" i="34"/>
  <c r="JY99" i="34"/>
  <c r="EQ57" i="33"/>
  <c r="FT45" i="33"/>
  <c r="ES9" i="33"/>
  <c r="EC128" i="34"/>
  <c r="BB122" i="34"/>
  <c r="LA64" i="34"/>
  <c r="JH123" i="34"/>
  <c r="AJ80" i="33"/>
  <c r="CN37" i="33"/>
  <c r="AC50" i="34"/>
  <c r="AB178" i="34"/>
  <c r="EM68" i="33"/>
  <c r="CO162" i="34"/>
  <c r="W58" i="33"/>
  <c r="HX132" i="34"/>
  <c r="GQ104" i="34"/>
  <c r="ED74" i="34"/>
  <c r="EM52" i="33"/>
  <c r="DP34" i="33"/>
  <c r="EY32" i="33"/>
  <c r="AA66" i="34"/>
  <c r="AO140" i="34"/>
  <c r="GH78" i="33"/>
  <c r="GA61" i="33"/>
  <c r="DS70" i="33"/>
  <c r="EE161" i="34"/>
  <c r="CU40" i="33"/>
  <c r="EV46" i="33"/>
  <c r="ER78" i="33"/>
  <c r="DM48" i="33"/>
  <c r="DP25" i="33"/>
  <c r="BO64" i="33"/>
  <c r="G61" i="33"/>
  <c r="FP41" i="33"/>
  <c r="GO59" i="33"/>
  <c r="AT69" i="34"/>
  <c r="X115" i="34"/>
  <c r="AI92" i="33"/>
  <c r="DJ73" i="33"/>
  <c r="CS77" i="33"/>
  <c r="HU150" i="34"/>
  <c r="BN61" i="33"/>
  <c r="HV43" i="34"/>
  <c r="DE43" i="33"/>
  <c r="JZ65" i="34"/>
  <c r="AJ72" i="33"/>
  <c r="GF92" i="33"/>
  <c r="PY83" i="34"/>
  <c r="BQ160" i="34"/>
  <c r="FS124" i="34"/>
  <c r="JW187" i="34"/>
  <c r="JT112" i="34"/>
  <c r="IT118" i="34"/>
  <c r="EE75" i="33"/>
  <c r="HG111" i="34"/>
  <c r="BB155" i="34"/>
  <c r="FD62" i="33"/>
  <c r="AE65" i="33"/>
  <c r="BL62" i="33"/>
  <c r="DS45" i="33"/>
  <c r="IW89" i="34"/>
  <c r="NB65" i="34"/>
  <c r="GK79" i="34"/>
  <c r="CZ42" i="33"/>
  <c r="AQ149" i="34"/>
  <c r="BF78" i="33"/>
  <c r="GK70" i="33"/>
  <c r="EX145" i="34"/>
  <c r="GD49" i="33"/>
  <c r="GQ133" i="34"/>
  <c r="EK158" i="34"/>
  <c r="DM86" i="33"/>
  <c r="DY92" i="33"/>
  <c r="PA81" i="34"/>
  <c r="ER66" i="33"/>
  <c r="CK58" i="33"/>
  <c r="BB130" i="34"/>
  <c r="DX156" i="34"/>
  <c r="AC142" i="34"/>
  <c r="EX144" i="34"/>
  <c r="CF32" i="33"/>
  <c r="GQ69" i="34"/>
  <c r="R85" i="33"/>
  <c r="CX46" i="33"/>
  <c r="V44" i="34"/>
  <c r="FS72" i="33"/>
  <c r="AR81" i="33"/>
  <c r="FT61" i="33"/>
  <c r="AS85" i="34"/>
  <c r="EX65" i="34"/>
  <c r="EM90" i="33"/>
  <c r="BH86" i="33"/>
  <c r="IR138" i="34"/>
  <c r="DB167" i="34"/>
  <c r="BF39" i="33"/>
  <c r="CN42" i="33"/>
  <c r="S33" i="23"/>
  <c r="AZ38" i="33"/>
  <c r="AS72" i="33"/>
  <c r="PZ81" i="34"/>
  <c r="DE20" i="33"/>
  <c r="LD157" i="34"/>
  <c r="AD44" i="33"/>
  <c r="FS43" i="34"/>
  <c r="AU77" i="33"/>
  <c r="CM67" i="34"/>
  <c r="EY82" i="33"/>
  <c r="BO69" i="33"/>
  <c r="AM61" i="34"/>
  <c r="IT138" i="34"/>
  <c r="GL181" i="34"/>
  <c r="BB152" i="34"/>
  <c r="CE46" i="33"/>
  <c r="L68" i="33"/>
  <c r="Z132" i="34"/>
  <c r="AP156" i="34"/>
  <c r="BC83" i="33"/>
  <c r="AC43" i="33"/>
  <c r="GP82" i="34"/>
  <c r="AZ75" i="34"/>
  <c r="P60" i="33"/>
  <c r="MA181" i="34"/>
  <c r="N39" i="33"/>
  <c r="KQ135" i="34"/>
  <c r="MJ188" i="34"/>
  <c r="EE26" i="33"/>
  <c r="AD163" i="34"/>
  <c r="Z84" i="34"/>
  <c r="ID47" i="34"/>
  <c r="BJ46" i="33"/>
  <c r="S88" i="23"/>
  <c r="FU32" i="33"/>
  <c r="FD34" i="33"/>
  <c r="EY52" i="33"/>
  <c r="FX69" i="33"/>
  <c r="AF28" i="33"/>
  <c r="EK63" i="33"/>
  <c r="BY68" i="33"/>
  <c r="ID50" i="34"/>
  <c r="EX106" i="34"/>
  <c r="HG102" i="34"/>
  <c r="W70" i="34"/>
  <c r="HG173" i="34"/>
  <c r="DF45" i="34"/>
  <c r="AU140" i="34"/>
  <c r="DG76" i="33"/>
  <c r="GM52" i="33"/>
  <c r="FI92" i="33"/>
  <c r="OK148" i="34"/>
  <c r="CH52" i="34"/>
  <c r="EC43" i="34"/>
  <c r="AA57" i="33"/>
  <c r="LK139" i="34"/>
  <c r="CY67" i="33"/>
  <c r="CK42" i="34"/>
  <c r="GI52" i="33"/>
  <c r="EB97" i="34"/>
  <c r="JC99" i="34"/>
  <c r="Z44" i="33"/>
  <c r="AF84" i="33"/>
  <c r="FJ90" i="33"/>
  <c r="EV49" i="33"/>
  <c r="DZ61" i="34"/>
  <c r="BE79" i="33"/>
  <c r="V34" i="17"/>
  <c r="H43" i="33"/>
  <c r="CF84" i="34"/>
  <c r="FZ63" i="33"/>
  <c r="AA79" i="34"/>
  <c r="PI100" i="34"/>
  <c r="FU123" i="34"/>
  <c r="Y87" i="34"/>
  <c r="EF71" i="34"/>
  <c r="CS65" i="33"/>
  <c r="DX72" i="33"/>
  <c r="FG39" i="33"/>
  <c r="BE41" i="33"/>
  <c r="K116" i="34"/>
  <c r="FG82" i="33"/>
  <c r="DH73" i="34"/>
  <c r="ED32" i="33"/>
  <c r="AM175" i="34"/>
  <c r="JA63" i="34"/>
  <c r="K141" i="34"/>
  <c r="S45" i="33"/>
  <c r="EE133" i="34"/>
  <c r="BF26" i="33"/>
  <c r="KQ171" i="34"/>
  <c r="FN78" i="34"/>
  <c r="FZ79" i="33"/>
  <c r="ID63" i="34"/>
  <c r="DG55" i="34"/>
  <c r="CM162" i="34"/>
  <c r="K83" i="33"/>
  <c r="BI65" i="33"/>
  <c r="FA39" i="33"/>
  <c r="BM62" i="33"/>
  <c r="AL62" i="33"/>
  <c r="FT91" i="34"/>
  <c r="R54" i="33"/>
  <c r="R64" i="33"/>
  <c r="AU38" i="33"/>
  <c r="DE53" i="34"/>
  <c r="GO150" i="34"/>
  <c r="CF66" i="33"/>
  <c r="AJ32" i="33"/>
  <c r="GN70" i="33"/>
  <c r="HF83" i="34"/>
  <c r="CI71" i="34"/>
  <c r="KQ60" i="34"/>
  <c r="AY181" i="34"/>
  <c r="DZ42" i="34"/>
  <c r="FO128" i="34"/>
  <c r="PZ122" i="34"/>
  <c r="HV161" i="34"/>
  <c r="DN41" i="33"/>
  <c r="DC171" i="34"/>
  <c r="AF90" i="33"/>
  <c r="CN9" i="33"/>
  <c r="PK175" i="34"/>
  <c r="AE90" i="33"/>
  <c r="AK26" i="33"/>
  <c r="GJ153" i="34"/>
  <c r="AQ172" i="34"/>
  <c r="AL46" i="33"/>
  <c r="CU9" i="33"/>
  <c r="DY56" i="33"/>
  <c r="FT47" i="34"/>
  <c r="BM58" i="28"/>
  <c r="FP46" i="33"/>
  <c r="JX57" i="34"/>
  <c r="I12" i="3"/>
  <c r="FR80" i="33"/>
  <c r="KA103" i="34"/>
  <c r="LG45" i="34"/>
  <c r="DU54" i="33"/>
  <c r="FV40" i="33"/>
  <c r="BA137" i="34"/>
  <c r="LY156" i="34"/>
  <c r="CI165" i="34"/>
  <c r="Z88" i="34"/>
  <c r="AC129" i="34"/>
  <c r="GH27" i="33"/>
  <c r="EH57" i="34"/>
  <c r="HE176" i="34"/>
  <c r="BP104" i="34"/>
  <c r="FI81" i="33"/>
  <c r="AZ127" i="34"/>
  <c r="CW78" i="33"/>
  <c r="FX36" i="33"/>
  <c r="DC137" i="34"/>
  <c r="AB74" i="34"/>
  <c r="FK29" i="33"/>
  <c r="ES39" i="33"/>
  <c r="EP57" i="33"/>
  <c r="CJ85" i="33"/>
  <c r="MN175" i="34"/>
  <c r="G34" i="33"/>
  <c r="H48" i="33"/>
  <c r="GK82" i="34"/>
  <c r="P58" i="33"/>
  <c r="AR119" i="34"/>
  <c r="EH126" i="34"/>
  <c r="DD70" i="33"/>
  <c r="HY50" i="34"/>
  <c r="S20" i="23"/>
  <c r="AD82" i="33"/>
  <c r="FB123" i="34"/>
  <c r="EJ42" i="33"/>
  <c r="DA50" i="33"/>
  <c r="EK131" i="34"/>
  <c r="V49" i="33"/>
  <c r="CJ155" i="34"/>
  <c r="GN47" i="33"/>
  <c r="MA82" i="34"/>
  <c r="DR69" i="33"/>
  <c r="MB141" i="34"/>
  <c r="KP131" i="34"/>
  <c r="JE101" i="34"/>
  <c r="AP124" i="34"/>
  <c r="DX66" i="34"/>
  <c r="EX183" i="34"/>
  <c r="HH89" i="34"/>
  <c r="JD82" i="34"/>
  <c r="LG102" i="34"/>
  <c r="HV104" i="34"/>
  <c r="BN76" i="33"/>
  <c r="FF71" i="33"/>
  <c r="AP147" i="34"/>
  <c r="BH29" i="33"/>
  <c r="IA136" i="34"/>
  <c r="FR81" i="33"/>
  <c r="B73" i="28"/>
  <c r="HF74" i="34"/>
  <c r="BU9" i="33"/>
  <c r="ND124" i="34"/>
  <c r="AW126" i="34"/>
  <c r="CR62" i="33"/>
  <c r="CR26" i="33"/>
  <c r="JU44" i="34"/>
  <c r="CA71" i="33"/>
  <c r="NO187" i="34"/>
  <c r="LG57" i="34"/>
  <c r="W113" i="34"/>
  <c r="LC187" i="34"/>
  <c r="BQ44" i="33"/>
  <c r="GL58" i="33"/>
  <c r="AR57" i="33"/>
  <c r="BQ144" i="34"/>
  <c r="F25" i="33"/>
  <c r="AA159" i="34"/>
  <c r="DY90" i="33"/>
  <c r="DN79" i="33"/>
  <c r="DC127" i="34"/>
  <c r="FW154" i="34"/>
  <c r="GM57" i="33"/>
  <c r="IA112" i="34"/>
  <c r="CU77" i="33"/>
  <c r="GN152" i="34"/>
  <c r="IC87" i="34"/>
  <c r="CS81" i="33"/>
  <c r="FX49" i="33"/>
  <c r="DD90" i="34"/>
  <c r="V157" i="34"/>
  <c r="FD38" i="33"/>
  <c r="BL50" i="33"/>
  <c r="DC33" i="33"/>
  <c r="S46" i="33"/>
  <c r="DS61" i="33"/>
  <c r="AG80" i="33"/>
  <c r="BG35" i="33"/>
  <c r="AU33" i="33"/>
  <c r="AK43" i="33"/>
  <c r="BS46" i="33"/>
  <c r="DX75" i="33"/>
  <c r="LG43" i="34"/>
  <c r="FT77" i="33"/>
  <c r="EJ59" i="33"/>
  <c r="CJ132" i="34"/>
  <c r="AS88" i="34"/>
  <c r="FF90" i="33"/>
  <c r="DZ69" i="33"/>
  <c r="L37" i="33"/>
  <c r="GJ39" i="33"/>
  <c r="CF34" i="33"/>
  <c r="FQ49" i="34"/>
  <c r="FV69" i="34"/>
  <c r="W187" i="34"/>
  <c r="CL90" i="33"/>
  <c r="MF104" i="34"/>
  <c r="EY66" i="34"/>
  <c r="FJ62" i="33"/>
  <c r="IW188" i="34"/>
  <c r="GD53" i="33"/>
  <c r="EZ79" i="33"/>
  <c r="AT128" i="34"/>
  <c r="FT118" i="34"/>
  <c r="GE74" i="33"/>
  <c r="BS64" i="33"/>
  <c r="FO37" i="33"/>
  <c r="FV93" i="34"/>
  <c r="AT54" i="34"/>
  <c r="BT73" i="33"/>
  <c r="DG70" i="34"/>
  <c r="ER28" i="33"/>
  <c r="AM28" i="33"/>
  <c r="AS106" i="34"/>
  <c r="HE171" i="34"/>
  <c r="AG48" i="33"/>
  <c r="KM149" i="34"/>
  <c r="HG90" i="34"/>
  <c r="CK96" i="34"/>
  <c r="BE83" i="33"/>
  <c r="GU4" i="34"/>
  <c r="HX149" i="34"/>
  <c r="DR90" i="33"/>
  <c r="BH7" i="34"/>
  <c r="BM66" i="28"/>
  <c r="FE45" i="33"/>
  <c r="EY85" i="33"/>
  <c r="GO38" i="33"/>
  <c r="FT96" i="34"/>
  <c r="CR67" i="33"/>
  <c r="S13" i="17"/>
  <c r="FR91" i="34"/>
  <c r="D46" i="17"/>
  <c r="GA76" i="33"/>
  <c r="FT49" i="33"/>
  <c r="CU64" i="33"/>
  <c r="BH40" i="33"/>
  <c r="EF186" i="34"/>
  <c r="EW65" i="33"/>
  <c r="NO169" i="34"/>
  <c r="DZ53" i="34"/>
  <c r="OL100" i="34"/>
  <c r="DK32" i="33"/>
  <c r="H35" i="33"/>
  <c r="AB50" i="34"/>
  <c r="CW35" i="33"/>
  <c r="CL42" i="34"/>
  <c r="EA136" i="34"/>
  <c r="GA53" i="33"/>
  <c r="CF181" i="34"/>
  <c r="DP52" i="33"/>
  <c r="JF139" i="34"/>
  <c r="GA51" i="33"/>
  <c r="T85" i="33"/>
  <c r="FE9" i="33"/>
  <c r="HW88" i="34"/>
  <c r="AM61" i="33"/>
  <c r="FA52" i="33"/>
  <c r="BY77" i="33"/>
  <c r="EG153" i="34"/>
  <c r="CO59" i="33"/>
  <c r="AU153" i="34"/>
  <c r="AR47" i="33"/>
  <c r="DA48" i="33"/>
  <c r="BR39" i="33"/>
  <c r="CH106" i="34"/>
  <c r="FN68" i="33"/>
  <c r="CK138" i="34"/>
  <c r="AN144" i="34"/>
  <c r="EJ147" i="34"/>
  <c r="GL57" i="33"/>
  <c r="GF84" i="33"/>
  <c r="EG26" i="33"/>
  <c r="CV73" i="33"/>
  <c r="DV108" i="34"/>
  <c r="MF111" i="34"/>
  <c r="FS75" i="34"/>
  <c r="JC66" i="34"/>
  <c r="FU58" i="33"/>
  <c r="CS27" i="33"/>
  <c r="AT140" i="34"/>
  <c r="ME152" i="34"/>
  <c r="EV47" i="33"/>
  <c r="EQ41" i="33"/>
  <c r="CO124" i="34"/>
  <c r="AQ56" i="33"/>
  <c r="W136" i="34"/>
  <c r="AW122" i="34"/>
  <c r="IE53" i="34"/>
  <c r="AZ39" i="33"/>
  <c r="EJ166" i="34"/>
  <c r="KL175" i="34"/>
  <c r="BA85" i="33"/>
  <c r="AE39" i="33"/>
  <c r="X86" i="33"/>
  <c r="EG124" i="34"/>
  <c r="AY125" i="34"/>
  <c r="K44" i="33"/>
  <c r="BR57" i="34"/>
  <c r="CQ28" i="33"/>
  <c r="EW144" i="34"/>
  <c r="MC160" i="34"/>
  <c r="J42" i="33"/>
  <c r="AT137" i="34"/>
  <c r="EE68" i="33"/>
  <c r="AW48" i="34"/>
  <c r="AP40" i="33"/>
  <c r="GO50" i="34"/>
  <c r="NE67" i="34"/>
  <c r="DD38" i="33"/>
  <c r="CL50" i="33"/>
  <c r="JU166" i="34"/>
  <c r="EX92" i="34"/>
  <c r="BR50" i="33"/>
  <c r="DA100" i="34"/>
  <c r="KL133" i="34"/>
  <c r="DM51" i="33"/>
  <c r="AC35" i="33"/>
  <c r="IB142" i="34"/>
  <c r="BO58" i="33"/>
  <c r="DX46" i="33"/>
  <c r="FR45" i="34"/>
  <c r="CO153" i="34"/>
  <c r="EY84" i="34"/>
  <c r="GM33" i="33"/>
  <c r="LJ54" i="34"/>
  <c r="MJ107" i="34"/>
  <c r="AR67" i="34"/>
  <c r="B25" i="17"/>
  <c r="BV73" i="33"/>
  <c r="FG56" i="33"/>
  <c r="KQ166" i="34"/>
  <c r="AC37" i="33"/>
  <c r="GA71" i="33"/>
  <c r="KQ140" i="34"/>
  <c r="IT105" i="34"/>
  <c r="FN172" i="34"/>
  <c r="O71" i="33"/>
  <c r="BB62" i="34"/>
  <c r="GK101" i="34"/>
  <c r="LF154" i="34"/>
  <c r="J53" i="33"/>
  <c r="GO39" i="33"/>
  <c r="KR90" i="34"/>
  <c r="AZ28" i="33"/>
  <c r="AA90" i="33"/>
  <c r="BY82" i="33"/>
  <c r="AX121" i="34"/>
  <c r="BT46" i="33"/>
  <c r="DG174" i="34"/>
  <c r="BA80" i="34"/>
  <c r="DV99" i="34"/>
  <c r="G85" i="33"/>
  <c r="CL47" i="33"/>
  <c r="IS156" i="34"/>
  <c r="IV54" i="34"/>
  <c r="NP62" i="34"/>
  <c r="EQ33" i="33"/>
  <c r="H44" i="33"/>
  <c r="DJ144" i="34"/>
  <c r="GH72" i="33"/>
  <c r="AG25" i="33"/>
  <c r="AY138" i="34"/>
  <c r="BN72" i="34"/>
  <c r="GE29" i="33"/>
  <c r="CU69" i="33"/>
  <c r="DG43" i="34"/>
  <c r="AK58" i="33"/>
  <c r="FR85" i="33"/>
  <c r="EL80" i="33"/>
  <c r="CC50" i="33"/>
  <c r="CL33" i="33"/>
  <c r="GQ88" i="34"/>
  <c r="DL41" i="33"/>
  <c r="FT139" i="34"/>
  <c r="FK78" i="33"/>
  <c r="BS55" i="33"/>
  <c r="PA49" i="34"/>
  <c r="AF63" i="33"/>
  <c r="EV92" i="33"/>
  <c r="PZ145" i="34"/>
  <c r="FP82" i="33"/>
  <c r="NK146" i="34"/>
  <c r="CP53" i="33"/>
  <c r="HD188" i="34"/>
  <c r="X134" i="34"/>
  <c r="JT143" i="34"/>
  <c r="DY77" i="34"/>
  <c r="CD47" i="34"/>
  <c r="AY45" i="33"/>
  <c r="AV138" i="34"/>
  <c r="G25" i="33"/>
  <c r="DH34" i="33"/>
  <c r="AN78" i="33"/>
  <c r="V70" i="33"/>
  <c r="EW101" i="34"/>
  <c r="DN47" i="33"/>
  <c r="GO187" i="34"/>
  <c r="KL154" i="34"/>
  <c r="AZ27" i="33"/>
  <c r="HF166" i="34"/>
  <c r="FP39" i="33"/>
  <c r="EG66" i="33"/>
  <c r="BB175" i="34"/>
  <c r="S96" i="23"/>
  <c r="FA159" i="34"/>
  <c r="L57" i="33"/>
  <c r="ES43" i="33"/>
  <c r="EL34" i="33"/>
  <c r="DL33" i="33"/>
  <c r="DH172" i="34"/>
  <c r="DR72" i="33"/>
  <c r="R42" i="33"/>
  <c r="W78" i="34"/>
  <c r="FE86" i="33"/>
  <c r="BO50" i="33"/>
  <c r="DD89" i="34"/>
  <c r="BI86" i="33"/>
  <c r="DZ170" i="34"/>
  <c r="KQ155" i="34"/>
  <c r="Y186" i="34"/>
  <c r="T30" i="33"/>
  <c r="CV48" i="33"/>
  <c r="BZ69" i="33"/>
  <c r="DO30" i="33"/>
  <c r="BA117" i="34"/>
  <c r="EA83" i="33"/>
  <c r="DD153" i="34"/>
  <c r="AW57" i="33"/>
  <c r="CS63" i="33"/>
  <c r="EF47" i="33"/>
  <c r="KB142" i="34"/>
  <c r="GL68" i="33"/>
  <c r="CB84" i="33"/>
  <c r="HE122" i="34"/>
  <c r="FT63" i="33"/>
  <c r="JZ53" i="34"/>
  <c r="DS41" i="33"/>
  <c r="GM56" i="34"/>
  <c r="EQ51" i="33"/>
  <c r="EZ169" i="34"/>
  <c r="AP47" i="33"/>
  <c r="JF76" i="34"/>
  <c r="DP50" i="33"/>
  <c r="CQ46" i="33"/>
  <c r="AT75" i="34"/>
  <c r="AZ60" i="34"/>
  <c r="AP84" i="34"/>
  <c r="ED58" i="33"/>
  <c r="LJ103" i="34"/>
  <c r="L112" i="28"/>
  <c r="ER29" i="33"/>
  <c r="IY162" i="34"/>
  <c r="LK172" i="34"/>
  <c r="BU56" i="33"/>
  <c r="W162" i="34"/>
  <c r="CH154" i="34"/>
  <c r="CF122" i="34"/>
  <c r="JD43" i="34"/>
  <c r="FU44" i="34"/>
  <c r="PE71" i="34"/>
  <c r="DH29" i="33"/>
  <c r="IV112" i="34"/>
  <c r="FS171" i="34"/>
  <c r="AQ94" i="34"/>
  <c r="IE128" i="34"/>
  <c r="HU127" i="34"/>
  <c r="U84" i="33"/>
  <c r="BY45" i="33"/>
  <c r="HH159" i="34"/>
  <c r="HW158" i="34"/>
  <c r="CP80" i="33"/>
  <c r="DZ34" i="33"/>
  <c r="ED146" i="34"/>
  <c r="HV108" i="34"/>
  <c r="FR76" i="34"/>
  <c r="BW90" i="33"/>
  <c r="AL39" i="33"/>
  <c r="AO104" i="34"/>
  <c r="K73" i="33"/>
  <c r="EG88" i="34"/>
  <c r="CF59" i="33"/>
  <c r="BJ126" i="28"/>
  <c r="CW77" i="33"/>
  <c r="DD63" i="33"/>
  <c r="BU51" i="33"/>
  <c r="JV45" i="34"/>
  <c r="IE155" i="34"/>
  <c r="DY52" i="34"/>
  <c r="IB47" i="34"/>
  <c r="AA75" i="33"/>
  <c r="GE54" i="33"/>
  <c r="EX148" i="34"/>
  <c r="GJ150" i="34"/>
  <c r="LE169" i="34"/>
  <c r="DE112" i="34"/>
  <c r="F67" i="33"/>
  <c r="CM79" i="34"/>
  <c r="LX146" i="34"/>
  <c r="FC85" i="33"/>
  <c r="GP117" i="34"/>
  <c r="DJ62" i="33"/>
  <c r="CR34" i="33"/>
  <c r="FQ186" i="34"/>
  <c r="AU58" i="33"/>
  <c r="DK30" i="33"/>
  <c r="O73" i="33"/>
  <c r="EK85" i="33"/>
  <c r="ID166" i="34"/>
  <c r="FW165" i="34"/>
  <c r="DH9" i="33"/>
  <c r="CZ41" i="33"/>
  <c r="F47" i="1"/>
  <c r="Y159" i="34"/>
  <c r="CE79" i="33"/>
  <c r="EF99" i="34"/>
  <c r="FS46" i="34"/>
  <c r="LZ144" i="34"/>
  <c r="GJ9" i="33"/>
  <c r="JG175" i="34"/>
  <c r="LD70" i="34"/>
  <c r="BO9" i="33"/>
  <c r="AV86" i="33"/>
  <c r="FT41" i="34"/>
  <c r="DJ57" i="33"/>
  <c r="CE108" i="34"/>
  <c r="GE36" i="33"/>
  <c r="EZ176" i="34"/>
  <c r="Z130" i="34"/>
  <c r="AD55" i="33"/>
  <c r="CU33" i="33"/>
  <c r="IA116" i="34"/>
  <c r="CE145" i="34"/>
  <c r="BJ82" i="28"/>
  <c r="EA83" i="34"/>
  <c r="MB93" i="34"/>
  <c r="AC46" i="33"/>
  <c r="IT101" i="34"/>
  <c r="EI135" i="34"/>
  <c r="BV42" i="33"/>
  <c r="BC40" i="33"/>
  <c r="EH136" i="34"/>
  <c r="AR61" i="33"/>
  <c r="DF132" i="34"/>
  <c r="DF63" i="33"/>
  <c r="DH76" i="33"/>
  <c r="EE74" i="34"/>
  <c r="DM53" i="33"/>
  <c r="JV186" i="34"/>
  <c r="B67" i="28"/>
  <c r="GL56" i="33"/>
  <c r="O77" i="33"/>
  <c r="AO56" i="34"/>
  <c r="IV73" i="34"/>
  <c r="FT60" i="34"/>
  <c r="HY82" i="34"/>
  <c r="CE48" i="34"/>
  <c r="BJ68" i="33"/>
  <c r="ED138" i="34"/>
  <c r="FI67" i="33"/>
  <c r="MN162" i="34"/>
  <c r="FW159" i="34"/>
  <c r="DA103" i="34"/>
  <c r="J74" i="34"/>
  <c r="MG62" i="34"/>
  <c r="JT187" i="34"/>
  <c r="EQ11" i="34"/>
  <c r="AR51" i="33"/>
  <c r="DX50" i="33"/>
  <c r="J85" i="33"/>
  <c r="CW51" i="33"/>
  <c r="BN100" i="34"/>
  <c r="BV65" i="33"/>
  <c r="BS86" i="33"/>
  <c r="AN121" i="34"/>
  <c r="OL68" i="34"/>
  <c r="JY92" i="34"/>
  <c r="LH63" i="34"/>
  <c r="V41" i="33"/>
  <c r="CF41" i="33"/>
  <c r="FT69" i="33"/>
  <c r="FX51" i="34"/>
  <c r="FY84" i="33"/>
  <c r="DC69" i="34"/>
  <c r="JZ173" i="34"/>
  <c r="AE63" i="33"/>
  <c r="AX52" i="34"/>
  <c r="BN44" i="34"/>
  <c r="AQ152" i="34"/>
  <c r="AT103" i="34"/>
  <c r="Y67" i="33"/>
  <c r="EF36" i="33"/>
  <c r="CI159" i="34"/>
  <c r="ID159" i="34"/>
  <c r="DU66" i="33"/>
  <c r="FY80" i="33"/>
  <c r="DX99" i="34"/>
  <c r="AF69" i="33"/>
  <c r="EW124" i="34"/>
  <c r="BO53" i="33"/>
  <c r="FL26" i="33"/>
  <c r="DB120" i="34"/>
  <c r="DH109" i="34"/>
  <c r="KA153" i="34"/>
  <c r="AX173" i="34"/>
  <c r="FM85" i="33"/>
  <c r="KL159" i="34"/>
  <c r="BG90" i="33"/>
  <c r="V76" i="34"/>
  <c r="GM62" i="33"/>
  <c r="CO172" i="34"/>
  <c r="KP72" i="34"/>
  <c r="GA90" i="33"/>
  <c r="FH45" i="33"/>
  <c r="EZ143" i="34"/>
  <c r="BA98" i="34"/>
  <c r="BJ117" i="28"/>
  <c r="DE84" i="33"/>
  <c r="BL36" i="33"/>
  <c r="DJ42" i="34"/>
  <c r="B85" i="28"/>
  <c r="BC28" i="33"/>
  <c r="AK48" i="33"/>
  <c r="FV36" i="33"/>
  <c r="NF61" i="34"/>
  <c r="T32" i="33"/>
  <c r="CO75" i="34"/>
  <c r="K136" i="34"/>
  <c r="EJ133" i="34"/>
  <c r="BM66" i="33"/>
  <c r="ES32" i="33"/>
  <c r="DT65" i="33"/>
  <c r="AP82" i="34"/>
  <c r="CN23" i="33"/>
  <c r="NE120" i="34"/>
  <c r="V67" i="34"/>
  <c r="FN164" i="34"/>
  <c r="CF92" i="33"/>
  <c r="U80" i="33"/>
  <c r="AO120" i="34"/>
  <c r="BI62" i="33"/>
  <c r="I83" i="33"/>
  <c r="J68" i="33"/>
  <c r="G9" i="33"/>
  <c r="MM150" i="34"/>
  <c r="L30" i="33"/>
  <c r="BR129" i="34"/>
  <c r="H35" i="17"/>
  <c r="LJ169" i="34"/>
  <c r="NF97" i="34"/>
  <c r="BP89" i="34"/>
  <c r="FQ108" i="34"/>
  <c r="DF42" i="34"/>
  <c r="DB34" i="33"/>
  <c r="FA36" i="33"/>
  <c r="FP29" i="33"/>
  <c r="F45" i="17"/>
  <c r="IC77" i="34"/>
  <c r="CL55" i="34"/>
  <c r="IE109" i="34"/>
  <c r="FD49" i="33"/>
  <c r="O67" i="33"/>
  <c r="GJ59" i="33"/>
  <c r="FQ148" i="34"/>
  <c r="KC154" i="34"/>
  <c r="EK140" i="34"/>
  <c r="IB97" i="34"/>
  <c r="IQ85" i="34"/>
  <c r="U42" i="33"/>
  <c r="HH81" i="34"/>
  <c r="DB140" i="34"/>
  <c r="LK166" i="34"/>
  <c r="AQ103" i="34"/>
  <c r="BF72" i="33"/>
  <c r="AV39" i="33"/>
  <c r="GK56" i="33"/>
  <c r="BJ50" i="28"/>
  <c r="CF150" i="34"/>
  <c r="JC68" i="34"/>
  <c r="T90" i="34"/>
  <c r="EA172" i="34"/>
  <c r="JF108" i="34"/>
  <c r="FL56" i="33"/>
  <c r="EY61" i="34"/>
  <c r="EY150" i="34"/>
  <c r="HT188" i="34"/>
  <c r="S87" i="23"/>
  <c r="GO72" i="33"/>
  <c r="BR93" i="34"/>
  <c r="S70" i="33"/>
  <c r="FS62" i="34"/>
  <c r="FT43" i="33"/>
  <c r="HD154" i="34"/>
  <c r="AZ133" i="34"/>
  <c r="LI85" i="34"/>
  <c r="CF64" i="33"/>
  <c r="FW51" i="33"/>
  <c r="CI75" i="33"/>
  <c r="FQ46" i="33"/>
  <c r="S43" i="23"/>
  <c r="E27" i="3"/>
  <c r="Y40" i="33"/>
  <c r="AW75" i="34"/>
  <c r="AD169" i="34"/>
  <c r="JA124" i="34"/>
  <c r="CE120" i="34"/>
  <c r="DS35" i="33"/>
  <c r="IW84" i="34"/>
  <c r="CW37" i="33"/>
  <c r="GL50" i="34"/>
  <c r="AQ65" i="33"/>
  <c r="KN53" i="34"/>
  <c r="IT149" i="34"/>
  <c r="AP42" i="34"/>
  <c r="HF128" i="34"/>
  <c r="CI78" i="33"/>
  <c r="AI84" i="33"/>
  <c r="BN52" i="33"/>
  <c r="FF46" i="33"/>
  <c r="ED38" i="33"/>
  <c r="ND175" i="34"/>
  <c r="EG137" i="34"/>
  <c r="BV81" i="33"/>
  <c r="CH149" i="34"/>
  <c r="CJ79" i="33"/>
  <c r="CN44" i="33"/>
  <c r="EK56" i="33"/>
  <c r="HF172" i="34"/>
  <c r="CO167" i="34"/>
  <c r="HW49" i="34"/>
  <c r="P51" i="33"/>
  <c r="BP95" i="34"/>
  <c r="FO72" i="33"/>
  <c r="EX88" i="34"/>
  <c r="T75" i="34"/>
  <c r="HY85" i="34"/>
  <c r="DY30" i="33"/>
  <c r="DA26" i="33"/>
  <c r="DJ69" i="33"/>
  <c r="X164" i="34"/>
  <c r="DN30" i="33"/>
  <c r="FJ64" i="33"/>
  <c r="CK57" i="33"/>
  <c r="HD116" i="34"/>
  <c r="JB120" i="34"/>
  <c r="DB48" i="34"/>
  <c r="AX90" i="34"/>
  <c r="FU125" i="34"/>
  <c r="MN151" i="34"/>
  <c r="AN135" i="34"/>
  <c r="AI69" i="33"/>
  <c r="AT37" i="33"/>
  <c r="U132" i="34"/>
  <c r="AX140" i="34"/>
  <c r="EC96" i="34"/>
  <c r="BL51" i="33"/>
  <c r="IE142" i="34"/>
  <c r="BN154" i="34"/>
  <c r="NC45" i="34"/>
  <c r="MO93" i="34"/>
  <c r="EC129" i="34"/>
  <c r="CN45" i="34"/>
  <c r="HZ84" i="34"/>
  <c r="KR153" i="34"/>
  <c r="ML110" i="34"/>
  <c r="EF144" i="34"/>
  <c r="DO49" i="33"/>
  <c r="EF109" i="34"/>
  <c r="HC187" i="34"/>
  <c r="AT109" i="34"/>
  <c r="GP175" i="34"/>
  <c r="BJ25" i="33"/>
  <c r="FL70" i="33"/>
  <c r="FF26" i="33"/>
  <c r="NI73" i="34"/>
  <c r="BV70" i="33"/>
  <c r="HY45" i="34"/>
  <c r="DX33" i="33"/>
  <c r="FR61" i="34"/>
  <c r="DX29" i="33"/>
  <c r="BI73" i="33"/>
  <c r="FO30" i="33"/>
  <c r="EM35" i="33"/>
  <c r="FI61" i="33"/>
  <c r="W167" i="34"/>
  <c r="EV40" i="33"/>
  <c r="GE23" i="33"/>
  <c r="LX67" i="34"/>
  <c r="BU92" i="33"/>
  <c r="X73" i="33"/>
  <c r="AO133" i="34"/>
  <c r="KP103" i="34"/>
  <c r="DX82" i="33"/>
  <c r="JT156" i="34"/>
  <c r="FM54" i="33"/>
  <c r="CF88" i="34"/>
  <c r="BU36" i="33"/>
  <c r="CF173" i="34"/>
  <c r="CF38" i="33"/>
  <c r="BT53" i="33"/>
  <c r="JB51" i="34"/>
  <c r="CF80" i="34"/>
  <c r="CO43" i="34"/>
  <c r="BN65" i="34"/>
  <c r="BB164" i="34"/>
  <c r="DD167" i="34"/>
  <c r="FA37" i="33"/>
  <c r="S43" i="33"/>
  <c r="F64" i="28"/>
  <c r="W168" i="34"/>
  <c r="CA92" i="33"/>
  <c r="FI79" i="33"/>
  <c r="PA48" i="34"/>
  <c r="DF171" i="34"/>
  <c r="FO130" i="34"/>
  <c r="MB53" i="34"/>
  <c r="AX57" i="33"/>
  <c r="S89" i="23"/>
  <c r="EQ42" i="33"/>
  <c r="JB107" i="34"/>
  <c r="DV151" i="34"/>
  <c r="GF29" i="33"/>
  <c r="CW64" i="33"/>
  <c r="AA172" i="34"/>
  <c r="AZ52" i="34"/>
  <c r="J68" i="34"/>
  <c r="GK121" i="34"/>
  <c r="EW65" i="34"/>
  <c r="FQ110" i="34"/>
  <c r="S97" i="23"/>
  <c r="S167" i="23"/>
  <c r="FA154" i="34"/>
  <c r="HY98" i="34"/>
  <c r="AU181" i="34"/>
  <c r="FI77" i="33"/>
  <c r="FA33" i="33"/>
  <c r="DU27" i="33"/>
  <c r="FE79" i="33"/>
  <c r="DZ169" i="34"/>
  <c r="AE48" i="33"/>
  <c r="BJ87" i="28"/>
  <c r="DJ41" i="33"/>
  <c r="OJ107" i="34"/>
  <c r="AJ28" i="33"/>
  <c r="DR42" i="33"/>
  <c r="HT72" i="34"/>
  <c r="IZ66" i="34"/>
  <c r="BO78" i="33"/>
  <c r="FX31" i="33"/>
  <c r="DP53" i="33"/>
  <c r="ED34" i="33"/>
  <c r="BI54" i="33"/>
  <c r="GO75" i="33"/>
  <c r="CL160" i="34"/>
  <c r="EK162" i="34"/>
  <c r="EB115" i="34"/>
  <c r="HG88" i="34"/>
  <c r="IY66" i="34"/>
  <c r="FK34" i="33"/>
  <c r="AT29" i="33"/>
  <c r="K151" i="28"/>
  <c r="IS54" i="34"/>
  <c r="HZ134" i="34"/>
  <c r="DJ82" i="33"/>
  <c r="M25" i="33"/>
  <c r="EG28" i="33"/>
  <c r="KP59" i="34"/>
  <c r="BU37" i="33"/>
  <c r="BJ32" i="28"/>
  <c r="MI149" i="34"/>
  <c r="P71" i="33"/>
  <c r="JU110" i="34"/>
  <c r="FT188" i="34"/>
  <c r="AG35" i="33"/>
  <c r="FP9" i="33"/>
  <c r="IC86" i="34"/>
  <c r="FD57" i="33"/>
  <c r="AV51" i="33"/>
  <c r="LJ133" i="34"/>
  <c r="HZ116" i="34"/>
  <c r="BA51" i="34"/>
  <c r="ED25" i="33"/>
  <c r="DN31" i="33"/>
  <c r="H40" i="33"/>
  <c r="AA125" i="34"/>
  <c r="GL62" i="33"/>
  <c r="AV90" i="34"/>
  <c r="EF169" i="34"/>
  <c r="IC154" i="34"/>
  <c r="IB70" i="34"/>
  <c r="BA61" i="34"/>
  <c r="OL75" i="34"/>
  <c r="AA92" i="34"/>
  <c r="LW145" i="34"/>
  <c r="FE50" i="33"/>
  <c r="DH98" i="34"/>
  <c r="EP76" i="33"/>
  <c r="K164" i="34"/>
  <c r="DU70" i="33"/>
  <c r="PE104" i="34"/>
  <c r="AC118" i="34"/>
  <c r="JY170" i="34"/>
  <c r="BK81" i="33"/>
  <c r="AU58" i="34"/>
  <c r="FF67" i="33"/>
  <c r="GL111" i="34"/>
  <c r="EG52" i="33"/>
  <c r="BW55" i="33"/>
  <c r="IY49" i="34"/>
  <c r="OJ154" i="34"/>
  <c r="FF34" i="33"/>
  <c r="LK149" i="34"/>
  <c r="DG88" i="34"/>
  <c r="HC115" i="34"/>
  <c r="EL85" i="33"/>
  <c r="FD67" i="33"/>
  <c r="JB134" i="34"/>
  <c r="JC105" i="34"/>
  <c r="HX59" i="34"/>
  <c r="DA62" i="33"/>
  <c r="BE68" i="33"/>
  <c r="EL44" i="33"/>
  <c r="EA158" i="34"/>
  <c r="EV41" i="33"/>
  <c r="AI32" i="33"/>
  <c r="DG57" i="33"/>
  <c r="DX104" i="34"/>
  <c r="DA81" i="33"/>
  <c r="JE145" i="34"/>
  <c r="J34" i="33"/>
  <c r="IE176" i="34"/>
  <c r="BN63" i="34"/>
  <c r="BR111" i="34"/>
  <c r="AP162" i="34"/>
  <c r="CP37" i="33"/>
  <c r="BH43" i="33"/>
  <c r="CL110" i="34"/>
  <c r="EA84" i="33"/>
  <c r="LB170" i="34"/>
  <c r="HZ87" i="34"/>
  <c r="DB30" i="33"/>
  <c r="AL51" i="33"/>
  <c r="JC61" i="34"/>
  <c r="DZ105" i="34"/>
  <c r="LZ104" i="34"/>
  <c r="DC99" i="34"/>
  <c r="HG151" i="34"/>
  <c r="DB133" i="34"/>
  <c r="DL63" i="33"/>
  <c r="EA146" i="34"/>
  <c r="FS99" i="34"/>
  <c r="HC84" i="34"/>
  <c r="FE82" i="33"/>
  <c r="LB183" i="34"/>
  <c r="EA35" i="33"/>
  <c r="CJ64" i="33"/>
  <c r="DW105" i="34"/>
  <c r="EA98" i="34"/>
  <c r="HX94" i="34"/>
  <c r="MF173" i="34"/>
  <c r="CW34" i="33"/>
  <c r="AP41" i="33"/>
  <c r="AM53" i="33"/>
  <c r="DR50" i="33"/>
  <c r="CU63" i="33"/>
  <c r="CF37" i="33"/>
  <c r="BS27" i="33"/>
  <c r="NA90" i="34"/>
  <c r="EV61" i="33"/>
  <c r="JB140" i="34"/>
  <c r="AE53" i="33"/>
  <c r="EV65" i="33"/>
  <c r="Z86" i="34"/>
  <c r="CI41" i="34"/>
  <c r="DJ42" i="33"/>
  <c r="DJ74" i="33"/>
  <c r="HD83" i="34"/>
  <c r="BA84" i="33"/>
  <c r="AQ45" i="33"/>
  <c r="OK115" i="34"/>
  <c r="BV41" i="33"/>
  <c r="KA183" i="34"/>
  <c r="EB149" i="34"/>
  <c r="BO85" i="33"/>
  <c r="DY60" i="33"/>
  <c r="BH72" i="33"/>
  <c r="CH98" i="34"/>
  <c r="DA55" i="33"/>
  <c r="FM73" i="33"/>
  <c r="NC66" i="34"/>
  <c r="BZ74" i="33"/>
  <c r="HH153" i="34"/>
  <c r="IC130" i="34"/>
  <c r="KA178" i="34"/>
  <c r="AD73" i="34"/>
  <c r="AU37" i="33"/>
  <c r="BF65" i="33"/>
  <c r="DF86" i="34"/>
  <c r="FY32" i="33"/>
  <c r="CQ60" i="33"/>
  <c r="CH82" i="33"/>
  <c r="FT45" i="34"/>
  <c r="FW53" i="33"/>
  <c r="G35" i="33"/>
  <c r="BJ152" i="28"/>
  <c r="GO137" i="34"/>
  <c r="JY68" i="34"/>
  <c r="DF65" i="33"/>
  <c r="DY97" i="34"/>
  <c r="CO97" i="34"/>
  <c r="GA32" i="33"/>
  <c r="IC99" i="34"/>
  <c r="PE51" i="34"/>
  <c r="GI74" i="33"/>
  <c r="CO181" i="34"/>
  <c r="HY160" i="34"/>
  <c r="I38" i="33"/>
  <c r="DX160" i="34"/>
  <c r="AD101" i="34"/>
  <c r="BR53" i="33"/>
  <c r="FT107" i="34"/>
  <c r="ML138" i="34"/>
  <c r="EJ32" i="33"/>
  <c r="GJ115" i="34"/>
  <c r="FV108" i="34"/>
  <c r="JX75" i="34"/>
  <c r="DG44" i="33"/>
  <c r="DU72" i="33"/>
  <c r="BA81" i="33"/>
  <c r="MJ129" i="34"/>
  <c r="HZ124" i="34"/>
  <c r="EW127" i="34"/>
  <c r="NP91" i="34"/>
  <c r="AR81" i="34"/>
  <c r="EE73" i="34"/>
  <c r="EM31" i="33"/>
  <c r="PK94" i="34"/>
  <c r="BQ46" i="33"/>
  <c r="CW31" i="33"/>
  <c r="BZ50" i="33"/>
  <c r="AT61" i="33"/>
  <c r="CD33" i="33"/>
  <c r="NA158" i="34"/>
  <c r="JW60" i="34"/>
  <c r="FP72" i="34"/>
  <c r="NG105" i="34"/>
  <c r="CX44" i="33"/>
  <c r="BB9" i="33"/>
  <c r="DT35" i="33"/>
  <c r="DO44" i="33"/>
  <c r="EC79" i="34"/>
  <c r="GN44" i="33"/>
  <c r="T77" i="34"/>
  <c r="GL31" i="33"/>
  <c r="AA32" i="33"/>
  <c r="EB165" i="34"/>
  <c r="EY110" i="34"/>
  <c r="GH53" i="33"/>
  <c r="CJ58" i="33"/>
  <c r="JF164" i="34"/>
  <c r="LY90" i="34"/>
  <c r="CD36" i="33"/>
  <c r="DI100" i="34"/>
  <c r="EH183" i="34"/>
  <c r="BR60" i="33"/>
  <c r="CH9" i="33"/>
  <c r="GO131" i="34"/>
  <c r="AY159" i="34"/>
  <c r="ND122" i="34"/>
  <c r="CA52" i="33"/>
  <c r="X56" i="33"/>
  <c r="ED65" i="33"/>
  <c r="CF46" i="33"/>
  <c r="F38" i="33"/>
  <c r="DY63" i="33"/>
  <c r="IW90" i="34"/>
  <c r="EH150" i="34"/>
  <c r="BY32" i="33"/>
  <c r="DG82" i="34"/>
  <c r="CG54" i="34"/>
  <c r="AA155" i="34"/>
  <c r="FP170" i="34"/>
  <c r="BT59" i="33"/>
  <c r="GD51" i="33"/>
  <c r="BA104" i="34"/>
  <c r="IB122" i="34"/>
  <c r="DR65" i="33"/>
  <c r="FW175" i="34"/>
  <c r="LA67" i="34"/>
  <c r="GM72" i="34"/>
  <c r="DH76" i="34"/>
  <c r="K92" i="33"/>
  <c r="AJ92" i="33"/>
  <c r="BY72" i="33"/>
  <c r="CK54" i="33"/>
  <c r="N73" i="33"/>
  <c r="AB84" i="34"/>
  <c r="DT79" i="33"/>
  <c r="AA139" i="34"/>
  <c r="S157" i="23"/>
  <c r="CD59" i="33"/>
  <c r="DS71" i="33"/>
  <c r="AL40" i="33"/>
  <c r="IT141" i="34"/>
  <c r="FN108" i="34"/>
  <c r="FQ42" i="33"/>
  <c r="DL84" i="33"/>
  <c r="DN83" i="33"/>
  <c r="EF140" i="34"/>
  <c r="AZ81" i="33"/>
  <c r="DF29" i="33"/>
  <c r="AR84" i="34"/>
  <c r="AA20" i="33"/>
  <c r="AE64" i="33"/>
  <c r="IQ55" i="34"/>
  <c r="FA147" i="34"/>
  <c r="JT157" i="34"/>
  <c r="DZ60" i="33"/>
  <c r="BU82" i="33"/>
  <c r="EY40" i="33"/>
  <c r="DD58" i="33"/>
  <c r="EL70" i="33"/>
  <c r="NL63" i="34"/>
  <c r="NE146" i="34"/>
  <c r="DF78" i="34"/>
  <c r="T84" i="33"/>
  <c r="FR25" i="33"/>
  <c r="JH58" i="34"/>
  <c r="FI63" i="33"/>
  <c r="GQ52" i="34"/>
  <c r="FD30" i="33"/>
  <c r="LD147" i="34"/>
  <c r="FA79" i="33"/>
  <c r="JX138" i="34"/>
  <c r="EF70" i="34"/>
  <c r="EI131" i="34"/>
  <c r="EV83" i="33"/>
  <c r="NP78" i="34"/>
  <c r="DG154" i="34"/>
  <c r="CZ51" i="33"/>
  <c r="AY90" i="34"/>
  <c r="JV152" i="34"/>
  <c r="FM84" i="33"/>
  <c r="JZ143" i="34"/>
  <c r="GM84" i="33"/>
  <c r="LD112" i="34"/>
  <c r="FP57" i="33"/>
  <c r="ND152" i="34"/>
  <c r="U157" i="34"/>
  <c r="BN51" i="33"/>
  <c r="DJ159" i="34"/>
  <c r="KO66" i="34"/>
  <c r="FU31" i="33"/>
  <c r="MO60" i="34"/>
  <c r="BA78" i="33"/>
  <c r="FW140" i="34"/>
  <c r="AQ153" i="34"/>
  <c r="AX56" i="34"/>
  <c r="BF80" i="33"/>
  <c r="AO113" i="34"/>
  <c r="DY50" i="34"/>
  <c r="CE92" i="34"/>
  <c r="DN70" i="33"/>
  <c r="H83" i="33"/>
  <c r="IB63" i="34"/>
  <c r="X68" i="34"/>
  <c r="GA85" i="33"/>
  <c r="CA83" i="33"/>
  <c r="FR62" i="33"/>
  <c r="DS92" i="33"/>
  <c r="IZ86" i="34"/>
  <c r="DC58" i="33"/>
  <c r="AY106" i="34"/>
  <c r="BT38" i="33"/>
  <c r="CW71" i="33"/>
  <c r="EC123" i="34"/>
  <c r="FF58" i="33"/>
  <c r="KA81" i="34"/>
  <c r="KB132" i="34"/>
  <c r="DB97" i="34"/>
  <c r="BQ52" i="33"/>
  <c r="EF76" i="33"/>
  <c r="CG134" i="34"/>
  <c r="BA143" i="34"/>
  <c r="GD73" i="33"/>
  <c r="HE70" i="34"/>
  <c r="FP45" i="33"/>
  <c r="DA38" i="33"/>
  <c r="BJ6" i="28"/>
  <c r="GO31" i="33"/>
  <c r="EH155" i="34"/>
  <c r="IE58" i="34"/>
  <c r="JB135" i="34"/>
  <c r="AY71" i="33"/>
  <c r="DD52" i="33"/>
  <c r="MO58" i="34"/>
  <c r="EK139" i="34"/>
  <c r="HE91" i="34"/>
  <c r="B90" i="28"/>
  <c r="MD77" i="34"/>
  <c r="FG52" i="33"/>
  <c r="AG30" i="33"/>
  <c r="FJ38" i="33"/>
  <c r="FJ48" i="33"/>
  <c r="LZ174" i="34"/>
  <c r="FO80" i="34"/>
  <c r="HW118" i="34"/>
  <c r="LD149" i="34"/>
  <c r="CW55" i="33"/>
  <c r="FK57" i="33"/>
  <c r="LK140" i="34"/>
  <c r="FN122" i="34"/>
  <c r="CS68" i="33"/>
  <c r="BN75" i="34"/>
  <c r="JW160" i="34"/>
  <c r="EE39" i="33"/>
  <c r="T119" i="34"/>
  <c r="BH73" i="33"/>
  <c r="HG176" i="34"/>
  <c r="EV76" i="33"/>
  <c r="DE64" i="34"/>
  <c r="AQ144" i="34"/>
  <c r="FP33" i="33"/>
  <c r="AE72" i="33"/>
  <c r="CM137" i="34"/>
  <c r="AN55" i="34"/>
  <c r="EI42" i="34"/>
  <c r="GJ129" i="34"/>
  <c r="AY81" i="34"/>
  <c r="IC51" i="34"/>
  <c r="EY164" i="34"/>
  <c r="X45" i="33"/>
  <c r="IW59" i="34"/>
  <c r="DV181" i="34"/>
  <c r="DL9" i="33"/>
  <c r="FA50" i="34"/>
  <c r="BF69" i="33"/>
  <c r="GO32" i="33"/>
  <c r="AG59" i="33"/>
  <c r="IT56" i="34"/>
  <c r="ND154" i="34"/>
  <c r="DT9" i="33"/>
  <c r="HH132" i="34"/>
  <c r="CH34" i="33"/>
  <c r="W69" i="33"/>
  <c r="DG78" i="33"/>
  <c r="IC170" i="34"/>
  <c r="KC113" i="34"/>
  <c r="HG60" i="34"/>
  <c r="F72" i="33"/>
  <c r="DA71" i="33"/>
  <c r="IA42" i="34"/>
  <c r="KP166" i="34"/>
  <c r="JZ81" i="34"/>
  <c r="KQ131" i="34"/>
  <c r="AW103" i="34"/>
  <c r="EW76" i="33"/>
  <c r="FJ55" i="33"/>
  <c r="AW132" i="34"/>
  <c r="S92" i="33"/>
  <c r="FA73" i="34"/>
  <c r="FV73" i="33"/>
  <c r="BJ191" i="28"/>
  <c r="BS34" i="33"/>
  <c r="GA64" i="33"/>
  <c r="BJ102" i="28"/>
  <c r="FD51" i="33"/>
  <c r="HH93" i="34"/>
  <c r="CF134" i="34"/>
  <c r="AT42" i="33"/>
  <c r="BJ35" i="33"/>
  <c r="BK30" i="33"/>
  <c r="AZ97" i="34"/>
  <c r="EZ129" i="34"/>
  <c r="IC143" i="34"/>
  <c r="KN60" i="34"/>
  <c r="FB132" i="34"/>
  <c r="BZ56" i="33"/>
  <c r="DY118" i="34"/>
  <c r="EC98" i="34"/>
  <c r="BC70" i="33"/>
  <c r="DV154" i="34"/>
  <c r="CI130" i="34"/>
  <c r="BS39" i="33"/>
  <c r="DJ90" i="33"/>
  <c r="CF157" i="34"/>
  <c r="GM76" i="33"/>
  <c r="CL28" i="33"/>
  <c r="AW172" i="34"/>
  <c r="BM53" i="33"/>
  <c r="DW129" i="34"/>
  <c r="AQ90" i="34"/>
  <c r="DL32" i="33"/>
  <c r="T58" i="33"/>
  <c r="GG92" i="33"/>
  <c r="CP55" i="33"/>
  <c r="GO83" i="33"/>
  <c r="FQ72" i="33"/>
  <c r="L71" i="33"/>
  <c r="FP150" i="34"/>
  <c r="AF73" i="33"/>
  <c r="BJ89" i="28"/>
  <c r="FB134" i="34"/>
  <c r="KA175" i="34"/>
  <c r="FW121" i="34"/>
  <c r="S4" i="17"/>
  <c r="BX6" i="34"/>
  <c r="GA55" i="33"/>
  <c r="HV148" i="34"/>
  <c r="FI34" i="33"/>
  <c r="DR84" i="33"/>
  <c r="E21" i="3"/>
  <c r="JW174" i="34"/>
  <c r="AH63" i="33"/>
  <c r="FU42" i="34"/>
  <c r="MH150" i="34"/>
  <c r="F38" i="17"/>
  <c r="LE74" i="34"/>
  <c r="W37" i="33"/>
  <c r="DC173" i="34"/>
  <c r="AZ95" i="34"/>
  <c r="MN65" i="34"/>
  <c r="AX95" i="34"/>
  <c r="AS60" i="34"/>
  <c r="AK83" i="33"/>
  <c r="BN68" i="33"/>
  <c r="FV103" i="34"/>
  <c r="DZ29" i="33"/>
  <c r="CI84" i="34"/>
  <c r="DM9" i="33"/>
  <c r="EM74" i="33"/>
  <c r="JA161" i="34"/>
  <c r="S55" i="33"/>
  <c r="EZ84" i="34"/>
  <c r="FE37" i="33"/>
  <c r="EE49" i="33"/>
  <c r="AR146" i="34"/>
  <c r="FA109" i="34"/>
  <c r="JE80" i="34"/>
  <c r="DO43" i="33"/>
  <c r="EG79" i="33"/>
  <c r="BY76" i="33"/>
  <c r="G59" i="33"/>
  <c r="AI38" i="33"/>
  <c r="GA67" i="33"/>
  <c r="GJ79" i="33"/>
  <c r="DC40" i="33"/>
  <c r="CD60" i="33"/>
  <c r="EZ28" i="33"/>
  <c r="GM30" i="33"/>
  <c r="GJ154" i="34"/>
  <c r="AY48" i="34"/>
  <c r="FW72" i="33"/>
  <c r="AQ31" i="33"/>
  <c r="T75" i="33"/>
  <c r="CY69" i="33"/>
  <c r="LE50" i="34"/>
  <c r="Y25" i="33"/>
  <c r="GE9" i="33"/>
  <c r="EA96" i="34"/>
  <c r="GO141" i="34"/>
  <c r="BB110" i="34"/>
  <c r="O47" i="33"/>
  <c r="EK71" i="33"/>
  <c r="NL106" i="34"/>
  <c r="IQ130" i="34"/>
  <c r="K61" i="33"/>
  <c r="CZ76" i="33"/>
  <c r="JA156" i="34"/>
  <c r="LE117" i="34"/>
  <c r="BI49" i="33"/>
  <c r="AW57" i="34"/>
  <c r="CG105" i="34"/>
  <c r="AU68" i="33"/>
  <c r="FS132" i="34"/>
  <c r="ME151" i="34"/>
  <c r="CL55" i="33"/>
  <c r="ER27" i="33"/>
  <c r="DV157" i="34"/>
  <c r="GL46" i="33"/>
  <c r="CJ168" i="34"/>
  <c r="LZ122" i="34"/>
  <c r="Z76" i="33"/>
  <c r="CS72" i="33"/>
  <c r="CE53" i="33"/>
  <c r="FW69" i="34"/>
  <c r="DO65" i="33"/>
  <c r="FW135" i="34"/>
  <c r="GQ107" i="34"/>
  <c r="FX68" i="33"/>
  <c r="AS146" i="34"/>
  <c r="MI89" i="34"/>
  <c r="AD41" i="33"/>
  <c r="JZ63" i="34"/>
  <c r="LZ186" i="34"/>
  <c r="FP36" i="33"/>
  <c r="BB68" i="33"/>
  <c r="BE29" i="33"/>
  <c r="F92" i="33"/>
  <c r="EQ82" i="33"/>
  <c r="CL59" i="34"/>
  <c r="FW46" i="33"/>
  <c r="FU42" i="33"/>
  <c r="T61" i="33"/>
  <c r="EJ43" i="33"/>
  <c r="CN51" i="34"/>
  <c r="EW97" i="34"/>
  <c r="EH171" i="34"/>
  <c r="J70" i="33"/>
  <c r="FP59" i="33"/>
  <c r="LB71" i="34"/>
  <c r="EM44" i="33"/>
  <c r="FD47" i="33"/>
  <c r="BJ71" i="33"/>
  <c r="EQ90" i="33"/>
  <c r="FD59" i="33"/>
  <c r="S33" i="33"/>
  <c r="DC124" i="34"/>
  <c r="DG49" i="33"/>
  <c r="FL31" i="33"/>
  <c r="FP125" i="34"/>
  <c r="AT46" i="33"/>
  <c r="J166" i="34"/>
  <c r="FU72" i="33"/>
  <c r="F82" i="33"/>
  <c r="HG158" i="34"/>
  <c r="B105" i="28"/>
  <c r="AU149" i="34"/>
  <c r="EI166" i="34"/>
  <c r="AU41" i="33"/>
  <c r="W181" i="34"/>
  <c r="LK163" i="34"/>
  <c r="EI83" i="34"/>
  <c r="KO154" i="34"/>
  <c r="JY86" i="34"/>
  <c r="DG42" i="33"/>
  <c r="FM65" i="33"/>
  <c r="DE51" i="34"/>
  <c r="DA60" i="33"/>
  <c r="O53" i="33"/>
  <c r="DH52" i="34"/>
  <c r="BM37" i="33"/>
  <c r="FM49" i="33"/>
  <c r="OO144" i="34"/>
  <c r="EA57" i="34"/>
  <c r="JU62" i="34"/>
  <c r="CD56" i="34"/>
  <c r="BJ79" i="28"/>
  <c r="FU54" i="34"/>
  <c r="AS28" i="33"/>
  <c r="FX137" i="34"/>
  <c r="T26" i="33"/>
  <c r="CE171" i="34"/>
  <c r="DZ61" i="33"/>
  <c r="GM69" i="33"/>
  <c r="BQ38" i="33"/>
  <c r="LY44" i="34"/>
  <c r="DF34" i="33"/>
  <c r="BZ31" i="33"/>
  <c r="IB110" i="34"/>
  <c r="GB92" i="33"/>
  <c r="FW109" i="34"/>
  <c r="FI29" i="33"/>
  <c r="IS150" i="34"/>
  <c r="CF35" i="33"/>
  <c r="AD39" i="33"/>
  <c r="ED77" i="33"/>
  <c r="AT113" i="34"/>
  <c r="GN68" i="33"/>
  <c r="BL20" i="33"/>
  <c r="F46" i="1"/>
  <c r="AQ54" i="33"/>
  <c r="FW41" i="34"/>
  <c r="CD89" i="34"/>
  <c r="KC183" i="34"/>
  <c r="BN26" i="33"/>
  <c r="AU31" i="33"/>
  <c r="BA76" i="33"/>
  <c r="JD95" i="34"/>
  <c r="AQ51" i="33"/>
  <c r="GJ106" i="34"/>
  <c r="HG113" i="34"/>
  <c r="DY36" i="33"/>
  <c r="DJ47" i="34"/>
  <c r="Z143" i="34"/>
  <c r="FS187" i="34"/>
  <c r="FQ119" i="34"/>
  <c r="HU100" i="34"/>
  <c r="CU58" i="33"/>
  <c r="HD87" i="34"/>
  <c r="L65" i="33"/>
  <c r="AR60" i="33"/>
  <c r="EY59" i="34"/>
  <c r="AV80" i="33"/>
  <c r="Y85" i="34"/>
  <c r="DU77" i="33"/>
  <c r="CL46" i="33"/>
  <c r="AF92" i="33"/>
  <c r="FN46" i="34"/>
  <c r="IY85" i="34"/>
  <c r="DI49" i="34"/>
  <c r="DJ75" i="33"/>
  <c r="BW67" i="33"/>
  <c r="DR68" i="33"/>
  <c r="NO163" i="34"/>
  <c r="NO101" i="34"/>
  <c r="DZ57" i="33"/>
  <c r="FD50" i="33"/>
  <c r="AS98" i="34"/>
  <c r="CJ110" i="34"/>
  <c r="CB61" i="33"/>
  <c r="FC74" i="33"/>
  <c r="DF46" i="34"/>
  <c r="X161" i="34"/>
  <c r="AP149" i="34"/>
  <c r="GE86" i="33"/>
  <c r="DA121" i="34"/>
  <c r="X26" i="33"/>
  <c r="HX85" i="34"/>
  <c r="BJ67" i="33"/>
  <c r="OK82" i="34"/>
  <c r="BA157" i="34"/>
  <c r="Z56" i="33"/>
  <c r="W123" i="34"/>
  <c r="DJ137" i="34"/>
  <c r="DA90" i="34"/>
  <c r="BQ176" i="34"/>
  <c r="F46" i="17"/>
  <c r="DU38" i="33"/>
  <c r="GH58" i="33"/>
  <c r="BQ9" i="33"/>
  <c r="EC151" i="34"/>
  <c r="LK55" i="34"/>
  <c r="DB117" i="34"/>
  <c r="CJ83" i="34"/>
  <c r="CM183" i="34"/>
  <c r="AP145" i="34"/>
  <c r="CK44" i="33"/>
  <c r="AL32" i="33"/>
  <c r="CK154" i="34"/>
  <c r="GJ37" i="33"/>
  <c r="GK77" i="34"/>
  <c r="BS69" i="33"/>
  <c r="CV70" i="33"/>
  <c r="HY67" i="34"/>
  <c r="AB80" i="34"/>
  <c r="BO129" i="34"/>
  <c r="BE46" i="33"/>
  <c r="IT110" i="34"/>
  <c r="FH38" i="33"/>
  <c r="DN62" i="33"/>
  <c r="BI39" i="33"/>
  <c r="EF161" i="34"/>
  <c r="CE65" i="33"/>
  <c r="BR119" i="34"/>
  <c r="DJ168" i="34"/>
  <c r="DF75" i="33"/>
  <c r="S46" i="23"/>
  <c r="EG73" i="33"/>
  <c r="E20" i="3"/>
  <c r="V115" i="34"/>
  <c r="HG141" i="34"/>
  <c r="JE46" i="34"/>
  <c r="FV90" i="34"/>
  <c r="AU47" i="34"/>
  <c r="FX81" i="33"/>
  <c r="AX138" i="34"/>
  <c r="R57" i="33"/>
  <c r="S79" i="33"/>
  <c r="OJ127" i="34"/>
  <c r="CA90" i="33"/>
  <c r="FW64" i="34"/>
  <c r="JC42" i="34"/>
  <c r="DE70" i="33"/>
  <c r="ES28" i="33"/>
  <c r="AP181" i="34"/>
  <c r="CK100" i="34"/>
  <c r="GO82" i="33"/>
  <c r="CI154" i="34"/>
  <c r="DT31" i="33"/>
  <c r="DE100" i="34"/>
  <c r="V9" i="33"/>
  <c r="BP136" i="34"/>
  <c r="DV58" i="34"/>
  <c r="FW50" i="33"/>
  <c r="T155" i="34"/>
  <c r="DZ46" i="33"/>
  <c r="AS47" i="34"/>
  <c r="AQ166" i="34"/>
  <c r="GH40" i="33"/>
  <c r="AS51" i="34"/>
  <c r="DG25" i="33"/>
  <c r="AK61" i="33"/>
  <c r="CP9" i="33"/>
  <c r="LZ66" i="34"/>
  <c r="K138" i="34"/>
  <c r="DK74" i="33"/>
  <c r="AE62" i="33"/>
  <c r="EQ53" i="33"/>
  <c r="S51" i="33"/>
  <c r="DB63" i="33"/>
  <c r="ER45" i="33"/>
  <c r="NP67" i="34"/>
  <c r="KN145" i="34"/>
  <c r="HX136" i="34"/>
  <c r="IY64" i="34"/>
  <c r="NF60" i="34"/>
  <c r="AC76" i="34"/>
  <c r="AO87" i="34"/>
  <c r="ER41" i="33"/>
  <c r="CE54" i="33"/>
  <c r="CN70" i="33"/>
  <c r="DV155" i="34"/>
  <c r="AP76" i="33"/>
  <c r="CI62" i="34"/>
  <c r="DB60" i="34"/>
  <c r="AO119" i="34"/>
  <c r="EK60" i="34"/>
  <c r="DG75" i="33"/>
  <c r="FS64" i="34"/>
  <c r="F24" i="17"/>
  <c r="EF32" i="33"/>
  <c r="AT141" i="34"/>
  <c r="CY59" i="33"/>
  <c r="GL61" i="33"/>
  <c r="KL164" i="34"/>
  <c r="JG108" i="34"/>
  <c r="FV160" i="34"/>
  <c r="DE72" i="34"/>
  <c r="Y71" i="33"/>
  <c r="IR74" i="34"/>
  <c r="DX58" i="33"/>
  <c r="CD30" i="33"/>
  <c r="V29" i="33"/>
  <c r="PY93" i="34"/>
  <c r="EQ58" i="33"/>
  <c r="FR54" i="33"/>
  <c r="BN178" i="34"/>
  <c r="BN84" i="34"/>
  <c r="ED100" i="34"/>
  <c r="Y70" i="33"/>
  <c r="EG162" i="34"/>
  <c r="BR174" i="34"/>
  <c r="AW62" i="33"/>
  <c r="DC167" i="34"/>
  <c r="Y41" i="34"/>
  <c r="N6" i="34"/>
  <c r="FT74" i="34"/>
  <c r="IU85" i="34"/>
  <c r="HU83" i="34"/>
  <c r="M66" i="33"/>
  <c r="CW49" i="33"/>
  <c r="AD107" i="34"/>
  <c r="IB162" i="34"/>
  <c r="ED158" i="34"/>
  <c r="DF103" i="34"/>
  <c r="CJ39" i="33"/>
  <c r="AI90" i="33"/>
  <c r="AZ9" i="33"/>
  <c r="DD160" i="34"/>
  <c r="FV66" i="33"/>
  <c r="DY40" i="33"/>
  <c r="AG27" i="33"/>
  <c r="OK93" i="34"/>
  <c r="DE107" i="34"/>
  <c r="CO84" i="33"/>
  <c r="MI70" i="34"/>
  <c r="FN27" i="33"/>
  <c r="S35" i="33"/>
  <c r="HC70" i="34"/>
  <c r="Z170" i="34"/>
  <c r="DD75" i="33"/>
  <c r="BI36" i="33"/>
  <c r="KC126" i="34"/>
  <c r="EA176" i="34"/>
  <c r="N27" i="33"/>
  <c r="DH136" i="34"/>
  <c r="BL63" i="33"/>
  <c r="CK63" i="33"/>
  <c r="BT40" i="33"/>
  <c r="EW52" i="33"/>
  <c r="CN51" i="33"/>
  <c r="DR33" i="33"/>
  <c r="GO46" i="33"/>
  <c r="DK66" i="33"/>
  <c r="AA55" i="34"/>
  <c r="IB92" i="34"/>
  <c r="KR123" i="34"/>
  <c r="AR82" i="34"/>
  <c r="AQ33" i="33"/>
  <c r="BJ31" i="33"/>
  <c r="DG153" i="34"/>
  <c r="GB65" i="33"/>
  <c r="PW138" i="34"/>
  <c r="DA87" i="34"/>
  <c r="V88" i="34"/>
  <c r="BL44" i="33"/>
  <c r="CO43" i="33"/>
  <c r="NC99" i="34"/>
  <c r="JH146" i="34"/>
  <c r="CO32" i="33"/>
  <c r="HX150" i="34"/>
  <c r="DE82" i="33"/>
  <c r="DV100" i="34"/>
  <c r="ID128" i="34"/>
  <c r="HY93" i="34"/>
  <c r="CF160" i="34"/>
  <c r="IA162" i="34"/>
  <c r="GM79" i="34"/>
  <c r="EE166" i="34"/>
  <c r="GD70" i="33"/>
  <c r="I81" i="33"/>
  <c r="LD103" i="34"/>
  <c r="F60" i="28"/>
  <c r="G60" i="33"/>
  <c r="PA148" i="34"/>
  <c r="BM60" i="33"/>
  <c r="EG129" i="34"/>
  <c r="GM62" i="34"/>
  <c r="EQ63" i="33"/>
  <c r="EZ51" i="34"/>
  <c r="JD103" i="34"/>
  <c r="K85" i="33"/>
  <c r="AB96" i="34"/>
  <c r="AC183" i="34"/>
  <c r="IC151" i="34"/>
  <c r="CU4" i="34"/>
  <c r="MA65" i="34"/>
  <c r="EQ71" i="33"/>
  <c r="DC187" i="34"/>
  <c r="KA64" i="34"/>
  <c r="FC26" i="33"/>
  <c r="AE59" i="33"/>
  <c r="JH143" i="34"/>
  <c r="K45" i="33"/>
  <c r="EY149" i="34"/>
  <c r="GG53" i="33"/>
  <c r="CF45" i="33"/>
  <c r="BK39" i="33"/>
  <c r="BV34" i="33"/>
  <c r="GE38" i="33"/>
  <c r="BN63" i="33"/>
  <c r="L86" i="33"/>
  <c r="FJ77" i="33"/>
  <c r="CV67" i="33"/>
  <c r="BR52" i="33"/>
  <c r="BE32" i="33"/>
  <c r="GN58" i="33"/>
  <c r="F78" i="33"/>
  <c r="BC72" i="33"/>
  <c r="AB107" i="34"/>
  <c r="DE162" i="34"/>
  <c r="AD75" i="33"/>
  <c r="BO62" i="33"/>
  <c r="EZ98" i="34"/>
  <c r="AY36" i="33"/>
  <c r="AO156" i="34"/>
  <c r="AT97" i="34"/>
  <c r="JE181" i="34"/>
  <c r="AO95" i="34"/>
  <c r="DB35" i="33"/>
  <c r="EE90" i="34"/>
  <c r="DA35" i="33"/>
  <c r="DC68" i="33"/>
  <c r="FO44" i="33"/>
  <c r="GL70" i="33"/>
  <c r="IR72" i="34"/>
  <c r="DH128" i="34"/>
  <c r="BN173" i="34"/>
  <c r="AU50" i="34"/>
  <c r="BK35" i="33"/>
  <c r="AE9" i="33"/>
  <c r="BG82" i="33"/>
  <c r="J49" i="34"/>
  <c r="EE84" i="33"/>
  <c r="BK78" i="33"/>
  <c r="BQ65" i="33"/>
  <c r="V57" i="33"/>
  <c r="AR117" i="34"/>
  <c r="BJ167" i="28"/>
  <c r="FY58" i="33"/>
  <c r="AX36" i="33"/>
  <c r="BI66" i="33"/>
  <c r="BF82" i="33"/>
  <c r="KN159" i="34"/>
  <c r="HY138" i="34"/>
  <c r="BK56" i="33"/>
  <c r="BL60" i="33"/>
  <c r="NM84" i="34"/>
  <c r="FP92" i="34"/>
  <c r="DO42" i="33"/>
  <c r="EE33" i="33"/>
  <c r="DB70" i="33"/>
  <c r="AC176" i="34"/>
  <c r="EE159" i="34"/>
  <c r="EW137" i="34"/>
  <c r="CI139" i="34"/>
  <c r="U79" i="34"/>
  <c r="CN45" i="33"/>
  <c r="T56" i="34"/>
  <c r="GM65" i="34"/>
  <c r="IR96" i="34"/>
  <c r="KB148" i="34"/>
  <c r="EA54" i="33"/>
  <c r="GB71" i="33"/>
  <c r="CH161" i="34"/>
  <c r="CH73" i="34"/>
  <c r="K28" i="33"/>
  <c r="IR102" i="34"/>
  <c r="CP56" i="33"/>
  <c r="FO53" i="33"/>
  <c r="FK32" i="33"/>
  <c r="FN146" i="34"/>
  <c r="S146" i="23"/>
  <c r="NC90" i="34"/>
  <c r="FO38" i="33"/>
  <c r="LH41" i="34"/>
  <c r="AO174" i="34"/>
  <c r="CK106" i="34"/>
  <c r="CJ45" i="34"/>
  <c r="O57" i="33"/>
  <c r="EK40" i="33"/>
  <c r="BL48" i="33"/>
  <c r="BR55" i="34"/>
  <c r="DB42" i="34"/>
  <c r="CI164" i="34"/>
  <c r="X87" i="34"/>
  <c r="W90" i="34"/>
  <c r="T160" i="34"/>
  <c r="AM137" i="34"/>
  <c r="EJ41" i="34"/>
  <c r="DK47" i="33"/>
  <c r="HD156" i="34"/>
  <c r="S15" i="23"/>
  <c r="JG47" i="34"/>
  <c r="AW58" i="34"/>
  <c r="DC42" i="33"/>
  <c r="AR27" i="33"/>
  <c r="FF43" i="33"/>
  <c r="HF113" i="34"/>
  <c r="AS71" i="34"/>
  <c r="DB58" i="33"/>
  <c r="FV181" i="34"/>
  <c r="AW60" i="34"/>
  <c r="FA105" i="34"/>
  <c r="IW124" i="34"/>
  <c r="DM74" i="33"/>
  <c r="EG188" i="34"/>
  <c r="J155" i="34"/>
  <c r="BR122" i="34"/>
  <c r="K168" i="34"/>
  <c r="DC26" i="33"/>
  <c r="GB48" i="33"/>
  <c r="BN35" i="33"/>
  <c r="ES25" i="33"/>
  <c r="BB58" i="33"/>
  <c r="BP138" i="34"/>
  <c r="FQ129" i="34"/>
  <c r="DM64" i="33"/>
  <c r="EE41" i="33"/>
  <c r="AZ53" i="34"/>
  <c r="BR149" i="34"/>
  <c r="EZ67" i="33"/>
  <c r="FU92" i="34"/>
  <c r="S128" i="23"/>
  <c r="DU81" i="33"/>
  <c r="CL174" i="34"/>
  <c r="HG136" i="34"/>
  <c r="GM92" i="34"/>
  <c r="BR48" i="33"/>
  <c r="CH136" i="34"/>
  <c r="DA61" i="33"/>
  <c r="DC73" i="34"/>
  <c r="FY86" i="33"/>
  <c r="AQ165" i="34"/>
  <c r="FN123" i="34"/>
  <c r="GB49" i="33"/>
  <c r="DD82" i="34"/>
  <c r="EG81" i="33"/>
  <c r="EK68" i="33"/>
  <c r="BZ62" i="33"/>
  <c r="AZ141" i="34"/>
  <c r="AR82" i="33"/>
  <c r="BB75" i="33"/>
  <c r="IB140" i="34"/>
  <c r="FE69" i="33"/>
  <c r="NP126" i="34"/>
  <c r="GA65" i="33"/>
  <c r="AM83" i="33"/>
  <c r="EJ76" i="33"/>
  <c r="EX80" i="34"/>
  <c r="CJ87" i="34"/>
  <c r="DZ68" i="34"/>
  <c r="MC155" i="34"/>
  <c r="I56" i="33"/>
  <c r="Y72" i="34"/>
  <c r="W79" i="33"/>
  <c r="GO145" i="34"/>
  <c r="GH84" i="33"/>
  <c r="AG8" i="34"/>
  <c r="BZ58" i="33"/>
  <c r="S29" i="33"/>
  <c r="CI61" i="33"/>
  <c r="BZ34" i="33"/>
  <c r="G90" i="33"/>
  <c r="DX68" i="34"/>
  <c r="C62" i="17"/>
  <c r="BE85" i="33"/>
  <c r="EG48" i="33"/>
  <c r="PZ146" i="34"/>
  <c r="CV39" i="33"/>
  <c r="CS76" i="33"/>
  <c r="FX158" i="34"/>
  <c r="M35" i="33"/>
  <c r="AW63" i="33"/>
  <c r="BQ55" i="33"/>
  <c r="AC117" i="34"/>
  <c r="GM55" i="33"/>
  <c r="FL41" i="33"/>
  <c r="KR96" i="34"/>
  <c r="F30" i="17"/>
  <c r="AP84" i="33"/>
  <c r="BO106" i="34"/>
  <c r="IS160" i="34"/>
  <c r="AW155" i="34"/>
  <c r="CF74" i="34"/>
  <c r="AL83" i="33"/>
  <c r="CO35" i="33"/>
  <c r="GN169" i="34"/>
  <c r="FU130" i="34"/>
  <c r="HG83" i="34"/>
  <c r="IA59" i="34"/>
  <c r="KA62" i="34"/>
  <c r="FT90" i="33"/>
  <c r="DE77" i="33"/>
  <c r="BA69" i="33"/>
  <c r="X35" i="33"/>
  <c r="HX46" i="34"/>
  <c r="EZ152" i="34"/>
  <c r="EY81" i="33"/>
  <c r="EJ80" i="33"/>
  <c r="F32" i="17"/>
  <c r="FL58" i="33"/>
  <c r="EZ125" i="34"/>
  <c r="K138" i="28"/>
  <c r="GF50" i="33"/>
  <c r="HF87" i="34"/>
  <c r="DR61" i="33"/>
  <c r="AN68" i="33"/>
  <c r="S27" i="17"/>
  <c r="FO76" i="33"/>
  <c r="T73" i="34"/>
  <c r="GN25" i="33"/>
  <c r="EW147" i="34"/>
  <c r="FG30" i="33"/>
  <c r="DD82" i="33"/>
  <c r="CK79" i="34"/>
  <c r="FO52" i="34"/>
  <c r="BM92" i="33"/>
  <c r="BE73" i="33"/>
  <c r="DH47" i="33"/>
  <c r="EH84" i="34"/>
  <c r="JT51" i="34"/>
  <c r="CD39" i="33"/>
  <c r="BP165" i="34"/>
  <c r="L49" i="33"/>
  <c r="JB154" i="34"/>
  <c r="AC165" i="34"/>
  <c r="DY59" i="33"/>
  <c r="K145" i="28"/>
  <c r="CX40" i="33"/>
  <c r="BZ46" i="33"/>
  <c r="V53" i="34"/>
  <c r="AR141" i="34"/>
  <c r="LG186" i="34"/>
  <c r="GP58" i="34"/>
  <c r="CH80" i="34"/>
  <c r="BR138" i="34"/>
  <c r="NB154" i="34"/>
  <c r="DD44" i="33"/>
  <c r="HT45" i="34"/>
  <c r="ES74" i="33"/>
  <c r="FI73" i="33"/>
  <c r="AS167" i="34"/>
  <c r="CJ106" i="34"/>
  <c r="JZ141" i="34"/>
  <c r="X72" i="33"/>
  <c r="IE78" i="34"/>
  <c r="CH165" i="34"/>
  <c r="AH79" i="33"/>
  <c r="AR73" i="34"/>
  <c r="HT52" i="34"/>
  <c r="AT72" i="34"/>
  <c r="CJ80" i="33"/>
  <c r="EX141" i="34"/>
  <c r="GF64" i="33"/>
  <c r="DJ175" i="34"/>
  <c r="FN99" i="34"/>
  <c r="BJ130" i="28"/>
  <c r="KN164" i="34"/>
  <c r="DK37" i="33"/>
  <c r="GN80" i="34"/>
  <c r="EK77" i="34"/>
  <c r="AO123" i="34"/>
  <c r="K153" i="34"/>
  <c r="JV98" i="34"/>
  <c r="G50" i="33"/>
  <c r="AR143" i="34"/>
  <c r="FO40" i="33"/>
  <c r="BS77" i="33"/>
  <c r="GK86" i="33"/>
  <c r="ES46" i="33"/>
  <c r="AC122" i="34"/>
  <c r="JG183" i="34"/>
  <c r="BY71" i="33"/>
  <c r="ML107" i="34"/>
  <c r="BQ92" i="33"/>
  <c r="DA98" i="34"/>
  <c r="PW44" i="34"/>
  <c r="IR152" i="34"/>
  <c r="S69" i="33"/>
  <c r="I79" i="33"/>
  <c r="EV48" i="33"/>
  <c r="AV26" i="33"/>
  <c r="BJ151" i="28"/>
  <c r="CK77" i="34"/>
  <c r="JA172" i="34"/>
  <c r="MI65" i="34"/>
  <c r="AE28" i="33"/>
  <c r="CN81" i="33"/>
  <c r="ME64" i="34"/>
  <c r="AE79" i="33"/>
  <c r="DO67" i="33"/>
  <c r="FT106" i="34"/>
  <c r="DJ25" i="33"/>
  <c r="FM32" i="33"/>
  <c r="HW59" i="34"/>
  <c r="GH39" i="33"/>
  <c r="EL62" i="33"/>
  <c r="IC92" i="34"/>
  <c r="AR167" i="34"/>
  <c r="HE76" i="34"/>
  <c r="FW141" i="34"/>
  <c r="KA137" i="34"/>
  <c r="CZ79" i="33"/>
  <c r="JU123" i="34"/>
  <c r="CO178" i="34"/>
  <c r="AY166" i="34"/>
  <c r="BH4" i="34"/>
  <c r="FS66" i="33"/>
  <c r="BJ106" i="28"/>
  <c r="HE61" i="34"/>
  <c r="AP120" i="34"/>
  <c r="CS9" i="33"/>
  <c r="FK58" i="33"/>
  <c r="BL47" i="33"/>
  <c r="AX129" i="34"/>
  <c r="BF52" i="33"/>
  <c r="F35" i="17"/>
  <c r="AX102" i="34"/>
  <c r="GG27" i="33"/>
  <c r="FQ62" i="33"/>
  <c r="FG29" i="33"/>
  <c r="JD165" i="34"/>
  <c r="GM87" i="34"/>
  <c r="FU84" i="33"/>
  <c r="BM71" i="33"/>
  <c r="GM56" i="33"/>
  <c r="V51" i="33"/>
  <c r="BV84" i="33"/>
  <c r="GI62" i="33"/>
  <c r="BT29" i="33"/>
  <c r="EB86" i="34"/>
  <c r="U186" i="34"/>
  <c r="LH100" i="34"/>
  <c r="FO154" i="34"/>
  <c r="X62" i="33"/>
  <c r="GQ122" i="34"/>
  <c r="IB94" i="34"/>
  <c r="AR94" i="34"/>
  <c r="EA28" i="33"/>
  <c r="HX153" i="34"/>
  <c r="DB69" i="33"/>
  <c r="AW59" i="33"/>
  <c r="DB106" i="34"/>
  <c r="JA123" i="34"/>
  <c r="CC65" i="33"/>
  <c r="EE75" i="34"/>
  <c r="EA168" i="34"/>
  <c r="FP85" i="34"/>
  <c r="DH49" i="33"/>
  <c r="CF93" i="34"/>
  <c r="ME60" i="34"/>
  <c r="KM140" i="34"/>
  <c r="BB147" i="34"/>
  <c r="CB49" i="33"/>
  <c r="CO152" i="34"/>
  <c r="AQ136" i="34"/>
  <c r="IS61" i="34"/>
  <c r="FN50" i="33"/>
  <c r="AD48" i="33"/>
  <c r="EZ53" i="33"/>
  <c r="CF165" i="34"/>
  <c r="JY94" i="34"/>
  <c r="PC69" i="34"/>
  <c r="CB92" i="33"/>
  <c r="GP148" i="34"/>
  <c r="GO186" i="34"/>
  <c r="FE76" i="33"/>
  <c r="BK40" i="33"/>
  <c r="OM66" i="34"/>
  <c r="BU39" i="33"/>
  <c r="K66" i="33"/>
  <c r="AC71" i="33"/>
  <c r="DI122" i="34"/>
  <c r="CI88" i="34"/>
  <c r="BU76" i="33"/>
  <c r="EA154" i="34"/>
  <c r="GL89" i="34"/>
  <c r="AR48" i="33"/>
  <c r="F36" i="33"/>
  <c r="IY135" i="34"/>
  <c r="CH32" i="33"/>
  <c r="V69" i="33"/>
  <c r="FN46" i="33"/>
  <c r="GL173" i="34"/>
  <c r="DM28" i="33"/>
  <c r="AM45" i="33"/>
  <c r="EX163" i="34"/>
  <c r="FG81" i="33"/>
  <c r="JT49" i="34"/>
  <c r="AN53" i="33"/>
  <c r="CO42" i="34"/>
  <c r="AS69" i="34"/>
  <c r="F44" i="17"/>
  <c r="AA102" i="34"/>
  <c r="CK155" i="34"/>
  <c r="GN49" i="33"/>
  <c r="I61" i="33"/>
  <c r="T102" i="34"/>
  <c r="BM27" i="33"/>
  <c r="AY52" i="33"/>
  <c r="H60" i="33"/>
  <c r="FB105" i="34"/>
  <c r="CJ40" i="33"/>
  <c r="AI26" i="33"/>
  <c r="BO151" i="34"/>
  <c r="FM56" i="33"/>
  <c r="DU51" i="33"/>
  <c r="CZ62" i="33"/>
  <c r="JH131" i="34"/>
  <c r="PB101" i="34"/>
  <c r="JA138" i="34"/>
  <c r="AY44" i="34"/>
  <c r="BA183" i="34"/>
  <c r="HY103" i="34"/>
  <c r="FV54" i="33"/>
  <c r="FV48" i="33"/>
  <c r="FU46" i="34"/>
  <c r="DG67" i="33"/>
  <c r="ID64" i="34"/>
  <c r="BE26" i="33"/>
  <c r="EX64" i="34"/>
  <c r="HU107" i="34"/>
  <c r="DL76" i="33"/>
  <c r="FH47" i="33"/>
  <c r="GO134" i="34"/>
  <c r="AR123" i="34"/>
  <c r="AD27" i="33"/>
  <c r="BP103" i="34"/>
  <c r="DX61" i="33"/>
  <c r="BT67" i="33"/>
  <c r="IS181" i="34"/>
  <c r="KR88" i="34"/>
  <c r="BN50" i="33"/>
  <c r="CV92" i="33"/>
  <c r="JF145" i="34"/>
  <c r="DZ51" i="33"/>
  <c r="BS57" i="33"/>
  <c r="FA134" i="34"/>
  <c r="V90" i="33"/>
  <c r="FW60" i="34"/>
  <c r="X74" i="33"/>
  <c r="J29" i="33"/>
  <c r="AN169" i="34"/>
  <c r="FB70" i="34"/>
  <c r="AM70" i="33"/>
  <c r="MK154" i="34"/>
  <c r="P41" i="33"/>
  <c r="GE31" i="33"/>
  <c r="X76" i="34"/>
  <c r="IQ175" i="34"/>
  <c r="HC188" i="34"/>
  <c r="AL59" i="33"/>
  <c r="DD113" i="34"/>
  <c r="GP150" i="34"/>
  <c r="FQ50" i="33"/>
  <c r="IU46" i="34"/>
  <c r="GJ134" i="34"/>
  <c r="P56" i="33"/>
  <c r="EG133" i="34"/>
  <c r="FO45" i="34"/>
  <c r="GA80" i="33"/>
  <c r="EK79" i="34"/>
  <c r="EV57" i="33"/>
  <c r="AM82" i="33"/>
  <c r="FW99" i="34"/>
  <c r="CY92" i="33"/>
  <c r="DZ43" i="33"/>
  <c r="GE72" i="33"/>
  <c r="EZ109" i="34"/>
  <c r="Y138" i="34"/>
  <c r="IY52" i="34"/>
  <c r="JA169" i="34"/>
  <c r="W71" i="33"/>
  <c r="B53" i="17"/>
  <c r="BJ125" i="28"/>
  <c r="FS74" i="34"/>
  <c r="IA49" i="34"/>
  <c r="BL49" i="33"/>
  <c r="EP74" i="33"/>
  <c r="FT59" i="33"/>
  <c r="BH74" i="33"/>
  <c r="ML56" i="34"/>
  <c r="EA77" i="33"/>
  <c r="EK116" i="34"/>
  <c r="EL79" i="33"/>
  <c r="EW83" i="33"/>
  <c r="C52" i="17"/>
  <c r="KN117" i="34"/>
  <c r="LE54" i="34"/>
  <c r="BB46" i="34"/>
  <c r="IT162" i="34"/>
  <c r="BQ140" i="34"/>
  <c r="BE39" i="33"/>
  <c r="AU162" i="34"/>
  <c r="LX134" i="34"/>
  <c r="DE76" i="33"/>
  <c r="GI84" i="33"/>
  <c r="GK51" i="33"/>
  <c r="NJ54" i="34"/>
  <c r="CC35" i="33"/>
  <c r="FV84" i="33"/>
  <c r="M77" i="33"/>
  <c r="EQ92" i="33"/>
  <c r="AG45" i="33"/>
  <c r="BK33" i="33"/>
  <c r="AS36" i="33"/>
  <c r="KR71" i="34"/>
  <c r="ID178" i="34"/>
  <c r="AY68" i="34"/>
  <c r="EA60" i="33"/>
  <c r="AM92" i="34"/>
  <c r="BI9" i="33"/>
  <c r="AG74" i="33"/>
  <c r="PF129" i="34"/>
  <c r="CG160" i="34"/>
  <c r="DT83" i="33"/>
  <c r="HC123" i="34"/>
  <c r="CF70" i="33"/>
  <c r="DY59" i="34"/>
  <c r="CY75" i="33"/>
  <c r="FW82" i="34"/>
  <c r="GH76" i="33"/>
  <c r="KC170" i="34"/>
  <c r="AO157" i="34"/>
  <c r="K51" i="33"/>
  <c r="FG64" i="33"/>
  <c r="FP25" i="33"/>
  <c r="OO136" i="34"/>
  <c r="DZ59" i="33"/>
  <c r="DO26" i="33"/>
  <c r="IY87" i="34"/>
  <c r="AM29" i="33"/>
  <c r="LA181" i="34"/>
  <c r="FN52" i="33"/>
  <c r="NL122" i="34"/>
  <c r="DG53" i="33"/>
  <c r="FF68" i="33"/>
  <c r="AD93" i="34"/>
  <c r="FJ73" i="33"/>
  <c r="GN9" i="33"/>
  <c r="CV46" i="33"/>
  <c r="HU57" i="34"/>
  <c r="AX46" i="33"/>
  <c r="CQ78" i="33"/>
  <c r="DX170" i="34"/>
  <c r="BR43" i="33"/>
  <c r="EY104" i="34"/>
  <c r="FO55" i="33"/>
  <c r="IE156" i="34"/>
  <c r="ED39" i="33"/>
  <c r="KA44" i="34"/>
  <c r="K118" i="34"/>
  <c r="BH77" i="33"/>
  <c r="IQ160" i="34"/>
  <c r="H86" i="33"/>
  <c r="AW32" i="33"/>
  <c r="AT27" i="33"/>
  <c r="ED50" i="33"/>
  <c r="F47" i="28"/>
  <c r="X34" i="33"/>
  <c r="FX112" i="34"/>
  <c r="EK164" i="34"/>
  <c r="AK9" i="33"/>
  <c r="ME76" i="34"/>
  <c r="DI68" i="34"/>
  <c r="AY48" i="33"/>
  <c r="ON54" i="34"/>
  <c r="EG181" i="34"/>
  <c r="AZ85" i="33"/>
  <c r="LD95" i="34"/>
  <c r="LY95" i="34"/>
  <c r="DD128" i="34"/>
  <c r="S127" i="23"/>
  <c r="DH75" i="33"/>
  <c r="DX137" i="34"/>
  <c r="DZ133" i="34"/>
  <c r="AO166" i="34"/>
  <c r="W45" i="33"/>
  <c r="BP153" i="34"/>
  <c r="AA29" i="33"/>
  <c r="KP80" i="34"/>
  <c r="JG55" i="34"/>
  <c r="HF71" i="34"/>
  <c r="AG82" i="33"/>
  <c r="KC119" i="34"/>
  <c r="GE67" i="33"/>
  <c r="D41" i="17"/>
  <c r="AC51" i="33"/>
  <c r="DF53" i="33"/>
  <c r="NL132" i="34"/>
  <c r="EJ41" i="33"/>
  <c r="FB48" i="34"/>
  <c r="AM53" i="34"/>
  <c r="Y112" i="34"/>
  <c r="EA57" i="33"/>
  <c r="AR126" i="34"/>
  <c r="K38" i="33"/>
  <c r="Z45" i="33"/>
  <c r="FP67" i="33"/>
  <c r="CL45" i="33"/>
  <c r="BI56" i="33"/>
  <c r="EB85" i="34"/>
  <c r="IR80" i="34"/>
  <c r="LK157" i="34"/>
  <c r="MH175" i="34"/>
  <c r="CE143" i="34"/>
  <c r="S159" i="23"/>
  <c r="AW165" i="34"/>
  <c r="LI43" i="34"/>
  <c r="AC41" i="33"/>
  <c r="AR118" i="34"/>
  <c r="AU65" i="33"/>
  <c r="BJ16" i="28"/>
  <c r="AX48" i="33"/>
  <c r="GL90" i="33"/>
  <c r="BE45" i="33"/>
  <c r="CO26" i="33"/>
  <c r="EA38" i="33"/>
  <c r="FW69" i="33"/>
  <c r="AW111" i="34"/>
  <c r="LC120" i="34"/>
  <c r="KL161" i="34"/>
  <c r="CC58" i="33"/>
  <c r="AR125" i="34"/>
  <c r="IE186" i="34"/>
  <c r="CO51" i="33"/>
  <c r="DI162" i="34"/>
  <c r="DU44" i="33"/>
  <c r="K92" i="34"/>
  <c r="R46" i="33"/>
  <c r="HZ105" i="34"/>
  <c r="FB96" i="34"/>
  <c r="DE57" i="34"/>
  <c r="DE92" i="34"/>
  <c r="FP119" i="34"/>
  <c r="HF108" i="34"/>
  <c r="CM119" i="34"/>
  <c r="CE23" i="33"/>
  <c r="CC74" i="33"/>
  <c r="DP59" i="33"/>
  <c r="AJ86" i="33"/>
  <c r="DX26" i="33"/>
  <c r="AX63" i="33"/>
  <c r="EC122" i="34"/>
  <c r="V93" i="34"/>
  <c r="EX140" i="34"/>
  <c r="LW42" i="34"/>
  <c r="V94" i="34"/>
  <c r="KB93" i="34"/>
  <c r="FX77" i="33"/>
  <c r="FS50" i="34"/>
  <c r="AG77" i="33"/>
  <c r="FB54" i="34"/>
  <c r="DB51" i="33"/>
  <c r="CA36" i="33"/>
  <c r="CQ38" i="33"/>
  <c r="AJ34" i="33"/>
  <c r="OI156" i="34"/>
  <c r="BH68" i="33"/>
  <c r="DE69" i="33"/>
  <c r="B13" i="17"/>
  <c r="M31" i="33"/>
  <c r="HF101" i="34"/>
  <c r="IR97" i="34"/>
  <c r="AA76" i="33"/>
  <c r="Y91" i="34"/>
  <c r="HX45" i="34"/>
  <c r="AY49" i="34"/>
  <c r="IR125" i="34"/>
  <c r="OO126" i="34"/>
  <c r="JF147" i="34"/>
  <c r="DP84" i="33"/>
  <c r="FZ48" i="33"/>
  <c r="EY157" i="34"/>
  <c r="FU79" i="33"/>
  <c r="NN156" i="34"/>
  <c r="AT36" i="33"/>
  <c r="EI112" i="34"/>
  <c r="DB153" i="34"/>
  <c r="AP132" i="34"/>
  <c r="FI82" i="33"/>
  <c r="NP46" i="34"/>
  <c r="GF83" i="33"/>
  <c r="I60" i="33"/>
  <c r="CL62" i="33"/>
  <c r="DD46" i="33"/>
  <c r="BP163" i="34"/>
  <c r="BS72" i="33"/>
  <c r="F73" i="33"/>
  <c r="GK99" i="34"/>
  <c r="GO41" i="33"/>
  <c r="FE33" i="33"/>
  <c r="BB31" i="33"/>
  <c r="EF53" i="33"/>
  <c r="DK53" i="33"/>
  <c r="AB94" i="34"/>
  <c r="BJ58" i="33"/>
  <c r="BM46" i="33"/>
  <c r="EF173" i="34"/>
  <c r="BA61" i="33"/>
  <c r="CN58" i="33"/>
  <c r="GI46" i="33"/>
  <c r="GD65" i="33"/>
  <c r="BW63" i="33"/>
  <c r="EM78" i="33"/>
  <c r="V162" i="34"/>
  <c r="BK90" i="33"/>
  <c r="LB188" i="34"/>
  <c r="IS97" i="34"/>
  <c r="JH126" i="34"/>
  <c r="AX41" i="33"/>
  <c r="AT139" i="34"/>
  <c r="DF151" i="34"/>
  <c r="BJ60" i="33"/>
  <c r="DJ136" i="34"/>
  <c r="FM72" i="33"/>
  <c r="HT143" i="34"/>
  <c r="JG186" i="34"/>
  <c r="DC86" i="33"/>
  <c r="S26" i="17"/>
  <c r="FI62" i="33"/>
  <c r="EX74" i="34"/>
  <c r="DR48" i="33"/>
  <c r="AJ45" i="33"/>
  <c r="FS147" i="34"/>
  <c r="AU65" i="34"/>
  <c r="BJ37" i="33"/>
  <c r="CQ74" i="33"/>
  <c r="N40" i="33"/>
  <c r="CE81" i="34"/>
  <c r="BW27" i="33"/>
  <c r="AB87" i="34"/>
  <c r="AH37" i="33"/>
  <c r="GQ92" i="34"/>
  <c r="GM41" i="34"/>
  <c r="H71" i="33"/>
  <c r="AU116" i="34"/>
  <c r="FU43" i="33"/>
  <c r="EP80" i="33"/>
  <c r="GJ178" i="34"/>
  <c r="CC82" i="33"/>
  <c r="CN124" i="34"/>
  <c r="DC55" i="34"/>
  <c r="CF68" i="33"/>
  <c r="JU54" i="34"/>
  <c r="GM91" i="34"/>
  <c r="GQ170" i="34"/>
  <c r="LZ142" i="34"/>
  <c r="BQ32" i="33"/>
  <c r="JW163" i="34"/>
  <c r="CM169" i="34"/>
  <c r="BG70" i="33"/>
  <c r="JB60" i="34"/>
  <c r="F20" i="33"/>
  <c r="S75" i="33"/>
  <c r="AL52" i="33"/>
  <c r="AR29" i="33"/>
  <c r="BJ131" i="28"/>
  <c r="GL73" i="33"/>
  <c r="N56" i="33"/>
  <c r="FC62" i="33"/>
  <c r="HG55" i="34"/>
  <c r="CD28" i="33"/>
  <c r="FJ27" i="33"/>
  <c r="GO74" i="34"/>
  <c r="HE94" i="34"/>
  <c r="FN188" i="34"/>
  <c r="DH176" i="34"/>
  <c r="LE46" i="34"/>
  <c r="DI103" i="34"/>
  <c r="FX37" i="33"/>
  <c r="FS69" i="33"/>
  <c r="AG92" i="33"/>
  <c r="Z50" i="33"/>
  <c r="ED92" i="33"/>
  <c r="DY102" i="34"/>
  <c r="EP50" i="33"/>
  <c r="AW99" i="34"/>
  <c r="B65" i="28"/>
  <c r="K146" i="34"/>
  <c r="LZ132" i="34"/>
  <c r="AL38" i="33"/>
  <c r="CM129" i="34"/>
  <c r="EI181" i="34"/>
  <c r="BO56" i="34"/>
  <c r="EI93" i="34"/>
  <c r="BR73" i="33"/>
  <c r="EJ27" i="33"/>
  <c r="FX121" i="34"/>
  <c r="BO35" i="33"/>
  <c r="FS63" i="33"/>
  <c r="CI32" i="33"/>
  <c r="AE50" i="33"/>
  <c r="IT98" i="34"/>
  <c r="HC49" i="34"/>
  <c r="JB92" i="34"/>
  <c r="AM52" i="34"/>
  <c r="AF77" i="33"/>
  <c r="CE60" i="33"/>
  <c r="AA77" i="34"/>
  <c r="HF188" i="34"/>
  <c r="DT68" i="33"/>
  <c r="FJ37" i="33"/>
  <c r="CI113" i="34"/>
  <c r="GG35" i="33"/>
  <c r="LY135" i="34"/>
  <c r="NC139" i="34"/>
  <c r="N79" i="33"/>
  <c r="DC66" i="33"/>
  <c r="AC72" i="34"/>
  <c r="BI61" i="33"/>
  <c r="CX86" i="33"/>
  <c r="DV110" i="34"/>
  <c r="AO115" i="34"/>
  <c r="HH124" i="34"/>
  <c r="JE95" i="34"/>
  <c r="CE65" i="34"/>
  <c r="AS80" i="33"/>
  <c r="R51" i="33"/>
  <c r="LJ88" i="34"/>
  <c r="AP53" i="33"/>
  <c r="KL94" i="34"/>
  <c r="DG61" i="33"/>
  <c r="LJ68" i="34"/>
  <c r="AD35" i="33"/>
  <c r="CD80" i="34"/>
  <c r="CN80" i="33"/>
  <c r="JZ115" i="34"/>
  <c r="EG30" i="33"/>
  <c r="KA181" i="34"/>
  <c r="AW40" i="33"/>
  <c r="EQ56" i="33"/>
  <c r="T60" i="33"/>
  <c r="HX41" i="34"/>
  <c r="NO53" i="34"/>
  <c r="NC134" i="34"/>
  <c r="BL67" i="33"/>
  <c r="BH75" i="33"/>
  <c r="BH25" i="33"/>
  <c r="IY105" i="34"/>
  <c r="FP83" i="34"/>
  <c r="KQ128" i="34"/>
  <c r="LZ173" i="34"/>
  <c r="CN141" i="34"/>
  <c r="Y77" i="34"/>
  <c r="CN53" i="33"/>
  <c r="FW43" i="34"/>
  <c r="BH59" i="33"/>
  <c r="HG91" i="34"/>
  <c r="HE42" i="34"/>
  <c r="KB97" i="34"/>
  <c r="FB44" i="34"/>
  <c r="AK50" i="33"/>
  <c r="FF38" i="33"/>
  <c r="EA175" i="34"/>
  <c r="CI40" i="33"/>
  <c r="BM64" i="33"/>
  <c r="FW66" i="33"/>
  <c r="EE20" i="33"/>
  <c r="JC164" i="34"/>
  <c r="AZ151" i="34"/>
  <c r="MI80" i="34"/>
  <c r="BV66" i="33"/>
  <c r="DN5" i="34"/>
  <c r="EM51" i="33"/>
  <c r="FO129" i="34"/>
  <c r="X64" i="33"/>
  <c r="AY172" i="34"/>
  <c r="AP111" i="34"/>
  <c r="DG92" i="33"/>
  <c r="FQ60" i="33"/>
  <c r="AJ47" i="33"/>
  <c r="FU52" i="33"/>
  <c r="AU88" i="34"/>
  <c r="W103" i="34"/>
  <c r="EC157" i="34"/>
  <c r="AD66" i="33"/>
  <c r="BU26" i="33"/>
  <c r="BN27" i="33"/>
  <c r="EJ83" i="33"/>
  <c r="GP107" i="34"/>
  <c r="FI65" i="33"/>
  <c r="AS69" i="33"/>
  <c r="FY45" i="33"/>
  <c r="BM30" i="33"/>
  <c r="LJ178" i="34"/>
  <c r="EE121" i="34"/>
  <c r="JU151" i="34"/>
  <c r="AZ76" i="34"/>
  <c r="CI166" i="34"/>
  <c r="BV37" i="33"/>
  <c r="AV142" i="34"/>
  <c r="DR60" i="33"/>
  <c r="HW155" i="34"/>
  <c r="BT52" i="33"/>
  <c r="EZ134" i="34"/>
  <c r="C48" i="17"/>
  <c r="FL52" i="33"/>
  <c r="W142" i="34"/>
  <c r="BY31" i="33"/>
  <c r="IC100" i="34"/>
  <c r="KL70" i="34"/>
  <c r="EF59" i="33"/>
  <c r="FX45" i="33"/>
  <c r="GN157" i="34"/>
  <c r="DI155" i="34"/>
  <c r="BA70" i="34"/>
  <c r="M67" i="33"/>
  <c r="AQ116" i="34"/>
  <c r="HD75" i="34"/>
  <c r="FS64" i="33"/>
  <c r="FE38" i="33"/>
  <c r="BW52" i="33"/>
  <c r="CK84" i="34"/>
  <c r="JW96" i="34"/>
  <c r="CZ73" i="33"/>
  <c r="EY96" i="34"/>
  <c r="CZ69" i="33"/>
  <c r="IR160" i="34"/>
  <c r="GI28" i="33"/>
  <c r="AW74" i="33"/>
  <c r="DE26" i="33"/>
  <c r="IQ45" i="34"/>
  <c r="CJ60" i="33"/>
  <c r="S78" i="33"/>
  <c r="CH82" i="34"/>
  <c r="AH58" i="33"/>
  <c r="DS27" i="33"/>
  <c r="DR56" i="33"/>
  <c r="JC46" i="34"/>
  <c r="GI78" i="33"/>
  <c r="JD120" i="34"/>
  <c r="CG74" i="34"/>
  <c r="ID168" i="34"/>
  <c r="DR67" i="33"/>
  <c r="DW75" i="34"/>
  <c r="CB52" i="33"/>
  <c r="CQ58" i="33"/>
  <c r="CL112" i="34"/>
  <c r="FB99" i="34"/>
  <c r="CQ56" i="33"/>
  <c r="S74" i="23"/>
  <c r="FR40" i="33"/>
  <c r="DG157" i="34"/>
  <c r="BJ12" i="28"/>
  <c r="BF81" i="33"/>
  <c r="MC75" i="34"/>
  <c r="AY103" i="34"/>
  <c r="FS94" i="34"/>
  <c r="MA74" i="34"/>
  <c r="KQ160" i="34"/>
  <c r="DR82" i="33"/>
  <c r="CC73" i="33"/>
  <c r="DY35" i="33"/>
  <c r="IT57" i="34"/>
  <c r="S68" i="33"/>
  <c r="BA181" i="34"/>
  <c r="CC54" i="33"/>
  <c r="GI90" i="33"/>
  <c r="FS38" i="33"/>
  <c r="C63" i="17"/>
  <c r="ES71" i="33"/>
  <c r="BK32" i="33"/>
  <c r="FR72" i="33"/>
  <c r="BA57" i="33"/>
  <c r="DH41" i="33"/>
  <c r="BL72" i="33"/>
  <c r="DM37" i="33"/>
  <c r="GG80" i="33"/>
  <c r="BI92" i="33"/>
  <c r="AX163" i="34"/>
  <c r="IV124" i="34"/>
  <c r="PH140" i="34"/>
  <c r="X98" i="34"/>
  <c r="F28" i="17"/>
  <c r="P43" i="33"/>
  <c r="HV61" i="34"/>
  <c r="FI42" i="33"/>
  <c r="CY32" i="33"/>
  <c r="GN76" i="34"/>
  <c r="NF153" i="34"/>
  <c r="CI54" i="33"/>
  <c r="CC81" i="33"/>
  <c r="P57" i="33"/>
  <c r="DM31" i="33"/>
  <c r="W74" i="33"/>
  <c r="AC42" i="34"/>
  <c r="HZ128" i="34"/>
  <c r="CI51" i="34"/>
  <c r="GA57" i="33"/>
  <c r="KQ64" i="34"/>
  <c r="AL74" i="33"/>
  <c r="AX55" i="34"/>
  <c r="ND89" i="34"/>
  <c r="DD32" i="33"/>
  <c r="FP61" i="34"/>
  <c r="CM174" i="34"/>
  <c r="P38" i="33"/>
  <c r="AB53" i="34"/>
  <c r="EA61" i="33"/>
  <c r="AG47" i="33"/>
  <c r="T103" i="34"/>
  <c r="GI41" i="33"/>
  <c r="DH71" i="33"/>
  <c r="FT160" i="34"/>
  <c r="EI116" i="34"/>
  <c r="V33" i="17"/>
  <c r="FT48" i="33"/>
  <c r="EK49" i="33"/>
  <c r="H38" i="33"/>
  <c r="EY74" i="33"/>
  <c r="JY47" i="34"/>
  <c r="BJ195" i="28"/>
  <c r="FN71" i="34"/>
  <c r="CD52" i="33"/>
  <c r="CY64" i="33"/>
  <c r="FS84" i="33"/>
  <c r="H46" i="33"/>
  <c r="DY85" i="34"/>
  <c r="N36" i="33"/>
  <c r="ED57" i="33"/>
  <c r="BW43" i="33"/>
  <c r="JT138" i="34"/>
  <c r="EF72" i="34"/>
  <c r="CO65" i="33"/>
  <c r="OK161" i="34"/>
  <c r="AE38" i="33"/>
  <c r="IV58" i="34"/>
  <c r="DV121" i="34"/>
  <c r="AD32" i="33"/>
  <c r="KO131" i="34"/>
  <c r="DW127" i="34"/>
  <c r="U72" i="34"/>
  <c r="GJ43" i="33"/>
  <c r="CL71" i="34"/>
  <c r="X60" i="34"/>
  <c r="GO70" i="33"/>
  <c r="CA63" i="33"/>
  <c r="CI95" i="34"/>
  <c r="IQ97" i="34"/>
  <c r="FN39" i="33"/>
  <c r="AV42" i="33"/>
  <c r="BN188" i="34"/>
  <c r="BQ64" i="33"/>
  <c r="FO73" i="33"/>
  <c r="CB30" i="33"/>
  <c r="T87" i="34"/>
  <c r="DE87" i="34"/>
  <c r="EC145" i="34"/>
  <c r="DH82" i="34"/>
  <c r="OO150" i="34"/>
  <c r="W28" i="33"/>
  <c r="CK74" i="33"/>
  <c r="KR164" i="34"/>
  <c r="FZ38" i="33"/>
  <c r="GD43" i="33"/>
  <c r="JW102" i="34"/>
  <c r="DI140" i="34"/>
  <c r="LZ137" i="34"/>
  <c r="CX30" i="33"/>
  <c r="IQ169" i="34"/>
  <c r="AO92" i="34"/>
  <c r="BJ107" i="28"/>
  <c r="DK79" i="33"/>
  <c r="MO96" i="34"/>
  <c r="AN65" i="33"/>
  <c r="L99" i="28"/>
  <c r="EZ33" i="33"/>
  <c r="EJ9" i="33"/>
  <c r="T149" i="34"/>
  <c r="IE121" i="34"/>
  <c r="EY71" i="34"/>
  <c r="FA83" i="33"/>
  <c r="AK29" i="33"/>
  <c r="EE129" i="34"/>
  <c r="AX103" i="34"/>
  <c r="DG52" i="34"/>
  <c r="FF49" i="33"/>
  <c r="BZ57" i="33"/>
  <c r="FY70" i="33"/>
  <c r="DB49" i="33"/>
  <c r="IA149" i="34"/>
  <c r="GD41" i="33"/>
  <c r="AW80" i="33"/>
  <c r="F15" i="17"/>
  <c r="BT76" i="33"/>
  <c r="V30" i="33"/>
  <c r="BO42" i="33"/>
  <c r="EK123" i="34"/>
  <c r="JH93" i="34"/>
  <c r="U52" i="33"/>
  <c r="DD54" i="33"/>
  <c r="BC58" i="33"/>
  <c r="U79" i="33"/>
  <c r="PZ63" i="34"/>
  <c r="GJ85" i="34"/>
  <c r="L104" i="28"/>
  <c r="X117" i="34"/>
  <c r="EJ64" i="33"/>
  <c r="I71" i="33"/>
  <c r="FX82" i="33"/>
  <c r="EH46" i="34"/>
  <c r="LF101" i="34"/>
  <c r="NC112" i="34"/>
  <c r="JG57" i="34"/>
  <c r="AF66" i="33"/>
  <c r="BQ70" i="33"/>
  <c r="CI46" i="34"/>
  <c r="GQ176" i="34"/>
  <c r="JE150" i="34"/>
  <c r="FK30" i="33"/>
  <c r="DW41" i="34"/>
  <c r="FW44" i="34"/>
  <c r="EZ75" i="34"/>
  <c r="BO188" i="34"/>
  <c r="DD67" i="33"/>
  <c r="DA169" i="34"/>
  <c r="AI41" i="33"/>
  <c r="CA72" i="33"/>
  <c r="GJ90" i="33"/>
  <c r="IE117" i="34"/>
  <c r="KC43" i="34"/>
  <c r="AV116" i="34"/>
  <c r="FG83" i="33"/>
  <c r="DH54" i="33"/>
  <c r="GE60" i="33"/>
  <c r="CR25" i="33"/>
  <c r="GK81" i="33"/>
  <c r="DX64" i="33"/>
  <c r="IU93" i="34"/>
  <c r="U105" i="34"/>
  <c r="KC174" i="34"/>
  <c r="AT31" i="33"/>
  <c r="IQ42" i="34"/>
  <c r="CH61" i="33"/>
  <c r="EW82" i="34"/>
  <c r="BB92" i="33"/>
  <c r="EA74" i="33"/>
  <c r="BU28" i="33"/>
  <c r="GK69" i="34"/>
  <c r="CD35" i="33"/>
  <c r="AW128" i="34"/>
  <c r="BF71" i="33"/>
  <c r="AT75" i="33"/>
  <c r="NK126" i="34"/>
  <c r="AI83" i="33"/>
  <c r="DK42" i="33"/>
  <c r="KC120" i="34"/>
  <c r="DD37" i="33"/>
  <c r="FW83" i="34"/>
  <c r="JU163" i="34"/>
  <c r="FR86" i="33"/>
  <c r="GG20" i="33"/>
  <c r="Z62" i="33"/>
  <c r="CN160" i="34"/>
  <c r="DU57" i="33"/>
  <c r="EK49" i="34"/>
  <c r="BA72" i="33"/>
  <c r="FQ37" i="33"/>
  <c r="FX168" i="34"/>
  <c r="CO132" i="34"/>
  <c r="EZ64" i="33"/>
  <c r="BO149" i="34"/>
  <c r="AC56" i="33"/>
  <c r="R38" i="33"/>
  <c r="EF136" i="34"/>
  <c r="DA31" i="33"/>
  <c r="AM84" i="33"/>
  <c r="GN134" i="34"/>
  <c r="ED142" i="34"/>
  <c r="DR35" i="33"/>
  <c r="CB37" i="33"/>
  <c r="GJ62" i="33"/>
  <c r="GO174" i="34"/>
  <c r="GA68" i="33"/>
  <c r="GF65" i="33"/>
  <c r="FG54" i="33"/>
  <c r="JX149" i="34"/>
  <c r="AH64" i="33"/>
  <c r="GJ83" i="34"/>
  <c r="S161" i="23"/>
  <c r="DD84" i="33"/>
  <c r="FA86" i="33"/>
  <c r="AN164" i="34"/>
  <c r="HD96" i="34"/>
  <c r="FV69" i="33"/>
  <c r="AM41" i="33"/>
  <c r="J104" i="34"/>
  <c r="EF78" i="33"/>
  <c r="FL72" i="33"/>
  <c r="GK41" i="33"/>
  <c r="V166" i="34"/>
  <c r="DC64" i="34"/>
  <c r="DU69" i="33"/>
  <c r="DL86" i="33"/>
  <c r="FO59" i="33"/>
  <c r="DA145" i="34"/>
  <c r="S187" i="23"/>
  <c r="LI164" i="34"/>
  <c r="AC83" i="33"/>
  <c r="DL73" i="33"/>
  <c r="IZ95" i="34"/>
  <c r="AG85" i="33"/>
  <c r="LE44" i="34"/>
  <c r="DC39" i="33"/>
  <c r="BQ27" i="33"/>
  <c r="DX72" i="34"/>
  <c r="CK84" i="33"/>
  <c r="DG29" i="33"/>
  <c r="HY109" i="34"/>
  <c r="GA49" i="33"/>
  <c r="BE40" i="33"/>
  <c r="EP72" i="33"/>
  <c r="CE188" i="34"/>
  <c r="EZ57" i="33"/>
  <c r="DZ134" i="34"/>
  <c r="AD167" i="34"/>
  <c r="FF53" i="33"/>
  <c r="EQ86" i="33"/>
  <c r="AM52" i="33"/>
  <c r="HW96" i="34"/>
  <c r="CK37" i="33"/>
  <c r="CI30" i="33"/>
  <c r="BV86" i="33"/>
  <c r="GQ94" i="34"/>
  <c r="EQ81" i="33"/>
  <c r="DJ70" i="33"/>
  <c r="DB36" i="33"/>
  <c r="CK169" i="34"/>
  <c r="GN85" i="33"/>
  <c r="GO45" i="33"/>
  <c r="EM75" i="33"/>
  <c r="DX151" i="34"/>
  <c r="CY72" i="33"/>
  <c r="W159" i="34"/>
  <c r="GM67" i="33"/>
  <c r="EE59" i="33"/>
  <c r="AZ96" i="34"/>
  <c r="FF51" i="33"/>
  <c r="EP68" i="33"/>
  <c r="AX144" i="34"/>
  <c r="AP48" i="33"/>
  <c r="FL86" i="33"/>
  <c r="AI35" i="33"/>
  <c r="PD178" i="34"/>
  <c r="CH49" i="34"/>
  <c r="FZ44" i="33"/>
  <c r="S124" i="23"/>
  <c r="FY90" i="33"/>
  <c r="EK111" i="34"/>
  <c r="NF109" i="34"/>
  <c r="U118" i="34"/>
  <c r="T35" i="33"/>
  <c r="DD86" i="34"/>
  <c r="Z47" i="33"/>
  <c r="CC69" i="33"/>
  <c r="AZ48" i="34"/>
  <c r="IQ43" i="34"/>
  <c r="CF163" i="34"/>
  <c r="DD151" i="34"/>
  <c r="AW70" i="34"/>
  <c r="KL51" i="34"/>
  <c r="CK62" i="33"/>
  <c r="O92" i="33"/>
  <c r="CJ25" i="33"/>
  <c r="EJ79" i="33"/>
  <c r="GL51" i="34"/>
  <c r="L60" i="33"/>
  <c r="P70" i="33"/>
  <c r="GP128" i="34"/>
  <c r="LC107" i="34"/>
  <c r="Z70" i="33"/>
  <c r="MJ46" i="34"/>
  <c r="JW146" i="34"/>
  <c r="AS171" i="34"/>
  <c r="DL72" i="33"/>
  <c r="BR34" i="33"/>
  <c r="BZ30" i="33"/>
  <c r="CL42" i="33"/>
  <c r="DG79" i="34"/>
  <c r="GM108" i="34"/>
  <c r="GJ45" i="33"/>
  <c r="BC63" i="33"/>
  <c r="JZ149" i="34"/>
  <c r="IQ98" i="34"/>
  <c r="DJ103" i="34"/>
  <c r="BN81" i="33"/>
  <c r="JV100" i="34"/>
  <c r="MK57" i="34"/>
  <c r="EW152" i="34"/>
  <c r="EK128" i="34"/>
  <c r="CV86" i="33"/>
  <c r="GD44" i="33"/>
  <c r="AG65" i="33"/>
  <c r="GK93" i="34"/>
  <c r="NL130" i="34"/>
  <c r="B15" i="17"/>
  <c r="FA57" i="33"/>
  <c r="EE53" i="33"/>
  <c r="AN81" i="34"/>
  <c r="CK107" i="34"/>
  <c r="AW92" i="34"/>
  <c r="EJ50" i="33"/>
  <c r="JG147" i="34"/>
  <c r="DA52" i="34"/>
  <c r="AC73" i="33"/>
  <c r="DB60" i="33"/>
  <c r="AU76" i="33"/>
  <c r="I39" i="33"/>
  <c r="FT70" i="33"/>
  <c r="Z84" i="33"/>
  <c r="EH49" i="34"/>
  <c r="HE47" i="34"/>
  <c r="ED73" i="33"/>
  <c r="AC40" i="33"/>
  <c r="NO137" i="34"/>
  <c r="FO81" i="33"/>
  <c r="GK161" i="34"/>
  <c r="AI28" i="33"/>
  <c r="AY161" i="34"/>
  <c r="DD125" i="34"/>
  <c r="MH115" i="34"/>
  <c r="DY186" i="34"/>
  <c r="EQ79" i="33"/>
  <c r="BR132" i="34"/>
  <c r="JV170" i="34"/>
  <c r="CQ25" i="33"/>
  <c r="AN69" i="33"/>
  <c r="KN97" i="34"/>
  <c r="H59" i="33"/>
  <c r="CV80" i="33"/>
  <c r="V137" i="34"/>
  <c r="AM149" i="34"/>
  <c r="FM38" i="33"/>
  <c r="FE75" i="33"/>
  <c r="BU67" i="33"/>
  <c r="EG59" i="33"/>
  <c r="KM143" i="34"/>
  <c r="FQ26" i="33"/>
  <c r="IV144" i="34"/>
  <c r="AK79" i="33"/>
  <c r="BN74" i="33"/>
  <c r="FB55" i="34"/>
  <c r="FX135" i="34"/>
  <c r="CO60" i="33"/>
  <c r="CI70" i="33"/>
  <c r="HZ126" i="34"/>
  <c r="BH37" i="33"/>
  <c r="CE33" i="33"/>
  <c r="BY69" i="33"/>
  <c r="EZ135" i="34"/>
  <c r="AX71" i="34"/>
  <c r="AX89" i="34"/>
  <c r="OM85" i="34"/>
  <c r="LB74" i="34"/>
  <c r="K62" i="33"/>
  <c r="BL37" i="33"/>
  <c r="EA47" i="34"/>
  <c r="DW183" i="34"/>
  <c r="N43" i="33"/>
  <c r="F4" i="17"/>
  <c r="AM49" i="33"/>
  <c r="FQ50" i="34"/>
  <c r="PE85" i="34"/>
  <c r="EZ74" i="34"/>
  <c r="AR63" i="33"/>
  <c r="BS33" i="33"/>
  <c r="FG34" i="33"/>
  <c r="DZ166" i="34"/>
  <c r="BJ54" i="33"/>
  <c r="HV112" i="34"/>
  <c r="AA77" i="33"/>
  <c r="CH42" i="34"/>
  <c r="BF66" i="33"/>
  <c r="FO34" i="33"/>
  <c r="BQ42" i="33"/>
  <c r="IS165" i="34"/>
  <c r="DX43" i="33"/>
  <c r="NF175" i="34"/>
  <c r="Z47" i="34"/>
  <c r="ED187" i="34"/>
  <c r="NC103" i="34"/>
  <c r="GI39" i="33"/>
  <c r="LK131" i="34"/>
  <c r="FN77" i="34"/>
  <c r="EB178" i="34"/>
  <c r="BG67" i="33"/>
  <c r="HG124" i="34"/>
  <c r="EE92" i="33"/>
  <c r="DS56" i="33"/>
  <c r="KA43" i="34"/>
  <c r="BY57" i="33"/>
  <c r="AK33" i="33"/>
  <c r="BK62" i="33"/>
  <c r="DJ54" i="34"/>
  <c r="FH85" i="33"/>
  <c r="MC96" i="34"/>
  <c r="KR63" i="34"/>
  <c r="AK60" i="33"/>
  <c r="FG63" i="33"/>
  <c r="AX25" i="33"/>
  <c r="BU44" i="33"/>
  <c r="KA162" i="34"/>
  <c r="NA175" i="34"/>
  <c r="F63" i="33"/>
  <c r="GD80" i="33"/>
  <c r="FP27" i="33"/>
  <c r="JY151" i="34"/>
  <c r="EH159" i="34"/>
  <c r="FA74" i="33"/>
  <c r="JX42" i="34"/>
  <c r="S52" i="17"/>
  <c r="DU33" i="33"/>
  <c r="DV75" i="34"/>
  <c r="DJ96" i="34"/>
  <c r="HH72" i="34"/>
  <c r="AS42" i="34"/>
  <c r="LZ119" i="34"/>
  <c r="EF151" i="34"/>
  <c r="AY83" i="34"/>
  <c r="EZ35" i="33"/>
  <c r="K159" i="34"/>
  <c r="AW33" i="33"/>
  <c r="EM9" i="33"/>
  <c r="CD128" i="34"/>
  <c r="BC31" i="33"/>
  <c r="GG45" i="33"/>
  <c r="EL81" i="33"/>
  <c r="CO56" i="33"/>
  <c r="EB188" i="34"/>
  <c r="NN183" i="34"/>
  <c r="BN93" i="34"/>
  <c r="HW60" i="34"/>
  <c r="AU84" i="34"/>
  <c r="BC56" i="33"/>
  <c r="DJ143" i="34"/>
  <c r="BW25" i="33"/>
  <c r="CA31" i="33"/>
  <c r="EX62" i="34"/>
  <c r="HC50" i="34"/>
  <c r="IR141" i="34"/>
  <c r="HT91" i="34"/>
  <c r="FD48" i="33"/>
  <c r="DX52" i="33"/>
  <c r="FT66" i="33"/>
  <c r="FT128" i="34"/>
  <c r="NP49" i="34"/>
  <c r="K74" i="33"/>
  <c r="AU144" i="34"/>
  <c r="CV79" i="33"/>
  <c r="JV68" i="34"/>
  <c r="FO80" i="33"/>
  <c r="V40" i="33"/>
  <c r="DG119" i="34"/>
  <c r="ID73" i="34"/>
  <c r="GO118" i="34"/>
  <c r="EX103" i="34"/>
  <c r="MF83" i="34"/>
  <c r="AA89" i="34"/>
  <c r="EY112" i="34"/>
  <c r="CE73" i="33"/>
  <c r="BA42" i="33"/>
  <c r="AY178" i="34"/>
  <c r="N84" i="33"/>
  <c r="IA119" i="34"/>
  <c r="CB76" i="33"/>
  <c r="AS119" i="34"/>
  <c r="NN129" i="34"/>
  <c r="CD87" i="34"/>
  <c r="KM139" i="34"/>
  <c r="S41" i="23"/>
  <c r="DU85" i="33"/>
  <c r="FG44" i="33"/>
  <c r="HC168" i="34"/>
  <c r="AY174" i="34"/>
  <c r="HE84" i="34"/>
  <c r="FR92" i="33"/>
  <c r="KM67" i="34"/>
  <c r="AL84" i="33"/>
  <c r="DF48" i="33"/>
  <c r="EG43" i="33"/>
  <c r="GL145" i="34"/>
  <c r="MK123" i="34"/>
  <c r="KL149" i="34"/>
  <c r="DE78" i="34"/>
  <c r="BN49" i="33"/>
  <c r="AC9" i="33"/>
  <c r="ME52" i="34"/>
  <c r="KQ124" i="34"/>
  <c r="KR129" i="34"/>
  <c r="EJ38" i="33"/>
  <c r="EE95" i="34"/>
  <c r="JC58" i="34"/>
  <c r="LK107" i="34"/>
  <c r="Z74" i="33"/>
  <c r="CI43" i="33"/>
  <c r="AN173" i="34"/>
  <c r="KR52" i="34"/>
  <c r="BB145" i="34"/>
  <c r="AU56" i="33"/>
  <c r="CJ109" i="34"/>
  <c r="GH61" i="33"/>
  <c r="AU69" i="34"/>
  <c r="JZ94" i="34"/>
  <c r="G65" i="33"/>
  <c r="AQ68" i="33"/>
  <c r="FU99" i="34"/>
  <c r="DX80" i="34"/>
  <c r="EP53" i="33"/>
  <c r="FN72" i="33"/>
  <c r="DS78" i="33"/>
  <c r="HT140" i="34"/>
  <c r="BR45" i="33"/>
  <c r="GM173" i="34"/>
  <c r="EK52" i="33"/>
  <c r="BP135" i="34"/>
  <c r="LC45" i="34"/>
  <c r="BQ79" i="34"/>
  <c r="AH56" i="33"/>
  <c r="DJ147" i="34"/>
  <c r="BO33" i="33"/>
  <c r="ON149" i="34"/>
  <c r="DP60" i="33"/>
  <c r="HT56" i="34"/>
  <c r="FK52" i="33"/>
  <c r="O62" i="33"/>
  <c r="OM111" i="34"/>
  <c r="ED46" i="33"/>
  <c r="FC68" i="33"/>
  <c r="AB77" i="34"/>
  <c r="IB146" i="34"/>
  <c r="CV32" i="33"/>
  <c r="DU67" i="33"/>
  <c r="FT32" i="33"/>
  <c r="CW52" i="33"/>
  <c r="GP54" i="34"/>
  <c r="AD77" i="34"/>
  <c r="CI66" i="33"/>
  <c r="DS55" i="33"/>
  <c r="AI60" i="33"/>
  <c r="AF44" i="33"/>
  <c r="DX81" i="34"/>
  <c r="FZ70" i="33"/>
  <c r="GG67" i="33"/>
  <c r="GM48" i="33"/>
  <c r="BA9" i="33"/>
  <c r="BF84" i="33"/>
  <c r="JY71" i="34"/>
  <c r="CQ68" i="33"/>
  <c r="JV81" i="34"/>
  <c r="BF49" i="33"/>
  <c r="IR71" i="34"/>
  <c r="EZ48" i="33"/>
  <c r="BI90" i="33"/>
  <c r="HE103" i="34"/>
  <c r="Z161" i="34"/>
  <c r="EI65" i="34"/>
  <c r="JB73" i="34"/>
  <c r="M78" i="33"/>
  <c r="BE52" i="33"/>
  <c r="CU53" i="33"/>
  <c r="FA54" i="34"/>
  <c r="LI101" i="34"/>
  <c r="EW27" i="33"/>
  <c r="B22" i="17"/>
  <c r="CS85" i="33"/>
  <c r="MD119" i="34"/>
  <c r="AV67" i="33"/>
  <c r="FC47" i="33"/>
  <c r="BP48" i="34"/>
  <c r="ID70" i="34"/>
  <c r="CE175" i="34"/>
  <c r="AN72" i="34"/>
  <c r="GJ100" i="34"/>
  <c r="FB94" i="34"/>
  <c r="DH83" i="34"/>
  <c r="BE77" i="33"/>
  <c r="BF79" i="33"/>
  <c r="CJ151" i="34"/>
  <c r="BT36" i="33"/>
  <c r="MO46" i="34"/>
  <c r="JB45" i="34"/>
  <c r="CF123" i="34"/>
  <c r="DB67" i="33"/>
  <c r="NO148" i="34"/>
  <c r="FM67" i="33"/>
  <c r="KB49" i="34"/>
  <c r="DJ107" i="34"/>
  <c r="DZ74" i="34"/>
  <c r="FG80" i="33"/>
  <c r="IC166" i="34"/>
  <c r="IT83" i="34"/>
  <c r="CQ75" i="33"/>
  <c r="KA78" i="34"/>
  <c r="EY41" i="33"/>
  <c r="JX154" i="34"/>
  <c r="FP55" i="33"/>
  <c r="DJ43" i="33"/>
  <c r="DG113" i="34"/>
  <c r="LX188" i="34"/>
  <c r="GJ108" i="34"/>
  <c r="NL107" i="34"/>
  <c r="GD25" i="33"/>
  <c r="CX85" i="33"/>
  <c r="JD97" i="34"/>
  <c r="CX41" i="33"/>
  <c r="GB68" i="33"/>
  <c r="GK34" i="33"/>
  <c r="EE139" i="34"/>
  <c r="S53" i="33"/>
  <c r="FU117" i="34"/>
  <c r="S141" i="23"/>
  <c r="DT81" i="33"/>
  <c r="HG93" i="34"/>
  <c r="FA59" i="34"/>
  <c r="DO90" i="33"/>
  <c r="NH76" i="34"/>
  <c r="AX143" i="34"/>
  <c r="AW110" i="34"/>
  <c r="AY83" i="33"/>
  <c r="BW38" i="33"/>
  <c r="JG174" i="34"/>
  <c r="KP148" i="34"/>
  <c r="LI57" i="34"/>
  <c r="GO97" i="34"/>
  <c r="FO138" i="34"/>
  <c r="HT181" i="34"/>
  <c r="DV176" i="34"/>
  <c r="HU188" i="34"/>
  <c r="ED62" i="34"/>
  <c r="GB28" i="33"/>
  <c r="F31" i="33"/>
  <c r="DD62" i="33"/>
  <c r="FA173" i="34"/>
  <c r="EA171" i="34"/>
  <c r="ED64" i="34"/>
  <c r="HH150" i="34"/>
  <c r="BE56" i="33"/>
  <c r="MA103" i="34"/>
  <c r="FD56" i="33"/>
  <c r="JV112" i="34"/>
  <c r="DC30" i="33"/>
  <c r="L9" i="17"/>
  <c r="DK60" i="33"/>
  <c r="CL145" i="34"/>
  <c r="AS90" i="33"/>
  <c r="AT69" i="33"/>
  <c r="EE109" i="34"/>
  <c r="GQ45" i="34"/>
  <c r="BG32" i="33"/>
  <c r="LH172" i="34"/>
  <c r="FW78" i="33"/>
  <c r="IT181" i="34"/>
  <c r="BJ137" i="28"/>
  <c r="Z75" i="34"/>
  <c r="DB29" i="33"/>
  <c r="MF123" i="34"/>
  <c r="BY86" i="33"/>
  <c r="BA28" i="33"/>
  <c r="EG54" i="33"/>
  <c r="IE153" i="34"/>
  <c r="FX26" i="33"/>
  <c r="FB60" i="34"/>
  <c r="BN32" i="33"/>
  <c r="CP49" i="33"/>
  <c r="EA40" i="33"/>
  <c r="CB41" i="33"/>
  <c r="DJ104" i="34"/>
  <c r="W76" i="33"/>
  <c r="AR53" i="34"/>
  <c r="EB46" i="34"/>
  <c r="AR45" i="33"/>
  <c r="JT95" i="34"/>
  <c r="HG74" i="34"/>
  <c r="DZ117" i="34"/>
  <c r="BA56" i="34"/>
  <c r="IY168" i="34"/>
  <c r="BR88" i="34"/>
  <c r="F17" i="17"/>
  <c r="DV171" i="34"/>
  <c r="FN83" i="33"/>
  <c r="AF75" i="33"/>
  <c r="OO141" i="34"/>
  <c r="DH167" i="34"/>
  <c r="GD81" i="33"/>
  <c r="BY52" i="33"/>
  <c r="Y49" i="33"/>
  <c r="BC69" i="33"/>
  <c r="AO50" i="34"/>
  <c r="AU80" i="33"/>
  <c r="PG106" i="34"/>
  <c r="LF116" i="34"/>
  <c r="ED51" i="34"/>
  <c r="FO66" i="34"/>
  <c r="LI126" i="34"/>
  <c r="FJ41" i="33"/>
  <c r="KM135" i="34"/>
  <c r="IQ106" i="34"/>
  <c r="AV71" i="33"/>
  <c r="KO183" i="34"/>
  <c r="IS110" i="34"/>
  <c r="JY172" i="34"/>
  <c r="AY62" i="33"/>
  <c r="JB117" i="34"/>
  <c r="EA65" i="34"/>
  <c r="H47" i="33"/>
  <c r="EW78" i="34"/>
  <c r="BJ98" i="28"/>
  <c r="MJ181" i="34"/>
  <c r="CK97" i="34"/>
  <c r="GO60" i="34"/>
  <c r="AN88" i="34"/>
  <c r="BB66" i="34"/>
  <c r="CB26" i="33"/>
  <c r="CJ115" i="34"/>
  <c r="BP59" i="34"/>
  <c r="LZ140" i="34"/>
  <c r="IQ156" i="34"/>
  <c r="MF107" i="34"/>
  <c r="CJ56" i="33"/>
  <c r="IT117" i="34"/>
  <c r="AZ128" i="34"/>
  <c r="CL32" i="33"/>
  <c r="Y43" i="33"/>
  <c r="CP76" i="33"/>
  <c r="GJ84" i="33"/>
  <c r="HV130" i="34"/>
  <c r="FO158" i="34"/>
  <c r="EX99" i="34"/>
  <c r="ED126" i="34"/>
  <c r="CD47" i="33"/>
  <c r="HY119" i="34"/>
  <c r="DG102" i="34"/>
  <c r="LH188" i="34"/>
  <c r="EI51" i="34"/>
  <c r="EF183" i="34"/>
  <c r="AA97" i="34"/>
  <c r="DA44" i="33"/>
  <c r="DJ92" i="33"/>
  <c r="HG147" i="34"/>
  <c r="NB48" i="34"/>
  <c r="JB99" i="34"/>
  <c r="CZ37" i="33"/>
  <c r="FQ32" i="33"/>
  <c r="BB115" i="34"/>
  <c r="IT90" i="34"/>
  <c r="O78" i="33"/>
  <c r="OH74" i="34"/>
  <c r="FO68" i="33"/>
  <c r="EW61" i="33"/>
  <c r="JT183" i="34"/>
  <c r="LW121" i="34"/>
  <c r="IE52" i="34"/>
  <c r="AM66" i="33"/>
  <c r="FN130" i="34"/>
  <c r="CH52" i="33"/>
  <c r="CZ81" i="33"/>
  <c r="X105" i="34"/>
  <c r="DX187" i="34"/>
  <c r="DX70" i="33"/>
  <c r="DX78" i="34"/>
  <c r="DX173" i="34"/>
  <c r="KA61" i="34"/>
  <c r="AI46" i="33"/>
  <c r="EG83" i="33"/>
  <c r="FE31" i="33"/>
  <c r="CN169" i="34"/>
  <c r="EH86" i="34"/>
  <c r="LI123" i="34"/>
  <c r="DC77" i="33"/>
  <c r="AC119" i="34"/>
  <c r="DL50" i="33"/>
  <c r="J60" i="34"/>
  <c r="CV52" i="33"/>
  <c r="BC50" i="33"/>
  <c r="FX101" i="34"/>
  <c r="AN40" i="33"/>
  <c r="Z70" i="34"/>
  <c r="R48" i="33"/>
  <c r="O39" i="33"/>
  <c r="NB75" i="34"/>
  <c r="JW61" i="34"/>
  <c r="L105" i="28"/>
  <c r="JC119" i="34"/>
  <c r="DB55" i="34"/>
  <c r="JG143" i="34"/>
  <c r="BB173" i="34"/>
  <c r="V99" i="34"/>
  <c r="IQ119" i="34"/>
  <c r="DD27" i="33"/>
  <c r="LG54" i="34"/>
  <c r="CL77" i="34"/>
  <c r="HD147" i="34"/>
  <c r="E28" i="3"/>
  <c r="AN63" i="34"/>
  <c r="CN102" i="34"/>
  <c r="FN79" i="33"/>
  <c r="DA83" i="34"/>
  <c r="AT142" i="34"/>
  <c r="CF44" i="33"/>
  <c r="CZ82" i="33"/>
  <c r="CG76" i="34"/>
  <c r="FJ70" i="33"/>
  <c r="EY49" i="33"/>
  <c r="KQ130" i="34"/>
  <c r="BR140" i="34"/>
  <c r="DC34" i="33"/>
  <c r="FA161" i="34"/>
  <c r="GE27" i="33"/>
  <c r="GM71" i="34"/>
  <c r="AP31" i="33"/>
  <c r="BF67" i="33"/>
  <c r="BR33" i="33"/>
  <c r="Z138" i="34"/>
  <c r="DG134" i="34"/>
  <c r="CL100" i="34"/>
  <c r="JC107" i="34"/>
  <c r="DT73" i="33"/>
  <c r="HG163" i="34"/>
  <c r="Y60" i="34"/>
  <c r="LA188" i="34"/>
  <c r="FA60" i="33"/>
  <c r="JA94" i="34"/>
  <c r="O69" i="33"/>
  <c r="EW53" i="33"/>
  <c r="BN80" i="33"/>
  <c r="P84" i="33"/>
  <c r="DM92" i="33"/>
  <c r="IQ51" i="34"/>
  <c r="KQ129" i="34"/>
  <c r="DA46" i="34"/>
  <c r="BT65" i="33"/>
  <c r="X102" i="34"/>
  <c r="BS65" i="33"/>
  <c r="EF111" i="34"/>
  <c r="NG183" i="34"/>
  <c r="AV55" i="33"/>
  <c r="MN132" i="34"/>
  <c r="BJ127" i="28"/>
  <c r="AS74" i="33"/>
  <c r="FB120" i="34"/>
  <c r="T73" i="33"/>
  <c r="JV79" i="34"/>
  <c r="FN129" i="34"/>
  <c r="NL110" i="34"/>
  <c r="HU42" i="34"/>
  <c r="BR139" i="34"/>
  <c r="GL130" i="34"/>
  <c r="AK85" i="33"/>
  <c r="KR126" i="34"/>
  <c r="OJ126" i="34"/>
  <c r="GL144" i="34"/>
  <c r="CK48" i="34"/>
  <c r="FX96" i="34"/>
  <c r="DY152" i="34"/>
  <c r="BZ41" i="33"/>
  <c r="FC43" i="33"/>
  <c r="BF44" i="33"/>
  <c r="S60" i="23"/>
  <c r="BV60" i="33"/>
  <c r="BR134" i="34"/>
  <c r="IA61" i="34"/>
  <c r="FO63" i="33"/>
  <c r="DX38" i="33"/>
  <c r="BG75" i="33"/>
  <c r="CF146" i="34"/>
  <c r="MH104" i="34"/>
  <c r="AN78" i="34"/>
  <c r="HE75" i="34"/>
  <c r="FW137" i="34"/>
  <c r="DS77" i="33"/>
  <c r="DY74" i="33"/>
  <c r="BL40" i="33"/>
  <c r="FP112" i="34"/>
  <c r="CN107" i="34"/>
  <c r="FR59" i="33"/>
  <c r="DP66" i="33"/>
  <c r="AB166" i="34"/>
  <c r="FU76" i="33"/>
  <c r="JW101" i="34"/>
  <c r="DN42" i="33"/>
  <c r="JF44" i="34"/>
  <c r="BY36" i="33"/>
  <c r="ED64" i="33"/>
  <c r="CN79" i="33"/>
  <c r="DJ158" i="34"/>
  <c r="NI42" i="34"/>
  <c r="DE27" i="33"/>
  <c r="AS155" i="34"/>
  <c r="EL40" i="33"/>
  <c r="FX63" i="33"/>
  <c r="FG33" i="33"/>
  <c r="AI74" i="33"/>
  <c r="J35" i="33"/>
  <c r="FX75" i="34"/>
  <c r="NG65" i="34"/>
  <c r="AW169" i="34"/>
  <c r="AZ71" i="34"/>
  <c r="FL66" i="33"/>
  <c r="GN72" i="33"/>
  <c r="LI51" i="34"/>
  <c r="O66" i="33"/>
  <c r="FN91" i="34"/>
  <c r="CV66" i="33"/>
  <c r="FX38" i="33"/>
  <c r="PJ166" i="34"/>
  <c r="GM172" i="34"/>
  <c r="GN174" i="34"/>
  <c r="DD67" i="34"/>
  <c r="HT58" i="34"/>
  <c r="DH45" i="33"/>
  <c r="BB186" i="34"/>
  <c r="DJ85" i="34"/>
  <c r="GE83" i="33"/>
  <c r="AM132" i="34"/>
  <c r="DY53" i="33"/>
  <c r="HY108" i="34"/>
  <c r="PZ71" i="34"/>
  <c r="AD31" i="33"/>
  <c r="EE90" i="33"/>
  <c r="IV142" i="34"/>
  <c r="H67" i="33"/>
  <c r="KR171" i="34"/>
  <c r="CU47" i="33"/>
  <c r="EJ145" i="34"/>
  <c r="JC140" i="34"/>
  <c r="NE158" i="34"/>
  <c r="DR37" i="33"/>
  <c r="FS65" i="34"/>
  <c r="BY67" i="33"/>
  <c r="CJ63" i="33"/>
  <c r="NO61" i="34"/>
  <c r="V175" i="34"/>
  <c r="LJ66" i="34"/>
  <c r="AX64" i="33"/>
  <c r="X175" i="34"/>
  <c r="CD66" i="33"/>
  <c r="IA118" i="34"/>
  <c r="CV34" i="33"/>
  <c r="S76" i="23"/>
  <c r="EZ65" i="33"/>
  <c r="ER52" i="33"/>
  <c r="PF57" i="34"/>
  <c r="DC48" i="33"/>
  <c r="GO68" i="33"/>
  <c r="JF141" i="34"/>
  <c r="BZ61" i="33"/>
  <c r="FT79" i="33"/>
  <c r="U129" i="34"/>
  <c r="BQ58" i="33"/>
  <c r="GN81" i="34"/>
  <c r="HG95" i="34"/>
  <c r="CI48" i="34"/>
  <c r="FH46" i="33"/>
  <c r="FA133" i="34"/>
  <c r="CL78" i="34"/>
  <c r="R32" i="33"/>
  <c r="CP65" i="33"/>
  <c r="EF28" i="33"/>
  <c r="DA29" i="33"/>
  <c r="GQ188" i="34"/>
  <c r="AQ60" i="34"/>
  <c r="AP161" i="34"/>
  <c r="DS47" i="33"/>
  <c r="AN74" i="34"/>
  <c r="CG68" i="34"/>
  <c r="CS50" i="33"/>
  <c r="AQ134" i="34"/>
  <c r="BT70" i="33"/>
  <c r="DA102" i="34"/>
  <c r="IS175" i="34"/>
  <c r="AF83" i="33"/>
  <c r="FN86" i="33"/>
  <c r="FS48" i="33"/>
  <c r="NA103" i="34"/>
  <c r="CO54" i="34"/>
  <c r="JZ124" i="34"/>
  <c r="CY82" i="33"/>
  <c r="HY77" i="34"/>
  <c r="FM79" i="33"/>
  <c r="CN67" i="34"/>
  <c r="BN68" i="34"/>
  <c r="FM40" i="33"/>
  <c r="AB172" i="34"/>
  <c r="DI119" i="34"/>
  <c r="Z49" i="33"/>
  <c r="KP138" i="34"/>
  <c r="IA85" i="34"/>
  <c r="BP176" i="34"/>
  <c r="EE40" i="33"/>
  <c r="AI42" i="33"/>
  <c r="GJ165" i="34"/>
  <c r="MA147" i="34"/>
  <c r="V42" i="33"/>
  <c r="CA43" i="33"/>
  <c r="CI42" i="33"/>
  <c r="BN69" i="33"/>
  <c r="DS37" i="33"/>
  <c r="AI79" i="33"/>
  <c r="R80" i="33"/>
  <c r="NB43" i="34"/>
  <c r="JD175" i="34"/>
  <c r="CK59" i="33"/>
  <c r="GP59" i="34"/>
  <c r="AC115" i="34"/>
  <c r="AO149" i="34"/>
  <c r="T106" i="34"/>
  <c r="X119" i="34"/>
  <c r="CH70" i="33"/>
  <c r="LZ105" i="34"/>
  <c r="JB169" i="34"/>
  <c r="EK72" i="34"/>
  <c r="BT28" i="33"/>
  <c r="AT77" i="33"/>
  <c r="PZ85" i="34"/>
  <c r="JC89" i="34"/>
  <c r="FA71" i="33"/>
  <c r="FC33" i="33"/>
  <c r="FK31" i="33"/>
  <c r="CP50" i="33"/>
  <c r="K32" i="33"/>
  <c r="AT133" i="34"/>
  <c r="JV101" i="34"/>
  <c r="S151" i="23"/>
  <c r="EB72" i="34"/>
  <c r="CV64" i="33"/>
  <c r="IB105" i="34"/>
  <c r="LC176" i="34"/>
  <c r="FE70" i="33"/>
  <c r="DD106" i="34"/>
  <c r="DD72" i="33"/>
  <c r="FS42" i="33"/>
  <c r="FW87" i="34"/>
  <c r="CL67" i="33"/>
  <c r="DW93" i="34"/>
  <c r="IT76" i="34"/>
  <c r="GQ149" i="34"/>
  <c r="HY151" i="34"/>
  <c r="BJ66" i="33"/>
  <c r="EP75" i="33"/>
  <c r="EY155" i="34"/>
  <c r="GD83" i="33"/>
  <c r="DW140" i="34"/>
  <c r="CJ94" i="34"/>
  <c r="FP130" i="34"/>
  <c r="CV26" i="33"/>
  <c r="CN20" i="33"/>
  <c r="AZ30" i="33"/>
  <c r="DC144" i="34"/>
  <c r="CP45" i="33"/>
  <c r="BO57" i="33"/>
  <c r="CX76" i="33"/>
  <c r="EZ186" i="34"/>
  <c r="X109" i="34"/>
  <c r="DC44" i="33"/>
  <c r="FT173" i="34"/>
  <c r="L121" i="28"/>
  <c r="H21" i="17"/>
  <c r="IZ54" i="34"/>
  <c r="BR74" i="33"/>
  <c r="AW167" i="34"/>
  <c r="CH117" i="34"/>
  <c r="BK34" i="33"/>
  <c r="AT187" i="34"/>
  <c r="GB84" i="33"/>
  <c r="FL85" i="33"/>
  <c r="S145" i="23"/>
  <c r="GI61" i="33"/>
  <c r="GB27" i="33"/>
  <c r="JY176" i="34"/>
  <c r="CK150" i="34"/>
  <c r="FM83" i="33"/>
  <c r="HZ52" i="34"/>
  <c r="AT30" i="33"/>
  <c r="EE80" i="33"/>
  <c r="HH56" i="34"/>
  <c r="HU99" i="34"/>
  <c r="CF20" i="33"/>
  <c r="AK47" i="33"/>
  <c r="DG65" i="33"/>
  <c r="DZ98" i="34"/>
  <c r="R67" i="33"/>
  <c r="G86" i="33"/>
  <c r="NG175" i="34"/>
  <c r="V70" i="34"/>
  <c r="DE63" i="34"/>
  <c r="DY71" i="33"/>
  <c r="FN103" i="34"/>
  <c r="JC95" i="34"/>
  <c r="BJ38" i="33"/>
  <c r="BP55" i="28"/>
  <c r="X79" i="33"/>
  <c r="EP45" i="33"/>
  <c r="ND52" i="34"/>
  <c r="EH98" i="34"/>
  <c r="JC178" i="34"/>
  <c r="EZ145" i="34"/>
  <c r="CK140" i="34"/>
  <c r="PX61" i="34"/>
  <c r="FO46" i="33"/>
  <c r="DG54" i="34"/>
  <c r="HU108" i="34"/>
  <c r="CO175" i="34"/>
  <c r="DE81" i="33"/>
  <c r="CJ86" i="34"/>
  <c r="DW42" i="34"/>
  <c r="DL66" i="33"/>
  <c r="DJ108" i="34"/>
  <c r="BK66" i="33"/>
  <c r="EW50" i="34"/>
  <c r="FJ83" i="33"/>
  <c r="IZ164" i="34"/>
  <c r="KO94" i="34"/>
  <c r="HE128" i="34"/>
  <c r="EF129" i="34"/>
  <c r="BV51" i="33"/>
  <c r="X59" i="33"/>
  <c r="DJ46" i="33"/>
  <c r="EK75" i="33"/>
  <c r="AR73" i="33"/>
  <c r="S67" i="33"/>
  <c r="MK161" i="34"/>
  <c r="NN51" i="34"/>
  <c r="BJ20" i="33"/>
  <c r="CL109" i="34"/>
  <c r="FE29" i="33"/>
  <c r="DJ64" i="34"/>
  <c r="FN95" i="34"/>
  <c r="IQ96" i="34"/>
  <c r="LJ161" i="34"/>
  <c r="S40" i="17"/>
  <c r="DW173" i="34"/>
  <c r="DK59" i="33"/>
  <c r="Y173" i="34"/>
  <c r="GM53" i="34"/>
  <c r="L34" i="33"/>
  <c r="AY61" i="34"/>
  <c r="T36" i="33"/>
  <c r="GQ161" i="34"/>
  <c r="FC9" i="33"/>
  <c r="DA125" i="34"/>
  <c r="AX39" i="33"/>
  <c r="ER77" i="33"/>
  <c r="FO47" i="34"/>
  <c r="BE28" i="33"/>
  <c r="DT70" i="33"/>
  <c r="KB77" i="34"/>
  <c r="CY51" i="33"/>
  <c r="AY167" i="34"/>
  <c r="NI143" i="34"/>
  <c r="CV42" i="33"/>
  <c r="EZ181" i="34"/>
  <c r="P62" i="33"/>
  <c r="AJ73" i="33"/>
  <c r="FM30" i="33"/>
  <c r="Y29" i="33"/>
  <c r="F84" i="33"/>
  <c r="DX55" i="33"/>
  <c r="B29" i="17"/>
  <c r="GL72" i="34"/>
  <c r="BB26" i="33"/>
  <c r="FS92" i="33"/>
  <c r="KP79" i="34"/>
  <c r="EF60" i="33"/>
  <c r="ES59" i="33"/>
  <c r="AV91" i="34"/>
  <c r="LZ52" i="34"/>
  <c r="N65" i="33"/>
  <c r="AQ90" i="33"/>
  <c r="DF176" i="34"/>
  <c r="CY68" i="33"/>
  <c r="DK64" i="33"/>
  <c r="AC84" i="34"/>
  <c r="BQ35" i="33"/>
  <c r="BT25" i="33"/>
  <c r="AW160" i="34"/>
  <c r="HW154" i="34"/>
  <c r="AC25" i="33"/>
  <c r="JC127" i="34"/>
  <c r="HW101" i="34"/>
  <c r="DD77" i="34"/>
  <c r="EA71" i="33"/>
  <c r="LY60" i="34"/>
  <c r="FP141" i="34"/>
  <c r="GI71" i="33"/>
  <c r="AE30" i="33"/>
  <c r="FW9" i="33"/>
  <c r="AQ36" i="33"/>
  <c r="AP87" i="34"/>
  <c r="BF75" i="33"/>
  <c r="FP74" i="34"/>
  <c r="IV155" i="34"/>
  <c r="KN87" i="34"/>
  <c r="HF79" i="34"/>
  <c r="CW41" i="33"/>
  <c r="JH90" i="34"/>
  <c r="FP161" i="34"/>
  <c r="JB183" i="34"/>
  <c r="CY55" i="33"/>
  <c r="JZ121" i="34"/>
  <c r="I28" i="33"/>
  <c r="Y151" i="34"/>
  <c r="GN69" i="33"/>
  <c r="CL175" i="34"/>
  <c r="EF66" i="33"/>
  <c r="K84" i="33"/>
  <c r="AO145" i="34"/>
  <c r="R65" i="33"/>
  <c r="DJ125" i="34"/>
  <c r="W170" i="34"/>
  <c r="CR56" i="33"/>
  <c r="AF74" i="33"/>
  <c r="AJ77" i="33"/>
  <c r="BW40" i="33"/>
  <c r="Y47" i="33"/>
  <c r="FC39" i="33"/>
  <c r="AS62" i="33"/>
  <c r="MO101" i="34"/>
  <c r="BO28" i="33"/>
  <c r="FP78" i="34"/>
  <c r="FE36" i="33"/>
  <c r="DK81" i="33"/>
  <c r="DV76" i="34"/>
  <c r="AD106" i="34"/>
  <c r="BW36" i="33"/>
  <c r="DB48" i="33"/>
  <c r="BT27" i="33"/>
  <c r="K94" i="34"/>
  <c r="GK49" i="34"/>
  <c r="JW90" i="34"/>
  <c r="AS93" i="34"/>
  <c r="K153" i="28"/>
  <c r="GL112" i="34"/>
  <c r="G38" i="33"/>
  <c r="PY45" i="34"/>
  <c r="AF38" i="33"/>
  <c r="L78" i="33"/>
  <c r="NM73" i="34"/>
  <c r="JD92" i="34"/>
  <c r="DA187" i="34"/>
  <c r="AW187" i="34"/>
  <c r="DB53" i="34"/>
  <c r="AA42" i="33"/>
  <c r="BJ79" i="33"/>
  <c r="KQ93" i="34"/>
  <c r="FS83" i="34"/>
  <c r="DG60" i="33"/>
  <c r="GB73" i="33"/>
  <c r="AD28" i="33"/>
  <c r="PY71" i="34"/>
  <c r="HH96" i="34"/>
  <c r="ER86" i="33"/>
  <c r="JW56" i="34"/>
  <c r="FR158" i="34"/>
  <c r="AM173" i="34"/>
  <c r="FJ84" i="33"/>
  <c r="BK41" i="33"/>
  <c r="CE113" i="34"/>
  <c r="AA49" i="33"/>
  <c r="AB59" i="34"/>
  <c r="GP131" i="34"/>
  <c r="AA62" i="34"/>
  <c r="EJ59" i="34"/>
  <c r="DY26" i="33"/>
  <c r="KQ169" i="34"/>
  <c r="N77" i="33"/>
  <c r="BY73" i="33"/>
  <c r="FJ61" i="33"/>
  <c r="Y160" i="34"/>
  <c r="GL53" i="33"/>
  <c r="AT71" i="33"/>
  <c r="FN76" i="33"/>
  <c r="AS51" i="33"/>
  <c r="PE178" i="34"/>
  <c r="AV48" i="33"/>
  <c r="BN25" i="33"/>
  <c r="ME161" i="34"/>
  <c r="EG165" i="34"/>
  <c r="EG77" i="33"/>
  <c r="EP35" i="33"/>
  <c r="AU52" i="33"/>
  <c r="CF47" i="33"/>
  <c r="J33" i="33"/>
  <c r="EZ108" i="34"/>
  <c r="CI119" i="34"/>
  <c r="AZ63" i="33"/>
  <c r="MO49" i="34"/>
  <c r="U41" i="34"/>
  <c r="LG80" i="34"/>
  <c r="CN85" i="33"/>
  <c r="MI127" i="34"/>
  <c r="S56" i="17"/>
  <c r="IC161" i="34"/>
  <c r="CN103" i="34"/>
  <c r="L29" i="33"/>
  <c r="NC74" i="34"/>
  <c r="W54" i="33"/>
  <c r="FW130" i="34"/>
  <c r="EZ178" i="34"/>
  <c r="FR144" i="34"/>
  <c r="BE60" i="33"/>
  <c r="FV29" i="33"/>
  <c r="GM9" i="33"/>
  <c r="BV67" i="33"/>
  <c r="LG153" i="34"/>
  <c r="EB75" i="34"/>
  <c r="DA32" i="33"/>
  <c r="CY28" i="33"/>
  <c r="EE42" i="34"/>
  <c r="JX130" i="34"/>
  <c r="BP113" i="34"/>
  <c r="DX105" i="34"/>
  <c r="BH52" i="33"/>
  <c r="Y62" i="33"/>
  <c r="FW138" i="34"/>
  <c r="IW162" i="34"/>
  <c r="FX140" i="34"/>
  <c r="JU101" i="34"/>
  <c r="I42" i="33"/>
  <c r="EZ39" i="33"/>
  <c r="FA77" i="33"/>
  <c r="AA60" i="33"/>
  <c r="C59" i="17"/>
  <c r="CO29" i="33"/>
  <c r="NF99" i="34"/>
  <c r="AU66" i="33"/>
  <c r="EM55" i="33"/>
  <c r="DA124" i="34"/>
  <c r="ED109" i="34"/>
  <c r="AE47" i="33"/>
  <c r="CA44" i="33"/>
  <c r="Y136" i="34"/>
  <c r="CG123" i="34"/>
  <c r="EZ37" i="33"/>
  <c r="BC34" i="33"/>
  <c r="J82" i="34"/>
  <c r="FQ86" i="33"/>
  <c r="EL54" i="33"/>
  <c r="FE26" i="33"/>
  <c r="HF69" i="34"/>
  <c r="CN43" i="34"/>
  <c r="NO136" i="34"/>
  <c r="BJ96" i="28"/>
  <c r="DL56" i="33"/>
  <c r="V59" i="33"/>
  <c r="AQ44" i="33"/>
  <c r="AT40" i="33"/>
  <c r="CY77" i="33"/>
  <c r="AZ92" i="34"/>
  <c r="CD144" i="34"/>
  <c r="DI74" i="34"/>
  <c r="FM42" i="33"/>
  <c r="CG89" i="34"/>
  <c r="FX176" i="34"/>
  <c r="T44" i="34"/>
  <c r="DV80" i="34"/>
  <c r="HE41" i="34"/>
  <c r="FM76" i="33"/>
  <c r="EY63" i="33"/>
  <c r="CS86" i="33"/>
  <c r="KL119" i="34"/>
  <c r="EQ78" i="33"/>
  <c r="NN103" i="34"/>
  <c r="FS183" i="34"/>
  <c r="CL186" i="34"/>
  <c r="DE71" i="33"/>
  <c r="KM159" i="34"/>
  <c r="FY37" i="33"/>
  <c r="AQ78" i="34"/>
  <c r="JF157" i="34"/>
  <c r="BP170" i="34"/>
  <c r="BN128" i="34"/>
  <c r="GN26" i="33"/>
  <c r="U148" i="34"/>
  <c r="BA86" i="33"/>
  <c r="FT170" i="34"/>
  <c r="AX68" i="33"/>
  <c r="LZ113" i="34"/>
  <c r="CJ83" i="33"/>
  <c r="U27" i="33"/>
  <c r="DC51" i="33"/>
  <c r="AS71" i="33"/>
  <c r="FP63" i="33"/>
  <c r="BJ27" i="33"/>
  <c r="AX157" i="34"/>
  <c r="HD144" i="34"/>
  <c r="ED37" i="33"/>
  <c r="LC85" i="34"/>
  <c r="BH82" i="33"/>
  <c r="AW28" i="33"/>
  <c r="AC53" i="33"/>
  <c r="KP41" i="34"/>
  <c r="DA41" i="33"/>
  <c r="BM41" i="33"/>
  <c r="DE156" i="34"/>
  <c r="BY59" i="33"/>
  <c r="EW92" i="33"/>
  <c r="CX33" i="33"/>
  <c r="AF34" i="33"/>
  <c r="FK60" i="33"/>
  <c r="U43" i="33"/>
  <c r="HY101" i="34"/>
  <c r="FA63" i="34"/>
  <c r="GM36" i="33"/>
  <c r="BF61" i="33"/>
  <c r="DX67" i="33"/>
  <c r="DX84" i="33"/>
  <c r="S26" i="33"/>
  <c r="AL48" i="33"/>
  <c r="AF61" i="33"/>
  <c r="BR96" i="34"/>
  <c r="V100" i="34"/>
  <c r="DD174" i="34"/>
  <c r="X54" i="33"/>
  <c r="AZ60" i="33"/>
  <c r="AN149" i="34"/>
  <c r="DS40" i="33"/>
  <c r="B49" i="17"/>
  <c r="AB76" i="34"/>
  <c r="K111" i="34"/>
  <c r="AQ175" i="34"/>
  <c r="IY142" i="34"/>
  <c r="AZ51" i="34"/>
  <c r="AV45" i="33"/>
  <c r="CH47" i="33"/>
  <c r="DU35" i="33"/>
  <c r="FS78" i="33"/>
  <c r="DH122" i="34"/>
  <c r="AA81" i="33"/>
  <c r="CY76" i="33"/>
  <c r="AM58" i="33"/>
  <c r="AM152" i="34"/>
  <c r="CQ86" i="33"/>
  <c r="BJ57" i="33"/>
  <c r="KR124" i="34"/>
  <c r="ES54" i="33"/>
  <c r="AP150" i="34"/>
  <c r="HE107" i="34"/>
  <c r="BG83" i="33"/>
  <c r="K52" i="33"/>
  <c r="IQ44" i="34"/>
  <c r="DG52" i="33"/>
  <c r="V3" i="17"/>
  <c r="AP106" i="34"/>
  <c r="BB73" i="34"/>
  <c r="GE42" i="33"/>
  <c r="DA131" i="34"/>
  <c r="DZ90" i="34"/>
  <c r="KL127" i="34"/>
  <c r="DZ39" i="33"/>
  <c r="DJ59" i="34"/>
  <c r="AA39" i="33"/>
  <c r="CN157" i="34"/>
  <c r="IY83" i="34"/>
  <c r="NI135" i="34"/>
  <c r="AU62" i="33"/>
  <c r="AH76" i="33"/>
  <c r="CO73" i="33"/>
  <c r="FT61" i="34"/>
  <c r="AD34" i="33"/>
  <c r="EW55" i="33"/>
  <c r="HX89" i="34"/>
  <c r="FP52" i="33"/>
  <c r="OJ103" i="34"/>
  <c r="AV117" i="34"/>
  <c r="U123" i="34"/>
  <c r="GD35" i="33"/>
  <c r="CU67" i="33"/>
  <c r="ES27" i="33"/>
  <c r="CR92" i="33"/>
  <c r="JA87" i="34"/>
  <c r="EJ72" i="33"/>
  <c r="NP54" i="34"/>
  <c r="BN60" i="33"/>
  <c r="EW72" i="33"/>
  <c r="EZ84" i="33"/>
  <c r="DX40" i="33"/>
  <c r="IC135" i="34"/>
  <c r="AP64" i="33"/>
  <c r="AC108" i="34"/>
  <c r="DT56" i="33"/>
  <c r="FV33" i="33"/>
  <c r="HF150" i="34"/>
  <c r="EZ77" i="33"/>
  <c r="EY35" i="33"/>
  <c r="PH54" i="34"/>
  <c r="MA123" i="34"/>
  <c r="BO181" i="34"/>
  <c r="LE181" i="34"/>
  <c r="IZ174" i="34"/>
  <c r="BA77" i="33"/>
  <c r="BO90" i="34"/>
  <c r="IV134" i="34"/>
  <c r="CE81" i="33"/>
  <c r="FG73" i="33"/>
  <c r="EQ62" i="33"/>
  <c r="EA25" i="33"/>
  <c r="ES90" i="33"/>
  <c r="BZ75" i="33"/>
  <c r="O76" i="33"/>
  <c r="CO72" i="33"/>
  <c r="LI44" i="34"/>
  <c r="BA49" i="34"/>
  <c r="AA42" i="34"/>
  <c r="DG158" i="34"/>
  <c r="FK62" i="33"/>
  <c r="FB56" i="34"/>
  <c r="EP36" i="33"/>
  <c r="N69" i="33"/>
  <c r="AN43" i="33"/>
  <c r="CM159" i="34"/>
  <c r="T71" i="33"/>
  <c r="DM85" i="33"/>
  <c r="CD61" i="33"/>
  <c r="EA48" i="33"/>
  <c r="BV29" i="33"/>
  <c r="S133" i="23"/>
  <c r="BA89" i="34"/>
  <c r="H81" i="33"/>
  <c r="AM98" i="34"/>
  <c r="EG97" i="34"/>
  <c r="FA78" i="33"/>
  <c r="CN28" i="33"/>
  <c r="AM68" i="34"/>
  <c r="EQ85" i="33"/>
  <c r="FE92" i="33"/>
  <c r="KR108" i="34"/>
  <c r="LX110" i="34"/>
  <c r="GO67" i="33"/>
  <c r="AM124" i="34"/>
  <c r="CO82" i="33"/>
  <c r="DB56" i="33"/>
  <c r="AX146" i="34"/>
  <c r="AS147" i="34"/>
  <c r="JV78" i="34"/>
  <c r="BR69" i="33"/>
  <c r="EW44" i="34"/>
  <c r="BU46" i="33"/>
  <c r="BJ48" i="28"/>
  <c r="DR34" i="33"/>
  <c r="EM36" i="33"/>
  <c r="Z46" i="34"/>
  <c r="M43" i="33"/>
  <c r="DC76" i="33"/>
  <c r="BV80" i="33"/>
  <c r="CK77" i="33"/>
  <c r="CH76" i="33"/>
  <c r="FM45" i="33"/>
  <c r="JD93" i="34"/>
  <c r="GM80" i="33"/>
  <c r="FL38" i="33"/>
  <c r="ID176" i="34"/>
  <c r="DT77" i="33"/>
  <c r="DL39" i="33"/>
  <c r="JY131" i="34"/>
  <c r="FY40" i="33"/>
  <c r="AT73" i="33"/>
  <c r="GK62" i="33"/>
  <c r="GJ54" i="33"/>
  <c r="EG42" i="33"/>
  <c r="CP90" i="33"/>
  <c r="CH147" i="34"/>
  <c r="FB121" i="34"/>
  <c r="BL38" i="33"/>
  <c r="CC47" i="33"/>
  <c r="HY91" i="34"/>
  <c r="EX147" i="34"/>
  <c r="CE43" i="34"/>
  <c r="R86" i="33"/>
  <c r="DC80" i="33"/>
  <c r="AU83" i="34"/>
  <c r="DB44" i="33"/>
  <c r="EF58" i="34"/>
  <c r="FF86" i="33"/>
  <c r="EE51" i="34"/>
  <c r="FZ54" i="33"/>
  <c r="NC82" i="34"/>
  <c r="EF95" i="34"/>
  <c r="FU151" i="34"/>
  <c r="EH176" i="34"/>
  <c r="AG71" i="33"/>
  <c r="KC162" i="34"/>
  <c r="PK113" i="34"/>
  <c r="AO63" i="34"/>
  <c r="GK143" i="34"/>
  <c r="CL96" i="34"/>
  <c r="LJ46" i="34"/>
  <c r="ED75" i="34"/>
  <c r="CB75" i="33"/>
  <c r="FA58" i="33"/>
  <c r="X124" i="34"/>
  <c r="H32" i="17"/>
  <c r="LK75" i="34"/>
  <c r="AZ89" i="34"/>
  <c r="BI51" i="33"/>
  <c r="GN79" i="33"/>
  <c r="DT20" i="33"/>
  <c r="DT46" i="33"/>
  <c r="GM66" i="34"/>
  <c r="BM42" i="33"/>
  <c r="EW69" i="33"/>
  <c r="DL75" i="33"/>
  <c r="CJ73" i="34"/>
  <c r="LI136" i="34"/>
  <c r="AD88" i="34"/>
  <c r="LB160" i="34"/>
  <c r="BB74" i="33"/>
  <c r="IA48" i="34"/>
  <c r="AY35" i="33"/>
  <c r="EK84" i="34"/>
  <c r="AT111" i="34"/>
  <c r="HZ186" i="34"/>
  <c r="JD181" i="34"/>
  <c r="BN44" i="33"/>
  <c r="HU119" i="34"/>
  <c r="CD56" i="33"/>
  <c r="DZ62" i="33"/>
  <c r="FS78" i="34"/>
  <c r="AI72" i="33"/>
  <c r="DW153" i="34"/>
  <c r="F81" i="33"/>
  <c r="AZ68" i="33"/>
  <c r="B2" i="3"/>
  <c r="AQ55" i="33"/>
  <c r="JY161" i="34"/>
  <c r="AS74" i="34"/>
  <c r="HE172" i="34"/>
  <c r="DZ94" i="34"/>
  <c r="IR173" i="34"/>
  <c r="JV133" i="34"/>
  <c r="V84" i="33"/>
  <c r="EL53" i="33"/>
  <c r="CV55" i="33"/>
  <c r="EW54" i="33"/>
  <c r="HH85" i="34"/>
  <c r="BO147" i="34"/>
  <c r="DV144" i="34"/>
  <c r="AX64" i="34"/>
  <c r="CO90" i="33"/>
  <c r="DJ86" i="33"/>
  <c r="FC77" i="33"/>
  <c r="BQ65" i="34"/>
  <c r="KA41" i="34"/>
  <c r="X49" i="33"/>
  <c r="CU68" i="33"/>
  <c r="JU100" i="34"/>
  <c r="W27" i="33"/>
  <c r="N25" i="33"/>
  <c r="LF175" i="34"/>
  <c r="IY43" i="34"/>
  <c r="NL77" i="34"/>
  <c r="FO82" i="34"/>
  <c r="DG50" i="34"/>
  <c r="BT35" i="33"/>
  <c r="FM29" i="33"/>
  <c r="CF63" i="34"/>
  <c r="CK103" i="34"/>
  <c r="JW104" i="34"/>
  <c r="FQ51" i="33"/>
  <c r="BC90" i="33"/>
  <c r="AT38" i="33"/>
  <c r="FT169" i="34"/>
  <c r="DE37" i="33"/>
  <c r="CK90" i="33"/>
  <c r="EF64" i="33"/>
  <c r="IB172" i="34"/>
  <c r="NE86" i="34"/>
  <c r="CU80" i="33"/>
  <c r="LH135" i="34"/>
  <c r="AY169" i="34"/>
  <c r="CH68" i="33"/>
  <c r="CP35" i="33"/>
  <c r="K152" i="34"/>
  <c r="FH25" i="33"/>
  <c r="AN128" i="34"/>
  <c r="BM63" i="28"/>
  <c r="GK69" i="33"/>
  <c r="BI53" i="33"/>
  <c r="IB48" i="34"/>
  <c r="DH81" i="33"/>
  <c r="DG86" i="33"/>
  <c r="DH124" i="34"/>
  <c r="EM85" i="33"/>
  <c r="BT80" i="33"/>
  <c r="JE74" i="34"/>
  <c r="FN61" i="34"/>
  <c r="V46" i="33"/>
  <c r="EE86" i="34"/>
  <c r="GN49" i="34"/>
  <c r="B80" i="28"/>
  <c r="DG181" i="34"/>
  <c r="FX124" i="34"/>
  <c r="FK40" i="33"/>
  <c r="B51" i="17"/>
  <c r="IZ145" i="34"/>
  <c r="GL26" i="33"/>
  <c r="GA28" i="33"/>
  <c r="FY64" i="33"/>
  <c r="EC142" i="34"/>
  <c r="KL160" i="34"/>
  <c r="FL51" i="33"/>
  <c r="BN186" i="34"/>
  <c r="FS55" i="33"/>
  <c r="FY48" i="33"/>
  <c r="CL83" i="33"/>
  <c r="AI65" i="33"/>
  <c r="DT32" i="33"/>
  <c r="NO116" i="34"/>
  <c r="AV131" i="34"/>
  <c r="FQ73" i="33"/>
  <c r="T51" i="33"/>
  <c r="DX58" i="34"/>
  <c r="NP128" i="34"/>
  <c r="FU78" i="33"/>
  <c r="BJ156" i="28"/>
  <c r="BR172" i="34"/>
  <c r="CG174" i="34"/>
  <c r="FN132" i="34"/>
  <c r="Z127" i="34"/>
  <c r="LK161" i="34"/>
  <c r="F41" i="33"/>
  <c r="CN138" i="34"/>
  <c r="CK132" i="34"/>
  <c r="M92" i="33"/>
  <c r="JA59" i="34"/>
  <c r="JG142" i="34"/>
  <c r="BL74" i="33"/>
  <c r="BJ63" i="33"/>
  <c r="PI81" i="34"/>
  <c r="FP64" i="33"/>
  <c r="HF148" i="34"/>
  <c r="AC155" i="34"/>
  <c r="CE63" i="33"/>
  <c r="CK92" i="33"/>
  <c r="FL59" i="33"/>
  <c r="S53" i="23"/>
  <c r="CY74" i="33"/>
  <c r="IW97" i="34"/>
  <c r="JB127" i="34"/>
  <c r="FX48" i="33"/>
  <c r="BB44" i="33"/>
  <c r="IT150" i="34"/>
  <c r="DC107" i="34"/>
  <c r="KN105" i="34"/>
  <c r="BM54" i="33"/>
  <c r="AE61" i="33"/>
  <c r="AM172" i="34"/>
  <c r="NG57" i="34"/>
  <c r="GD82" i="33"/>
  <c r="DZ135" i="34"/>
  <c r="AO77" i="34"/>
  <c r="BC54" i="33"/>
  <c r="JA174" i="34"/>
  <c r="DZ68" i="33"/>
  <c r="DY80" i="34"/>
  <c r="H34" i="33"/>
  <c r="FE77" i="33"/>
  <c r="V65" i="33"/>
  <c r="FB161" i="34"/>
  <c r="FM77" i="33"/>
  <c r="LY97" i="34"/>
  <c r="JD133" i="34"/>
  <c r="KO174" i="34"/>
  <c r="FA158" i="34"/>
  <c r="AP69" i="34"/>
  <c r="CE107" i="34"/>
  <c r="EQ48" i="33"/>
  <c r="EK174" i="34"/>
  <c r="DR57" i="33"/>
  <c r="JB86" i="34"/>
  <c r="V85" i="33"/>
  <c r="IT133" i="34"/>
  <c r="JH72" i="34"/>
  <c r="LA108" i="34"/>
  <c r="GJ84" i="34"/>
  <c r="FW34" i="33"/>
  <c r="T27" i="33"/>
  <c r="DB107" i="34"/>
  <c r="BZ35" i="33"/>
  <c r="BK74" i="33"/>
  <c r="FU41" i="34"/>
  <c r="O56" i="33"/>
  <c r="BO39" i="33"/>
  <c r="EK77" i="33"/>
  <c r="V29" i="17"/>
  <c r="AT60" i="33"/>
  <c r="DT55" i="33"/>
  <c r="EP33" i="33"/>
  <c r="IQ129" i="34"/>
  <c r="BO63" i="34"/>
  <c r="FV86" i="33"/>
  <c r="NE170" i="34"/>
  <c r="FV52" i="34"/>
  <c r="T49" i="34"/>
  <c r="IE63" i="34"/>
  <c r="CH45" i="33"/>
  <c r="PC147" i="34"/>
  <c r="BK61" i="33"/>
  <c r="MN138" i="34"/>
  <c r="FM62" i="33"/>
  <c r="CL61" i="34"/>
  <c r="GN142" i="34"/>
  <c r="AM144" i="34"/>
  <c r="IQ78" i="34"/>
  <c r="KM120" i="34"/>
  <c r="CU90" i="33"/>
  <c r="EH67" i="34"/>
  <c r="IQ170" i="34"/>
  <c r="U72" i="33"/>
  <c r="CO89" i="34"/>
  <c r="DA33" i="33"/>
  <c r="GK40" i="33"/>
  <c r="EJ30" i="33"/>
  <c r="DX130" i="34"/>
  <c r="F39" i="17"/>
  <c r="NI51" i="34"/>
  <c r="GI59" i="33"/>
  <c r="K150" i="34"/>
  <c r="NM172" i="34"/>
  <c r="JE186" i="34"/>
  <c r="HC44" i="34"/>
  <c r="KN44" i="34"/>
  <c r="ML124" i="34"/>
  <c r="EC164" i="34"/>
  <c r="BG38" i="33"/>
  <c r="HD57" i="34"/>
  <c r="AD83" i="33"/>
  <c r="IW125" i="34"/>
  <c r="BA146" i="34"/>
  <c r="FX53" i="34"/>
  <c r="FL53" i="33"/>
  <c r="AZ72" i="33"/>
  <c r="AT86" i="33"/>
  <c r="ED122" i="34"/>
  <c r="Y53" i="34"/>
  <c r="EX98" i="34"/>
  <c r="JY163" i="34"/>
  <c r="DD40" i="33"/>
  <c r="CK39" i="33"/>
  <c r="DJ28" i="33"/>
  <c r="FL44" i="33"/>
  <c r="LJ51" i="34"/>
  <c r="CR39" i="33"/>
  <c r="AM31" i="33"/>
  <c r="K79" i="34"/>
  <c r="EJ36" i="33"/>
  <c r="CL60" i="33"/>
  <c r="GL79" i="33"/>
  <c r="DF168" i="34"/>
  <c r="FJ40" i="33"/>
  <c r="CS32" i="33"/>
  <c r="JG129" i="34"/>
  <c r="FK76" i="33"/>
  <c r="S10" i="17"/>
  <c r="IE107" i="34"/>
  <c r="JC117" i="34"/>
  <c r="CE137" i="34"/>
  <c r="AP72" i="33"/>
  <c r="DN69" i="33"/>
  <c r="FO116" i="34"/>
  <c r="CJ164" i="34"/>
  <c r="EG140" i="34"/>
  <c r="BJ21" i="28"/>
  <c r="IV165" i="34"/>
  <c r="DH100" i="34"/>
  <c r="AC152" i="34"/>
  <c r="CS74" i="33"/>
  <c r="BO27" i="33"/>
  <c r="AP58" i="34"/>
  <c r="AK39" i="33"/>
  <c r="DJ55" i="33"/>
  <c r="GL76" i="33"/>
  <c r="GP163" i="34"/>
  <c r="FM68" i="33"/>
  <c r="LC124" i="34"/>
  <c r="AZ25" i="33"/>
  <c r="DS75" i="33"/>
  <c r="AG62" i="33"/>
  <c r="PF152" i="34"/>
  <c r="BR51" i="34"/>
  <c r="AF48" i="33"/>
  <c r="FZ74" i="33"/>
  <c r="KC85" i="34"/>
  <c r="FA167" i="34"/>
  <c r="GM50" i="33"/>
  <c r="GL143" i="34"/>
  <c r="NA49" i="34"/>
  <c r="KC171" i="34"/>
  <c r="AZ33" i="33"/>
  <c r="F54" i="33"/>
  <c r="W35" i="33"/>
  <c r="AL9" i="33"/>
  <c r="CK31" i="33"/>
  <c r="DX71" i="33"/>
  <c r="EP61" i="33"/>
  <c r="CR30" i="33"/>
  <c r="CJ67" i="33"/>
  <c r="EJ51" i="33"/>
  <c r="AP70" i="34"/>
  <c r="FU165" i="34"/>
  <c r="EE52" i="33"/>
  <c r="DH115" i="34"/>
  <c r="EF33" i="33"/>
  <c r="AC151" i="34"/>
  <c r="EG60" i="33"/>
  <c r="U162" i="34"/>
  <c r="K156" i="34"/>
  <c r="AS158" i="34"/>
  <c r="BK77" i="33"/>
  <c r="FD90" i="33"/>
  <c r="EE132" i="34"/>
  <c r="U61" i="33"/>
  <c r="CJ50" i="33"/>
  <c r="FG75" i="33"/>
  <c r="EC148" i="34"/>
  <c r="FE66" i="33"/>
  <c r="AC27" i="33"/>
  <c r="AH67" i="33"/>
  <c r="ES41" i="33"/>
  <c r="MK65" i="34"/>
  <c r="NA143" i="34"/>
  <c r="BS36" i="33"/>
  <c r="DI129" i="34"/>
  <c r="FU181" i="34"/>
  <c r="BV30" i="33"/>
  <c r="FO93" i="34"/>
  <c r="EF39" i="33"/>
  <c r="FW67" i="33"/>
  <c r="JB44" i="34"/>
  <c r="CB90" i="33"/>
  <c r="EF155" i="34"/>
  <c r="NI82" i="34"/>
  <c r="BB92" i="34"/>
  <c r="Z105" i="34"/>
  <c r="CZ57" i="33"/>
  <c r="BN82" i="33"/>
  <c r="EJ110" i="34"/>
  <c r="ED84" i="34"/>
  <c r="K176" i="34"/>
  <c r="AA61" i="34"/>
  <c r="IU151" i="34"/>
  <c r="BG86" i="33"/>
  <c r="KR69" i="34"/>
  <c r="FN175" i="34"/>
  <c r="KB105" i="34"/>
  <c r="BB72" i="33"/>
  <c r="LF106" i="34"/>
  <c r="J73" i="33"/>
  <c r="BS60" i="33"/>
  <c r="EA164" i="34"/>
  <c r="DC65" i="33"/>
  <c r="O85" i="33"/>
  <c r="F56" i="33"/>
  <c r="DW181" i="34"/>
  <c r="CO116" i="34"/>
  <c r="DX143" i="34"/>
  <c r="FK23" i="33"/>
  <c r="CZ26" i="33"/>
  <c r="FH36" i="33"/>
  <c r="Y100" i="34"/>
  <c r="PH170" i="34"/>
  <c r="EC176" i="34"/>
  <c r="AI36" i="33"/>
  <c r="FW147" i="34"/>
  <c r="BG43" i="33"/>
  <c r="ED47" i="33"/>
  <c r="Y62" i="34"/>
  <c r="KA169" i="34"/>
  <c r="HU47" i="34"/>
  <c r="MO65" i="34"/>
  <c r="DM73" i="33"/>
  <c r="DN54" i="33"/>
  <c r="KP53" i="34"/>
  <c r="ER38" i="33"/>
  <c r="PF103" i="34"/>
  <c r="P63" i="33"/>
  <c r="Y55" i="33"/>
  <c r="EY158" i="34"/>
  <c r="CO123" i="34"/>
  <c r="HC173" i="34"/>
  <c r="PK160" i="34"/>
  <c r="FP61" i="33"/>
  <c r="AD62" i="34"/>
  <c r="AC163" i="34"/>
  <c r="GL178" i="34"/>
  <c r="LI99" i="34"/>
  <c r="AR69" i="33"/>
  <c r="GQ123" i="34"/>
  <c r="BH60" i="33"/>
  <c r="JH106" i="34"/>
  <c r="EY70" i="33"/>
  <c r="LD127" i="34"/>
  <c r="EW112" i="34"/>
  <c r="AT55" i="34"/>
  <c r="FH59" i="33"/>
  <c r="CL94" i="34"/>
  <c r="B50" i="17"/>
  <c r="HE68" i="34"/>
  <c r="BC29" i="33"/>
  <c r="DT42" i="33"/>
  <c r="AN75" i="33"/>
  <c r="BK48" i="33"/>
  <c r="NH157" i="34"/>
  <c r="MK172" i="34"/>
  <c r="ML84" i="34"/>
  <c r="BP56" i="34"/>
  <c r="FX120" i="34"/>
  <c r="DH118" i="34"/>
  <c r="DS59" i="33"/>
  <c r="JF95" i="34"/>
  <c r="FP52" i="34"/>
  <c r="AN143" i="34"/>
  <c r="BZ38" i="33"/>
  <c r="ER35" i="33"/>
  <c r="BZ33" i="33"/>
  <c r="S18" i="17"/>
  <c r="JT136" i="34"/>
  <c r="EQ31" i="33"/>
  <c r="CX47" i="33"/>
  <c r="KC44" i="34"/>
  <c r="EF43" i="33"/>
  <c r="V81" i="34"/>
  <c r="BO56" i="33"/>
  <c r="HC144" i="34"/>
  <c r="FU27" i="33"/>
  <c r="FS41" i="33"/>
  <c r="BR166" i="34"/>
  <c r="LA85" i="34"/>
  <c r="P75" i="33"/>
  <c r="FR161" i="34"/>
  <c r="AR83" i="34"/>
  <c r="CH85" i="34"/>
  <c r="GP50" i="34"/>
  <c r="AR65" i="33"/>
  <c r="MD140" i="34"/>
  <c r="Z91" i="34"/>
  <c r="EB163" i="34"/>
  <c r="BS32" i="33"/>
  <c r="GN139" i="34"/>
  <c r="ID51" i="34"/>
  <c r="AZ76" i="33"/>
  <c r="MM170" i="34"/>
  <c r="U66" i="33"/>
  <c r="DZ85" i="34"/>
  <c r="AC141" i="34"/>
  <c r="FD36" i="33"/>
  <c r="NJ145" i="34"/>
  <c r="BO25" i="33"/>
  <c r="MG51" i="34"/>
  <c r="MK158" i="34"/>
  <c r="BN121" i="34"/>
  <c r="IQ71" i="34"/>
  <c r="JG152" i="34"/>
  <c r="DE58" i="33"/>
  <c r="P64" i="33"/>
  <c r="DS36" i="33"/>
  <c r="EZ81" i="33"/>
  <c r="EW33" i="33"/>
  <c r="AR169" i="34"/>
  <c r="EG157" i="34"/>
  <c r="NB159" i="34"/>
  <c r="MF127" i="34"/>
  <c r="S41" i="33"/>
  <c r="G41" i="33"/>
  <c r="FP46" i="34"/>
  <c r="PA108" i="34"/>
  <c r="HW178" i="34"/>
  <c r="AR133" i="34"/>
  <c r="JU139" i="34"/>
  <c r="LX170" i="34"/>
  <c r="BE47" i="33"/>
  <c r="Y37" i="33"/>
  <c r="DH140" i="34"/>
  <c r="CJ160" i="34"/>
  <c r="I73" i="33"/>
  <c r="GP165" i="34"/>
  <c r="FV151" i="34"/>
  <c r="CI76" i="33"/>
  <c r="M80" i="33"/>
  <c r="EQ36" i="33"/>
  <c r="LI79" i="34"/>
  <c r="BG54" i="33"/>
  <c r="GO53" i="34"/>
  <c r="GA62" i="33"/>
  <c r="CK72" i="34"/>
  <c r="EX43" i="34"/>
  <c r="ES31" i="33"/>
  <c r="EY50" i="33"/>
  <c r="L6" i="17"/>
  <c r="IV78" i="34"/>
  <c r="GK150" i="34"/>
  <c r="DK34" i="33"/>
  <c r="CY39" i="33"/>
  <c r="MO105" i="34"/>
  <c r="GN27" i="33"/>
  <c r="JY82" i="34"/>
  <c r="AW45" i="33"/>
  <c r="B77" i="28"/>
  <c r="PA163" i="34"/>
  <c r="AX87" i="34"/>
  <c r="BT75" i="33"/>
  <c r="HT47" i="34"/>
  <c r="FU35" i="33"/>
  <c r="FI23" i="33"/>
  <c r="DF81" i="33"/>
  <c r="PA126" i="34"/>
  <c r="FA110" i="34"/>
  <c r="DK52" i="33"/>
  <c r="BJ83" i="33"/>
  <c r="BB156" i="34"/>
  <c r="BA44" i="34"/>
  <c r="EB161" i="34"/>
  <c r="BU74" i="33"/>
  <c r="DA28" i="33"/>
  <c r="AX162" i="34"/>
  <c r="S48" i="17"/>
  <c r="NE110" i="34"/>
  <c r="CP40" i="33"/>
  <c r="DF62" i="33"/>
  <c r="BE38" i="33"/>
  <c r="FG35" i="33"/>
  <c r="CL40" i="33"/>
  <c r="ND158" i="34"/>
  <c r="IU90" i="34"/>
  <c r="V34" i="33"/>
  <c r="W164" i="34"/>
  <c r="GE90" i="33"/>
  <c r="FP32" i="33"/>
  <c r="AT159" i="34"/>
  <c r="V154" i="34"/>
  <c r="BK50" i="33"/>
  <c r="ED74" i="33"/>
  <c r="IS46" i="34"/>
  <c r="FB187" i="34"/>
  <c r="IA160" i="34"/>
  <c r="GO176" i="34"/>
  <c r="CQ51" i="33"/>
  <c r="E23" i="3"/>
  <c r="CD187" i="34"/>
  <c r="HW50" i="34"/>
  <c r="AB155" i="34"/>
  <c r="BH81" i="33"/>
  <c r="DX63" i="33"/>
  <c r="J86" i="33"/>
  <c r="GN34" i="33"/>
  <c r="GM149" i="34"/>
  <c r="CH53" i="33"/>
  <c r="L26" i="33"/>
  <c r="OL138" i="34"/>
  <c r="GL33" i="33"/>
  <c r="AA12" i="17"/>
  <c r="GO81" i="33"/>
  <c r="FV90" i="33"/>
  <c r="EL66" i="33"/>
  <c r="R34" i="33"/>
  <c r="AD166" i="34"/>
  <c r="EF45" i="33"/>
  <c r="CV53" i="33"/>
  <c r="CN92" i="33"/>
  <c r="CA64" i="33"/>
  <c r="DY54" i="33"/>
  <c r="IE160" i="34"/>
  <c r="GM130" i="34"/>
  <c r="BJ162" i="28"/>
  <c r="DH32" i="33"/>
  <c r="GM82" i="33"/>
  <c r="AU126" i="34"/>
  <c r="GP173" i="34"/>
  <c r="BS49" i="33"/>
  <c r="EJ126" i="34"/>
  <c r="FU166" i="34"/>
  <c r="Y176" i="34"/>
  <c r="ED31" i="33"/>
  <c r="CI45" i="34"/>
  <c r="EA56" i="33"/>
  <c r="EV67" i="33"/>
  <c r="BA163" i="34"/>
  <c r="EM53" i="33"/>
  <c r="LA80" i="34"/>
  <c r="KC186" i="34"/>
  <c r="FT56" i="34"/>
  <c r="CL163" i="34"/>
  <c r="DE141" i="34"/>
  <c r="P52" i="33"/>
  <c r="AS154" i="34"/>
  <c r="CI90" i="33"/>
  <c r="EJ31" i="33"/>
  <c r="AA158" i="34"/>
  <c r="GK139" i="34"/>
  <c r="AM105" i="34"/>
  <c r="BC47" i="33"/>
  <c r="FW37" i="33"/>
  <c r="FF73" i="33"/>
  <c r="IT154" i="34"/>
  <c r="KP159" i="34"/>
  <c r="DI92" i="34"/>
  <c r="MJ160" i="34"/>
  <c r="EW67" i="34"/>
  <c r="DH42" i="34"/>
  <c r="J38" i="33"/>
  <c r="DY132" i="34"/>
  <c r="CB67" i="33"/>
  <c r="AB153" i="34"/>
  <c r="EY47" i="33"/>
  <c r="GA58" i="33"/>
  <c r="DB78" i="33"/>
  <c r="EZ58" i="33"/>
  <c r="EW157" i="34"/>
  <c r="FC38" i="33"/>
  <c r="MI74" i="34"/>
  <c r="NP115" i="34"/>
  <c r="FZ46" i="33"/>
  <c r="OM158" i="34"/>
  <c r="EJ77" i="33"/>
  <c r="AV105" i="34"/>
  <c r="JT128" i="34"/>
  <c r="GB53" i="33"/>
  <c r="U109" i="34"/>
  <c r="CP58" i="33"/>
  <c r="AR77" i="33"/>
  <c r="LG94" i="34"/>
  <c r="AH35" i="33"/>
  <c r="AB141" i="34"/>
  <c r="HT51" i="34"/>
  <c r="GN136" i="34"/>
  <c r="K53" i="34"/>
  <c r="FQ159" i="34"/>
  <c r="HZ120" i="34"/>
  <c r="HD47" i="34"/>
  <c r="EX150" i="34"/>
  <c r="FW40" i="33"/>
  <c r="V106" i="34"/>
  <c r="DC63" i="33"/>
  <c r="BW35" i="33"/>
  <c r="CJ61" i="34"/>
  <c r="FZ27" i="33"/>
  <c r="FJ56" i="33"/>
  <c r="AV101" i="34"/>
  <c r="ED47" i="34"/>
  <c r="FV76" i="33"/>
  <c r="BG84" i="33"/>
  <c r="KN134" i="34"/>
  <c r="DH55" i="33"/>
  <c r="FZ52" i="33"/>
  <c r="NI45" i="34"/>
  <c r="GK115" i="34"/>
  <c r="GK65" i="33"/>
  <c r="FK73" i="33"/>
  <c r="Y80" i="34"/>
  <c r="GA73" i="33"/>
  <c r="CZ48" i="33"/>
  <c r="J147" i="34"/>
  <c r="FJ78" i="33"/>
  <c r="BE44" i="33"/>
  <c r="LJ52" i="34"/>
  <c r="AM113" i="34"/>
  <c r="HW84" i="34"/>
  <c r="FU48" i="33"/>
  <c r="BJ77" i="33"/>
  <c r="DY49" i="33"/>
  <c r="LG119" i="34"/>
  <c r="LK123" i="34"/>
  <c r="IS56" i="34"/>
  <c r="NF71" i="34"/>
  <c r="DZ92" i="33"/>
  <c r="DD48" i="33"/>
  <c r="CI39" i="33"/>
  <c r="F77" i="33"/>
  <c r="AZ99" i="34"/>
  <c r="FW145" i="34"/>
  <c r="BV90" i="33"/>
  <c r="FK28" i="33"/>
  <c r="U78" i="33"/>
  <c r="FC28" i="33"/>
  <c r="Z80" i="34"/>
  <c r="AQ58" i="33"/>
  <c r="FZ42" i="33"/>
  <c r="U56" i="34"/>
  <c r="AN123" i="34"/>
  <c r="AM109" i="34"/>
  <c r="N42" i="33"/>
  <c r="GJ65" i="33"/>
  <c r="J80" i="34"/>
  <c r="JD65" i="34"/>
  <c r="AA92" i="33"/>
  <c r="BN144" i="34"/>
  <c r="AY105" i="34"/>
  <c r="CI34" i="33"/>
  <c r="KN56" i="34"/>
  <c r="EE71" i="33"/>
  <c r="CO37" i="33"/>
  <c r="DZ65" i="33"/>
  <c r="BU45" i="33"/>
  <c r="DO76" i="33"/>
  <c r="BQ96" i="34"/>
  <c r="ID48" i="34"/>
  <c r="AP109" i="34"/>
  <c r="BP110" i="34"/>
  <c r="BR158" i="34"/>
  <c r="EA100" i="34"/>
  <c r="FD39" i="33"/>
  <c r="NK149" i="34"/>
  <c r="BW44" i="33"/>
  <c r="GN77" i="33"/>
  <c r="DO31" i="33"/>
  <c r="GF47" i="33"/>
  <c r="BZ81" i="33"/>
  <c r="FR147" i="34"/>
  <c r="CI129" i="34"/>
  <c r="X37" i="33"/>
  <c r="DT52" i="33"/>
  <c r="AY139" i="34"/>
  <c r="BE71" i="33"/>
  <c r="FW169" i="34"/>
  <c r="LI70" i="34"/>
  <c r="B65" i="17"/>
  <c r="CF144" i="34"/>
  <c r="OK111" i="34"/>
  <c r="KC79" i="34"/>
  <c r="CF9" i="33"/>
  <c r="DM44" i="33"/>
  <c r="EH74" i="34"/>
  <c r="AS83" i="34"/>
  <c r="LK49" i="34"/>
  <c r="CE28" i="33"/>
  <c r="FX66" i="33"/>
  <c r="FY33" i="33"/>
  <c r="GI82" i="33"/>
  <c r="CJ127" i="34"/>
  <c r="BH32" i="33"/>
  <c r="FS142" i="34"/>
  <c r="AN125" i="34"/>
  <c r="AA167" i="34"/>
  <c r="CF175" i="34"/>
  <c r="EY54" i="33"/>
  <c r="EA81" i="33"/>
  <c r="Y76" i="33"/>
  <c r="CB64" i="33"/>
  <c r="MA128" i="34"/>
  <c r="EB159" i="34"/>
  <c r="CE45" i="34"/>
  <c r="DX73" i="33"/>
  <c r="FM34" i="33"/>
  <c r="CE100" i="34"/>
  <c r="DF53" i="34"/>
  <c r="BH42" i="33"/>
  <c r="CK47" i="34"/>
  <c r="V56" i="33"/>
  <c r="BQ63" i="33"/>
  <c r="DO32" i="33"/>
  <c r="H14" i="17"/>
  <c r="Z119" i="34"/>
  <c r="FP55" i="34"/>
  <c r="GL42" i="34"/>
  <c r="BO72" i="33"/>
  <c r="GG74" i="33"/>
  <c r="DF113" i="34"/>
  <c r="EW154" i="34"/>
  <c r="HD122" i="34"/>
  <c r="BG37" i="33"/>
  <c r="CD95" i="34"/>
  <c r="EP65" i="33"/>
  <c r="FU145" i="34"/>
  <c r="AI44" i="33"/>
  <c r="DI94" i="34"/>
  <c r="CF174" i="34"/>
  <c r="FO53" i="34"/>
  <c r="CL58" i="33"/>
  <c r="AW72" i="33"/>
  <c r="BB71" i="34"/>
  <c r="CA81" i="33"/>
  <c r="K157" i="28"/>
  <c r="AW149" i="34"/>
  <c r="DN36" i="33"/>
  <c r="HH76" i="34"/>
  <c r="ED113" i="34"/>
  <c r="EW49" i="34"/>
  <c r="GP97" i="34"/>
  <c r="FH55" i="33"/>
  <c r="AA66" i="33"/>
  <c r="I47" i="33"/>
  <c r="AQ60" i="33"/>
  <c r="CF80" i="33"/>
  <c r="DO25" i="33"/>
  <c r="IV176" i="34"/>
  <c r="AU141" i="34"/>
  <c r="BQ33" i="33"/>
  <c r="AS102" i="34"/>
  <c r="CJ57" i="34"/>
  <c r="ED30" i="33"/>
  <c r="CG118" i="34"/>
  <c r="BB45" i="33"/>
  <c r="J61" i="33"/>
  <c r="EE69" i="33"/>
  <c r="JA134" i="34"/>
  <c r="AX124" i="34"/>
  <c r="DZ78" i="33"/>
  <c r="W73" i="33"/>
  <c r="FV135" i="34"/>
  <c r="EA162" i="34"/>
  <c r="CI69" i="33"/>
  <c r="K102" i="34"/>
  <c r="GB54" i="33"/>
  <c r="FN121" i="34"/>
  <c r="FL69" i="33"/>
  <c r="FA31" i="33"/>
  <c r="K104" i="34"/>
  <c r="EK60" i="33"/>
  <c r="JF166" i="34"/>
  <c r="FO25" i="33"/>
  <c r="AK52" i="33"/>
  <c r="DC100" i="34"/>
  <c r="GL58" i="34"/>
  <c r="FX57" i="33"/>
  <c r="MB64" i="34"/>
  <c r="CN61" i="33"/>
  <c r="DT47" i="33"/>
  <c r="AK51" i="33"/>
  <c r="DY57" i="33"/>
  <c r="AR98" i="34"/>
  <c r="CZ75" i="33"/>
  <c r="AM37" i="33"/>
  <c r="JW45" i="34"/>
  <c r="AP151" i="34"/>
  <c r="IC61" i="34"/>
  <c r="GL42" i="33"/>
  <c r="W36" i="33"/>
  <c r="X133" i="34"/>
  <c r="CS43" i="33"/>
  <c r="T125" i="34"/>
  <c r="EE50" i="33"/>
  <c r="AQ75" i="33"/>
  <c r="FT157" i="34"/>
  <c r="IC176" i="34"/>
  <c r="DF108" i="34"/>
  <c r="BY46" i="33"/>
  <c r="AW66" i="34"/>
  <c r="BF43" i="33"/>
  <c r="BB174" i="34"/>
  <c r="CB36" i="33"/>
  <c r="DZ53" i="33"/>
  <c r="DP35" i="33"/>
  <c r="ER46" i="33"/>
  <c r="BO94" i="34"/>
  <c r="FA61" i="33"/>
  <c r="Y63" i="33"/>
  <c r="B19" i="17"/>
  <c r="CO85" i="34"/>
  <c r="T67" i="34"/>
  <c r="BZ26" i="33"/>
  <c r="AA183" i="34"/>
  <c r="JU83" i="34"/>
  <c r="DM69" i="33"/>
  <c r="CV27" i="33"/>
  <c r="PG188" i="34"/>
  <c r="AT46" i="34"/>
  <c r="CC62" i="33"/>
  <c r="CD148" i="34"/>
  <c r="X160" i="34"/>
  <c r="ED76" i="33"/>
  <c r="AQ74" i="33"/>
  <c r="GP127" i="34"/>
  <c r="B93" i="28"/>
  <c r="CN62" i="33"/>
  <c r="FO91" i="34"/>
  <c r="X50" i="33"/>
  <c r="GK52" i="33"/>
  <c r="BB50" i="33"/>
  <c r="DA173" i="34"/>
  <c r="BM80" i="33"/>
  <c r="DS80" i="33"/>
  <c r="IB49" i="34"/>
  <c r="HW130" i="34"/>
  <c r="FY9" i="33"/>
  <c r="CJ118" i="34"/>
  <c r="DB61" i="34"/>
  <c r="JD54" i="34"/>
  <c r="AU44" i="33"/>
  <c r="AN39" i="33"/>
  <c r="CL154" i="34"/>
  <c r="LX93" i="34"/>
  <c r="EI76" i="34"/>
  <c r="BL45" i="33"/>
  <c r="CE110" i="34"/>
  <c r="DY79" i="33"/>
  <c r="CN41" i="33"/>
  <c r="BQ83" i="33"/>
  <c r="DA84" i="33"/>
  <c r="CM73" i="34"/>
  <c r="JH91" i="34"/>
  <c r="M75" i="33"/>
  <c r="ED83" i="34"/>
  <c r="BN78" i="34"/>
  <c r="IR168" i="34"/>
  <c r="GP120" i="34"/>
  <c r="CG124" i="34"/>
  <c r="W96" i="34"/>
  <c r="BO82" i="33"/>
  <c r="NN111" i="34"/>
  <c r="CE57" i="33"/>
  <c r="JA77" i="34"/>
  <c r="FA107" i="34"/>
  <c r="N81" i="33"/>
  <c r="EK76" i="33"/>
  <c r="AU138" i="34"/>
  <c r="N37" i="33"/>
  <c r="ER61" i="33"/>
  <c r="AR86" i="34"/>
  <c r="NC186" i="34"/>
  <c r="KN129" i="34"/>
  <c r="BI72" i="33"/>
  <c r="HD187" i="34"/>
  <c r="X65" i="33"/>
  <c r="B58" i="17"/>
  <c r="EV45" i="33"/>
  <c r="GD64" i="33"/>
  <c r="FC67" i="33"/>
  <c r="DS74" i="33"/>
  <c r="GL172" i="34"/>
  <c r="HD79" i="34"/>
  <c r="GO77" i="33"/>
  <c r="AD33" i="33"/>
  <c r="KC147" i="34"/>
  <c r="NC97" i="34"/>
  <c r="GE70" i="33"/>
  <c r="AQ34" i="33"/>
  <c r="AM129" i="34"/>
  <c r="BM63" i="33"/>
  <c r="F62" i="17"/>
  <c r="HT154" i="34"/>
  <c r="GE71" i="33"/>
  <c r="AY34" i="33"/>
  <c r="EK132" i="34"/>
  <c r="DI73" i="34"/>
  <c r="IB104" i="34"/>
  <c r="EE170" i="34"/>
  <c r="JZ91" i="34"/>
  <c r="EP64" i="33"/>
  <c r="ER36" i="33"/>
  <c r="EQ64" i="33"/>
  <c r="LA95" i="34"/>
  <c r="CJ162" i="34"/>
  <c r="FK38" i="33"/>
  <c r="K47" i="33"/>
  <c r="GD38" i="33"/>
  <c r="OM112" i="34"/>
  <c r="C38" i="17"/>
  <c r="AN80" i="33"/>
  <c r="BG59" i="33"/>
  <c r="AA36" i="33"/>
  <c r="FZ66" i="33"/>
  <c r="IB113" i="34"/>
  <c r="GN45" i="33"/>
  <c r="JG125" i="34"/>
  <c r="BN54" i="34"/>
  <c r="FC90" i="33"/>
  <c r="FX84" i="33"/>
  <c r="EG80" i="33"/>
  <c r="DA58" i="33"/>
  <c r="MC47" i="34"/>
  <c r="AF36" i="33"/>
  <c r="CU37" i="33"/>
  <c r="AC55" i="34"/>
  <c r="W49" i="34"/>
  <c r="BB53" i="33"/>
  <c r="X90" i="33"/>
  <c r="BJ159" i="28"/>
  <c r="FY30" i="33"/>
  <c r="GJ76" i="34"/>
  <c r="EK43" i="33"/>
  <c r="LA153" i="34"/>
  <c r="BQ31" i="33"/>
  <c r="AS129" i="34"/>
  <c r="HN8" i="34"/>
  <c r="DI168" i="34"/>
  <c r="AL61" i="33"/>
  <c r="EM73" i="33"/>
  <c r="I70" i="33"/>
  <c r="HF170" i="34"/>
  <c r="BK25" i="33"/>
  <c r="DA74" i="34"/>
  <c r="FS97" i="34"/>
  <c r="DV103" i="34"/>
  <c r="BT9" i="33"/>
  <c r="AD91" i="34"/>
  <c r="JT188" i="34"/>
  <c r="LK54" i="34"/>
  <c r="U40" i="33"/>
  <c r="ED56" i="33"/>
  <c r="AV29" i="33"/>
  <c r="CN36" i="33"/>
  <c r="CO137" i="34"/>
  <c r="AM159" i="34"/>
  <c r="BC37" i="33"/>
  <c r="LI113" i="34"/>
  <c r="KP70" i="34"/>
  <c r="AZ37" i="33"/>
  <c r="FU113" i="34"/>
  <c r="AP73" i="33"/>
  <c r="CL113" i="34"/>
  <c r="EY50" i="34"/>
  <c r="CF31" i="33"/>
  <c r="CU60" i="33"/>
  <c r="CJ35" i="33"/>
  <c r="CW32" i="33"/>
  <c r="DE76" i="34"/>
  <c r="EJ90" i="33"/>
  <c r="AE71" i="33"/>
  <c r="FX53" i="33"/>
  <c r="LY130" i="34"/>
  <c r="ED49" i="33"/>
  <c r="X27" i="33"/>
  <c r="BA54" i="34"/>
  <c r="PZ113" i="34"/>
  <c r="DB71" i="33"/>
  <c r="F63" i="17"/>
  <c r="BQ57" i="33"/>
  <c r="FE27" i="33"/>
  <c r="L72" i="33"/>
  <c r="AI9" i="33"/>
  <c r="ER32" i="33"/>
  <c r="BJ188" i="28"/>
  <c r="BR84" i="33"/>
  <c r="DM41" i="33"/>
  <c r="NA149" i="34"/>
  <c r="J49" i="33"/>
  <c r="IB176" i="34"/>
  <c r="AI43" i="33"/>
  <c r="F49" i="33"/>
  <c r="ON104" i="34"/>
  <c r="MN95" i="34"/>
  <c r="FT108" i="34"/>
  <c r="W77" i="33"/>
  <c r="EL57" i="33"/>
  <c r="ML61" i="34"/>
  <c r="BT55" i="33"/>
  <c r="FR65" i="33"/>
  <c r="DN51" i="33"/>
  <c r="FI39" i="33"/>
  <c r="AR34" i="33"/>
  <c r="HD99" i="34"/>
  <c r="BL92" i="33"/>
  <c r="IS132" i="34"/>
  <c r="Y147" i="34"/>
  <c r="FF47" i="33"/>
  <c r="K86" i="33"/>
  <c r="AQ39" i="33"/>
  <c r="GP55" i="34"/>
  <c r="BN138" i="34"/>
  <c r="BB59" i="34"/>
  <c r="FZ59" i="33"/>
  <c r="DT40" i="33"/>
  <c r="KC63" i="34"/>
  <c r="EG79" i="34"/>
  <c r="LF157" i="34"/>
  <c r="W89" i="34"/>
  <c r="CK44" i="34"/>
  <c r="BN45" i="33"/>
  <c r="HH49" i="34"/>
  <c r="MG73" i="34"/>
  <c r="AR39" i="33"/>
  <c r="I52" i="33"/>
  <c r="CY62" i="33"/>
  <c r="KL58" i="34"/>
  <c r="GM43" i="33"/>
  <c r="FB95" i="34"/>
  <c r="V150" i="34"/>
  <c r="AM44" i="33"/>
  <c r="FZ62" i="33"/>
  <c r="FW73" i="34"/>
  <c r="CF83" i="33"/>
  <c r="BB69" i="33"/>
  <c r="GK68" i="33"/>
  <c r="FO156" i="34"/>
  <c r="CM160" i="34"/>
  <c r="GK77" i="33"/>
  <c r="BH47" i="33"/>
  <c r="DD68" i="33"/>
  <c r="LF53" i="34"/>
  <c r="DR28" i="33"/>
  <c r="DO64" i="33"/>
  <c r="KL172" i="34"/>
  <c r="BB33" i="33"/>
  <c r="MJ142" i="34"/>
  <c r="CA68" i="33"/>
  <c r="GH28" i="33"/>
  <c r="AJ66" i="33"/>
  <c r="AS172" i="34"/>
  <c r="IB149" i="34"/>
  <c r="FQ44" i="33"/>
  <c r="AD67" i="33"/>
  <c r="U120" i="34"/>
  <c r="AD58" i="33"/>
  <c r="FM61" i="33"/>
  <c r="EE160" i="34"/>
  <c r="F85" i="33"/>
  <c r="BJ41" i="28"/>
  <c r="GH46" i="33"/>
  <c r="FU84" i="34"/>
  <c r="AV86" i="34"/>
  <c r="NJ130" i="34"/>
  <c r="HC89" i="34"/>
  <c r="MJ87" i="34"/>
  <c r="FS61" i="33"/>
  <c r="CP72" i="33"/>
  <c r="BR157" i="34"/>
  <c r="V82" i="33"/>
  <c r="CP63" i="33"/>
  <c r="AA186" i="34"/>
  <c r="AV41" i="33"/>
  <c r="AW64" i="33"/>
  <c r="KQ104" i="34"/>
  <c r="EV35" i="33"/>
  <c r="BF86" i="33"/>
  <c r="CY73" i="33"/>
  <c r="FP71" i="33"/>
  <c r="H18" i="17"/>
  <c r="FH50" i="33"/>
  <c r="CH67" i="33"/>
  <c r="EI146" i="34"/>
  <c r="FI33" i="33"/>
  <c r="HT46" i="34"/>
  <c r="EE25" i="33"/>
  <c r="ED145" i="34"/>
  <c r="AY28" i="33"/>
  <c r="EX164" i="34"/>
  <c r="JT75" i="34"/>
  <c r="CA48" i="33"/>
  <c r="GA86" i="33"/>
  <c r="DI125" i="34"/>
  <c r="MJ78" i="34"/>
  <c r="HX125" i="34"/>
  <c r="AU54" i="33"/>
  <c r="ED147" i="34"/>
  <c r="ID142" i="34"/>
  <c r="CZ83" i="33"/>
  <c r="Z106" i="34"/>
  <c r="DH154" i="34"/>
  <c r="FE59" i="33"/>
  <c r="FR79" i="33"/>
  <c r="JV72" i="34"/>
  <c r="BJ118" i="28"/>
  <c r="AD90" i="33"/>
  <c r="DE29" i="33"/>
  <c r="AZ61" i="34"/>
  <c r="DK90" i="33"/>
  <c r="AH45" i="33"/>
  <c r="CX53" i="33"/>
  <c r="DF50" i="33"/>
  <c r="FV111" i="34"/>
  <c r="T92" i="34"/>
  <c r="FJ36" i="33"/>
  <c r="FS54" i="33"/>
  <c r="W41" i="33"/>
  <c r="KB47" i="34"/>
  <c r="HV59" i="34"/>
  <c r="CD29" i="33"/>
  <c r="HE123" i="34"/>
  <c r="CE31" i="33"/>
  <c r="BM65" i="28"/>
  <c r="Z35" i="33"/>
  <c r="DA43" i="33"/>
  <c r="GM92" i="33"/>
  <c r="BR30" i="33"/>
  <c r="CN113" i="34"/>
  <c r="GH63" i="33"/>
  <c r="FL37" i="33"/>
  <c r="BS40" i="33"/>
  <c r="FI30" i="33"/>
  <c r="CB70" i="33"/>
  <c r="BN84" i="33"/>
  <c r="LX116" i="34"/>
  <c r="CS80" i="33"/>
  <c r="DK75" i="33"/>
  <c r="FQ169" i="34"/>
  <c r="AQ176" i="34"/>
  <c r="GQ71" i="34"/>
  <c r="GG73" i="33"/>
  <c r="AU70" i="34"/>
  <c r="Z82" i="33"/>
  <c r="DX28" i="33"/>
  <c r="CL62" i="34"/>
  <c r="S74" i="33"/>
  <c r="FX30" i="33"/>
  <c r="V119" i="34"/>
  <c r="CI186" i="34"/>
  <c r="CM88" i="34"/>
  <c r="FS71" i="33"/>
  <c r="V123" i="34"/>
  <c r="LX60" i="34"/>
  <c r="CD77" i="33"/>
  <c r="HE168" i="34"/>
  <c r="BJ71" i="28"/>
  <c r="FU57" i="33"/>
  <c r="FT73" i="34"/>
  <c r="AN37" i="33"/>
  <c r="DG159" i="34"/>
  <c r="E13" i="3"/>
  <c r="DT38" i="33"/>
  <c r="CL48" i="33"/>
  <c r="FK55" i="33"/>
  <c r="R76" i="33"/>
  <c r="KQ94" i="34"/>
  <c r="DH96" i="34"/>
  <c r="BY90" i="33"/>
  <c r="FH23" i="33"/>
  <c r="FU77" i="33"/>
  <c r="BK29" i="33"/>
  <c r="FU41" i="33"/>
  <c r="AX62" i="33"/>
  <c r="EF138" i="34"/>
  <c r="DC45" i="33"/>
  <c r="FR82" i="33"/>
  <c r="AT81" i="33"/>
  <c r="BN64" i="33"/>
  <c r="T145" i="34"/>
  <c r="FP68" i="33"/>
  <c r="CK71" i="33"/>
  <c r="X75" i="33"/>
  <c r="CK186" i="34"/>
  <c r="AN153" i="34"/>
  <c r="EB167" i="34"/>
  <c r="ED160" i="34"/>
  <c r="IC136" i="34"/>
  <c r="FS152" i="34"/>
  <c r="DZ52" i="33"/>
  <c r="CZ27" i="33"/>
  <c r="DV152" i="34"/>
  <c r="GJ183" i="34"/>
  <c r="CH31" i="33"/>
  <c r="AM9" i="33"/>
  <c r="S59" i="33"/>
  <c r="PW42" i="34"/>
  <c r="DO38" i="33"/>
  <c r="JY81" i="34"/>
  <c r="CP32" i="33"/>
  <c r="BN73" i="34"/>
  <c r="FI25" i="33"/>
  <c r="BR75" i="33"/>
  <c r="AQ111" i="34"/>
  <c r="DB92" i="34"/>
  <c r="LC122" i="34"/>
  <c r="CH55" i="33"/>
  <c r="EL27" i="33"/>
  <c r="PC112" i="34"/>
  <c r="BA56" i="33"/>
  <c r="CK57" i="34"/>
  <c r="CO27" i="33"/>
  <c r="EJ174" i="34"/>
  <c r="FP34" i="33"/>
  <c r="AV43" i="33"/>
  <c r="GK64" i="34"/>
  <c r="JG88" i="34"/>
  <c r="O59" i="33"/>
  <c r="PJ186" i="34"/>
  <c r="CE82" i="33"/>
  <c r="BE9" i="33"/>
  <c r="AQ133" i="34"/>
  <c r="CX36" i="33"/>
  <c r="HV165" i="34"/>
  <c r="DG62" i="33"/>
  <c r="CF28" i="33"/>
  <c r="CO75" i="33"/>
  <c r="JW142" i="34"/>
  <c r="BQ154" i="34"/>
  <c r="CO154" i="34"/>
  <c r="BQ147" i="34"/>
  <c r="AN35" i="33"/>
  <c r="IA143" i="34"/>
  <c r="J183" i="34"/>
  <c r="CN64" i="33"/>
  <c r="AN54" i="33"/>
  <c r="DX161" i="34"/>
  <c r="P42" i="33"/>
  <c r="AO108" i="34"/>
  <c r="AZ44" i="33"/>
  <c r="FX56" i="33"/>
  <c r="IV130" i="34"/>
  <c r="FB148" i="34"/>
  <c r="AE37" i="33"/>
  <c r="EB164" i="34"/>
  <c r="FN67" i="33"/>
  <c r="BB125" i="34"/>
  <c r="IT50" i="34"/>
  <c r="U63" i="33"/>
  <c r="JV76" i="34"/>
  <c r="BO95" i="34"/>
  <c r="EV38" i="33"/>
  <c r="EZ107" i="34"/>
  <c r="I84" i="33"/>
  <c r="GI56" i="33"/>
  <c r="IB155" i="34"/>
  <c r="IE168" i="34"/>
  <c r="U53" i="33"/>
  <c r="CJ59" i="33"/>
  <c r="J119" i="34"/>
  <c r="FU95" i="34"/>
  <c r="E15" i="3"/>
  <c r="HH166" i="34"/>
  <c r="DI75" i="34"/>
  <c r="GN73" i="33"/>
  <c r="NM156" i="34"/>
  <c r="IW128" i="34"/>
  <c r="FV42" i="33"/>
  <c r="AS87" i="34"/>
  <c r="PZ168" i="34"/>
  <c r="EB129" i="34"/>
  <c r="CR32" i="33"/>
  <c r="NN176" i="34"/>
  <c r="IU122" i="34"/>
  <c r="ID78" i="34"/>
  <c r="FG60" i="33"/>
  <c r="CP57" i="33"/>
  <c r="FQ145" i="34"/>
  <c r="BW41" i="33"/>
  <c r="HW42" i="34"/>
  <c r="IK5" i="34"/>
  <c r="Y148" i="34"/>
  <c r="AL45" i="33"/>
  <c r="AT174" i="34"/>
  <c r="IU94" i="34"/>
  <c r="H69" i="33"/>
  <c r="GM186" i="34"/>
  <c r="AR108" i="34"/>
  <c r="EG156" i="34"/>
  <c r="CH99" i="34"/>
  <c r="B111" i="28"/>
  <c r="JV42" i="34"/>
  <c r="G82" i="33"/>
  <c r="FQ115" i="34"/>
  <c r="AY134" i="34"/>
  <c r="DC69" i="33"/>
  <c r="BO97" i="34"/>
  <c r="CX29" i="33"/>
  <c r="FN105" i="34"/>
  <c r="KR45" i="34"/>
  <c r="ES49" i="33"/>
  <c r="NN99" i="34"/>
  <c r="OI113" i="34"/>
  <c r="JV141" i="34"/>
  <c r="CI52" i="33"/>
  <c r="AD135" i="34"/>
  <c r="BK60" i="33"/>
  <c r="DA72" i="33"/>
  <c r="GO56" i="33"/>
  <c r="Y35" i="33"/>
  <c r="JG171" i="34"/>
  <c r="CJ51" i="33"/>
  <c r="MB102" i="34"/>
  <c r="BK76" i="33"/>
  <c r="GL69" i="33"/>
  <c r="FV49" i="34"/>
  <c r="AA153" i="34"/>
  <c r="T28" i="33"/>
  <c r="DB99" i="34"/>
  <c r="K156" i="28"/>
  <c r="IQ154" i="34"/>
  <c r="DK51" i="33"/>
  <c r="NM50" i="34"/>
  <c r="AN99" i="34"/>
  <c r="AR86" i="33"/>
  <c r="FI28" i="33"/>
  <c r="BN155" i="34"/>
  <c r="AR110" i="34"/>
  <c r="CN70" i="34"/>
  <c r="CX73" i="33"/>
  <c r="CO104" i="34"/>
  <c r="ND93" i="34"/>
  <c r="GO25" i="33"/>
  <c r="DP45" i="33"/>
  <c r="CH43" i="33"/>
  <c r="CA60" i="33"/>
  <c r="AI51" i="33"/>
  <c r="BH69" i="33"/>
  <c r="EA78" i="33"/>
  <c r="CQ67" i="33"/>
  <c r="AP119" i="34"/>
  <c r="GH30" i="33"/>
  <c r="AR31" i="33"/>
  <c r="PH51" i="34"/>
  <c r="IQ47" i="34"/>
  <c r="HU98" i="34"/>
  <c r="IT84" i="34"/>
  <c r="FP53" i="33"/>
  <c r="B92" i="28"/>
  <c r="GK170" i="34"/>
  <c r="CO36" i="33"/>
  <c r="HV64" i="34"/>
  <c r="O41" i="33"/>
  <c r="BT63" i="33"/>
  <c r="M50" i="33"/>
  <c r="CK95" i="34"/>
  <c r="NH125" i="34"/>
  <c r="J58" i="33"/>
  <c r="AV36" i="33"/>
  <c r="DJ101" i="34"/>
  <c r="DG115" i="34"/>
  <c r="EE51" i="33"/>
  <c r="LY187" i="34"/>
  <c r="MO120" i="34"/>
  <c r="MJ74" i="34"/>
  <c r="DG73" i="33"/>
  <c r="AF49" i="33"/>
  <c r="GN68" i="34"/>
  <c r="BV32" i="33"/>
  <c r="BI40" i="33"/>
  <c r="HV188" i="34"/>
  <c r="EW51" i="33"/>
  <c r="AO126" i="34"/>
  <c r="EL43" i="33"/>
  <c r="DX51" i="34"/>
  <c r="CY34" i="33"/>
  <c r="IS88" i="34"/>
  <c r="BE66" i="33"/>
  <c r="AN118" i="34"/>
  <c r="CE25" i="33"/>
  <c r="HX124" i="34"/>
  <c r="EK102" i="34"/>
  <c r="AY59" i="33"/>
  <c r="HC166" i="34"/>
  <c r="MA66" i="34"/>
  <c r="HX128" i="34"/>
  <c r="FJ86" i="33"/>
  <c r="AK67" i="33"/>
  <c r="BC71" i="33"/>
  <c r="GK125" i="34"/>
  <c r="BO107" i="34"/>
  <c r="FS117" i="34"/>
  <c r="K43" i="33"/>
  <c r="AC63" i="33"/>
  <c r="JY143" i="34"/>
  <c r="AD29" i="33"/>
  <c r="O35" i="33"/>
  <c r="N52" i="33"/>
  <c r="AQ48" i="33"/>
  <c r="DV159" i="34"/>
  <c r="DH57" i="33"/>
  <c r="CL111" i="34"/>
  <c r="FR69" i="34"/>
  <c r="IR142" i="34"/>
  <c r="DC62" i="34"/>
  <c r="LA74" i="34"/>
  <c r="AX156" i="34"/>
  <c r="AC87" i="34"/>
  <c r="AE51" i="33"/>
  <c r="HG70" i="34"/>
  <c r="DM49" i="33"/>
  <c r="CD178" i="34"/>
  <c r="IV125" i="34"/>
  <c r="HE152" i="34"/>
  <c r="DD145" i="34"/>
  <c r="JT57" i="34"/>
  <c r="AY70" i="34"/>
  <c r="EA50" i="34"/>
  <c r="BF35" i="33"/>
  <c r="DX35" i="33"/>
  <c r="FI68" i="33"/>
  <c r="HW103" i="34"/>
  <c r="CE148" i="34"/>
  <c r="CI60" i="33"/>
  <c r="NJ80" i="34"/>
  <c r="BJ85" i="33"/>
  <c r="JX123" i="34"/>
  <c r="MF163" i="34"/>
  <c r="LF85" i="34"/>
  <c r="EY44" i="33"/>
  <c r="BN42" i="33"/>
  <c r="FT176" i="34"/>
  <c r="CX92" i="33"/>
  <c r="EM62" i="33"/>
  <c r="K81" i="33"/>
  <c r="HC152" i="34"/>
  <c r="FJ69" i="33"/>
  <c r="JH138" i="34"/>
  <c r="AX51" i="33"/>
  <c r="H62" i="33"/>
  <c r="U51" i="33"/>
  <c r="CQ34" i="33"/>
  <c r="PB113" i="34"/>
  <c r="DB115" i="34"/>
  <c r="FU74" i="33"/>
  <c r="KN85" i="34"/>
  <c r="CY26" i="33"/>
  <c r="AA38" i="33"/>
  <c r="FA54" i="33"/>
  <c r="P26" i="33"/>
  <c r="EZ43" i="33"/>
  <c r="AL43" i="33"/>
  <c r="FV60" i="33"/>
  <c r="GH47" i="33"/>
  <c r="CP86" i="33"/>
  <c r="EM82" i="33"/>
  <c r="FM59" i="33"/>
  <c r="AS92" i="33"/>
  <c r="AY146" i="34"/>
  <c r="S206" i="23"/>
  <c r="DR81" i="33"/>
  <c r="DL70" i="33"/>
  <c r="DB61" i="33"/>
  <c r="DD53" i="34"/>
  <c r="EG69" i="34"/>
  <c r="CY70" i="33"/>
  <c r="CP92" i="33"/>
  <c r="GK49" i="33"/>
  <c r="FN88" i="34"/>
  <c r="DE106" i="34"/>
  <c r="BC62" i="33"/>
  <c r="FK39" i="33"/>
  <c r="AR50" i="33"/>
  <c r="AY85" i="33"/>
  <c r="KB115" i="34"/>
  <c r="HX54" i="34"/>
  <c r="BB126" i="34"/>
  <c r="IC121" i="34"/>
  <c r="BZ43" i="33"/>
  <c r="DZ36" i="33"/>
  <c r="EJ68" i="33"/>
  <c r="BB34" i="33"/>
  <c r="F19" i="17"/>
  <c r="AN47" i="33"/>
  <c r="BS9" i="33"/>
  <c r="FN37" i="33"/>
  <c r="J32" i="33"/>
  <c r="FT174" i="34"/>
  <c r="BW76" i="33"/>
  <c r="IQ103" i="34"/>
  <c r="CB25" i="33"/>
  <c r="AF68" i="33"/>
  <c r="EX76" i="34"/>
  <c r="DY170" i="34"/>
  <c r="GK110" i="34"/>
  <c r="F83" i="33"/>
  <c r="NM151" i="34"/>
  <c r="BU69" i="33"/>
  <c r="CG166" i="34"/>
  <c r="HD65" i="34"/>
  <c r="K152" i="28"/>
  <c r="CX48" i="33"/>
  <c r="AN49" i="33"/>
  <c r="CK105" i="34"/>
  <c r="JY136" i="34"/>
  <c r="FX9" i="33"/>
  <c r="EY58" i="33"/>
  <c r="CG92" i="34"/>
  <c r="V62" i="33"/>
  <c r="U65" i="34"/>
  <c r="PY79" i="34"/>
  <c r="P37" i="33"/>
  <c r="IR111" i="34"/>
  <c r="KP83" i="34"/>
  <c r="BA25" i="33"/>
  <c r="EB122" i="34"/>
  <c r="KM109" i="34"/>
  <c r="ES55" i="33"/>
  <c r="BB118" i="34"/>
  <c r="AU136" i="34"/>
  <c r="BC32" i="33"/>
  <c r="GP183" i="34"/>
  <c r="CE121" i="34"/>
  <c r="DS42" i="33"/>
  <c r="DS52" i="33"/>
  <c r="LH50" i="34"/>
  <c r="G56" i="33"/>
  <c r="DH70" i="33"/>
  <c r="AK57" i="33"/>
  <c r="FT137" i="34"/>
  <c r="BW51" i="33"/>
  <c r="BW32" i="33"/>
  <c r="LW108" i="34"/>
  <c r="AC30" i="33"/>
  <c r="Y31" i="33"/>
  <c r="FC55" i="33"/>
  <c r="DK56" i="33"/>
  <c r="KN107" i="34"/>
  <c r="CQ29" i="33"/>
  <c r="EV43" i="33"/>
  <c r="AW105" i="34"/>
  <c r="CO48" i="33"/>
  <c r="AE73" i="33"/>
  <c r="DF73" i="33"/>
  <c r="IS133" i="34"/>
  <c r="ER44" i="33"/>
  <c r="DM67" i="33"/>
  <c r="FQ142" i="34"/>
  <c r="BJ23" i="28"/>
  <c r="BJ129" i="28"/>
  <c r="LY54" i="34"/>
  <c r="AL75" i="33"/>
  <c r="S62" i="33"/>
  <c r="DV149" i="34"/>
  <c r="MD90" i="34"/>
  <c r="N61" i="33"/>
  <c r="EK31" i="33"/>
  <c r="AU68" i="34"/>
  <c r="EE181" i="34"/>
  <c r="T105" i="34"/>
  <c r="BS68" i="33"/>
  <c r="C37" i="17"/>
  <c r="GE32" i="33"/>
  <c r="FH77" i="33"/>
  <c r="T54" i="33"/>
  <c r="CJ84" i="33"/>
  <c r="EA55" i="33"/>
  <c r="FH31" i="33"/>
  <c r="MM97" i="34"/>
  <c r="DZ73" i="33"/>
  <c r="R41" i="33"/>
  <c r="JD169" i="34"/>
  <c r="EG99" i="34"/>
  <c r="ER34" i="33"/>
  <c r="BY39" i="33"/>
  <c r="DH82" i="33"/>
  <c r="DU53" i="33"/>
  <c r="CJ50" i="34"/>
  <c r="AM34" i="33"/>
  <c r="W67" i="34"/>
  <c r="FN42" i="33"/>
  <c r="U187" i="34"/>
  <c r="HE90" i="34"/>
  <c r="DO40" i="33"/>
  <c r="EF85" i="34"/>
  <c r="MH159" i="34"/>
  <c r="FL35" i="33"/>
  <c r="BP50" i="34"/>
  <c r="FK41" i="33"/>
  <c r="AA173" i="34"/>
  <c r="B94" i="28"/>
  <c r="EP40" i="33"/>
  <c r="BK67" i="33"/>
  <c r="BQ90" i="33"/>
  <c r="N67" i="33"/>
  <c r="BI38" i="33"/>
  <c r="CQ20" i="33"/>
  <c r="IB98" i="34"/>
  <c r="R43" i="33"/>
  <c r="GJ72" i="33"/>
  <c r="DU52" i="33"/>
  <c r="U55" i="34"/>
  <c r="AR66" i="34"/>
  <c r="DD137" i="34"/>
  <c r="AX35" i="33"/>
  <c r="FA120" i="34"/>
  <c r="EQ8" i="34"/>
  <c r="H49" i="33"/>
  <c r="AZ98" i="34"/>
  <c r="FO36" i="33"/>
  <c r="FN47" i="33"/>
  <c r="FV31" i="33"/>
  <c r="F8" i="17"/>
  <c r="KP52" i="34"/>
  <c r="S22" i="17"/>
  <c r="DZ80" i="33"/>
  <c r="CH29" i="33"/>
  <c r="BJ43" i="33"/>
  <c r="AO94" i="34"/>
  <c r="BU34" i="33"/>
  <c r="GH44" i="33"/>
  <c r="ID127" i="34"/>
  <c r="AS52" i="33"/>
  <c r="EG86" i="34"/>
  <c r="JV159" i="34"/>
  <c r="AS62" i="34"/>
  <c r="BQ40" i="33"/>
  <c r="DE80" i="34"/>
  <c r="JZ135" i="34"/>
  <c r="GQ95" i="34"/>
  <c r="CD72" i="33"/>
  <c r="EH85" i="34"/>
  <c r="CF84" i="33"/>
  <c r="FA148" i="34"/>
  <c r="AU26" i="33"/>
  <c r="DH84" i="33"/>
  <c r="EI106" i="34"/>
  <c r="AS65" i="34"/>
  <c r="AP81" i="34"/>
  <c r="CJ119" i="34"/>
  <c r="FA51" i="33"/>
  <c r="V39" i="33"/>
  <c r="GD31" i="33"/>
  <c r="JG116" i="34"/>
  <c r="IB88" i="34"/>
  <c r="DB57" i="33"/>
  <c r="FS70" i="33"/>
  <c r="B59" i="28"/>
  <c r="NI60" i="34"/>
  <c r="AZ46" i="34"/>
  <c r="JV168" i="34"/>
  <c r="ER9" i="33"/>
  <c r="CK36" i="33"/>
  <c r="BY49" i="33"/>
  <c r="EI120" i="34"/>
  <c r="AJ33" i="33"/>
  <c r="EV75" i="33"/>
  <c r="BL82" i="33"/>
  <c r="BN78" i="33"/>
  <c r="JZ163" i="34"/>
  <c r="IZ131" i="34"/>
  <c r="HT57" i="34"/>
  <c r="FX188" i="34"/>
  <c r="BT79" i="33"/>
  <c r="EF42" i="34"/>
  <c r="HC132" i="34"/>
  <c r="GD54" i="33"/>
  <c r="AP102" i="34"/>
  <c r="W57" i="34"/>
  <c r="DH119" i="34"/>
  <c r="H63" i="33"/>
  <c r="T47" i="33"/>
  <c r="AL63" i="33"/>
  <c r="CZ50" i="33"/>
  <c r="AO121" i="34"/>
  <c r="JD100" i="34"/>
  <c r="FE57" i="33"/>
  <c r="EJ53" i="33"/>
  <c r="GA37" i="33"/>
  <c r="S94" i="23"/>
  <c r="LF44" i="34"/>
  <c r="FZ51" i="33"/>
  <c r="AP83" i="34"/>
  <c r="FW45" i="33"/>
  <c r="Z78" i="33"/>
  <c r="BI83" i="33"/>
  <c r="HU165" i="34"/>
  <c r="AU60" i="34"/>
  <c r="IV103" i="34"/>
  <c r="HT75" i="34"/>
  <c r="BE69" i="33"/>
  <c r="MA152" i="34"/>
  <c r="HD108" i="34"/>
  <c r="AC36" i="33"/>
  <c r="AU21" i="34" l="1"/>
  <c r="AP23" i="34"/>
  <c r="LF10" i="34"/>
  <c r="T94" i="23"/>
  <c r="U94" i="23" s="1"/>
  <c r="JD33" i="34"/>
  <c r="AZ14" i="34"/>
  <c r="NI21" i="34"/>
  <c r="AO30" i="34"/>
  <c r="KP15" i="34"/>
  <c r="N17" i="13"/>
  <c r="AZ32" i="34"/>
  <c r="ER8" i="34"/>
  <c r="AR18" i="34"/>
  <c r="IB32" i="34"/>
  <c r="GY16" i="33"/>
  <c r="BQ94" i="33"/>
  <c r="BQ14" i="33" s="1"/>
  <c r="HE7" i="34"/>
  <c r="W20" i="34"/>
  <c r="EG31" i="34"/>
  <c r="EE189" i="34"/>
  <c r="AU17" i="34"/>
  <c r="MD7" i="34"/>
  <c r="BK129" i="28"/>
  <c r="BL129" i="28" s="1"/>
  <c r="BK23" i="28"/>
  <c r="BL23" i="28" s="1"/>
  <c r="KN35" i="34"/>
  <c r="BA87" i="33"/>
  <c r="BA13" i="33" s="1"/>
  <c r="KP23" i="34"/>
  <c r="IR37" i="34"/>
  <c r="PY26" i="34"/>
  <c r="CG9" i="34"/>
  <c r="GR28" i="33"/>
  <c r="F116" i="28"/>
  <c r="CB87" i="33"/>
  <c r="CB13" i="33" s="1"/>
  <c r="KB177" i="34"/>
  <c r="T206" i="23"/>
  <c r="U206" i="23" s="1"/>
  <c r="DB177" i="34"/>
  <c r="CD179" i="34"/>
  <c r="CL37" i="34"/>
  <c r="BO35" i="34"/>
  <c r="MA18" i="34"/>
  <c r="CE87" i="33"/>
  <c r="CE13" i="33" s="1"/>
  <c r="GN17" i="34"/>
  <c r="DG177" i="34"/>
  <c r="HV22" i="34"/>
  <c r="IT24" i="34"/>
  <c r="HU32" i="34"/>
  <c r="GO87" i="33"/>
  <c r="ND28" i="34"/>
  <c r="CO34" i="34"/>
  <c r="AN31" i="34"/>
  <c r="K158" i="28"/>
  <c r="F106" i="28" s="1"/>
  <c r="DB31" i="34"/>
  <c r="NN31" i="34"/>
  <c r="KR12" i="34"/>
  <c r="FQ177" i="34"/>
  <c r="CH31" i="34"/>
  <c r="IU30" i="34"/>
  <c r="IL5" i="34"/>
  <c r="ID25" i="34"/>
  <c r="D14" i="35"/>
  <c r="F15" i="3"/>
  <c r="K15" i="3" s="1"/>
  <c r="L15" i="3" s="1"/>
  <c r="EZ35" i="34"/>
  <c r="BG2" i="33"/>
  <c r="GK22" i="34"/>
  <c r="PC36" i="34"/>
  <c r="DB9" i="34"/>
  <c r="AQ37" i="34"/>
  <c r="FI87" i="33"/>
  <c r="FI13" i="33" s="1"/>
  <c r="BY94" i="33"/>
  <c r="BY14" i="33" s="1"/>
  <c r="DH29" i="34"/>
  <c r="KQ30" i="34"/>
  <c r="F13" i="3"/>
  <c r="K13" i="3" s="1"/>
  <c r="L13" i="3" s="1"/>
  <c r="D12" i="35"/>
  <c r="BK71" i="28"/>
  <c r="BL71" i="28" s="1"/>
  <c r="LX21" i="34"/>
  <c r="BN65" i="28"/>
  <c r="T9" i="34"/>
  <c r="FV37" i="34"/>
  <c r="DK94" i="33"/>
  <c r="DK14" i="33" s="1"/>
  <c r="AZ19" i="34"/>
  <c r="AD94" i="33"/>
  <c r="AD14" i="33" s="1"/>
  <c r="BK118" i="28"/>
  <c r="BL118" i="28" s="1"/>
  <c r="MJ25" i="34"/>
  <c r="EE87" i="33"/>
  <c r="EE13" i="33" s="1"/>
  <c r="HT14" i="34"/>
  <c r="E5" i="13"/>
  <c r="E17" i="13" s="1"/>
  <c r="KQ34" i="34"/>
  <c r="FU24" i="34"/>
  <c r="BK41" i="28"/>
  <c r="BL41" i="28" s="1"/>
  <c r="KL16" i="34"/>
  <c r="CK10" i="34"/>
  <c r="EG26" i="34"/>
  <c r="HD31" i="34"/>
  <c r="ML19" i="34"/>
  <c r="ON34" i="34"/>
  <c r="BK188" i="28"/>
  <c r="BL188" i="28" s="1"/>
  <c r="F65" i="17"/>
  <c r="EJ94" i="33"/>
  <c r="EJ14" i="33" s="1"/>
  <c r="AD8" i="34"/>
  <c r="BU2" i="33"/>
  <c r="BK87" i="33"/>
  <c r="BK13" i="33" s="1"/>
  <c r="HO8" i="34"/>
  <c r="BK159" i="28"/>
  <c r="BL159" i="28" s="1"/>
  <c r="X94" i="33"/>
  <c r="X14" i="33" s="1"/>
  <c r="FC94" i="33"/>
  <c r="FC14" i="33" s="1"/>
  <c r="OM36" i="34"/>
  <c r="JZ8" i="34"/>
  <c r="IB34" i="34"/>
  <c r="HD26" i="34"/>
  <c r="FA35" i="34"/>
  <c r="NN37" i="34"/>
  <c r="W29" i="34"/>
  <c r="BN25" i="34"/>
  <c r="ED23" i="34"/>
  <c r="JH8" i="34"/>
  <c r="LX28" i="34"/>
  <c r="DB19" i="34"/>
  <c r="GR32" i="33"/>
  <c r="FO8" i="34"/>
  <c r="AT14" i="34"/>
  <c r="JU23" i="34"/>
  <c r="T20" i="34"/>
  <c r="D19" i="17"/>
  <c r="BO30" i="34"/>
  <c r="AW18" i="34"/>
  <c r="IC19" i="34"/>
  <c r="JW12" i="34"/>
  <c r="AR32" i="34"/>
  <c r="MB22" i="34"/>
  <c r="GL16" i="34"/>
  <c r="DC33" i="34"/>
  <c r="FO87" i="33"/>
  <c r="FO13" i="33" s="1"/>
  <c r="K34" i="34"/>
  <c r="DO87" i="33"/>
  <c r="DO13" i="33" s="1"/>
  <c r="DI30" i="34"/>
  <c r="N36" i="13"/>
  <c r="CE33" i="34"/>
  <c r="CE12" i="34"/>
  <c r="AS23" i="34"/>
  <c r="KC26" i="34"/>
  <c r="OK37" i="34"/>
  <c r="EA33" i="34"/>
  <c r="ID13" i="34"/>
  <c r="BQ29" i="34"/>
  <c r="BV94" i="33"/>
  <c r="BV14" i="33" s="1"/>
  <c r="AZ31" i="34"/>
  <c r="HW24" i="34"/>
  <c r="LJ15" i="34"/>
  <c r="GK177" i="34"/>
  <c r="NI12" i="34"/>
  <c r="CJ19" i="34"/>
  <c r="LG30" i="34"/>
  <c r="NP177" i="34"/>
  <c r="EW20" i="34"/>
  <c r="DI9" i="34"/>
  <c r="CI94" i="33"/>
  <c r="CI14" i="33" s="1"/>
  <c r="CI12" i="34"/>
  <c r="BK162" i="28"/>
  <c r="BL162" i="28" s="1"/>
  <c r="FV94" i="33"/>
  <c r="D22" i="35"/>
  <c r="F23" i="3"/>
  <c r="K23" i="3" s="1"/>
  <c r="L23" i="3" s="1"/>
  <c r="M23" i="3" s="1"/>
  <c r="IS14" i="34"/>
  <c r="GE94" i="33"/>
  <c r="GE14" i="33" s="1"/>
  <c r="IU7" i="34"/>
  <c r="S49" i="17"/>
  <c r="BA10" i="34"/>
  <c r="B106" i="28"/>
  <c r="JY27" i="34"/>
  <c r="IV25" i="34"/>
  <c r="M6" i="17"/>
  <c r="N6" i="17" s="1"/>
  <c r="EX11" i="34"/>
  <c r="LI26" i="34"/>
  <c r="HW179" i="34"/>
  <c r="FP14" i="34"/>
  <c r="BO87" i="33"/>
  <c r="BO13" i="33" s="1"/>
  <c r="Z8" i="34"/>
  <c r="AR23" i="34"/>
  <c r="KC10" i="34"/>
  <c r="FP15" i="34"/>
  <c r="ML24" i="34"/>
  <c r="HE17" i="34"/>
  <c r="D50" i="17"/>
  <c r="CL30" i="34"/>
  <c r="EW36" i="34"/>
  <c r="LI31" i="34"/>
  <c r="GL179" i="34"/>
  <c r="Y33" i="34"/>
  <c r="DW189" i="34"/>
  <c r="AA19" i="34"/>
  <c r="ED24" i="34"/>
  <c r="BB9" i="34"/>
  <c r="NI27" i="34"/>
  <c r="CB94" i="33"/>
  <c r="CB14" i="33" s="1"/>
  <c r="JB10" i="34"/>
  <c r="FO28" i="34"/>
  <c r="FU189" i="34"/>
  <c r="FD94" i="33"/>
  <c r="FD14" i="33" s="1"/>
  <c r="DH177" i="34"/>
  <c r="AF2" i="33"/>
  <c r="AZ87" i="33"/>
  <c r="AZ13" i="33" s="1"/>
  <c r="AP16" i="34"/>
  <c r="DH33" i="34"/>
  <c r="BK21" i="28"/>
  <c r="BL21" i="28" s="1"/>
  <c r="IE35" i="34"/>
  <c r="K26" i="34"/>
  <c r="EX32" i="34"/>
  <c r="KN10" i="34"/>
  <c r="HC10" i="34"/>
  <c r="EH20" i="34"/>
  <c r="CU94" i="33"/>
  <c r="CU14" i="33" s="1"/>
  <c r="IQ25" i="34"/>
  <c r="CL19" i="34"/>
  <c r="FV15" i="34"/>
  <c r="DB35" i="34"/>
  <c r="GJ24" i="34"/>
  <c r="CE35" i="34"/>
  <c r="DC35" i="34"/>
  <c r="T53" i="23"/>
  <c r="U53" i="23" s="1"/>
  <c r="BK156" i="28"/>
  <c r="BL156" i="28" s="1"/>
  <c r="DX16" i="34"/>
  <c r="D51" i="17"/>
  <c r="F77" i="28" s="1"/>
  <c r="DG189" i="34"/>
  <c r="FN19" i="34"/>
  <c r="IB13" i="34"/>
  <c r="BN63" i="28"/>
  <c r="FH87" i="33"/>
  <c r="FH13" i="33" s="1"/>
  <c r="CK94" i="33"/>
  <c r="BC94" i="33"/>
  <c r="BC14" i="33" s="1"/>
  <c r="JW34" i="34"/>
  <c r="FO27" i="34"/>
  <c r="IY11" i="34"/>
  <c r="N87" i="33"/>
  <c r="N13" i="33" s="1"/>
  <c r="JU33" i="34"/>
  <c r="CO94" i="33"/>
  <c r="AX22" i="34"/>
  <c r="DZ30" i="34"/>
  <c r="D4" i="35"/>
  <c r="E4" i="35" s="1"/>
  <c r="FS25" i="34"/>
  <c r="JD189" i="34"/>
  <c r="AT37" i="34"/>
  <c r="EK24" i="34"/>
  <c r="IA13" i="34"/>
  <c r="GM18" i="34"/>
  <c r="LJ14" i="34"/>
  <c r="CL29" i="34"/>
  <c r="NC27" i="34"/>
  <c r="EF16" i="34"/>
  <c r="AU23" i="34"/>
  <c r="CE11" i="34"/>
  <c r="HY8" i="34"/>
  <c r="CP94" i="33"/>
  <c r="CP14" i="33" s="1"/>
  <c r="JD28" i="34"/>
  <c r="Z14" i="34"/>
  <c r="BK48" i="28"/>
  <c r="BL48" i="28" s="1"/>
  <c r="EW10" i="34"/>
  <c r="JV25" i="34"/>
  <c r="AM17" i="34"/>
  <c r="AM32" i="34"/>
  <c r="T133" i="23"/>
  <c r="U133" i="23" s="1"/>
  <c r="LI10" i="34"/>
  <c r="ES94" i="33"/>
  <c r="ES14" i="33" s="1"/>
  <c r="EA87" i="33"/>
  <c r="BO7" i="34"/>
  <c r="LE189" i="34"/>
  <c r="BO189" i="34"/>
  <c r="FT19" i="34"/>
  <c r="IY23" i="34"/>
  <c r="DZ7" i="34"/>
  <c r="IQ10" i="34"/>
  <c r="HE35" i="34"/>
  <c r="K37" i="34"/>
  <c r="D49" i="17"/>
  <c r="F75" i="28" s="1"/>
  <c r="V33" i="34"/>
  <c r="BR29" i="34"/>
  <c r="AQ25" i="34"/>
  <c r="T10" i="34"/>
  <c r="AZ9" i="34"/>
  <c r="BK96" i="28"/>
  <c r="BL96" i="28" s="1"/>
  <c r="CN11" i="34"/>
  <c r="J27" i="34"/>
  <c r="NF31" i="34"/>
  <c r="GU32" i="33"/>
  <c r="EZ179" i="34"/>
  <c r="BN87" i="33"/>
  <c r="BN13" i="33" s="1"/>
  <c r="PE179" i="34"/>
  <c r="HH29" i="34"/>
  <c r="FS23" i="34"/>
  <c r="KQ28" i="34"/>
  <c r="JD9" i="34"/>
  <c r="PY12" i="34"/>
  <c r="GL36" i="34"/>
  <c r="F114" i="28"/>
  <c r="AS28" i="34"/>
  <c r="JW7" i="34"/>
  <c r="K30" i="34"/>
  <c r="FP25" i="34"/>
  <c r="JH7" i="34"/>
  <c r="HF26" i="34"/>
  <c r="GR26" i="33"/>
  <c r="LY21" i="34"/>
  <c r="AC87" i="33"/>
  <c r="AC13" i="33" s="1"/>
  <c r="BT87" i="33"/>
  <c r="BT13" i="33" s="1"/>
  <c r="AC24" i="34"/>
  <c r="AQ94" i="33"/>
  <c r="AQ14" i="33" s="1"/>
  <c r="LZ15" i="34"/>
  <c r="AV8" i="34"/>
  <c r="KP26" i="34"/>
  <c r="D29" i="17"/>
  <c r="EZ189" i="34"/>
  <c r="FE2" i="33"/>
  <c r="GR10" i="33"/>
  <c r="AY19" i="34"/>
  <c r="IQ29" i="34"/>
  <c r="DJ22" i="34"/>
  <c r="KO30" i="34"/>
  <c r="PX19" i="34"/>
  <c r="JC179" i="34"/>
  <c r="EH32" i="34"/>
  <c r="ND15" i="34"/>
  <c r="BP57" i="28"/>
  <c r="DZ32" i="34"/>
  <c r="HU31" i="34"/>
  <c r="HZ15" i="34"/>
  <c r="T145" i="23"/>
  <c r="U145" i="23" s="1"/>
  <c r="E8" i="13"/>
  <c r="E20" i="13" s="1"/>
  <c r="R121" i="28"/>
  <c r="S121" i="28" s="1"/>
  <c r="CJ30" i="34"/>
  <c r="DW28" i="34"/>
  <c r="T151" i="23"/>
  <c r="U151" i="23" s="1"/>
  <c r="AC177" i="34"/>
  <c r="NB11" i="34"/>
  <c r="BN17" i="34"/>
  <c r="CN20" i="34"/>
  <c r="CG17" i="34"/>
  <c r="AQ21" i="34"/>
  <c r="CL25" i="34"/>
  <c r="CI13" i="34"/>
  <c r="T76" i="23"/>
  <c r="U76" i="23" s="1"/>
  <c r="LJ18" i="34"/>
  <c r="NO19" i="34"/>
  <c r="EE94" i="33"/>
  <c r="EE14" i="33" s="1"/>
  <c r="HT16" i="34"/>
  <c r="DD20" i="34"/>
  <c r="FN8" i="34"/>
  <c r="JF10" i="34"/>
  <c r="CN35" i="34"/>
  <c r="FP36" i="34"/>
  <c r="AN25" i="34"/>
  <c r="MH34" i="34"/>
  <c r="IA19" i="34"/>
  <c r="T60" i="23"/>
  <c r="U60" i="23" s="1"/>
  <c r="FX29" i="34"/>
  <c r="CK13" i="34"/>
  <c r="JV26" i="34"/>
  <c r="BK127" i="28"/>
  <c r="BL127" i="28" s="1"/>
  <c r="EF37" i="34"/>
  <c r="DA14" i="34"/>
  <c r="JA30" i="34"/>
  <c r="Y21" i="34"/>
  <c r="JC35" i="34"/>
  <c r="CL33" i="34"/>
  <c r="DA23" i="34"/>
  <c r="D26" i="35"/>
  <c r="F28" i="3"/>
  <c r="K28" i="3" s="1"/>
  <c r="L28" i="3" s="1"/>
  <c r="M28" i="3" s="1"/>
  <c r="V31" i="34"/>
  <c r="M105" i="28"/>
  <c r="R105" i="28" s="1"/>
  <c r="S105" i="28" s="1"/>
  <c r="JW19" i="34"/>
  <c r="J21" i="34"/>
  <c r="KA19" i="34"/>
  <c r="DX25" i="34"/>
  <c r="IE15" i="34"/>
  <c r="IT7" i="34"/>
  <c r="BB177" i="34"/>
  <c r="JB31" i="34"/>
  <c r="NB13" i="34"/>
  <c r="EX31" i="34"/>
  <c r="MF35" i="34"/>
  <c r="CJ177" i="34"/>
  <c r="BB18" i="34"/>
  <c r="GO21" i="34"/>
  <c r="MJ189" i="34"/>
  <c r="BK98" i="28"/>
  <c r="BL98" i="28" s="1"/>
  <c r="EW25" i="34"/>
  <c r="FO18" i="34"/>
  <c r="EB14" i="34"/>
  <c r="DJ34" i="34"/>
  <c r="FB21" i="34"/>
  <c r="BK137" i="28"/>
  <c r="BL137" i="28" s="1"/>
  <c r="IT189" i="34"/>
  <c r="GQ12" i="34"/>
  <c r="AS94" i="33"/>
  <c r="AS14" i="33" s="1"/>
  <c r="M9" i="17"/>
  <c r="N9" i="17" s="1"/>
  <c r="JV36" i="34"/>
  <c r="ED22" i="34"/>
  <c r="HT189" i="34"/>
  <c r="DO94" i="33"/>
  <c r="DO14" i="33" s="1"/>
  <c r="HG28" i="34"/>
  <c r="T141" i="23"/>
  <c r="U141" i="23" s="1"/>
  <c r="GD87" i="33"/>
  <c r="GD13" i="33" s="1"/>
  <c r="NL35" i="34"/>
  <c r="KA25" i="34"/>
  <c r="IT23" i="34"/>
  <c r="DJ35" i="34"/>
  <c r="JB12" i="34"/>
  <c r="MO14" i="34"/>
  <c r="DH23" i="34"/>
  <c r="FB30" i="34"/>
  <c r="GJ33" i="34"/>
  <c r="BP13" i="34"/>
  <c r="D22" i="17"/>
  <c r="BI94" i="33"/>
  <c r="BI14" i="33" s="1"/>
  <c r="OM37" i="34"/>
  <c r="BQ26" i="34"/>
  <c r="LC12" i="34"/>
  <c r="FU31" i="34"/>
  <c r="JZ30" i="34"/>
  <c r="KR15" i="34"/>
  <c r="LK35" i="34"/>
  <c r="JC16" i="34"/>
  <c r="ME15" i="34"/>
  <c r="AE2" i="33"/>
  <c r="AG2" i="33" s="1"/>
  <c r="DE25" i="34"/>
  <c r="KM20" i="34"/>
  <c r="HE24" i="34"/>
  <c r="T41" i="23"/>
  <c r="U41" i="23" s="1"/>
  <c r="AY179" i="34"/>
  <c r="EY36" i="34"/>
  <c r="MF23" i="34"/>
  <c r="JV17" i="34"/>
  <c r="HT8" i="34"/>
  <c r="BW87" i="33"/>
  <c r="BW13" i="33" s="1"/>
  <c r="AU24" i="34"/>
  <c r="HW21" i="34"/>
  <c r="BN28" i="34"/>
  <c r="AY23" i="34"/>
  <c r="DJ29" i="34"/>
  <c r="AX87" i="33"/>
  <c r="AX13" i="33" s="1"/>
  <c r="MC29" i="34"/>
  <c r="KA11" i="34"/>
  <c r="EB179" i="34"/>
  <c r="HV36" i="34"/>
  <c r="N30" i="13"/>
  <c r="CQ87" i="33"/>
  <c r="CQ13" i="33" s="1"/>
  <c r="MH177" i="34"/>
  <c r="DA15" i="34"/>
  <c r="AW9" i="34"/>
  <c r="CK35" i="34"/>
  <c r="D15" i="17"/>
  <c r="GK28" i="34"/>
  <c r="JV33" i="34"/>
  <c r="IQ32" i="34"/>
  <c r="DG26" i="34"/>
  <c r="MJ14" i="34"/>
  <c r="LC35" i="34"/>
  <c r="CJ87" i="33"/>
  <c r="CJ13" i="33" s="1"/>
  <c r="IQ11" i="34"/>
  <c r="AZ13" i="34"/>
  <c r="EK37" i="34"/>
  <c r="FY94" i="33"/>
  <c r="FY14" i="33" s="1"/>
  <c r="T124" i="23"/>
  <c r="U124" i="23" s="1"/>
  <c r="PD179" i="34"/>
  <c r="AZ29" i="34"/>
  <c r="GQ30" i="34"/>
  <c r="HW29" i="34"/>
  <c r="LE10" i="34"/>
  <c r="T187" i="23"/>
  <c r="U187" i="23" s="1"/>
  <c r="DC22" i="34"/>
  <c r="J34" i="34"/>
  <c r="HD29" i="34"/>
  <c r="T161" i="23"/>
  <c r="U161" i="23" s="1"/>
  <c r="GJ23" i="34"/>
  <c r="GU24" i="33"/>
  <c r="FW23" i="34"/>
  <c r="EW27" i="34"/>
  <c r="IU28" i="34"/>
  <c r="CR87" i="33"/>
  <c r="CR13" i="33" s="1"/>
  <c r="KC11" i="34"/>
  <c r="GJ94" i="33"/>
  <c r="GJ14" i="33" s="1"/>
  <c r="FW10" i="34"/>
  <c r="CI14" i="34"/>
  <c r="NC36" i="34"/>
  <c r="EH14" i="34"/>
  <c r="M104" i="28"/>
  <c r="R104" i="28" s="1"/>
  <c r="S104" i="28" s="1"/>
  <c r="JH28" i="34"/>
  <c r="DG15" i="34"/>
  <c r="EL2" i="33"/>
  <c r="M99" i="28"/>
  <c r="MO29" i="34"/>
  <c r="BK107" i="28"/>
  <c r="BL107" i="28" s="1"/>
  <c r="AO9" i="34"/>
  <c r="DH27" i="34"/>
  <c r="X21" i="34"/>
  <c r="IV16" i="34"/>
  <c r="BK195" i="28"/>
  <c r="BL195" i="28" s="1"/>
  <c r="FP19" i="34"/>
  <c r="KQ22" i="34"/>
  <c r="HV19" i="34"/>
  <c r="X32" i="34"/>
  <c r="GI94" i="33"/>
  <c r="BA189" i="34"/>
  <c r="FS30" i="34"/>
  <c r="BK12" i="28"/>
  <c r="BL12" i="28" s="1"/>
  <c r="T74" i="23"/>
  <c r="U74" i="23" s="1"/>
  <c r="FB31" i="34"/>
  <c r="CL36" i="34"/>
  <c r="JC14" i="34"/>
  <c r="CH27" i="34"/>
  <c r="IQ12" i="34"/>
  <c r="EY29" i="34"/>
  <c r="JW29" i="34"/>
  <c r="CK24" i="34"/>
  <c r="IC33" i="34"/>
  <c r="LJ179" i="34"/>
  <c r="GP35" i="34"/>
  <c r="AP37" i="34"/>
  <c r="FB10" i="34"/>
  <c r="HG8" i="34"/>
  <c r="FW11" i="34"/>
  <c r="FP23" i="34"/>
  <c r="BH87" i="33"/>
  <c r="BH13" i="33" s="1"/>
  <c r="KA189" i="34"/>
  <c r="JZ177" i="34"/>
  <c r="LJ17" i="34"/>
  <c r="KL30" i="34"/>
  <c r="AO177" i="34"/>
  <c r="AM15" i="34"/>
  <c r="JB9" i="34"/>
  <c r="IT32" i="34"/>
  <c r="EI28" i="34"/>
  <c r="EI189" i="34"/>
  <c r="AW31" i="34"/>
  <c r="LE14" i="34"/>
  <c r="HE30" i="34"/>
  <c r="BK131" i="28"/>
  <c r="BL131" i="28" s="1"/>
  <c r="JB21" i="34"/>
  <c r="GM8" i="34"/>
  <c r="GJ179" i="34"/>
  <c r="GQ9" i="34"/>
  <c r="BK94" i="33"/>
  <c r="BK14" i="33" s="1"/>
  <c r="AB30" i="34"/>
  <c r="GK31" i="34"/>
  <c r="NP14" i="34"/>
  <c r="EI36" i="34"/>
  <c r="HX12" i="34"/>
  <c r="Y8" i="34"/>
  <c r="D13" i="17"/>
  <c r="KB28" i="34"/>
  <c r="V30" i="34"/>
  <c r="V28" i="34"/>
  <c r="DE9" i="34"/>
  <c r="FB29" i="34"/>
  <c r="K9" i="34"/>
  <c r="AW37" i="34"/>
  <c r="GL94" i="33"/>
  <c r="GL14" i="33" s="1"/>
  <c r="BK16" i="28"/>
  <c r="BL16" i="28" s="1"/>
  <c r="LI11" i="34"/>
  <c r="T159" i="23"/>
  <c r="U159" i="23" s="1"/>
  <c r="Y36" i="34"/>
  <c r="FB13" i="34"/>
  <c r="F45" i="1"/>
  <c r="N19" i="13" s="1"/>
  <c r="F46" i="28"/>
  <c r="F67" i="28" s="1"/>
  <c r="T127" i="23"/>
  <c r="U127" i="23" s="1"/>
  <c r="EG189" i="34"/>
  <c r="DI17" i="34"/>
  <c r="AK13" i="33"/>
  <c r="AK17" i="33"/>
  <c r="AK11" i="33"/>
  <c r="AK14" i="33"/>
  <c r="AK12" i="33"/>
  <c r="AK16" i="33"/>
  <c r="AK15" i="33"/>
  <c r="FX36" i="34"/>
  <c r="KA10" i="34"/>
  <c r="EY34" i="34"/>
  <c r="AD28" i="34"/>
  <c r="LA189" i="34"/>
  <c r="FP87" i="33"/>
  <c r="FP13" i="33" s="1"/>
  <c r="FW27" i="34"/>
  <c r="AM9" i="34"/>
  <c r="AY17" i="34"/>
  <c r="ID179" i="34"/>
  <c r="BB14" i="34"/>
  <c r="BK125" i="28"/>
  <c r="BL125" i="28" s="1"/>
  <c r="D53" i="17"/>
  <c r="F79" i="28" s="1"/>
  <c r="IY15" i="34"/>
  <c r="FW31" i="34"/>
  <c r="EK26" i="34"/>
  <c r="FO12" i="34"/>
  <c r="IU14" i="34"/>
  <c r="FW21" i="34"/>
  <c r="V94" i="33"/>
  <c r="V14" i="33" s="1"/>
  <c r="IS189" i="34"/>
  <c r="HU35" i="34"/>
  <c r="EX22" i="34"/>
  <c r="ID22" i="34"/>
  <c r="FU14" i="34"/>
  <c r="AY10" i="34"/>
  <c r="OM18" i="34"/>
  <c r="JY30" i="34"/>
  <c r="IS19" i="34"/>
  <c r="ME21" i="34"/>
  <c r="CF28" i="34"/>
  <c r="AR30" i="34"/>
  <c r="IB30" i="34"/>
  <c r="LH33" i="34"/>
  <c r="HE19" i="34"/>
  <c r="BK106" i="28"/>
  <c r="BL106" i="28" s="1"/>
  <c r="BI4" i="34"/>
  <c r="CO179" i="34"/>
  <c r="IC9" i="34"/>
  <c r="DJ87" i="33"/>
  <c r="DJ13" i="33" s="1"/>
  <c r="ME22" i="34"/>
  <c r="BK151" i="28"/>
  <c r="BL151" i="28" s="1"/>
  <c r="PW10" i="34"/>
  <c r="DA32" i="34"/>
  <c r="ML35" i="34"/>
  <c r="JV32" i="34"/>
  <c r="BK130" i="28"/>
  <c r="BL130" i="28" s="1"/>
  <c r="FN31" i="34"/>
  <c r="HT15" i="34"/>
  <c r="IE25" i="34"/>
  <c r="HT12" i="34"/>
  <c r="GP16" i="34"/>
  <c r="EH24" i="34"/>
  <c r="FO15" i="34"/>
  <c r="CK26" i="34"/>
  <c r="GN87" i="33"/>
  <c r="GN13" i="33" s="1"/>
  <c r="K139" i="28"/>
  <c r="N99" i="28" s="1"/>
  <c r="N24" i="13"/>
  <c r="HX14" i="34"/>
  <c r="FT94" i="33"/>
  <c r="FT14" i="33" s="1"/>
  <c r="HG23" i="34"/>
  <c r="KR29" i="34"/>
  <c r="DX17" i="34"/>
  <c r="G94" i="33"/>
  <c r="G14" i="33" s="1"/>
  <c r="AH8" i="34"/>
  <c r="DZ17" i="34"/>
  <c r="DD27" i="34"/>
  <c r="GM9" i="34"/>
  <c r="T128" i="23"/>
  <c r="U128" i="23" s="1"/>
  <c r="FU9" i="34"/>
  <c r="ES87" i="33"/>
  <c r="ES13" i="33" s="1"/>
  <c r="AW21" i="34"/>
  <c r="FV189" i="34"/>
  <c r="AW16" i="34"/>
  <c r="T15" i="23"/>
  <c r="U15" i="23" s="1"/>
  <c r="W7" i="34"/>
  <c r="CJ12" i="34"/>
  <c r="NC7" i="34"/>
  <c r="T146" i="23"/>
  <c r="U146" i="23" s="1"/>
  <c r="IR29" i="34"/>
  <c r="U26" i="34"/>
  <c r="FP9" i="34"/>
  <c r="NM24" i="34"/>
  <c r="BK167" i="28"/>
  <c r="BL167" i="28" s="1"/>
  <c r="EE7" i="34"/>
  <c r="JE189" i="34"/>
  <c r="EZ32" i="34"/>
  <c r="AB35" i="34"/>
  <c r="KA22" i="34"/>
  <c r="CV4" i="34"/>
  <c r="AB29" i="34"/>
  <c r="GM26" i="34"/>
  <c r="HY28" i="34"/>
  <c r="DV33" i="34"/>
  <c r="NC31" i="34"/>
  <c r="AR27" i="34"/>
  <c r="IB9" i="34"/>
  <c r="DE35" i="34"/>
  <c r="OK28" i="34"/>
  <c r="AI94" i="33"/>
  <c r="AI14" i="33" s="1"/>
  <c r="AD35" i="34"/>
  <c r="HU23" i="34"/>
  <c r="O6" i="34"/>
  <c r="ED33" i="34"/>
  <c r="BN24" i="34"/>
  <c r="BN179" i="34"/>
  <c r="PY28" i="34"/>
  <c r="FS22" i="34"/>
  <c r="EK21" i="34"/>
  <c r="DB21" i="34"/>
  <c r="NF21" i="34"/>
  <c r="IY22" i="34"/>
  <c r="NP20" i="34"/>
  <c r="LZ18" i="34"/>
  <c r="CQ2" i="33"/>
  <c r="DG87" i="33"/>
  <c r="DG13" i="33" s="1"/>
  <c r="DV16" i="34"/>
  <c r="DE33" i="34"/>
  <c r="CK33" i="34"/>
  <c r="AP189" i="34"/>
  <c r="FW22" i="34"/>
  <c r="CA94" i="33"/>
  <c r="CA14" i="33" s="1"/>
  <c r="FV7" i="34"/>
  <c r="JE14" i="34"/>
  <c r="V177" i="34"/>
  <c r="D19" i="35"/>
  <c r="F20" i="3"/>
  <c r="K20" i="3" s="1"/>
  <c r="L20" i="3" s="1"/>
  <c r="M20" i="3" s="1"/>
  <c r="T46" i="23"/>
  <c r="U46" i="23" s="1"/>
  <c r="HY20" i="34"/>
  <c r="CJ23" i="34"/>
  <c r="BT2" i="33"/>
  <c r="BV2" i="33" s="1"/>
  <c r="DA7" i="34"/>
  <c r="OK27" i="34"/>
  <c r="DF14" i="34"/>
  <c r="AS32" i="34"/>
  <c r="FN14" i="34"/>
  <c r="HU33" i="34"/>
  <c r="LY10" i="34"/>
  <c r="BK79" i="28"/>
  <c r="BL79" i="28" s="1"/>
  <c r="DH15" i="34"/>
  <c r="EI23" i="34"/>
  <c r="W189" i="34"/>
  <c r="EQ94" i="33"/>
  <c r="EQ14" i="33" s="1"/>
  <c r="GQ35" i="34"/>
  <c r="EA29" i="34"/>
  <c r="Y87" i="33"/>
  <c r="Y13" i="33" s="1"/>
  <c r="AY13" i="34"/>
  <c r="EZ24" i="34"/>
  <c r="CI24" i="34"/>
  <c r="AS21" i="34"/>
  <c r="F21" i="3"/>
  <c r="K21" i="3" s="1"/>
  <c r="L21" i="3" s="1"/>
  <c r="M21" i="3" s="1"/>
  <c r="D20" i="35"/>
  <c r="BY6" i="34"/>
  <c r="BK89" i="28"/>
  <c r="BL89" i="28" s="1"/>
  <c r="AQ7" i="34"/>
  <c r="DJ94" i="33"/>
  <c r="DJ14" i="33" s="1"/>
  <c r="EC32" i="34"/>
  <c r="KN21" i="34"/>
  <c r="HH28" i="34"/>
  <c r="BK102" i="28"/>
  <c r="BL102" i="28" s="1"/>
  <c r="BK191" i="28"/>
  <c r="BL191" i="28" s="1"/>
  <c r="HG21" i="34"/>
  <c r="DU2" i="33"/>
  <c r="DV189" i="34"/>
  <c r="DE22" i="34"/>
  <c r="HE8" i="34"/>
  <c r="MO16" i="34"/>
  <c r="IE16" i="34"/>
  <c r="BK6" i="28"/>
  <c r="BL6" i="28" s="1"/>
  <c r="X17" i="34"/>
  <c r="CE9" i="34"/>
  <c r="MO21" i="34"/>
  <c r="KO18" i="34"/>
  <c r="LD36" i="34"/>
  <c r="AY7" i="34"/>
  <c r="NP25" i="34"/>
  <c r="GQ15" i="34"/>
  <c r="JH16" i="34"/>
  <c r="FR87" i="33"/>
  <c r="FR13" i="33" s="1"/>
  <c r="DF25" i="34"/>
  <c r="AR24" i="34"/>
  <c r="T157" i="23"/>
  <c r="U157" i="23" s="1"/>
  <c r="AB24" i="34"/>
  <c r="LA20" i="34"/>
  <c r="BA34" i="34"/>
  <c r="DG27" i="34"/>
  <c r="IW7" i="34"/>
  <c r="CJ2" i="33"/>
  <c r="DI33" i="34"/>
  <c r="LY7" i="34"/>
  <c r="EC26" i="34"/>
  <c r="JW21" i="34"/>
  <c r="PK30" i="34"/>
  <c r="NP8" i="34"/>
  <c r="GJ177" i="34"/>
  <c r="FT35" i="34"/>
  <c r="CO189" i="34"/>
  <c r="IC31" i="34"/>
  <c r="JY17" i="34"/>
  <c r="BK152" i="28"/>
  <c r="BL152" i="28" s="1"/>
  <c r="FT12" i="34"/>
  <c r="KA179" i="34"/>
  <c r="NC18" i="34"/>
  <c r="CH32" i="34"/>
  <c r="OK177" i="34"/>
  <c r="HD23" i="34"/>
  <c r="NA7" i="34"/>
  <c r="HX30" i="34"/>
  <c r="EA32" i="34"/>
  <c r="HC24" i="34"/>
  <c r="FS31" i="34"/>
  <c r="DC31" i="34"/>
  <c r="LZ34" i="34"/>
  <c r="JC19" i="34"/>
  <c r="BR37" i="34"/>
  <c r="DX34" i="34"/>
  <c r="HC177" i="34"/>
  <c r="GL37" i="34"/>
  <c r="AU16" i="34"/>
  <c r="PE34" i="34"/>
  <c r="DH32" i="34"/>
  <c r="AA9" i="34"/>
  <c r="BA19" i="34"/>
  <c r="AV7" i="34"/>
  <c r="ED87" i="33"/>
  <c r="ED13" i="33" s="1"/>
  <c r="BK32" i="28"/>
  <c r="BL32" i="28" s="1"/>
  <c r="M87" i="33"/>
  <c r="M13" i="33" s="1"/>
  <c r="F113" i="28"/>
  <c r="F105" i="28"/>
  <c r="IY18" i="34"/>
  <c r="EB177" i="34"/>
  <c r="IZ18" i="34"/>
  <c r="OJ35" i="34"/>
  <c r="BK87" i="28"/>
  <c r="BL87" i="28" s="1"/>
  <c r="AU189" i="34"/>
  <c r="HY32" i="34"/>
  <c r="T167" i="23"/>
  <c r="U167" i="23" s="1"/>
  <c r="T97" i="23"/>
  <c r="U97" i="23" s="1"/>
  <c r="J17" i="34"/>
  <c r="AZ15" i="34"/>
  <c r="JB35" i="34"/>
  <c r="T89" i="23"/>
  <c r="U89" i="23" s="1"/>
  <c r="PA13" i="34"/>
  <c r="CO11" i="34"/>
  <c r="LX20" i="34"/>
  <c r="FR19" i="34"/>
  <c r="HY12" i="34"/>
  <c r="BJ87" i="33"/>
  <c r="BJ13" i="33" s="1"/>
  <c r="HZ24" i="34"/>
  <c r="CN12" i="34"/>
  <c r="MO28" i="34"/>
  <c r="NC12" i="34"/>
  <c r="EC29" i="34"/>
  <c r="AX7" i="34"/>
  <c r="DB13" i="34"/>
  <c r="IW24" i="34"/>
  <c r="F27" i="3"/>
  <c r="T43" i="23"/>
  <c r="U43" i="23" s="1"/>
  <c r="BR28" i="34"/>
  <c r="T87" i="23"/>
  <c r="U87" i="23" s="1"/>
  <c r="EY19" i="34"/>
  <c r="T7" i="34"/>
  <c r="JC17" i="34"/>
  <c r="BK50" i="28"/>
  <c r="BL50" i="28" s="1"/>
  <c r="V20" i="34"/>
  <c r="AP27" i="34"/>
  <c r="NF19" i="34"/>
  <c r="BK117" i="28"/>
  <c r="BL117" i="28" s="1"/>
  <c r="BA32" i="34"/>
  <c r="GA94" i="33"/>
  <c r="BG94" i="33"/>
  <c r="BG14" i="33" s="1"/>
  <c r="DX31" i="34"/>
  <c r="BN10" i="34"/>
  <c r="AX15" i="34"/>
  <c r="JY9" i="34"/>
  <c r="OL17" i="34"/>
  <c r="BN33" i="34"/>
  <c r="ER11" i="34"/>
  <c r="CE13" i="34"/>
  <c r="HY27" i="34"/>
  <c r="FT21" i="34"/>
  <c r="B96" i="28"/>
  <c r="MB28" i="34"/>
  <c r="EA23" i="34"/>
  <c r="BK82" i="28"/>
  <c r="BL82" i="28" s="1"/>
  <c r="GU16" i="33"/>
  <c r="FS14" i="34"/>
  <c r="EF31" i="34"/>
  <c r="CM26" i="34"/>
  <c r="DE36" i="34"/>
  <c r="DY15" i="34"/>
  <c r="JV12" i="34"/>
  <c r="BK126" i="28"/>
  <c r="BL126" i="28" s="1"/>
  <c r="AO34" i="34"/>
  <c r="BW94" i="33"/>
  <c r="BW14" i="33" s="1"/>
  <c r="AQ30" i="34"/>
  <c r="IV36" i="34"/>
  <c r="FU10" i="34"/>
  <c r="JD11" i="34"/>
  <c r="M112" i="28"/>
  <c r="R112" i="28" s="1"/>
  <c r="S112" i="28" s="1"/>
  <c r="AP24" i="34"/>
  <c r="AZ21" i="34"/>
  <c r="W25" i="34"/>
  <c r="T96" i="23"/>
  <c r="U96" i="23" s="1"/>
  <c r="G87" i="33"/>
  <c r="G13" i="33" s="1"/>
  <c r="DG11" i="34"/>
  <c r="AG87" i="33"/>
  <c r="AG13" i="33" s="1"/>
  <c r="DV31" i="34"/>
  <c r="AA94" i="33"/>
  <c r="AA14" i="33" s="1"/>
  <c r="KR7" i="34"/>
  <c r="D25" i="17"/>
  <c r="AR20" i="34"/>
  <c r="MJ35" i="34"/>
  <c r="EY24" i="34"/>
  <c r="FR12" i="34"/>
  <c r="DA33" i="34"/>
  <c r="EX9" i="34"/>
  <c r="NE20" i="34"/>
  <c r="AW13" i="34"/>
  <c r="JC18" i="34"/>
  <c r="MF37" i="34"/>
  <c r="CF189" i="34"/>
  <c r="OL33" i="34"/>
  <c r="N20" i="13"/>
  <c r="FR8" i="34"/>
  <c r="FT29" i="34"/>
  <c r="BN66" i="28"/>
  <c r="BI7" i="34"/>
  <c r="DR94" i="33"/>
  <c r="DR14" i="33" s="1"/>
  <c r="CK29" i="34"/>
  <c r="HG7" i="34"/>
  <c r="FV28" i="34"/>
  <c r="EY18" i="34"/>
  <c r="MF34" i="34"/>
  <c r="CL94" i="33"/>
  <c r="FF94" i="33"/>
  <c r="FF14" i="33" s="1"/>
  <c r="LG11" i="34"/>
  <c r="DD7" i="34"/>
  <c r="IA36" i="34"/>
  <c r="DY94" i="33"/>
  <c r="DY14" i="33" s="1"/>
  <c r="F87" i="33"/>
  <c r="F13" i="33" s="1"/>
  <c r="JU10" i="34"/>
  <c r="HV34" i="34"/>
  <c r="JD27" i="34"/>
  <c r="DX18" i="34"/>
  <c r="MA27" i="34"/>
  <c r="T20" i="23"/>
  <c r="U20" i="23" s="1"/>
  <c r="GK27" i="34"/>
  <c r="BP34" i="34"/>
  <c r="LG12" i="34"/>
  <c r="J12" i="3"/>
  <c r="BN58" i="28"/>
  <c r="CW2" i="33"/>
  <c r="AE94" i="33"/>
  <c r="AE14" i="33" s="1"/>
  <c r="CP2" i="33"/>
  <c r="CR2" i="33" s="1"/>
  <c r="AF94" i="33"/>
  <c r="AF14" i="33" s="1"/>
  <c r="AY189" i="34"/>
  <c r="KQ21" i="34"/>
  <c r="HF23" i="34"/>
  <c r="FT8" i="34"/>
  <c r="FN25" i="34"/>
  <c r="PI33" i="34"/>
  <c r="AA26" i="34"/>
  <c r="CF24" i="34"/>
  <c r="V35" i="17"/>
  <c r="V4" i="17" s="1"/>
  <c r="DZ19" i="34"/>
  <c r="FJ94" i="33"/>
  <c r="FJ14" i="33" s="1"/>
  <c r="JC31" i="34"/>
  <c r="EC11" i="34"/>
  <c r="CH15" i="34"/>
  <c r="DF12" i="34"/>
  <c r="T88" i="23"/>
  <c r="U88" i="23" s="1"/>
  <c r="Z24" i="34"/>
  <c r="MA189" i="34"/>
  <c r="GP27" i="34"/>
  <c r="GL189" i="34"/>
  <c r="AM19" i="34"/>
  <c r="CM20" i="34"/>
  <c r="FS11" i="34"/>
  <c r="T33" i="23"/>
  <c r="U33" i="23" s="1"/>
  <c r="EM94" i="33"/>
  <c r="EM14" i="33" s="1"/>
  <c r="V10" i="34"/>
  <c r="GK26" i="34"/>
  <c r="HG37" i="34"/>
  <c r="JT36" i="34"/>
  <c r="PY23" i="34"/>
  <c r="HV11" i="34"/>
  <c r="X177" i="34"/>
  <c r="DP87" i="33"/>
  <c r="DP13" i="33" s="1"/>
  <c r="AA18" i="34"/>
  <c r="GQ34" i="34"/>
  <c r="AB179" i="34"/>
  <c r="LA22" i="34"/>
  <c r="JY31" i="34"/>
  <c r="P87" i="33"/>
  <c r="P13" i="33" s="1"/>
  <c r="MB9" i="34"/>
  <c r="CN13" i="34"/>
  <c r="KA32" i="34"/>
  <c r="NK34" i="34"/>
  <c r="DF9" i="34"/>
  <c r="D30" i="17"/>
  <c r="DJ26" i="34"/>
  <c r="NL189" i="34"/>
  <c r="FA26" i="34"/>
  <c r="Z19" i="34"/>
  <c r="GK17" i="34"/>
  <c r="GG94" i="33"/>
  <c r="GG14" i="33" s="1"/>
  <c r="HD27" i="34"/>
  <c r="CM25" i="34"/>
  <c r="BA37" i="34"/>
  <c r="CN23" i="34"/>
  <c r="JW15" i="34"/>
  <c r="NJ30" i="34"/>
  <c r="GO7" i="34"/>
  <c r="ME9" i="34"/>
  <c r="JX34" i="34"/>
  <c r="EA21" i="34"/>
  <c r="PK177" i="34"/>
  <c r="EX27" i="34"/>
  <c r="CO16" i="34"/>
  <c r="T36" i="34"/>
  <c r="DF179" i="34"/>
  <c r="AZ22" i="34"/>
  <c r="EK30" i="34"/>
  <c r="DB14" i="34"/>
  <c r="AY29" i="34"/>
  <c r="ES2" i="33"/>
  <c r="DB94" i="33"/>
  <c r="DB14" i="33" s="1"/>
  <c r="T50" i="23"/>
  <c r="U50" i="23" s="1"/>
  <c r="BQ23" i="34"/>
  <c r="KQ189" i="34"/>
  <c r="EI10" i="34"/>
  <c r="GN16" i="34"/>
  <c r="EJ14" i="34"/>
  <c r="BK140" i="28"/>
  <c r="BL140" i="28" s="1"/>
  <c r="AW87" i="33"/>
  <c r="AW13" i="33" s="1"/>
  <c r="KA21" i="34"/>
  <c r="DZ37" i="34"/>
  <c r="AY26" i="34"/>
  <c r="AT8" i="34"/>
  <c r="CJ21" i="34"/>
  <c r="NK13" i="34"/>
  <c r="HY10" i="34"/>
  <c r="AK94" i="33"/>
  <c r="CE22" i="34"/>
  <c r="LF25" i="34"/>
  <c r="LW189" i="34"/>
  <c r="GJ29" i="34"/>
  <c r="AD21" i="34"/>
  <c r="CM23" i="34"/>
  <c r="AO31" i="34"/>
  <c r="CG12" i="34"/>
  <c r="IR13" i="34"/>
  <c r="CF11" i="34"/>
  <c r="JY7" i="34"/>
  <c r="IS33" i="34"/>
  <c r="T11" i="23"/>
  <c r="U11" i="23" s="1"/>
  <c r="LK16" i="34"/>
  <c r="BB31" i="34"/>
  <c r="DF31" i="34"/>
  <c r="DV18" i="34"/>
  <c r="LB27" i="34"/>
  <c r="AR189" i="34"/>
  <c r="ID19" i="34"/>
  <c r="LE37" i="34"/>
  <c r="MN179" i="34"/>
  <c r="AD87" i="33"/>
  <c r="AD13" i="33" s="1"/>
  <c r="AV30" i="34"/>
  <c r="BK22" i="28"/>
  <c r="BL22" i="28" s="1"/>
  <c r="HT29" i="34"/>
  <c r="E10" i="13"/>
  <c r="E22" i="13" s="1"/>
  <c r="FV11" i="34"/>
  <c r="JA33" i="34"/>
  <c r="GJ189" i="34"/>
  <c r="FN18" i="34"/>
  <c r="Z94" i="33"/>
  <c r="Z14" i="33" s="1"/>
  <c r="BP12" i="34"/>
  <c r="DA177" i="34"/>
  <c r="T29" i="34"/>
  <c r="T214" i="23"/>
  <c r="U214" i="23" s="1"/>
  <c r="IA33" i="34"/>
  <c r="NA37" i="34"/>
  <c r="IB10" i="34"/>
  <c r="AU37" i="34"/>
  <c r="AZ12" i="34"/>
  <c r="LG7" i="34"/>
  <c r="DG17" i="34"/>
  <c r="JG189" i="34"/>
  <c r="EZ17" i="34"/>
  <c r="AC9" i="34"/>
  <c r="HY24" i="34"/>
  <c r="AB31" i="34"/>
  <c r="AN17" i="34"/>
  <c r="FZ87" i="33"/>
  <c r="FZ13" i="33" s="1"/>
  <c r="T33" i="34"/>
  <c r="LZ12" i="34"/>
  <c r="E76" i="3"/>
  <c r="L80" i="3" s="1"/>
  <c r="BB27" i="34"/>
  <c r="CN31" i="34"/>
  <c r="CN21" i="34"/>
  <c r="CG8" i="34"/>
  <c r="JU19" i="34"/>
  <c r="FA36" i="34"/>
  <c r="CH7" i="34"/>
  <c r="AV21" i="34"/>
  <c r="NF32" i="34"/>
  <c r="GP11" i="34"/>
  <c r="DA11" i="34"/>
  <c r="K36" i="34"/>
  <c r="CJ36" i="34"/>
  <c r="D17" i="17"/>
  <c r="CJ31" i="34"/>
  <c r="DH18" i="34"/>
  <c r="CF8" i="34"/>
  <c r="KO35" i="34"/>
  <c r="FR22" i="34"/>
  <c r="ON28" i="34"/>
  <c r="EC24" i="34"/>
  <c r="CF29" i="34"/>
  <c r="HU179" i="34"/>
  <c r="J11" i="34"/>
  <c r="LE26" i="34"/>
  <c r="DE30" i="34"/>
  <c r="AB7" i="34"/>
  <c r="JE32" i="34"/>
  <c r="EC21" i="34"/>
  <c r="AX8" i="34"/>
  <c r="O13" i="34"/>
  <c r="KN23" i="34"/>
  <c r="EE9" i="34"/>
  <c r="LH8" i="34"/>
  <c r="CM7" i="34"/>
  <c r="EK27" i="34"/>
  <c r="GM30" i="34"/>
  <c r="AY33" i="34"/>
  <c r="LY189" i="34"/>
  <c r="IU8" i="34"/>
  <c r="BR36" i="34"/>
  <c r="DG20" i="34"/>
  <c r="OI35" i="34"/>
  <c r="BK94" i="28"/>
  <c r="BL94" i="28" s="1"/>
  <c r="ED12" i="34"/>
  <c r="FI4" i="34"/>
  <c r="GL26" i="34"/>
  <c r="HZ20" i="34"/>
  <c r="AU33" i="34"/>
  <c r="BQ19" i="34"/>
  <c r="EJ24" i="34"/>
  <c r="BN35" i="34"/>
  <c r="NF30" i="34"/>
  <c r="BK59" i="28"/>
  <c r="BL59" i="28" s="1"/>
  <c r="NH13" i="34"/>
  <c r="GU2" i="33"/>
  <c r="J37" i="34"/>
  <c r="HG31" i="34"/>
  <c r="FS17" i="34"/>
  <c r="JY34" i="34"/>
  <c r="CH14" i="34"/>
  <c r="IZ35" i="34"/>
  <c r="GJ13" i="34"/>
  <c r="DX8" i="34"/>
  <c r="CS87" i="33"/>
  <c r="CS13" i="33" s="1"/>
  <c r="FG87" i="33"/>
  <c r="FG13" i="33" s="1"/>
  <c r="F12" i="3"/>
  <c r="G3" i="3"/>
  <c r="E3" i="3" s="1"/>
  <c r="E4" i="3" s="1"/>
  <c r="D13" i="1" s="1"/>
  <c r="N7" i="13" s="1"/>
  <c r="D10" i="35"/>
  <c r="KC20" i="34"/>
  <c r="NA18" i="34"/>
  <c r="M108" i="28"/>
  <c r="R108" i="28" s="1"/>
  <c r="S108" i="28" s="1"/>
  <c r="PY35" i="34"/>
  <c r="BK14" i="28"/>
  <c r="BL14" i="28" s="1"/>
  <c r="BQ24" i="34"/>
  <c r="FS15" i="34"/>
  <c r="K14" i="34"/>
  <c r="EF32" i="34"/>
  <c r="ID29" i="34"/>
  <c r="PF25" i="34"/>
  <c r="JB8" i="34"/>
  <c r="DY19" i="34"/>
  <c r="FQ31" i="34"/>
  <c r="GL8" i="34"/>
  <c r="T155" i="23"/>
  <c r="U155" i="23" s="1"/>
  <c r="DZ31" i="34"/>
  <c r="DY189" i="34"/>
  <c r="CM17" i="34"/>
  <c r="HC19" i="34"/>
  <c r="EJ15" i="34"/>
  <c r="FW36" i="34"/>
  <c r="CS94" i="33"/>
  <c r="CS14" i="33" s="1"/>
  <c r="NJ9" i="34"/>
  <c r="GK11" i="34"/>
  <c r="AO16" i="34"/>
  <c r="IS7" i="34"/>
  <c r="MA179" i="34"/>
  <c r="KO23" i="34"/>
  <c r="EJ31" i="34"/>
  <c r="KL22" i="34"/>
  <c r="FB37" i="34"/>
  <c r="MM26" i="34"/>
  <c r="LB30" i="34"/>
  <c r="AD177" i="34"/>
  <c r="AY30" i="34"/>
  <c r="DJ11" i="34"/>
  <c r="AS19" i="34"/>
  <c r="M7" i="17"/>
  <c r="N7" i="17" s="1"/>
  <c r="DV32" i="34"/>
  <c r="HF30" i="34"/>
  <c r="LE15" i="34"/>
  <c r="AP30" i="34"/>
  <c r="AB23" i="34"/>
  <c r="KG9" i="34"/>
  <c r="T154" i="23"/>
  <c r="U154" i="23" s="1"/>
  <c r="FU21" i="34"/>
  <c r="BM94" i="33"/>
  <c r="BM14" i="33" s="1"/>
  <c r="GH87" i="33"/>
  <c r="GH13" i="33" s="1"/>
  <c r="AW20" i="34"/>
  <c r="LA13" i="34"/>
  <c r="EB16" i="34"/>
  <c r="CH189" i="34"/>
  <c r="ED13" i="34"/>
  <c r="GR16" i="33"/>
  <c r="BK73" i="28"/>
  <c r="BL73" i="28" s="1"/>
  <c r="KC35" i="34"/>
  <c r="LD177" i="34"/>
  <c r="KL179" i="34"/>
  <c r="AV11" i="34"/>
  <c r="AH10" i="34"/>
  <c r="CI34" i="34"/>
  <c r="GJ32" i="34"/>
  <c r="AD19" i="34"/>
  <c r="CD25" i="34"/>
  <c r="MH28" i="34"/>
  <c r="EB29" i="34"/>
  <c r="KL31" i="34"/>
  <c r="BE94" i="33"/>
  <c r="BE14" i="33" s="1"/>
  <c r="HF20" i="34"/>
  <c r="CK14" i="34"/>
  <c r="AZ24" i="34"/>
  <c r="MB24" i="34"/>
  <c r="BK132" i="28"/>
  <c r="BL132" i="28" s="1"/>
  <c r="AA177" i="34"/>
  <c r="EX14" i="34"/>
  <c r="CD17" i="34"/>
  <c r="W12" i="34"/>
  <c r="EG32" i="34"/>
  <c r="GJ26" i="34"/>
  <c r="DW31" i="34"/>
  <c r="CD22" i="34"/>
  <c r="DL87" i="33"/>
  <c r="DL13" i="33" s="1"/>
  <c r="DG13" i="34"/>
  <c r="CI22" i="34"/>
  <c r="JB26" i="34"/>
  <c r="HC20" i="34"/>
  <c r="BK60" i="28"/>
  <c r="BL60" i="28" s="1"/>
  <c r="J29" i="34"/>
  <c r="EI27" i="34"/>
  <c r="JA29" i="34"/>
  <c r="MC10" i="34"/>
  <c r="DX87" i="33"/>
  <c r="DX13" i="33" s="1"/>
  <c r="EK28" i="34"/>
  <c r="R94" i="33"/>
  <c r="R14" i="33" s="1"/>
  <c r="EG177" i="34"/>
  <c r="PW33" i="34"/>
  <c r="V27" i="17"/>
  <c r="EZ14" i="34"/>
  <c r="N94" i="33"/>
  <c r="N14" i="33" s="1"/>
  <c r="MO35" i="34"/>
  <c r="FB7" i="34"/>
  <c r="JU22" i="34"/>
  <c r="KO19" i="34"/>
  <c r="U12" i="34"/>
  <c r="BK43" i="28"/>
  <c r="BL43" i="28" s="1"/>
  <c r="CL27" i="34"/>
  <c r="IR31" i="34"/>
  <c r="T87" i="33"/>
  <c r="T13" i="33" s="1"/>
  <c r="DV24" i="34"/>
  <c r="PX18" i="34"/>
  <c r="JE177" i="34"/>
  <c r="D28" i="17"/>
  <c r="LJ29" i="34"/>
  <c r="T189" i="23"/>
  <c r="U189" i="23" s="1"/>
  <c r="LG8" i="34"/>
  <c r="AT9" i="34"/>
  <c r="FO37" i="34"/>
  <c r="JT23" i="34"/>
  <c r="BQ17" i="34"/>
  <c r="MC13" i="34"/>
  <c r="U179" i="34"/>
  <c r="GQ14" i="34"/>
  <c r="NN23" i="34"/>
  <c r="CO30" i="34"/>
  <c r="FU17" i="34"/>
  <c r="EW179" i="34"/>
  <c r="CH37" i="34"/>
  <c r="DD8" i="34"/>
  <c r="FO21" i="34"/>
  <c r="BK20" i="28"/>
  <c r="BL20" i="28" s="1"/>
  <c r="CW87" i="33"/>
  <c r="CW13" i="33" s="1"/>
  <c r="GY21" i="33"/>
  <c r="IU177" i="34"/>
  <c r="HU9" i="34"/>
  <c r="OI37" i="34"/>
  <c r="AB22" i="34"/>
  <c r="IE27" i="34"/>
  <c r="EI8" i="34"/>
  <c r="Z32" i="34"/>
  <c r="DF94" i="33"/>
  <c r="DF14" i="33" s="1"/>
  <c r="B58" i="28"/>
  <c r="N26" i="13"/>
  <c r="EF94" i="33"/>
  <c r="FZ94" i="33"/>
  <c r="FZ14" i="33" s="1"/>
  <c r="IB16" i="34"/>
  <c r="EH25" i="34"/>
  <c r="EE10" i="34"/>
  <c r="S34" i="17"/>
  <c r="HU14" i="34"/>
  <c r="KL15" i="34"/>
  <c r="JH22" i="34"/>
  <c r="AN13" i="34"/>
  <c r="X30" i="34"/>
  <c r="GU6" i="33"/>
  <c r="OK24" i="34"/>
  <c r="D27" i="35"/>
  <c r="F29" i="3"/>
  <c r="K29" i="3" s="1"/>
  <c r="L29" i="3" s="1"/>
  <c r="M29" i="3" s="1"/>
  <c r="D11" i="13" s="1"/>
  <c r="D23" i="13" s="1"/>
  <c r="FU87" i="33"/>
  <c r="FU13" i="33" s="1"/>
  <c r="NC32" i="34"/>
  <c r="FU34" i="34"/>
  <c r="AP15" i="34"/>
  <c r="DZ87" i="33"/>
  <c r="DZ13" i="33" s="1"/>
  <c r="DE10" i="34"/>
  <c r="AP36" i="34"/>
  <c r="HY11" i="34"/>
  <c r="CO18" i="34"/>
  <c r="BK11" i="28"/>
  <c r="BL11" i="28" s="1"/>
  <c r="AW189" i="34"/>
  <c r="FB18" i="34"/>
  <c r="LA15" i="34"/>
  <c r="BK46" i="28"/>
  <c r="BL46" i="28" s="1"/>
  <c r="IV14" i="34"/>
  <c r="GK24" i="34"/>
  <c r="AH16" i="34"/>
  <c r="EZ21" i="34"/>
  <c r="AC189" i="34"/>
  <c r="T75" i="23"/>
  <c r="U75" i="23" s="1"/>
  <c r="JV23" i="34"/>
  <c r="E7" i="13"/>
  <c r="E19" i="13" s="1"/>
  <c r="H94" i="33"/>
  <c r="H14" i="33" s="1"/>
  <c r="MD30" i="34"/>
  <c r="T16" i="23"/>
  <c r="U16" i="23" s="1"/>
  <c r="OM26" i="34"/>
  <c r="W15" i="34"/>
  <c r="GL35" i="34"/>
  <c r="OI20" i="34"/>
  <c r="DJ17" i="34"/>
  <c r="HX15" i="34"/>
  <c r="W13" i="34"/>
  <c r="DC12" i="34"/>
  <c r="BK158" i="28"/>
  <c r="BL158" i="28" s="1"/>
  <c r="ED94" i="33"/>
  <c r="ED14" i="33" s="1"/>
  <c r="DI177" i="34"/>
  <c r="V26" i="34"/>
  <c r="DJ15" i="34"/>
  <c r="ED16" i="34"/>
  <c r="CD20" i="34"/>
  <c r="EW87" i="33"/>
  <c r="EW13" i="33" s="1"/>
  <c r="KB12" i="34"/>
  <c r="HU26" i="34"/>
  <c r="GM189" i="34"/>
  <c r="GM36" i="34"/>
  <c r="DI26" i="34"/>
  <c r="CL31" i="34"/>
  <c r="V24" i="34"/>
  <c r="JV11" i="34"/>
  <c r="FT7" i="34"/>
  <c r="BA28" i="34"/>
  <c r="IQ7" i="34"/>
  <c r="DM87" i="33"/>
  <c r="DM13" i="33" s="1"/>
  <c r="FU29" i="34"/>
  <c r="BE87" i="33"/>
  <c r="BE13" i="33" s="1"/>
  <c r="LK177" i="34"/>
  <c r="BK33" i="28"/>
  <c r="BL33" i="28" s="1"/>
  <c r="HX26" i="34"/>
  <c r="DA36" i="34"/>
  <c r="BO33" i="34"/>
  <c r="FN189" i="34"/>
  <c r="KP16" i="34"/>
  <c r="AT36" i="34"/>
  <c r="NJ17" i="34"/>
  <c r="KN27" i="34"/>
  <c r="AT21" i="34"/>
  <c r="O94" i="33"/>
  <c r="O14" i="33" s="1"/>
  <c r="FU13" i="34"/>
  <c r="KB19" i="34"/>
  <c r="AQ31" i="34"/>
  <c r="DY8" i="34"/>
  <c r="IC32" i="34"/>
  <c r="T40" i="23"/>
  <c r="U40" i="23" s="1"/>
  <c r="KR25" i="34"/>
  <c r="IT20" i="34"/>
  <c r="IW30" i="34"/>
  <c r="O12" i="34"/>
  <c r="AP179" i="34"/>
  <c r="Y9" i="34"/>
  <c r="IB21" i="34"/>
  <c r="FU15" i="34"/>
  <c r="BQ21" i="34"/>
  <c r="CF33" i="34"/>
  <c r="AV37" i="34"/>
  <c r="NI13" i="34"/>
  <c r="DZ33" i="34"/>
  <c r="HU10" i="34"/>
  <c r="MA33" i="34"/>
  <c r="HU19" i="34"/>
  <c r="ND16" i="34"/>
  <c r="DX94" i="33"/>
  <c r="DX14" i="33" s="1"/>
  <c r="BO27" i="34"/>
  <c r="W21" i="34"/>
  <c r="AH4" i="34"/>
  <c r="FB28" i="34"/>
  <c r="HH34" i="34"/>
  <c r="NW4" i="34"/>
  <c r="FQ11" i="34"/>
  <c r="AS25" i="34"/>
  <c r="N16" i="13"/>
  <c r="CL7" i="34"/>
  <c r="BR23" i="34"/>
  <c r="JG13" i="34"/>
  <c r="B104" i="28"/>
  <c r="X24" i="34"/>
  <c r="PH7" i="34"/>
  <c r="T28" i="34"/>
  <c r="DC26" i="34"/>
  <c r="FW24" i="34"/>
  <c r="F22" i="3"/>
  <c r="K22" i="3" s="1"/>
  <c r="L22" i="3" s="1"/>
  <c r="M22" i="3" s="1"/>
  <c r="D21" i="35"/>
  <c r="T67" i="23"/>
  <c r="U67" i="23" s="1"/>
  <c r="KP9" i="34"/>
  <c r="DZ29" i="34"/>
  <c r="JZ37" i="34"/>
  <c r="OJ30" i="34"/>
  <c r="HY13" i="34"/>
  <c r="GQ32" i="34"/>
  <c r="BK68" i="28"/>
  <c r="BL68" i="28" s="1"/>
  <c r="I94" i="33"/>
  <c r="I14" i="33" s="1"/>
  <c r="GN8" i="34"/>
  <c r="DV21" i="34"/>
  <c r="AO12" i="34"/>
  <c r="EJ8" i="34"/>
  <c r="PX21" i="34"/>
  <c r="HW20" i="34"/>
  <c r="V14" i="34"/>
  <c r="M103" i="28"/>
  <c r="R103" i="28" s="1"/>
  <c r="S103" i="28" s="1"/>
  <c r="PZ31" i="34"/>
  <c r="T83" i="23"/>
  <c r="U83" i="23" s="1"/>
  <c r="GQ16" i="34"/>
  <c r="FX15" i="34"/>
  <c r="DI13" i="34"/>
  <c r="GQ21" i="34"/>
  <c r="CN19" i="34"/>
  <c r="AH11" i="34"/>
  <c r="AA37" i="34"/>
  <c r="CE27" i="34"/>
  <c r="T6" i="23"/>
  <c r="U6" i="23" s="1"/>
  <c r="AM87" i="33"/>
  <c r="AM13" i="33" s="1"/>
  <c r="CD35" i="34"/>
  <c r="DU87" i="33"/>
  <c r="IS36" i="34"/>
  <c r="EY23" i="34"/>
  <c r="BK154" i="28"/>
  <c r="BL154" i="28" s="1"/>
  <c r="DN94" i="33"/>
  <c r="V11" i="34"/>
  <c r="HU15" i="34"/>
  <c r="AY87" i="33"/>
  <c r="AY13" i="33" s="1"/>
  <c r="DK87" i="33"/>
  <c r="DK13" i="33" s="1"/>
  <c r="AS17" i="34"/>
  <c r="AR7" i="34"/>
  <c r="CD7" i="34"/>
  <c r="FG94" i="33"/>
  <c r="FG14" i="33" s="1"/>
  <c r="NA26" i="34"/>
  <c r="ME19" i="34"/>
  <c r="BK76" i="28"/>
  <c r="BL76" i="28" s="1"/>
  <c r="EZ13" i="34"/>
  <c r="CF9" i="34"/>
  <c r="AC16" i="34"/>
  <c r="BP14" i="34"/>
  <c r="LY36" i="34"/>
  <c r="T190" i="23"/>
  <c r="U190" i="23" s="1"/>
  <c r="IE189" i="34"/>
  <c r="DA28" i="34"/>
  <c r="U35" i="34"/>
  <c r="EI13" i="34"/>
  <c r="JF189" i="34"/>
  <c r="MA34" i="34"/>
  <c r="NM14" i="34"/>
  <c r="T2" i="33"/>
  <c r="EZ19" i="34"/>
  <c r="FU36" i="34"/>
  <c r="BO179" i="34"/>
  <c r="AC31" i="34"/>
  <c r="W9" i="34"/>
  <c r="AV87" i="33"/>
  <c r="AV13" i="33" s="1"/>
  <c r="GO12" i="34"/>
  <c r="AB33" i="34"/>
  <c r="DA189" i="34"/>
  <c r="EK10" i="34"/>
  <c r="LG36" i="34"/>
  <c r="CK28" i="34"/>
  <c r="CG179" i="34"/>
  <c r="GU20" i="33"/>
  <c r="IC34" i="34"/>
  <c r="HT33" i="34"/>
  <c r="V5" i="17"/>
  <c r="BF94" i="33"/>
  <c r="BF14" i="33" s="1"/>
  <c r="IV23" i="34"/>
  <c r="DH24" i="34"/>
  <c r="JW30" i="34"/>
  <c r="DR87" i="33"/>
  <c r="DR13" i="33" s="1"/>
  <c r="EB35" i="34"/>
  <c r="EC33" i="34"/>
  <c r="EG2" i="33"/>
  <c r="DJ177" i="34"/>
  <c r="T116" i="23"/>
  <c r="U116" i="23" s="1"/>
  <c r="EY17" i="34"/>
  <c r="KO26" i="34"/>
  <c r="F94" i="33"/>
  <c r="F14" i="33" s="1"/>
  <c r="GO25" i="34"/>
  <c r="HW26" i="34"/>
  <c r="DH94" i="33"/>
  <c r="DH14" i="33" s="1"/>
  <c r="GL20" i="34"/>
  <c r="AW25" i="34"/>
  <c r="E9" i="13"/>
  <c r="E21" i="13" s="1"/>
  <c r="IR15" i="34"/>
  <c r="EA18" i="34"/>
  <c r="K21" i="34"/>
  <c r="BB21" i="34"/>
  <c r="DH87" i="33"/>
  <c r="DH13" i="33" s="1"/>
  <c r="DJ13" i="34"/>
  <c r="GD94" i="33"/>
  <c r="GD14" i="33" s="1"/>
  <c r="EY31" i="34"/>
  <c r="D23" i="35"/>
  <c r="F24" i="3"/>
  <c r="K24" i="3" s="1"/>
  <c r="L24" i="3" s="1"/>
  <c r="M24" i="3" s="1"/>
  <c r="D8" i="13" s="1"/>
  <c r="D20" i="13" s="1"/>
  <c r="FX27" i="34"/>
  <c r="FS32" i="34"/>
  <c r="AS27" i="34"/>
  <c r="AL87" i="33"/>
  <c r="AL13" i="33" s="1"/>
  <c r="FA9" i="34"/>
  <c r="Y35" i="34"/>
  <c r="NB12" i="34"/>
  <c r="GR14" i="33"/>
  <c r="FU35" i="34"/>
  <c r="AV26" i="34"/>
  <c r="AQ189" i="34"/>
  <c r="CD10" i="34"/>
  <c r="HH9" i="34"/>
  <c r="KQ7" i="34"/>
  <c r="T23" i="23"/>
  <c r="U23" i="23" s="1"/>
  <c r="EC16" i="34"/>
  <c r="NL26" i="34"/>
  <c r="T171" i="23"/>
  <c r="U171" i="23" s="1"/>
  <c r="EK36" i="34"/>
  <c r="OK26" i="34"/>
  <c r="FC87" i="33"/>
  <c r="FC13" i="33" s="1"/>
  <c r="K36" i="3"/>
  <c r="L36" i="3" s="1"/>
  <c r="M36" i="3" s="1"/>
  <c r="BK186" i="28"/>
  <c r="BL186" i="28" s="1"/>
  <c r="BN32" i="34"/>
  <c r="IQ16" i="34"/>
  <c r="FV25" i="34"/>
  <c r="EE11" i="34"/>
  <c r="FP94" i="33"/>
  <c r="FP14" i="33" s="1"/>
  <c r="T169" i="23"/>
  <c r="U169" i="23" s="1"/>
  <c r="ND13" i="34"/>
  <c r="HE11" i="34"/>
  <c r="HE31" i="34"/>
  <c r="CI36" i="34"/>
  <c r="NN26" i="34"/>
  <c r="LK10" i="34"/>
  <c r="CI20" i="34"/>
  <c r="GM13" i="34"/>
  <c r="T61" i="23"/>
  <c r="U61" i="23" s="1"/>
  <c r="AS14" i="34"/>
  <c r="Z189" i="34"/>
  <c r="V87" i="33"/>
  <c r="V13" i="33" s="1"/>
  <c r="T202" i="23"/>
  <c r="U202" i="23" s="1"/>
  <c r="GN14" i="34"/>
  <c r="EW177" i="34"/>
  <c r="AR9" i="34"/>
  <c r="S54" i="17"/>
  <c r="HZ8" i="34"/>
  <c r="GL23" i="34"/>
  <c r="BB17" i="34"/>
  <c r="AN22" i="34"/>
  <c r="JC29" i="34"/>
  <c r="KA15" i="34"/>
  <c r="DY31" i="34"/>
  <c r="AR179" i="34"/>
  <c r="BK157" i="28"/>
  <c r="BL157" i="28" s="1"/>
  <c r="U9" i="34"/>
  <c r="CO25" i="34"/>
  <c r="CC94" i="33"/>
  <c r="CC14" i="33" s="1"/>
  <c r="OO37" i="34"/>
  <c r="DA20" i="34"/>
  <c r="JA8" i="34"/>
  <c r="FN28" i="34"/>
  <c r="DZ28" i="34"/>
  <c r="FP21" i="34"/>
  <c r="HZ34" i="34"/>
  <c r="CH94" i="33"/>
  <c r="CH14" i="33" s="1"/>
  <c r="DE24" i="34"/>
  <c r="LY29" i="34"/>
  <c r="T209" i="23"/>
  <c r="U209" i="23" s="1"/>
  <c r="FB189" i="34"/>
  <c r="ML13" i="34"/>
  <c r="AV16" i="34"/>
  <c r="U15" i="34"/>
  <c r="AL94" i="33"/>
  <c r="AL14" i="33" s="1"/>
  <c r="DJ25" i="34"/>
  <c r="HV13" i="34"/>
  <c r="Y13" i="34"/>
  <c r="JT17" i="34"/>
  <c r="T172" i="23"/>
  <c r="U172" i="23" s="1"/>
  <c r="EI179" i="34"/>
  <c r="DY13" i="34"/>
  <c r="LI29" i="34"/>
  <c r="AN32" i="34"/>
  <c r="DY35" i="34"/>
  <c r="S24" i="17"/>
  <c r="DZ26" i="34"/>
  <c r="EC20" i="34"/>
  <c r="S20" i="17"/>
  <c r="S6" i="17" s="1"/>
  <c r="IZ29" i="34"/>
  <c r="JH23" i="34"/>
  <c r="HE177" i="34"/>
  <c r="FN24" i="34"/>
  <c r="IS16" i="34"/>
  <c r="IC25" i="34"/>
  <c r="BA24" i="34"/>
  <c r="AW27" i="34"/>
  <c r="CP87" i="33"/>
  <c r="CP13" i="33" s="1"/>
  <c r="BI8" i="34"/>
  <c r="M4" i="17"/>
  <c r="OH36" i="34"/>
  <c r="HY36" i="34"/>
  <c r="HH20" i="34"/>
  <c r="FI5" i="34"/>
  <c r="CE8" i="34"/>
  <c r="NK20" i="34"/>
  <c r="BY7" i="34"/>
  <c r="DM94" i="33"/>
  <c r="DM14" i="33" s="1"/>
  <c r="AO19" i="34"/>
  <c r="JB19" i="34"/>
  <c r="KP22" i="34"/>
  <c r="IC26" i="34"/>
  <c r="BK52" i="28"/>
  <c r="BL52" i="28" s="1"/>
  <c r="IC21" i="34"/>
  <c r="AU10" i="34"/>
  <c r="CE25" i="34"/>
  <c r="AX25" i="34"/>
  <c r="IB15" i="34"/>
  <c r="AF87" i="33"/>
  <c r="AF13" i="33" s="1"/>
  <c r="AD24" i="34"/>
  <c r="GK18" i="34"/>
  <c r="CD32" i="34"/>
  <c r="M137" i="28"/>
  <c r="HE33" i="34"/>
  <c r="EZ23" i="34"/>
  <c r="CH9" i="34"/>
  <c r="DB12" i="34"/>
  <c r="NO20" i="34"/>
  <c r="BK192" i="28"/>
  <c r="BL192" i="28" s="1"/>
  <c r="Y12" i="34"/>
  <c r="FO26" i="34"/>
  <c r="HV30" i="34"/>
  <c r="AQ24" i="34"/>
  <c r="CN94" i="33"/>
  <c r="CN14" i="33" s="1"/>
  <c r="ED19" i="34"/>
  <c r="PZ28" i="34"/>
  <c r="MJ32" i="34"/>
  <c r="EF15" i="34"/>
  <c r="CG27" i="34"/>
  <c r="FE94" i="33"/>
  <c r="FE14" i="33" s="1"/>
  <c r="BR177" i="34"/>
  <c r="BK148" i="28"/>
  <c r="BL148" i="28" s="1"/>
  <c r="IR11" i="34"/>
  <c r="AN37" i="34"/>
  <c r="CF20" i="34"/>
  <c r="KB26" i="34"/>
  <c r="IA20" i="34"/>
  <c r="EH11" i="34"/>
  <c r="KM33" i="34"/>
  <c r="NF179" i="34"/>
  <c r="JA32" i="34"/>
  <c r="L131" i="28"/>
  <c r="M131" i="28" s="1"/>
  <c r="JV16" i="34"/>
  <c r="JX31" i="34"/>
  <c r="BQ31" i="34"/>
  <c r="AB10" i="34"/>
  <c r="T175" i="23"/>
  <c r="U175" i="23" s="1"/>
  <c r="Y189" i="34"/>
  <c r="BP20" i="34"/>
  <c r="BN9" i="34"/>
  <c r="AA34" i="34"/>
  <c r="BQ16" i="34"/>
  <c r="JC15" i="34"/>
  <c r="U34" i="34"/>
  <c r="T212" i="23"/>
  <c r="U212" i="23" s="1"/>
  <c r="N27" i="13"/>
  <c r="IC20" i="34"/>
  <c r="BH2" i="33"/>
  <c r="DX33" i="34"/>
  <c r="Y37" i="34"/>
  <c r="AS177" i="34"/>
  <c r="BB16" i="34"/>
  <c r="CF31" i="34"/>
  <c r="IQ35" i="34"/>
  <c r="GP21" i="34"/>
  <c r="F19" i="3"/>
  <c r="K19" i="3" s="1"/>
  <c r="L19" i="3" s="1"/>
  <c r="D18" i="35"/>
  <c r="M100" i="28"/>
  <c r="R100" i="28" s="1"/>
  <c r="S100" i="28" s="1"/>
  <c r="T22" i="23"/>
  <c r="U22" i="23" s="1"/>
  <c r="CH34" i="34"/>
  <c r="BK139" i="28"/>
  <c r="BL139" i="28" s="1"/>
  <c r="LX9" i="34"/>
  <c r="W31" i="34"/>
  <c r="T79" i="23"/>
  <c r="U79" i="23" s="1"/>
  <c r="AO25" i="34"/>
  <c r="IR18" i="34"/>
  <c r="EA36" i="34"/>
  <c r="GK33" i="34"/>
  <c r="FJ87" i="33"/>
  <c r="FJ13" i="33" s="1"/>
  <c r="DY26" i="34"/>
  <c r="FQ10" i="34"/>
  <c r="FV87" i="33"/>
  <c r="FV13" i="33" s="1"/>
  <c r="JG29" i="34"/>
  <c r="Y17" i="34"/>
  <c r="LC23" i="34"/>
  <c r="EW15" i="34"/>
  <c r="FT34" i="34"/>
  <c r="GO32" i="34"/>
  <c r="HG177" i="34"/>
  <c r="T73" i="23"/>
  <c r="U73" i="23" s="1"/>
  <c r="EE179" i="34"/>
  <c r="EL94" i="33"/>
  <c r="EL14" i="33" s="1"/>
  <c r="EI35" i="34"/>
  <c r="L94" i="33"/>
  <c r="L14" i="33" s="1"/>
  <c r="BK149" i="28"/>
  <c r="BL149" i="28" s="1"/>
  <c r="JZ29" i="34"/>
  <c r="LX31" i="34"/>
  <c r="FX177" i="34"/>
  <c r="HD179" i="34"/>
  <c r="L87" i="33"/>
  <c r="L13" i="33" s="1"/>
  <c r="IC10" i="34"/>
  <c r="FR25" i="34"/>
  <c r="AN94" i="33"/>
  <c r="AN14" i="33" s="1"/>
  <c r="IY26" i="34"/>
  <c r="IU13" i="34"/>
  <c r="ED36" i="34"/>
  <c r="AN7" i="34"/>
  <c r="CW94" i="33"/>
  <c r="CW14" i="33" s="1"/>
  <c r="JT10" i="34"/>
  <c r="BK136" i="28"/>
  <c r="BL136" i="28" s="1"/>
  <c r="ME189" i="34"/>
  <c r="AR36" i="34"/>
  <c r="Y15" i="34"/>
  <c r="T177" i="23"/>
  <c r="U177" i="23" s="1"/>
  <c r="IE24" i="34"/>
  <c r="HY19" i="34"/>
  <c r="AU179" i="34"/>
  <c r="LB32" i="34"/>
  <c r="AW177" i="34"/>
  <c r="GU28" i="33"/>
  <c r="AH18" i="17" s="1"/>
  <c r="JY29" i="34"/>
  <c r="AN177" i="34"/>
  <c r="EZ94" i="33"/>
  <c r="EZ14" i="33" s="1"/>
  <c r="GY18" i="33"/>
  <c r="AQ14" i="34"/>
  <c r="OL26" i="34"/>
  <c r="J19" i="34"/>
  <c r="AT11" i="34"/>
  <c r="HF31" i="34"/>
  <c r="EF8" i="34"/>
  <c r="FN29" i="34"/>
  <c r="AK87" i="33"/>
  <c r="O5" i="34"/>
  <c r="BB8" i="34"/>
  <c r="V23" i="34"/>
  <c r="MJ15" i="34"/>
  <c r="AZ10" i="34"/>
  <c r="GP189" i="34"/>
  <c r="DZ11" i="34"/>
  <c r="CM37" i="34"/>
  <c r="FB25" i="34"/>
  <c r="W32" i="34"/>
  <c r="OJ32" i="34"/>
  <c r="EI26" i="34"/>
  <c r="GH94" i="33"/>
  <c r="FT189" i="34"/>
  <c r="FB14" i="34"/>
  <c r="HT24" i="34"/>
  <c r="BB19" i="34"/>
  <c r="OL20" i="34"/>
  <c r="AC14" i="34"/>
  <c r="DZ13" i="34"/>
  <c r="CF16" i="34"/>
  <c r="BQ177" i="34"/>
  <c r="FU20" i="34"/>
  <c r="GK94" i="33"/>
  <c r="GK14" i="33" s="1"/>
  <c r="DC30" i="34"/>
  <c r="FW189" i="34"/>
  <c r="JT24" i="34"/>
  <c r="KC23" i="34"/>
  <c r="MG33" i="34"/>
  <c r="GM34" i="34"/>
  <c r="LE21" i="34"/>
  <c r="BO94" i="33"/>
  <c r="BO14" i="33" s="1"/>
  <c r="BK24" i="28"/>
  <c r="BL24" i="28" s="1"/>
  <c r="HH12" i="34"/>
  <c r="BR94" i="33"/>
  <c r="BR14" i="33" s="1"/>
  <c r="HZ21" i="34"/>
  <c r="Z12" i="34"/>
  <c r="J25" i="34"/>
  <c r="BA35" i="34"/>
  <c r="HT28" i="34"/>
  <c r="BP35" i="34"/>
  <c r="JE15" i="34"/>
  <c r="HH179" i="34"/>
  <c r="LJ8" i="34"/>
  <c r="T32" i="23"/>
  <c r="U32" i="23" s="1"/>
  <c r="LD17" i="34"/>
  <c r="OL30" i="34"/>
  <c r="GL19" i="34"/>
  <c r="GL28" i="34"/>
  <c r="AO13" i="34"/>
  <c r="AO37" i="34"/>
  <c r="EA30" i="34"/>
  <c r="MB18" i="34"/>
  <c r="GO8" i="34"/>
  <c r="LC18" i="34"/>
  <c r="T14" i="23"/>
  <c r="U14" i="23" s="1"/>
  <c r="PY31" i="34"/>
  <c r="GO26" i="34"/>
  <c r="JE20" i="34"/>
  <c r="MC14" i="34"/>
  <c r="FQ13" i="34"/>
  <c r="GM22" i="34"/>
  <c r="MG28" i="34"/>
  <c r="KQ32" i="34"/>
  <c r="DA17" i="34"/>
  <c r="Z7" i="34"/>
  <c r="T90" i="23"/>
  <c r="U90" i="23" s="1"/>
  <c r="LB23" i="34"/>
  <c r="AH7" i="34"/>
  <c r="EA94" i="33"/>
  <c r="JB7" i="34"/>
  <c r="LE25" i="34"/>
  <c r="GM12" i="34"/>
  <c r="GM20" i="34"/>
  <c r="NM34" i="34"/>
  <c r="HV24" i="34"/>
  <c r="EG94" i="33"/>
  <c r="T86" i="23"/>
  <c r="U86" i="23" s="1"/>
  <c r="KA34" i="34"/>
  <c r="D35" i="17"/>
  <c r="DX22" i="34"/>
  <c r="X11" i="34"/>
  <c r="HT34" i="34"/>
  <c r="HE25" i="34"/>
  <c r="MI17" i="34"/>
  <c r="DX27" i="34"/>
  <c r="BO37" i="34"/>
  <c r="D48" i="17"/>
  <c r="F74" i="28" s="1"/>
  <c r="AM30" i="34"/>
  <c r="DB26" i="34"/>
  <c r="DZ179" i="34"/>
  <c r="AP10" i="34"/>
  <c r="DV12" i="34"/>
  <c r="FQ14" i="34"/>
  <c r="MI32" i="34"/>
  <c r="LA7" i="34"/>
  <c r="FU179" i="34"/>
  <c r="IB20" i="34"/>
  <c r="EJ177" i="34"/>
  <c r="X9" i="34"/>
  <c r="HG33" i="34"/>
  <c r="HE37" i="34"/>
  <c r="KO22" i="34"/>
  <c r="GR20" i="33"/>
  <c r="LB19" i="34"/>
  <c r="MM10" i="34"/>
  <c r="U2" i="33"/>
  <c r="AT31" i="34"/>
  <c r="CF87" i="33"/>
  <c r="CF13" i="33" s="1"/>
  <c r="FR33" i="34"/>
  <c r="NE8" i="34"/>
  <c r="FN12" i="34"/>
  <c r="CR94" i="33"/>
  <c r="CR14" i="33" s="1"/>
  <c r="CM27" i="34"/>
  <c r="AQ11" i="34"/>
  <c r="BK40" i="28"/>
  <c r="BL40" i="28" s="1"/>
  <c r="BK75" i="28"/>
  <c r="BL75" i="28" s="1"/>
  <c r="D34" i="17"/>
  <c r="EE35" i="34"/>
  <c r="IB17" i="34"/>
  <c r="IV7" i="34"/>
  <c r="DC32" i="34"/>
  <c r="GK19" i="34"/>
  <c r="T138" i="23"/>
  <c r="U138" i="23" s="1"/>
  <c r="V37" i="34"/>
  <c r="EX179" i="34"/>
  <c r="MO15" i="34"/>
  <c r="W27" i="34"/>
  <c r="AX37" i="34"/>
  <c r="FN20" i="34"/>
  <c r="M110" i="28"/>
  <c r="R110" i="28" s="1"/>
  <c r="S110" i="28" s="1"/>
  <c r="BK194" i="28"/>
  <c r="BL194" i="28" s="1"/>
  <c r="FO19" i="34"/>
  <c r="FP17" i="34"/>
  <c r="MF27" i="34"/>
  <c r="BI6" i="34"/>
  <c r="IS29" i="34"/>
  <c r="DJ27" i="34"/>
  <c r="BN13" i="34"/>
  <c r="JH10" i="34"/>
  <c r="AD18" i="34"/>
  <c r="DD94" i="33"/>
  <c r="DD14" i="33" s="1"/>
  <c r="DA29" i="34"/>
  <c r="BZ94" i="33"/>
  <c r="BZ14" i="33" s="1"/>
  <c r="AO14" i="34"/>
  <c r="MD23" i="34"/>
  <c r="T170" i="23"/>
  <c r="U170" i="23" s="1"/>
  <c r="FS19" i="34"/>
  <c r="NE26" i="34"/>
  <c r="BK13" i="28"/>
  <c r="BL13" i="28" s="1"/>
  <c r="IW189" i="34"/>
  <c r="NL18" i="34"/>
  <c r="EK25" i="34"/>
  <c r="AA33" i="34"/>
  <c r="BK145" i="28"/>
  <c r="BL145" i="28" s="1"/>
  <c r="HC27" i="34"/>
  <c r="CI30" i="34"/>
  <c r="JB33" i="34"/>
  <c r="NO29" i="34"/>
  <c r="GR2" i="33"/>
  <c r="EA2" i="33"/>
  <c r="LC32" i="34"/>
  <c r="FU12" i="34"/>
  <c r="MF9" i="34"/>
  <c r="KL8" i="34"/>
  <c r="EF29" i="34"/>
  <c r="IT17" i="34"/>
  <c r="NM21" i="34"/>
  <c r="AZ16" i="34"/>
  <c r="AT23" i="34"/>
  <c r="CJ34" i="34"/>
  <c r="EX20" i="34"/>
  <c r="AS29" i="34"/>
  <c r="EF34" i="34"/>
  <c r="HT37" i="34"/>
  <c r="FO22" i="34"/>
  <c r="AR22" i="34"/>
  <c r="JZ31" i="34"/>
  <c r="FL87" i="33"/>
  <c r="FL13" i="33" s="1"/>
  <c r="E11" i="13"/>
  <c r="E23" i="13" s="1"/>
  <c r="T48" i="23"/>
  <c r="U48" i="23" s="1"/>
  <c r="NK32" i="34"/>
  <c r="AV94" i="33"/>
  <c r="AV14" i="33" s="1"/>
  <c r="DW34" i="34"/>
  <c r="J27" i="3"/>
  <c r="BB13" i="34"/>
  <c r="BB36" i="34"/>
  <c r="LW22" i="34"/>
  <c r="CG177" i="34"/>
  <c r="IZ179" i="34"/>
  <c r="DD35" i="34"/>
  <c r="FQ12" i="34"/>
  <c r="CF21" i="34"/>
  <c r="LD24" i="34"/>
  <c r="JH25" i="34"/>
  <c r="AQ87" i="33"/>
  <c r="AQ13" i="33" s="1"/>
  <c r="HZ31" i="34"/>
  <c r="CI179" i="34"/>
  <c r="IV13" i="34"/>
  <c r="T99" i="23"/>
  <c r="U99" i="23" s="1"/>
  <c r="AY14" i="34"/>
  <c r="LA35" i="34"/>
  <c r="IZ21" i="34"/>
  <c r="BK171" i="28"/>
  <c r="BL171" i="28" s="1"/>
  <c r="V15" i="34"/>
  <c r="DZ94" i="33"/>
  <c r="DZ14" i="33" s="1"/>
  <c r="AO35" i="34"/>
  <c r="EB24" i="34"/>
  <c r="E4" i="13"/>
  <c r="OK32" i="34"/>
  <c r="CJ35" i="34"/>
  <c r="FT28" i="34"/>
  <c r="FR27" i="34"/>
  <c r="MF31" i="34"/>
  <c r="EK9" i="34"/>
  <c r="MG179" i="34"/>
  <c r="CE26" i="34"/>
  <c r="M94" i="33"/>
  <c r="M14" i="33" s="1"/>
  <c r="K18" i="34"/>
  <c r="EC27" i="34"/>
  <c r="EZ22" i="34"/>
  <c r="AB20" i="34"/>
  <c r="DA18" i="34"/>
  <c r="GM87" i="33"/>
  <c r="GM13" i="33" s="1"/>
  <c r="CN37" i="34"/>
  <c r="JE11" i="34"/>
  <c r="AO32" i="34"/>
  <c r="IQ33" i="34"/>
  <c r="IZ7" i="34"/>
  <c r="IC23" i="34"/>
  <c r="DG12" i="34"/>
  <c r="T210" i="23"/>
  <c r="U210" i="23" s="1"/>
  <c r="LD20" i="34"/>
  <c r="IR10" i="34"/>
  <c r="LA8" i="34"/>
  <c r="CL12" i="34"/>
  <c r="EA177" i="34"/>
  <c r="CG24" i="34"/>
  <c r="KM29" i="34"/>
  <c r="GK37" i="34"/>
  <c r="NI22" i="34"/>
  <c r="DE179" i="34"/>
  <c r="T103" i="23"/>
  <c r="U103" i="23" s="1"/>
  <c r="DD34" i="34"/>
  <c r="PY20" i="34"/>
  <c r="MC30" i="34"/>
  <c r="EF30" i="34"/>
  <c r="EY13" i="34"/>
  <c r="LZ10" i="34"/>
  <c r="GR24" i="33"/>
  <c r="CD37" i="34"/>
  <c r="KB25" i="34"/>
  <c r="CI16" i="34"/>
  <c r="JT14" i="34"/>
  <c r="DD87" i="33"/>
  <c r="DD13" i="33" s="1"/>
  <c r="CM12" i="34"/>
  <c r="AT87" i="33"/>
  <c r="AT13" i="33" s="1"/>
  <c r="LA34" i="34"/>
  <c r="V23" i="17"/>
  <c r="DJ8" i="34"/>
  <c r="AD7" i="34"/>
  <c r="CI23" i="34"/>
  <c r="GJ30" i="34"/>
  <c r="IC29" i="34"/>
  <c r="EC37" i="34"/>
  <c r="LI19" i="34"/>
  <c r="EK32" i="34"/>
  <c r="EE29" i="34"/>
  <c r="ML25" i="34"/>
  <c r="BK133" i="28"/>
  <c r="BL133" i="28" s="1"/>
  <c r="KB35" i="34"/>
  <c r="B103" i="28"/>
  <c r="LC37" i="34"/>
  <c r="AU87" i="33"/>
  <c r="AU13" i="33" s="1"/>
  <c r="EZ9" i="34"/>
  <c r="FN10" i="34"/>
  <c r="AW24" i="34"/>
  <c r="AU25" i="34"/>
  <c r="AX179" i="34"/>
  <c r="DH26" i="34"/>
  <c r="FN94" i="33"/>
  <c r="FN14" i="33" s="1"/>
  <c r="PZ37" i="34"/>
  <c r="NF17" i="34"/>
  <c r="JY22" i="34"/>
  <c r="CD27" i="34"/>
  <c r="BL94" i="33"/>
  <c r="BL14" i="33" s="1"/>
  <c r="DW19" i="34"/>
  <c r="NE32" i="34"/>
  <c r="PW32" i="34"/>
  <c r="DY87" i="33"/>
  <c r="DY13" i="33" s="1"/>
  <c r="V29" i="34"/>
  <c r="M55" i="3"/>
  <c r="B33" i="2"/>
  <c r="C81" i="3"/>
  <c r="M54" i="3"/>
  <c r="D12" i="1"/>
  <c r="T14" i="17" s="1"/>
  <c r="EI31" i="34"/>
  <c r="ER2" i="33"/>
  <c r="ET2" i="33" s="1"/>
  <c r="FS16" i="34"/>
  <c r="MD25" i="34"/>
  <c r="IE14" i="34"/>
  <c r="PY8" i="34"/>
  <c r="MK29" i="34"/>
  <c r="GR34" i="33"/>
  <c r="HC189" i="34"/>
  <c r="LA31" i="34"/>
  <c r="GL34" i="34"/>
  <c r="GQ29" i="34"/>
  <c r="GO16" i="34"/>
  <c r="OL23" i="34"/>
  <c r="D21" i="17"/>
  <c r="AT10" i="34"/>
  <c r="JE33" i="34"/>
  <c r="AM33" i="34"/>
  <c r="BR179" i="34"/>
  <c r="LW24" i="34"/>
  <c r="FW26" i="34"/>
  <c r="FU11" i="34"/>
  <c r="EW16" i="34"/>
  <c r="HG189" i="34"/>
  <c r="HW16" i="34"/>
  <c r="DC14" i="34"/>
  <c r="EA26" i="34"/>
  <c r="DY10" i="34"/>
  <c r="MF14" i="34"/>
  <c r="AN87" i="33"/>
  <c r="AN13" i="33" s="1"/>
  <c r="AM26" i="34"/>
  <c r="LD21" i="34"/>
  <c r="AO28" i="34"/>
  <c r="MC18" i="34"/>
  <c r="CH29" i="34"/>
  <c r="DE37" i="34"/>
  <c r="LI20" i="34"/>
  <c r="EG11" i="34"/>
  <c r="AC8" i="34"/>
  <c r="DV25" i="34"/>
  <c r="FT10" i="34"/>
  <c r="DS94" i="33"/>
  <c r="DS14" i="33" s="1"/>
  <c r="DW9" i="34"/>
  <c r="KR35" i="34"/>
  <c r="IC8" i="34"/>
  <c r="BK147" i="28"/>
  <c r="BL147" i="28" s="1"/>
  <c r="HU30" i="34"/>
  <c r="T211" i="23"/>
  <c r="U211" i="23" s="1"/>
  <c r="CD19" i="34"/>
  <c r="T68" i="23"/>
  <c r="U68" i="23" s="1"/>
  <c r="AO18" i="34"/>
  <c r="LX179" i="34"/>
  <c r="KR11" i="34"/>
  <c r="GF87" i="33"/>
  <c r="GF13" i="33" s="1"/>
  <c r="LF179" i="34"/>
  <c r="DC24" i="34"/>
  <c r="EG30" i="34"/>
  <c r="BK47" i="28"/>
  <c r="BL47" i="28" s="1"/>
  <c r="AY28" i="34"/>
  <c r="FB35" i="34"/>
  <c r="EF14" i="34"/>
  <c r="JA11" i="34"/>
  <c r="LG22" i="34"/>
  <c r="AX9" i="34"/>
  <c r="DF11" i="34"/>
  <c r="W94" i="33"/>
  <c r="W14" i="33" s="1"/>
  <c r="IA31" i="34"/>
  <c r="CM16" i="34"/>
  <c r="AV35" i="34"/>
  <c r="BT94" i="33"/>
  <c r="BT14" i="33" s="1"/>
  <c r="T135" i="23"/>
  <c r="U135" i="23" s="1"/>
  <c r="EC17" i="34"/>
  <c r="EE26" i="34"/>
  <c r="PY11" i="34"/>
  <c r="JC11" i="34"/>
  <c r="FT37" i="34"/>
  <c r="CO33" i="34"/>
  <c r="AR31" i="34"/>
  <c r="FQ19" i="34"/>
  <c r="ED26" i="34"/>
  <c r="B97" i="28"/>
  <c r="KQ23" i="34"/>
  <c r="FB17" i="34"/>
  <c r="EY9" i="34"/>
  <c r="HC179" i="34"/>
  <c r="FX34" i="34"/>
  <c r="K20" i="34"/>
  <c r="DY37" i="34"/>
  <c r="DY30" i="34"/>
  <c r="AT94" i="33"/>
  <c r="AT14" i="33" s="1"/>
  <c r="KR27" i="34"/>
  <c r="KM36" i="34"/>
  <c r="D24" i="35"/>
  <c r="F25" i="3"/>
  <c r="K25" i="3" s="1"/>
  <c r="L25" i="3" s="1"/>
  <c r="M25" i="3" s="1"/>
  <c r="ID31" i="34"/>
  <c r="NW7" i="34"/>
  <c r="DJ23" i="34"/>
  <c r="EY87" i="33"/>
  <c r="EY13" i="33" s="1"/>
  <c r="M5" i="17"/>
  <c r="N5" i="17" s="1"/>
  <c r="AM8" i="34"/>
  <c r="CJ29" i="34"/>
  <c r="BO26" i="34"/>
  <c r="KR10" i="34"/>
  <c r="K19" i="34"/>
  <c r="DX19" i="34"/>
  <c r="LC24" i="34"/>
  <c r="FX18" i="34"/>
  <c r="GL12" i="34"/>
  <c r="T45" i="23"/>
  <c r="U45" i="23" s="1"/>
  <c r="ER6" i="34"/>
  <c r="DW17" i="34"/>
  <c r="KP17" i="34"/>
  <c r="AA11" i="34"/>
  <c r="EY37" i="34"/>
  <c r="AV9" i="34"/>
  <c r="U36" i="34"/>
  <c r="BK155" i="28"/>
  <c r="BL155" i="28" s="1"/>
  <c r="BR25" i="34"/>
  <c r="HC16" i="34"/>
  <c r="LY9" i="34"/>
  <c r="T106" i="23"/>
  <c r="U106" i="23" s="1"/>
  <c r="DX36" i="34"/>
  <c r="BY4" i="34"/>
  <c r="GK12" i="34"/>
  <c r="CJ10" i="34"/>
  <c r="BK100" i="28"/>
  <c r="BL100" i="28" s="1"/>
  <c r="T56" i="23"/>
  <c r="U56" i="23" s="1"/>
  <c r="BK18" i="28"/>
  <c r="BL18" i="28" s="1"/>
  <c r="DI35" i="34"/>
  <c r="T118" i="23"/>
  <c r="U118" i="23" s="1"/>
  <c r="JG26" i="34"/>
  <c r="GJ34" i="34"/>
  <c r="BP24" i="34"/>
  <c r="EZ37" i="34"/>
  <c r="HF36" i="34"/>
  <c r="EJ87" i="33"/>
  <c r="EJ13" i="33" s="1"/>
  <c r="KO13" i="34"/>
  <c r="NL13" i="34"/>
  <c r="FA34" i="34"/>
  <c r="DJ179" i="34"/>
  <c r="T130" i="23"/>
  <c r="U130" i="23" s="1"/>
  <c r="DE87" i="33"/>
  <c r="DE13" i="33" s="1"/>
  <c r="JV10" i="34"/>
  <c r="HG18" i="34"/>
  <c r="AY31" i="34"/>
  <c r="GM14" i="34"/>
  <c r="EX28" i="34"/>
  <c r="CH30" i="34"/>
  <c r="FN87" i="33"/>
  <c r="FN13" i="33" s="1"/>
  <c r="HU16" i="34"/>
  <c r="EH35" i="34"/>
  <c r="DE94" i="33"/>
  <c r="DE14" i="33" s="1"/>
  <c r="HT17" i="34"/>
  <c r="LE13" i="34"/>
  <c r="DC13" i="34"/>
  <c r="IQ37" i="34"/>
  <c r="DX7" i="34"/>
  <c r="EJ23" i="34"/>
  <c r="FT15" i="34"/>
  <c r="EW13" i="34"/>
  <c r="LX18" i="34"/>
  <c r="BK103" i="28"/>
  <c r="BL103" i="28" s="1"/>
  <c r="FA177" i="34"/>
  <c r="KP10" i="34"/>
  <c r="EI33" i="34"/>
  <c r="AZ23" i="34"/>
  <c r="KA12" i="34"/>
  <c r="FV33" i="34"/>
  <c r="MD37" i="34"/>
  <c r="HY30" i="34"/>
  <c r="J12" i="34"/>
  <c r="JX22" i="34"/>
  <c r="GY22" i="33"/>
  <c r="EF33" i="34"/>
  <c r="GQ20" i="34"/>
  <c r="MV4" i="34"/>
  <c r="IE13" i="34"/>
  <c r="IT177" i="34"/>
  <c r="BA7" i="34"/>
  <c r="KB34" i="34"/>
  <c r="CN18" i="34"/>
  <c r="GL9" i="34"/>
  <c r="T98" i="23"/>
  <c r="U98" i="23" s="1"/>
  <c r="BK189" i="28"/>
  <c r="BL189" i="28" s="1"/>
  <c r="KB21" i="34"/>
  <c r="CF177" i="34"/>
  <c r="JY12" i="34"/>
  <c r="AD10" i="34"/>
  <c r="BB179" i="34"/>
  <c r="IA179" i="34"/>
  <c r="T82" i="23"/>
  <c r="U82" i="23" s="1"/>
  <c r="NJ34" i="34"/>
  <c r="GJ87" i="33"/>
  <c r="GJ13" i="33" s="1"/>
  <c r="HC28" i="34"/>
  <c r="T189" i="34"/>
  <c r="AO8" i="34"/>
  <c r="DZ12" i="34"/>
  <c r="EB27" i="34"/>
  <c r="GQ27" i="34"/>
  <c r="ER94" i="33"/>
  <c r="ER14" i="33" s="1"/>
  <c r="NG17" i="34"/>
  <c r="BG87" i="33"/>
  <c r="BG13" i="33" s="1"/>
  <c r="BK51" i="28"/>
  <c r="BL51" i="28" s="1"/>
  <c r="EY15" i="34"/>
  <c r="BU87" i="33"/>
  <c r="BU13" i="33" s="1"/>
  <c r="BQ189" i="34"/>
  <c r="FS18" i="34"/>
  <c r="MB37" i="34"/>
  <c r="FS26" i="34"/>
  <c r="FV32" i="34"/>
  <c r="FY87" i="33"/>
  <c r="FY13" i="33" s="1"/>
  <c r="KP35" i="34"/>
  <c r="IS21" i="34"/>
  <c r="JZ25" i="34"/>
  <c r="GK29" i="34"/>
  <c r="D32" i="17"/>
  <c r="HU37" i="34"/>
  <c r="IC37" i="34"/>
  <c r="AA21" i="34"/>
  <c r="HZ35" i="34"/>
  <c r="AW22" i="34"/>
  <c r="GO35" i="34"/>
  <c r="FQ33" i="34"/>
  <c r="MN33" i="34"/>
  <c r="HX34" i="34"/>
  <c r="HG11" i="34"/>
  <c r="LY15" i="34"/>
  <c r="T134" i="23"/>
  <c r="U134" i="23" s="1"/>
  <c r="CM15" i="34"/>
  <c r="IE31" i="34"/>
  <c r="ND12" i="34"/>
  <c r="HG25" i="34"/>
  <c r="FB27" i="34"/>
  <c r="HY37" i="34"/>
  <c r="AX30" i="34"/>
  <c r="BN11" i="34"/>
  <c r="CA87" i="33"/>
  <c r="CA13" i="33" s="1"/>
  <c r="BK187" i="28"/>
  <c r="BL187" i="28" s="1"/>
  <c r="T165" i="23"/>
  <c r="U165" i="23" s="1"/>
  <c r="MD16" i="34"/>
  <c r="BL87" i="33"/>
  <c r="BL13" i="33" s="1"/>
  <c r="MO22" i="34"/>
  <c r="T158" i="23"/>
  <c r="U158" i="23" s="1"/>
  <c r="GN10" i="34"/>
  <c r="HV35" i="34"/>
  <c r="BQ87" i="33"/>
  <c r="BQ13" i="33" s="1"/>
  <c r="KA8" i="34"/>
  <c r="MO32" i="34"/>
  <c r="OI9" i="34"/>
  <c r="NK179" i="34"/>
  <c r="KR177" i="34"/>
  <c r="AH87" i="33"/>
  <c r="AH13" i="33" s="1"/>
  <c r="L130" i="28"/>
  <c r="M130" i="28" s="1"/>
  <c r="HD9" i="34"/>
  <c r="CL17" i="34"/>
  <c r="CI177" i="34"/>
  <c r="BB29" i="34"/>
  <c r="NP26" i="34"/>
  <c r="GY24" i="33"/>
  <c r="Z29" i="34"/>
  <c r="EJ189" i="34"/>
  <c r="O7" i="34"/>
  <c r="DA31" i="34"/>
  <c r="AP177" i="34"/>
  <c r="AP190" i="34" s="1"/>
  <c r="AP38" i="34" s="1"/>
  <c r="IZ26" i="34"/>
  <c r="IE18" i="34"/>
  <c r="AC21" i="34"/>
  <c r="FW12" i="34"/>
  <c r="MN8" i="34"/>
  <c r="PX7" i="34"/>
  <c r="EW22" i="34"/>
  <c r="BA9" i="34"/>
  <c r="CK87" i="33"/>
  <c r="CJ14" i="34"/>
  <c r="KV6" i="34"/>
  <c r="IA8" i="34"/>
  <c r="FR177" i="34"/>
  <c r="EM87" i="33"/>
  <c r="EM13" i="33" s="1"/>
  <c r="Y94" i="33"/>
  <c r="Y14" i="33" s="1"/>
  <c r="I2" i="33"/>
  <c r="EW18" i="34"/>
  <c r="FW177" i="34"/>
  <c r="DH12" i="34"/>
  <c r="CZ94" i="33"/>
  <c r="CQ94" i="33"/>
  <c r="CQ14" i="33" s="1"/>
  <c r="EK177" i="34"/>
  <c r="BP17" i="34"/>
  <c r="JG15" i="34"/>
  <c r="EK33" i="34"/>
  <c r="JF20" i="34"/>
  <c r="V19" i="17"/>
  <c r="EW37" i="34"/>
  <c r="CL16" i="34"/>
  <c r="FX8" i="34"/>
  <c r="J35" i="34"/>
  <c r="BQ10" i="34"/>
  <c r="BK160" i="28"/>
  <c r="BL160" i="28" s="1"/>
  <c r="T126" i="23"/>
  <c r="U126" i="23" s="1"/>
  <c r="ND25" i="34"/>
  <c r="DJ189" i="34"/>
  <c r="KQ20" i="34"/>
  <c r="EW35" i="34"/>
  <c r="T8" i="34"/>
  <c r="EF27" i="34"/>
  <c r="ED8" i="34"/>
  <c r="AT12" i="34"/>
  <c r="F32" i="3"/>
  <c r="K32" i="3" s="1"/>
  <c r="DG37" i="34"/>
  <c r="JG179" i="34"/>
  <c r="IQ34" i="34"/>
  <c r="EF35" i="34"/>
  <c r="BN94" i="33"/>
  <c r="BN14" i="33" s="1"/>
  <c r="EK16" i="34"/>
  <c r="IY24" i="34"/>
  <c r="KB22" i="34"/>
  <c r="AT27" i="34"/>
  <c r="FR18" i="34"/>
  <c r="BO36" i="34"/>
  <c r="ED25" i="34"/>
  <c r="ID26" i="34"/>
  <c r="K35" i="34"/>
  <c r="BO18" i="34"/>
  <c r="LA36" i="34"/>
  <c r="OO14" i="34"/>
  <c r="CO21" i="34"/>
  <c r="Y34" i="34"/>
  <c r="GB94" i="33"/>
  <c r="GB14" i="33" s="1"/>
  <c r="BA94" i="33"/>
  <c r="BA14" i="33" s="1"/>
  <c r="EW14" i="34"/>
  <c r="KP189" i="34"/>
  <c r="IC18" i="34"/>
  <c r="FU94" i="33"/>
  <c r="CV7" i="34"/>
  <c r="BV87" i="33"/>
  <c r="BV13" i="33" s="1"/>
  <c r="BN177" i="34"/>
  <c r="HD21" i="34"/>
  <c r="T144" i="23"/>
  <c r="U144" i="23" s="1"/>
  <c r="LI13" i="34"/>
  <c r="IT11" i="34"/>
  <c r="H37" i="17"/>
  <c r="H38" i="17" s="1"/>
  <c r="AP14" i="34"/>
  <c r="FO179" i="34"/>
  <c r="JW16" i="34"/>
  <c r="D33" i="17"/>
  <c r="BK99" i="28"/>
  <c r="BL99" i="28" s="1"/>
  <c r="CF32" i="34"/>
  <c r="MB10" i="34"/>
  <c r="DC34" i="34"/>
  <c r="NE177" i="34"/>
  <c r="GO17" i="34"/>
  <c r="AP87" i="33"/>
  <c r="AP13" i="33" s="1"/>
  <c r="D25" i="35"/>
  <c r="F26" i="3"/>
  <c r="K26" i="3" s="1"/>
  <c r="L26" i="3" s="1"/>
  <c r="M26" i="3" s="1"/>
  <c r="GN19" i="34"/>
  <c r="CF27" i="34"/>
  <c r="JZ27" i="34"/>
  <c r="BK190" i="28"/>
  <c r="BL190" i="28" s="1"/>
  <c r="GO18" i="34"/>
  <c r="IE21" i="34"/>
  <c r="CE24" i="34"/>
  <c r="EW34" i="34"/>
  <c r="JB16" i="34"/>
  <c r="GP23" i="34"/>
  <c r="EX36" i="34"/>
  <c r="EG24" i="34"/>
  <c r="EC179" i="34"/>
  <c r="G96" i="17"/>
  <c r="G97" i="17" s="1"/>
  <c r="F50" i="1"/>
  <c r="AA57" i="17"/>
  <c r="H27" i="17"/>
  <c r="ND37" i="34"/>
  <c r="AP7" i="34"/>
  <c r="FN32" i="34"/>
  <c r="DY36" i="34"/>
  <c r="EX23" i="34"/>
  <c r="CD31" i="34"/>
  <c r="AC19" i="34"/>
  <c r="IS177" i="34"/>
  <c r="DS87" i="33"/>
  <c r="DS13" i="33" s="1"/>
  <c r="EG19" i="34"/>
  <c r="DX10" i="34"/>
  <c r="GP8" i="34"/>
  <c r="JA13" i="34"/>
  <c r="FD87" i="33"/>
  <c r="FD13" i="33" s="1"/>
  <c r="DD179" i="34"/>
  <c r="EF2" i="33"/>
  <c r="EH2" i="33" s="1"/>
  <c r="U8" i="34"/>
  <c r="NL29" i="34"/>
  <c r="JV20" i="34"/>
  <c r="EV94" i="33"/>
  <c r="EV14" i="33" s="1"/>
  <c r="AD23" i="34"/>
  <c r="JA26" i="34"/>
  <c r="EX18" i="34"/>
  <c r="AM13" i="34"/>
  <c r="JB36" i="34"/>
  <c r="DD29" i="34"/>
  <c r="BK42" i="28"/>
  <c r="BL42" i="28" s="1"/>
  <c r="EG13" i="34"/>
  <c r="LD37" i="34"/>
  <c r="PE9" i="34"/>
  <c r="NA36" i="34"/>
  <c r="KQ17" i="34"/>
  <c r="EY28" i="34"/>
  <c r="CN177" i="34"/>
  <c r="AY32" i="34"/>
  <c r="HX28" i="34"/>
  <c r="T160" i="23"/>
  <c r="U160" i="23" s="1"/>
  <c r="HE9" i="34"/>
  <c r="JC28" i="34"/>
  <c r="ID12" i="34"/>
  <c r="NG25" i="34"/>
  <c r="BK81" i="28"/>
  <c r="BL81" i="28" s="1"/>
  <c r="HW7" i="34"/>
  <c r="HW37" i="34"/>
  <c r="JZ17" i="34"/>
  <c r="T52" i="23"/>
  <c r="U52" i="23" s="1"/>
  <c r="CY87" i="33"/>
  <c r="CY13" i="33" s="1"/>
  <c r="CE19" i="34"/>
  <c r="IB12" i="34"/>
  <c r="ID21" i="34"/>
  <c r="T207" i="23"/>
  <c r="U207" i="23" s="1"/>
  <c r="T35" i="34"/>
  <c r="EI20" i="34"/>
  <c r="NB22" i="34"/>
  <c r="DC19" i="34"/>
  <c r="AD12" i="34"/>
  <c r="LX12" i="34"/>
  <c r="JY33" i="34"/>
  <c r="KR37" i="34"/>
  <c r="BB94" i="33"/>
  <c r="BB14" i="33" s="1"/>
  <c r="GO31" i="34"/>
  <c r="HH10" i="34"/>
  <c r="DZ15" i="34"/>
  <c r="GE5" i="34"/>
  <c r="AA15" i="17"/>
  <c r="AA16" i="17" s="1"/>
  <c r="AS8" i="34"/>
  <c r="FW9" i="34"/>
  <c r="CK177" i="34"/>
  <c r="JU25" i="34"/>
  <c r="NM177" i="34"/>
  <c r="BC87" i="33"/>
  <c r="BC13" i="33" s="1"/>
  <c r="NL28" i="34"/>
  <c r="CE177" i="34"/>
  <c r="FT177" i="34"/>
  <c r="KM35" i="34"/>
  <c r="KP32" i="34"/>
  <c r="IS8" i="34"/>
  <c r="BY87" i="33"/>
  <c r="BY13" i="33" s="1"/>
  <c r="Y10" i="34"/>
  <c r="DY9" i="34"/>
  <c r="DJ33" i="34"/>
  <c r="JG18" i="34"/>
  <c r="LX29" i="34"/>
  <c r="AA20" i="34"/>
  <c r="NM27" i="34"/>
  <c r="BN36" i="34"/>
  <c r="LH24" i="34"/>
  <c r="NA27" i="34"/>
  <c r="AU19" i="34"/>
  <c r="IY25" i="34"/>
  <c r="DD14" i="34"/>
  <c r="IS31" i="34"/>
  <c r="GJ18" i="34"/>
  <c r="DB20" i="34"/>
  <c r="MD28" i="34"/>
  <c r="AU28" i="34"/>
  <c r="PZ26" i="34"/>
  <c r="GM21" i="34"/>
  <c r="EL87" i="33"/>
  <c r="EL13" i="33" s="1"/>
  <c r="EC13" i="34"/>
  <c r="FN34" i="34"/>
  <c r="BN37" i="34"/>
  <c r="DI24" i="34"/>
  <c r="DC18" i="34"/>
  <c r="ML37" i="34"/>
  <c r="JF32" i="34"/>
  <c r="HW30" i="34"/>
  <c r="AB11" i="34"/>
  <c r="DB27" i="34"/>
  <c r="LG24" i="34"/>
  <c r="IY7" i="34"/>
  <c r="NO179" i="34"/>
  <c r="BK86" i="28"/>
  <c r="BL86" i="28" s="1"/>
  <c r="DD22" i="34"/>
  <c r="B101" i="28"/>
  <c r="DG32" i="34"/>
  <c r="AQ8" i="34"/>
  <c r="DA13" i="34"/>
  <c r="BP27" i="34"/>
  <c r="NN18" i="34"/>
  <c r="KR21" i="34"/>
  <c r="FF87" i="33"/>
  <c r="FF13" i="33" s="1"/>
  <c r="IR36" i="34"/>
  <c r="BQ33" i="34"/>
  <c r="AX13" i="34"/>
  <c r="DH36" i="34"/>
  <c r="CO23" i="34"/>
  <c r="X18" i="34"/>
  <c r="KC25" i="34"/>
  <c r="K154" i="28"/>
  <c r="K90" i="28" s="1"/>
  <c r="F43" i="28" s="1"/>
  <c r="F120" i="28"/>
  <c r="F103" i="28"/>
  <c r="F115" i="28"/>
  <c r="CK20" i="34"/>
  <c r="LH14" i="34"/>
  <c r="BK166" i="28"/>
  <c r="BL166" i="28" s="1"/>
  <c r="AZ27" i="34"/>
  <c r="GP20" i="34"/>
  <c r="DD16" i="34"/>
  <c r="DI11" i="34"/>
  <c r="X15" i="34"/>
  <c r="EK94" i="33"/>
  <c r="EK14" i="33" s="1"/>
  <c r="AA35" i="34"/>
  <c r="GR6" i="33"/>
  <c r="PB8" i="34"/>
  <c r="JD25" i="34"/>
  <c r="DX21" i="34"/>
  <c r="X7" i="34"/>
  <c r="LC28" i="34"/>
  <c r="T31" i="34"/>
  <c r="OH13" i="34"/>
  <c r="BR22" i="34"/>
  <c r="HU36" i="34"/>
  <c r="DA10" i="34"/>
  <c r="T150" i="23"/>
  <c r="U150" i="23" s="1"/>
  <c r="AS87" i="33"/>
  <c r="AS13" i="33" s="1"/>
  <c r="GN25" i="34"/>
  <c r="DV9" i="34"/>
  <c r="OV5" i="34"/>
  <c r="DG31" i="34"/>
  <c r="LJ12" i="34"/>
  <c r="AV33" i="34"/>
  <c r="D14" i="17"/>
  <c r="CF7" i="34"/>
  <c r="FA28" i="34"/>
  <c r="HV26" i="34"/>
  <c r="DD17" i="34"/>
  <c r="HZ9" i="34"/>
  <c r="KM28" i="34"/>
  <c r="AN23" i="34"/>
  <c r="DF10" i="34"/>
  <c r="DW13" i="34"/>
  <c r="JH31" i="34"/>
  <c r="MJ179" i="34"/>
  <c r="BA22" i="34"/>
  <c r="GO30" i="34"/>
  <c r="IC189" i="34"/>
  <c r="L128" i="28"/>
  <c r="KR179" i="34"/>
  <c r="AO7" i="34"/>
  <c r="PI29" i="34"/>
  <c r="JU179" i="34"/>
  <c r="KA33" i="34"/>
  <c r="X20" i="34"/>
  <c r="S42" i="17"/>
  <c r="LZ189" i="34"/>
  <c r="FW17" i="34"/>
  <c r="KQ18" i="34"/>
  <c r="IB26" i="34"/>
  <c r="AO189" i="34"/>
  <c r="FV12" i="34"/>
  <c r="EM2" i="33"/>
  <c r="JT11" i="34"/>
  <c r="HY29" i="34"/>
  <c r="AX10" i="34"/>
  <c r="JU9" i="34"/>
  <c r="MD17" i="34"/>
  <c r="AQ179" i="34"/>
  <c r="LE7" i="34"/>
  <c r="GJ8" i="34"/>
  <c r="IZ32" i="34"/>
  <c r="BP19" i="34"/>
  <c r="DA12" i="34"/>
  <c r="FS29" i="34"/>
  <c r="FW14" i="34"/>
  <c r="BP8" i="34"/>
  <c r="FW8" i="34"/>
  <c r="DC17" i="34"/>
  <c r="MO11" i="34"/>
  <c r="DB18" i="34"/>
  <c r="EC15" i="34"/>
  <c r="MA24" i="34"/>
  <c r="MN37" i="34"/>
  <c r="J26" i="34"/>
  <c r="KR189" i="34"/>
  <c r="AD25" i="34"/>
  <c r="ED17" i="34"/>
  <c r="JE30" i="34"/>
  <c r="DD9" i="34"/>
  <c r="AY24" i="34"/>
  <c r="MN18" i="34"/>
  <c r="IR19" i="34"/>
  <c r="AT30" i="34"/>
  <c r="ME34" i="34"/>
  <c r="DH35" i="34"/>
  <c r="FP179" i="34"/>
  <c r="CD26" i="34"/>
  <c r="K15" i="34"/>
  <c r="DB87" i="33"/>
  <c r="DB13" i="33" s="1"/>
  <c r="EI12" i="34"/>
  <c r="IZ189" i="34"/>
  <c r="CL18" i="34"/>
  <c r="HZ30" i="34"/>
  <c r="HT13" i="34"/>
  <c r="EC30" i="34"/>
  <c r="ME35" i="34"/>
  <c r="BK170" i="28"/>
  <c r="BL170" i="28" s="1"/>
  <c r="Z179" i="34"/>
  <c r="CM36" i="34"/>
  <c r="CI28" i="34"/>
  <c r="JE36" i="34"/>
  <c r="GN23" i="34"/>
  <c r="BK56" i="28"/>
  <c r="BL56" i="28" s="1"/>
  <c r="JX8" i="34"/>
  <c r="DC25" i="34"/>
  <c r="PD23" i="34"/>
  <c r="HV15" i="34"/>
  <c r="EH179" i="34"/>
  <c r="FA87" i="33"/>
  <c r="LA14" i="34"/>
  <c r="EE177" i="34"/>
  <c r="X8" i="34"/>
  <c r="LJ31" i="34"/>
  <c r="BK97" i="28"/>
  <c r="BL97" i="28" s="1"/>
  <c r="U31" i="34"/>
  <c r="CO20" i="34"/>
  <c r="CD18" i="34"/>
  <c r="HV7" i="34"/>
  <c r="IA23" i="34"/>
  <c r="GP12" i="34"/>
  <c r="J15" i="34"/>
  <c r="AR8" i="34"/>
  <c r="FV19" i="34"/>
  <c r="T24" i="34"/>
  <c r="NL7" i="34"/>
  <c r="EJ28" i="34"/>
  <c r="HC35" i="34"/>
  <c r="KL36" i="34"/>
  <c r="KA9" i="34"/>
  <c r="FR29" i="34"/>
  <c r="DC27" i="34"/>
  <c r="D52" i="17"/>
  <c r="F78" i="28" s="1"/>
  <c r="IT21" i="34"/>
  <c r="CL13" i="34"/>
  <c r="EW33" i="34"/>
  <c r="EF23" i="34"/>
  <c r="CL20" i="34"/>
  <c r="CE20" i="34"/>
  <c r="GN32" i="34"/>
  <c r="BN34" i="34"/>
  <c r="FA30" i="34"/>
  <c r="EY35" i="34"/>
  <c r="LK31" i="34"/>
  <c r="DF35" i="34"/>
  <c r="GL27" i="34"/>
  <c r="KC177" i="34"/>
  <c r="CV8" i="34"/>
  <c r="AC11" i="34"/>
  <c r="NM7" i="34"/>
  <c r="JV24" i="34"/>
  <c r="NO22" i="34"/>
  <c r="CJ32" i="34"/>
  <c r="LE179" i="34"/>
  <c r="FX30" i="34"/>
  <c r="AA23" i="34"/>
  <c r="T21" i="34"/>
  <c r="PE22" i="34"/>
  <c r="DN87" i="33"/>
  <c r="DN13" i="33" s="1"/>
  <c r="KL35" i="34"/>
  <c r="EE12" i="34"/>
  <c r="EY25" i="34"/>
  <c r="EH36" i="34"/>
  <c r="FU16" i="34"/>
  <c r="AZ7" i="34"/>
  <c r="DT87" i="33"/>
  <c r="DT13" i="33" s="1"/>
  <c r="T107" i="23"/>
  <c r="U107" i="23" s="1"/>
  <c r="AZ33" i="34"/>
  <c r="JA17" i="34"/>
  <c r="LK179" i="34"/>
  <c r="JD26" i="34"/>
  <c r="DF37" i="34"/>
  <c r="CJ24" i="34"/>
  <c r="DH8" i="34"/>
  <c r="JB22" i="34"/>
  <c r="KB14" i="34"/>
  <c r="CK23" i="34"/>
  <c r="GJ15" i="34"/>
  <c r="JE29" i="34"/>
  <c r="NM15" i="34"/>
  <c r="CJ9" i="34"/>
  <c r="OO15" i="34"/>
  <c r="FT36" i="34"/>
  <c r="HU20" i="34"/>
  <c r="Z9" i="34"/>
  <c r="CO87" i="33"/>
  <c r="JB15" i="34"/>
  <c r="LK27" i="34"/>
  <c r="LX189" i="34"/>
  <c r="D31" i="17"/>
  <c r="AT28" i="34"/>
  <c r="DI25" i="34"/>
  <c r="AA14" i="34"/>
  <c r="PI24" i="34"/>
  <c r="JT32" i="34"/>
  <c r="DB36" i="34"/>
  <c r="AV32" i="34"/>
  <c r="JH19" i="34"/>
  <c r="JC32" i="34"/>
  <c r="LC30" i="34"/>
  <c r="DG33" i="34"/>
  <c r="FX28" i="34"/>
  <c r="DX26" i="34"/>
  <c r="DI14" i="34"/>
  <c r="Y23" i="34"/>
  <c r="FO36" i="34"/>
  <c r="BB11" i="34"/>
  <c r="DV13" i="34"/>
  <c r="T78" i="23"/>
  <c r="U78" i="23" s="1"/>
  <c r="AR26" i="34"/>
  <c r="NW6" i="34"/>
  <c r="MH20" i="34"/>
  <c r="FO177" i="34"/>
  <c r="GL18" i="34"/>
  <c r="HU189" i="34"/>
  <c r="KB13" i="34"/>
  <c r="BI5" i="34"/>
  <c r="GQ177" i="34"/>
  <c r="EI37" i="34"/>
  <c r="K24" i="34"/>
  <c r="X27" i="34"/>
  <c r="DZ2" i="33"/>
  <c r="EB2" i="33" s="1"/>
  <c r="DZ22" i="34"/>
  <c r="JT18" i="34"/>
  <c r="AV24" i="34"/>
  <c r="PZ19" i="34"/>
  <c r="MG35" i="34"/>
  <c r="L129" i="28"/>
  <c r="M129" i="28" s="1"/>
  <c r="JT22" i="34"/>
  <c r="D6" i="35"/>
  <c r="F49" i="1"/>
  <c r="K35" i="3"/>
  <c r="S87" i="33"/>
  <c r="S13" i="33" s="1"/>
  <c r="AM27" i="34"/>
  <c r="KN13" i="34"/>
  <c r="JZ35" i="34"/>
  <c r="ME20" i="34"/>
  <c r="AZ8" i="34"/>
  <c r="JB28" i="34"/>
  <c r="BB34" i="34"/>
  <c r="CH33" i="34"/>
  <c r="MM11" i="34"/>
  <c r="CF15" i="34"/>
  <c r="KM31" i="34"/>
  <c r="FV13" i="34"/>
  <c r="AG94" i="33"/>
  <c r="AG14" i="33" s="1"/>
  <c r="HY14" i="34"/>
  <c r="FQ21" i="34"/>
  <c r="BN27" i="34"/>
  <c r="CH177" i="34"/>
  <c r="LA26" i="34"/>
  <c r="DT2" i="33"/>
  <c r="DV2" i="33" s="1"/>
  <c r="JT28" i="34"/>
  <c r="X14" i="34"/>
  <c r="FE87" i="33"/>
  <c r="FE13" i="33" s="1"/>
  <c r="AP25" i="34"/>
  <c r="IA18" i="34"/>
  <c r="HX13" i="34"/>
  <c r="FX14" i="34"/>
  <c r="NM18" i="34"/>
  <c r="AS15" i="34"/>
  <c r="LI34" i="34"/>
  <c r="J18" i="34"/>
  <c r="LZ36" i="34"/>
  <c r="AU18" i="34"/>
  <c r="IA26" i="34"/>
  <c r="T55" i="23"/>
  <c r="U55" i="23" s="1"/>
  <c r="J94" i="33"/>
  <c r="J14" i="33" s="1"/>
  <c r="KR32" i="34"/>
  <c r="JE179" i="34"/>
  <c r="JD8" i="34"/>
  <c r="IE7" i="34"/>
  <c r="HT177" i="34"/>
  <c r="AZ179" i="34"/>
  <c r="AV23" i="34"/>
  <c r="OO13" i="34"/>
  <c r="T22" i="34"/>
  <c r="FX13" i="34"/>
  <c r="LF189" i="34"/>
  <c r="BB25" i="34"/>
  <c r="W8" i="34"/>
  <c r="ML12" i="34"/>
  <c r="DF32" i="34"/>
  <c r="AS16" i="34"/>
  <c r="LI7" i="34"/>
  <c r="U94" i="33"/>
  <c r="U14" i="33" s="1"/>
  <c r="KO33" i="34"/>
  <c r="CK32" i="34"/>
  <c r="NN34" i="34"/>
  <c r="NC189" i="34"/>
  <c r="IA15" i="34"/>
  <c r="IS30" i="34"/>
  <c r="KP11" i="34"/>
  <c r="FP31" i="34"/>
  <c r="FW35" i="34"/>
  <c r="DP94" i="33"/>
  <c r="CO28" i="34"/>
  <c r="FB20" i="34"/>
  <c r="EK179" i="34"/>
  <c r="BP36" i="34"/>
  <c r="HZ22" i="34"/>
  <c r="BB22" i="34"/>
  <c r="Y28" i="34"/>
  <c r="H2" i="33"/>
  <c r="J2" i="33" s="1"/>
  <c r="AH94" i="33"/>
  <c r="AH14" i="33" s="1"/>
  <c r="MO7" i="34"/>
  <c r="DI31" i="34"/>
  <c r="AS11" i="34"/>
  <c r="FI94" i="33"/>
  <c r="FI14" i="33" s="1"/>
  <c r="JY32" i="34"/>
  <c r="U17" i="34"/>
  <c r="DW22" i="34"/>
  <c r="MC15" i="34"/>
  <c r="GN33" i="34"/>
  <c r="HE34" i="34"/>
  <c r="T148" i="23"/>
  <c r="U148" i="23" s="1"/>
  <c r="DC9" i="34"/>
  <c r="JF26" i="34"/>
  <c r="DB23" i="34"/>
  <c r="FT87" i="33"/>
  <c r="FT13" i="33" s="1"/>
  <c r="HH24" i="34"/>
  <c r="U33" i="34"/>
  <c r="BR18" i="34"/>
  <c r="DB189" i="34"/>
  <c r="MD179" i="34"/>
  <c r="BK90" i="28"/>
  <c r="BL90" i="28" s="1"/>
  <c r="AA27" i="34"/>
  <c r="MJ12" i="34"/>
  <c r="EH12" i="34"/>
  <c r="HH26" i="34"/>
  <c r="BP23" i="34"/>
  <c r="CF36" i="34"/>
  <c r="DD12" i="34"/>
  <c r="IR179" i="34"/>
  <c r="CG26" i="34"/>
  <c r="NB32" i="34"/>
  <c r="AP22" i="34"/>
  <c r="CG30" i="34"/>
  <c r="NI179" i="34"/>
  <c r="D23" i="17"/>
  <c r="BN7" i="34"/>
  <c r="CV87" i="33"/>
  <c r="CV13" i="33" s="1"/>
  <c r="CE189" i="34"/>
  <c r="FN36" i="34"/>
  <c r="CL28" i="34"/>
  <c r="Y25" i="34"/>
  <c r="KG8" i="34"/>
  <c r="JG8" i="34"/>
  <c r="DD26" i="34"/>
  <c r="AT25" i="34"/>
  <c r="Z37" i="34"/>
  <c r="T129" i="23"/>
  <c r="U129" i="23" s="1"/>
  <c r="AW29" i="34"/>
  <c r="GP177" i="34"/>
  <c r="T104" i="23"/>
  <c r="U104" i="23" s="1"/>
  <c r="LB177" i="34"/>
  <c r="AR33" i="34"/>
  <c r="CB2" i="33"/>
  <c r="AC33" i="34"/>
  <c r="EI21" i="34"/>
  <c r="IB7" i="34"/>
  <c r="JD13" i="34"/>
  <c r="ME29" i="34"/>
  <c r="MB36" i="34"/>
  <c r="NF24" i="34"/>
  <c r="OL28" i="34"/>
  <c r="CG11" i="34"/>
  <c r="KL25" i="34"/>
  <c r="FN21" i="34"/>
  <c r="BK109" i="28"/>
  <c r="BL109" i="28" s="1"/>
  <c r="FR7" i="34"/>
  <c r="FV14" i="34"/>
  <c r="ID9" i="34"/>
  <c r="T179" i="23"/>
  <c r="U179" i="23" s="1"/>
  <c r="FQ25" i="34"/>
  <c r="BN64" i="28"/>
  <c r="DF23" i="34"/>
  <c r="CL22" i="34"/>
  <c r="AN29" i="34"/>
  <c r="KL27" i="34"/>
  <c r="AA17" i="34"/>
  <c r="DA179" i="34"/>
  <c r="BO29" i="34"/>
  <c r="EZ33" i="34"/>
  <c r="BK95" i="28"/>
  <c r="BL95" i="28" s="1"/>
  <c r="EG87" i="33"/>
  <c r="IZ19" i="34"/>
  <c r="AQ22" i="34"/>
  <c r="JA19" i="34"/>
  <c r="NK26" i="34"/>
  <c r="IQ22" i="34"/>
  <c r="CZ87" i="33"/>
  <c r="JA27" i="34"/>
  <c r="K94" i="33"/>
  <c r="K14" i="33" s="1"/>
  <c r="GM28" i="34"/>
  <c r="HO9" i="34"/>
  <c r="EZ87" i="33"/>
  <c r="EZ13" i="33" s="1"/>
  <c r="LK37" i="34"/>
  <c r="FN22" i="34"/>
  <c r="AY94" i="33"/>
  <c r="AY14" i="33" s="1"/>
  <c r="BP15" i="34"/>
  <c r="BP9" i="34"/>
  <c r="MN14" i="34"/>
  <c r="Y19" i="34"/>
  <c r="BP10" i="34"/>
  <c r="LE23" i="34"/>
  <c r="LY37" i="34"/>
  <c r="LR5" i="34"/>
  <c r="BF87" i="33"/>
  <c r="BF13" i="33" s="1"/>
  <c r="KP14" i="34"/>
  <c r="ME7" i="34"/>
  <c r="AR37" i="34"/>
  <c r="EA15" i="34"/>
  <c r="AC25" i="34"/>
  <c r="JD34" i="34"/>
  <c r="HF18" i="34"/>
  <c r="Y31" i="34"/>
  <c r="GN26" i="34"/>
  <c r="CA2" i="33"/>
  <c r="CX87" i="33"/>
  <c r="CX13" i="33" s="1"/>
  <c r="AT13" i="34"/>
  <c r="AQ23" i="34"/>
  <c r="AP9" i="34"/>
  <c r="BB20" i="34"/>
  <c r="OI26" i="34"/>
  <c r="BR14" i="34"/>
  <c r="DC11" i="34"/>
  <c r="FO189" i="34"/>
  <c r="ID27" i="34"/>
  <c r="NM37" i="34"/>
  <c r="CJ94" i="33"/>
  <c r="CJ14" i="33" s="1"/>
  <c r="FV18" i="34"/>
  <c r="BK45" i="28"/>
  <c r="BL45" i="28" s="1"/>
  <c r="BM87" i="33"/>
  <c r="BM13" i="33" s="1"/>
  <c r="AV12" i="34"/>
  <c r="EH33" i="34"/>
  <c r="AQ15" i="34"/>
  <c r="FX87" i="33"/>
  <c r="FX13" i="33" s="1"/>
  <c r="NI35" i="34"/>
  <c r="EI24" i="34"/>
  <c r="NN25" i="34"/>
  <c r="X26" i="34"/>
  <c r="PK20" i="34"/>
  <c r="JY23" i="34"/>
  <c r="EB28" i="34"/>
  <c r="LF29" i="34"/>
  <c r="DV35" i="34"/>
  <c r="KN22" i="34"/>
  <c r="FS9" i="34"/>
  <c r="CO12" i="34"/>
  <c r="AN36" i="34"/>
  <c r="CI29" i="34"/>
  <c r="AX94" i="33"/>
  <c r="AX14" i="33" s="1"/>
  <c r="EB11" i="34"/>
  <c r="T42" i="23"/>
  <c r="U42" i="23" s="1"/>
  <c r="U87" i="33"/>
  <c r="U13" i="33" s="1"/>
  <c r="GO27" i="34"/>
  <c r="BK146" i="28"/>
  <c r="BL146" i="28" s="1"/>
  <c r="LJ28" i="34"/>
  <c r="DB16" i="34"/>
  <c r="D24" i="17"/>
  <c r="LG35" i="34"/>
  <c r="DJ9" i="34"/>
  <c r="EY94" i="33"/>
  <c r="EY14" i="33" s="1"/>
  <c r="FA14" i="33" s="1"/>
  <c r="GO14" i="33" s="1"/>
  <c r="HV16" i="34"/>
  <c r="OH7" i="34"/>
  <c r="GN36" i="34"/>
  <c r="CM177" i="34"/>
  <c r="EZ26" i="34"/>
  <c r="AS2" i="33"/>
  <c r="AT22" i="34"/>
  <c r="LC19" i="34"/>
  <c r="NE9" i="34"/>
  <c r="ER87" i="33"/>
  <c r="ER13" i="33" s="1"/>
  <c r="AH9" i="34"/>
  <c r="IB11" i="34"/>
  <c r="GP29" i="34"/>
  <c r="AP35" i="34"/>
  <c r="OK31" i="34"/>
  <c r="AN20" i="34"/>
  <c r="CK16" i="34"/>
  <c r="GK34" i="34"/>
  <c r="OL14" i="34"/>
  <c r="FN33" i="34"/>
  <c r="NC14" i="34"/>
  <c r="LY17" i="34"/>
  <c r="AR21" i="34"/>
  <c r="DH34" i="34"/>
  <c r="NN36" i="34"/>
  <c r="HY31" i="34"/>
  <c r="NA11" i="34"/>
  <c r="H26" i="17"/>
  <c r="BB28" i="34"/>
  <c r="HU25" i="34"/>
  <c r="PX37" i="34"/>
  <c r="FR14" i="34"/>
  <c r="CM18" i="34"/>
  <c r="GQ28" i="34"/>
  <c r="MJ36" i="34"/>
  <c r="BN29" i="34"/>
  <c r="EC177" i="34"/>
  <c r="JC33" i="34"/>
  <c r="AV31" i="34"/>
  <c r="DA8" i="34"/>
  <c r="AZ25" i="34"/>
  <c r="AN18" i="34"/>
  <c r="GY23" i="33"/>
  <c r="X19" i="34"/>
  <c r="DA94" i="33"/>
  <c r="JC34" i="34"/>
  <c r="FS21" i="34"/>
  <c r="DB15" i="34"/>
  <c r="GU30" i="33"/>
  <c r="AH19" i="17" s="1"/>
  <c r="KB23" i="34"/>
  <c r="J36" i="34"/>
  <c r="T94" i="33"/>
  <c r="T14" i="33" s="1"/>
  <c r="DV10" i="34"/>
  <c r="X10" i="34"/>
  <c r="KO179" i="34"/>
  <c r="EG179" i="34"/>
  <c r="GU26" i="33"/>
  <c r="KP179" i="34"/>
  <c r="CL21" i="34"/>
  <c r="FS87" i="33"/>
  <c r="FS13" i="33" s="1"/>
  <c r="CL87" i="33"/>
  <c r="AY37" i="34"/>
  <c r="GQ24" i="34"/>
  <c r="DJ20" i="34"/>
  <c r="DY7" i="34"/>
  <c r="CH26" i="34"/>
  <c r="EC34" i="34"/>
  <c r="IB29" i="34"/>
  <c r="CF14" i="34"/>
  <c r="GL14" i="34"/>
  <c r="GO37" i="34"/>
  <c r="CJ28" i="34"/>
  <c r="M8" i="17"/>
  <c r="N8" i="17" s="1"/>
  <c r="CU87" i="33"/>
  <c r="CU13" i="33" s="1"/>
  <c r="N23" i="13"/>
  <c r="DA30" i="34"/>
  <c r="V36" i="34"/>
  <c r="AR34" i="34"/>
  <c r="EA34" i="34"/>
  <c r="DX14" i="34"/>
  <c r="T13" i="23"/>
  <c r="U13" i="23" s="1"/>
  <c r="KC30" i="34"/>
  <c r="KB11" i="34"/>
  <c r="T59" i="23"/>
  <c r="U59" i="23" s="1"/>
  <c r="CL8" i="34"/>
  <c r="BP32" i="34"/>
  <c r="HE23" i="34"/>
  <c r="HZ17" i="34"/>
  <c r="J8" i="34"/>
  <c r="CJ33" i="34"/>
  <c r="IW179" i="34"/>
  <c r="MA17" i="34"/>
  <c r="JH177" i="34"/>
  <c r="DI10" i="34"/>
  <c r="AA87" i="33"/>
  <c r="AA13" i="33" s="1"/>
  <c r="KP19" i="34"/>
  <c r="GM31" i="34"/>
  <c r="DJ32" i="34"/>
  <c r="AI87" i="33"/>
  <c r="AI13" i="33" s="1"/>
  <c r="AS22" i="34"/>
  <c r="IC16" i="34"/>
  <c r="M107" i="28"/>
  <c r="R107" i="28" s="1"/>
  <c r="S107" i="28" s="1"/>
  <c r="T107" i="28" s="1"/>
  <c r="LK9" i="34"/>
  <c r="DF87" i="33"/>
  <c r="DF13" i="33" s="1"/>
  <c r="CM28" i="34"/>
  <c r="DH189" i="34"/>
  <c r="AR35" i="34"/>
  <c r="AQ9" i="34"/>
  <c r="EQ87" i="33"/>
  <c r="EQ13" i="33" s="1"/>
  <c r="IU12" i="34"/>
  <c r="BK108" i="28"/>
  <c r="BL108" i="28" s="1"/>
  <c r="T95" i="23"/>
  <c r="U95" i="23" s="1"/>
  <c r="KB29" i="34"/>
  <c r="MG8" i="34"/>
  <c r="BK91" i="28"/>
  <c r="BL91" i="28" s="1"/>
  <c r="NG24" i="34"/>
  <c r="AO10" i="34"/>
  <c r="BQ14" i="34"/>
  <c r="LF16" i="34"/>
  <c r="U18" i="34"/>
  <c r="EF36" i="34"/>
  <c r="IV19" i="34"/>
  <c r="DB34" i="34"/>
  <c r="AQ28" i="34"/>
  <c r="AJ87" i="33"/>
  <c r="AJ13" i="33" s="1"/>
  <c r="IE19" i="34"/>
  <c r="LF31" i="34"/>
  <c r="DW36" i="34"/>
  <c r="AX29" i="34"/>
  <c r="MD189" i="34"/>
  <c r="NN17" i="34"/>
  <c r="LK15" i="34"/>
  <c r="LY32" i="34"/>
  <c r="HD18" i="34"/>
  <c r="T100" i="23"/>
  <c r="U100" i="23" s="1"/>
  <c r="HW35" i="34"/>
  <c r="LC189" i="34"/>
  <c r="AD20" i="34"/>
  <c r="JZ19" i="34"/>
  <c r="PG10" i="34"/>
  <c r="DG179" i="34"/>
  <c r="HC15" i="34"/>
  <c r="EY8" i="34"/>
  <c r="ND177" i="34"/>
  <c r="PA23" i="34"/>
  <c r="LB15" i="34"/>
  <c r="NI8" i="34"/>
  <c r="MG15" i="34"/>
  <c r="BA18" i="34"/>
  <c r="CE94" i="33"/>
  <c r="CE14" i="33" s="1"/>
  <c r="FT32" i="34"/>
  <c r="FX25" i="34"/>
  <c r="DD33" i="34"/>
  <c r="GK14" i="34"/>
  <c r="BA31" i="34"/>
  <c r="GK87" i="33"/>
  <c r="GK13" i="33" s="1"/>
  <c r="EH21" i="34"/>
  <c r="FO24" i="34"/>
  <c r="EF179" i="34"/>
  <c r="AH20" i="34"/>
  <c r="AY35" i="34"/>
  <c r="JU17" i="34"/>
  <c r="HV8" i="34"/>
  <c r="T19" i="34"/>
  <c r="KA14" i="34"/>
  <c r="GJ21" i="34"/>
  <c r="NG189" i="34"/>
  <c r="AD31" i="34"/>
  <c r="CD94" i="33"/>
  <c r="CD14" i="33" s="1"/>
  <c r="JU16" i="34"/>
  <c r="DA87" i="33"/>
  <c r="IQ15" i="34"/>
  <c r="OV6" i="34"/>
  <c r="JB34" i="34"/>
  <c r="KO37" i="34"/>
  <c r="CH87" i="33"/>
  <c r="CH13" i="33" s="1"/>
  <c r="PC27" i="34"/>
  <c r="EI177" i="34"/>
  <c r="EI190" i="34" s="1"/>
  <c r="EI38" i="34" s="1"/>
  <c r="ME25" i="34"/>
  <c r="EP87" i="33"/>
  <c r="EP13" i="33" s="1"/>
  <c r="CJ189" i="34"/>
  <c r="MG37" i="34"/>
  <c r="FX189" i="34"/>
  <c r="AP94" i="33"/>
  <c r="AP14" i="33" s="1"/>
  <c r="T215" i="23"/>
  <c r="U215" i="23" s="1"/>
  <c r="BN20" i="34"/>
  <c r="HU27" i="34"/>
  <c r="KO32" i="34"/>
  <c r="JT29" i="34"/>
  <c r="DM2" i="33"/>
  <c r="DI15" i="34"/>
  <c r="JT27" i="34"/>
  <c r="DQ6" i="34"/>
  <c r="DX11" i="34"/>
  <c r="AT17" i="34"/>
  <c r="HY18" i="34"/>
  <c r="NC30" i="34"/>
  <c r="DW32" i="34"/>
  <c r="HU22" i="34"/>
  <c r="GP10" i="34"/>
  <c r="EC19" i="34"/>
  <c r="BK78" i="28"/>
  <c r="BL78" i="28" s="1"/>
  <c r="NI28" i="34"/>
  <c r="DW26" i="34"/>
  <c r="GQ36" i="34"/>
  <c r="K177" i="34"/>
  <c r="GX4" i="34"/>
  <c r="AA24" i="34"/>
  <c r="FS33" i="34"/>
  <c r="HF27" i="34"/>
  <c r="MA8" i="34"/>
  <c r="FT17" i="34"/>
  <c r="BK141" i="28"/>
  <c r="BL141" i="28" s="1"/>
  <c r="ID8" i="34"/>
  <c r="FU22" i="34"/>
  <c r="EV87" i="33"/>
  <c r="EV13" i="33" s="1"/>
  <c r="MD8" i="34"/>
  <c r="CD21" i="34"/>
  <c r="IE34" i="34"/>
  <c r="AC20" i="34"/>
  <c r="BB12" i="34"/>
  <c r="FA25" i="34"/>
  <c r="IT33" i="34"/>
  <c r="MK28" i="34"/>
  <c r="GL177" i="34"/>
  <c r="CI189" i="34"/>
  <c r="IS23" i="34"/>
  <c r="JV22" i="34"/>
  <c r="R87" i="33"/>
  <c r="R13" i="33" s="1"/>
  <c r="O14" i="34"/>
  <c r="EB19" i="34"/>
  <c r="LH37" i="34"/>
  <c r="AR10" i="34"/>
  <c r="CV6" i="34"/>
  <c r="FQ36" i="34"/>
  <c r="KO34" i="34"/>
  <c r="CM8" i="34"/>
  <c r="JV13" i="34"/>
  <c r="MA30" i="34"/>
  <c r="Z20" i="34"/>
  <c r="S38" i="17"/>
  <c r="S7" i="17" s="1"/>
  <c r="IZ20" i="34"/>
  <c r="AW30" i="34"/>
  <c r="FV179" i="34"/>
  <c r="T85" i="23"/>
  <c r="U85" i="23" s="1"/>
  <c r="OI10" i="34"/>
  <c r="CN87" i="33"/>
  <c r="CN13" i="33" s="1"/>
  <c r="DB8" i="34"/>
  <c r="AB14" i="34"/>
  <c r="U30" i="34"/>
  <c r="KN26" i="34"/>
  <c r="DF19" i="34"/>
  <c r="AT33" i="34"/>
  <c r="HV32" i="34"/>
  <c r="KN177" i="34"/>
  <c r="ID20" i="34"/>
  <c r="HC34" i="34"/>
  <c r="ML27" i="34"/>
  <c r="DX12" i="34"/>
  <c r="HC36" i="34"/>
  <c r="FT14" i="34"/>
  <c r="AC18" i="34"/>
  <c r="OC6" i="34"/>
  <c r="FS37" i="34"/>
  <c r="V31" i="17"/>
  <c r="T32" i="34"/>
  <c r="DV11" i="34"/>
  <c r="BQ7" i="34"/>
  <c r="U14" i="34"/>
  <c r="AN189" i="34"/>
  <c r="CJ7" i="34"/>
  <c r="EZ177" i="34"/>
  <c r="HT9" i="34"/>
  <c r="OI24" i="34"/>
  <c r="FQ87" i="33"/>
  <c r="FQ13" i="33" s="1"/>
  <c r="T16" i="34"/>
  <c r="IA24" i="34"/>
  <c r="JT33" i="34"/>
  <c r="GR38" i="33"/>
  <c r="AQ13" i="34"/>
  <c r="KN20" i="34"/>
  <c r="KG4" i="34"/>
  <c r="Z25" i="34"/>
  <c r="IR12" i="34"/>
  <c r="KB15" i="34"/>
  <c r="HY9" i="34"/>
  <c r="IW11" i="34"/>
  <c r="HD17" i="34"/>
  <c r="KL14" i="34"/>
  <c r="FP189" i="34"/>
  <c r="CE17" i="34"/>
  <c r="IB14" i="34"/>
  <c r="T173" i="23"/>
  <c r="U173" i="23" s="1"/>
  <c r="FT20" i="34"/>
  <c r="AN19" i="34"/>
  <c r="EE14" i="34"/>
  <c r="KC17" i="34"/>
  <c r="BB23" i="34"/>
  <c r="BA15" i="34"/>
  <c r="JH20" i="34"/>
  <c r="DX29" i="34"/>
  <c r="BO28" i="34"/>
  <c r="IC30" i="34"/>
  <c r="JX18" i="34"/>
  <c r="AS34" i="34"/>
  <c r="PB16" i="34"/>
  <c r="IA16" i="34"/>
  <c r="JY16" i="34"/>
  <c r="HY17" i="34"/>
  <c r="HV179" i="34"/>
  <c r="JG17" i="34"/>
  <c r="Y10" i="33"/>
  <c r="EH9" i="34"/>
  <c r="FR37" i="34"/>
  <c r="DZ10" i="34"/>
  <c r="AP19" i="34"/>
  <c r="NN35" i="34"/>
  <c r="Z10" i="34"/>
  <c r="EX16" i="34"/>
  <c r="BA25" i="34"/>
  <c r="V35" i="34"/>
  <c r="T174" i="23"/>
  <c r="U174" i="23" s="1"/>
  <c r="CC87" i="33"/>
  <c r="CC13" i="33" s="1"/>
  <c r="D13" i="35"/>
  <c r="F14" i="3"/>
  <c r="K14" i="3" s="1"/>
  <c r="L14" i="3" s="1"/>
  <c r="PZ11" i="34"/>
  <c r="LZ177" i="34"/>
  <c r="OO8" i="34"/>
  <c r="HX7" i="34"/>
  <c r="LY25" i="34"/>
  <c r="T91" i="23"/>
  <c r="U91" i="23" s="1"/>
  <c r="KO7" i="34"/>
  <c r="EX21" i="34"/>
  <c r="T77" i="23"/>
  <c r="U77" i="23" s="1"/>
  <c r="AA36" i="34"/>
  <c r="IY20" i="34"/>
  <c r="BK77" i="28"/>
  <c r="BL77" i="28" s="1"/>
  <c r="BN62" i="28"/>
  <c r="BP37" i="34"/>
  <c r="LD29" i="34"/>
  <c r="PD34" i="34"/>
  <c r="NB189" i="34"/>
  <c r="IY37" i="34"/>
  <c r="AQ27" i="34"/>
  <c r="Y30" i="34"/>
  <c r="GL30" i="34"/>
  <c r="KO28" i="34"/>
  <c r="CF10" i="34"/>
  <c r="U37" i="34"/>
  <c r="JG34" i="34"/>
  <c r="JG9" i="34"/>
  <c r="EF189" i="34"/>
  <c r="DA16" i="34"/>
  <c r="AM14" i="34"/>
  <c r="HX16" i="34"/>
  <c r="GU12" i="33"/>
  <c r="Z35" i="34"/>
  <c r="AC34" i="34"/>
  <c r="JB30" i="34"/>
  <c r="NA16" i="34"/>
  <c r="DH30" i="34"/>
  <c r="CF34" i="34"/>
  <c r="LA23" i="34"/>
  <c r="DZ177" i="34"/>
  <c r="HY179" i="34"/>
  <c r="DC28" i="34"/>
  <c r="EX177" i="34"/>
  <c r="GN30" i="34"/>
  <c r="HH189" i="34"/>
  <c r="BN23" i="34"/>
  <c r="T84" i="23"/>
  <c r="U84" i="23" s="1"/>
  <c r="JG14" i="34"/>
  <c r="AV18" i="34"/>
  <c r="KC32" i="34"/>
  <c r="DD10" i="34"/>
  <c r="T71" i="23"/>
  <c r="U71" i="23" s="1"/>
  <c r="DB10" i="34"/>
  <c r="AP11" i="34"/>
  <c r="JD17" i="34"/>
  <c r="IR27" i="34"/>
  <c r="GI87" i="33"/>
  <c r="GI13" i="33" s="1"/>
  <c r="JV29" i="34"/>
  <c r="GP179" i="34"/>
  <c r="PJ35" i="34"/>
  <c r="JY20" i="34"/>
  <c r="CM34" i="34"/>
  <c r="IY17" i="34"/>
  <c r="DG16" i="34"/>
  <c r="AD15" i="34"/>
  <c r="IQ19" i="34"/>
  <c r="JY24" i="34"/>
  <c r="KO29" i="34"/>
  <c r="IZ14" i="34"/>
  <c r="GK20" i="34"/>
  <c r="EJ7" i="34"/>
  <c r="FP12" i="34"/>
  <c r="JE8" i="34"/>
  <c r="DB7" i="34"/>
  <c r="KL9" i="34"/>
  <c r="EB12" i="34"/>
  <c r="FQ30" i="34"/>
  <c r="EE20" i="34"/>
  <c r="NF23" i="34"/>
  <c r="OK33" i="34"/>
  <c r="T109" i="23"/>
  <c r="U109" i="23" s="1"/>
  <c r="AP21" i="34"/>
  <c r="FU23" i="34"/>
  <c r="D15" i="35"/>
  <c r="F16" i="3"/>
  <c r="K16" i="3" s="1"/>
  <c r="L16" i="3" s="1"/>
  <c r="M16" i="3" s="1"/>
  <c r="PB189" i="34"/>
  <c r="GP37" i="34"/>
  <c r="DE7" i="34"/>
  <c r="CG36" i="34"/>
  <c r="FB23" i="34"/>
  <c r="FT9" i="34"/>
  <c r="LZ35" i="34"/>
  <c r="AU7" i="34"/>
  <c r="EJ19" i="34"/>
  <c r="MB23" i="34"/>
  <c r="PH33" i="34"/>
  <c r="CK18" i="34"/>
  <c r="IA30" i="34"/>
  <c r="CD87" i="33"/>
  <c r="CD13" i="33" s="1"/>
  <c r="EB23" i="34"/>
  <c r="CM14" i="34"/>
  <c r="JA12" i="34"/>
  <c r="PF189" i="34"/>
  <c r="DF33" i="34"/>
  <c r="PD28" i="34"/>
  <c r="LF36" i="34"/>
  <c r="JF29" i="34"/>
  <c r="GL24" i="34"/>
  <c r="KQ12" i="34"/>
  <c r="NF26" i="34"/>
  <c r="CJ8" i="34"/>
  <c r="EH19" i="34"/>
  <c r="Z21" i="34"/>
  <c r="KC8" i="34"/>
  <c r="EB25" i="34"/>
  <c r="JG28" i="34"/>
  <c r="T147" i="23"/>
  <c r="U147" i="23" s="1"/>
  <c r="BK83" i="28"/>
  <c r="BL83" i="28" s="1"/>
  <c r="JU14" i="34"/>
  <c r="DD21" i="34"/>
  <c r="ON7" i="34"/>
  <c r="HZ27" i="34"/>
  <c r="OM31" i="34"/>
  <c r="NM11" i="34"/>
  <c r="NJ11" i="34"/>
  <c r="JC7" i="34"/>
  <c r="LA179" i="34"/>
  <c r="V7" i="34"/>
  <c r="DV23" i="34"/>
  <c r="ID14" i="34"/>
  <c r="AX16" i="34"/>
  <c r="DA21" i="34"/>
  <c r="AP8" i="34"/>
  <c r="EW9" i="34"/>
  <c r="DH7" i="34"/>
  <c r="FN9" i="34"/>
  <c r="BQ22" i="34"/>
  <c r="AB32" i="34"/>
  <c r="DX37" i="34"/>
  <c r="LJ16" i="34"/>
  <c r="FR23" i="34"/>
  <c r="IR34" i="34"/>
  <c r="FV26" i="34"/>
  <c r="DY32" i="34"/>
  <c r="P94" i="33"/>
  <c r="P14" i="33" s="1"/>
  <c r="DG29" i="34"/>
  <c r="GO23" i="34"/>
  <c r="AA18" i="17"/>
  <c r="Z19" i="17" s="1"/>
  <c r="MF25" i="34"/>
  <c r="FI6" i="34"/>
  <c r="JX189" i="34"/>
  <c r="EW8" i="34"/>
  <c r="CF18" i="34"/>
  <c r="NE16" i="34"/>
  <c r="ID23" i="34"/>
  <c r="DW16" i="34"/>
  <c r="BB87" i="33"/>
  <c r="BB13" i="33" s="1"/>
  <c r="JE31" i="34"/>
  <c r="LB20" i="34"/>
  <c r="MC33" i="34"/>
  <c r="FS12" i="34"/>
  <c r="IV26" i="34"/>
  <c r="CI11" i="34"/>
  <c r="H87" i="33"/>
  <c r="H13" i="33" s="1"/>
  <c r="AR2" i="33"/>
  <c r="CO177" i="34"/>
  <c r="NH14" i="34"/>
  <c r="MF21" i="34"/>
  <c r="JV189" i="34"/>
  <c r="BN14" i="34"/>
  <c r="ED189" i="34"/>
  <c r="LI23" i="34"/>
  <c r="Z30" i="34"/>
  <c r="MC177" i="34"/>
  <c r="AI10" i="33"/>
  <c r="FV21" i="34"/>
  <c r="FA21" i="34"/>
  <c r="DY17" i="34"/>
  <c r="M101" i="28"/>
  <c r="R101" i="28" s="1"/>
  <c r="S101" i="28" s="1"/>
  <c r="T101" i="28" s="1"/>
  <c r="IV8" i="34"/>
  <c r="LG10" i="34"/>
  <c r="CD30" i="34"/>
  <c r="FR94" i="33"/>
  <c r="FR14" i="33" s="1"/>
  <c r="BK114" i="28"/>
  <c r="BL114" i="28" s="1"/>
  <c r="HF22" i="34"/>
  <c r="GF94" i="33"/>
  <c r="GF14" i="33" s="1"/>
  <c r="GM27" i="34"/>
  <c r="JF22" i="34"/>
  <c r="AM18" i="34"/>
  <c r="NM9" i="34"/>
  <c r="HH27" i="34"/>
  <c r="PW19" i="34"/>
  <c r="T26" i="34"/>
  <c r="EC7" i="34"/>
  <c r="GN37" i="34"/>
  <c r="X179" i="34"/>
  <c r="GJ36" i="34"/>
  <c r="CY94" i="33"/>
  <c r="CY14" i="33" s="1"/>
  <c r="AY16" i="34"/>
  <c r="NB27" i="34"/>
  <c r="FO10" i="34"/>
  <c r="HH23" i="34"/>
  <c r="NO34" i="34"/>
  <c r="CL32" i="34"/>
  <c r="U27" i="34"/>
  <c r="IC179" i="34"/>
  <c r="AS189" i="34"/>
  <c r="HU11" i="34"/>
  <c r="DH9" i="34"/>
  <c r="AA8" i="34"/>
  <c r="IT8" i="34"/>
  <c r="AH12" i="34"/>
  <c r="EY20" i="34"/>
  <c r="DL2" i="33"/>
  <c r="MJ10" i="34"/>
  <c r="BP25" i="34"/>
  <c r="DV179" i="34"/>
  <c r="LX19" i="34"/>
  <c r="EY32" i="34"/>
  <c r="AN9" i="34"/>
  <c r="PX10" i="34"/>
  <c r="AT26" i="34"/>
  <c r="HO7" i="34"/>
  <c r="OJ17" i="34"/>
  <c r="HU177" i="34"/>
  <c r="CH28" i="34"/>
  <c r="IY30" i="34"/>
  <c r="FO16" i="34"/>
  <c r="OK8" i="34"/>
  <c r="BB30" i="34"/>
  <c r="DD24" i="34"/>
  <c r="DH20" i="34"/>
  <c r="U20" i="34"/>
  <c r="PY15" i="34"/>
  <c r="MA26" i="34"/>
  <c r="EG18" i="34"/>
  <c r="IC22" i="34"/>
  <c r="AC23" i="34"/>
  <c r="HX24" i="34"/>
  <c r="DF22" i="34"/>
  <c r="DD13" i="34"/>
  <c r="BK169" i="28"/>
  <c r="BL169" i="28" s="1"/>
  <c r="J30" i="34"/>
  <c r="NO21" i="34"/>
  <c r="K25" i="34"/>
  <c r="IB28" i="34"/>
  <c r="LK24" i="34"/>
  <c r="ML9" i="34"/>
  <c r="LF24" i="34"/>
  <c r="LX30" i="34"/>
  <c r="EH23" i="34"/>
  <c r="LE36" i="34"/>
  <c r="IT35" i="34"/>
  <c r="EB20" i="34"/>
  <c r="AT29" i="34"/>
  <c r="GP24" i="34"/>
  <c r="JO7" i="34"/>
  <c r="NG23" i="34"/>
  <c r="CI26" i="34"/>
  <c r="DE28" i="34"/>
  <c r="PB177" i="34"/>
  <c r="FO34" i="34"/>
  <c r="CI19" i="34"/>
  <c r="DX35" i="34"/>
  <c r="CN8" i="34"/>
  <c r="CM189" i="34"/>
  <c r="GN179" i="34"/>
  <c r="AW32" i="34"/>
  <c r="IA9" i="34"/>
  <c r="AQ26" i="34"/>
  <c r="IQ36" i="34"/>
  <c r="EY189" i="34"/>
  <c r="X28" i="34"/>
  <c r="EA8" i="34"/>
  <c r="LK12" i="34"/>
  <c r="AZ94" i="33"/>
  <c r="AZ14" i="33" s="1"/>
  <c r="EJ34" i="34"/>
  <c r="ND17" i="34"/>
  <c r="DX179" i="34"/>
  <c r="HF12" i="34"/>
  <c r="IC35" i="34"/>
  <c r="DJ37" i="34"/>
  <c r="FK94" i="33"/>
  <c r="FK14" i="33" s="1"/>
  <c r="CE30" i="34"/>
  <c r="MN11" i="34"/>
  <c r="NL11" i="34"/>
  <c r="HH19" i="34"/>
  <c r="JE17" i="34"/>
  <c r="PJ177" i="34"/>
  <c r="AY18" i="34"/>
  <c r="DW20" i="34"/>
  <c r="IQ27" i="34"/>
  <c r="EJ37" i="34"/>
  <c r="CI9" i="34"/>
  <c r="AN14" i="34"/>
  <c r="KA7" i="34"/>
  <c r="AR11" i="34"/>
  <c r="MD34" i="34"/>
  <c r="EW30" i="34"/>
  <c r="IT14" i="34"/>
  <c r="IA28" i="34"/>
  <c r="LY19" i="34"/>
  <c r="KC29" i="34"/>
  <c r="JD31" i="34"/>
  <c r="X31" i="34"/>
  <c r="AW11" i="34"/>
  <c r="AA10" i="34"/>
  <c r="KC12" i="34"/>
  <c r="KO11" i="34"/>
  <c r="MK11" i="34"/>
  <c r="FT11" i="34"/>
  <c r="FL94" i="33"/>
  <c r="FL14" i="33" s="1"/>
  <c r="JZ24" i="34"/>
  <c r="BK150" i="28"/>
  <c r="BL150" i="28" s="1"/>
  <c r="AB12" i="34"/>
  <c r="HH14" i="34"/>
  <c r="IE9" i="34"/>
  <c r="AH13" i="34"/>
  <c r="PI30" i="34"/>
  <c r="T125" i="23"/>
  <c r="U125" i="23" s="1"/>
  <c r="BK74" i="28"/>
  <c r="BL74" i="28" s="1"/>
  <c r="EY11" i="34"/>
  <c r="FX31" i="34"/>
  <c r="JA179" i="34"/>
  <c r="HC13" i="34"/>
  <c r="IV35" i="34"/>
  <c r="CJ17" i="34"/>
  <c r="PB21" i="34"/>
  <c r="DD31" i="34"/>
  <c r="AM94" i="33"/>
  <c r="AM14" i="33" s="1"/>
  <c r="NJ27" i="34"/>
  <c r="PC11" i="34"/>
  <c r="DH11" i="34"/>
  <c r="DY18" i="34"/>
  <c r="BQ35" i="34"/>
  <c r="CI17" i="34"/>
  <c r="KR18" i="34"/>
  <c r="CX94" i="33"/>
  <c r="CX14" i="33" s="1"/>
  <c r="AV189" i="34"/>
  <c r="NH19" i="34"/>
  <c r="G18" i="3"/>
  <c r="F18" i="3"/>
  <c r="EA10" i="34"/>
  <c r="AD37" i="34"/>
  <c r="O10" i="34"/>
  <c r="MO18" i="34"/>
  <c r="AU32" i="34"/>
  <c r="GQ179" i="34"/>
  <c r="MF33" i="34"/>
  <c r="AY21" i="34"/>
  <c r="HU24" i="34"/>
  <c r="DQ4" i="34"/>
  <c r="DZ27" i="34"/>
  <c r="HV10" i="34"/>
  <c r="LH21" i="34"/>
  <c r="DI16" i="34"/>
  <c r="IT31" i="34"/>
  <c r="AX34" i="34"/>
  <c r="ED37" i="34"/>
  <c r="GL87" i="33"/>
  <c r="GL13" i="33" s="1"/>
  <c r="EW32" i="34"/>
  <c r="AD32" i="34"/>
  <c r="DV17" i="34"/>
  <c r="BQ28" i="34"/>
  <c r="EZ30" i="34"/>
  <c r="T13" i="34"/>
  <c r="AS31" i="34"/>
  <c r="AS18" i="34"/>
  <c r="F117" i="28"/>
  <c r="F109" i="28"/>
  <c r="EF25" i="34"/>
  <c r="BU94" i="33"/>
  <c r="BU14" i="33" s="1"/>
  <c r="DD177" i="34"/>
  <c r="AZ18" i="34"/>
  <c r="AC7" i="34"/>
  <c r="EA189" i="34"/>
  <c r="MB33" i="34"/>
  <c r="MM25" i="34"/>
  <c r="IE22" i="34"/>
  <c r="KQ11" i="34"/>
  <c r="IT30" i="34"/>
  <c r="CE34" i="34"/>
  <c r="FO33" i="34"/>
  <c r="HU21" i="34"/>
  <c r="FN35" i="34"/>
  <c r="EF24" i="34"/>
  <c r="FO14" i="34"/>
  <c r="T47" i="23"/>
  <c r="U47" i="23" s="1"/>
  <c r="HC26" i="34"/>
  <c r="IA177" i="34"/>
  <c r="CD15" i="34"/>
  <c r="ID7" i="34"/>
  <c r="DG28" i="34"/>
  <c r="CM30" i="34"/>
  <c r="JB18" i="34"/>
  <c r="KA17" i="34"/>
  <c r="JW179" i="34"/>
  <c r="CO19" i="34"/>
  <c r="JW31" i="34"/>
  <c r="EF22" i="34"/>
  <c r="FS189" i="34"/>
  <c r="GE7" i="34"/>
  <c r="T137" i="23"/>
  <c r="U137" i="23" s="1"/>
  <c r="KB31" i="34"/>
  <c r="IC14" i="34"/>
  <c r="AJ94" i="33"/>
  <c r="AJ14" i="33" s="1"/>
  <c r="AW15" i="34"/>
  <c r="NP34" i="34"/>
  <c r="BR32" i="34"/>
  <c r="CE23" i="34"/>
  <c r="CK7" i="34"/>
  <c r="T136" i="23"/>
  <c r="U136" i="23" s="1"/>
  <c r="CE37" i="34"/>
  <c r="DC87" i="33"/>
  <c r="DC13" i="33" s="1"/>
  <c r="DC36" i="34"/>
  <c r="ED31" i="34"/>
  <c r="AU13" i="34"/>
  <c r="LF177" i="34"/>
  <c r="LF190" i="34" s="1"/>
  <c r="LF38" i="34" s="1"/>
  <c r="EJ30" i="34"/>
  <c r="IT34" i="34"/>
  <c r="MG18" i="34"/>
  <c r="FP10" i="34"/>
  <c r="FP30" i="34"/>
  <c r="MG31" i="34"/>
  <c r="NI36" i="34"/>
  <c r="M109" i="28"/>
  <c r="R109" i="28" s="1"/>
  <c r="S109" i="28" s="1"/>
  <c r="T109" i="28" s="1"/>
  <c r="LH29" i="34"/>
  <c r="EX35" i="34"/>
  <c r="BO31" i="34"/>
  <c r="MD31" i="34"/>
  <c r="Q44" i="13"/>
  <c r="H40" i="17"/>
  <c r="FQ94" i="33"/>
  <c r="FQ14" i="33" s="1"/>
  <c r="DF21" i="34"/>
  <c r="EB32" i="34"/>
  <c r="BO24" i="34"/>
  <c r="CL24" i="34"/>
  <c r="IQ13" i="34"/>
  <c r="AD27" i="34"/>
  <c r="DU94" i="33"/>
  <c r="GE6" i="34"/>
  <c r="EK15" i="34"/>
  <c r="EB21" i="34"/>
  <c r="AR13" i="34"/>
  <c r="DF27" i="34"/>
  <c r="FU18" i="34"/>
  <c r="CH20" i="34"/>
  <c r="AS37" i="34"/>
  <c r="LB29" i="34"/>
  <c r="KM189" i="34"/>
  <c r="HE20" i="34"/>
  <c r="W22" i="34"/>
  <c r="HC23" i="34"/>
  <c r="T208" i="23"/>
  <c r="U208" i="23" s="1"/>
  <c r="GM15" i="34"/>
  <c r="AA7" i="34"/>
  <c r="FW15" i="34"/>
  <c r="Z87" i="33"/>
  <c r="Z13" i="33" s="1"/>
  <c r="KB189" i="34"/>
  <c r="JU12" i="34"/>
  <c r="OL12" i="34"/>
  <c r="FX9" i="34"/>
  <c r="AN15" i="34"/>
  <c r="GK10" i="34"/>
  <c r="AD9" i="34"/>
  <c r="IA189" i="34"/>
  <c r="DG14" i="34"/>
  <c r="L132" i="28"/>
  <c r="LK13" i="34"/>
  <c r="LH7" i="34"/>
  <c r="FR20" i="34"/>
  <c r="HH32" i="34"/>
  <c r="GG87" i="33"/>
  <c r="GG13" i="33" s="1"/>
  <c r="HX179" i="34"/>
  <c r="JZ16" i="34"/>
  <c r="GM94" i="33"/>
  <c r="GM14" i="33" s="1"/>
  <c r="DI28" i="34"/>
  <c r="HX10" i="34"/>
  <c r="KL19" i="34"/>
  <c r="JB189" i="34"/>
  <c r="DW24" i="34"/>
  <c r="BB37" i="34"/>
  <c r="JV177" i="34"/>
  <c r="NP22" i="34"/>
  <c r="AN27" i="34"/>
  <c r="FA9" i="33"/>
  <c r="GO9" i="33" s="1"/>
  <c r="GU36" i="33" s="1"/>
  <c r="JX36" i="34"/>
  <c r="BO20" i="34"/>
  <c r="CN27" i="34"/>
  <c r="AX28" i="34"/>
  <c r="JV179" i="34"/>
  <c r="DA37" i="34"/>
  <c r="AN28" i="34"/>
  <c r="LD15" i="34"/>
  <c r="KC19" i="34"/>
  <c r="IY16" i="34"/>
  <c r="CM21" i="34"/>
  <c r="KA27" i="34"/>
  <c r="KL12" i="34"/>
  <c r="BR87" i="33"/>
  <c r="BR13" i="33" s="1"/>
  <c r="JD19" i="34"/>
  <c r="BR17" i="34"/>
  <c r="HV20" i="34"/>
  <c r="IA27" i="34"/>
  <c r="AV14" i="34"/>
  <c r="U29" i="34"/>
  <c r="HZ26" i="34"/>
  <c r="KA37" i="34"/>
  <c r="GM10" i="34"/>
  <c r="DY14" i="34"/>
  <c r="ND24" i="34"/>
  <c r="IQ24" i="34"/>
  <c r="DV37" i="34"/>
  <c r="FS27" i="34"/>
  <c r="KC15" i="34"/>
  <c r="BB24" i="34"/>
  <c r="DE20" i="34"/>
  <c r="IZ27" i="34"/>
  <c r="CK11" i="34"/>
  <c r="BR10" i="34"/>
  <c r="FS28" i="34"/>
  <c r="CO7" i="34"/>
  <c r="FQ189" i="34"/>
  <c r="EF28" i="34"/>
  <c r="JX21" i="34"/>
  <c r="MC31" i="34"/>
  <c r="CF19" i="34"/>
  <c r="NF29" i="34"/>
  <c r="MN34" i="34"/>
  <c r="GP31" i="34"/>
  <c r="DD23" i="34"/>
  <c r="FW34" i="34"/>
  <c r="JX179" i="34"/>
  <c r="IA7" i="34"/>
  <c r="HT22" i="34"/>
  <c r="AM35" i="34"/>
  <c r="FO20" i="34"/>
  <c r="AU36" i="34"/>
  <c r="AB37" i="34"/>
  <c r="ME23" i="34"/>
  <c r="HF13" i="34"/>
  <c r="AY11" i="34"/>
  <c r="AX21" i="34"/>
  <c r="JU27" i="34"/>
  <c r="CO37" i="34"/>
  <c r="DG94" i="33"/>
  <c r="DG14" i="33" s="1"/>
  <c r="W18" i="34"/>
  <c r="LG20" i="34"/>
  <c r="AC35" i="34"/>
  <c r="BR34" i="34"/>
  <c r="JD15" i="34"/>
  <c r="AC28" i="34"/>
  <c r="OJ10" i="34"/>
  <c r="AC13" i="34"/>
  <c r="MM177" i="34"/>
  <c r="FP35" i="34"/>
  <c r="NI33" i="34"/>
  <c r="HE36" i="34"/>
  <c r="LB25" i="34"/>
  <c r="MK12" i="34"/>
  <c r="JV18" i="34"/>
  <c r="MM13" i="34"/>
  <c r="GP7" i="34"/>
  <c r="CF23" i="34"/>
  <c r="FO94" i="33"/>
  <c r="FO14" i="33" s="1"/>
  <c r="HY26" i="34"/>
  <c r="DA25" i="34"/>
  <c r="AQ20" i="34"/>
  <c r="GB87" i="33"/>
  <c r="GB13" i="33" s="1"/>
  <c r="EJ20" i="34"/>
  <c r="JX11" i="34"/>
  <c r="HG179" i="34"/>
  <c r="CI10" i="34"/>
  <c r="JT15" i="34"/>
  <c r="EG33" i="34"/>
  <c r="DT94" i="33"/>
  <c r="DT14" i="33" s="1"/>
  <c r="Z33" i="34"/>
  <c r="BA12" i="34"/>
  <c r="GJ19" i="34"/>
  <c r="KR31" i="34"/>
  <c r="KM23" i="34"/>
  <c r="FB179" i="34"/>
  <c r="KO20" i="34"/>
  <c r="EX8" i="34"/>
  <c r="PF18" i="34"/>
  <c r="DI29" i="34"/>
  <c r="AX189" i="34"/>
  <c r="PZ8" i="34"/>
  <c r="AM177" i="34"/>
  <c r="HT25" i="34"/>
  <c r="AV19" i="34"/>
  <c r="LE34" i="34"/>
  <c r="DV20" i="34"/>
  <c r="LY22" i="34"/>
  <c r="EE25" i="34"/>
  <c r="BR189" i="34"/>
  <c r="BR19" i="34"/>
  <c r="DE16" i="34"/>
  <c r="FN26" i="34"/>
  <c r="GP17" i="34"/>
  <c r="IR22" i="34"/>
  <c r="FT27" i="34"/>
  <c r="EZ12" i="34"/>
  <c r="JC13" i="34"/>
  <c r="PX29" i="34"/>
  <c r="CJ13" i="34"/>
  <c r="NN27" i="34"/>
  <c r="LH25" i="34"/>
  <c r="D20" i="17"/>
  <c r="JB179" i="34"/>
  <c r="N102" i="28"/>
  <c r="M102" i="28"/>
  <c r="EA17" i="34"/>
  <c r="D16" i="17"/>
  <c r="HV33" i="34"/>
  <c r="KB16" i="34"/>
  <c r="IL6" i="34"/>
  <c r="CN36" i="34"/>
  <c r="EX10" i="34"/>
  <c r="MD24" i="34"/>
  <c r="FA33" i="34"/>
  <c r="AY12" i="34"/>
  <c r="GN31" i="34"/>
  <c r="AW179" i="34"/>
  <c r="NO35" i="34"/>
  <c r="FQ29" i="34"/>
  <c r="NC33" i="34"/>
  <c r="IV10" i="34"/>
  <c r="AO33" i="34"/>
  <c r="LK19" i="34"/>
  <c r="EX12" i="34"/>
  <c r="V12" i="34"/>
  <c r="HU29" i="34"/>
  <c r="BR35" i="34"/>
  <c r="BP189" i="34"/>
  <c r="HC22" i="34"/>
  <c r="GK21" i="34"/>
  <c r="MO19" i="34"/>
  <c r="AT179" i="34"/>
  <c r="AR17" i="34"/>
  <c r="GN22" i="34"/>
  <c r="GJ35" i="34"/>
  <c r="AN24" i="34"/>
  <c r="AW14" i="34"/>
  <c r="LB37" i="34"/>
  <c r="DZ14" i="34"/>
  <c r="JX30" i="34"/>
  <c r="FP28" i="34"/>
  <c r="HF9" i="34"/>
  <c r="AC36" i="34"/>
  <c r="HC8" i="34"/>
  <c r="AU34" i="34"/>
  <c r="NN24" i="34"/>
  <c r="EZ18" i="34"/>
  <c r="DC189" i="34"/>
  <c r="HH25" i="34"/>
  <c r="FX16" i="34"/>
  <c r="AC22" i="34"/>
  <c r="ON36" i="34"/>
  <c r="T114" i="23"/>
  <c r="U114" i="23" s="1"/>
  <c r="IS15" i="34"/>
  <c r="MB17" i="34"/>
  <c r="IB27" i="34"/>
  <c r="BO23" i="34"/>
  <c r="MB20" i="34"/>
  <c r="DH37" i="34"/>
  <c r="DH179" i="34"/>
  <c r="V17" i="34"/>
  <c r="T108" i="23"/>
  <c r="U108" i="23" s="1"/>
  <c r="KL21" i="34"/>
  <c r="PC20" i="34"/>
  <c r="EB34" i="34"/>
  <c r="AU26" i="34"/>
  <c r="NF20" i="34"/>
  <c r="CE10" i="34"/>
  <c r="NC19" i="34"/>
  <c r="DG10" i="34"/>
  <c r="AM31" i="34"/>
  <c r="IA10" i="34"/>
  <c r="CI87" i="33"/>
  <c r="CI13" i="33" s="1"/>
  <c r="Z23" i="34"/>
  <c r="DJ21" i="34"/>
  <c r="CG13" i="34"/>
  <c r="T176" i="23"/>
  <c r="U176" i="23" s="1"/>
  <c r="HE14" i="34"/>
  <c r="CF94" i="33"/>
  <c r="CF14" i="33" s="1"/>
  <c r="KB20" i="34"/>
  <c r="J179" i="34"/>
  <c r="DH16" i="34"/>
  <c r="CG31" i="34"/>
  <c r="MN22" i="34"/>
  <c r="BA177" i="34"/>
  <c r="CO27" i="34"/>
  <c r="HZ32" i="34"/>
  <c r="JE26" i="34"/>
  <c r="DW8" i="34"/>
  <c r="BO32" i="34"/>
  <c r="HT26" i="34"/>
  <c r="BQ15" i="34"/>
  <c r="LE19" i="34"/>
  <c r="GP28" i="34"/>
  <c r="JB32" i="34"/>
  <c r="DH28" i="34"/>
  <c r="MO30" i="34"/>
  <c r="K27" i="34"/>
  <c r="DV7" i="34"/>
  <c r="DY21" i="34"/>
  <c r="EC12" i="34"/>
  <c r="IZ24" i="34"/>
  <c r="BQ32" i="34"/>
  <c r="U32" i="34"/>
  <c r="HG26" i="34"/>
  <c r="GP26" i="34"/>
  <c r="KN16" i="34"/>
  <c r="JX37" i="34"/>
  <c r="AY27" i="34"/>
  <c r="GL11" i="34"/>
  <c r="JT25" i="34"/>
  <c r="S29" i="17"/>
  <c r="GJ14" i="34"/>
  <c r="DX13" i="34"/>
  <c r="W19" i="34"/>
  <c r="BO16" i="34"/>
  <c r="KB7" i="34"/>
  <c r="JZ26" i="34"/>
  <c r="AX33" i="34"/>
  <c r="MM34" i="34"/>
  <c r="EG14" i="34"/>
  <c r="NO31" i="34"/>
  <c r="J14" i="34"/>
  <c r="AN26" i="34"/>
  <c r="MF8" i="34"/>
  <c r="NL34" i="34"/>
  <c r="FX20" i="34"/>
  <c r="HW25" i="34"/>
  <c r="EH15" i="34"/>
  <c r="EA12" i="34"/>
  <c r="EZ20" i="34"/>
  <c r="IT10" i="34"/>
  <c r="FX26" i="34"/>
  <c r="AM29" i="34"/>
  <c r="BI87" i="33"/>
  <c r="BI13" i="33" s="1"/>
  <c r="O11" i="34"/>
  <c r="MJ33" i="34"/>
  <c r="KM179" i="34"/>
  <c r="IV17" i="34"/>
  <c r="CG37" i="34"/>
  <c r="DB22" i="34"/>
  <c r="EI11" i="34"/>
  <c r="AQ32" i="34"/>
  <c r="BO21" i="34"/>
  <c r="BO25" i="34"/>
  <c r="DI34" i="34"/>
  <c r="X87" i="33"/>
  <c r="X13" i="33" s="1"/>
  <c r="OC4" i="34"/>
  <c r="EK87" i="33"/>
  <c r="EK13" i="33" s="1"/>
  <c r="LD179" i="34"/>
  <c r="J87" i="33"/>
  <c r="J13" i="33" s="1"/>
  <c r="AD11" i="34"/>
  <c r="LE29" i="34"/>
  <c r="AA25" i="34"/>
  <c r="IC12" i="34"/>
  <c r="AQ35" i="34"/>
  <c r="NF37" i="34"/>
  <c r="HW17" i="34"/>
  <c r="EW29" i="34"/>
  <c r="W17" i="34"/>
  <c r="FB33" i="34"/>
  <c r="IZ8" i="34"/>
  <c r="CJ37" i="34"/>
  <c r="DX23" i="34"/>
  <c r="FT179" i="34"/>
  <c r="KN37" i="34"/>
  <c r="HG35" i="34"/>
  <c r="BS94" i="33"/>
  <c r="BS14" i="33" s="1"/>
  <c r="IZ17" i="34"/>
  <c r="DH21" i="34"/>
  <c r="CK37" i="34"/>
  <c r="V8" i="34"/>
  <c r="MB14" i="34"/>
  <c r="DA27" i="34"/>
  <c r="LK25" i="34"/>
  <c r="AS24" i="34"/>
  <c r="CH17" i="34"/>
  <c r="GN94" i="33"/>
  <c r="GN14" i="33" s="1"/>
  <c r="CM31" i="34"/>
  <c r="HV21" i="34"/>
  <c r="FS36" i="34"/>
  <c r="HZ12" i="34"/>
  <c r="FW94" i="33"/>
  <c r="FW14" i="33" s="1"/>
  <c r="GE87" i="33"/>
  <c r="GE13" i="33" s="1"/>
  <c r="EG29" i="34"/>
  <c r="AO21" i="34"/>
  <c r="K87" i="33"/>
  <c r="K13" i="33" s="1"/>
  <c r="JF14" i="34"/>
  <c r="EC10" i="34"/>
  <c r="MN24" i="34"/>
  <c r="BR7" i="34"/>
  <c r="DH10" i="34"/>
  <c r="NO10" i="34"/>
  <c r="HF29" i="34"/>
  <c r="KO17" i="34"/>
  <c r="FT23" i="34"/>
  <c r="AW12" i="34"/>
  <c r="FP177" i="34"/>
  <c r="JU36" i="34"/>
  <c r="CJ25" i="34"/>
  <c r="HC14" i="34"/>
  <c r="FV34" i="34"/>
  <c r="AR25" i="34"/>
  <c r="JZ15" i="34"/>
  <c r="HD33" i="34"/>
  <c r="MC189" i="34"/>
  <c r="GN7" i="34"/>
  <c r="HZ14" i="34"/>
  <c r="GM7" i="34"/>
  <c r="HH37" i="34"/>
  <c r="AX26" i="34"/>
  <c r="OO23" i="34"/>
  <c r="AP18" i="34"/>
  <c r="FA15" i="34"/>
  <c r="T44" i="23"/>
  <c r="U44" i="23" s="1"/>
  <c r="MB27" i="34"/>
  <c r="AW23" i="34"/>
  <c r="Z27" i="34"/>
  <c r="CM22" i="34"/>
  <c r="IS22" i="34"/>
  <c r="HF189" i="34"/>
  <c r="BB7" i="34"/>
  <c r="AM189" i="34"/>
  <c r="MK36" i="34"/>
  <c r="MK21" i="34"/>
  <c r="IA32" i="34"/>
  <c r="IE37" i="34"/>
  <c r="LG19" i="34"/>
  <c r="HC33" i="34"/>
  <c r="BR12" i="34"/>
  <c r="DF26" i="34"/>
  <c r="FU177" i="34"/>
  <c r="FU190" i="34" s="1"/>
  <c r="FU38" i="34" s="1"/>
  <c r="DX189" i="34"/>
  <c r="AP33" i="34"/>
  <c r="Z11" i="34"/>
  <c r="ON26" i="34"/>
  <c r="GY20" i="33"/>
  <c r="AZ36" i="34"/>
  <c r="NM23" i="34"/>
  <c r="MF7" i="34"/>
  <c r="CO26" i="34"/>
  <c r="MA22" i="34"/>
  <c r="BK182" i="28"/>
  <c r="BL182" i="28" s="1"/>
  <c r="EA7" i="34"/>
  <c r="HZ25" i="34"/>
  <c r="AU14" i="34"/>
  <c r="CK12" i="34"/>
  <c r="KQ14" i="34"/>
  <c r="CK179" i="34"/>
  <c r="AD30" i="34"/>
  <c r="FW87" i="33"/>
  <c r="FW13" i="33" s="1"/>
  <c r="HG30" i="34"/>
  <c r="BK153" i="28"/>
  <c r="BL153" i="28" s="1"/>
  <c r="IA17" i="34"/>
  <c r="EC22" i="34"/>
  <c r="BN8" i="34"/>
  <c r="EW17" i="34"/>
  <c r="JF36" i="34"/>
  <c r="IS12" i="34"/>
  <c r="DZ24" i="34"/>
  <c r="GK36" i="34"/>
  <c r="HV12" i="34"/>
  <c r="BB33" i="34"/>
  <c r="BI9" i="34"/>
  <c r="EC18" i="34"/>
  <c r="HZ13" i="34"/>
  <c r="AY34" i="34"/>
  <c r="IA22" i="34"/>
  <c r="J31" i="34"/>
  <c r="EH37" i="34"/>
  <c r="BA13" i="34"/>
  <c r="FS10" i="34"/>
  <c r="AC30" i="34"/>
  <c r="DW25" i="34"/>
  <c r="EB10" i="34"/>
  <c r="JU7" i="34"/>
  <c r="PC18" i="34"/>
  <c r="ML33" i="34"/>
  <c r="BA33" i="34"/>
  <c r="HD12" i="34"/>
  <c r="EH28" i="34"/>
  <c r="AY15" i="34"/>
  <c r="BO19" i="34"/>
  <c r="MD27" i="34"/>
  <c r="DW30" i="34"/>
  <c r="T81" i="23"/>
  <c r="U81" i="23" s="1"/>
  <c r="MO10" i="34"/>
  <c r="OL31" i="34"/>
  <c r="CO9" i="34"/>
  <c r="DJ28" i="34"/>
  <c r="MC25" i="34"/>
  <c r="DD189" i="34"/>
  <c r="FQ28" i="34"/>
  <c r="DI23" i="34"/>
  <c r="CG32" i="34"/>
  <c r="FX23" i="34"/>
  <c r="AH19" i="34"/>
  <c r="NN21" i="34"/>
  <c r="KM15" i="34"/>
  <c r="HV29" i="34"/>
  <c r="JC10" i="34"/>
  <c r="AM20" i="34"/>
  <c r="FM94" i="33"/>
  <c r="GQ22" i="34"/>
  <c r="EE37" i="34"/>
  <c r="BA27" i="34"/>
  <c r="GN27" i="34"/>
  <c r="BB32" i="34"/>
  <c r="DD30" i="34"/>
  <c r="KM26" i="34"/>
  <c r="FP18" i="34"/>
  <c r="IC15" i="34"/>
  <c r="DV8" i="34"/>
  <c r="NN14" i="34"/>
  <c r="AW26" i="34"/>
  <c r="NK18" i="34"/>
  <c r="CN34" i="34"/>
  <c r="LA30" i="34"/>
  <c r="T166" i="23"/>
  <c r="U166" i="23" s="1"/>
  <c r="AQ177" i="34"/>
  <c r="GO19" i="34"/>
  <c r="AR28" i="34"/>
  <c r="FQ15" i="34"/>
  <c r="B100" i="28"/>
  <c r="JA7" i="34"/>
  <c r="CG18" i="34"/>
  <c r="FB34" i="34"/>
  <c r="PF33" i="34"/>
  <c r="ID34" i="34"/>
  <c r="CJ15" i="34"/>
  <c r="DZ25" i="34"/>
  <c r="JF18" i="34"/>
  <c r="PA37" i="34"/>
  <c r="GM32" i="34"/>
  <c r="NA14" i="34"/>
  <c r="CE179" i="34"/>
  <c r="EK18" i="34"/>
  <c r="ND34" i="34"/>
  <c r="DH17" i="34"/>
  <c r="EB18" i="34"/>
  <c r="KP33" i="34"/>
  <c r="T12" i="23"/>
  <c r="U12" i="23" s="1"/>
  <c r="PZ20" i="34"/>
  <c r="HX19" i="34"/>
  <c r="MI26" i="34"/>
  <c r="FA94" i="33"/>
  <c r="V19" i="34"/>
  <c r="AQ18" i="34"/>
  <c r="JC9" i="34"/>
  <c r="AT35" i="34"/>
  <c r="T51" i="23"/>
  <c r="U51" i="23" s="1"/>
  <c r="BK104" i="28"/>
  <c r="BL104" i="28" s="1"/>
  <c r="OC7" i="34"/>
  <c r="IV30" i="34"/>
  <c r="V32" i="34"/>
  <c r="JF28" i="34"/>
  <c r="EH27" i="34"/>
  <c r="AO23" i="34"/>
  <c r="PE36" i="34"/>
  <c r="FM87" i="33"/>
  <c r="FM13" i="33" s="1"/>
  <c r="FX24" i="34"/>
  <c r="LD34" i="34"/>
  <c r="GO10" i="34"/>
  <c r="PH31" i="34"/>
  <c r="JG33" i="34"/>
  <c r="FW7" i="34"/>
  <c r="FQ26" i="34"/>
  <c r="PW13" i="34"/>
  <c r="LB8" i="34"/>
  <c r="AT177" i="34"/>
  <c r="PA12" i="34"/>
  <c r="EX33" i="34"/>
  <c r="N33" i="13"/>
  <c r="EP94" i="33"/>
  <c r="EP14" i="33" s="1"/>
  <c r="PX12" i="34"/>
  <c r="IT28" i="34"/>
  <c r="IZ10" i="34"/>
  <c r="PK10" i="34"/>
  <c r="PJ26" i="34"/>
  <c r="GN12" i="34"/>
  <c r="EA179" i="34"/>
  <c r="AY177" i="34"/>
  <c r="AY190" i="34" s="1"/>
  <c r="AY38" i="34" s="1"/>
  <c r="JG23" i="34"/>
  <c r="CD33" i="34"/>
  <c r="CJ18" i="34"/>
  <c r="NI7" i="34"/>
  <c r="CN17" i="34"/>
  <c r="DJ18" i="34"/>
  <c r="IT19" i="34"/>
  <c r="IE29" i="34"/>
  <c r="IS24" i="34"/>
  <c r="AR87" i="33"/>
  <c r="AR13" i="33" s="1"/>
  <c r="AS9" i="34"/>
  <c r="DC15" i="34"/>
  <c r="T23" i="34"/>
  <c r="DF8" i="34"/>
  <c r="FP13" i="34"/>
  <c r="ON18" i="34"/>
  <c r="IL4" i="34"/>
  <c r="DC37" i="34"/>
  <c r="LD9" i="34"/>
  <c r="T168" i="23"/>
  <c r="U168" i="23" s="1"/>
  <c r="JX32" i="34"/>
  <c r="FH94" i="33"/>
  <c r="FH14" i="33" s="1"/>
  <c r="JB17" i="34"/>
  <c r="MM179" i="34"/>
  <c r="DJ7" i="34"/>
  <c r="IQ189" i="34"/>
  <c r="T3" i="23"/>
  <c r="U3" i="23" s="1"/>
  <c r="EX25" i="34"/>
  <c r="MK24" i="34"/>
  <c r="EA14" i="34"/>
  <c r="EB36" i="34"/>
  <c r="ED30" i="34"/>
  <c r="O9" i="34"/>
  <c r="S94" i="33"/>
  <c r="S14" i="33" s="1"/>
  <c r="GO33" i="34"/>
  <c r="BK15" i="28"/>
  <c r="BL15" i="28" s="1"/>
  <c r="LI15" i="34"/>
  <c r="BN57" i="28"/>
  <c r="IS34" i="34"/>
  <c r="AC94" i="33"/>
  <c r="AC14" i="33" s="1"/>
  <c r="FW29" i="34"/>
  <c r="BO14" i="34"/>
  <c r="CK19" i="34"/>
  <c r="AR29" i="34"/>
  <c r="JA25" i="34"/>
  <c r="IE10" i="34"/>
  <c r="Y179" i="34"/>
  <c r="JA23" i="34"/>
  <c r="FT33" i="34"/>
  <c r="JC21" i="34"/>
  <c r="KN34" i="34"/>
  <c r="NK189" i="34"/>
  <c r="EB8" i="34"/>
  <c r="OO28" i="34"/>
  <c r="CI25" i="34"/>
  <c r="CL177" i="34"/>
  <c r="JU18" i="34"/>
  <c r="AX36" i="34"/>
  <c r="HG10" i="34"/>
  <c r="KA28" i="34"/>
  <c r="AP20" i="34"/>
  <c r="HW27" i="34"/>
  <c r="GJ28" i="34"/>
  <c r="LH32" i="34"/>
  <c r="BO12" i="34"/>
  <c r="HF19" i="34"/>
  <c r="LE12" i="34"/>
  <c r="FU19" i="34"/>
  <c r="FA37" i="34"/>
  <c r="EE28" i="34"/>
  <c r="Y7" i="34"/>
  <c r="IV12" i="34"/>
  <c r="HY21" i="34"/>
  <c r="JD7" i="34"/>
  <c r="K16" i="34"/>
  <c r="AA12" i="34"/>
  <c r="FR30" i="34"/>
  <c r="KM32" i="34"/>
  <c r="HZ37" i="34"/>
  <c r="IB23" i="34"/>
  <c r="FN7" i="34"/>
  <c r="LZ26" i="34"/>
  <c r="CE21" i="34"/>
  <c r="AC32" i="34"/>
  <c r="T178" i="23"/>
  <c r="U178" i="23" s="1"/>
  <c r="FX32" i="34"/>
  <c r="MG20" i="34"/>
  <c r="J32" i="34"/>
  <c r="AW33" i="34"/>
  <c r="NO13" i="34"/>
  <c r="IR20" i="34"/>
  <c r="IE36" i="34"/>
  <c r="LX17" i="34"/>
  <c r="BR15" i="34"/>
  <c r="LA16" i="34"/>
  <c r="IE33" i="34"/>
  <c r="HF17" i="34"/>
  <c r="HW22" i="34"/>
  <c r="MC26" i="34"/>
  <c r="CO22" i="34"/>
  <c r="KL13" i="34"/>
  <c r="JV30" i="34"/>
  <c r="GQ13" i="34"/>
  <c r="CN16" i="34"/>
  <c r="JT9" i="34"/>
  <c r="DB11" i="34"/>
  <c r="IT9" i="34"/>
  <c r="EW31" i="34"/>
  <c r="IZ25" i="34"/>
  <c r="MG7" i="34"/>
  <c r="NG18" i="34"/>
  <c r="OO36" i="34"/>
  <c r="AX12" i="34"/>
  <c r="LI30" i="34"/>
  <c r="FW10" i="33"/>
  <c r="PZ14" i="34"/>
  <c r="K11" i="34"/>
  <c r="JX20" i="34"/>
  <c r="KN24" i="34"/>
  <c r="HD177" i="34"/>
  <c r="LD27" i="34"/>
  <c r="AA22" i="34"/>
  <c r="DZ8" i="34"/>
  <c r="T102" i="23"/>
  <c r="U102" i="23" s="1"/>
  <c r="EF87" i="33"/>
  <c r="IW26" i="34"/>
  <c r="AB15" i="34"/>
  <c r="JU15" i="34"/>
  <c r="CM19" i="34"/>
  <c r="DW10" i="34"/>
  <c r="BK193" i="28"/>
  <c r="BL193" i="28" s="1"/>
  <c r="U10" i="34"/>
  <c r="DV22" i="34"/>
  <c r="AB25" i="34"/>
  <c r="EH189" i="34"/>
  <c r="T25" i="34"/>
  <c r="JE21" i="34"/>
  <c r="EG15" i="34"/>
  <c r="LB24" i="34"/>
  <c r="OJ11" i="34"/>
  <c r="KQ179" i="34"/>
  <c r="OI31" i="34"/>
  <c r="BP16" i="34"/>
  <c r="AZ30" i="34"/>
  <c r="BR33" i="34"/>
  <c r="EW189" i="34"/>
  <c r="LJ32" i="34"/>
  <c r="FS34" i="34"/>
  <c r="IE26" i="34"/>
  <c r="LK7" i="34"/>
  <c r="J10" i="34"/>
  <c r="JV9" i="34"/>
  <c r="AC12" i="34"/>
  <c r="IR7" i="34"/>
  <c r="JF13" i="34"/>
  <c r="MC34" i="34"/>
  <c r="J7" i="34"/>
  <c r="AZ189" i="34"/>
  <c r="BB35" i="34"/>
  <c r="CO29" i="34"/>
  <c r="ID35" i="34"/>
  <c r="K28" i="34"/>
  <c r="NI23" i="34"/>
  <c r="MI23" i="34"/>
  <c r="CK15" i="34"/>
  <c r="DF177" i="34"/>
  <c r="FR24" i="34"/>
  <c r="FQ23" i="34"/>
  <c r="BR30" i="34"/>
  <c r="JZ179" i="34"/>
  <c r="LY14" i="34"/>
  <c r="FX21" i="34"/>
  <c r="EI19" i="34"/>
  <c r="NP179" i="34"/>
  <c r="IR24" i="34"/>
  <c r="HG13" i="34"/>
  <c r="LC26" i="34"/>
  <c r="EZ7" i="34"/>
  <c r="M106" i="28"/>
  <c r="R106" i="28" s="1"/>
  <c r="S106" i="28" s="1"/>
  <c r="JF9" i="34"/>
  <c r="BO22" i="34"/>
  <c r="LW8" i="34"/>
  <c r="JA9" i="34"/>
  <c r="HU13" i="34"/>
  <c r="BP29" i="34"/>
  <c r="FP24" i="34"/>
  <c r="FP29" i="34"/>
  <c r="BR26" i="34"/>
  <c r="CM33" i="34"/>
  <c r="T21" i="23"/>
  <c r="U21" i="23" s="1"/>
  <c r="DF29" i="34"/>
  <c r="BN12" i="34"/>
  <c r="JD37" i="34"/>
  <c r="FA13" i="34"/>
  <c r="ID17" i="34"/>
  <c r="NC16" i="34"/>
  <c r="AB16" i="34"/>
  <c r="Y24" i="34"/>
  <c r="EI7" i="34"/>
  <c r="EZ10" i="34"/>
  <c r="DE31" i="34"/>
  <c r="KN30" i="34"/>
  <c r="E6" i="13"/>
  <c r="BH94" i="33"/>
  <c r="BH14" i="33" s="1"/>
  <c r="GK30" i="34"/>
  <c r="AC37" i="34"/>
  <c r="AP13" i="34"/>
  <c r="LG33" i="34"/>
  <c r="DC16" i="34"/>
  <c r="EE18" i="34"/>
  <c r="BQ12" i="34"/>
  <c r="KC18" i="34"/>
  <c r="IA37" i="34"/>
  <c r="JW33" i="34"/>
  <c r="AX20" i="34"/>
  <c r="PF28" i="34"/>
  <c r="LD31" i="34"/>
  <c r="DG18" i="34"/>
  <c r="CO17" i="34"/>
  <c r="NL37" i="34"/>
  <c r="BK84" i="28"/>
  <c r="BL84" i="28" s="1"/>
  <c r="T181" i="23"/>
  <c r="U181" i="23" s="1"/>
  <c r="PC8" i="34"/>
  <c r="K7" i="34"/>
  <c r="R120" i="28"/>
  <c r="F41" i="28"/>
  <c r="KM37" i="34"/>
  <c r="FA23" i="34"/>
  <c r="NO26" i="34"/>
  <c r="LD8" i="34"/>
  <c r="ND7" i="34"/>
  <c r="CI32" i="34"/>
  <c r="AM11" i="34"/>
  <c r="FR32" i="34"/>
  <c r="EG16" i="34"/>
  <c r="FX11" i="34"/>
  <c r="BK53" i="28"/>
  <c r="BL53" i="28" s="1"/>
  <c r="K10" i="34"/>
  <c r="K17" i="34"/>
  <c r="LX16" i="34"/>
  <c r="IV179" i="34"/>
  <c r="KB9" i="34"/>
  <c r="CX2" i="33"/>
  <c r="JX33" i="34"/>
  <c r="DH31" i="34"/>
  <c r="CH23" i="34"/>
  <c r="HX9" i="34"/>
  <c r="HG36" i="34"/>
  <c r="KC24" i="34"/>
  <c r="J28" i="34"/>
  <c r="AQ29" i="34"/>
  <c r="ED11" i="34"/>
  <c r="IW20" i="34"/>
  <c r="OM189" i="34"/>
  <c r="MN16" i="34"/>
  <c r="CD28" i="34"/>
  <c r="FX179" i="34"/>
  <c r="FO23" i="34"/>
  <c r="ED7" i="34"/>
  <c r="EF7" i="34"/>
  <c r="FN16" i="34"/>
  <c r="AC15" i="34"/>
  <c r="JV27" i="34"/>
  <c r="D26" i="17"/>
  <c r="DA34" i="34"/>
  <c r="MG189" i="34"/>
  <c r="HU28" i="34"/>
  <c r="DE11" i="34"/>
  <c r="J22" i="34"/>
  <c r="BQ27" i="34"/>
  <c r="MF22" i="34"/>
  <c r="JW11" i="34"/>
  <c r="NJ12" i="34"/>
  <c r="OL22" i="34"/>
  <c r="D27" i="17"/>
  <c r="AU94" i="33"/>
  <c r="AU14" i="33" s="1"/>
  <c r="NE35" i="34"/>
  <c r="IV28" i="34"/>
  <c r="JA36" i="34"/>
  <c r="CD177" i="34"/>
  <c r="ME26" i="34"/>
  <c r="HF8" i="34"/>
  <c r="FK87" i="33"/>
  <c r="FK13" i="33" s="1"/>
  <c r="HW10" i="34"/>
  <c r="LJ9" i="34"/>
  <c r="FN179" i="34"/>
  <c r="V16" i="34"/>
  <c r="NE14" i="34"/>
  <c r="HU7" i="34"/>
  <c r="JD16" i="34"/>
  <c r="DW27" i="34"/>
  <c r="HD37" i="34"/>
  <c r="MI29" i="34"/>
  <c r="FQ9" i="34"/>
  <c r="T18" i="23"/>
  <c r="U18" i="23" s="1"/>
  <c r="OJ24" i="34"/>
  <c r="GN177" i="34"/>
  <c r="CO32" i="34"/>
  <c r="CI7" i="34"/>
  <c r="CJ179" i="34"/>
  <c r="CL34" i="34"/>
  <c r="T11" i="34"/>
  <c r="KA13" i="34"/>
  <c r="EH30" i="34"/>
  <c r="BA30" i="34"/>
  <c r="EH16" i="34"/>
  <c r="AX18" i="34"/>
  <c r="HU8" i="34"/>
  <c r="KN12" i="34"/>
  <c r="JV31" i="34"/>
  <c r="IV22" i="34"/>
  <c r="PZ25" i="34"/>
  <c r="EG28" i="34"/>
  <c r="LX24" i="34"/>
  <c r="JZ13" i="34"/>
  <c r="BQ9" i="34"/>
  <c r="AD17" i="34"/>
  <c r="IY14" i="34"/>
  <c r="LH189" i="34"/>
  <c r="FR21" i="34"/>
  <c r="NG15" i="34"/>
  <c r="KO14" i="34"/>
  <c r="MN25" i="34"/>
  <c r="HO10" i="34"/>
  <c r="FT30" i="34"/>
  <c r="IR14" i="34"/>
  <c r="F57" i="17"/>
  <c r="NE18" i="34"/>
  <c r="K12" i="34"/>
  <c r="HC11" i="34"/>
  <c r="NM179" i="34"/>
  <c r="EK11" i="34"/>
  <c r="FU28" i="34"/>
  <c r="KR17" i="34"/>
  <c r="AV177" i="34"/>
  <c r="BN26" i="34"/>
  <c r="JW177" i="34"/>
  <c r="JC37" i="34"/>
  <c r="JH37" i="34"/>
  <c r="IW22" i="34"/>
  <c r="GM11" i="34"/>
  <c r="FP32" i="34"/>
  <c r="NM26" i="34"/>
  <c r="AM24" i="34"/>
  <c r="IB33" i="34"/>
  <c r="LH19" i="34"/>
  <c r="BR31" i="34"/>
  <c r="JW24" i="34"/>
  <c r="GJ7" i="34"/>
  <c r="FP27" i="34"/>
  <c r="T164" i="23"/>
  <c r="U164" i="23" s="1"/>
  <c r="KO189" i="34"/>
  <c r="IC11" i="34"/>
  <c r="FX35" i="34"/>
  <c r="EG27" i="34"/>
  <c r="JT13" i="34"/>
  <c r="KB179" i="34"/>
  <c r="AC10" i="34"/>
  <c r="HX36" i="34"/>
  <c r="MK33" i="34"/>
  <c r="AA189" i="34"/>
  <c r="K8" i="34"/>
  <c r="IR26" i="34"/>
  <c r="HY23" i="34"/>
  <c r="I87" i="33"/>
  <c r="I13" i="33" s="1"/>
  <c r="MG29" i="34"/>
  <c r="DI20" i="34"/>
  <c r="KM34" i="34"/>
  <c r="AD13" i="34"/>
  <c r="EJ35" i="34"/>
  <c r="JC30" i="34"/>
  <c r="KV4" i="34"/>
  <c r="FO7" i="34"/>
  <c r="IT13" i="34"/>
  <c r="PK29" i="34"/>
  <c r="AS13" i="34"/>
  <c r="EJ25" i="34"/>
  <c r="EG23" i="34"/>
  <c r="CG29" i="34"/>
  <c r="JC25" i="34"/>
  <c r="Z17" i="34"/>
  <c r="DE13" i="34"/>
  <c r="HD28" i="34"/>
  <c r="EX19" i="34"/>
  <c r="EE13" i="34"/>
  <c r="CK31" i="34"/>
  <c r="HT30" i="34"/>
  <c r="FS177" i="34"/>
  <c r="GQ23" i="34"/>
  <c r="DA19" i="34"/>
  <c r="V22" i="34"/>
  <c r="DE8" i="34"/>
  <c r="ER4" i="34"/>
  <c r="DZ23" i="34"/>
  <c r="LF33" i="34"/>
  <c r="ED179" i="34"/>
  <c r="BO34" i="34"/>
  <c r="KB30" i="34"/>
  <c r="DY16" i="34"/>
  <c r="CG189" i="34"/>
  <c r="CK9" i="34"/>
  <c r="HD36" i="34"/>
  <c r="LC15" i="34"/>
  <c r="JC36" i="34"/>
  <c r="KQ35" i="34"/>
  <c r="AX19" i="34"/>
  <c r="IV18" i="34"/>
  <c r="HF14" i="34"/>
  <c r="ED27" i="34"/>
  <c r="K13" i="34"/>
  <c r="FO31" i="34"/>
  <c r="NL36" i="34"/>
  <c r="DD25" i="34"/>
  <c r="AH17" i="34"/>
  <c r="GM177" i="34"/>
  <c r="HW177" i="34"/>
  <c r="EG8" i="34"/>
  <c r="MF177" i="34"/>
  <c r="JH13" i="34"/>
  <c r="JT19" i="34"/>
  <c r="AR16" i="34"/>
  <c r="GM16" i="34"/>
  <c r="LH30" i="34"/>
  <c r="KP25" i="34"/>
  <c r="OJ8" i="34"/>
  <c r="AU20" i="34"/>
  <c r="NE27" i="34"/>
  <c r="GN20" i="34"/>
  <c r="MA177" i="34"/>
  <c r="IB8" i="34"/>
  <c r="CL15" i="34"/>
  <c r="BA179" i="34"/>
  <c r="EC9" i="34"/>
  <c r="CN33" i="34"/>
  <c r="NP19" i="34"/>
  <c r="EE36" i="34"/>
  <c r="DC29" i="34"/>
  <c r="EE31" i="34"/>
  <c r="GO179" i="34"/>
  <c r="LH35" i="34"/>
  <c r="MD15" i="34"/>
  <c r="LE33" i="34"/>
  <c r="BK116" i="28"/>
  <c r="BL116" i="28" s="1"/>
  <c r="DF30" i="34"/>
  <c r="EF10" i="34"/>
  <c r="JZ189" i="34"/>
  <c r="PA33" i="34"/>
  <c r="FX17" i="34"/>
  <c r="JH35" i="34"/>
  <c r="BK138" i="28"/>
  <c r="BL138" i="28" s="1"/>
  <c r="JE37" i="34"/>
  <c r="JY25" i="34"/>
  <c r="NH177" i="34"/>
  <c r="LC33" i="34"/>
  <c r="AC179" i="34"/>
  <c r="BB15" i="34"/>
  <c r="AW10" i="34"/>
  <c r="JA37" i="34"/>
  <c r="HW19" i="34"/>
  <c r="GM37" i="34"/>
  <c r="NI31" i="34"/>
  <c r="KN31" i="34"/>
  <c r="AX14" i="34"/>
  <c r="GO9" i="34"/>
  <c r="KR22" i="34"/>
  <c r="M116" i="28"/>
  <c r="R116" i="28" s="1"/>
  <c r="FP7" i="34"/>
  <c r="BN16" i="34"/>
  <c r="CM29" i="34"/>
  <c r="ON21" i="34"/>
  <c r="MJ24" i="34"/>
  <c r="CL10" i="34"/>
  <c r="OJ36" i="34"/>
  <c r="JZ11" i="34"/>
  <c r="CK189" i="34"/>
  <c r="CN28" i="34"/>
  <c r="GJ9" i="34"/>
  <c r="MK179" i="34"/>
  <c r="KB36" i="34"/>
  <c r="LB28" i="34"/>
  <c r="JO6" i="34"/>
  <c r="ID33" i="34"/>
  <c r="AO15" i="34"/>
  <c r="EC35" i="34"/>
  <c r="NM16" i="34"/>
  <c r="DE189" i="34"/>
  <c r="HX33" i="34"/>
  <c r="EF17" i="34"/>
  <c r="JA177" i="34"/>
  <c r="FU26" i="34"/>
  <c r="EB15" i="34"/>
  <c r="KC9" i="34"/>
  <c r="IZ36" i="34"/>
  <c r="BN31" i="34"/>
  <c r="CG16" i="34"/>
  <c r="LH27" i="34"/>
  <c r="FQ35" i="34"/>
  <c r="KM9" i="34"/>
  <c r="LK23" i="34"/>
  <c r="CE31" i="34"/>
  <c r="BB189" i="34"/>
  <c r="MN36" i="34"/>
  <c r="LD11" i="34"/>
  <c r="EJ22" i="34"/>
  <c r="FR31" i="34"/>
  <c r="CN189" i="34"/>
  <c r="BR16" i="34"/>
  <c r="NB177" i="34"/>
  <c r="FB22" i="34"/>
  <c r="IT15" i="34"/>
  <c r="PJ9" i="34"/>
  <c r="IT16" i="34"/>
  <c r="EY22" i="34"/>
  <c r="J23" i="34"/>
  <c r="NF18" i="34"/>
  <c r="JB13" i="34"/>
  <c r="AB34" i="34"/>
  <c r="MF189" i="34"/>
  <c r="KA16" i="34"/>
  <c r="EC36" i="34"/>
  <c r="HG32" i="34"/>
  <c r="AE87" i="33"/>
  <c r="AE13" i="33" s="1"/>
  <c r="BQ37" i="34"/>
  <c r="DZ21" i="34"/>
  <c r="MK13" i="34"/>
  <c r="DI27" i="34"/>
  <c r="Z26" i="34"/>
  <c r="CO10" i="34"/>
  <c r="JE13" i="34"/>
  <c r="NJ23" i="34"/>
  <c r="PC7" i="34"/>
  <c r="W30" i="34"/>
  <c r="ON12" i="34"/>
  <c r="EA27" i="34"/>
  <c r="EB22" i="34"/>
  <c r="OM23" i="34"/>
  <c r="JF177" i="34"/>
  <c r="HT20" i="34"/>
  <c r="JX24" i="34"/>
  <c r="IE177" i="34"/>
  <c r="BB10" i="34"/>
  <c r="ID189" i="34"/>
  <c r="HF34" i="34"/>
  <c r="KP34" i="34"/>
  <c r="KL24" i="34"/>
  <c r="IE179" i="34"/>
  <c r="HH31" i="34"/>
  <c r="DI189" i="34"/>
  <c r="OI13" i="34"/>
  <c r="LX34" i="34"/>
  <c r="BP31" i="34"/>
  <c r="HE28" i="34"/>
  <c r="ED28" i="34"/>
  <c r="KN189" i="34"/>
  <c r="EE16" i="34"/>
  <c r="GA87" i="33"/>
  <c r="GA13" i="33" s="1"/>
  <c r="DI179" i="34"/>
  <c r="EX24" i="34"/>
  <c r="AP26" i="34"/>
  <c r="ED20" i="34"/>
  <c r="NK29" i="34"/>
  <c r="AU177" i="34"/>
  <c r="EF19" i="34"/>
  <c r="D16" i="35"/>
  <c r="F17" i="3"/>
  <c r="K17" i="3" s="1"/>
  <c r="L17" i="3" s="1"/>
  <c r="M17" i="3" s="1"/>
  <c r="LI8" i="34"/>
  <c r="PJ37" i="34"/>
  <c r="JB11" i="34"/>
  <c r="EB13" i="34"/>
  <c r="EC25" i="34"/>
  <c r="EI14" i="34"/>
  <c r="NK12" i="34"/>
  <c r="NO18" i="34"/>
  <c r="JZ14" i="34"/>
  <c r="DF24" i="34"/>
  <c r="W23" i="34"/>
  <c r="MG14" i="34"/>
  <c r="KC7" i="34"/>
  <c r="J189" i="34"/>
  <c r="DQ5" i="34"/>
  <c r="FS35" i="34"/>
  <c r="NK7" i="34"/>
  <c r="ND11" i="34"/>
  <c r="IR9" i="34"/>
  <c r="OI17" i="34"/>
  <c r="FX22" i="34"/>
  <c r="FA24" i="34"/>
  <c r="GL21" i="34"/>
  <c r="DF16" i="34"/>
  <c r="FO30" i="34"/>
  <c r="IV32" i="34"/>
  <c r="IT18" i="34"/>
  <c r="NI24" i="34"/>
  <c r="CG23" i="34"/>
  <c r="KP18" i="34"/>
  <c r="AX17" i="34"/>
  <c r="HE21" i="34"/>
  <c r="EK23" i="34"/>
  <c r="CG15" i="34"/>
  <c r="EB9" i="34"/>
  <c r="FQ8" i="34"/>
  <c r="HV31" i="34"/>
  <c r="AX32" i="34"/>
  <c r="LD19" i="34"/>
  <c r="FW28" i="34"/>
  <c r="DI37" i="34"/>
  <c r="MH24" i="34"/>
  <c r="CL11" i="34"/>
  <c r="MM22" i="34"/>
  <c r="EG35" i="34"/>
  <c r="PY37" i="34"/>
  <c r="JD21" i="34"/>
  <c r="EH177" i="34"/>
  <c r="KO27" i="34"/>
  <c r="CD189" i="34"/>
  <c r="IY21" i="34"/>
  <c r="HF21" i="34"/>
  <c r="NH17" i="34"/>
  <c r="JZ23" i="34"/>
  <c r="PW15" i="34"/>
  <c r="DG25" i="34"/>
  <c r="DJ36" i="34"/>
  <c r="EK7" i="34"/>
  <c r="HT32" i="34"/>
  <c r="DE14" i="34"/>
  <c r="O87" i="33"/>
  <c r="O13" i="33" s="1"/>
  <c r="DJ31" i="34"/>
  <c r="DC20" i="34"/>
  <c r="MB25" i="34"/>
  <c r="ML29" i="34"/>
  <c r="IR32" i="34"/>
  <c r="EI34" i="34"/>
  <c r="ED21" i="34"/>
  <c r="IS20" i="34"/>
  <c r="EA11" i="34"/>
  <c r="LX15" i="34"/>
  <c r="AW34" i="34"/>
  <c r="JA189" i="34"/>
  <c r="FQ27" i="34"/>
  <c r="U19" i="34"/>
  <c r="IQ17" i="34"/>
  <c r="AN10" i="34"/>
  <c r="LJ36" i="34"/>
  <c r="EI9" i="34"/>
  <c r="HF11" i="34"/>
  <c r="LB18" i="34"/>
  <c r="EK17" i="34"/>
  <c r="NH23" i="34"/>
  <c r="MF20" i="34"/>
  <c r="DE26" i="34"/>
  <c r="AN35" i="34"/>
  <c r="DG36" i="34"/>
  <c r="PW36" i="34"/>
  <c r="CG14" i="34"/>
  <c r="NE23" i="34"/>
  <c r="PA189" i="34"/>
  <c r="AM25" i="34"/>
  <c r="KL26" i="34"/>
  <c r="FA31" i="34"/>
  <c r="EJ17" i="34"/>
  <c r="HX35" i="34"/>
  <c r="FU27" i="34"/>
  <c r="AV36" i="34"/>
  <c r="LK28" i="34"/>
  <c r="IR189" i="34"/>
  <c r="IQ20" i="34"/>
  <c r="BA8" i="34"/>
  <c r="IV20" i="34"/>
  <c r="NK21" i="34"/>
  <c r="EC189" i="34"/>
  <c r="JD14" i="34"/>
  <c r="IW32" i="34"/>
  <c r="BP28" i="34"/>
  <c r="K31" i="34"/>
  <c r="DV15" i="34"/>
  <c r="IY33" i="34"/>
  <c r="T30" i="34"/>
  <c r="CF17" i="34"/>
  <c r="AN21" i="34"/>
  <c r="NM30" i="34"/>
  <c r="Y32" i="34"/>
  <c r="ON17" i="34"/>
  <c r="EZ34" i="34"/>
  <c r="DH25" i="34"/>
  <c r="Y16" i="34"/>
  <c r="GJ22" i="34"/>
  <c r="EY16" i="34"/>
  <c r="NJ189" i="34"/>
  <c r="NI32" i="34"/>
  <c r="GL13" i="34"/>
  <c r="NG33" i="34"/>
  <c r="JC189" i="34"/>
  <c r="CI15" i="34"/>
  <c r="KL20" i="34"/>
  <c r="KQ25" i="34"/>
  <c r="AS179" i="34"/>
  <c r="BR20" i="34"/>
  <c r="K179" i="34"/>
  <c r="PY17" i="34"/>
  <c r="AW7" i="34"/>
  <c r="CI35" i="34"/>
  <c r="FA12" i="34"/>
  <c r="DE29" i="34"/>
  <c r="EZ36" i="34"/>
  <c r="FX37" i="34"/>
  <c r="AR94" i="33"/>
  <c r="AR14" i="33" s="1"/>
  <c r="GP33" i="34"/>
  <c r="MB8" i="34"/>
  <c r="EF18" i="34"/>
  <c r="AZ34" i="34"/>
  <c r="T17" i="34"/>
  <c r="BO9" i="34"/>
  <c r="AU12" i="34"/>
  <c r="FR28" i="34"/>
  <c r="KQ26" i="34"/>
  <c r="IE20" i="34"/>
  <c r="JY11" i="34"/>
  <c r="NJ19" i="34"/>
  <c r="EE30" i="34"/>
  <c r="PI13" i="34"/>
  <c r="GO34" i="34"/>
  <c r="AV15" i="34"/>
  <c r="EB7" i="34"/>
  <c r="K29" i="34"/>
  <c r="NM22" i="34"/>
  <c r="LH34" i="34"/>
  <c r="HX11" i="34"/>
  <c r="AY8" i="34"/>
  <c r="FS179" i="34"/>
  <c r="AU8" i="34"/>
  <c r="CK21" i="34"/>
  <c r="KP7" i="34"/>
  <c r="KL37" i="34"/>
  <c r="FO25" i="34"/>
  <c r="OH21" i="34"/>
  <c r="KA23" i="34"/>
  <c r="GL10" i="34"/>
  <c r="KL189" i="34"/>
  <c r="KQ29" i="34"/>
  <c r="HV14" i="34"/>
  <c r="LD25" i="34"/>
  <c r="LG16" i="34"/>
  <c r="LA177" i="34"/>
  <c r="MF10" i="34"/>
  <c r="DJ30" i="34"/>
  <c r="GN13" i="34"/>
  <c r="K32" i="34"/>
  <c r="DH22" i="34"/>
  <c r="CM24" i="34"/>
  <c r="LA9" i="34"/>
  <c r="KA26" i="34"/>
  <c r="JD32" i="34"/>
  <c r="IB35" i="34"/>
  <c r="HG17" i="34"/>
  <c r="EE24" i="34"/>
  <c r="FT16" i="34"/>
  <c r="BN22" i="34"/>
  <c r="JY8" i="34"/>
  <c r="DE23" i="34"/>
  <c r="JH12" i="34"/>
  <c r="EW24" i="34"/>
  <c r="AU9" i="34"/>
  <c r="AV29" i="34"/>
  <c r="JF34" i="34"/>
  <c r="EZ25" i="34"/>
  <c r="NG26" i="34"/>
  <c r="IV189" i="34"/>
  <c r="LH13" i="34"/>
  <c r="JO11" i="34"/>
  <c r="FN23" i="34"/>
  <c r="HE22" i="34"/>
  <c r="NC9" i="34"/>
  <c r="FB19" i="34"/>
  <c r="AV10" i="34"/>
  <c r="FQ179" i="34"/>
  <c r="IE23" i="34"/>
  <c r="LX32" i="34"/>
  <c r="IT25" i="34"/>
  <c r="EZ27" i="34"/>
  <c r="HV25" i="34"/>
  <c r="DF7" i="34"/>
  <c r="J33" i="34"/>
  <c r="MN26" i="34"/>
  <c r="U25" i="34"/>
  <c r="MA29" i="34"/>
  <c r="OI25" i="34"/>
  <c r="HV18" i="34"/>
  <c r="LZ179" i="34"/>
  <c r="DY34" i="34"/>
  <c r="MF179" i="34"/>
  <c r="HF179" i="34"/>
  <c r="GQ18" i="34"/>
  <c r="AX11" i="34"/>
  <c r="GP18" i="34"/>
  <c r="LE8" i="34"/>
  <c r="IR30" i="34"/>
  <c r="DJ19" i="34"/>
  <c r="LF7" i="34"/>
  <c r="MB32" i="34"/>
  <c r="DV14" i="34"/>
  <c r="NI177" i="34"/>
  <c r="DC8" i="34"/>
  <c r="AU30" i="34"/>
  <c r="AZ26" i="34"/>
  <c r="NL20" i="34"/>
  <c r="PF177" i="34"/>
  <c r="NE29" i="34"/>
  <c r="T27" i="34"/>
  <c r="LC14" i="34"/>
  <c r="GM25" i="34"/>
  <c r="AB13" i="34"/>
  <c r="LI28" i="34"/>
  <c r="IU18" i="34"/>
  <c r="AS30" i="34"/>
  <c r="HG12" i="34"/>
  <c r="CG20" i="34"/>
  <c r="AP12" i="34"/>
  <c r="DZ35" i="34"/>
  <c r="FR11" i="34"/>
  <c r="LC179" i="34"/>
  <c r="DF17" i="34"/>
  <c r="JY177" i="34"/>
  <c r="HC12" i="34"/>
  <c r="DE34" i="34"/>
  <c r="GL32" i="34"/>
  <c r="ID28" i="34"/>
  <c r="LZ17" i="34"/>
  <c r="AW36" i="34"/>
  <c r="AT34" i="34"/>
  <c r="AN16" i="34"/>
  <c r="X12" i="34"/>
  <c r="LK30" i="34"/>
  <c r="DI8" i="34"/>
  <c r="LG34" i="34"/>
  <c r="IS17" i="34"/>
  <c r="EG36" i="34"/>
  <c r="V27" i="34"/>
  <c r="DY12" i="34"/>
  <c r="U11" i="34"/>
  <c r="LI25" i="34"/>
  <c r="EK29" i="34"/>
  <c r="MJ18" i="34"/>
  <c r="AS7" i="34"/>
  <c r="JT189" i="34"/>
  <c r="DV27" i="34"/>
  <c r="CJ20" i="34"/>
  <c r="FS8" i="34"/>
  <c r="W33" i="34"/>
  <c r="AW94" i="33"/>
  <c r="AW14" i="33" s="1"/>
  <c r="JE19" i="34"/>
  <c r="AT18" i="34"/>
  <c r="HV37" i="34"/>
  <c r="EJ16" i="34"/>
  <c r="FR15" i="34"/>
  <c r="DC94" i="33"/>
  <c r="DC14" i="33" s="1"/>
  <c r="IA11" i="34"/>
  <c r="AZ37" i="34"/>
  <c r="LI9" i="34"/>
  <c r="MK177" i="34"/>
  <c r="IA35" i="34"/>
  <c r="HW28" i="34"/>
  <c r="T213" i="23"/>
  <c r="U213" i="23" s="1"/>
  <c r="GO189" i="34"/>
  <c r="MH23" i="34"/>
  <c r="EL10" i="33"/>
  <c r="OH31" i="34"/>
  <c r="IT22" i="34"/>
  <c r="DZ20" i="34"/>
  <c r="AP29" i="34"/>
  <c r="BO17" i="34"/>
  <c r="V9" i="34"/>
  <c r="JF21" i="34"/>
  <c r="NC25" i="34"/>
  <c r="AR15" i="34"/>
  <c r="NJ31" i="34"/>
  <c r="IU17" i="34"/>
  <c r="GL15" i="34"/>
  <c r="KM25" i="34"/>
  <c r="KQ36" i="34"/>
  <c r="AU31" i="34"/>
  <c r="LB16" i="34"/>
  <c r="FX94" i="33"/>
  <c r="FX14" i="33" s="1"/>
  <c r="LG29" i="34"/>
  <c r="BA36" i="34"/>
  <c r="GO14" i="34"/>
  <c r="Z18" i="34"/>
  <c r="KC13" i="34"/>
  <c r="FP37" i="34"/>
  <c r="EC23" i="34"/>
  <c r="JX28" i="34"/>
  <c r="ML28" i="34"/>
  <c r="EX37" i="34"/>
  <c r="LG25" i="34"/>
  <c r="NN30" i="34"/>
  <c r="GO24" i="34"/>
  <c r="KN7" i="34"/>
  <c r="BN21" i="34"/>
  <c r="HF7" i="34"/>
  <c r="PC26" i="34"/>
  <c r="LK34" i="34"/>
  <c r="MH12" i="34"/>
  <c r="JE35" i="34"/>
  <c r="HX25" i="34"/>
  <c r="BJ94" i="33"/>
  <c r="BJ14" i="33" s="1"/>
  <c r="AS26" i="34"/>
  <c r="ON13" i="34"/>
  <c r="AQ10" i="33"/>
  <c r="HC21" i="34"/>
  <c r="PA22" i="34"/>
  <c r="EJ29" i="34"/>
  <c r="HX32" i="34"/>
  <c r="NC177" i="34"/>
  <c r="EH7" i="34"/>
  <c r="CM13" i="34"/>
  <c r="EK8" i="34"/>
  <c r="Z15" i="34"/>
  <c r="JU189" i="34"/>
  <c r="HT31" i="34"/>
  <c r="BY5" i="34"/>
  <c r="CD16" i="34"/>
  <c r="FQ32" i="34"/>
  <c r="T34" i="34"/>
  <c r="EY26" i="34"/>
  <c r="EK19" i="34"/>
  <c r="EZ11" i="34"/>
  <c r="PX31" i="34"/>
  <c r="IY36" i="34"/>
  <c r="CO8" i="34"/>
  <c r="NI37" i="34"/>
  <c r="FO13" i="34"/>
  <c r="DY25" i="34"/>
  <c r="KM21" i="34"/>
  <c r="LZ32" i="34"/>
  <c r="NB31" i="34"/>
  <c r="AM36" i="34"/>
  <c r="KN33" i="34"/>
  <c r="DY179" i="34"/>
  <c r="NA28" i="34"/>
  <c r="CM32" i="34"/>
  <c r="ME27" i="34"/>
  <c r="DD19" i="34"/>
  <c r="ED177" i="34"/>
  <c r="ED190" i="34" s="1"/>
  <c r="ED38" i="34" s="1"/>
  <c r="BA11" i="34"/>
  <c r="NG21" i="34"/>
  <c r="AS33" i="34"/>
  <c r="LW17" i="34"/>
  <c r="JY179" i="34"/>
  <c r="DV29" i="34"/>
  <c r="LC7" i="34"/>
  <c r="W28" i="34"/>
  <c r="IY34" i="34"/>
  <c r="FA189" i="34"/>
  <c r="IS10" i="34"/>
  <c r="JC12" i="34"/>
  <c r="MC7" i="34"/>
  <c r="OO179" i="34"/>
  <c r="CK8" i="34"/>
  <c r="EG34" i="34"/>
  <c r="IR33" i="34"/>
  <c r="JU37" i="34"/>
  <c r="GQ19" i="34"/>
  <c r="KA177" i="34"/>
  <c r="PD20" i="34"/>
  <c r="DB28" i="34"/>
  <c r="NJ14" i="34"/>
  <c r="LX27" i="34"/>
  <c r="JA24" i="34"/>
  <c r="KB33" i="34"/>
  <c r="EK22" i="34"/>
  <c r="EB30" i="34"/>
  <c r="FR179" i="34"/>
  <c r="HT18" i="34"/>
  <c r="GK15" i="34"/>
  <c r="DT10" i="33"/>
  <c r="DU3" i="33" s="1"/>
  <c r="GQ25" i="34"/>
  <c r="AH18" i="34"/>
  <c r="IY19" i="34"/>
  <c r="MO20" i="34"/>
  <c r="EC31" i="34"/>
  <c r="JC26" i="34"/>
  <c r="OJ9" i="34"/>
  <c r="LJ27" i="34"/>
  <c r="HZ28" i="34"/>
  <c r="JO8" i="34"/>
  <c r="NO32" i="34"/>
  <c r="MO9" i="34"/>
  <c r="DW7" i="34"/>
  <c r="JH17" i="34"/>
  <c r="MG17" i="34"/>
  <c r="Z16" i="34"/>
  <c r="W11" i="34"/>
  <c r="DH19" i="34"/>
  <c r="LW20" i="34"/>
  <c r="JH29" i="34"/>
  <c r="MK30" i="34"/>
  <c r="NA179" i="34"/>
  <c r="DH14" i="34"/>
  <c r="NB33" i="34"/>
  <c r="EJ33" i="34"/>
  <c r="PI32" i="34"/>
  <c r="JU21" i="34"/>
  <c r="AL10" i="33"/>
  <c r="AF3" i="33" s="1"/>
  <c r="LG17" i="34"/>
  <c r="W14" i="34"/>
  <c r="MA12" i="34"/>
  <c r="AA15" i="34"/>
  <c r="DY24" i="34"/>
  <c r="ER10" i="34"/>
  <c r="ME177" i="34"/>
  <c r="LB22" i="34"/>
  <c r="JZ12" i="34"/>
  <c r="CK17" i="34"/>
  <c r="CV94" i="33"/>
  <c r="CV14" i="33" s="1"/>
  <c r="HV17" i="34"/>
  <c r="KM17" i="34"/>
  <c r="JG31" i="34"/>
  <c r="DI21" i="34"/>
  <c r="AZ17" i="34"/>
  <c r="HV27" i="34"/>
  <c r="GP22" i="34"/>
  <c r="OJ28" i="34"/>
  <c r="BK124" i="28"/>
  <c r="BL124" i="28" s="1"/>
  <c r="NH31" i="34"/>
  <c r="KR20" i="34"/>
  <c r="NE179" i="34"/>
  <c r="EG20" i="34"/>
  <c r="IW9" i="34"/>
  <c r="DZ189" i="34"/>
  <c r="KP24" i="34"/>
  <c r="HE32" i="34"/>
  <c r="HF16" i="34"/>
  <c r="DB33" i="34"/>
  <c r="FP8" i="34"/>
  <c r="GN29" i="34"/>
  <c r="NG14" i="34"/>
  <c r="HW8" i="34"/>
  <c r="DA35" i="34"/>
  <c r="KA20" i="34"/>
  <c r="GL7" i="34"/>
  <c r="W34" i="34"/>
  <c r="LB7" i="34"/>
  <c r="IU25" i="34"/>
  <c r="AZ11" i="34"/>
  <c r="KL33" i="34"/>
  <c r="HH21" i="34"/>
  <c r="MC20" i="34"/>
  <c r="ML189" i="34"/>
  <c r="AQ10" i="34"/>
  <c r="JH24" i="34"/>
  <c r="KN11" i="34"/>
  <c r="LW11" i="34"/>
  <c r="NE33" i="34"/>
  <c r="AA32" i="34"/>
  <c r="EG7" i="34"/>
  <c r="DD32" i="34"/>
  <c r="CV5" i="34"/>
  <c r="CG28" i="34"/>
  <c r="HV28" i="34"/>
  <c r="OL177" i="34"/>
  <c r="DI32" i="34"/>
  <c r="HH13" i="34"/>
  <c r="HT35" i="34"/>
  <c r="KL177" i="34"/>
  <c r="KL190" i="34" s="1"/>
  <c r="KL38" i="34" s="1"/>
  <c r="V25" i="34"/>
  <c r="NG13" i="34"/>
  <c r="MA31" i="34"/>
  <c r="PX14" i="34"/>
  <c r="FT25" i="34"/>
  <c r="EW10" i="33"/>
  <c r="NP35" i="34"/>
  <c r="FV24" i="34"/>
  <c r="ML16" i="34"/>
  <c r="LZ37" i="34"/>
  <c r="MD22" i="34"/>
  <c r="FV10" i="34"/>
  <c r="EX26" i="34"/>
  <c r="LC21" i="34"/>
  <c r="EX34" i="34"/>
  <c r="KL17" i="34"/>
  <c r="EA9" i="34"/>
  <c r="IS26" i="34"/>
  <c r="CO15" i="34"/>
  <c r="T185" i="23"/>
  <c r="U185" i="23" s="1"/>
  <c r="FS94" i="33"/>
  <c r="FS14" i="33" s="1"/>
  <c r="JF37" i="34"/>
  <c r="GM17" i="34"/>
  <c r="EY177" i="34"/>
  <c r="LJ20" i="34"/>
  <c r="MJ28" i="34"/>
  <c r="JA35" i="34"/>
  <c r="U13" i="34"/>
  <c r="JV34" i="34"/>
  <c r="ON24" i="34"/>
  <c r="DB179" i="34"/>
  <c r="KM24" i="34"/>
  <c r="GE4" i="34"/>
  <c r="IV21" i="34"/>
  <c r="GN189" i="34"/>
  <c r="B107" i="28"/>
  <c r="BQ25" i="34"/>
  <c r="AV20" i="34"/>
  <c r="JX17" i="34"/>
  <c r="NP29" i="34"/>
  <c r="IV33" i="34"/>
  <c r="S5" i="17"/>
  <c r="DE12" i="34"/>
  <c r="FP26" i="34"/>
  <c r="HV9" i="34"/>
  <c r="AV13" i="34"/>
  <c r="BP179" i="34"/>
  <c r="AS12" i="34"/>
  <c r="GP32" i="34"/>
  <c r="IB37" i="34"/>
  <c r="BR21" i="34"/>
  <c r="NB15" i="34"/>
  <c r="EE22" i="34"/>
  <c r="NP23" i="34"/>
  <c r="IQ23" i="34"/>
  <c r="X189" i="34"/>
  <c r="FR9" i="34"/>
  <c r="NC10" i="34"/>
  <c r="HG19" i="34"/>
  <c r="LH36" i="34"/>
  <c r="IW28" i="34"/>
  <c r="BK128" i="28"/>
  <c r="BL128" i="28" s="1"/>
  <c r="NO33" i="34"/>
  <c r="AD16" i="34"/>
  <c r="IV34" i="34"/>
  <c r="FQ34" i="34"/>
  <c r="HW9" i="34"/>
  <c r="MO33" i="34"/>
  <c r="HH16" i="34"/>
  <c r="PX8" i="34"/>
  <c r="IY12" i="34"/>
  <c r="JA22" i="34"/>
  <c r="JU29" i="34"/>
  <c r="DW12" i="34"/>
  <c r="NL24" i="34"/>
  <c r="Y14" i="34"/>
  <c r="DB29" i="34"/>
  <c r="IS9" i="34"/>
  <c r="NE28" i="34"/>
  <c r="AP32" i="34"/>
  <c r="JH21" i="34"/>
  <c r="IZ12" i="34"/>
  <c r="MD32" i="34"/>
  <c r="Y27" i="34"/>
  <c r="MH7" i="34"/>
  <c r="EJ9" i="34"/>
  <c r="MO17" i="34"/>
  <c r="LJ24" i="34"/>
  <c r="BR8" i="34"/>
  <c r="HE26" i="34"/>
  <c r="JY37" i="34"/>
  <c r="HV189" i="34"/>
  <c r="AV22" i="34"/>
  <c r="KA18" i="34"/>
  <c r="DG8" i="34"/>
  <c r="GM23" i="34"/>
  <c r="EH17" i="34"/>
  <c r="HE189" i="34"/>
  <c r="AV27" i="34"/>
  <c r="PF36" i="34"/>
  <c r="DC177" i="34"/>
  <c r="BO10" i="34"/>
  <c r="JX12" i="34"/>
  <c r="GN11" i="34"/>
  <c r="DC10" i="34"/>
  <c r="BO13" i="34"/>
  <c r="HX31" i="34"/>
  <c r="FQ20" i="34"/>
  <c r="PI7" i="34"/>
  <c r="ME10" i="34"/>
  <c r="DW35" i="34"/>
  <c r="CM10" i="34"/>
  <c r="PY9" i="34"/>
  <c r="MV5" i="34"/>
  <c r="NF28" i="34"/>
  <c r="AR14" i="34"/>
  <c r="T177" i="34"/>
  <c r="GP9" i="34"/>
  <c r="CD24" i="34"/>
  <c r="HD7" i="34"/>
  <c r="CO13" i="34"/>
  <c r="EK189" i="34"/>
  <c r="AX177" i="34"/>
  <c r="AZ20" i="34"/>
  <c r="LA19" i="34"/>
  <c r="NF16" i="34"/>
  <c r="JH34" i="34"/>
  <c r="DX20" i="34"/>
  <c r="CE15" i="34"/>
  <c r="BQ30" i="34"/>
  <c r="MJ16" i="34"/>
  <c r="HF37" i="34"/>
  <c r="LG18" i="34"/>
  <c r="PZ35" i="34"/>
  <c r="ME32" i="34"/>
  <c r="DG21" i="34"/>
  <c r="NA33" i="34"/>
  <c r="JW13" i="34"/>
  <c r="FA11" i="34"/>
  <c r="IC24" i="34"/>
  <c r="PJ34" i="34"/>
  <c r="JH36" i="34"/>
  <c r="PC15" i="34"/>
  <c r="DG24" i="34"/>
  <c r="JW10" i="34"/>
  <c r="IW16" i="34"/>
  <c r="PZ32" i="34"/>
  <c r="IB25" i="34"/>
  <c r="KN17" i="34"/>
  <c r="CL9" i="34"/>
  <c r="PI28" i="34"/>
  <c r="BA14" i="34"/>
  <c r="KR16" i="34"/>
  <c r="DI7" i="34"/>
  <c r="DV36" i="34"/>
  <c r="LF32" i="34"/>
  <c r="JY13" i="34"/>
  <c r="AD29" i="34"/>
  <c r="HY25" i="34"/>
  <c r="GK189" i="34"/>
  <c r="CH16" i="34"/>
  <c r="AS20" i="34"/>
  <c r="EC14" i="34"/>
  <c r="HT10" i="34"/>
  <c r="ID37" i="34"/>
  <c r="HC30" i="34"/>
  <c r="HE18" i="34"/>
  <c r="PC13" i="34"/>
  <c r="DG35" i="34"/>
  <c r="BO15" i="34"/>
  <c r="NH34" i="34"/>
  <c r="HD8" i="34"/>
  <c r="EA37" i="34"/>
  <c r="FX10" i="33"/>
  <c r="GR29" i="33" s="1"/>
  <c r="AC27" i="34"/>
  <c r="LX33" i="34"/>
  <c r="AM10" i="34"/>
  <c r="V189" i="34"/>
  <c r="HW15" i="34"/>
  <c r="KA36" i="34"/>
  <c r="FN15" i="34"/>
  <c r="KA31" i="34"/>
  <c r="GJ10" i="34"/>
  <c r="JG22" i="34"/>
  <c r="FA8" i="34"/>
  <c r="EH18" i="34"/>
  <c r="EZ31" i="34"/>
  <c r="KO24" i="34"/>
  <c r="MB19" i="34"/>
  <c r="EI17" i="34"/>
  <c r="BA20" i="34"/>
  <c r="V13" i="34"/>
  <c r="LJ23" i="34"/>
  <c r="EJ32" i="34"/>
  <c r="OI15" i="34"/>
  <c r="HD189" i="34"/>
  <c r="IC36" i="34"/>
  <c r="EA28" i="34"/>
  <c r="PZ17" i="34"/>
  <c r="ME8" i="34"/>
  <c r="KR9" i="34"/>
  <c r="AN33" i="34"/>
  <c r="BO8" i="34"/>
  <c r="U28" i="34"/>
  <c r="HH22" i="34"/>
  <c r="IY8" i="34"/>
  <c r="BP177" i="34"/>
  <c r="EK14" i="34"/>
  <c r="MC37" i="34"/>
  <c r="EK13" i="34"/>
  <c r="DE27" i="34"/>
  <c r="MD21" i="34"/>
  <c r="J16" i="34"/>
  <c r="MN30" i="34"/>
  <c r="FA29" i="34"/>
  <c r="JH26" i="34"/>
  <c r="CL189" i="34"/>
  <c r="CN29" i="34"/>
  <c r="EB26" i="34"/>
  <c r="FQ18" i="34"/>
  <c r="CG34" i="34"/>
  <c r="CL23" i="34"/>
  <c r="IZ11" i="34"/>
  <c r="NC8" i="34"/>
  <c r="NH25" i="34"/>
  <c r="JD12" i="34"/>
  <c r="LZ14" i="34"/>
  <c r="HC29" i="34"/>
  <c r="HD16" i="34"/>
  <c r="CE32" i="34"/>
  <c r="LE32" i="34"/>
  <c r="NM35" i="34"/>
  <c r="BQ36" i="34"/>
  <c r="X22" i="34"/>
  <c r="GL31" i="34"/>
  <c r="OM34" i="34"/>
  <c r="LF23" i="34"/>
  <c r="EI25" i="34"/>
  <c r="T12" i="34"/>
  <c r="EI15" i="34"/>
  <c r="FO35" i="34"/>
  <c r="NC23" i="34"/>
  <c r="AY22" i="34"/>
  <c r="NB20" i="34"/>
  <c r="PY29" i="34"/>
  <c r="FA179" i="34"/>
  <c r="JH32" i="34"/>
  <c r="MF24" i="34"/>
  <c r="EG17" i="34"/>
  <c r="X33" i="34"/>
  <c r="MF26" i="34"/>
  <c r="NA34" i="34"/>
  <c r="DW21" i="34"/>
  <c r="MI15" i="34"/>
  <c r="HE10" i="34"/>
  <c r="HZ18" i="34"/>
  <c r="CI31" i="34"/>
  <c r="AD26" i="34"/>
  <c r="HC18" i="34"/>
  <c r="GQ10" i="34"/>
  <c r="MH31" i="34"/>
  <c r="FV177" i="34"/>
  <c r="FV190" i="34" s="1"/>
  <c r="FV38" i="34" s="1"/>
  <c r="JT177" i="34"/>
  <c r="NC26" i="34"/>
  <c r="LA11" i="34"/>
  <c r="K22" i="34"/>
  <c r="CD11" i="34"/>
  <c r="LB179" i="34"/>
  <c r="HZ10" i="34"/>
  <c r="EK31" i="34"/>
  <c r="MA32" i="34"/>
  <c r="EY7" i="34"/>
  <c r="KP13" i="34"/>
  <c r="PD14" i="34"/>
  <c r="D18" i="17"/>
  <c r="N13" i="13" s="1"/>
  <c r="LA24" i="34"/>
  <c r="HT21" i="34"/>
  <c r="PX11" i="34"/>
  <c r="CN179" i="34"/>
  <c r="IT179" i="34"/>
  <c r="JE7" i="34"/>
  <c r="OL11" i="34"/>
  <c r="JF23" i="34"/>
  <c r="FR35" i="34"/>
  <c r="FA7" i="34"/>
  <c r="IE8" i="34"/>
  <c r="HD19" i="34"/>
  <c r="FG10" i="33"/>
  <c r="CN10" i="34"/>
  <c r="DW177" i="34"/>
  <c r="MB15" i="34"/>
  <c r="PC10" i="34"/>
  <c r="GO94" i="33"/>
  <c r="MJ37" i="34"/>
  <c r="LG26" i="34"/>
  <c r="JW14" i="34"/>
  <c r="HX27" i="34"/>
  <c r="LD16" i="34"/>
  <c r="JV37" i="34"/>
  <c r="ID30" i="34"/>
  <c r="AM34" i="34"/>
  <c r="LG37" i="34"/>
  <c r="NB23" i="34"/>
  <c r="CO24" i="34"/>
  <c r="JF24" i="34"/>
  <c r="BR24" i="34"/>
  <c r="GK10" i="33"/>
  <c r="GU21" i="33" s="1"/>
  <c r="AH40" i="17" s="1"/>
  <c r="LF21" i="34"/>
  <c r="JG27" i="34"/>
  <c r="NG9" i="34"/>
  <c r="JF179" i="34"/>
  <c r="AB17" i="34"/>
  <c r="JG37" i="34"/>
  <c r="IU21" i="34"/>
  <c r="BP21" i="34"/>
  <c r="HG29" i="34"/>
  <c r="JU34" i="34"/>
  <c r="LD33" i="34"/>
  <c r="HF15" i="34"/>
  <c r="GQ26" i="34"/>
  <c r="EY10" i="34"/>
  <c r="LF9" i="34"/>
  <c r="DW37" i="34"/>
  <c r="KL23" i="34"/>
  <c r="HC31" i="34"/>
  <c r="CI27" i="34"/>
  <c r="LC13" i="34"/>
  <c r="PH15" i="34"/>
  <c r="MM8" i="34"/>
  <c r="JX19" i="34"/>
  <c r="CG22" i="34"/>
  <c r="CM9" i="34"/>
  <c r="BO177" i="34"/>
  <c r="BO190" i="34" s="1"/>
  <c r="BO38" i="34" s="1"/>
  <c r="CL179" i="34"/>
  <c r="JT30" i="34"/>
  <c r="BB26" i="34"/>
  <c r="LH23" i="34"/>
  <c r="JV28" i="34"/>
  <c r="IB36" i="34"/>
  <c r="AX31" i="34"/>
  <c r="MN189" i="34"/>
  <c r="LH177" i="34"/>
  <c r="JO4" i="34"/>
  <c r="EA22" i="34"/>
  <c r="LH16" i="34"/>
  <c r="BZ87" i="33"/>
  <c r="BZ13" i="33" s="1"/>
  <c r="JE23" i="34"/>
  <c r="IZ33" i="34"/>
  <c r="GL33" i="34"/>
  <c r="BQ13" i="34"/>
  <c r="GK25" i="34"/>
  <c r="FB177" i="34"/>
  <c r="W177" i="34"/>
  <c r="BR11" i="34"/>
  <c r="KQ37" i="34"/>
  <c r="HD30" i="34"/>
  <c r="DW18" i="34"/>
  <c r="DZ9" i="34"/>
  <c r="JC22" i="34"/>
  <c r="CK34" i="34"/>
  <c r="IT29" i="34"/>
  <c r="CD10" i="33"/>
  <c r="AA31" i="34"/>
  <c r="NJ8" i="34"/>
  <c r="GQ33" i="34"/>
  <c r="AQ12" i="34"/>
  <c r="JT8" i="34"/>
  <c r="HY22" i="34"/>
  <c r="HX22" i="34"/>
  <c r="NL30" i="34"/>
  <c r="NC22" i="34"/>
  <c r="HF24" i="34"/>
  <c r="OO19" i="34"/>
  <c r="NC24" i="34"/>
  <c r="NN8" i="34"/>
  <c r="NC37" i="34"/>
  <c r="LE22" i="34"/>
  <c r="NI20" i="34"/>
  <c r="EZ29" i="34"/>
  <c r="HG24" i="34"/>
  <c r="K189" i="34"/>
  <c r="MM189" i="34"/>
  <c r="IC27" i="34"/>
  <c r="HY189" i="34"/>
  <c r="FP16" i="34"/>
  <c r="GL17" i="34"/>
  <c r="DY22" i="34"/>
  <c r="OI16" i="34"/>
  <c r="FV27" i="34"/>
  <c r="K23" i="34"/>
  <c r="NI10" i="34"/>
  <c r="CI21" i="34"/>
  <c r="LI18" i="34"/>
  <c r="JH9" i="34"/>
  <c r="HY33" i="34"/>
  <c r="MI8" i="34"/>
  <c r="FO32" i="34"/>
  <c r="AN11" i="34"/>
  <c r="JG35" i="34"/>
  <c r="X35" i="34"/>
  <c r="HE29" i="34"/>
  <c r="DF36" i="34"/>
  <c r="HD34" i="34"/>
  <c r="DF18" i="34"/>
  <c r="NJ10" i="34"/>
  <c r="EH26" i="34"/>
  <c r="DB24" i="34"/>
  <c r="FR189" i="34"/>
  <c r="IQ8" i="34"/>
  <c r="HF28" i="34"/>
  <c r="HE12" i="34"/>
  <c r="GK8" i="34"/>
  <c r="CI33" i="34"/>
  <c r="AP31" i="34"/>
  <c r="NB19" i="34"/>
  <c r="JD30" i="34"/>
  <c r="T18" i="34"/>
  <c r="Z13" i="34"/>
  <c r="AM16" i="34"/>
  <c r="BQ8" i="34"/>
  <c r="T72" i="23"/>
  <c r="U72" i="23" s="1"/>
  <c r="AW8" i="34"/>
  <c r="DY28" i="34"/>
  <c r="KC31" i="34"/>
  <c r="FA27" i="34"/>
  <c r="LZ30" i="34"/>
  <c r="FB36" i="34"/>
  <c r="IW25" i="34"/>
  <c r="T191" i="23"/>
  <c r="U191" i="23" s="1"/>
  <c r="IV9" i="34"/>
  <c r="BN18" i="34"/>
  <c r="MG21" i="34"/>
  <c r="KC34" i="34"/>
  <c r="HH18" i="34"/>
  <c r="MB179" i="34"/>
  <c r="T117" i="23"/>
  <c r="U117" i="23" s="1"/>
  <c r="W179" i="34"/>
  <c r="EE21" i="34"/>
  <c r="U23" i="34"/>
  <c r="AT16" i="34"/>
  <c r="NA24" i="34"/>
  <c r="PE15" i="34"/>
  <c r="IZ22" i="34"/>
  <c r="KM27" i="34"/>
  <c r="EJ10" i="34"/>
  <c r="Y22" i="34"/>
  <c r="CN32" i="34"/>
  <c r="GO11" i="34"/>
  <c r="EH34" i="34"/>
  <c r="NG10" i="34"/>
  <c r="AD189" i="34"/>
  <c r="AT20" i="34"/>
  <c r="HO5" i="34"/>
  <c r="OK29" i="34"/>
  <c r="KG6" i="34"/>
  <c r="GO28" i="34"/>
  <c r="LZ24" i="34"/>
  <c r="GK179" i="34"/>
  <c r="JC8" i="34"/>
  <c r="PH189" i="34"/>
  <c r="LF15" i="34"/>
  <c r="LH9" i="34"/>
  <c r="CN15" i="34"/>
  <c r="MC35" i="34"/>
  <c r="LC10" i="34"/>
  <c r="DF15" i="34"/>
  <c r="JA18" i="34"/>
  <c r="ON19" i="34"/>
  <c r="EW94" i="33"/>
  <c r="EW14" i="33" s="1"/>
  <c r="LE24" i="34"/>
  <c r="U189" i="34"/>
  <c r="CD34" i="34"/>
  <c r="ME179" i="34"/>
  <c r="NN179" i="34"/>
  <c r="IB24" i="34"/>
  <c r="CM179" i="34"/>
  <c r="JW26" i="34"/>
  <c r="CL14" i="34"/>
  <c r="CD8" i="34"/>
  <c r="NL177" i="34"/>
  <c r="HW11" i="34"/>
  <c r="JE27" i="34"/>
  <c r="EH31" i="34"/>
  <c r="EW12" i="34"/>
  <c r="V18" i="34"/>
  <c r="EE33" i="34"/>
  <c r="FR26" i="34"/>
  <c r="GK23" i="34"/>
  <c r="JG32" i="34"/>
  <c r="CH21" i="34"/>
  <c r="PW31" i="34"/>
  <c r="DD28" i="34"/>
  <c r="MA21" i="34"/>
  <c r="NG8" i="34"/>
  <c r="ON10" i="34"/>
  <c r="EG22" i="34"/>
  <c r="ED9" i="34"/>
  <c r="HU34" i="34"/>
  <c r="LD14" i="34"/>
  <c r="EW21" i="34"/>
  <c r="PF29" i="34"/>
  <c r="MO25" i="34"/>
  <c r="MF11" i="34"/>
  <c r="PF35" i="34"/>
  <c r="OH22" i="34"/>
  <c r="NH16" i="34"/>
  <c r="BS87" i="33"/>
  <c r="BS13" i="33" s="1"/>
  <c r="Z177" i="34"/>
  <c r="Z190" i="34" s="1"/>
  <c r="Z38" i="34" s="1"/>
  <c r="LZ8" i="34"/>
  <c r="K33" i="34"/>
  <c r="LW15" i="34"/>
  <c r="KB32" i="34"/>
  <c r="HT19" i="34"/>
  <c r="PB26" i="34"/>
  <c r="JC20" i="34"/>
  <c r="HD13" i="34"/>
  <c r="FA32" i="34"/>
  <c r="BQ10" i="33"/>
  <c r="NA31" i="34"/>
  <c r="NM19" i="34"/>
  <c r="IY28" i="34"/>
  <c r="NH15" i="34"/>
  <c r="LI179" i="34"/>
  <c r="AP34" i="34"/>
  <c r="JV15" i="34"/>
  <c r="GP30" i="34"/>
  <c r="U16" i="34"/>
  <c r="MI9" i="34"/>
  <c r="ID10" i="34"/>
  <c r="EF20" i="34"/>
  <c r="HG34" i="34"/>
  <c r="IZ30" i="34"/>
  <c r="FU32" i="34"/>
  <c r="GN35" i="34"/>
  <c r="FP10" i="33"/>
  <c r="IQ30" i="34"/>
  <c r="NH18" i="34"/>
  <c r="FR16" i="34"/>
  <c r="FQ16" i="34"/>
  <c r="IA25" i="34"/>
  <c r="MM32" i="34"/>
  <c r="MM37" i="34"/>
  <c r="LB17" i="34"/>
  <c r="JG25" i="34"/>
  <c r="HZ7" i="34"/>
  <c r="ID15" i="34"/>
  <c r="MD35" i="34"/>
  <c r="PB31" i="34"/>
  <c r="GN21" i="34"/>
  <c r="DY27" i="34"/>
  <c r="ND8" i="34"/>
  <c r="U177" i="34"/>
  <c r="AP17" i="34"/>
  <c r="NG7" i="34"/>
  <c r="AB26" i="34"/>
  <c r="DA24" i="34"/>
  <c r="BK3" i="28"/>
  <c r="BL3" i="28" s="1"/>
  <c r="LF34" i="34"/>
  <c r="EZ15" i="34"/>
  <c r="FT22" i="34"/>
  <c r="HT27" i="34"/>
  <c r="HH35" i="34"/>
  <c r="LE9" i="34"/>
  <c r="NF34" i="34"/>
  <c r="HH36" i="34"/>
  <c r="CN26" i="34"/>
  <c r="HH177" i="34"/>
  <c r="KQ31" i="34"/>
  <c r="BK88" i="28"/>
  <c r="BL88" i="28" s="1"/>
  <c r="JZ21" i="34"/>
  <c r="LJ33" i="34"/>
  <c r="JF19" i="34"/>
  <c r="OM24" i="34"/>
  <c r="DE18" i="34"/>
  <c r="KG7" i="34"/>
  <c r="HO13" i="34"/>
  <c r="IE11" i="34"/>
  <c r="KM8" i="34"/>
  <c r="GJ27" i="34"/>
  <c r="DD15" i="34"/>
  <c r="LB36" i="34"/>
  <c r="AB18" i="34"/>
  <c r="PG26" i="34"/>
  <c r="NC11" i="34"/>
  <c r="AY9" i="34"/>
  <c r="FP34" i="34"/>
  <c r="PC30" i="34"/>
  <c r="X13" i="34"/>
  <c r="AT19" i="34"/>
  <c r="LI24" i="34"/>
  <c r="MM12" i="34"/>
  <c r="AV17" i="34"/>
  <c r="EZ28" i="34"/>
  <c r="PW14" i="34"/>
  <c r="AX23" i="34"/>
  <c r="NE24" i="34"/>
  <c r="DB30" i="34"/>
  <c r="AH14" i="34"/>
  <c r="HE179" i="34"/>
  <c r="MA25" i="34"/>
  <c r="AU15" i="34"/>
  <c r="JT35" i="34"/>
  <c r="LH18" i="34"/>
  <c r="EM10" i="33"/>
  <c r="FU25" i="34"/>
  <c r="JH30" i="34"/>
  <c r="HO4" i="34"/>
  <c r="EF26" i="34"/>
  <c r="FV22" i="34"/>
  <c r="AU27" i="34"/>
  <c r="EE15" i="34"/>
  <c r="AA179" i="34"/>
  <c r="OH177" i="34"/>
  <c r="KG5" i="34"/>
  <c r="ID177" i="34"/>
  <c r="DA22" i="34"/>
  <c r="IY31" i="34"/>
  <c r="LK26" i="34"/>
  <c r="NK9" i="34"/>
  <c r="EE19" i="34"/>
  <c r="ND27" i="34"/>
  <c r="LY24" i="34"/>
  <c r="MC9" i="34"/>
  <c r="IR8" i="34"/>
  <c r="ND33" i="34"/>
  <c r="DB17" i="34"/>
  <c r="LJ19" i="34"/>
  <c r="O8" i="34"/>
  <c r="ML15" i="34"/>
  <c r="AQ34" i="34"/>
  <c r="CG19" i="34"/>
  <c r="NF8" i="34"/>
  <c r="AB189" i="34"/>
  <c r="NI15" i="34"/>
  <c r="JU32" i="34"/>
  <c r="IW37" i="34"/>
  <c r="CH11" i="34"/>
  <c r="FV31" i="34"/>
  <c r="FR17" i="34"/>
  <c r="MM36" i="34"/>
  <c r="PG16" i="34"/>
  <c r="HZ29" i="34"/>
  <c r="LD30" i="34"/>
  <c r="MM28" i="34"/>
  <c r="CE14" i="34"/>
  <c r="LJ21" i="34"/>
  <c r="NL33" i="34"/>
  <c r="GN34" i="34"/>
  <c r="JG7" i="34"/>
  <c r="AB8" i="34"/>
  <c r="PB13" i="34"/>
  <c r="NA20" i="34"/>
  <c r="AO36" i="34"/>
  <c r="AN8" i="34"/>
  <c r="DX30" i="34"/>
  <c r="CI18" i="34"/>
  <c r="DY29" i="34"/>
  <c r="ME18" i="34"/>
  <c r="CF12" i="34"/>
  <c r="DZ36" i="34"/>
  <c r="FU30" i="34"/>
  <c r="HW36" i="34"/>
  <c r="PE10" i="34"/>
  <c r="JF17" i="34"/>
  <c r="MB26" i="34"/>
  <c r="NC179" i="34"/>
  <c r="BN30" i="34"/>
  <c r="PE17" i="34"/>
  <c r="OO10" i="34"/>
  <c r="MG177" i="34"/>
  <c r="MG190" i="34" s="1"/>
  <c r="MG38" i="34" s="1"/>
  <c r="JZ20" i="34"/>
  <c r="HW34" i="34"/>
  <c r="IB179" i="34"/>
  <c r="CE36" i="34"/>
  <c r="IU11" i="34"/>
  <c r="W10" i="34"/>
  <c r="AO17" i="34"/>
  <c r="AO29" i="34"/>
  <c r="BK85" i="28"/>
  <c r="BL85" i="28" s="1"/>
  <c r="HT179" i="34"/>
  <c r="MD19" i="34"/>
  <c r="FA16" i="34"/>
  <c r="NK35" i="34"/>
  <c r="IT37" i="34"/>
  <c r="AM28" i="34"/>
  <c r="GQ189" i="34"/>
  <c r="FS13" i="34"/>
  <c r="NJ16" i="34"/>
  <c r="NN13" i="34"/>
  <c r="LD32" i="34"/>
  <c r="EW28" i="34"/>
  <c r="AS36" i="34"/>
  <c r="GM33" i="34"/>
  <c r="ML17" i="34"/>
  <c r="CN30" i="34"/>
  <c r="NE22" i="34"/>
  <c r="NK16" i="34"/>
  <c r="DX10" i="33"/>
  <c r="DZ3" i="33" s="1"/>
  <c r="EB3" i="33" s="1"/>
  <c r="EF177" i="34"/>
  <c r="AU29" i="34"/>
  <c r="GN28" i="34"/>
  <c r="LH10" i="34"/>
  <c r="CO14" i="34"/>
  <c r="CH36" i="34"/>
  <c r="JU31" i="34"/>
  <c r="IW36" i="34"/>
  <c r="NO16" i="34"/>
  <c r="V21" i="34"/>
  <c r="DG23" i="34"/>
  <c r="Z31" i="34"/>
  <c r="CK22" i="34"/>
  <c r="JY21" i="34"/>
  <c r="NO17" i="34"/>
  <c r="LG27" i="34"/>
  <c r="FO29" i="34"/>
  <c r="PA16" i="34"/>
  <c r="DA9" i="34"/>
  <c r="FP11" i="34"/>
  <c r="LI35" i="34"/>
  <c r="DF13" i="34"/>
  <c r="AB19" i="34"/>
  <c r="EW7" i="34"/>
  <c r="FN17" i="34"/>
  <c r="AQ17" i="34"/>
  <c r="GO13" i="34"/>
  <c r="EX13" i="34"/>
  <c r="DE32" i="34"/>
  <c r="KP12" i="34"/>
  <c r="EJ27" i="34"/>
  <c r="JH18" i="34"/>
  <c r="AQ16" i="34"/>
  <c r="HW32" i="34"/>
  <c r="LD7" i="34"/>
  <c r="DI12" i="34"/>
  <c r="CN24" i="34"/>
  <c r="T14" i="34"/>
  <c r="JZ7" i="34"/>
  <c r="HY15" i="34"/>
  <c r="LW32" i="34"/>
  <c r="Z28" i="34"/>
  <c r="EA13" i="34"/>
  <c r="GQ11" i="34"/>
  <c r="EZ16" i="34"/>
  <c r="IQ31" i="34"/>
  <c r="ND31" i="34"/>
  <c r="FW179" i="34"/>
  <c r="LK14" i="34"/>
  <c r="OK25" i="34"/>
  <c r="FN177" i="34"/>
  <c r="MO31" i="34"/>
  <c r="ME37" i="34"/>
  <c r="JE12" i="34"/>
  <c r="LH17" i="34"/>
  <c r="PY34" i="34"/>
  <c r="HX177" i="34"/>
  <c r="EX7" i="34"/>
  <c r="MM7" i="34"/>
  <c r="EH13" i="34"/>
  <c r="CJ26" i="34"/>
  <c r="HY34" i="34"/>
  <c r="JZ34" i="34"/>
  <c r="MH10" i="34"/>
  <c r="JD24" i="34"/>
  <c r="EB189" i="34"/>
  <c r="AX24" i="34"/>
  <c r="AO27" i="34"/>
  <c r="FQ17" i="34"/>
  <c r="DJ14" i="34"/>
  <c r="MB21" i="34"/>
  <c r="ED18" i="34"/>
  <c r="GN24" i="34"/>
  <c r="JT16" i="34"/>
  <c r="LG13" i="34"/>
  <c r="DG30" i="34"/>
  <c r="JX26" i="34"/>
  <c r="IU22" i="34"/>
  <c r="LY20" i="34"/>
  <c r="HW23" i="34"/>
  <c r="PJ189" i="34"/>
  <c r="GK32" i="34"/>
  <c r="DF34" i="34"/>
  <c r="CI37" i="34"/>
  <c r="LX22" i="34"/>
  <c r="LK18" i="34"/>
  <c r="AO11" i="34"/>
  <c r="AD14" i="34"/>
  <c r="DX177" i="34"/>
  <c r="CE16" i="34"/>
  <c r="GQ7" i="34"/>
  <c r="LY16" i="34"/>
  <c r="ML30" i="34"/>
  <c r="LH12" i="34"/>
  <c r="IS179" i="34"/>
  <c r="LD35" i="34"/>
  <c r="LK189" i="34"/>
  <c r="DC179" i="34"/>
  <c r="DZ34" i="34"/>
  <c r="MB31" i="34"/>
  <c r="ER12" i="34"/>
  <c r="JW22" i="34"/>
  <c r="X25" i="34"/>
  <c r="DD37" i="34"/>
  <c r="GO29" i="34"/>
  <c r="KC14" i="34"/>
  <c r="LK29" i="34"/>
  <c r="W87" i="33"/>
  <c r="W13" i="33" s="1"/>
  <c r="LW10" i="34"/>
  <c r="EG9" i="34"/>
  <c r="PK25" i="34"/>
  <c r="NL179" i="34"/>
  <c r="GN15" i="34"/>
  <c r="CD9" i="34"/>
  <c r="HH11" i="34"/>
  <c r="NE30" i="34"/>
  <c r="OL7" i="34"/>
  <c r="LE177" i="34"/>
  <c r="FR10" i="34"/>
  <c r="JV8" i="34"/>
  <c r="NB10" i="34"/>
  <c r="NJ36" i="34"/>
  <c r="NO24" i="34"/>
  <c r="DI18" i="34"/>
  <c r="LK8" i="34"/>
  <c r="X34" i="34"/>
  <c r="MF13" i="34"/>
  <c r="T24" i="23"/>
  <c r="U24" i="23" s="1"/>
  <c r="AW28" i="34"/>
  <c r="OJ18" i="34"/>
  <c r="PE30" i="34"/>
  <c r="NP37" i="34"/>
  <c r="GQ17" i="34"/>
  <c r="EK20" i="34"/>
  <c r="LY11" i="34"/>
  <c r="KO21" i="34"/>
  <c r="KL10" i="34"/>
  <c r="KN36" i="34"/>
  <c r="NM20" i="34"/>
  <c r="PI31" i="34"/>
  <c r="AT15" i="34"/>
  <c r="KR30" i="34"/>
  <c r="T179" i="34"/>
  <c r="FT13" i="34"/>
  <c r="JT12" i="34"/>
  <c r="OM27" i="34"/>
  <c r="IS18" i="34"/>
  <c r="PH10" i="34"/>
  <c r="BA26" i="34"/>
  <c r="AT24" i="34"/>
  <c r="EH10" i="34"/>
  <c r="DX9" i="34"/>
  <c r="AH6" i="34"/>
  <c r="IW8" i="34"/>
  <c r="DW15" i="34"/>
  <c r="DW14" i="34"/>
  <c r="AM22" i="34"/>
  <c r="JE25" i="34"/>
  <c r="OO32" i="34"/>
  <c r="FW33" i="34"/>
  <c r="LX10" i="34"/>
  <c r="OJ179" i="34"/>
  <c r="DB32" i="34"/>
  <c r="NN33" i="34"/>
  <c r="JW37" i="34"/>
  <c r="OK179" i="34"/>
  <c r="JW36" i="34"/>
  <c r="PG20" i="34"/>
  <c r="GL22" i="34"/>
  <c r="ID36" i="34"/>
  <c r="J13" i="34"/>
  <c r="AY20" i="34"/>
  <c r="AR19" i="34"/>
  <c r="MI12" i="34"/>
  <c r="CD23" i="34"/>
  <c r="EF9" i="34"/>
  <c r="AB21" i="34"/>
  <c r="LX35" i="34"/>
  <c r="GM35" i="34"/>
  <c r="PF31" i="34"/>
  <c r="BK44" i="28"/>
  <c r="BL44" i="28" s="1"/>
  <c r="LK33" i="34"/>
  <c r="JT26" i="34"/>
  <c r="HG9" i="34"/>
  <c r="JZ9" i="34"/>
  <c r="EW23" i="34"/>
  <c r="JF15" i="34"/>
  <c r="HZ179" i="34"/>
  <c r="BP33" i="34"/>
  <c r="JU13" i="34"/>
  <c r="AN30" i="34"/>
  <c r="KN19" i="34"/>
  <c r="EC8" i="34"/>
  <c r="BQ20" i="34"/>
  <c r="MG10" i="34"/>
  <c r="LI32" i="34"/>
  <c r="IR17" i="34"/>
  <c r="MA11" i="34"/>
  <c r="OM9" i="34"/>
  <c r="IS13" i="34"/>
  <c r="LG179" i="34"/>
  <c r="HZ19" i="34"/>
  <c r="EG25" i="34"/>
  <c r="LY8" i="34"/>
  <c r="HV177" i="34"/>
  <c r="FB32" i="34"/>
  <c r="IS35" i="34"/>
  <c r="DF20" i="34"/>
  <c r="LE27" i="34"/>
  <c r="JB27" i="34"/>
  <c r="FQ37" i="34"/>
  <c r="MC28" i="34"/>
  <c r="IS25" i="34"/>
  <c r="IS28" i="34"/>
  <c r="LW35" i="34"/>
  <c r="JX9" i="34"/>
  <c r="ND36" i="34"/>
  <c r="PG9" i="34"/>
  <c r="NL23" i="34"/>
  <c r="MH18" i="34"/>
  <c r="NN11" i="34"/>
  <c r="BN189" i="34"/>
  <c r="FV17" i="34"/>
  <c r="NF13" i="34"/>
  <c r="JW23" i="34"/>
  <c r="KC22" i="34"/>
  <c r="NA22" i="34"/>
  <c r="GK35" i="34"/>
  <c r="ON30" i="34"/>
  <c r="ML18" i="34"/>
  <c r="EJ21" i="34"/>
  <c r="JB24" i="34"/>
  <c r="KN15" i="34"/>
  <c r="ER5" i="34"/>
  <c r="NL32" i="34"/>
  <c r="MO26" i="34"/>
  <c r="NJ7" i="34"/>
  <c r="NA32" i="34"/>
  <c r="IR25" i="34"/>
  <c r="BP30" i="34"/>
  <c r="KM13" i="34"/>
  <c r="Z36" i="34"/>
  <c r="CE18" i="34"/>
  <c r="ND26" i="34"/>
  <c r="OK15" i="34"/>
  <c r="MO12" i="34"/>
  <c r="NG34" i="34"/>
  <c r="LB11" i="34"/>
  <c r="OL27" i="34"/>
  <c r="F42" i="28"/>
  <c r="X37" i="34"/>
  <c r="HH30" i="34"/>
  <c r="FV35" i="34"/>
  <c r="EY179" i="34"/>
  <c r="DX32" i="34"/>
  <c r="NP36" i="34"/>
  <c r="OO27" i="34"/>
  <c r="NI18" i="34"/>
  <c r="Y20" i="34"/>
  <c r="MG36" i="34"/>
  <c r="KC27" i="34"/>
  <c r="EE23" i="34"/>
  <c r="NH189" i="34"/>
  <c r="FN13" i="34"/>
  <c r="ND32" i="34"/>
  <c r="AS10" i="34"/>
  <c r="HY35" i="34"/>
  <c r="LI36" i="34"/>
  <c r="NO30" i="34"/>
  <c r="MK14" i="34"/>
  <c r="EX189" i="34"/>
  <c r="MG30" i="34"/>
  <c r="EE8" i="34"/>
  <c r="JZ36" i="34"/>
  <c r="MJ20" i="34"/>
  <c r="DJ10" i="34"/>
  <c r="AX35" i="34"/>
  <c r="CN22" i="34"/>
  <c r="ME30" i="34"/>
  <c r="EA24" i="34"/>
  <c r="DW33" i="34"/>
  <c r="PC16" i="34"/>
  <c r="DI19" i="34"/>
  <c r="LY35" i="34"/>
  <c r="HH7" i="34"/>
  <c r="AD179" i="34"/>
  <c r="AR177" i="34"/>
  <c r="MJ19" i="34"/>
  <c r="Z34" i="34"/>
  <c r="JU177" i="34"/>
  <c r="IY27" i="34"/>
  <c r="KO15" i="34"/>
  <c r="LH15" i="34"/>
  <c r="JH15" i="34"/>
  <c r="OO31" i="34"/>
  <c r="ID11" i="34"/>
  <c r="PB28" i="34"/>
  <c r="JC24" i="34"/>
  <c r="IT36" i="34"/>
  <c r="NJ32" i="34"/>
  <c r="HF25" i="34"/>
  <c r="KR13" i="34"/>
  <c r="OL36" i="34"/>
  <c r="Z22" i="34"/>
  <c r="OM7" i="34"/>
  <c r="JZ28" i="34"/>
  <c r="NJ177" i="34"/>
  <c r="FB9" i="34"/>
  <c r="LC25" i="34"/>
  <c r="FN27" i="34"/>
  <c r="HC17" i="34"/>
  <c r="IZ31" i="34"/>
  <c r="PB15" i="34"/>
  <c r="NP24" i="34"/>
  <c r="HH15" i="34"/>
  <c r="IC28" i="34"/>
  <c r="MK15" i="34"/>
  <c r="U22" i="34"/>
  <c r="NE21" i="34"/>
  <c r="FX19" i="34"/>
  <c r="LF26" i="34"/>
  <c r="EX30" i="34"/>
  <c r="CD36" i="34"/>
  <c r="PE35" i="34"/>
  <c r="FA14" i="34"/>
  <c r="MN17" i="34"/>
  <c r="KO10" i="34"/>
  <c r="NN10" i="34"/>
  <c r="MM29" i="34"/>
  <c r="DI36" i="34"/>
  <c r="NI11" i="34"/>
  <c r="OH10" i="34"/>
  <c r="NG179" i="34"/>
  <c r="EE34" i="34"/>
  <c r="EA31" i="34"/>
  <c r="FS24" i="34"/>
  <c r="JG21" i="34"/>
  <c r="MM31" i="34"/>
  <c r="DZ18" i="34"/>
  <c r="MK16" i="34"/>
  <c r="EI29" i="34"/>
  <c r="NA10" i="34"/>
  <c r="MC179" i="34"/>
  <c r="IV11" i="34"/>
  <c r="KB8" i="34"/>
  <c r="ER7" i="34"/>
  <c r="X16" i="34"/>
  <c r="LZ19" i="34"/>
  <c r="AW19" i="34"/>
  <c r="KO177" i="34"/>
  <c r="NP17" i="34"/>
  <c r="X29" i="34"/>
  <c r="AU22" i="34"/>
  <c r="BR9" i="34"/>
  <c r="AO22" i="34"/>
  <c r="OJ13" i="34"/>
  <c r="HE15" i="34"/>
  <c r="EA16" i="34"/>
  <c r="NO36" i="34"/>
  <c r="LY179" i="34"/>
  <c r="ME31" i="34"/>
  <c r="NO27" i="34"/>
  <c r="LA12" i="34"/>
  <c r="W24" i="34"/>
  <c r="OO24" i="34"/>
  <c r="AV28" i="34"/>
  <c r="MM16" i="34"/>
  <c r="KP29" i="34"/>
  <c r="HZ36" i="34"/>
  <c r="DL94" i="33"/>
  <c r="DL14" i="33" s="1"/>
  <c r="W16" i="34"/>
  <c r="DW23" i="34"/>
  <c r="DY177" i="34"/>
  <c r="PY25" i="34"/>
  <c r="DF28" i="34"/>
  <c r="HW189" i="34"/>
  <c r="LG23" i="34"/>
  <c r="DY11" i="34"/>
  <c r="FA18" i="34"/>
  <c r="NO23" i="34"/>
  <c r="JV35" i="34"/>
  <c r="LH11" i="34"/>
  <c r="MD36" i="34"/>
  <c r="KC33" i="34"/>
  <c r="DW29" i="34"/>
  <c r="EF12" i="34"/>
  <c r="AN179" i="34"/>
  <c r="KB18" i="34"/>
  <c r="FO17" i="34"/>
  <c r="MK18" i="34"/>
  <c r="MC19" i="34"/>
  <c r="MN27" i="34"/>
  <c r="CK2" i="33"/>
  <c r="HX18" i="34"/>
  <c r="KA35" i="34"/>
  <c r="LD189" i="34"/>
  <c r="NM189" i="34"/>
  <c r="ID32" i="34"/>
  <c r="OM28" i="34"/>
  <c r="BA23" i="34"/>
  <c r="NP15" i="34"/>
  <c r="KC21" i="34"/>
  <c r="LG14" i="34"/>
  <c r="JD179" i="34"/>
  <c r="HU12" i="34"/>
  <c r="LG9" i="34"/>
  <c r="NA25" i="34"/>
  <c r="FP20" i="34"/>
  <c r="FO9" i="34"/>
  <c r="ON179" i="34"/>
  <c r="CH13" i="34"/>
  <c r="LF27" i="34"/>
  <c r="IQ179" i="34"/>
  <c r="EY21" i="34"/>
  <c r="AC17" i="34"/>
  <c r="MK35" i="34"/>
  <c r="FW37" i="34"/>
  <c r="NO9" i="34"/>
  <c r="LK22" i="34"/>
  <c r="ME17" i="34"/>
  <c r="JD10" i="34"/>
  <c r="DY33" i="34"/>
  <c r="ID24" i="34"/>
  <c r="LW27" i="34"/>
  <c r="LJ35" i="34"/>
  <c r="FN11" i="34"/>
  <c r="LI14" i="34"/>
  <c r="JZ32" i="34"/>
  <c r="CH12" i="34"/>
  <c r="CE29" i="34"/>
  <c r="CI8" i="34"/>
  <c r="LF20" i="34"/>
  <c r="AO179" i="34"/>
  <c r="EY33" i="34"/>
  <c r="IW15" i="34"/>
  <c r="V34" i="34"/>
  <c r="GJ11" i="34"/>
  <c r="MK34" i="34"/>
  <c r="EJ12" i="34"/>
  <c r="ED15" i="34"/>
  <c r="ED10" i="34"/>
  <c r="HZ189" i="34"/>
  <c r="JH14" i="34"/>
  <c r="DX28" i="34"/>
  <c r="IB189" i="34"/>
  <c r="PX22" i="34"/>
  <c r="HG22" i="34"/>
  <c r="PB17" i="34"/>
  <c r="MI179" i="34"/>
  <c r="NJ15" i="34"/>
  <c r="HF10" i="34"/>
  <c r="DJ24" i="34"/>
  <c r="HD11" i="34"/>
  <c r="ND9" i="34"/>
  <c r="DE21" i="34"/>
  <c r="MA14" i="34"/>
  <c r="PI14" i="34"/>
  <c r="HO6" i="34"/>
  <c r="MI177" i="34"/>
  <c r="GJ17" i="34"/>
  <c r="EX15" i="34"/>
  <c r="CF37" i="34"/>
  <c r="FW18" i="34"/>
  <c r="AZ35" i="34"/>
  <c r="EG12" i="34"/>
  <c r="JX14" i="34"/>
  <c r="HU18" i="34"/>
  <c r="MD14" i="34"/>
  <c r="JU35" i="34"/>
  <c r="HZ33" i="34"/>
  <c r="GE10" i="33"/>
  <c r="IA14" i="34"/>
  <c r="FW32" i="34"/>
  <c r="CF35" i="34"/>
  <c r="EW26" i="34"/>
  <c r="FP33" i="34"/>
  <c r="JB37" i="34"/>
  <c r="ON35" i="34"/>
  <c r="LW16" i="34"/>
  <c r="NH9" i="34"/>
  <c r="OM177" i="34"/>
  <c r="FQ22" i="34"/>
  <c r="EI22" i="34"/>
  <c r="IW19" i="34"/>
  <c r="FW20" i="34"/>
  <c r="LG15" i="34"/>
  <c r="PF14" i="34"/>
  <c r="NL16" i="34"/>
  <c r="JH179" i="34"/>
  <c r="CD14" i="34"/>
  <c r="ML21" i="34"/>
  <c r="MO37" i="34"/>
  <c r="NK30" i="34"/>
  <c r="BQ179" i="34"/>
  <c r="FA17" i="34"/>
  <c r="CH18" i="34"/>
  <c r="JW17" i="34"/>
  <c r="CD13" i="34"/>
  <c r="PJ12" i="34"/>
  <c r="NK15" i="34"/>
  <c r="JW8" i="34"/>
  <c r="LC8" i="34"/>
  <c r="NB24" i="34"/>
  <c r="JA16" i="34"/>
  <c r="GL25" i="34"/>
  <c r="AT189" i="34"/>
  <c r="OI23" i="34"/>
  <c r="KN28" i="34"/>
  <c r="CL26" i="34"/>
  <c r="AW17" i="34"/>
  <c r="ED29" i="34"/>
  <c r="AU35" i="34"/>
  <c r="HE27" i="34"/>
  <c r="LE20" i="34"/>
  <c r="NL10" i="34"/>
  <c r="AH15" i="34"/>
  <c r="ED32" i="34"/>
  <c r="JB20" i="34"/>
  <c r="DC21" i="34"/>
  <c r="MM23" i="34"/>
  <c r="MN29" i="34"/>
  <c r="Y177" i="34"/>
  <c r="MJ21" i="34"/>
  <c r="LX25" i="34"/>
  <c r="AH5" i="34"/>
  <c r="PF37" i="34"/>
  <c r="ML32" i="34"/>
  <c r="LW36" i="34"/>
  <c r="GQ31" i="34"/>
  <c r="CN14" i="34"/>
  <c r="NE7" i="34"/>
  <c r="LX7" i="34"/>
  <c r="CD29" i="34"/>
  <c r="IW13" i="34"/>
  <c r="EJ13" i="34"/>
  <c r="KB10" i="34"/>
  <c r="CN9" i="34"/>
  <c r="IW34" i="34"/>
  <c r="ML8" i="34"/>
  <c r="KP31" i="34"/>
  <c r="JD20" i="34"/>
  <c r="GP34" i="34"/>
  <c r="EK35" i="34"/>
  <c r="JG12" i="34"/>
  <c r="LH31" i="34"/>
  <c r="DE17" i="34"/>
  <c r="MD11" i="34"/>
  <c r="HW14" i="34"/>
  <c r="GM29" i="34"/>
  <c r="KP37" i="34"/>
  <c r="PK36" i="34"/>
  <c r="MK17" i="34"/>
  <c r="ND14" i="34"/>
  <c r="LE31" i="34"/>
  <c r="CG35" i="34"/>
  <c r="KR28" i="34"/>
  <c r="LW13" i="34"/>
  <c r="JZ10" i="34"/>
  <c r="HX29" i="34"/>
  <c r="EJ18" i="34"/>
  <c r="NP10" i="34"/>
  <c r="PJ29" i="34"/>
  <c r="NF33" i="34"/>
  <c r="EZ10" i="33"/>
  <c r="AN12" i="34"/>
  <c r="FW25" i="34"/>
  <c r="IY29" i="34"/>
  <c r="IE28" i="34"/>
  <c r="MN21" i="34"/>
  <c r="NB14" i="34"/>
  <c r="DG19" i="34"/>
  <c r="AD34" i="34"/>
  <c r="PX20" i="34"/>
  <c r="JF16" i="34"/>
  <c r="PG17" i="34"/>
  <c r="ML20" i="34"/>
  <c r="Y18" i="34"/>
  <c r="MA37" i="34"/>
  <c r="PF16" i="34"/>
  <c r="KR33" i="34"/>
  <c r="Y29" i="34"/>
  <c r="KQ24" i="34"/>
  <c r="LW28" i="34"/>
  <c r="CG10" i="34"/>
  <c r="MA28" i="34"/>
  <c r="IE30" i="34"/>
  <c r="IS11" i="34"/>
  <c r="EJ179" i="34"/>
  <c r="NA9" i="34"/>
  <c r="GK13" i="34"/>
  <c r="NF36" i="34"/>
  <c r="FW19" i="34"/>
  <c r="MI20" i="34"/>
  <c r="PI27" i="34"/>
  <c r="EJ26" i="34"/>
  <c r="OK23" i="34"/>
  <c r="CF25" i="34"/>
  <c r="DW179" i="34"/>
  <c r="MK26" i="34"/>
  <c r="JG11" i="34"/>
  <c r="MH13" i="34"/>
  <c r="NA8" i="34"/>
  <c r="MC23" i="34"/>
  <c r="LD12" i="34"/>
  <c r="DD36" i="34"/>
  <c r="MB177" i="34"/>
  <c r="OH16" i="34"/>
  <c r="OL15" i="34"/>
  <c r="MM15" i="34"/>
  <c r="IB22" i="34"/>
  <c r="OI14" i="34"/>
  <c r="CF179" i="34"/>
  <c r="PD32" i="34"/>
  <c r="IU34" i="34"/>
  <c r="FV29" i="34"/>
  <c r="GJ25" i="34"/>
  <c r="NB8" i="34"/>
  <c r="CH19" i="34"/>
  <c r="LJ177" i="34"/>
  <c r="PB27" i="34"/>
  <c r="PE177" i="34"/>
  <c r="KB24" i="34"/>
  <c r="X36" i="34"/>
  <c r="PI19" i="34"/>
  <c r="DB10" i="33"/>
  <c r="EH22" i="34"/>
  <c r="AX27" i="34"/>
  <c r="GP19" i="34"/>
  <c r="JH189" i="34"/>
  <c r="JG24" i="34"/>
  <c r="NA35" i="34"/>
  <c r="JD18" i="34"/>
  <c r="MC8" i="34"/>
  <c r="LD28" i="34"/>
  <c r="GJ20" i="34"/>
  <c r="CG25" i="34"/>
  <c r="AB28" i="34"/>
  <c r="MA13" i="34"/>
  <c r="CG21" i="34"/>
  <c r="JX10" i="34"/>
  <c r="CF26" i="34"/>
  <c r="ON177" i="34"/>
  <c r="LX13" i="34"/>
  <c r="HV23" i="34"/>
  <c r="IU20" i="34"/>
  <c r="HY177" i="34"/>
  <c r="HY190" i="34" s="1"/>
  <c r="HY38" i="34" s="1"/>
  <c r="MN20" i="34"/>
  <c r="AB177" i="34"/>
  <c r="BO11" i="34"/>
  <c r="HH33" i="34"/>
  <c r="LI189" i="34"/>
  <c r="JF12" i="34"/>
  <c r="JB29" i="34"/>
  <c r="GM19" i="34"/>
  <c r="AZ10" i="33"/>
  <c r="FV23" i="34"/>
  <c r="PD26" i="34"/>
  <c r="OJ33" i="34"/>
  <c r="FS20" i="34"/>
  <c r="NB26" i="34"/>
  <c r="FF10" i="33"/>
  <c r="MJ34" i="34"/>
  <c r="MJ22" i="34"/>
  <c r="HC9" i="34"/>
  <c r="PK37" i="34"/>
  <c r="IS27" i="34"/>
  <c r="MM21" i="34"/>
  <c r="JX7" i="34"/>
  <c r="PC19" i="34"/>
  <c r="IQ9" i="34"/>
  <c r="IS32" i="34"/>
  <c r="ED34" i="34"/>
  <c r="PJ14" i="34"/>
  <c r="FV36" i="34"/>
  <c r="NB34" i="34"/>
  <c r="LJ37" i="34"/>
  <c r="AB36" i="34"/>
  <c r="J24" i="34"/>
  <c r="LW12" i="34"/>
  <c r="KN29" i="34"/>
  <c r="LB14" i="34"/>
  <c r="T37" i="34"/>
  <c r="MD26" i="34"/>
  <c r="PH29" i="34"/>
  <c r="OO22" i="34"/>
  <c r="MJ13" i="34"/>
  <c r="MH36" i="34"/>
  <c r="AC29" i="34"/>
  <c r="IY179" i="34"/>
  <c r="AO26" i="34"/>
  <c r="IY9" i="34"/>
  <c r="LG31" i="34"/>
  <c r="DX15" i="34"/>
  <c r="FA20" i="34"/>
  <c r="CE7" i="34"/>
  <c r="JE18" i="34"/>
  <c r="PJ18" i="34"/>
  <c r="OH26" i="34"/>
  <c r="PJ30" i="34"/>
  <c r="MI14" i="34"/>
  <c r="IR21" i="34"/>
  <c r="IE12" i="34"/>
  <c r="LY28" i="34"/>
  <c r="NC34" i="34"/>
  <c r="AD22" i="34"/>
  <c r="PZ34" i="34"/>
  <c r="EW11" i="34"/>
  <c r="EK34" i="34"/>
  <c r="LY30" i="34"/>
  <c r="PD11" i="34"/>
  <c r="OO30" i="34"/>
  <c r="PI11" i="34"/>
  <c r="PH36" i="34"/>
  <c r="X23" i="34"/>
  <c r="JT20" i="34"/>
  <c r="JE10" i="34"/>
  <c r="FT18" i="34"/>
  <c r="CM11" i="34"/>
  <c r="NJ29" i="34"/>
  <c r="NH24" i="34"/>
  <c r="JU24" i="34"/>
  <c r="OI7" i="34"/>
  <c r="FX12" i="34"/>
  <c r="OM30" i="34"/>
  <c r="EY14" i="34"/>
  <c r="PD30" i="34"/>
  <c r="CJ16" i="34"/>
  <c r="BA17" i="34"/>
  <c r="JZ33" i="34"/>
  <c r="IV37" i="34"/>
  <c r="PA17" i="34"/>
  <c r="MA19" i="34"/>
  <c r="JW28" i="34"/>
  <c r="FB15" i="34"/>
  <c r="AM179" i="34"/>
  <c r="LG177" i="34"/>
  <c r="CE28" i="34"/>
  <c r="NJ37" i="34"/>
  <c r="EE27" i="34"/>
  <c r="JV14" i="34"/>
  <c r="NP33" i="34"/>
  <c r="LF22" i="34"/>
  <c r="DJ12" i="34"/>
  <c r="CK25" i="34"/>
  <c r="GQ8" i="34"/>
  <c r="JW25" i="34"/>
  <c r="J20" i="34"/>
  <c r="NE189" i="34"/>
  <c r="FN37" i="34"/>
  <c r="ME36" i="34"/>
  <c r="FX7" i="34"/>
  <c r="MC11" i="34"/>
  <c r="ND30" i="34"/>
  <c r="PF12" i="34"/>
  <c r="NO7" i="34"/>
  <c r="HZ177" i="34"/>
  <c r="IU9" i="34"/>
  <c r="KL28" i="34"/>
  <c r="ND179" i="34"/>
  <c r="CF30" i="34"/>
  <c r="PY19" i="34"/>
  <c r="AB27" i="34"/>
  <c r="OH11" i="34"/>
  <c r="Y26" i="34"/>
  <c r="AU11" i="34"/>
  <c r="DV28" i="34"/>
  <c r="EY30" i="34"/>
  <c r="NJ35" i="34"/>
  <c r="NO8" i="34"/>
  <c r="MJ30" i="34"/>
  <c r="ON33" i="34"/>
  <c r="KC36" i="34"/>
  <c r="PE19" i="34"/>
  <c r="HT11" i="34"/>
  <c r="NK37" i="34"/>
  <c r="GN9" i="34"/>
  <c r="AM12" i="34"/>
  <c r="IC177" i="34"/>
  <c r="MI33" i="34"/>
  <c r="OK9" i="34"/>
  <c r="MM19" i="34"/>
  <c r="FV20" i="34"/>
  <c r="JF11" i="34"/>
  <c r="PW7" i="34"/>
  <c r="JY18" i="34"/>
  <c r="BP11" i="34"/>
  <c r="PY14" i="34"/>
  <c r="JA34" i="34"/>
  <c r="HG27" i="34"/>
  <c r="OK34" i="34"/>
  <c r="LJ25" i="34"/>
  <c r="EC28" i="34"/>
  <c r="CH179" i="34"/>
  <c r="NH10" i="34"/>
  <c r="ME14" i="34"/>
  <c r="IV24" i="34"/>
  <c r="GM179" i="34"/>
  <c r="BR13" i="34"/>
  <c r="NB29" i="34"/>
  <c r="DE177" i="34"/>
  <c r="MK10" i="34"/>
  <c r="ND29" i="34"/>
  <c r="HX37" i="34"/>
  <c r="IY35" i="34"/>
  <c r="CH24" i="34"/>
  <c r="PB10" i="34"/>
  <c r="KR36" i="34"/>
  <c r="IV27" i="34"/>
  <c r="EH29" i="34"/>
  <c r="EG10" i="34"/>
  <c r="NC35" i="34"/>
  <c r="EB33" i="34"/>
  <c r="JC177" i="34"/>
  <c r="NP18" i="34"/>
  <c r="KR24" i="34"/>
  <c r="LG189" i="34"/>
  <c r="CF22" i="34"/>
  <c r="NB25" i="34"/>
  <c r="EG37" i="34"/>
  <c r="PA177" i="34"/>
  <c r="PC14" i="34"/>
  <c r="ON9" i="34"/>
  <c r="MH19" i="34"/>
  <c r="AT32" i="34"/>
  <c r="J177" i="34"/>
  <c r="LB31" i="34"/>
  <c r="OJ29" i="34"/>
  <c r="PY21" i="34"/>
  <c r="NK25" i="34"/>
  <c r="NJ25" i="34"/>
  <c r="BP22" i="34"/>
  <c r="ML26" i="34"/>
  <c r="T15" i="34"/>
  <c r="FX10" i="34"/>
  <c r="AA29" i="34"/>
  <c r="JU28" i="34"/>
  <c r="HD32" i="34"/>
  <c r="JE24" i="34"/>
  <c r="PW23" i="34"/>
  <c r="V179" i="34"/>
  <c r="FX33" i="34"/>
  <c r="LW18" i="34"/>
  <c r="GQ37" i="34"/>
  <c r="BP7" i="34"/>
  <c r="JW35" i="34"/>
  <c r="DE19" i="34"/>
  <c r="ND19" i="34"/>
  <c r="HX189" i="34"/>
  <c r="PJ21" i="34"/>
  <c r="CJ22" i="34"/>
  <c r="GO20" i="34"/>
  <c r="OK22" i="34"/>
  <c r="IW14" i="34"/>
  <c r="JY36" i="34"/>
  <c r="BA29" i="34"/>
  <c r="PG11" i="34"/>
  <c r="AY25" i="34"/>
  <c r="HX20" i="34"/>
  <c r="MD9" i="34"/>
  <c r="KA24" i="34"/>
  <c r="LX11" i="34"/>
  <c r="JH27" i="34"/>
  <c r="JX35" i="34"/>
  <c r="AN34" i="34"/>
  <c r="IZ37" i="34"/>
  <c r="PA14" i="34"/>
  <c r="LX23" i="34"/>
  <c r="NN22" i="34"/>
  <c r="DD11" i="34"/>
  <c r="LC34" i="34"/>
  <c r="KR19" i="34"/>
  <c r="IT12" i="34"/>
  <c r="DS10" i="33"/>
  <c r="DT3" i="33" s="1"/>
  <c r="DV3" i="33" s="1"/>
  <c r="AM21" i="34"/>
  <c r="PD31" i="34"/>
  <c r="MA15" i="34"/>
  <c r="PK35" i="34"/>
  <c r="DG9" i="34"/>
  <c r="DI22" i="34"/>
  <c r="IU19" i="34"/>
  <c r="KC189" i="34"/>
  <c r="JG36" i="34"/>
  <c r="LC29" i="34"/>
  <c r="MG12" i="34"/>
  <c r="CD12" i="34"/>
  <c r="LI17" i="34"/>
  <c r="LD10" i="34"/>
  <c r="AV34" i="34"/>
  <c r="IR28" i="34"/>
  <c r="HX8" i="34"/>
  <c r="MG26" i="34"/>
  <c r="PE13" i="34"/>
  <c r="GM24" i="34"/>
  <c r="EB31" i="34"/>
  <c r="NA19" i="34"/>
  <c r="ND21" i="34"/>
  <c r="DW11" i="34"/>
  <c r="KN14" i="34"/>
  <c r="NH33" i="34"/>
  <c r="NN28" i="34"/>
  <c r="GO36" i="34"/>
  <c r="JA28" i="34"/>
  <c r="JF8" i="34"/>
  <c r="FA19" i="34"/>
  <c r="PA28" i="34"/>
  <c r="MA36" i="34"/>
  <c r="MA23" i="34"/>
  <c r="NH20" i="34"/>
  <c r="HD24" i="34"/>
  <c r="KL34" i="34"/>
  <c r="JY26" i="34"/>
  <c r="PG189" i="34"/>
  <c r="NN9" i="34"/>
  <c r="NF12" i="34"/>
  <c r="NJ20" i="34"/>
  <c r="BQ11" i="34"/>
  <c r="LY12" i="34"/>
  <c r="DG22" i="34"/>
  <c r="IW33" i="34"/>
  <c r="CN10" i="33"/>
  <c r="CP3" i="33" s="1"/>
  <c r="NG32" i="34"/>
  <c r="PF11" i="34"/>
  <c r="IZ13" i="34"/>
  <c r="PG179" i="34"/>
  <c r="AU10" i="33"/>
  <c r="PD17" i="34"/>
  <c r="LA18" i="34"/>
  <c r="AZ177" i="34"/>
  <c r="ED10" i="33"/>
  <c r="EF3" i="33" s="1"/>
  <c r="EH3" i="33" s="1"/>
  <c r="ED14" i="34"/>
  <c r="OO177" i="34"/>
  <c r="JG30" i="34"/>
  <c r="MK23" i="34"/>
  <c r="OL35" i="34"/>
  <c r="LE11" i="34"/>
  <c r="GL29" i="34"/>
  <c r="PG30" i="34"/>
  <c r="MH27" i="34"/>
  <c r="PF10" i="34"/>
  <c r="CO31" i="34"/>
  <c r="HZ23" i="34"/>
  <c r="GP13" i="34"/>
  <c r="PH13" i="34"/>
  <c r="PW25" i="34"/>
  <c r="LB26" i="34"/>
  <c r="OJ7" i="34"/>
  <c r="GO177" i="34"/>
  <c r="KC16" i="34"/>
  <c r="MI34" i="34"/>
  <c r="PB24" i="34"/>
  <c r="LY34" i="34"/>
  <c r="PX9" i="34"/>
  <c r="PB18" i="34"/>
  <c r="NW5" i="34"/>
  <c r="NO11" i="34"/>
  <c r="CM35" i="34"/>
  <c r="KQ16" i="34"/>
  <c r="PW35" i="34"/>
  <c r="CG7" i="34"/>
  <c r="OM10" i="34"/>
  <c r="JY19" i="34"/>
  <c r="NN19" i="34"/>
  <c r="JT7" i="34"/>
  <c r="NN189" i="34"/>
  <c r="LK32" i="34"/>
  <c r="IU10" i="34"/>
  <c r="IC17" i="34"/>
  <c r="JB177" i="34"/>
  <c r="EI32" i="34"/>
  <c r="EE32" i="34"/>
  <c r="IV31" i="34"/>
  <c r="MC36" i="34"/>
  <c r="OK16" i="34"/>
  <c r="MH21" i="34"/>
  <c r="NH26" i="34"/>
  <c r="GJ31" i="34"/>
  <c r="JA10" i="34"/>
  <c r="CF13" i="34"/>
  <c r="JW27" i="34"/>
  <c r="M10" i="33"/>
  <c r="FU7" i="34"/>
  <c r="PK9" i="34"/>
  <c r="MJ7" i="34"/>
  <c r="NF10" i="34"/>
  <c r="NG177" i="34"/>
  <c r="HY7" i="34"/>
  <c r="LC22" i="34"/>
  <c r="PE8" i="34"/>
  <c r="KB37" i="34"/>
  <c r="LI22" i="34"/>
  <c r="MJ9" i="34"/>
  <c r="LZ22" i="34"/>
  <c r="LZ31" i="34"/>
  <c r="ME24" i="34"/>
  <c r="OM25" i="34"/>
  <c r="NA189" i="34"/>
  <c r="LE16" i="34"/>
  <c r="DE15" i="34"/>
  <c r="OK13" i="34"/>
  <c r="LE35" i="34"/>
  <c r="IA12" i="34"/>
  <c r="GD10" i="33"/>
  <c r="IC7" i="34"/>
  <c r="AQ19" i="34"/>
  <c r="NK27" i="34"/>
  <c r="DV177" i="34"/>
  <c r="OJ12" i="34"/>
  <c r="LA17" i="34"/>
  <c r="MC24" i="34"/>
  <c r="LC9" i="34"/>
  <c r="NB16" i="34"/>
  <c r="NL17" i="34"/>
  <c r="BN15" i="34"/>
  <c r="W37" i="34"/>
  <c r="HW31" i="34"/>
  <c r="LZ33" i="34"/>
  <c r="LD22" i="34"/>
  <c r="OH15" i="34"/>
  <c r="JE28" i="34"/>
  <c r="FQ24" i="34"/>
  <c r="IU24" i="34"/>
  <c r="FB26" i="34"/>
  <c r="OI12" i="34"/>
  <c r="LC31" i="34"/>
  <c r="FN30" i="34"/>
  <c r="HG16" i="34"/>
  <c r="KR23" i="34"/>
  <c r="MI189" i="34"/>
  <c r="PY22" i="34"/>
  <c r="MD29" i="34"/>
  <c r="MO179" i="34"/>
  <c r="FA10" i="34"/>
  <c r="KC37" i="34"/>
  <c r="PB7" i="34"/>
  <c r="MI16" i="34"/>
  <c r="PF13" i="34"/>
  <c r="KV5" i="34"/>
  <c r="DX24" i="34"/>
  <c r="DV34" i="34"/>
  <c r="NN7" i="34"/>
  <c r="PY18" i="34"/>
  <c r="EF11" i="34"/>
  <c r="OM21" i="34"/>
  <c r="NM13" i="34"/>
  <c r="JY14" i="34"/>
  <c r="NI17" i="34"/>
  <c r="NO14" i="34"/>
  <c r="OI179" i="34"/>
  <c r="LF30" i="34"/>
  <c r="T143" i="23"/>
  <c r="U143" i="23" s="1"/>
  <c r="EA25" i="34"/>
  <c r="IB18" i="34"/>
  <c r="KO9" i="34"/>
  <c r="PD27" i="34"/>
  <c r="JU8" i="34"/>
  <c r="LX37" i="34"/>
  <c r="ME28" i="34"/>
  <c r="PZ177" i="34"/>
  <c r="ON16" i="34"/>
  <c r="JH33" i="34"/>
  <c r="NB28" i="34"/>
  <c r="MI24" i="34"/>
  <c r="IW29" i="34"/>
  <c r="NJ18" i="34"/>
  <c r="GK7" i="34"/>
  <c r="GO15" i="34"/>
  <c r="IA34" i="34"/>
  <c r="EW19" i="34"/>
  <c r="IU35" i="34"/>
  <c r="LZ29" i="34"/>
  <c r="HC25" i="34"/>
  <c r="PD24" i="34"/>
  <c r="DH13" i="34"/>
  <c r="MN177" i="34"/>
  <c r="MN190" i="34" s="1"/>
  <c r="MN38" i="34" s="1"/>
  <c r="JV19" i="34"/>
  <c r="MD20" i="34"/>
  <c r="OL179" i="34"/>
  <c r="JT179" i="34"/>
  <c r="PC17" i="34"/>
  <c r="PD12" i="34"/>
  <c r="OK11" i="34"/>
  <c r="OJ20" i="34"/>
  <c r="CS10" i="33"/>
  <c r="NK19" i="34"/>
  <c r="MG9" i="34"/>
  <c r="OM14" i="34"/>
  <c r="PK21" i="34"/>
  <c r="NN32" i="34"/>
  <c r="HF32" i="34"/>
  <c r="NC17" i="34"/>
  <c r="KR26" i="34"/>
  <c r="LF12" i="34"/>
  <c r="ON20" i="34"/>
  <c r="PG25" i="34"/>
  <c r="LI33" i="34"/>
  <c r="PJ36" i="34"/>
  <c r="U21" i="34"/>
  <c r="CH35" i="34"/>
  <c r="HG20" i="34"/>
  <c r="LZ20" i="34"/>
  <c r="NF15" i="34"/>
  <c r="ML22" i="34"/>
  <c r="LJ189" i="34"/>
  <c r="JY28" i="34"/>
  <c r="PY177" i="34"/>
  <c r="PZ12" i="34"/>
  <c r="AV179" i="34"/>
  <c r="PG34" i="34"/>
  <c r="AO24" i="34"/>
  <c r="EI30" i="34"/>
  <c r="W36" i="34"/>
  <c r="LD13" i="34"/>
  <c r="CG33" i="34"/>
  <c r="ME11" i="34"/>
  <c r="LB35" i="34"/>
  <c r="PK17" i="34"/>
  <c r="HT7" i="34"/>
  <c r="LK36" i="34"/>
  <c r="EY10" i="33"/>
  <c r="ED35" i="34"/>
  <c r="NO37" i="34"/>
  <c r="ON25" i="34"/>
  <c r="PC24" i="34"/>
  <c r="PC37" i="34"/>
  <c r="NE37" i="34"/>
  <c r="JZ22" i="34"/>
  <c r="MK37" i="34"/>
  <c r="MN19" i="34"/>
  <c r="MD13" i="34"/>
  <c r="NE17" i="34"/>
  <c r="PZ21" i="34"/>
  <c r="JT37" i="34"/>
  <c r="GN10" i="33"/>
  <c r="LE30" i="34"/>
  <c r="KM7" i="34"/>
  <c r="LZ9" i="34"/>
  <c r="DV26" i="34"/>
  <c r="IQ28" i="34"/>
  <c r="PG23" i="34"/>
  <c r="LC20" i="34"/>
  <c r="LC27" i="34"/>
  <c r="ON189" i="34"/>
  <c r="Z10" i="33"/>
  <c r="OM12" i="34"/>
  <c r="NG22" i="34"/>
  <c r="OO16" i="34"/>
  <c r="HW18" i="34"/>
  <c r="PG24" i="34"/>
  <c r="JF27" i="34"/>
  <c r="AA13" i="34"/>
  <c r="NL9" i="34"/>
  <c r="NA177" i="34"/>
  <c r="NA190" i="34" s="1"/>
  <c r="NA38" i="34" s="1"/>
  <c r="FT26" i="34"/>
  <c r="LF18" i="34"/>
  <c r="OJ34" i="34"/>
  <c r="NC29" i="34"/>
  <c r="MN15" i="34"/>
  <c r="LJ7" i="34"/>
  <c r="OH20" i="34"/>
  <c r="LG21" i="34"/>
  <c r="BP26" i="34"/>
  <c r="KM22" i="34"/>
  <c r="OO33" i="34"/>
  <c r="BP18" i="34"/>
  <c r="FU33" i="34"/>
  <c r="LJ26" i="34"/>
  <c r="PW30" i="34"/>
  <c r="EA20" i="34"/>
  <c r="AA16" i="34"/>
  <c r="PX26" i="34"/>
  <c r="NA23" i="34"/>
  <c r="OM22" i="34"/>
  <c r="MN23" i="34"/>
  <c r="OK7" i="34"/>
  <c r="CN25" i="34"/>
  <c r="CJ27" i="34"/>
  <c r="U7" i="34"/>
  <c r="LF8" i="34"/>
  <c r="JD36" i="34"/>
  <c r="NI25" i="34"/>
  <c r="PA29" i="34"/>
  <c r="PX179" i="34"/>
  <c r="JE16" i="34"/>
  <c r="KR8" i="34"/>
  <c r="PC179" i="34"/>
  <c r="OH14" i="34"/>
  <c r="HD22" i="34"/>
  <c r="EV10" i="33"/>
  <c r="IU179" i="34"/>
  <c r="LY31" i="34"/>
  <c r="NH29" i="34"/>
  <c r="NI189" i="34"/>
  <c r="MK20" i="34"/>
  <c r="NI29" i="34"/>
  <c r="JY189" i="34"/>
  <c r="KC179" i="34"/>
  <c r="NM32" i="34"/>
  <c r="IB177" i="34"/>
  <c r="PE32" i="34"/>
  <c r="KM14" i="34"/>
  <c r="IQ26" i="34"/>
  <c r="PI9" i="34"/>
  <c r="NF9" i="34"/>
  <c r="PX30" i="34"/>
  <c r="PI21" i="34"/>
  <c r="PC22" i="34"/>
  <c r="T152" i="23"/>
  <c r="U152" i="23" s="1"/>
  <c r="ON14" i="34"/>
  <c r="OJ14" i="34"/>
  <c r="GP25" i="34"/>
  <c r="DB37" i="34"/>
  <c r="AP28" i="34"/>
  <c r="NF177" i="34"/>
  <c r="EY27" i="34"/>
  <c r="BA16" i="34"/>
  <c r="LR4" i="34"/>
  <c r="OL37" i="34"/>
  <c r="PI189" i="34"/>
  <c r="DC7" i="34"/>
  <c r="KP177" i="34"/>
  <c r="ML36" i="34"/>
  <c r="HD15" i="34"/>
  <c r="HH8" i="34"/>
  <c r="HC32" i="34"/>
  <c r="BL10" i="33"/>
  <c r="BH3" i="33" s="1"/>
  <c r="OM179" i="34"/>
  <c r="NO25" i="34"/>
  <c r="LE17" i="34"/>
  <c r="LY23" i="34"/>
  <c r="AM23" i="34"/>
  <c r="JF31" i="34"/>
  <c r="OO189" i="34"/>
  <c r="DB25" i="34"/>
  <c r="KO36" i="34"/>
  <c r="PE37" i="34"/>
  <c r="CH25" i="34"/>
  <c r="IZ23" i="34"/>
  <c r="MH29" i="34"/>
  <c r="LY18" i="34"/>
  <c r="OL18" i="34"/>
  <c r="KO31" i="34"/>
  <c r="IR16" i="34"/>
  <c r="JF7" i="34"/>
  <c r="PG13" i="34"/>
  <c r="GN18" i="34"/>
  <c r="LI27" i="34"/>
  <c r="ME16" i="34"/>
  <c r="AO20" i="34"/>
  <c r="EI16" i="34"/>
  <c r="IW23" i="34"/>
  <c r="OI8" i="34"/>
  <c r="FB8" i="34"/>
  <c r="CK30" i="34"/>
  <c r="FU8" i="34"/>
  <c r="IQ177" i="34"/>
  <c r="PA30" i="34"/>
  <c r="HT36" i="34"/>
  <c r="AD33" i="34"/>
  <c r="HH17" i="34"/>
  <c r="NF27" i="34"/>
  <c r="IZ34" i="34"/>
  <c r="NP27" i="34"/>
  <c r="LZ16" i="34"/>
  <c r="CK36" i="34"/>
  <c r="NE19" i="34"/>
  <c r="GP36" i="34"/>
  <c r="LC11" i="34"/>
  <c r="MB11" i="34"/>
  <c r="NB7" i="34"/>
  <c r="IV15" i="34"/>
  <c r="AS35" i="34"/>
  <c r="PZ24" i="34"/>
  <c r="NL14" i="34"/>
  <c r="LK20" i="34"/>
  <c r="PW8" i="34"/>
  <c r="LC16" i="34"/>
  <c r="AR12" i="34"/>
  <c r="PB11" i="34"/>
  <c r="HC7" i="34"/>
  <c r="FW13" i="34"/>
  <c r="PH21" i="34"/>
  <c r="HG15" i="34"/>
  <c r="JD35" i="34"/>
  <c r="MI25" i="34"/>
  <c r="MF12" i="34"/>
  <c r="LW23" i="34"/>
  <c r="MO24" i="34"/>
  <c r="LY33" i="34"/>
  <c r="OL24" i="34"/>
  <c r="PY16" i="34"/>
  <c r="PK24" i="34"/>
  <c r="LY13" i="34"/>
  <c r="OH34" i="34"/>
  <c r="IW31" i="34"/>
  <c r="NC21" i="34"/>
  <c r="LW29" i="34"/>
  <c r="IU32" i="34"/>
  <c r="PW177" i="34"/>
  <c r="OH12" i="34"/>
  <c r="PA7" i="34"/>
  <c r="PJ15" i="34"/>
  <c r="OO17" i="34"/>
  <c r="OL21" i="34"/>
  <c r="PJ22" i="34"/>
  <c r="HF33" i="34"/>
  <c r="OH35" i="34"/>
  <c r="U10" i="33"/>
  <c r="T3" i="33" s="1"/>
  <c r="MO27" i="34"/>
  <c r="HX21" i="34"/>
  <c r="JG20" i="34"/>
  <c r="DZ16" i="34"/>
  <c r="NP11" i="34"/>
  <c r="FR13" i="34"/>
  <c r="KL11" i="34"/>
  <c r="IZ177" i="34"/>
  <c r="LZ13" i="34"/>
  <c r="NA12" i="34"/>
  <c r="IW12" i="34"/>
  <c r="ID16" i="34"/>
  <c r="NP30" i="34"/>
  <c r="AB9" i="34"/>
  <c r="BQ34" i="34"/>
  <c r="W26" i="34"/>
  <c r="EA19" i="34"/>
  <c r="FT24" i="34"/>
  <c r="PC28" i="34"/>
  <c r="MO13" i="34"/>
  <c r="PG29" i="34"/>
  <c r="NI26" i="34"/>
  <c r="JT34" i="34"/>
  <c r="HF35" i="34"/>
  <c r="MM35" i="34"/>
  <c r="MI18" i="34"/>
  <c r="GJ16" i="34"/>
  <c r="PZ9" i="34"/>
  <c r="GK9" i="34"/>
  <c r="LW179" i="34"/>
  <c r="PW17" i="34"/>
  <c r="OH25" i="34"/>
  <c r="ND10" i="34"/>
  <c r="OO34" i="34"/>
  <c r="NK177" i="34"/>
  <c r="NH179" i="34"/>
  <c r="CO35" i="34"/>
  <c r="PB25" i="34"/>
  <c r="ND35" i="34"/>
  <c r="OM17" i="34"/>
  <c r="EZ8" i="34"/>
  <c r="BA21" i="34"/>
  <c r="MD12" i="34"/>
  <c r="OI28" i="34"/>
  <c r="JW189" i="34"/>
  <c r="OL10" i="34"/>
  <c r="PG8" i="34"/>
  <c r="ML7" i="34"/>
  <c r="EF13" i="34"/>
  <c r="FA22" i="34"/>
  <c r="IY177" i="34"/>
  <c r="MB34" i="34"/>
  <c r="PI26" i="34"/>
  <c r="KN25" i="34"/>
  <c r="FV30" i="34"/>
  <c r="PF19" i="34"/>
  <c r="NF189" i="34"/>
  <c r="IZ9" i="34"/>
  <c r="MF17" i="34"/>
  <c r="NH36" i="34"/>
  <c r="OI30" i="34"/>
  <c r="IY10" i="34"/>
  <c r="KR34" i="34"/>
  <c r="MG24" i="34"/>
  <c r="ND22" i="34"/>
  <c r="NJ28" i="34"/>
  <c r="NI30" i="34"/>
  <c r="JD177" i="34"/>
  <c r="LF28" i="34"/>
  <c r="NE10" i="34"/>
  <c r="KL32" i="34"/>
  <c r="JD22" i="34"/>
  <c r="KQ33" i="34"/>
  <c r="KP28" i="34"/>
  <c r="NB17" i="34"/>
  <c r="HU17" i="34"/>
  <c r="KN8" i="34"/>
  <c r="PH17" i="34"/>
  <c r="OH28" i="34"/>
  <c r="LA28" i="34"/>
  <c r="OL13" i="34"/>
  <c r="ND20" i="34"/>
  <c r="GP14" i="34"/>
  <c r="NM28" i="34"/>
  <c r="PC33" i="34"/>
  <c r="PX13" i="34"/>
  <c r="NK33" i="34"/>
  <c r="OL9" i="34"/>
  <c r="MN7" i="34"/>
  <c r="PA26" i="34"/>
  <c r="IY189" i="34"/>
  <c r="HE13" i="34"/>
  <c r="LZ28" i="34"/>
  <c r="PK26" i="34"/>
  <c r="OJ23" i="34"/>
  <c r="ON32" i="34"/>
  <c r="ON27" i="34"/>
  <c r="MJ26" i="34"/>
  <c r="EJ36" i="34"/>
  <c r="AC26" i="34"/>
  <c r="PY30" i="34"/>
  <c r="OK21" i="34"/>
  <c r="JC27" i="34"/>
  <c r="MH37" i="34"/>
  <c r="PK11" i="34"/>
  <c r="HZ11" i="34"/>
  <c r="NH22" i="34"/>
  <c r="PY179" i="34"/>
  <c r="NG29" i="34"/>
  <c r="ON22" i="34"/>
  <c r="IW177" i="34"/>
  <c r="IW190" i="34" s="1"/>
  <c r="IW38" i="34" s="1"/>
  <c r="KQ15" i="34"/>
  <c r="KO8" i="34"/>
  <c r="MF36" i="34"/>
  <c r="NO15" i="34"/>
  <c r="PD18" i="34"/>
  <c r="NF35" i="34"/>
  <c r="DV30" i="34"/>
  <c r="JX15" i="34"/>
  <c r="JB25" i="34"/>
  <c r="OM16" i="34"/>
  <c r="PC25" i="34"/>
  <c r="MI28" i="34"/>
  <c r="MB16" i="34"/>
  <c r="MH26" i="34"/>
  <c r="NB37" i="34"/>
  <c r="AM7" i="34"/>
  <c r="MN35" i="34"/>
  <c r="ID18" i="34"/>
  <c r="JZ18" i="34"/>
  <c r="NG35" i="34"/>
  <c r="NF7" i="34"/>
  <c r="MN32" i="34"/>
  <c r="MN31" i="34"/>
  <c r="PX36" i="34"/>
  <c r="OO35" i="34"/>
  <c r="PX25" i="34"/>
  <c r="KN18" i="34"/>
  <c r="JA21" i="34"/>
  <c r="OV4" i="34"/>
  <c r="MK31" i="34"/>
  <c r="LF17" i="34"/>
  <c r="FB11" i="34"/>
  <c r="EG21" i="34"/>
  <c r="OH189" i="34"/>
  <c r="PX34" i="34"/>
  <c r="GK16" i="34"/>
  <c r="LF14" i="34"/>
  <c r="KN179" i="34"/>
  <c r="ML34" i="34"/>
  <c r="IW17" i="34"/>
  <c r="NK14" i="34"/>
  <c r="PH16" i="34"/>
  <c r="KL29" i="34"/>
  <c r="JY10" i="34"/>
  <c r="OI27" i="34"/>
  <c r="PZ179" i="34"/>
  <c r="NA30" i="34"/>
  <c r="Y11" i="34"/>
  <c r="NB179" i="34"/>
  <c r="NN15" i="34"/>
  <c r="GJ12" i="34"/>
  <c r="GJ37" i="34"/>
  <c r="FS7" i="34"/>
  <c r="KM177" i="34"/>
  <c r="NP189" i="34"/>
  <c r="HF177" i="34"/>
  <c r="PK16" i="34"/>
  <c r="KO25" i="34"/>
  <c r="PD36" i="34"/>
  <c r="NH8" i="34"/>
  <c r="OM15" i="34"/>
  <c r="NM33" i="34"/>
  <c r="NC15" i="34"/>
  <c r="PH37" i="34"/>
  <c r="JG10" i="34"/>
  <c r="OO18" i="34"/>
  <c r="MM9" i="34"/>
  <c r="NH12" i="34"/>
  <c r="EF21" i="34"/>
  <c r="MO177" i="34"/>
  <c r="NM17" i="34"/>
  <c r="MN12" i="34"/>
  <c r="PD13" i="34"/>
  <c r="NF11" i="34"/>
  <c r="KB17" i="34"/>
  <c r="NB35" i="34"/>
  <c r="IU31" i="34"/>
  <c r="ML179" i="34"/>
  <c r="LB34" i="34"/>
  <c r="FZ10" i="33"/>
  <c r="GR35" i="33" s="1"/>
  <c r="IC13" i="34"/>
  <c r="ND18" i="34"/>
  <c r="KO16" i="34"/>
  <c r="MN9" i="34"/>
  <c r="IB19" i="34"/>
  <c r="DE10" i="33"/>
  <c r="PI177" i="34"/>
  <c r="AQ33" i="34"/>
  <c r="HT23" i="34"/>
  <c r="HX17" i="34"/>
  <c r="KN32" i="34"/>
  <c r="OH179" i="34"/>
  <c r="NM29" i="34"/>
  <c r="IE17" i="34"/>
  <c r="LA21" i="34"/>
  <c r="KC28" i="34"/>
  <c r="PB34" i="34"/>
  <c r="JW32" i="34"/>
  <c r="PF20" i="34"/>
  <c r="LI12" i="34"/>
  <c r="CH10" i="34"/>
  <c r="PR4" i="34"/>
  <c r="LZ11" i="34"/>
  <c r="MM17" i="34"/>
  <c r="EB37" i="34"/>
  <c r="LW31" i="34"/>
  <c r="MD18" i="34"/>
  <c r="HD14" i="34"/>
  <c r="IY32" i="34"/>
  <c r="KQ27" i="34"/>
  <c r="LK21" i="34"/>
  <c r="FR10" i="33"/>
  <c r="JX177" i="34"/>
  <c r="KP20" i="34"/>
  <c r="JF30" i="34"/>
  <c r="PX177" i="34"/>
  <c r="NL25" i="34"/>
  <c r="MF28" i="34"/>
  <c r="OI18" i="34"/>
  <c r="IV177" i="34"/>
  <c r="NL8" i="34"/>
  <c r="FB24" i="34"/>
  <c r="NB21" i="34"/>
  <c r="MF19" i="34"/>
  <c r="NN20" i="34"/>
  <c r="PH35" i="34"/>
  <c r="KA29" i="34"/>
  <c r="JA15" i="34"/>
  <c r="PF34" i="34"/>
  <c r="MI7" i="34"/>
  <c r="FV8" i="34"/>
  <c r="IU189" i="34"/>
  <c r="PZ22" i="34"/>
  <c r="LJ13" i="34"/>
  <c r="ON11" i="34"/>
  <c r="KQ177" i="34"/>
  <c r="LX14" i="34"/>
  <c r="CH8" i="34"/>
  <c r="NH32" i="34"/>
  <c r="MO8" i="34"/>
  <c r="JU26" i="34"/>
  <c r="MM14" i="34"/>
  <c r="FJ10" i="33"/>
  <c r="NA13" i="34"/>
  <c r="LH22" i="34"/>
  <c r="GO22" i="34"/>
  <c r="CK27" i="34"/>
  <c r="NC13" i="34"/>
  <c r="JW18" i="34"/>
  <c r="PY10" i="34"/>
  <c r="JT21" i="34"/>
  <c r="AW35" i="34"/>
  <c r="DG7" i="34"/>
  <c r="PA21" i="34"/>
  <c r="KR14" i="34"/>
  <c r="MH22" i="34"/>
  <c r="NJ24" i="34"/>
  <c r="NH7" i="34"/>
  <c r="FQ7" i="34"/>
  <c r="EY12" i="34"/>
  <c r="PI23" i="34"/>
  <c r="FV16" i="34"/>
  <c r="PD19" i="34"/>
  <c r="MK7" i="34"/>
  <c r="IU23" i="34"/>
  <c r="NA29" i="34"/>
  <c r="IW10" i="34"/>
  <c r="DA26" i="34"/>
  <c r="MF32" i="34"/>
  <c r="ME12" i="34"/>
  <c r="ML177" i="34"/>
  <c r="PD10" i="34"/>
  <c r="NA17" i="34"/>
  <c r="MC21" i="34"/>
  <c r="JB14" i="34"/>
  <c r="PH22" i="34"/>
  <c r="NG37" i="34"/>
  <c r="NJ26" i="34"/>
  <c r="IW18" i="34"/>
  <c r="MH179" i="34"/>
  <c r="LX26" i="34"/>
  <c r="NE11" i="34"/>
  <c r="LZ25" i="34"/>
  <c r="KM12" i="34"/>
  <c r="MO23" i="34"/>
  <c r="AV25" i="34"/>
  <c r="LW21" i="34"/>
  <c r="IT26" i="34"/>
  <c r="DV19" i="34"/>
  <c r="EQ10" i="33"/>
  <c r="ES3" i="33" s="1"/>
  <c r="LX36" i="34"/>
  <c r="NP21" i="34"/>
  <c r="MM24" i="34"/>
  <c r="MG16" i="34"/>
  <c r="OK36" i="34"/>
  <c r="LZ27" i="34"/>
  <c r="PJ31" i="34"/>
  <c r="PK28" i="34"/>
  <c r="NK28" i="34"/>
  <c r="EH8" i="34"/>
  <c r="KN9" i="34"/>
  <c r="HW13" i="34"/>
  <c r="ME13" i="34"/>
  <c r="PW18" i="34"/>
  <c r="LX177" i="34"/>
  <c r="FB12" i="34"/>
  <c r="OI33" i="34"/>
  <c r="PH30" i="34"/>
  <c r="PH11" i="34"/>
  <c r="PB36" i="34"/>
  <c r="PW37" i="34"/>
  <c r="MO189" i="34"/>
  <c r="GP15" i="34"/>
  <c r="MH25" i="34"/>
  <c r="NP7" i="34"/>
  <c r="PK32" i="34"/>
  <c r="OK14" i="34"/>
  <c r="OL16" i="34"/>
  <c r="J9" i="34"/>
  <c r="IU37" i="34"/>
  <c r="OL189" i="34"/>
  <c r="MV7" i="34"/>
  <c r="MU6" i="34"/>
  <c r="MV6" i="34" s="1"/>
  <c r="U24" i="34"/>
  <c r="HD10" i="34"/>
  <c r="MH11" i="34"/>
  <c r="NK24" i="34"/>
  <c r="MO36" i="34"/>
  <c r="ND23" i="34"/>
  <c r="PZ23" i="34"/>
  <c r="LB13" i="34"/>
  <c r="PK8" i="34"/>
  <c r="NE13" i="34"/>
  <c r="JF35" i="34"/>
  <c r="NE34" i="34"/>
  <c r="PG31" i="34"/>
  <c r="FU37" i="34"/>
  <c r="PK27" i="34"/>
  <c r="MK189" i="34"/>
  <c r="DC23" i="34"/>
  <c r="LK11" i="34"/>
  <c r="PZ15" i="34"/>
  <c r="OV7" i="34"/>
  <c r="LC177" i="34"/>
  <c r="LC190" i="34" s="1"/>
  <c r="LC38" i="34" s="1"/>
  <c r="PA18" i="34"/>
  <c r="ON31" i="34"/>
  <c r="OK30" i="34"/>
  <c r="LB12" i="34"/>
  <c r="PA32" i="34"/>
  <c r="NO189" i="34"/>
  <c r="KM10" i="34"/>
  <c r="HZ16" i="34"/>
  <c r="MH8" i="34"/>
  <c r="FR34" i="34"/>
  <c r="LA33" i="34"/>
  <c r="NP16" i="34"/>
  <c r="FN10" i="33"/>
  <c r="IR177" i="34"/>
  <c r="MJ177" i="34"/>
  <c r="LJ11" i="34"/>
  <c r="NH11" i="34"/>
  <c r="JX23" i="34"/>
  <c r="PF179" i="34"/>
  <c r="PC29" i="34"/>
  <c r="IT27" i="34"/>
  <c r="PK34" i="34"/>
  <c r="LW37" i="34"/>
  <c r="MG19" i="34"/>
  <c r="NE15" i="34"/>
  <c r="LJ30" i="34"/>
  <c r="PZ27" i="34"/>
  <c r="IZ15" i="34"/>
  <c r="OH17" i="34"/>
  <c r="LE28" i="34"/>
  <c r="PJ16" i="34"/>
  <c r="NK11" i="34"/>
  <c r="PW24" i="34"/>
  <c r="KM16" i="34"/>
  <c r="KM30" i="34"/>
  <c r="HY16" i="34"/>
  <c r="EI18" i="34"/>
  <c r="OJ25" i="34"/>
  <c r="JA31" i="34"/>
  <c r="MO34" i="34"/>
  <c r="PH8" i="34"/>
  <c r="KB27" i="34"/>
  <c r="MH16" i="34"/>
  <c r="OH23" i="34"/>
  <c r="NG30" i="34"/>
  <c r="LZ7" i="34"/>
  <c r="KL7" i="34"/>
  <c r="PI34" i="34"/>
  <c r="IZ28" i="34"/>
  <c r="PK22" i="34"/>
  <c r="FO11" i="34"/>
  <c r="NA21" i="34"/>
  <c r="FV9" i="34"/>
  <c r="MF18" i="34"/>
  <c r="PG28" i="34"/>
  <c r="MI35" i="34"/>
  <c r="OI19" i="34"/>
  <c r="JX29" i="34"/>
  <c r="MA16" i="34"/>
  <c r="MI11" i="34"/>
  <c r="CL35" i="34"/>
  <c r="PJ33" i="34"/>
  <c r="NK17" i="34"/>
  <c r="EA35" i="34"/>
  <c r="IQ14" i="34"/>
  <c r="PD177" i="34"/>
  <c r="PG22" i="34"/>
  <c r="OL34" i="34"/>
  <c r="NH30" i="34"/>
  <c r="MF16" i="34"/>
  <c r="FR36" i="34"/>
  <c r="HC37" i="34"/>
  <c r="JY35" i="34"/>
  <c r="NN29" i="34"/>
  <c r="PX23" i="34"/>
  <c r="DD18" i="34"/>
  <c r="OH8" i="34"/>
  <c r="OI189" i="34"/>
  <c r="HW12" i="34"/>
  <c r="OK10" i="34"/>
  <c r="PA34" i="34"/>
  <c r="CJ11" i="34"/>
  <c r="PK179" i="34"/>
  <c r="MG25" i="34"/>
  <c r="OM11" i="34"/>
  <c r="BR27" i="34"/>
  <c r="LZ23" i="34"/>
  <c r="PI15" i="34"/>
  <c r="HW33" i="34"/>
  <c r="ML10" i="34"/>
  <c r="DM10" i="33"/>
  <c r="IA29" i="34"/>
  <c r="IQ18" i="34"/>
  <c r="ME33" i="34"/>
  <c r="NG20" i="34"/>
  <c r="PH19" i="34"/>
  <c r="AQ36" i="34"/>
  <c r="PY13" i="34"/>
  <c r="IW35" i="34"/>
  <c r="FW16" i="34"/>
  <c r="MC32" i="34"/>
  <c r="PF32" i="34"/>
  <c r="OJ177" i="34"/>
  <c r="JY15" i="34"/>
  <c r="IU15" i="34"/>
  <c r="NE36" i="34"/>
  <c r="PE31" i="34"/>
  <c r="JT31" i="34"/>
  <c r="EB17" i="34"/>
  <c r="PI22" i="34"/>
  <c r="PK19" i="34"/>
  <c r="PJ11" i="34"/>
  <c r="MG32" i="34"/>
  <c r="DG34" i="34"/>
  <c r="AD36" i="34"/>
  <c r="LF35" i="34"/>
  <c r="IQ21" i="34"/>
  <c r="LA37" i="34"/>
  <c r="MK27" i="34"/>
  <c r="NK10" i="34"/>
  <c r="OJ16" i="34"/>
  <c r="LA10" i="34"/>
  <c r="NM12" i="34"/>
  <c r="PI179" i="34"/>
  <c r="HG14" i="34"/>
  <c r="PH179" i="34"/>
  <c r="NJ22" i="34"/>
  <c r="NG16" i="34"/>
  <c r="PW12" i="34"/>
  <c r="CA10" i="33"/>
  <c r="PE29" i="34"/>
  <c r="PD15" i="34"/>
  <c r="JA14" i="34"/>
  <c r="PG36" i="34"/>
  <c r="DF189" i="34"/>
  <c r="HD35" i="34"/>
  <c r="PB30" i="34"/>
  <c r="CI10" i="33"/>
  <c r="CJ3" i="33" s="1"/>
  <c r="MG11" i="34"/>
  <c r="IU33" i="34"/>
  <c r="NL12" i="34"/>
  <c r="MD33" i="34"/>
  <c r="ML11" i="34"/>
  <c r="KO12" i="34"/>
  <c r="OH30" i="34"/>
  <c r="FP22" i="34"/>
  <c r="AY36" i="34"/>
  <c r="MJ8" i="34"/>
  <c r="MG13" i="34"/>
  <c r="PZ33" i="34"/>
  <c r="DJ10" i="33"/>
  <c r="KQ10" i="34"/>
  <c r="KL18" i="34"/>
  <c r="FW30" i="34"/>
  <c r="MM20" i="34"/>
  <c r="MF30" i="34"/>
  <c r="MJ31" i="34"/>
  <c r="BR10" i="33"/>
  <c r="JU30" i="34"/>
  <c r="IU26" i="34"/>
  <c r="PJ13" i="34"/>
  <c r="AZ28" i="34"/>
  <c r="OH33" i="34"/>
  <c r="JA20" i="34"/>
  <c r="OI22" i="34"/>
  <c r="PW11" i="34"/>
  <c r="OK19" i="34"/>
  <c r="NC28" i="34"/>
  <c r="EX17" i="34"/>
  <c r="PC9" i="34"/>
  <c r="PI12" i="34"/>
  <c r="NL27" i="34"/>
  <c r="LI177" i="34"/>
  <c r="OO7" i="34"/>
  <c r="OM19" i="34"/>
  <c r="PJ32" i="34"/>
  <c r="LW34" i="34"/>
  <c r="LA25" i="34"/>
  <c r="LG32" i="34"/>
  <c r="NG28" i="34"/>
  <c r="PH9" i="34"/>
  <c r="MF15" i="34"/>
  <c r="MJ23" i="34"/>
  <c r="NM25" i="34"/>
  <c r="QG4" i="34"/>
  <c r="CJ10" i="33"/>
  <c r="CK3" i="33" s="1"/>
  <c r="PI36" i="34"/>
  <c r="OO25" i="34"/>
  <c r="JD29" i="34"/>
  <c r="LB9" i="34"/>
  <c r="PF9" i="34"/>
  <c r="CR10" i="33"/>
  <c r="CQ3" i="33" s="1"/>
  <c r="DY23" i="34"/>
  <c r="JE9" i="34"/>
  <c r="KA30" i="34"/>
  <c r="KP8" i="34"/>
  <c r="MB13" i="34"/>
  <c r="OM20" i="34"/>
  <c r="MH17" i="34"/>
  <c r="PX189" i="34"/>
  <c r="NM36" i="34"/>
  <c r="ML31" i="34"/>
  <c r="MC16" i="34"/>
  <c r="PE23" i="34"/>
  <c r="IR23" i="34"/>
  <c r="PC12" i="34"/>
  <c r="AA30" i="34"/>
  <c r="KQ9" i="34"/>
  <c r="IU36" i="34"/>
  <c r="PB14" i="34"/>
  <c r="BZ10" i="33"/>
  <c r="PJ23" i="34"/>
  <c r="LJ22" i="34"/>
  <c r="MJ17" i="34"/>
  <c r="OJ37" i="34"/>
  <c r="FB16" i="34"/>
  <c r="NB9" i="34"/>
  <c r="DJ16" i="34"/>
  <c r="MK19" i="34"/>
  <c r="LB21" i="34"/>
  <c r="PF26" i="34"/>
  <c r="PB20" i="34"/>
  <c r="OO21" i="34"/>
  <c r="PJ27" i="34"/>
  <c r="MM33" i="34"/>
  <c r="LH20" i="34"/>
  <c r="PY24" i="34"/>
  <c r="MI31" i="34"/>
  <c r="NI9" i="34"/>
  <c r="LH179" i="34"/>
  <c r="KP21" i="34"/>
  <c r="KP27" i="34"/>
  <c r="ON29" i="34"/>
  <c r="AT7" i="34"/>
  <c r="PA15" i="34"/>
  <c r="JG16" i="34"/>
  <c r="PW20" i="34"/>
  <c r="MI30" i="34"/>
  <c r="LW30" i="34"/>
  <c r="LW177" i="34"/>
  <c r="NJ13" i="34"/>
  <c r="OH24" i="34"/>
  <c r="NP12" i="34"/>
  <c r="MI19" i="34"/>
  <c r="NE25" i="34"/>
  <c r="ON8" i="34"/>
  <c r="PK13" i="34"/>
  <c r="MN10" i="34"/>
  <c r="JU20" i="34"/>
  <c r="IU16" i="34"/>
  <c r="JD23" i="34"/>
  <c r="PW29" i="34"/>
  <c r="HD20" i="34"/>
  <c r="PF30" i="34"/>
  <c r="PC177" i="34"/>
  <c r="IU29" i="34"/>
  <c r="PJ10" i="34"/>
  <c r="NH21" i="34"/>
  <c r="PK12" i="34"/>
  <c r="EK12" i="34"/>
  <c r="MC22" i="34"/>
  <c r="PB179" i="34"/>
  <c r="CO36" i="34"/>
  <c r="PE12" i="34"/>
  <c r="OK12" i="34"/>
  <c r="NK22" i="34"/>
  <c r="AA28" i="34"/>
  <c r="JV21" i="34"/>
  <c r="PI25" i="34"/>
  <c r="PJ19" i="34"/>
  <c r="JF25" i="34"/>
  <c r="MI36" i="34"/>
  <c r="IW27" i="34"/>
  <c r="PG14" i="34"/>
  <c r="JU11" i="34"/>
  <c r="AM37" i="34"/>
  <c r="PE21" i="34"/>
  <c r="NH28" i="34"/>
  <c r="OK20" i="34"/>
  <c r="PK18" i="34"/>
  <c r="DY20" i="34"/>
  <c r="KP30" i="34"/>
  <c r="PD9" i="34"/>
  <c r="PI37" i="34"/>
  <c r="ER9" i="34"/>
  <c r="NN177" i="34"/>
  <c r="MH33" i="34"/>
  <c r="CH22" i="34"/>
  <c r="NP31" i="34"/>
  <c r="MI22" i="34"/>
  <c r="IR35" i="34"/>
  <c r="FY10" i="33"/>
  <c r="EP10" i="33"/>
  <c r="ER3" i="33" s="1"/>
  <c r="JV7" i="34"/>
  <c r="PD189" i="34"/>
  <c r="NF22" i="34"/>
  <c r="PW22" i="34"/>
  <c r="PE7" i="34"/>
  <c r="LF13" i="34"/>
  <c r="IE32" i="34"/>
  <c r="OI36" i="34"/>
  <c r="MN28" i="34"/>
  <c r="ON15" i="34"/>
  <c r="MD177" i="34"/>
  <c r="MG22" i="34"/>
  <c r="NP9" i="34"/>
  <c r="IW21" i="34"/>
  <c r="W35" i="34"/>
  <c r="LI37" i="34"/>
  <c r="IS37" i="34"/>
  <c r="MK25" i="34"/>
  <c r="NL31" i="34"/>
  <c r="KM11" i="34"/>
  <c r="OO26" i="34"/>
  <c r="LH28" i="34"/>
  <c r="PI20" i="34"/>
  <c r="PZ29" i="34"/>
  <c r="NG19" i="34"/>
  <c r="BQ18" i="34"/>
  <c r="MM18" i="34"/>
  <c r="NJ179" i="34"/>
  <c r="IB31" i="34"/>
  <c r="NP13" i="34"/>
  <c r="PI16" i="34"/>
  <c r="PE11" i="34"/>
  <c r="OM8" i="34"/>
  <c r="NH37" i="34"/>
  <c r="AR10" i="33"/>
  <c r="PD7" i="34"/>
  <c r="PF8" i="34"/>
  <c r="OC5" i="34"/>
  <c r="MB29" i="34"/>
  <c r="PA19" i="34"/>
  <c r="NK36" i="34"/>
  <c r="PH27" i="34"/>
  <c r="LY26" i="34"/>
  <c r="PJ20" i="34"/>
  <c r="OJ26" i="34"/>
  <c r="IZ16" i="34"/>
  <c r="LW26" i="34"/>
  <c r="NL21" i="34"/>
  <c r="MH30" i="34"/>
  <c r="PW28" i="34"/>
  <c r="NF14" i="34"/>
  <c r="MC12" i="34"/>
  <c r="MK8" i="34"/>
  <c r="NA15" i="34"/>
  <c r="PJ28" i="34"/>
  <c r="OH29" i="34"/>
  <c r="EE17" i="34"/>
  <c r="JW9" i="34"/>
  <c r="PW16" i="34"/>
  <c r="MH15" i="34"/>
  <c r="MG23" i="34"/>
  <c r="LW33" i="34"/>
  <c r="NI19" i="34"/>
  <c r="MA10" i="34"/>
  <c r="NO28" i="34"/>
  <c r="LZ21" i="34"/>
  <c r="PG21" i="34"/>
  <c r="MC27" i="34"/>
  <c r="PK7" i="34"/>
  <c r="OO29" i="34"/>
  <c r="LC36" i="34"/>
  <c r="PG37" i="34"/>
  <c r="PW179" i="34"/>
  <c r="PY36" i="34"/>
  <c r="BN19" i="34"/>
  <c r="PX33" i="34"/>
  <c r="NL19" i="34"/>
  <c r="PI8" i="34"/>
  <c r="MA35" i="34"/>
  <c r="MF29" i="34"/>
  <c r="DK10" i="33"/>
  <c r="OO9" i="34"/>
  <c r="PY7" i="34"/>
  <c r="GM10" i="33"/>
  <c r="PE20" i="34"/>
  <c r="JB23" i="34"/>
  <c r="OK17" i="34"/>
  <c r="KQ13" i="34"/>
  <c r="NL22" i="34"/>
  <c r="NJ21" i="34"/>
  <c r="JX27" i="34"/>
  <c r="JE34" i="34"/>
  <c r="NN12" i="34"/>
  <c r="PC35" i="34"/>
  <c r="HD25" i="34"/>
  <c r="PF7" i="34"/>
  <c r="KP36" i="34"/>
  <c r="NG11" i="34"/>
  <c r="OI21" i="34"/>
  <c r="BH10" i="33"/>
  <c r="NE12" i="34"/>
  <c r="PH34" i="34"/>
  <c r="MG27" i="34"/>
  <c r="LC17" i="34"/>
  <c r="PA10" i="34"/>
  <c r="JW20" i="34"/>
  <c r="PD37" i="34"/>
  <c r="NI34" i="34"/>
  <c r="PX17" i="34"/>
  <c r="LW7" i="34"/>
  <c r="NM31" i="34"/>
  <c r="LJ34" i="34"/>
  <c r="NM8" i="34"/>
  <c r="OI11" i="34"/>
  <c r="PD33" i="34"/>
  <c r="MB189" i="34"/>
  <c r="PZ13" i="34"/>
  <c r="MH35" i="34"/>
  <c r="LI16" i="34"/>
  <c r="PC31" i="34"/>
  <c r="PX28" i="34"/>
  <c r="NP32" i="34"/>
  <c r="ND189" i="34"/>
  <c r="NK8" i="34"/>
  <c r="FO10" i="33"/>
  <c r="ML14" i="34"/>
  <c r="PH177" i="34"/>
  <c r="PX32" i="34"/>
  <c r="NB18" i="34"/>
  <c r="PG27" i="34"/>
  <c r="PZ10" i="34"/>
  <c r="NG31" i="34"/>
  <c r="PW27" i="34"/>
  <c r="NK23" i="34"/>
  <c r="FQ10" i="33"/>
  <c r="HX23" i="34"/>
  <c r="PF24" i="34"/>
  <c r="NO177" i="34"/>
  <c r="PI18" i="34"/>
  <c r="PY189" i="34"/>
  <c r="PA35" i="34"/>
  <c r="FI10" i="33"/>
  <c r="JE22" i="34"/>
  <c r="PJ179" i="34"/>
  <c r="NC20" i="34"/>
  <c r="OM32" i="34"/>
  <c r="OL8" i="34"/>
  <c r="OJ189" i="34"/>
  <c r="PJ8" i="34"/>
  <c r="PA11" i="34"/>
  <c r="PB22" i="34"/>
  <c r="PY32" i="34"/>
  <c r="JF33" i="34"/>
  <c r="LE18" i="34"/>
  <c r="PD16" i="34"/>
  <c r="PB37" i="34"/>
  <c r="PE28" i="34"/>
  <c r="DD10" i="33"/>
  <c r="CX3" i="33" s="1"/>
  <c r="PZ189" i="34"/>
  <c r="NO12" i="34"/>
  <c r="PE24" i="34"/>
  <c r="ON23" i="34"/>
  <c r="PF27" i="34"/>
  <c r="PG177" i="34"/>
  <c r="PA9" i="34"/>
  <c r="PJ25" i="34"/>
  <c r="NF25" i="34"/>
  <c r="LD18" i="34"/>
  <c r="BC10" i="33"/>
  <c r="OL32" i="34"/>
  <c r="EX29" i="34"/>
  <c r="PF21" i="34"/>
  <c r="OJ19" i="34"/>
  <c r="MH189" i="34"/>
  <c r="PH12" i="34"/>
  <c r="PZ36" i="34"/>
  <c r="NE31" i="34"/>
  <c r="MG34" i="34"/>
  <c r="OL19" i="34"/>
  <c r="PH32" i="34"/>
  <c r="OH9" i="34"/>
  <c r="MM27" i="34"/>
  <c r="PK31" i="34"/>
  <c r="JH11" i="34"/>
  <c r="PI10" i="34"/>
  <c r="LI21" i="34"/>
  <c r="KM18" i="34"/>
  <c r="PG7" i="34"/>
  <c r="PW189" i="34"/>
  <c r="PW21" i="34"/>
  <c r="PD21" i="34"/>
  <c r="NB30" i="34"/>
  <c r="OM13" i="34"/>
  <c r="PF22" i="34"/>
  <c r="OO11" i="34"/>
  <c r="PF17" i="34"/>
  <c r="PB9" i="34"/>
  <c r="PX24" i="34"/>
  <c r="CN7" i="34"/>
  <c r="PE189" i="34"/>
  <c r="GG10" i="33"/>
  <c r="PE16" i="34"/>
  <c r="PB23" i="34"/>
  <c r="FH10" i="33"/>
  <c r="PH28" i="34"/>
  <c r="PG12" i="34"/>
  <c r="LF11" i="34"/>
  <c r="PC189" i="34"/>
  <c r="OK189" i="34"/>
  <c r="NM10" i="34"/>
  <c r="PD8" i="34"/>
  <c r="PC32" i="34"/>
  <c r="AY10" i="33"/>
  <c r="OH18" i="34"/>
  <c r="OK18" i="34"/>
  <c r="LF19" i="34"/>
  <c r="PH18" i="34"/>
  <c r="LK17" i="34"/>
  <c r="MA20" i="34"/>
  <c r="OO12" i="34"/>
  <c r="PF23" i="34"/>
  <c r="MB12" i="34"/>
  <c r="MB30" i="34"/>
  <c r="OL29" i="34"/>
  <c r="LW14" i="34"/>
  <c r="LJ10" i="34"/>
  <c r="PH14" i="34"/>
  <c r="PI35" i="34"/>
  <c r="OH19" i="34"/>
  <c r="MH32" i="34"/>
  <c r="PG15" i="34"/>
  <c r="PE26" i="34"/>
  <c r="JX25" i="34"/>
  <c r="CW10" i="33"/>
  <c r="PA36" i="34"/>
  <c r="PK14" i="34"/>
  <c r="IV29" i="34"/>
  <c r="MK22" i="34"/>
  <c r="PX16" i="34"/>
  <c r="OM35" i="34"/>
  <c r="NI16" i="34"/>
  <c r="PA20" i="34"/>
  <c r="OK35" i="34"/>
  <c r="KQ19" i="34"/>
  <c r="MI13" i="34"/>
  <c r="PZ7" i="34"/>
  <c r="HO12" i="34"/>
  <c r="MA7" i="34"/>
  <c r="OJ27" i="34"/>
  <c r="OJ22" i="34"/>
  <c r="MK32" i="34"/>
  <c r="PJ17" i="34"/>
  <c r="PB33" i="34"/>
  <c r="NN16" i="34"/>
  <c r="LG28" i="34"/>
  <c r="LW9" i="34"/>
  <c r="LA27" i="34"/>
  <c r="KM19" i="34"/>
  <c r="PY27" i="34"/>
  <c r="ON37" i="34"/>
  <c r="LA29" i="34"/>
  <c r="PG18" i="34"/>
  <c r="NG36" i="34"/>
  <c r="PA179" i="34"/>
  <c r="NI14" i="34"/>
  <c r="NH27" i="34"/>
  <c r="CV10" i="33"/>
  <c r="PB19" i="34"/>
  <c r="MI27" i="34"/>
  <c r="OJ15" i="34"/>
  <c r="NG12" i="34"/>
  <c r="PX15" i="34"/>
  <c r="LD26" i="34"/>
  <c r="MH9" i="34"/>
  <c r="BI10" i="33"/>
  <c r="PA24" i="34"/>
  <c r="PW34" i="34"/>
  <c r="HO11" i="34"/>
  <c r="PH23" i="34"/>
  <c r="PD22" i="34"/>
  <c r="MH14" i="34"/>
  <c r="PE27" i="34"/>
  <c r="PD29" i="34"/>
  <c r="PK33" i="34"/>
  <c r="PH25" i="34"/>
  <c r="BU10" i="33"/>
  <c r="BU3" i="33" s="1"/>
  <c r="MN13" i="34"/>
  <c r="PG33" i="34"/>
  <c r="PZ18" i="34"/>
  <c r="MM30" i="34"/>
  <c r="MI10" i="34"/>
  <c r="PA27" i="34"/>
  <c r="HE16" i="34"/>
  <c r="OH32" i="34"/>
  <c r="PG35" i="34"/>
  <c r="PA25" i="34"/>
  <c r="MJ11" i="34"/>
  <c r="OH37" i="34"/>
  <c r="NJ33" i="34"/>
  <c r="PA8" i="34"/>
  <c r="LA32" i="34"/>
  <c r="PX27" i="34"/>
  <c r="PF15" i="34"/>
  <c r="IY13" i="34"/>
  <c r="PJ24" i="34"/>
  <c r="PD25" i="34"/>
  <c r="AD10" i="33"/>
  <c r="OI177" i="34"/>
  <c r="PH26" i="34"/>
  <c r="MJ27" i="34"/>
  <c r="OJ21" i="34"/>
  <c r="MI21" i="34"/>
  <c r="PK15" i="34"/>
  <c r="EJ11" i="34"/>
  <c r="FT31" i="34"/>
  <c r="PE25" i="34"/>
  <c r="LB189" i="34"/>
  <c r="PK23" i="34"/>
  <c r="MD10" i="34"/>
  <c r="LD23" i="34"/>
  <c r="LB33" i="34"/>
  <c r="PX35" i="34"/>
  <c r="PG19" i="34"/>
  <c r="PZ30" i="34"/>
  <c r="LF37" i="34"/>
  <c r="PH24" i="34"/>
  <c r="JX13" i="34"/>
  <c r="PJ7" i="34"/>
  <c r="NK31" i="34"/>
  <c r="LH26" i="34"/>
  <c r="LY27" i="34"/>
  <c r="T142" i="23"/>
  <c r="U142" i="23" s="1"/>
  <c r="ML23" i="34"/>
  <c r="GF10" i="33"/>
  <c r="OJ31" i="34"/>
  <c r="OI32" i="34"/>
  <c r="OO20" i="34"/>
  <c r="AH10" i="33"/>
  <c r="OI29" i="34"/>
  <c r="PZ16" i="34"/>
  <c r="G10" i="33"/>
  <c r="PB35" i="34"/>
  <c r="PE14" i="34"/>
  <c r="PB32" i="34"/>
  <c r="OM29" i="34"/>
  <c r="PE18" i="34"/>
  <c r="IA21" i="34"/>
  <c r="NP28" i="34"/>
  <c r="LY177" i="34"/>
  <c r="MK9" i="34"/>
  <c r="LW19" i="34"/>
  <c r="LW25" i="34"/>
  <c r="JC23" i="34"/>
  <c r="MJ29" i="34"/>
  <c r="PW9" i="34"/>
  <c r="PK189" i="34"/>
  <c r="OM33" i="34"/>
  <c r="PC34" i="34"/>
  <c r="LB10" i="34"/>
  <c r="PG32" i="34"/>
  <c r="MB35" i="34"/>
  <c r="JG177" i="34"/>
  <c r="PH20" i="34"/>
  <c r="PY33" i="34"/>
  <c r="OI34" i="34"/>
  <c r="PI17" i="34"/>
  <c r="PB12" i="34"/>
  <c r="PA31" i="34"/>
  <c r="NB36" i="34"/>
  <c r="NG27" i="34"/>
  <c r="MI37" i="34"/>
  <c r="PW26" i="34"/>
  <c r="PC23" i="34"/>
  <c r="O10" i="33"/>
  <c r="I3" i="33" s="1"/>
  <c r="PE33" i="34"/>
  <c r="LX8" i="34"/>
  <c r="OL25" i="34"/>
  <c r="IU27" i="34"/>
  <c r="PD35" i="34"/>
  <c r="MA9" i="34"/>
  <c r="JG19" i="34"/>
  <c r="KQ8" i="34"/>
  <c r="MC17" i="34"/>
  <c r="PB29" i="34"/>
  <c r="NL15" i="34"/>
  <c r="OH27" i="34"/>
  <c r="MB7" i="34"/>
  <c r="PC21" i="34"/>
  <c r="NH35" i="34"/>
  <c r="JX16" i="34"/>
  <c r="FX12" i="33"/>
  <c r="V41" i="23"/>
  <c r="EM11" i="33"/>
  <c r="V159" i="23"/>
  <c r="AZ11" i="33"/>
  <c r="V15" i="33"/>
  <c r="GE12" i="33"/>
  <c r="BM191" i="28"/>
  <c r="CH11" i="33"/>
  <c r="V167" i="23"/>
  <c r="BM117" i="28"/>
  <c r="GJ15" i="33"/>
  <c r="V96" i="23"/>
  <c r="CU15" i="33"/>
  <c r="ES15" i="33"/>
  <c r="CC12" i="33"/>
  <c r="FI11" i="33"/>
  <c r="V154" i="23"/>
  <c r="FK11" i="33"/>
  <c r="AJ15" i="33"/>
  <c r="BF11" i="33"/>
  <c r="BM20" i="28"/>
  <c r="GK11" i="33"/>
  <c r="BM52" i="28"/>
  <c r="V212" i="23"/>
  <c r="AA11" i="33"/>
  <c r="V90" i="23"/>
  <c r="AN12" i="33"/>
  <c r="FZ15" i="33"/>
  <c r="BM147" i="28"/>
  <c r="BM47" i="28"/>
  <c r="EW12" i="33"/>
  <c r="V118" i="23"/>
  <c r="V158" i="23"/>
  <c r="CA12" i="33"/>
  <c r="AX12" i="33"/>
  <c r="AS11" i="33"/>
  <c r="FD15" i="33"/>
  <c r="V150" i="23"/>
  <c r="P11" i="33"/>
  <c r="BK15" i="33"/>
  <c r="V179" i="23"/>
  <c r="BY12" i="33"/>
  <c r="AV11" i="33"/>
  <c r="AU12" i="33"/>
  <c r="AP15" i="33"/>
  <c r="EY12" i="33"/>
  <c r="BV12" i="33"/>
  <c r="DB15" i="33"/>
  <c r="DF15" i="33"/>
  <c r="CX11" i="33"/>
  <c r="GL11" i="33"/>
  <c r="BM53" i="28"/>
  <c r="F58" i="17"/>
  <c r="V213" i="23"/>
  <c r="I15" i="33"/>
  <c r="V152" i="23"/>
  <c r="V142" i="23"/>
  <c r="EV12" i="33"/>
  <c r="V99" i="23"/>
  <c r="GD11" i="33"/>
  <c r="EY11" i="33"/>
  <c r="FX11" i="33"/>
  <c r="AL15" i="33"/>
  <c r="ES12" i="33"/>
  <c r="GG15" i="33"/>
  <c r="V130" i="23"/>
  <c r="AV15" i="33"/>
  <c r="BV15" i="33"/>
  <c r="FX15" i="33"/>
  <c r="AM15" i="33"/>
  <c r="BM41" i="28"/>
  <c r="V76" i="23"/>
  <c r="V161" i="23"/>
  <c r="BM107" i="28"/>
  <c r="BM130" i="28"/>
  <c r="V12" i="33"/>
  <c r="GE15" i="33"/>
  <c r="CH15" i="33"/>
  <c r="BM32" i="28"/>
  <c r="V97" i="23"/>
  <c r="GJ11" i="33"/>
  <c r="BM126" i="28"/>
  <c r="CU12" i="33"/>
  <c r="V88" i="23"/>
  <c r="ES11" i="33"/>
  <c r="V155" i="23"/>
  <c r="AJ12" i="33"/>
  <c r="BF12" i="33"/>
  <c r="GF12" i="33"/>
  <c r="GK15" i="33"/>
  <c r="FT12" i="33"/>
  <c r="V209" i="23"/>
  <c r="AA15" i="33"/>
  <c r="V14" i="23"/>
  <c r="Y15" i="33"/>
  <c r="V138" i="23"/>
  <c r="V170" i="23"/>
  <c r="BH12" i="33"/>
  <c r="EP11" i="33"/>
  <c r="FZ12" i="33"/>
  <c r="CI12" i="33"/>
  <c r="V135" i="23"/>
  <c r="CA11" i="33"/>
  <c r="ED12" i="33"/>
  <c r="AX15" i="33"/>
  <c r="AS12" i="33"/>
  <c r="P15" i="33"/>
  <c r="J12" i="33"/>
  <c r="BM97" i="28"/>
  <c r="V104" i="23"/>
  <c r="V91" i="23"/>
  <c r="AU11" i="33"/>
  <c r="V208" i="23"/>
  <c r="BV11" i="33"/>
  <c r="DB12" i="33"/>
  <c r="FQ15" i="33"/>
  <c r="CX15" i="33"/>
  <c r="GL15" i="33"/>
  <c r="BM85" i="28"/>
  <c r="I12" i="33"/>
  <c r="BM71" i="28"/>
  <c r="AN15" i="33"/>
  <c r="AV12" i="33"/>
  <c r="L11" i="33"/>
  <c r="BM136" i="28"/>
  <c r="BY11" i="33"/>
  <c r="AU15" i="33"/>
  <c r="BM129" i="28"/>
  <c r="AM11" i="33"/>
  <c r="BM162" i="28"/>
  <c r="V133" i="23"/>
  <c r="FW11" i="33"/>
  <c r="V60" i="23"/>
  <c r="BM12" i="28"/>
  <c r="BI15" i="33"/>
  <c r="BM167" i="28"/>
  <c r="V11" i="33"/>
  <c r="V46" i="23"/>
  <c r="GE11" i="33"/>
  <c r="CH12" i="33"/>
  <c r="BM140" i="28"/>
  <c r="BM14" i="28"/>
  <c r="BM73" i="28"/>
  <c r="BF15" i="33"/>
  <c r="GF11" i="33"/>
  <c r="BM154" i="28"/>
  <c r="GK12" i="33"/>
  <c r="FT11" i="33"/>
  <c r="V171" i="23"/>
  <c r="V61" i="23"/>
  <c r="BM24" i="28"/>
  <c r="V32" i="23"/>
  <c r="Y12" i="33"/>
  <c r="BH15" i="33"/>
  <c r="BM171" i="28"/>
  <c r="EP12" i="33"/>
  <c r="CI11" i="33"/>
  <c r="V211" i="23"/>
  <c r="CY15" i="33"/>
  <c r="V82" i="23"/>
  <c r="BM51" i="28"/>
  <c r="O11" i="33"/>
  <c r="ED11" i="33"/>
  <c r="V52" i="23"/>
  <c r="BM86" i="28"/>
  <c r="J11" i="33"/>
  <c r="BM56" i="28"/>
  <c r="BM108" i="28"/>
  <c r="DO12" i="33"/>
  <c r="V85" i="23"/>
  <c r="BM11" i="33"/>
  <c r="H44" i="17"/>
  <c r="DB11" i="33"/>
  <c r="FQ12" i="33"/>
  <c r="CX12" i="33"/>
  <c r="GL12" i="33"/>
  <c r="BM16" i="28"/>
  <c r="V98" i="23"/>
  <c r="BM74" i="28"/>
  <c r="V128" i="23"/>
  <c r="V87" i="23"/>
  <c r="V172" i="23"/>
  <c r="AA12" i="33"/>
  <c r="BM189" i="28"/>
  <c r="FD11" i="33"/>
  <c r="EY15" i="33"/>
  <c r="DF11" i="33"/>
  <c r="V94" i="23"/>
  <c r="BM23" i="28"/>
  <c r="AM12" i="33"/>
  <c r="FY15" i="33"/>
  <c r="FW12" i="33"/>
  <c r="BM137" i="28"/>
  <c r="BA15" i="33"/>
  <c r="V124" i="23"/>
  <c r="V74" i="23"/>
  <c r="BI12" i="33"/>
  <c r="AE11" i="33"/>
  <c r="DT12" i="33"/>
  <c r="BM50" i="28"/>
  <c r="EQ12" i="33"/>
  <c r="V214" i="23"/>
  <c r="BM43" i="28"/>
  <c r="GF15" i="33"/>
  <c r="BM76" i="28"/>
  <c r="FT15" i="33"/>
  <c r="CW12" i="33"/>
  <c r="AH11" i="33"/>
  <c r="V73" i="23"/>
  <c r="V177" i="23"/>
  <c r="Y11" i="33"/>
  <c r="FG11" i="33"/>
  <c r="BH11" i="33"/>
  <c r="EP15" i="33"/>
  <c r="CI15" i="33"/>
  <c r="CY11" i="33"/>
  <c r="FO12" i="33"/>
  <c r="O15" i="33"/>
  <c r="ED15" i="33"/>
  <c r="J15" i="33"/>
  <c r="V78" i="23"/>
  <c r="T12" i="33"/>
  <c r="V95" i="23"/>
  <c r="DO15" i="33"/>
  <c r="DK11" i="33"/>
  <c r="BZ15" i="33"/>
  <c r="V84" i="23"/>
  <c r="BM15" i="33"/>
  <c r="FH11" i="33"/>
  <c r="AF12" i="33"/>
  <c r="BM169" i="28"/>
  <c r="BM150" i="28"/>
  <c r="H45" i="17"/>
  <c r="AW12" i="33"/>
  <c r="V44" i="23"/>
  <c r="FQ11" i="33"/>
  <c r="V51" i="23"/>
  <c r="BM138" i="28"/>
  <c r="V72" i="23"/>
  <c r="V191" i="23"/>
  <c r="AI15" i="33"/>
  <c r="DS15" i="33"/>
  <c r="DF12" i="33"/>
  <c r="M11" i="33"/>
  <c r="BE12" i="33"/>
  <c r="FY12" i="33"/>
  <c r="CF15" i="33"/>
  <c r="BM21" i="28"/>
  <c r="GM12" i="33"/>
  <c r="FW15" i="33"/>
  <c r="V151" i="23"/>
  <c r="BA12" i="33"/>
  <c r="BI11" i="33"/>
  <c r="AE15" i="33"/>
  <c r="DT15" i="33"/>
  <c r="BM6" i="28"/>
  <c r="G15" i="33"/>
  <c r="V20" i="23"/>
  <c r="EQ11" i="33"/>
  <c r="V11" i="23"/>
  <c r="BM22" i="28"/>
  <c r="BM94" i="28"/>
  <c r="BM60" i="28"/>
  <c r="AY12" i="33"/>
  <c r="H12" i="33"/>
  <c r="V75" i="23"/>
  <c r="V67" i="23"/>
  <c r="EE12" i="33"/>
  <c r="CW15" i="33"/>
  <c r="K15" i="33"/>
  <c r="AH15" i="33"/>
  <c r="V175" i="23"/>
  <c r="BJ11" i="33"/>
  <c r="BM13" i="28"/>
  <c r="FG12" i="33"/>
  <c r="CQ11" i="33"/>
  <c r="V68" i="23"/>
  <c r="FJ11" i="33"/>
  <c r="CY12" i="33"/>
  <c r="FO11" i="33"/>
  <c r="O12" i="33"/>
  <c r="FF11" i="33"/>
  <c r="EL11" i="33"/>
  <c r="DE15" i="33"/>
  <c r="V13" i="23"/>
  <c r="T11" i="33"/>
  <c r="DO11" i="33"/>
  <c r="DK12" i="33"/>
  <c r="V174" i="23"/>
  <c r="V77" i="23"/>
  <c r="BZ12" i="33"/>
  <c r="BM12" i="33"/>
  <c r="FH15" i="33"/>
  <c r="AF15" i="33"/>
  <c r="DJ11" i="33"/>
  <c r="CB11" i="33"/>
  <c r="CV15" i="33"/>
  <c r="AW11" i="33"/>
  <c r="BM104" i="28"/>
  <c r="V178" i="23"/>
  <c r="BM84" i="28"/>
  <c r="BG15" i="33"/>
  <c r="BM128" i="28"/>
  <c r="AZ15" i="33"/>
  <c r="FI15" i="33"/>
  <c r="U11" i="33"/>
  <c r="V129" i="23"/>
  <c r="AI11" i="33"/>
  <c r="GJ12" i="33"/>
  <c r="AJ11" i="33"/>
  <c r="V83" i="23"/>
  <c r="EV15" i="33"/>
  <c r="AT11" i="33"/>
  <c r="BM88" i="28"/>
  <c r="ER11" i="33"/>
  <c r="BE15" i="33"/>
  <c r="BT11" i="33"/>
  <c r="FY11" i="33"/>
  <c r="CF12" i="33"/>
  <c r="GM15" i="33"/>
  <c r="BA11" i="33"/>
  <c r="AC15" i="33"/>
  <c r="V127" i="23"/>
  <c r="V15" i="23"/>
  <c r="AE12" i="33"/>
  <c r="BM79" i="28"/>
  <c r="BM89" i="28"/>
  <c r="DT11" i="33"/>
  <c r="V157" i="23"/>
  <c r="V89" i="23"/>
  <c r="G11" i="33"/>
  <c r="BM82" i="28"/>
  <c r="DH12" i="33"/>
  <c r="CN12" i="33"/>
  <c r="EQ15" i="33"/>
  <c r="AY15" i="33"/>
  <c r="H11" i="33"/>
  <c r="BM33" i="28"/>
  <c r="EE15" i="33"/>
  <c r="CW11" i="33"/>
  <c r="V169" i="23"/>
  <c r="K11" i="33"/>
  <c r="AH12" i="33"/>
  <c r="BJ12" i="33"/>
  <c r="BM40" i="28"/>
  <c r="FG15" i="33"/>
  <c r="CQ12" i="33"/>
  <c r="FS11" i="33"/>
  <c r="BL15" i="33"/>
  <c r="FJ12" i="33"/>
  <c r="FO15" i="33"/>
  <c r="FF12" i="33"/>
  <c r="V160" i="23"/>
  <c r="EL15" i="33"/>
  <c r="DX12" i="33"/>
  <c r="DE12" i="33"/>
  <c r="CE15" i="33"/>
  <c r="T15" i="33"/>
  <c r="DY15" i="33"/>
  <c r="BM78" i="28"/>
  <c r="DK15" i="33"/>
  <c r="BZ11" i="33"/>
  <c r="V109" i="23"/>
  <c r="FH12" i="33"/>
  <c r="V147" i="23"/>
  <c r="AF11" i="33"/>
  <c r="DJ15" i="33"/>
  <c r="V47" i="23"/>
  <c r="V136" i="23"/>
  <c r="CB15" i="33"/>
  <c r="S15" i="33"/>
  <c r="CV11" i="33"/>
  <c r="AW15" i="33"/>
  <c r="BM153" i="28"/>
  <c r="V181" i="23"/>
  <c r="BG12" i="33"/>
  <c r="V24" i="23"/>
  <c r="V144" i="23"/>
  <c r="BM15" i="28"/>
  <c r="EM15" i="33"/>
  <c r="CS12" i="33"/>
  <c r="BM102" i="28"/>
  <c r="V79" i="23"/>
  <c r="BK11" i="33"/>
  <c r="V173" i="23"/>
  <c r="ER15" i="33"/>
  <c r="BS11" i="33"/>
  <c r="BE11" i="33"/>
  <c r="BM118" i="28"/>
  <c r="BT15" i="33"/>
  <c r="CF11" i="33"/>
  <c r="GM11" i="33"/>
  <c r="FC11" i="33"/>
  <c r="BM127" i="28"/>
  <c r="AC12" i="33"/>
  <c r="EJ11" i="33"/>
  <c r="BM195" i="28"/>
  <c r="GN15" i="33"/>
  <c r="CP12" i="33"/>
  <c r="BQ11" i="33"/>
  <c r="G12" i="33"/>
  <c r="BO12" i="33"/>
  <c r="DH15" i="33"/>
  <c r="FE15" i="33"/>
  <c r="CN11" i="33"/>
  <c r="EZ12" i="33"/>
  <c r="BM59" i="28"/>
  <c r="N11" i="33"/>
  <c r="AY11" i="33"/>
  <c r="H15" i="33"/>
  <c r="BM11" i="28"/>
  <c r="BM158" i="28"/>
  <c r="EK15" i="33"/>
  <c r="R15" i="33"/>
  <c r="EE11" i="33"/>
  <c r="V202" i="23"/>
  <c r="FR12" i="33"/>
  <c r="K12" i="33"/>
  <c r="BJ15" i="33"/>
  <c r="V22" i="23"/>
  <c r="FL12" i="33"/>
  <c r="AD12" i="33"/>
  <c r="BM75" i="28"/>
  <c r="CQ15" i="33"/>
  <c r="Z15" i="33"/>
  <c r="FS15" i="33"/>
  <c r="BL11" i="33"/>
  <c r="FJ15" i="33"/>
  <c r="CD15" i="33"/>
  <c r="FF15" i="33"/>
  <c r="BM99" i="28"/>
  <c r="BM190" i="28"/>
  <c r="BW11" i="33"/>
  <c r="EL12" i="33"/>
  <c r="DX11" i="33"/>
  <c r="DE11" i="33"/>
  <c r="F15" i="33"/>
  <c r="CE11" i="33"/>
  <c r="V42" i="23"/>
  <c r="BM91" i="28"/>
  <c r="DY11" i="33"/>
  <c r="V100" i="23"/>
  <c r="BM141" i="28"/>
  <c r="GB12" i="33"/>
  <c r="BM83" i="28"/>
  <c r="DJ12" i="33"/>
  <c r="I18" i="3"/>
  <c r="CB12" i="33"/>
  <c r="S11" i="33"/>
  <c r="CV12" i="33"/>
  <c r="V108" i="23"/>
  <c r="V12" i="23"/>
  <c r="V168" i="23"/>
  <c r="BR15" i="33"/>
  <c r="BM193" i="28"/>
  <c r="E75" i="3"/>
  <c r="BG11" i="33"/>
  <c r="V145" i="23"/>
  <c r="FK12" i="33"/>
  <c r="BM194" i="28"/>
  <c r="BK12" i="33"/>
  <c r="BY15" i="33"/>
  <c r="AP12" i="33"/>
  <c r="FK15" i="33"/>
  <c r="V23" i="23"/>
  <c r="V86" i="23"/>
  <c r="V45" i="23"/>
  <c r="P12" i="33"/>
  <c r="ER12" i="33"/>
  <c r="BS15" i="33"/>
  <c r="BT12" i="33"/>
  <c r="FC12" i="33"/>
  <c r="AC11" i="33"/>
  <c r="EJ12" i="33"/>
  <c r="GN11" i="33"/>
  <c r="CP15" i="33"/>
  <c r="BQ15" i="33"/>
  <c r="DM11" i="33"/>
  <c r="DL15" i="33"/>
  <c r="BB12" i="33"/>
  <c r="BM152" i="28"/>
  <c r="BO11" i="33"/>
  <c r="DH11" i="33"/>
  <c r="FE12" i="33"/>
  <c r="CN15" i="33"/>
  <c r="EZ15" i="33"/>
  <c r="BN12" i="33"/>
  <c r="N12" i="33"/>
  <c r="EK11" i="33"/>
  <c r="R12" i="33"/>
  <c r="BM157" i="28"/>
  <c r="FR15" i="33"/>
  <c r="DG11" i="33"/>
  <c r="FL11" i="33"/>
  <c r="AD15" i="33"/>
  <c r="Z11" i="33"/>
  <c r="FS12" i="33"/>
  <c r="BL12" i="33"/>
  <c r="CD11" i="33"/>
  <c r="X11" i="33"/>
  <c r="V134" i="23"/>
  <c r="BM187" i="28"/>
  <c r="BM42" i="28"/>
  <c r="V207" i="23"/>
  <c r="BW15" i="33"/>
  <c r="CR12" i="33"/>
  <c r="DX15" i="33"/>
  <c r="DR15" i="33"/>
  <c r="CE12" i="33"/>
  <c r="BM45" i="28"/>
  <c r="V59" i="23"/>
  <c r="DY12" i="33"/>
  <c r="GB11" i="33"/>
  <c r="BM77" i="28"/>
  <c r="AQ12" i="33"/>
  <c r="S12" i="33"/>
  <c r="BM182" i="28"/>
  <c r="V166" i="23"/>
  <c r="BR11" i="33"/>
  <c r="W12" i="33"/>
  <c r="DD12" i="33"/>
  <c r="FN11" i="33"/>
  <c r="CJ15" i="33"/>
  <c r="EM12" i="33"/>
  <c r="BM125" i="28"/>
  <c r="GG11" i="33"/>
  <c r="BM46" i="28"/>
  <c r="AG12" i="33"/>
  <c r="BM160" i="28"/>
  <c r="M15" i="33"/>
  <c r="AR15" i="33"/>
  <c r="BM159" i="28"/>
  <c r="BM96" i="28"/>
  <c r="BM131" i="28"/>
  <c r="CU11" i="33"/>
  <c r="CC11" i="33"/>
  <c r="BM68" i="28"/>
  <c r="AN11" i="33"/>
  <c r="EW15" i="33"/>
  <c r="V126" i="23"/>
  <c r="AS15" i="33"/>
  <c r="BM95" i="28"/>
  <c r="V143" i="23"/>
  <c r="BS12" i="33"/>
  <c r="BM188" i="28"/>
  <c r="V53" i="23"/>
  <c r="FC15" i="33"/>
  <c r="EJ15" i="33"/>
  <c r="GN12" i="33"/>
  <c r="BM151" i="28"/>
  <c r="CP11" i="33"/>
  <c r="BQ12" i="33"/>
  <c r="DM15" i="33"/>
  <c r="DL12" i="33"/>
  <c r="BB11" i="33"/>
  <c r="BO15" i="33"/>
  <c r="FE11" i="33"/>
  <c r="BU15" i="33"/>
  <c r="V50" i="23"/>
  <c r="EZ11" i="33"/>
  <c r="BN15" i="33"/>
  <c r="N15" i="33"/>
  <c r="BM132" i="28"/>
  <c r="V189" i="23"/>
  <c r="EK12" i="33"/>
  <c r="V6" i="23"/>
  <c r="R11" i="33"/>
  <c r="FR11" i="33"/>
  <c r="U15" i="33"/>
  <c r="BM192" i="28"/>
  <c r="BM139" i="28"/>
  <c r="BM149" i="28"/>
  <c r="DG15" i="33"/>
  <c r="FL15" i="33"/>
  <c r="AD11" i="33"/>
  <c r="DZ15" i="33"/>
  <c r="Z12" i="33"/>
  <c r="BM133" i="28"/>
  <c r="CD12" i="33"/>
  <c r="BM100" i="28"/>
  <c r="BM103" i="28"/>
  <c r="X12" i="33"/>
  <c r="BC11" i="33"/>
  <c r="DC12" i="33"/>
  <c r="V165" i="23"/>
  <c r="BW12" i="33"/>
  <c r="CR15" i="33"/>
  <c r="BM170" i="28"/>
  <c r="DR11" i="33"/>
  <c r="F12" i="33"/>
  <c r="BM90" i="28"/>
  <c r="BM109" i="28"/>
  <c r="DS11" i="33"/>
  <c r="V215" i="23"/>
  <c r="GB15" i="33"/>
  <c r="GD15" i="33"/>
  <c r="V71" i="23"/>
  <c r="AQ15" i="33"/>
  <c r="BM114" i="28"/>
  <c r="AR12" i="33"/>
  <c r="V137" i="23"/>
  <c r="BR12" i="33"/>
  <c r="W15" i="33"/>
  <c r="DD15" i="33"/>
  <c r="BM116" i="28"/>
  <c r="L15" i="33"/>
  <c r="BM124" i="28"/>
  <c r="FN12" i="33"/>
  <c r="CJ12" i="33"/>
  <c r="CS11" i="33"/>
  <c r="BU11" i="33"/>
  <c r="DZ12" i="33"/>
  <c r="AT15" i="33"/>
  <c r="DC11" i="33"/>
  <c r="AZ12" i="33"/>
  <c r="AG11" i="33"/>
  <c r="BM155" i="28"/>
  <c r="I11" i="33"/>
  <c r="AI12" i="33"/>
  <c r="AL12" i="33"/>
  <c r="BM156" i="28"/>
  <c r="BM48" i="28"/>
  <c r="BM98" i="28"/>
  <c r="V187" i="23"/>
  <c r="CS15" i="33"/>
  <c r="V146" i="23"/>
  <c r="DM12" i="33"/>
  <c r="DL11" i="33"/>
  <c r="BB15" i="33"/>
  <c r="FP11" i="33"/>
  <c r="BM87" i="28"/>
  <c r="V43" i="23"/>
  <c r="BU12" i="33"/>
  <c r="V33" i="23"/>
  <c r="GG12" i="33"/>
  <c r="BN11" i="33"/>
  <c r="V16" i="23"/>
  <c r="V40" i="23"/>
  <c r="V190" i="23"/>
  <c r="V116" i="23"/>
  <c r="U12" i="33"/>
  <c r="BM148" i="28"/>
  <c r="EV11" i="33"/>
  <c r="DG12" i="33"/>
  <c r="DZ11" i="33"/>
  <c r="V103" i="23"/>
  <c r="AG15" i="33"/>
  <c r="AT12" i="33"/>
  <c r="V56" i="23"/>
  <c r="X15" i="33"/>
  <c r="BC12" i="33"/>
  <c r="DC15" i="33"/>
  <c r="CR11" i="33"/>
  <c r="V107" i="23"/>
  <c r="M12" i="33"/>
  <c r="DR12" i="33"/>
  <c r="F11" i="33"/>
  <c r="DS12" i="33"/>
  <c r="BM146" i="28"/>
  <c r="GD12" i="33"/>
  <c r="AQ11" i="33"/>
  <c r="AP11" i="33"/>
  <c r="AR11" i="33"/>
  <c r="V125" i="23"/>
  <c r="V114" i="23"/>
  <c r="V176" i="23"/>
  <c r="V21" i="23"/>
  <c r="W11" i="33"/>
  <c r="DD11" i="33"/>
  <c r="L12" i="33"/>
  <c r="FN15" i="33"/>
  <c r="CJ11" i="33"/>
  <c r="AL11" i="33"/>
  <c r="FP15" i="33"/>
  <c r="CC15" i="33"/>
  <c r="V210" i="23"/>
  <c r="EW11" i="33"/>
  <c r="BC15" i="33"/>
  <c r="FD12" i="33"/>
  <c r="V148" i="23"/>
  <c r="V117" i="23"/>
  <c r="BM44" i="28"/>
  <c r="FP12" i="33"/>
  <c r="FI12" i="33"/>
  <c r="V48" i="23"/>
  <c r="FZ11" i="33"/>
  <c r="CA15" i="33"/>
  <c r="AX11" i="33"/>
  <c r="V102" i="23"/>
  <c r="FP190" i="34" l="1"/>
  <c r="FP38" i="34" s="1"/>
  <c r="IC190" i="34"/>
  <c r="IC38" i="34" s="1"/>
  <c r="IR190" i="34"/>
  <c r="IR38" i="34" s="1"/>
  <c r="PG190" i="34"/>
  <c r="PG38" i="34" s="1"/>
  <c r="AT2" i="33"/>
  <c r="KQ190" i="34"/>
  <c r="KQ38" i="34" s="1"/>
  <c r="AZ190" i="34"/>
  <c r="AZ38" i="34" s="1"/>
  <c r="CA3" i="33"/>
  <c r="CC3" i="33" s="1"/>
  <c r="MJ190" i="34"/>
  <c r="MJ38" i="34" s="1"/>
  <c r="E27" i="35"/>
  <c r="EZ190" i="34"/>
  <c r="EZ38" i="34" s="1"/>
  <c r="H3" i="33"/>
  <c r="J3" i="33" s="1"/>
  <c r="W10" i="17"/>
  <c r="MA190" i="34"/>
  <c r="MA38" i="34" s="1"/>
  <c r="JC190" i="34"/>
  <c r="JC38" i="34" s="1"/>
  <c r="LX190" i="34"/>
  <c r="LX38" i="34" s="1"/>
  <c r="JB190" i="34"/>
  <c r="JB38" i="34" s="1"/>
  <c r="DE190" i="34"/>
  <c r="DE38" i="34" s="1"/>
  <c r="HU190" i="34"/>
  <c r="HU38" i="34" s="1"/>
  <c r="DX190" i="34"/>
  <c r="DX38" i="34" s="1"/>
  <c r="BP190" i="34"/>
  <c r="BP38" i="34" s="1"/>
  <c r="AX190" i="34"/>
  <c r="AX38" i="34" s="1"/>
  <c r="AB6" i="17"/>
  <c r="AB8" i="17"/>
  <c r="KO190" i="34"/>
  <c r="KO38" i="34" s="1"/>
  <c r="FN190" i="34"/>
  <c r="FN38" i="34" s="1"/>
  <c r="AB10" i="17"/>
  <c r="AB190" i="34"/>
  <c r="AB38" i="34" s="1"/>
  <c r="AB9" i="17"/>
  <c r="AB11" i="17"/>
  <c r="NK190" i="34"/>
  <c r="NK38" i="34" s="1"/>
  <c r="LW190" i="34"/>
  <c r="LW38" i="34" s="1"/>
  <c r="EH190" i="34"/>
  <c r="EH38" i="34" s="1"/>
  <c r="GL190" i="34"/>
  <c r="GL38" i="34" s="1"/>
  <c r="JU190" i="34"/>
  <c r="JU38" i="34" s="1"/>
  <c r="DL3" i="33"/>
  <c r="DN3" i="33" s="1"/>
  <c r="NF190" i="34"/>
  <c r="NF38" i="34" s="1"/>
  <c r="NG190" i="34"/>
  <c r="NG38" i="34" s="1"/>
  <c r="HV190" i="34"/>
  <c r="HV38" i="34" s="1"/>
  <c r="HH190" i="34"/>
  <c r="HH38" i="34" s="1"/>
  <c r="J190" i="34"/>
  <c r="J38" i="34" s="1"/>
  <c r="JD190" i="34"/>
  <c r="JD38" i="34" s="1"/>
  <c r="IQ190" i="34"/>
  <c r="IQ38" i="34" s="1"/>
  <c r="CY2" i="33"/>
  <c r="V190" i="34"/>
  <c r="V38" i="34" s="1"/>
  <c r="MH190" i="34"/>
  <c r="MH38" i="34" s="1"/>
  <c r="JW190" i="34"/>
  <c r="JW38" i="34" s="1"/>
  <c r="EX190" i="34"/>
  <c r="EX38" i="34" s="1"/>
  <c r="IA190" i="34"/>
  <c r="IA38" i="34" s="1"/>
  <c r="CE190" i="34"/>
  <c r="CE38" i="34" s="1"/>
  <c r="IV190" i="34"/>
  <c r="IV38" i="34" s="1"/>
  <c r="AS4" i="34"/>
  <c r="AT190" i="34"/>
  <c r="AT38" i="34" s="1"/>
  <c r="MC190" i="34"/>
  <c r="MC38" i="34" s="1"/>
  <c r="FT190" i="34"/>
  <c r="FT38" i="34" s="1"/>
  <c r="FR190" i="34"/>
  <c r="FR38" i="34" s="1"/>
  <c r="DY190" i="34"/>
  <c r="DY38" i="34" s="1"/>
  <c r="FB190" i="34"/>
  <c r="FB38" i="34" s="1"/>
  <c r="KB190" i="34"/>
  <c r="KB38" i="34" s="1"/>
  <c r="AQ190" i="34"/>
  <c r="AQ38" i="34" s="1"/>
  <c r="ET3" i="33"/>
  <c r="LI190" i="34"/>
  <c r="LI38" i="34" s="1"/>
  <c r="GO190" i="34"/>
  <c r="GO38" i="34" s="1"/>
  <c r="F121" i="28"/>
  <c r="B38" i="28" s="1"/>
  <c r="EK190" i="34"/>
  <c r="EK38" i="34" s="1"/>
  <c r="MD190" i="34"/>
  <c r="MD38" i="34" s="1"/>
  <c r="HF190" i="34"/>
  <c r="HF38" i="34" s="1"/>
  <c r="IB190" i="34"/>
  <c r="IB38" i="34" s="1"/>
  <c r="LE190" i="34"/>
  <c r="LE38" i="34" s="1"/>
  <c r="K12" i="3"/>
  <c r="U190" i="34"/>
  <c r="U38" i="34" s="1"/>
  <c r="NL190" i="34"/>
  <c r="NL38" i="34" s="1"/>
  <c r="JX190" i="34"/>
  <c r="JX38" i="34" s="1"/>
  <c r="IZ190" i="34"/>
  <c r="IZ38" i="34" s="1"/>
  <c r="FX190" i="34"/>
  <c r="FX38" i="34" s="1"/>
  <c r="AB7" i="17"/>
  <c r="OI190" i="34"/>
  <c r="OI38" i="34" s="1"/>
  <c r="AE3" i="33"/>
  <c r="AG3" i="33" s="1"/>
  <c r="NK4" i="34"/>
  <c r="NK5" i="34" s="1"/>
  <c r="IU4" i="34"/>
  <c r="FX4" i="34"/>
  <c r="FX5" i="34" s="1"/>
  <c r="EG4" i="34"/>
  <c r="ON190" i="34"/>
  <c r="ON38" i="34" s="1"/>
  <c r="MB190" i="34"/>
  <c r="MB38" i="34" s="1"/>
  <c r="JZ4" i="34"/>
  <c r="JZ5" i="34" s="1"/>
  <c r="Y190" i="34"/>
  <c r="Y38" i="34" s="1"/>
  <c r="T190" i="34"/>
  <c r="T38" i="34" s="1"/>
  <c r="DC4" i="34"/>
  <c r="CD190" i="34"/>
  <c r="CD38" i="34" s="1"/>
  <c r="DN2" i="33"/>
  <c r="CO190" i="34"/>
  <c r="CO38" i="34" s="1"/>
  <c r="HT190" i="34"/>
  <c r="HT38" i="34" s="1"/>
  <c r="CL2" i="33"/>
  <c r="N14" i="13"/>
  <c r="MD4" i="34"/>
  <c r="MD5" i="34" s="1"/>
  <c r="NM4" i="34"/>
  <c r="NM6" i="34" s="1"/>
  <c r="NO190" i="34"/>
  <c r="NO38" i="34" s="1"/>
  <c r="ML190" i="34"/>
  <c r="ML38" i="34" s="1"/>
  <c r="PB190" i="34"/>
  <c r="PB38" i="34" s="1"/>
  <c r="AB4" i="17"/>
  <c r="PH190" i="34"/>
  <c r="PH38" i="34" s="1"/>
  <c r="NN190" i="34"/>
  <c r="NN38" i="34" s="1"/>
  <c r="GK4" i="34"/>
  <c r="GK5" i="34" s="1"/>
  <c r="FF2" i="33"/>
  <c r="FG2" i="33" s="1"/>
  <c r="V7" i="17"/>
  <c r="W7" i="17" s="1"/>
  <c r="W102" i="23"/>
  <c r="CA16" i="33"/>
  <c r="CA17" i="33" s="1"/>
  <c r="W48" i="23"/>
  <c r="BN44" i="28"/>
  <c r="W117" i="23"/>
  <c r="W148" i="23"/>
  <c r="BC16" i="33"/>
  <c r="BC17" i="33" s="1"/>
  <c r="W210" i="23"/>
  <c r="CC16" i="33"/>
  <c r="CC17" i="33" s="1"/>
  <c r="FP16" i="33"/>
  <c r="FP17" i="33" s="1"/>
  <c r="FN16" i="33"/>
  <c r="FN17" i="33" s="1"/>
  <c r="W21" i="23"/>
  <c r="W176" i="23"/>
  <c r="W114" i="23"/>
  <c r="W125" i="23"/>
  <c r="BN146" i="28"/>
  <c r="DT4" i="33"/>
  <c r="W107" i="23"/>
  <c r="DC16" i="33"/>
  <c r="DC17" i="33" s="1"/>
  <c r="X16" i="33"/>
  <c r="X17" i="33" s="1"/>
  <c r="W56" i="23"/>
  <c r="AG16" i="33"/>
  <c r="AG17" i="33" s="1"/>
  <c r="W103" i="23"/>
  <c r="BN148" i="28"/>
  <c r="W116" i="23"/>
  <c r="W190" i="23"/>
  <c r="W40" i="23"/>
  <c r="K4" i="2" s="1"/>
  <c r="J4" i="2"/>
  <c r="W16" i="23"/>
  <c r="W33" i="23"/>
  <c r="W43" i="23"/>
  <c r="BN87" i="28"/>
  <c r="BB16" i="33"/>
  <c r="BB17" i="33" s="1"/>
  <c r="W146" i="23"/>
  <c r="CS16" i="33"/>
  <c r="CS17" i="33" s="1"/>
  <c r="W187" i="23"/>
  <c r="BN98" i="28"/>
  <c r="BN48" i="28"/>
  <c r="BN156" i="28"/>
  <c r="AF4" i="33"/>
  <c r="BN155" i="28"/>
  <c r="AT16" i="33"/>
  <c r="AT17" i="33" s="1"/>
  <c r="EA4" i="33"/>
  <c r="CK4" i="33"/>
  <c r="BN124" i="28"/>
  <c r="L16" i="33"/>
  <c r="L17" i="33" s="1"/>
  <c r="GR50" i="33" s="1"/>
  <c r="AH8" i="17" s="1"/>
  <c r="BN116" i="28"/>
  <c r="DD16" i="33"/>
  <c r="DD17" i="33" s="1"/>
  <c r="W16" i="33"/>
  <c r="W17" i="33" s="1"/>
  <c r="W137" i="23"/>
  <c r="BN114" i="28"/>
  <c r="AQ16" i="33"/>
  <c r="AQ17" i="33" s="1"/>
  <c r="W71" i="23"/>
  <c r="GD16" i="33"/>
  <c r="GD17" i="33" s="1"/>
  <c r="GB16" i="33"/>
  <c r="GB17" i="33" s="1"/>
  <c r="W215" i="23"/>
  <c r="BN109" i="28"/>
  <c r="BN90" i="28"/>
  <c r="H4" i="33"/>
  <c r="BN170" i="28"/>
  <c r="CR16" i="33"/>
  <c r="CR17" i="33" s="1"/>
  <c r="W165" i="23"/>
  <c r="BN103" i="28"/>
  <c r="BN100" i="28"/>
  <c r="BN133" i="28"/>
  <c r="DZ16" i="33"/>
  <c r="DZ17" i="33" s="1"/>
  <c r="EA5" i="33" s="1"/>
  <c r="FL16" i="33"/>
  <c r="FL17" i="33" s="1"/>
  <c r="DG16" i="33"/>
  <c r="DG17" i="33" s="1"/>
  <c r="BN149" i="28"/>
  <c r="BN139" i="28"/>
  <c r="BN192" i="28"/>
  <c r="U16" i="33"/>
  <c r="U17" i="33" s="1"/>
  <c r="W6" i="23"/>
  <c r="W189" i="23"/>
  <c r="BN132" i="28"/>
  <c r="N16" i="33"/>
  <c r="N17" i="33" s="1"/>
  <c r="BN16" i="33"/>
  <c r="BN17" i="33" s="1"/>
  <c r="W50" i="23"/>
  <c r="BU16" i="33"/>
  <c r="BU17" i="33" s="1"/>
  <c r="BO16" i="33"/>
  <c r="BO17" i="33" s="1"/>
  <c r="DM16" i="33"/>
  <c r="DM17" i="33" s="1"/>
  <c r="BT4" i="33"/>
  <c r="BN151" i="28"/>
  <c r="EJ16" i="33"/>
  <c r="EJ17" i="33" s="1"/>
  <c r="EL5" i="33" s="1"/>
  <c r="FC16" i="33"/>
  <c r="FC17" i="33" s="1"/>
  <c r="W53" i="23"/>
  <c r="BN188" i="28"/>
  <c r="W143" i="23"/>
  <c r="BN95" i="28"/>
  <c r="AS16" i="33"/>
  <c r="AS17" i="33" s="1"/>
  <c r="W126" i="23"/>
  <c r="EW16" i="33"/>
  <c r="EW17" i="33" s="1"/>
  <c r="BN68" i="28"/>
  <c r="BN131" i="28"/>
  <c r="BN96" i="28"/>
  <c r="BN159" i="28"/>
  <c r="AR16" i="33"/>
  <c r="AR17" i="33" s="1"/>
  <c r="M16" i="33"/>
  <c r="M17" i="33" s="1"/>
  <c r="GY5" i="33" s="1"/>
  <c r="BN160" i="28"/>
  <c r="BN46" i="28"/>
  <c r="BN125" i="28"/>
  <c r="CJ16" i="33"/>
  <c r="CJ17" i="33" s="1"/>
  <c r="CK5" i="33" s="1"/>
  <c r="CX4" i="33"/>
  <c r="W166" i="23"/>
  <c r="BN182" i="28"/>
  <c r="BN77" i="28"/>
  <c r="W59" i="23"/>
  <c r="BN45" i="28"/>
  <c r="CB4" i="33"/>
  <c r="DR16" i="33"/>
  <c r="DR17" i="33" s="1"/>
  <c r="DX16" i="33"/>
  <c r="DX17" i="33" s="1"/>
  <c r="BW16" i="33"/>
  <c r="BW17" i="33" s="1"/>
  <c r="W207" i="23"/>
  <c r="BN42" i="28"/>
  <c r="BN187" i="28"/>
  <c r="W134" i="23"/>
  <c r="AD16" i="33"/>
  <c r="AD17" i="33" s="1"/>
  <c r="GY6" i="33" s="1"/>
  <c r="FR16" i="33"/>
  <c r="FR17" i="33" s="1"/>
  <c r="BN157" i="28"/>
  <c r="T4" i="33"/>
  <c r="EZ16" i="33"/>
  <c r="EZ17" i="33" s="1"/>
  <c r="CN16" i="33"/>
  <c r="CN17" i="33" s="1"/>
  <c r="CP5" i="33" s="1"/>
  <c r="BN152" i="28"/>
  <c r="DL16" i="33"/>
  <c r="DL17" i="33" s="1"/>
  <c r="BQ16" i="33"/>
  <c r="BQ17" i="33" s="1"/>
  <c r="CP16" i="33"/>
  <c r="CP17" i="33" s="1"/>
  <c r="EL4" i="33"/>
  <c r="FE4" i="33"/>
  <c r="BU4" i="33"/>
  <c r="BS16" i="33"/>
  <c r="BS17" i="33" s="1"/>
  <c r="W45" i="23"/>
  <c r="W86" i="23"/>
  <c r="W23" i="23"/>
  <c r="FK16" i="33"/>
  <c r="FK17" i="33" s="1"/>
  <c r="AR4" i="33"/>
  <c r="BY16" i="33"/>
  <c r="BY17" i="33" s="1"/>
  <c r="BN194" i="28"/>
  <c r="W145" i="23"/>
  <c r="B42" i="1"/>
  <c r="BN193" i="28"/>
  <c r="BR16" i="33"/>
  <c r="BR17" i="33" s="1"/>
  <c r="W168" i="23"/>
  <c r="W12" i="23"/>
  <c r="W108" i="23"/>
  <c r="J18" i="3"/>
  <c r="K18" i="3" s="1"/>
  <c r="L18" i="3" s="1"/>
  <c r="M18" i="3" s="1"/>
  <c r="DL4" i="33"/>
  <c r="BN83" i="28"/>
  <c r="BN141" i="28"/>
  <c r="W100" i="23"/>
  <c r="BN91" i="28"/>
  <c r="W42" i="23"/>
  <c r="F16" i="33"/>
  <c r="F17" i="33" s="1"/>
  <c r="EM4" i="33"/>
  <c r="BN190" i="28"/>
  <c r="BN99" i="28"/>
  <c r="FF16" i="33"/>
  <c r="FF17" i="33" s="1"/>
  <c r="CD16" i="33"/>
  <c r="CD17" i="33" s="1"/>
  <c r="FJ16" i="33"/>
  <c r="FJ17" i="33" s="1"/>
  <c r="FS16" i="33"/>
  <c r="FS17" i="33" s="1"/>
  <c r="Z16" i="33"/>
  <c r="Z17" i="33" s="1"/>
  <c r="CQ16" i="33"/>
  <c r="CQ17" i="33" s="1"/>
  <c r="BN75" i="28"/>
  <c r="W22" i="23"/>
  <c r="BJ16" i="33"/>
  <c r="BJ17" i="33" s="1"/>
  <c r="W202" i="23"/>
  <c r="R16" i="33"/>
  <c r="R17" i="33" s="1"/>
  <c r="EK16" i="33"/>
  <c r="EK17" i="33" s="1"/>
  <c r="BN158" i="28"/>
  <c r="BN11" i="28"/>
  <c r="H16" i="33"/>
  <c r="H17" i="33" s="1"/>
  <c r="GR49" i="33" s="1"/>
  <c r="AH7" i="17" s="1"/>
  <c r="BN59" i="28"/>
  <c r="FE16" i="33"/>
  <c r="FE17" i="33" s="1"/>
  <c r="DH16" i="33"/>
  <c r="DH17" i="33" s="1"/>
  <c r="CQ4" i="33"/>
  <c r="GN16" i="33"/>
  <c r="GN17" i="33" s="1"/>
  <c r="BN195" i="28"/>
  <c r="AE4" i="33"/>
  <c r="BN127" i="28"/>
  <c r="BT16" i="33"/>
  <c r="BT17" i="33" s="1"/>
  <c r="BN118" i="28"/>
  <c r="ER16" i="33"/>
  <c r="ER17" i="33" s="1"/>
  <c r="W173" i="23"/>
  <c r="W79" i="23"/>
  <c r="BN102" i="28"/>
  <c r="EM16" i="33"/>
  <c r="EM17" i="33" s="1"/>
  <c r="BN15" i="28"/>
  <c r="W144" i="23"/>
  <c r="W24" i="23"/>
  <c r="W181" i="23"/>
  <c r="BN153" i="28"/>
  <c r="AW16" i="33"/>
  <c r="AW17" i="33" s="1"/>
  <c r="S16" i="33"/>
  <c r="S17" i="33" s="1"/>
  <c r="GY11" i="33" s="1"/>
  <c r="CB16" i="33"/>
  <c r="CB17" i="33" s="1"/>
  <c r="W136" i="23"/>
  <c r="W47" i="23"/>
  <c r="DJ16" i="33"/>
  <c r="DJ17" i="33" s="1"/>
  <c r="W147" i="23"/>
  <c r="W109" i="23"/>
  <c r="DK16" i="33"/>
  <c r="DK17" i="33" s="1"/>
  <c r="BN78" i="28"/>
  <c r="DY16" i="33"/>
  <c r="DY17" i="33" s="1"/>
  <c r="T16" i="33"/>
  <c r="T17" i="33" s="1"/>
  <c r="CE16" i="33"/>
  <c r="CE17" i="33" s="1"/>
  <c r="DZ4" i="33"/>
  <c r="EL16" i="33"/>
  <c r="EL17" i="33" s="1"/>
  <c r="W160" i="23"/>
  <c r="FO16" i="33"/>
  <c r="FO17" i="33" s="1"/>
  <c r="BL16" i="33"/>
  <c r="BL17" i="33" s="1"/>
  <c r="FG16" i="33"/>
  <c r="FG17" i="33" s="1"/>
  <c r="BN40" i="28"/>
  <c r="BH4" i="33"/>
  <c r="W169" i="23"/>
  <c r="EE16" i="33"/>
  <c r="EE17" i="33" s="1"/>
  <c r="EG5" i="33" s="1"/>
  <c r="BN33" i="28"/>
  <c r="AY16" i="33"/>
  <c r="AY17" i="33" s="1"/>
  <c r="EQ16" i="33"/>
  <c r="EQ17" i="33" s="1"/>
  <c r="CP4" i="33"/>
  <c r="BN82" i="28"/>
  <c r="W89" i="23"/>
  <c r="W157" i="23"/>
  <c r="BN89" i="28"/>
  <c r="BN79" i="28"/>
  <c r="W15" i="23"/>
  <c r="W127" i="23"/>
  <c r="AC16" i="33"/>
  <c r="AC17" i="33" s="1"/>
  <c r="GM16" i="33"/>
  <c r="GM17" i="33" s="1"/>
  <c r="BE16" i="33"/>
  <c r="BE17" i="33" s="1"/>
  <c r="BN88" i="28"/>
  <c r="EV16" i="33"/>
  <c r="EV17" i="33" s="1"/>
  <c r="W83" i="23"/>
  <c r="W129" i="23"/>
  <c r="FI16" i="33"/>
  <c r="FI17" i="33" s="1"/>
  <c r="AZ16" i="33"/>
  <c r="AZ17" i="33" s="1"/>
  <c r="BN128" i="28"/>
  <c r="BG16" i="33"/>
  <c r="BG17" i="33" s="1"/>
  <c r="BN84" i="28"/>
  <c r="W178" i="23"/>
  <c r="BN104" i="28"/>
  <c r="CV16" i="33"/>
  <c r="CV17" i="33" s="1"/>
  <c r="AF16" i="33"/>
  <c r="AF17" i="33" s="1"/>
  <c r="FH16" i="33"/>
  <c r="FH17" i="33" s="1"/>
  <c r="W77" i="23"/>
  <c r="W174" i="23"/>
  <c r="W13" i="23"/>
  <c r="DE16" i="33"/>
  <c r="DE17" i="33" s="1"/>
  <c r="I4" i="33"/>
  <c r="W68" i="23"/>
  <c r="BN13" i="28"/>
  <c r="W175" i="23"/>
  <c r="AH16" i="33"/>
  <c r="AH17" i="33" s="1"/>
  <c r="K16" i="33"/>
  <c r="K17" i="33" s="1"/>
  <c r="CW16" i="33"/>
  <c r="CW17" i="33" s="1"/>
  <c r="EG4" i="33"/>
  <c r="W67" i="23"/>
  <c r="W75" i="23"/>
  <c r="BN60" i="28"/>
  <c r="BN94" i="28"/>
  <c r="BN22" i="28"/>
  <c r="W11" i="23"/>
  <c r="W20" i="23"/>
  <c r="G16" i="33"/>
  <c r="G17" i="33" s="1"/>
  <c r="GY13" i="33" s="1"/>
  <c r="BN6" i="28"/>
  <c r="DT16" i="33"/>
  <c r="DT17" i="33" s="1"/>
  <c r="DU5" i="33" s="1"/>
  <c r="AE16" i="33"/>
  <c r="AE17" i="33" s="1"/>
  <c r="W151" i="23"/>
  <c r="FW16" i="33"/>
  <c r="FW17" i="33" s="1"/>
  <c r="BN21" i="28"/>
  <c r="CF16" i="33"/>
  <c r="CF17" i="33" s="1"/>
  <c r="BG4" i="33"/>
  <c r="DS16" i="33"/>
  <c r="DS17" i="33" s="1"/>
  <c r="AI16" i="33"/>
  <c r="AI17" i="33" s="1"/>
  <c r="W191" i="23"/>
  <c r="W72" i="23"/>
  <c r="BN138" i="28"/>
  <c r="W51" i="23"/>
  <c r="W44" i="23"/>
  <c r="BN150" i="28"/>
  <c r="BN169" i="28"/>
  <c r="BM16" i="33"/>
  <c r="BM17" i="33" s="1"/>
  <c r="W84" i="23"/>
  <c r="BZ16" i="33"/>
  <c r="BZ17" i="33" s="1"/>
  <c r="DO16" i="33"/>
  <c r="DO17" i="33" s="1"/>
  <c r="DM5" i="33" s="1"/>
  <c r="W95" i="23"/>
  <c r="W78" i="23"/>
  <c r="J16" i="33"/>
  <c r="J17" i="33" s="1"/>
  <c r="ED16" i="33"/>
  <c r="ED17" i="33" s="1"/>
  <c r="EF5" i="33" s="1"/>
  <c r="O16" i="33"/>
  <c r="O17" i="33" s="1"/>
  <c r="CI16" i="33"/>
  <c r="CI17" i="33" s="1"/>
  <c r="EP16" i="33"/>
  <c r="EP17" i="33" s="1"/>
  <c r="ER5" i="33" s="1"/>
  <c r="W177" i="23"/>
  <c r="W73" i="23"/>
  <c r="FT16" i="33"/>
  <c r="FT17" i="33" s="1"/>
  <c r="BN76" i="28"/>
  <c r="GF16" i="33"/>
  <c r="GF17" i="33" s="1"/>
  <c r="BN43" i="28"/>
  <c r="W214" i="23"/>
  <c r="ES4" i="33"/>
  <c r="BN50" i="28"/>
  <c r="DU4" i="33"/>
  <c r="W74" i="23"/>
  <c r="W124" i="23"/>
  <c r="BA16" i="33"/>
  <c r="BA17" i="33" s="1"/>
  <c r="BN137" i="28"/>
  <c r="FY16" i="33"/>
  <c r="FY17" i="33" s="1"/>
  <c r="BN23" i="28"/>
  <c r="W94" i="23"/>
  <c r="FA15" i="33"/>
  <c r="GO15" i="33" s="1"/>
  <c r="EY16" i="33"/>
  <c r="BN189" i="28"/>
  <c r="W172" i="23"/>
  <c r="W87" i="23"/>
  <c r="W128" i="23"/>
  <c r="BN74" i="28"/>
  <c r="W98" i="23"/>
  <c r="BN16" i="28"/>
  <c r="W85" i="23"/>
  <c r="DM4" i="33"/>
  <c r="BN108" i="28"/>
  <c r="BN56" i="28"/>
  <c r="BN86" i="28"/>
  <c r="W52" i="23"/>
  <c r="BN51" i="28"/>
  <c r="W82" i="23"/>
  <c r="CY16" i="33"/>
  <c r="CY17" i="33" s="1"/>
  <c r="W211" i="23"/>
  <c r="ER4" i="33"/>
  <c r="BN171" i="28"/>
  <c r="BH16" i="33"/>
  <c r="BH17" i="33" s="1"/>
  <c r="U4" i="33"/>
  <c r="W32" i="23"/>
  <c r="BN24" i="28"/>
  <c r="W61" i="23"/>
  <c r="W171" i="23"/>
  <c r="BN154" i="28"/>
  <c r="BF16" i="33"/>
  <c r="BF17" i="33" s="1"/>
  <c r="BN73" i="28"/>
  <c r="BN14" i="28"/>
  <c r="BN140" i="28"/>
  <c r="CJ4" i="33"/>
  <c r="W46" i="23"/>
  <c r="BN167" i="28"/>
  <c r="BI16" i="33"/>
  <c r="BI17" i="33" s="1"/>
  <c r="BN12" i="28"/>
  <c r="W60" i="23"/>
  <c r="W133" i="23"/>
  <c r="BN162" i="28"/>
  <c r="BN129" i="28"/>
  <c r="AU16" i="33"/>
  <c r="AU17" i="33" s="1"/>
  <c r="BN136" i="28"/>
  <c r="AS4" i="33"/>
  <c r="AN16" i="33"/>
  <c r="AN17" i="33" s="1"/>
  <c r="BN71" i="28"/>
  <c r="BN85" i="28"/>
  <c r="GL16" i="33"/>
  <c r="GL17" i="33" s="1"/>
  <c r="CX16" i="33"/>
  <c r="CX17" i="33" s="1"/>
  <c r="FQ16" i="33"/>
  <c r="FQ17" i="33" s="1"/>
  <c r="W208" i="23"/>
  <c r="W91" i="23"/>
  <c r="W104" i="23"/>
  <c r="BN97" i="28"/>
  <c r="P16" i="33"/>
  <c r="P17" i="33" s="1"/>
  <c r="AX16" i="33"/>
  <c r="AX17" i="33" s="1"/>
  <c r="EF4" i="33"/>
  <c r="W135" i="23"/>
  <c r="W170" i="23"/>
  <c r="W138" i="23"/>
  <c r="Y16" i="33"/>
  <c r="Y17" i="33" s="1"/>
  <c r="W14" i="23"/>
  <c r="AA16" i="33"/>
  <c r="AA17" i="33" s="1"/>
  <c r="W209" i="23"/>
  <c r="GK16" i="33"/>
  <c r="GK17" i="33" s="1"/>
  <c r="GU22" i="33" s="1"/>
  <c r="AH21" i="17" s="1"/>
  <c r="W155" i="23"/>
  <c r="W88" i="23"/>
  <c r="CW4" i="33"/>
  <c r="BN126" i="28"/>
  <c r="W97" i="23"/>
  <c r="BN32" i="28"/>
  <c r="CH16" i="33"/>
  <c r="CH17" i="33" s="1"/>
  <c r="GE16" i="33"/>
  <c r="GE17" i="33" s="1"/>
  <c r="BN130" i="28"/>
  <c r="BN107" i="28"/>
  <c r="W161" i="23"/>
  <c r="W76" i="23"/>
  <c r="BN41" i="28"/>
  <c r="AM16" i="33"/>
  <c r="AM17" i="33" s="1"/>
  <c r="FX16" i="33"/>
  <c r="FX17" i="33" s="1"/>
  <c r="GR30" i="33" s="1"/>
  <c r="BV16" i="33"/>
  <c r="BV17" i="33" s="1"/>
  <c r="AV16" i="33"/>
  <c r="AV17" i="33" s="1"/>
  <c r="W130" i="23"/>
  <c r="GG16" i="33"/>
  <c r="GG17" i="33" s="1"/>
  <c r="GU4" i="33" s="1"/>
  <c r="AL16" i="33"/>
  <c r="AL17" i="33" s="1"/>
  <c r="FA11" i="33"/>
  <c r="GO11" i="33" s="1"/>
  <c r="W99" i="23"/>
  <c r="W142" i="23"/>
  <c r="W152" i="23"/>
  <c r="I16" i="33"/>
  <c r="I17" i="33" s="1"/>
  <c r="GY10" i="33" s="1"/>
  <c r="W213" i="23"/>
  <c r="BN53" i="28"/>
  <c r="DF16" i="33"/>
  <c r="DF17" i="33" s="1"/>
  <c r="GY8" i="33" s="1"/>
  <c r="DB16" i="33"/>
  <c r="DB17" i="33" s="1"/>
  <c r="FA12" i="33"/>
  <c r="AP16" i="33"/>
  <c r="AP17" i="33" s="1"/>
  <c r="CA4" i="33"/>
  <c r="W179" i="23"/>
  <c r="BK16" i="33"/>
  <c r="BK17" i="33" s="1"/>
  <c r="W150" i="23"/>
  <c r="FD16" i="33"/>
  <c r="FD17" i="33" s="1"/>
  <c r="W158" i="23"/>
  <c r="W118" i="23"/>
  <c r="EV3" i="33"/>
  <c r="GL20" i="33" s="1"/>
  <c r="GU10" i="33" s="1"/>
  <c r="BN47" i="28"/>
  <c r="BN147" i="28"/>
  <c r="FZ16" i="33"/>
  <c r="FZ17" i="33" s="1"/>
  <c r="GR36" i="33" s="1"/>
  <c r="W90" i="23"/>
  <c r="W212" i="23"/>
  <c r="BN52" i="28"/>
  <c r="BN20" i="28"/>
  <c r="AJ16" i="33"/>
  <c r="AJ17" i="33" s="1"/>
  <c r="W154" i="23"/>
  <c r="ES16" i="33"/>
  <c r="ES17" i="33" s="1"/>
  <c r="CU16" i="33"/>
  <c r="CU17" i="33" s="1"/>
  <c r="W96" i="23"/>
  <c r="GJ16" i="33"/>
  <c r="GJ17" i="33" s="1"/>
  <c r="GU18" i="33" s="1"/>
  <c r="BN117" i="28"/>
  <c r="W167" i="23"/>
  <c r="BN191" i="28"/>
  <c r="V16" i="33"/>
  <c r="V17" i="33" s="1"/>
  <c r="W159" i="23"/>
  <c r="W41" i="23"/>
  <c r="AH42" i="17"/>
  <c r="FF3" i="33"/>
  <c r="GU13" i="33"/>
  <c r="PG4" i="34"/>
  <c r="BL196" i="28"/>
  <c r="JZ190" i="34"/>
  <c r="JZ38" i="34" s="1"/>
  <c r="MF4" i="34"/>
  <c r="HY4" i="34"/>
  <c r="PI4" i="34"/>
  <c r="PA190" i="34"/>
  <c r="PA38" i="34" s="1"/>
  <c r="LG190" i="34"/>
  <c r="LG38" i="34" s="1"/>
  <c r="JX4" i="34"/>
  <c r="DJ4" i="34"/>
  <c r="EF190" i="34"/>
  <c r="EF38" i="34" s="1"/>
  <c r="PE4" i="34"/>
  <c r="ID190" i="34"/>
  <c r="ID38" i="34" s="1"/>
  <c r="ON4" i="34"/>
  <c r="NI4" i="34"/>
  <c r="U205" i="23"/>
  <c r="OL190" i="34"/>
  <c r="OL38" i="34" s="1"/>
  <c r="MK190" i="34"/>
  <c r="MK38" i="34" s="1"/>
  <c r="LA190" i="34"/>
  <c r="LA38" i="34" s="1"/>
  <c r="E16" i="35"/>
  <c r="IE190" i="34"/>
  <c r="IE38" i="34" s="1"/>
  <c r="CO4" i="34"/>
  <c r="DF190" i="34"/>
  <c r="DF38" i="34" s="1"/>
  <c r="JC4" i="34"/>
  <c r="IV4" i="34"/>
  <c r="GM4" i="34"/>
  <c r="DB4" i="34"/>
  <c r="LZ190" i="34"/>
  <c r="LZ38" i="34" s="1"/>
  <c r="DZ4" i="34"/>
  <c r="K190" i="34"/>
  <c r="K38" i="34" s="1"/>
  <c r="CC2" i="33"/>
  <c r="N39" i="13"/>
  <c r="N38" i="13"/>
  <c r="KC190" i="34"/>
  <c r="KC38" i="34" s="1"/>
  <c r="BQ4" i="34"/>
  <c r="T3" i="17"/>
  <c r="FA190" i="34"/>
  <c r="FA38" i="34" s="1"/>
  <c r="BL163" i="28"/>
  <c r="F31" i="28"/>
  <c r="T103" i="28"/>
  <c r="F17" i="28" s="1"/>
  <c r="AA190" i="34"/>
  <c r="AA38" i="34" s="1"/>
  <c r="PW4" i="34"/>
  <c r="T56" i="17"/>
  <c r="T6" i="17" s="1"/>
  <c r="T4" i="34"/>
  <c r="KN4" i="34"/>
  <c r="NP190" i="34"/>
  <c r="NP38" i="34" s="1"/>
  <c r="E12" i="35"/>
  <c r="PD4" i="34"/>
  <c r="BL17" i="28"/>
  <c r="IS4" i="34"/>
  <c r="KC4" i="34"/>
  <c r="AM190" i="34"/>
  <c r="AM38" i="34" s="1"/>
  <c r="L35" i="3"/>
  <c r="K37" i="3"/>
  <c r="HC4" i="34"/>
  <c r="BG3" i="33"/>
  <c r="BI3" i="33" s="1"/>
  <c r="MA4" i="34"/>
  <c r="PF4" i="34"/>
  <c r="MI190" i="34"/>
  <c r="MI38" i="34" s="1"/>
  <c r="AR190" i="34"/>
  <c r="AR38" i="34" s="1"/>
  <c r="FR4" i="34"/>
  <c r="BT3" i="33"/>
  <c r="BV3" i="33" s="1"/>
  <c r="LH190" i="34"/>
  <c r="LH38" i="34" s="1"/>
  <c r="BO4" i="34"/>
  <c r="T55" i="17"/>
  <c r="KA190" i="34"/>
  <c r="KA38" i="34" s="1"/>
  <c r="AV190" i="34"/>
  <c r="AV38" i="34" s="1"/>
  <c r="R122" i="28"/>
  <c r="S120" i="28"/>
  <c r="IE4" i="34"/>
  <c r="S9" i="17"/>
  <c r="T9" i="17" s="1"/>
  <c r="BR4" i="34"/>
  <c r="EA4" i="34"/>
  <c r="AA4" i="34"/>
  <c r="MJ4" i="34"/>
  <c r="E15" i="35"/>
  <c r="DZ190" i="34"/>
  <c r="DZ38" i="34" s="1"/>
  <c r="OI4" i="34"/>
  <c r="AO4" i="34"/>
  <c r="EC190" i="34"/>
  <c r="EC38" i="34" s="1"/>
  <c r="MB4" i="34"/>
  <c r="BN190" i="34"/>
  <c r="BN38" i="34" s="1"/>
  <c r="K33" i="3"/>
  <c r="L32" i="3"/>
  <c r="KR190" i="34"/>
  <c r="KR38" i="34" s="1"/>
  <c r="FA13" i="33"/>
  <c r="GO13" i="33" s="1"/>
  <c r="T110" i="28"/>
  <c r="AW190" i="34"/>
  <c r="AW38" i="34" s="1"/>
  <c r="BR190" i="34"/>
  <c r="BR38" i="34" s="1"/>
  <c r="EW190" i="34"/>
  <c r="EW38" i="34" s="1"/>
  <c r="CD4" i="34"/>
  <c r="DJ190" i="34"/>
  <c r="DJ38" i="34" s="1"/>
  <c r="DI190" i="34"/>
  <c r="DI38" i="34" s="1"/>
  <c r="F51" i="1"/>
  <c r="N40" i="13" s="1"/>
  <c r="MC4" i="34"/>
  <c r="AB5" i="17"/>
  <c r="GU44" i="33"/>
  <c r="C82" i="3"/>
  <c r="C83" i="3" s="1"/>
  <c r="C84" i="3" s="1"/>
  <c r="B43" i="1" s="1"/>
  <c r="M80" i="3"/>
  <c r="C85" i="3"/>
  <c r="B44" i="1" s="1"/>
  <c r="T112" i="28"/>
  <c r="K27" i="3"/>
  <c r="L27" i="3" s="1"/>
  <c r="M27" i="3" s="1"/>
  <c r="LE4" i="34"/>
  <c r="JF4" i="34"/>
  <c r="M13" i="3"/>
  <c r="F33" i="1"/>
  <c r="EY4" i="34"/>
  <c r="T106" i="28"/>
  <c r="F32" i="28"/>
  <c r="KP4" i="34"/>
  <c r="MI4" i="34"/>
  <c r="MN4" i="34"/>
  <c r="KQ4" i="34"/>
  <c r="OK4" i="34"/>
  <c r="IY190" i="34"/>
  <c r="IY38" i="34" s="1"/>
  <c r="PW190" i="34"/>
  <c r="PW38" i="34" s="1"/>
  <c r="PZ190" i="34"/>
  <c r="PZ38" i="34" s="1"/>
  <c r="PB4" i="34"/>
  <c r="NH4" i="34"/>
  <c r="OH190" i="34"/>
  <c r="OH38" i="34" s="1"/>
  <c r="ID4" i="34"/>
  <c r="EJ4" i="34"/>
  <c r="W190" i="34"/>
  <c r="W38" i="34" s="1"/>
  <c r="HZ4" i="34"/>
  <c r="DC190" i="34"/>
  <c r="DC38" i="34" s="1"/>
  <c r="ME190" i="34"/>
  <c r="ME38" i="34" s="1"/>
  <c r="NI190" i="34"/>
  <c r="NI38" i="34" s="1"/>
  <c r="AU190" i="34"/>
  <c r="AU38" i="34" s="1"/>
  <c r="S116" i="28"/>
  <c r="N53" i="28" s="1"/>
  <c r="R117" i="28"/>
  <c r="MF190" i="34"/>
  <c r="MF38" i="34" s="1"/>
  <c r="AC4" i="34"/>
  <c r="EZ4" i="34"/>
  <c r="U4" i="34"/>
  <c r="HD190" i="34"/>
  <c r="HD38" i="34" s="1"/>
  <c r="W11" i="17"/>
  <c r="MM190" i="34"/>
  <c r="MM38" i="34" s="1"/>
  <c r="HV4" i="34"/>
  <c r="DD4" i="34"/>
  <c r="CF4" i="34"/>
  <c r="M14" i="3"/>
  <c r="F21" i="1" s="1"/>
  <c r="F34" i="1"/>
  <c r="CM190" i="34"/>
  <c r="CM38" i="34" s="1"/>
  <c r="BP4" i="34"/>
  <c r="FO190" i="34"/>
  <c r="FO38" i="34" s="1"/>
  <c r="J33" i="28"/>
  <c r="D7" i="28"/>
  <c r="T111" i="28"/>
  <c r="F21" i="28" s="1"/>
  <c r="NM190" i="34"/>
  <c r="NM38" i="34" s="1"/>
  <c r="DX4" i="34"/>
  <c r="FW190" i="34"/>
  <c r="FW38" i="34" s="1"/>
  <c r="AD4" i="34"/>
  <c r="CJ4" i="34"/>
  <c r="FT4" i="34"/>
  <c r="O47" i="2"/>
  <c r="O80" i="2" s="1"/>
  <c r="P47" i="2"/>
  <c r="P80" i="2" s="1"/>
  <c r="J47" i="2"/>
  <c r="J80" i="2" s="1"/>
  <c r="AA47" i="2"/>
  <c r="AA80" i="2" s="1"/>
  <c r="M47" i="2"/>
  <c r="M80" i="2" s="1"/>
  <c r="AC47" i="2"/>
  <c r="AC80" i="2" s="1"/>
  <c r="V47" i="2"/>
  <c r="V80" i="2" s="1"/>
  <c r="AB47" i="2"/>
  <c r="AB80" i="2" s="1"/>
  <c r="W47" i="2"/>
  <c r="W80" i="2" s="1"/>
  <c r="F47" i="2"/>
  <c r="F80" i="2" s="1"/>
  <c r="AD47" i="2"/>
  <c r="AD80" i="2" s="1"/>
  <c r="Z47" i="2"/>
  <c r="Z80" i="2" s="1"/>
  <c r="AH47" i="2"/>
  <c r="AH80" i="2" s="1"/>
  <c r="G47" i="2"/>
  <c r="G80" i="2" s="1"/>
  <c r="S47" i="2"/>
  <c r="S80" i="2" s="1"/>
  <c r="AI47" i="2"/>
  <c r="AI80" i="2" s="1"/>
  <c r="AG47" i="2"/>
  <c r="AG80" i="2" s="1"/>
  <c r="K47" i="2"/>
  <c r="K80" i="2" s="1"/>
  <c r="R47" i="2"/>
  <c r="R80" i="2" s="1"/>
  <c r="U47" i="2"/>
  <c r="U80" i="2" s="1"/>
  <c r="T47" i="2"/>
  <c r="T80" i="2" s="1"/>
  <c r="N47" i="2"/>
  <c r="N80" i="2" s="1"/>
  <c r="AE47" i="2"/>
  <c r="AE80" i="2" s="1"/>
  <c r="L47" i="2"/>
  <c r="L80" i="2" s="1"/>
  <c r="AF47" i="2"/>
  <c r="AF80" i="2" s="1"/>
  <c r="X47" i="2"/>
  <c r="X80" i="2" s="1"/>
  <c r="Q47" i="2"/>
  <c r="Q80" i="2" s="1"/>
  <c r="H47" i="2"/>
  <c r="H80" i="2" s="1"/>
  <c r="Y47" i="2"/>
  <c r="Y80" i="2" s="1"/>
  <c r="I47" i="2"/>
  <c r="I80" i="2" s="1"/>
  <c r="CG190" i="34"/>
  <c r="CG38" i="34" s="1"/>
  <c r="W36" i="17"/>
  <c r="EK4" i="34"/>
  <c r="W9" i="17"/>
  <c r="JU4" i="34"/>
  <c r="DH190" i="34"/>
  <c r="DH38" i="34" s="1"/>
  <c r="FQ190" i="34"/>
  <c r="FQ38" i="34" s="1"/>
  <c r="DG190" i="34"/>
  <c r="DG38" i="34" s="1"/>
  <c r="IU5" i="34"/>
  <c r="IU6" i="34"/>
  <c r="AS5" i="34"/>
  <c r="AS6" i="34"/>
  <c r="EI4" i="34"/>
  <c r="D9" i="28"/>
  <c r="JA4" i="34"/>
  <c r="NB4" i="34"/>
  <c r="W4" i="34"/>
  <c r="NE190" i="34"/>
  <c r="NE38" i="34" s="1"/>
  <c r="AS190" i="34"/>
  <c r="AS38" i="34" s="1"/>
  <c r="FW4" i="34"/>
  <c r="CW3" i="33"/>
  <c r="CY3" i="33" s="1"/>
  <c r="JG190" i="34"/>
  <c r="JG38" i="34" s="1"/>
  <c r="OJ190" i="34"/>
  <c r="OJ38" i="34" s="1"/>
  <c r="KM4" i="34"/>
  <c r="IW4" i="34"/>
  <c r="IY4" i="34"/>
  <c r="PY190" i="34"/>
  <c r="PY38" i="34" s="1"/>
  <c r="FE3" i="33"/>
  <c r="GR7" i="33"/>
  <c r="OM190" i="34"/>
  <c r="OM38" i="34" s="1"/>
  <c r="JD4" i="34"/>
  <c r="HX190" i="34"/>
  <c r="HX38" i="34" s="1"/>
  <c r="PC4" i="34"/>
  <c r="CM4" i="34"/>
  <c r="NC190" i="34"/>
  <c r="NC38" i="34" s="1"/>
  <c r="JF190" i="34"/>
  <c r="JF38" i="34" s="1"/>
  <c r="JA190" i="34"/>
  <c r="JA38" i="34" s="1"/>
  <c r="NH190" i="34"/>
  <c r="NH38" i="34" s="1"/>
  <c r="CL190" i="34"/>
  <c r="CL38" i="34" s="1"/>
  <c r="PK4" i="34"/>
  <c r="CI4" i="34"/>
  <c r="JV190" i="34"/>
  <c r="JV38" i="34" s="1"/>
  <c r="E13" i="35"/>
  <c r="U3" i="33"/>
  <c r="V3" i="33" s="1"/>
  <c r="HH4" i="34"/>
  <c r="JH4" i="34"/>
  <c r="AZ4" i="34"/>
  <c r="FQ4" i="34"/>
  <c r="W5" i="17"/>
  <c r="IB4" i="34"/>
  <c r="T11" i="17"/>
  <c r="W4" i="17"/>
  <c r="AC11" i="17" s="1"/>
  <c r="FU4" i="34"/>
  <c r="EB190" i="34"/>
  <c r="EB38" i="34" s="1"/>
  <c r="BJ72" i="28"/>
  <c r="BK72" i="28" s="1"/>
  <c r="BL72" i="28" s="1"/>
  <c r="BJ67" i="28"/>
  <c r="BK67" i="28" s="1"/>
  <c r="BL67" i="28" s="1"/>
  <c r="BJ61" i="28"/>
  <c r="BK61" i="28" s="1"/>
  <c r="BL61" i="28" s="1"/>
  <c r="BJ55" i="28"/>
  <c r="BK55" i="28" s="1"/>
  <c r="BL55" i="28" s="1"/>
  <c r="T10" i="17"/>
  <c r="NJ4" i="34"/>
  <c r="DC6" i="34"/>
  <c r="DC5" i="34"/>
  <c r="GK6" i="34"/>
  <c r="LK4" i="34"/>
  <c r="BA4" i="34"/>
  <c r="AW4" i="34"/>
  <c r="LY190" i="34"/>
  <c r="LY38" i="34" s="1"/>
  <c r="CL3" i="33"/>
  <c r="ML4" i="34"/>
  <c r="PD190" i="34"/>
  <c r="PD38" i="34" s="1"/>
  <c r="MO190" i="34"/>
  <c r="MO38" i="34" s="1"/>
  <c r="FA4" i="34"/>
  <c r="NF4" i="34"/>
  <c r="OM4" i="34"/>
  <c r="HZ190" i="34"/>
  <c r="HZ38" i="34" s="1"/>
  <c r="OH4" i="34"/>
  <c r="HE4" i="34"/>
  <c r="GJ4" i="34"/>
  <c r="HW190" i="34"/>
  <c r="HW38" i="34" s="1"/>
  <c r="GN190" i="34"/>
  <c r="GN38" i="34" s="1"/>
  <c r="DW4" i="34"/>
  <c r="IZ4" i="34"/>
  <c r="NO4" i="34"/>
  <c r="BA190" i="34"/>
  <c r="BA38" i="34" s="1"/>
  <c r="OJ4" i="34"/>
  <c r="LG4" i="34"/>
  <c r="KN190" i="34"/>
  <c r="KN38" i="34" s="1"/>
  <c r="DI4" i="34"/>
  <c r="M128" i="28"/>
  <c r="L133" i="28"/>
  <c r="M132" i="28" s="1"/>
  <c r="CK190" i="34"/>
  <c r="CK38" i="34" s="1"/>
  <c r="IT190" i="34"/>
  <c r="IT38" i="34" s="1"/>
  <c r="F29" i="28"/>
  <c r="T100" i="28"/>
  <c r="F15" i="28" s="1"/>
  <c r="AN53" i="28"/>
  <c r="AO53" i="28"/>
  <c r="AI53" i="28"/>
  <c r="AJ53" i="28"/>
  <c r="AB53" i="28"/>
  <c r="R53" i="28"/>
  <c r="Y53" i="28"/>
  <c r="Q53" i="28"/>
  <c r="U53" i="28"/>
  <c r="X53" i="28"/>
  <c r="O53" i="28"/>
  <c r="AF53" i="28"/>
  <c r="P53" i="28"/>
  <c r="AE53" i="28"/>
  <c r="AC53" i="28"/>
  <c r="AL53" i="28"/>
  <c r="AK53" i="28"/>
  <c r="S53" i="28"/>
  <c r="AG53" i="28"/>
  <c r="AM53" i="28"/>
  <c r="W53" i="28"/>
  <c r="AH53" i="28"/>
  <c r="Z53" i="28"/>
  <c r="V53" i="28"/>
  <c r="V2" i="33"/>
  <c r="EE4" i="34"/>
  <c r="JE190" i="34"/>
  <c r="JE38" i="34" s="1"/>
  <c r="D11" i="35"/>
  <c r="E10" i="35"/>
  <c r="PK190" i="34"/>
  <c r="PK38" i="34" s="1"/>
  <c r="X190" i="34"/>
  <c r="X38" i="34" s="1"/>
  <c r="BN4" i="34"/>
  <c r="FB4" i="34"/>
  <c r="EN2" i="33"/>
  <c r="CJ190" i="34"/>
  <c r="CJ38" i="34" s="1"/>
  <c r="T105" i="28"/>
  <c r="F16" i="28" s="1"/>
  <c r="F30" i="28"/>
  <c r="AC190" i="34"/>
  <c r="AC38" i="34" s="1"/>
  <c r="E22" i="35"/>
  <c r="GK190" i="34"/>
  <c r="GK38" i="34" s="1"/>
  <c r="V4" i="34"/>
  <c r="PI190" i="34"/>
  <c r="PI38" i="34" s="1"/>
  <c r="BB4" i="34"/>
  <c r="EF4" i="34"/>
  <c r="EW4" i="34"/>
  <c r="GU33" i="33"/>
  <c r="AH36" i="17"/>
  <c r="PJ4" i="34"/>
  <c r="HD4" i="34"/>
  <c r="LD4" i="34"/>
  <c r="NL4" i="34"/>
  <c r="NJ190" i="34"/>
  <c r="NJ38" i="34" s="1"/>
  <c r="EH4" i="34"/>
  <c r="DW190" i="34"/>
  <c r="DW38" i="34" s="1"/>
  <c r="ME4" i="34"/>
  <c r="JY190" i="34"/>
  <c r="JY38" i="34" s="1"/>
  <c r="AV4" i="34"/>
  <c r="AN4" i="34"/>
  <c r="GM190" i="34"/>
  <c r="GM38" i="34" s="1"/>
  <c r="HW4" i="34"/>
  <c r="DH4" i="34"/>
  <c r="IT4" i="34"/>
  <c r="IA4" i="34"/>
  <c r="JH190" i="34"/>
  <c r="JH38" i="34" s="1"/>
  <c r="CH190" i="34"/>
  <c r="CH38" i="34" s="1"/>
  <c r="S8" i="17"/>
  <c r="T8" i="17" s="1"/>
  <c r="Y4" i="34"/>
  <c r="IS190" i="34"/>
  <c r="IS38" i="34" s="1"/>
  <c r="E18" i="35"/>
  <c r="LK190" i="34"/>
  <c r="LK38" i="34" s="1"/>
  <c r="LD190" i="34"/>
  <c r="LD38" i="34" s="1"/>
  <c r="T4" i="17"/>
  <c r="LY4" i="34"/>
  <c r="KA4" i="34"/>
  <c r="AB12" i="17"/>
  <c r="F108" i="28"/>
  <c r="F107" i="28" s="1"/>
  <c r="F110" i="28" s="1"/>
  <c r="B37" i="28" s="1"/>
  <c r="AM4" i="34"/>
  <c r="DA4" i="34"/>
  <c r="MM4" i="34"/>
  <c r="PX190" i="34"/>
  <c r="PX38" i="34" s="1"/>
  <c r="JY4" i="34"/>
  <c r="DV190" i="34"/>
  <c r="DV38" i="34" s="1"/>
  <c r="NA4" i="34"/>
  <c r="OO4" i="34"/>
  <c r="LC4" i="34"/>
  <c r="CN4" i="34"/>
  <c r="JW4" i="34"/>
  <c r="EM3" i="33"/>
  <c r="EN3" i="33" s="1"/>
  <c r="GL4" i="34"/>
  <c r="U54" i="23"/>
  <c r="GO4" i="34"/>
  <c r="MO4" i="34"/>
  <c r="EB4" i="34"/>
  <c r="FP4" i="34"/>
  <c r="GP4" i="34"/>
  <c r="ND190" i="34"/>
  <c r="ND38" i="34" s="1"/>
  <c r="U139" i="23"/>
  <c r="E24" i="35"/>
  <c r="LZ4" i="34"/>
  <c r="EA190" i="34"/>
  <c r="EA38" i="34" s="1"/>
  <c r="BQ190" i="34"/>
  <c r="BQ38" i="34" s="1"/>
  <c r="AN190" i="34"/>
  <c r="AN38" i="34" s="1"/>
  <c r="M19" i="3"/>
  <c r="F35" i="1"/>
  <c r="AB4" i="34"/>
  <c r="HE190" i="34"/>
  <c r="HE38" i="34" s="1"/>
  <c r="E23" i="35"/>
  <c r="E21" i="35"/>
  <c r="HU4" i="34"/>
  <c r="IU190" i="34"/>
  <c r="IU38" i="34" s="1"/>
  <c r="L12" i="3"/>
  <c r="K30" i="3"/>
  <c r="K38" i="3" s="1"/>
  <c r="W12" i="17"/>
  <c r="F118" i="28"/>
  <c r="LI4" i="34"/>
  <c r="E38" i="35"/>
  <c r="E34" i="35"/>
  <c r="E40" i="35"/>
  <c r="E31" i="35"/>
  <c r="E45" i="35"/>
  <c r="E44" i="35"/>
  <c r="E46" i="35"/>
  <c r="E39" i="35"/>
  <c r="E42" i="35"/>
  <c r="E41" i="35"/>
  <c r="E32" i="35"/>
  <c r="F4" i="35"/>
  <c r="F23" i="35" s="1"/>
  <c r="E17" i="35"/>
  <c r="E43" i="35"/>
  <c r="E30" i="35"/>
  <c r="E33" i="35"/>
  <c r="E37" i="35"/>
  <c r="JB4" i="34"/>
  <c r="N22" i="13"/>
  <c r="F76" i="28"/>
  <c r="CK4" i="34"/>
  <c r="BI2" i="33"/>
  <c r="AQ4" i="34"/>
  <c r="EE190" i="34"/>
  <c r="EE38" i="34" s="1"/>
  <c r="JT4" i="34"/>
  <c r="AH37" i="17"/>
  <c r="GU7" i="33"/>
  <c r="LJ4" i="34"/>
  <c r="PC190" i="34"/>
  <c r="PC38" i="34" s="1"/>
  <c r="NE4" i="34"/>
  <c r="OL4" i="34"/>
  <c r="MK4" i="34"/>
  <c r="PE190" i="34"/>
  <c r="PE38" i="34" s="1"/>
  <c r="NP4" i="34"/>
  <c r="ED4" i="34"/>
  <c r="LX4" i="34"/>
  <c r="KL4" i="34"/>
  <c r="GR3" i="33"/>
  <c r="J4" i="34"/>
  <c r="U105" i="23"/>
  <c r="DG4" i="34"/>
  <c r="DD190" i="34"/>
  <c r="DD38" i="34" s="1"/>
  <c r="PJ190" i="34"/>
  <c r="PJ38" i="34" s="1"/>
  <c r="PX4" i="34"/>
  <c r="W37" i="17"/>
  <c r="AR4" i="34"/>
  <c r="LB190" i="34"/>
  <c r="LB38" i="34" s="1"/>
  <c r="CN190" i="34"/>
  <c r="CN38" i="34" s="1"/>
  <c r="DY4" i="34"/>
  <c r="AT4" i="34"/>
  <c r="FN4" i="34"/>
  <c r="GR44" i="33"/>
  <c r="IC4" i="34"/>
  <c r="HG190" i="34"/>
  <c r="HG38" i="34" s="1"/>
  <c r="AU4" i="34"/>
  <c r="DE4" i="34"/>
  <c r="V8" i="17"/>
  <c r="W8" i="17" s="1"/>
  <c r="T13" i="17"/>
  <c r="GJ190" i="34"/>
  <c r="GJ38" i="34" s="1"/>
  <c r="E20" i="35"/>
  <c r="BL142" i="28"/>
  <c r="AO190" i="34"/>
  <c r="AO38" i="34" s="1"/>
  <c r="T104" i="28"/>
  <c r="E26" i="35"/>
  <c r="IQ4" i="34"/>
  <c r="LF4" i="34"/>
  <c r="EG6" i="34"/>
  <c r="EG5" i="34"/>
  <c r="E12" i="13"/>
  <c r="G10" i="13" s="1"/>
  <c r="E16" i="13"/>
  <c r="AC7" i="17"/>
  <c r="U216" i="23"/>
  <c r="HT4" i="34"/>
  <c r="E18" i="13"/>
  <c r="Q5" i="13"/>
  <c r="DF4" i="34"/>
  <c r="BL105" i="28"/>
  <c r="BL54" i="28"/>
  <c r="PZ4" i="34"/>
  <c r="AS3" i="33"/>
  <c r="GU3" i="33"/>
  <c r="AH38" i="17"/>
  <c r="PA4" i="34"/>
  <c r="LA4" i="34"/>
  <c r="PY4" i="34"/>
  <c r="KM190" i="34"/>
  <c r="KM38" i="34" s="1"/>
  <c r="ND4" i="34"/>
  <c r="KP190" i="34"/>
  <c r="KP38" i="34" s="1"/>
  <c r="CR3" i="33"/>
  <c r="JE4" i="34"/>
  <c r="CG4" i="34"/>
  <c r="KB4" i="34"/>
  <c r="NN4" i="34"/>
  <c r="PH4" i="34"/>
  <c r="MH4" i="34"/>
  <c r="JT190" i="34"/>
  <c r="JT38" i="34" s="1"/>
  <c r="EY190" i="34"/>
  <c r="EY38" i="34" s="1"/>
  <c r="FV4" i="34"/>
  <c r="AR3" i="33"/>
  <c r="NB190" i="34"/>
  <c r="NB38" i="34" s="1"/>
  <c r="CL4" i="34"/>
  <c r="FS190" i="34"/>
  <c r="FS38" i="34" s="1"/>
  <c r="W6" i="17"/>
  <c r="K4" i="34"/>
  <c r="U17" i="23"/>
  <c r="EC4" i="34"/>
  <c r="HX4" i="34"/>
  <c r="FO4" i="34"/>
  <c r="X4" i="34"/>
  <c r="U80" i="23"/>
  <c r="BL185" i="28"/>
  <c r="E25" i="35"/>
  <c r="CI190" i="34"/>
  <c r="CI38" i="34" s="1"/>
  <c r="GN4" i="34"/>
  <c r="CF190" i="34"/>
  <c r="CF38" i="34" s="1"/>
  <c r="JV4" i="34"/>
  <c r="KR4" i="34"/>
  <c r="AP4" i="34"/>
  <c r="T12" i="17"/>
  <c r="AD190" i="34"/>
  <c r="AD38" i="34" s="1"/>
  <c r="DA190" i="34"/>
  <c r="DA38" i="34" s="1"/>
  <c r="U163" i="23"/>
  <c r="M15" i="3"/>
  <c r="F36" i="1"/>
  <c r="M10" i="17"/>
  <c r="N4" i="17"/>
  <c r="N11" i="17" s="1"/>
  <c r="M91" i="28"/>
  <c r="M92" i="28" s="1"/>
  <c r="D8" i="28" s="1"/>
  <c r="LW4" i="34"/>
  <c r="GQ4" i="34"/>
  <c r="HG4" i="34"/>
  <c r="AX4" i="34"/>
  <c r="LB4" i="34"/>
  <c r="GR21" i="33"/>
  <c r="CH4" i="34"/>
  <c r="JG4" i="34"/>
  <c r="OO190" i="34"/>
  <c r="OO38" i="34" s="1"/>
  <c r="LJ190" i="34"/>
  <c r="LJ38" i="34" s="1"/>
  <c r="HF4" i="34"/>
  <c r="KO4" i="34"/>
  <c r="MG4" i="34"/>
  <c r="LH4" i="34"/>
  <c r="NG4" i="34"/>
  <c r="NC4" i="34"/>
  <c r="PF190" i="34"/>
  <c r="PF38" i="34" s="1"/>
  <c r="U182" i="23"/>
  <c r="FS4" i="34"/>
  <c r="CE4" i="34"/>
  <c r="EX4" i="34"/>
  <c r="Z4" i="34"/>
  <c r="DV4" i="34"/>
  <c r="GP190" i="34"/>
  <c r="GP38" i="34" s="1"/>
  <c r="GQ190" i="34"/>
  <c r="GQ38" i="34" s="1"/>
  <c r="IR4" i="34"/>
  <c r="EJ190" i="34"/>
  <c r="EJ38" i="34" s="1"/>
  <c r="EG190" i="34"/>
  <c r="EG38" i="34" s="1"/>
  <c r="T108" i="28"/>
  <c r="HC190" i="34"/>
  <c r="HC38" i="34" s="1"/>
  <c r="OK190" i="34"/>
  <c r="OK38" i="34" s="1"/>
  <c r="E19" i="35"/>
  <c r="AY4" i="34"/>
  <c r="BB190" i="34"/>
  <c r="BB38" i="34" s="1"/>
  <c r="T121" i="28"/>
  <c r="W3" i="17"/>
  <c r="E14" i="35"/>
  <c r="DB190" i="34"/>
  <c r="DB38" i="34" s="1"/>
  <c r="BM18" i="28"/>
  <c r="BM186" i="28"/>
  <c r="BM72" i="28"/>
  <c r="V18" i="23"/>
  <c r="V141" i="23"/>
  <c r="BM67" i="28"/>
  <c r="BM106" i="28"/>
  <c r="BM81" i="28"/>
  <c r="BM61" i="28"/>
  <c r="V206" i="23"/>
  <c r="V81" i="23"/>
  <c r="V3" i="23"/>
  <c r="V55" i="23"/>
  <c r="V164" i="23"/>
  <c r="BM145" i="28"/>
  <c r="P99" i="28"/>
  <c r="V185" i="23"/>
  <c r="BM3" i="28"/>
  <c r="V106" i="23"/>
  <c r="BM166" i="28"/>
  <c r="AA53" i="28" l="1"/>
  <c r="CY4" i="33"/>
  <c r="AP53" i="28"/>
  <c r="AQ53" i="28"/>
  <c r="FG3" i="33"/>
  <c r="T53" i="28"/>
  <c r="MD6" i="34"/>
  <c r="EB4" i="33"/>
  <c r="F25" i="35"/>
  <c r="F26" i="35"/>
  <c r="F14" i="35"/>
  <c r="F19" i="35"/>
  <c r="NM5" i="34"/>
  <c r="AC4" i="17"/>
  <c r="AC6" i="17"/>
  <c r="NK6" i="34"/>
  <c r="AC12" i="17"/>
  <c r="CL4" i="33"/>
  <c r="AC8" i="17"/>
  <c r="JZ6" i="34"/>
  <c r="F20" i="35"/>
  <c r="CR4" i="33"/>
  <c r="AC10" i="17"/>
  <c r="M134" i="28"/>
  <c r="EM5" i="33"/>
  <c r="EN5" i="33" s="1"/>
  <c r="FX6" i="34"/>
  <c r="CC4" i="33"/>
  <c r="BI4" i="33"/>
  <c r="GU45" i="33"/>
  <c r="EH5" i="33"/>
  <c r="T5" i="17"/>
  <c r="F24" i="35"/>
  <c r="F21" i="35"/>
  <c r="ET4" i="33"/>
  <c r="CJ5" i="33"/>
  <c r="H6" i="17" s="1"/>
  <c r="BT5" i="33"/>
  <c r="DT5" i="33"/>
  <c r="AT3" i="33"/>
  <c r="GR8" i="33"/>
  <c r="I5" i="33"/>
  <c r="CB5" i="33"/>
  <c r="J4" i="33"/>
  <c r="AG4" i="33"/>
  <c r="U5" i="33"/>
  <c r="AR5" i="33"/>
  <c r="BN166" i="28"/>
  <c r="BN185" i="28" s="1"/>
  <c r="BM185" i="28"/>
  <c r="W106" i="23"/>
  <c r="W139" i="23" s="1"/>
  <c r="V139" i="23"/>
  <c r="J8" i="2" s="1"/>
  <c r="T8" i="2" s="1"/>
  <c r="BN3" i="28"/>
  <c r="BN17" i="28" s="1"/>
  <c r="BM17" i="28"/>
  <c r="V205" i="23"/>
  <c r="J11" i="2" s="1"/>
  <c r="T11" i="2" s="1"/>
  <c r="W185" i="23"/>
  <c r="W205" i="23" s="1"/>
  <c r="Q99" i="28"/>
  <c r="R99" i="28" s="1"/>
  <c r="BM163" i="28"/>
  <c r="BN145" i="28"/>
  <c r="BN163" i="28" s="1"/>
  <c r="W164" i="23"/>
  <c r="W182" i="23" s="1"/>
  <c r="V182" i="23"/>
  <c r="J10" i="2" s="1"/>
  <c r="T10" i="2" s="1"/>
  <c r="V80" i="23"/>
  <c r="J6" i="2" s="1"/>
  <c r="T6" i="2" s="1"/>
  <c r="W55" i="23"/>
  <c r="W80" i="23" s="1"/>
  <c r="W3" i="23"/>
  <c r="W17" i="23" s="1"/>
  <c r="V17" i="23"/>
  <c r="J3" i="2" s="1"/>
  <c r="T3" i="2" s="1"/>
  <c r="V105" i="23"/>
  <c r="J7" i="2" s="1"/>
  <c r="T7" i="2" s="1"/>
  <c r="W81" i="23"/>
  <c r="W105" i="23" s="1"/>
  <c r="W206" i="23"/>
  <c r="W216" i="23" s="1"/>
  <c r="V216" i="23"/>
  <c r="BN61" i="28"/>
  <c r="BM105" i="28"/>
  <c r="BN81" i="28"/>
  <c r="BN105" i="28" s="1"/>
  <c r="BN106" i="28"/>
  <c r="BN142" i="28" s="1"/>
  <c r="BM142" i="28"/>
  <c r="BN67" i="28"/>
  <c r="V163" i="23"/>
  <c r="J9" i="2" s="1"/>
  <c r="T9" i="2" s="1"/>
  <c r="W141" i="23"/>
  <c r="W163" i="23" s="1"/>
  <c r="W18" i="23"/>
  <c r="W54" i="23" s="1"/>
  <c r="V54" i="23"/>
  <c r="J5" i="2" s="1"/>
  <c r="T5" i="2" s="1"/>
  <c r="BN72" i="28"/>
  <c r="BM196" i="28"/>
  <c r="BN186" i="28"/>
  <c r="BN196" i="28" s="1"/>
  <c r="BN18" i="28"/>
  <c r="BN54" i="28" s="1"/>
  <c r="BM54" i="28"/>
  <c r="EX5" i="34"/>
  <c r="EX6" i="34"/>
  <c r="LF5" i="34"/>
  <c r="LF6" i="34"/>
  <c r="CJ6" i="34"/>
  <c r="CJ5" i="34"/>
  <c r="Z5" i="34"/>
  <c r="Z6" i="34"/>
  <c r="LW6" i="34"/>
  <c r="LW5" i="34"/>
  <c r="KO5" i="34"/>
  <c r="KO6" i="34"/>
  <c r="AR5" i="34"/>
  <c r="AR6" i="34"/>
  <c r="ED5" i="34"/>
  <c r="ED6" i="34"/>
  <c r="AQ5" i="34"/>
  <c r="AQ6" i="34"/>
  <c r="AM5" i="34"/>
  <c r="AM6" i="34"/>
  <c r="EF5" i="34"/>
  <c r="EF6" i="34"/>
  <c r="CI5" i="34"/>
  <c r="CI6" i="34"/>
  <c r="W5" i="34"/>
  <c r="W6" i="34"/>
  <c r="FT5" i="34"/>
  <c r="FT6" i="34"/>
  <c r="AC9" i="17"/>
  <c r="EY5" i="34"/>
  <c r="EY6" i="34"/>
  <c r="MC6" i="34"/>
  <c r="MC5" i="34"/>
  <c r="EA5" i="34"/>
  <c r="EA6" i="34"/>
  <c r="FR6" i="34"/>
  <c r="FR5" i="34"/>
  <c r="ES5" i="33"/>
  <c r="ET5" i="33" s="1"/>
  <c r="V4" i="33"/>
  <c r="GY7" i="33"/>
  <c r="CX5" i="33"/>
  <c r="OM6" i="34"/>
  <c r="OM5" i="34"/>
  <c r="BR6" i="34"/>
  <c r="BR5" i="34"/>
  <c r="CE5" i="34"/>
  <c r="CE6" i="34"/>
  <c r="AP5" i="34"/>
  <c r="AP6" i="34"/>
  <c r="X6" i="34"/>
  <c r="X5" i="34"/>
  <c r="FV5" i="34"/>
  <c r="FV6" i="34"/>
  <c r="DF6" i="34"/>
  <c r="DF5" i="34"/>
  <c r="IQ5" i="34"/>
  <c r="IQ6" i="34"/>
  <c r="DE5" i="34"/>
  <c r="DE6" i="34"/>
  <c r="PX5" i="34"/>
  <c r="PX6" i="34"/>
  <c r="CN5" i="34"/>
  <c r="CN6" i="34"/>
  <c r="FB5" i="34"/>
  <c r="FB6" i="34"/>
  <c r="OJ6" i="34"/>
  <c r="OJ5" i="34"/>
  <c r="NF5" i="34"/>
  <c r="NF6" i="34"/>
  <c r="IB6" i="34"/>
  <c r="IB5" i="34"/>
  <c r="JA6" i="34"/>
  <c r="JA5" i="34"/>
  <c r="B80" i="2"/>
  <c r="AK80" i="2"/>
  <c r="AD6" i="34"/>
  <c r="AD5" i="34"/>
  <c r="AD53" i="28"/>
  <c r="T116" i="28"/>
  <c r="T117" i="28" s="1"/>
  <c r="F19" i="28" s="1"/>
  <c r="S117" i="28"/>
  <c r="F33" i="28" s="1"/>
  <c r="F20" i="1"/>
  <c r="D4" i="13"/>
  <c r="D16" i="13" s="1"/>
  <c r="MB5" i="34"/>
  <c r="MB6" i="34"/>
  <c r="PD6" i="34"/>
  <c r="PD5" i="34"/>
  <c r="GM5" i="34"/>
  <c r="GM6" i="34"/>
  <c r="S15" i="17"/>
  <c r="T15" i="17" s="1"/>
  <c r="GU34" i="33"/>
  <c r="AH20" i="17" s="1"/>
  <c r="GY12" i="33"/>
  <c r="T5" i="33"/>
  <c r="BV4" i="33"/>
  <c r="NB5" i="34"/>
  <c r="NB6" i="34"/>
  <c r="FS5" i="34"/>
  <c r="FS6" i="34"/>
  <c r="KR6" i="34"/>
  <c r="KR5" i="34"/>
  <c r="FO6" i="34"/>
  <c r="FO5" i="34"/>
  <c r="PY6" i="34"/>
  <c r="PY5" i="34"/>
  <c r="AU5" i="34"/>
  <c r="AU6" i="34"/>
  <c r="MK6" i="34"/>
  <c r="MK5" i="34"/>
  <c r="F27" i="35"/>
  <c r="F17" i="35"/>
  <c r="F32" i="35"/>
  <c r="F43" i="35"/>
  <c r="F46" i="35"/>
  <c r="F30" i="35"/>
  <c r="F33" i="35"/>
  <c r="F37" i="35"/>
  <c r="F38" i="35"/>
  <c r="F40" i="35"/>
  <c r="F44" i="35"/>
  <c r="F31" i="35"/>
  <c r="F39" i="35"/>
  <c r="F34" i="35"/>
  <c r="F45" i="35"/>
  <c r="F41" i="35"/>
  <c r="F42" i="35"/>
  <c r="LI5" i="34"/>
  <c r="LI6" i="34"/>
  <c r="AB6" i="34"/>
  <c r="AB5" i="34"/>
  <c r="LC6" i="34"/>
  <c r="LC5" i="34"/>
  <c r="KA6" i="34"/>
  <c r="KA5" i="34"/>
  <c r="EH5" i="34"/>
  <c r="EH6" i="34"/>
  <c r="V5" i="34"/>
  <c r="V6" i="34"/>
  <c r="BN6" i="34"/>
  <c r="BN5" i="34"/>
  <c r="FA5" i="34"/>
  <c r="FA6" i="34"/>
  <c r="IY6" i="34"/>
  <c r="IY5" i="34"/>
  <c r="EK5" i="34"/>
  <c r="EK6" i="34"/>
  <c r="CF5" i="34"/>
  <c r="CF6" i="34"/>
  <c r="JF6" i="34"/>
  <c r="JF5" i="34"/>
  <c r="IE6" i="34"/>
  <c r="IE5" i="34"/>
  <c r="PF6" i="34"/>
  <c r="PF5" i="34"/>
  <c r="F12" i="35"/>
  <c r="IV6" i="34"/>
  <c r="IV5" i="34"/>
  <c r="HY5" i="34"/>
  <c r="HY6" i="34"/>
  <c r="GY17" i="33"/>
  <c r="AE5" i="33"/>
  <c r="HF5" i="34"/>
  <c r="HF6" i="34"/>
  <c r="NP5" i="34"/>
  <c r="NP6" i="34"/>
  <c r="BB6" i="34"/>
  <c r="BB5" i="34"/>
  <c r="PK6" i="34"/>
  <c r="PK5" i="34"/>
  <c r="JG6" i="34"/>
  <c r="JG5" i="34"/>
  <c r="JV6" i="34"/>
  <c r="JV5" i="34"/>
  <c r="HX6" i="34"/>
  <c r="HX5" i="34"/>
  <c r="LA6" i="34"/>
  <c r="LA5" i="34"/>
  <c r="OL6" i="34"/>
  <c r="OL5" i="34"/>
  <c r="GP5" i="34"/>
  <c r="GP6" i="34"/>
  <c r="OO6" i="34"/>
  <c r="OO5" i="34"/>
  <c r="LY6" i="34"/>
  <c r="LY5" i="34"/>
  <c r="NO5" i="34"/>
  <c r="NO6" i="34"/>
  <c r="NJ5" i="34"/>
  <c r="NJ6" i="34"/>
  <c r="FQ6" i="34"/>
  <c r="FQ5" i="34"/>
  <c r="IW6" i="34"/>
  <c r="IW5" i="34"/>
  <c r="DX6" i="34"/>
  <c r="DX5" i="34"/>
  <c r="DD6" i="34"/>
  <c r="DD5" i="34"/>
  <c r="LE6" i="34"/>
  <c r="LE5" i="34"/>
  <c r="CD6" i="34"/>
  <c r="CD5" i="34"/>
  <c r="F34" i="28"/>
  <c r="S122" i="28"/>
  <c r="T120" i="28"/>
  <c r="MA6" i="34"/>
  <c r="MA5" i="34"/>
  <c r="JC5" i="34"/>
  <c r="JC6" i="34"/>
  <c r="NI5" i="34"/>
  <c r="NI6" i="34"/>
  <c r="MF6" i="34"/>
  <c r="MF5" i="34"/>
  <c r="FA16" i="33"/>
  <c r="GO16" i="33" s="1"/>
  <c r="EY17" i="33"/>
  <c r="FA17" i="33" s="1"/>
  <c r="GO17" i="33" s="1"/>
  <c r="FF5" i="33" s="1"/>
  <c r="BH5" i="33"/>
  <c r="H5" i="33"/>
  <c r="JW5" i="34"/>
  <c r="JW6" i="34"/>
  <c r="LG6" i="34"/>
  <c r="LG5" i="34"/>
  <c r="JU6" i="34"/>
  <c r="JU5" i="34"/>
  <c r="MH6" i="34"/>
  <c r="MH5" i="34"/>
  <c r="HT5" i="34"/>
  <c r="HT6" i="34"/>
  <c r="IC6" i="34"/>
  <c r="IC5" i="34"/>
  <c r="DG5" i="34"/>
  <c r="DG6" i="34"/>
  <c r="NE5" i="34"/>
  <c r="NE6" i="34"/>
  <c r="Q3" i="13"/>
  <c r="F22" i="1"/>
  <c r="FP5" i="34"/>
  <c r="FP6" i="34"/>
  <c r="NA6" i="34"/>
  <c r="NA5" i="34"/>
  <c r="IA6" i="34"/>
  <c r="IA5" i="34"/>
  <c r="NL6" i="34"/>
  <c r="NL5" i="34"/>
  <c r="IZ6" i="34"/>
  <c r="IZ5" i="34"/>
  <c r="AZ5" i="34"/>
  <c r="AZ6" i="34"/>
  <c r="KM6" i="34"/>
  <c r="KM5" i="34"/>
  <c r="EI6" i="34"/>
  <c r="EI5" i="34"/>
  <c r="HV5" i="34"/>
  <c r="HV6" i="34"/>
  <c r="OK5" i="34"/>
  <c r="OK6" i="34"/>
  <c r="AO5" i="34"/>
  <c r="AO6" i="34"/>
  <c r="BQ6" i="34"/>
  <c r="BQ5" i="34"/>
  <c r="ON5" i="34"/>
  <c r="ON6" i="34"/>
  <c r="AF5" i="33"/>
  <c r="EN4" i="33"/>
  <c r="GR22" i="33"/>
  <c r="AH11" i="17"/>
  <c r="GR40" i="33"/>
  <c r="PB6" i="34"/>
  <c r="PB5" i="34"/>
  <c r="CH6" i="34"/>
  <c r="CH5" i="34"/>
  <c r="PA5" i="34"/>
  <c r="PA6" i="34"/>
  <c r="D5" i="13"/>
  <c r="D17" i="13" s="1"/>
  <c r="F23" i="1"/>
  <c r="GN5" i="34"/>
  <c r="GN6" i="34"/>
  <c r="PH6" i="34"/>
  <c r="PH5" i="34"/>
  <c r="U218" i="23"/>
  <c r="CK5" i="34"/>
  <c r="CK6" i="34"/>
  <c r="EB6" i="34"/>
  <c r="EB5" i="34"/>
  <c r="IT5" i="34"/>
  <c r="IT6" i="34"/>
  <c r="LD6" i="34"/>
  <c r="LD5" i="34"/>
  <c r="F10" i="35"/>
  <c r="DW5" i="34"/>
  <c r="DW6" i="34"/>
  <c r="ML5" i="34"/>
  <c r="ML6" i="34"/>
  <c r="BL80" i="28"/>
  <c r="JH5" i="34"/>
  <c r="JH6" i="34"/>
  <c r="KQ5" i="34"/>
  <c r="KQ6" i="34"/>
  <c r="OI5" i="34"/>
  <c r="OI6" i="34"/>
  <c r="HC6" i="34"/>
  <c r="HC5" i="34"/>
  <c r="KN5" i="34"/>
  <c r="KN6" i="34"/>
  <c r="CO6" i="34"/>
  <c r="CO5" i="34"/>
  <c r="AH15" i="17"/>
  <c r="GU8" i="33"/>
  <c r="CQ5" i="33"/>
  <c r="CR5" i="33" s="1"/>
  <c r="GU14" i="33"/>
  <c r="GU52" i="33" s="1"/>
  <c r="AH17" i="17" s="1"/>
  <c r="DB6" i="34"/>
  <c r="DB5" i="34"/>
  <c r="IR6" i="34"/>
  <c r="IR5" i="34"/>
  <c r="V15" i="17"/>
  <c r="NN5" i="34"/>
  <c r="NN6" i="34"/>
  <c r="FN6" i="34"/>
  <c r="FN5" i="34"/>
  <c r="LJ5" i="34"/>
  <c r="LJ6" i="34"/>
  <c r="AF51" i="2"/>
  <c r="R51" i="2"/>
  <c r="H51" i="2"/>
  <c r="U51" i="2"/>
  <c r="F51" i="2"/>
  <c r="AB51" i="2"/>
  <c r="F32" i="1"/>
  <c r="AI51" i="2"/>
  <c r="P51" i="2"/>
  <c r="V51" i="2"/>
  <c r="X51" i="2"/>
  <c r="AH51" i="2"/>
  <c r="L51" i="2"/>
  <c r="K51" i="2"/>
  <c r="T51" i="2"/>
  <c r="M12" i="3"/>
  <c r="AA51" i="2"/>
  <c r="W51" i="2"/>
  <c r="AE51" i="2"/>
  <c r="J51" i="2"/>
  <c r="Q51" i="2"/>
  <c r="O51" i="2"/>
  <c r="G51" i="2"/>
  <c r="Z51" i="2"/>
  <c r="S51" i="2"/>
  <c r="N51" i="2"/>
  <c r="L30" i="3"/>
  <c r="AD51" i="2"/>
  <c r="AG51" i="2"/>
  <c r="M51" i="2"/>
  <c r="AC51" i="2"/>
  <c r="I51" i="2"/>
  <c r="Y51" i="2"/>
  <c r="MO5" i="34"/>
  <c r="MO6" i="34"/>
  <c r="JY6" i="34"/>
  <c r="JY5" i="34"/>
  <c r="DH5" i="34"/>
  <c r="DH6" i="34"/>
  <c r="HD6" i="34"/>
  <c r="HD5" i="34"/>
  <c r="F22" i="35"/>
  <c r="HH5" i="34"/>
  <c r="HH6" i="34"/>
  <c r="CM6" i="34"/>
  <c r="CM5" i="34"/>
  <c r="HZ5" i="34"/>
  <c r="HZ6" i="34"/>
  <c r="MN5" i="34"/>
  <c r="MN6" i="34"/>
  <c r="T5" i="34"/>
  <c r="T6" i="34"/>
  <c r="PE5" i="34"/>
  <c r="PE6" i="34"/>
  <c r="GO12" i="33"/>
  <c r="FF4" i="33" s="1"/>
  <c r="FG4" i="33" s="1"/>
  <c r="EY3" i="33"/>
  <c r="GR4" i="33"/>
  <c r="DV4" i="33"/>
  <c r="BU5" i="33"/>
  <c r="GY15" i="33"/>
  <c r="LB6" i="34"/>
  <c r="LB5" i="34"/>
  <c r="NG6" i="34"/>
  <c r="NG5" i="34"/>
  <c r="AX5" i="34"/>
  <c r="AX6" i="34"/>
  <c r="K6" i="34"/>
  <c r="K5" i="34"/>
  <c r="KB5" i="34"/>
  <c r="KB6" i="34"/>
  <c r="AT5" i="34"/>
  <c r="AT6" i="34"/>
  <c r="J6" i="34"/>
  <c r="J5" i="34"/>
  <c r="GO6" i="34"/>
  <c r="GO5" i="34"/>
  <c r="HW5" i="34"/>
  <c r="HW6" i="34"/>
  <c r="PJ6" i="34"/>
  <c r="PJ5" i="34"/>
  <c r="E11" i="35"/>
  <c r="F11" i="35"/>
  <c r="PC6" i="34"/>
  <c r="PC5" i="34"/>
  <c r="O46" i="28"/>
  <c r="O80" i="28" s="1"/>
  <c r="AE46" i="28"/>
  <c r="AE80" i="28" s="1"/>
  <c r="Q46" i="28"/>
  <c r="Q80" i="28" s="1"/>
  <c r="V46" i="28"/>
  <c r="V80" i="28" s="1"/>
  <c r="S46" i="28"/>
  <c r="S80" i="28" s="1"/>
  <c r="AP46" i="28"/>
  <c r="AP80" i="28" s="1"/>
  <c r="P46" i="28"/>
  <c r="P80" i="28" s="1"/>
  <c r="N46" i="28"/>
  <c r="N80" i="28" s="1"/>
  <c r="AL46" i="28"/>
  <c r="AL80" i="28" s="1"/>
  <c r="AB46" i="28"/>
  <c r="AB80" i="28" s="1"/>
  <c r="W46" i="28"/>
  <c r="W80" i="28" s="1"/>
  <c r="Z46" i="28"/>
  <c r="Z80" i="28" s="1"/>
  <c r="AN46" i="28"/>
  <c r="AN80" i="28" s="1"/>
  <c r="AH46" i="28"/>
  <c r="AH80" i="28" s="1"/>
  <c r="AI46" i="28"/>
  <c r="AI80" i="28" s="1"/>
  <c r="AO46" i="28"/>
  <c r="AO80" i="28" s="1"/>
  <c r="AD46" i="28"/>
  <c r="AD80" i="28" s="1"/>
  <c r="Y46" i="28"/>
  <c r="Y80" i="28" s="1"/>
  <c r="R46" i="28"/>
  <c r="R80" i="28" s="1"/>
  <c r="AM46" i="28"/>
  <c r="AM80" i="28" s="1"/>
  <c r="X46" i="28"/>
  <c r="X80" i="28" s="1"/>
  <c r="AA46" i="28"/>
  <c r="AA80" i="28" s="1"/>
  <c r="AC46" i="28"/>
  <c r="AC80" i="28" s="1"/>
  <c r="AQ46" i="28"/>
  <c r="AQ80" i="28" s="1"/>
  <c r="AF46" i="28"/>
  <c r="AF80" i="28" s="1"/>
  <c r="T46" i="28"/>
  <c r="T80" i="28" s="1"/>
  <c r="AG46" i="28"/>
  <c r="AG80" i="28" s="1"/>
  <c r="U46" i="28"/>
  <c r="U80" i="28" s="1"/>
  <c r="AK46" i="28"/>
  <c r="AK80" i="28" s="1"/>
  <c r="AJ46" i="28"/>
  <c r="AJ80" i="28" s="1"/>
  <c r="MI6" i="34"/>
  <c r="MI5" i="34"/>
  <c r="F15" i="35"/>
  <c r="L37" i="3"/>
  <c r="M35" i="3"/>
  <c r="M37" i="3" s="1"/>
  <c r="F25" i="1" s="1"/>
  <c r="N37" i="13" s="1"/>
  <c r="F16" i="35"/>
  <c r="AS5" i="33"/>
  <c r="AT5" i="33" s="1"/>
  <c r="DL5" i="33"/>
  <c r="DN5" i="33" s="1"/>
  <c r="GY9" i="33"/>
  <c r="CA5" i="33"/>
  <c r="CF4" i="33"/>
  <c r="T4" i="2"/>
  <c r="ND6" i="34"/>
  <c r="ND5" i="34"/>
  <c r="Y6" i="34"/>
  <c r="Y5" i="34"/>
  <c r="EC5" i="34"/>
  <c r="EC6" i="34"/>
  <c r="NC5" i="34"/>
  <c r="NC6" i="34"/>
  <c r="LH6" i="34"/>
  <c r="LH5" i="34"/>
  <c r="HG6" i="34"/>
  <c r="HG5" i="34"/>
  <c r="CG5" i="34"/>
  <c r="CG6" i="34"/>
  <c r="PZ5" i="34"/>
  <c r="PZ6" i="34"/>
  <c r="E24" i="13"/>
  <c r="DY6" i="34"/>
  <c r="DY5" i="34"/>
  <c r="GR45" i="33"/>
  <c r="AH33" i="17"/>
  <c r="AH34" i="17" s="1"/>
  <c r="AI37" i="17" s="1"/>
  <c r="JB6" i="34"/>
  <c r="JB5" i="34"/>
  <c r="HU5" i="34"/>
  <c r="HU6" i="34"/>
  <c r="LZ5" i="34"/>
  <c r="LZ6" i="34"/>
  <c r="AA58" i="17"/>
  <c r="F18" i="35"/>
  <c r="AH43" i="17"/>
  <c r="GJ6" i="34"/>
  <c r="GJ5" i="34"/>
  <c r="AW5" i="34"/>
  <c r="AW6" i="34"/>
  <c r="F13" i="35"/>
  <c r="FW6" i="34"/>
  <c r="FW5" i="34"/>
  <c r="U5" i="34"/>
  <c r="U6" i="34"/>
  <c r="EJ5" i="34"/>
  <c r="EJ6" i="34"/>
  <c r="KP5" i="34"/>
  <c r="KP6" i="34"/>
  <c r="BO5" i="34"/>
  <c r="BO6" i="34"/>
  <c r="PW5" i="34"/>
  <c r="PW6" i="34"/>
  <c r="DJ6" i="34"/>
  <c r="DJ5" i="34"/>
  <c r="EH4" i="33"/>
  <c r="AT4" i="33"/>
  <c r="DZ5" i="33"/>
  <c r="EB5" i="33" s="1"/>
  <c r="U4" i="2"/>
  <c r="B19" i="1"/>
  <c r="N12" i="17"/>
  <c r="B48" i="1" s="1"/>
  <c r="B49" i="1" s="1"/>
  <c r="B47" i="1"/>
  <c r="DV6" i="34"/>
  <c r="DV5" i="34"/>
  <c r="GQ5" i="34"/>
  <c r="GQ6" i="34"/>
  <c r="JE5" i="34"/>
  <c r="JE6" i="34"/>
  <c r="G22" i="13"/>
  <c r="G24" i="13" s="1"/>
  <c r="G12" i="13"/>
  <c r="F10" i="13"/>
  <c r="KL5" i="34"/>
  <c r="KL6" i="34"/>
  <c r="JT5" i="34"/>
  <c r="JT6" i="34"/>
  <c r="MM6" i="34"/>
  <c r="MM5" i="34"/>
  <c r="AN5" i="34"/>
  <c r="AN6" i="34"/>
  <c r="EE6" i="34"/>
  <c r="EE5" i="34"/>
  <c r="M135" i="28"/>
  <c r="HE6" i="34"/>
  <c r="HE5" i="34"/>
  <c r="BA6" i="34"/>
  <c r="BA5" i="34"/>
  <c r="JD6" i="34"/>
  <c r="JD5" i="34"/>
  <c r="BP5" i="34"/>
  <c r="BP6" i="34"/>
  <c r="EZ6" i="34"/>
  <c r="EZ5" i="34"/>
  <c r="ID6" i="34"/>
  <c r="ID5" i="34"/>
  <c r="MJ6" i="34"/>
  <c r="MJ5" i="34"/>
  <c r="KC6" i="34"/>
  <c r="KC5" i="34"/>
  <c r="JX6" i="34"/>
  <c r="JX5" i="34"/>
  <c r="PG6" i="34"/>
  <c r="PG5" i="34"/>
  <c r="DN4" i="33"/>
  <c r="GR18" i="33"/>
  <c r="AH6" i="17"/>
  <c r="DV5" i="33"/>
  <c r="ME6" i="34"/>
  <c r="ME5" i="34"/>
  <c r="PI6" i="34"/>
  <c r="PI5" i="34"/>
  <c r="BG5" i="33"/>
  <c r="GY14" i="33"/>
  <c r="AY6" i="34"/>
  <c r="AY5" i="34"/>
  <c r="MG5" i="34"/>
  <c r="MG6" i="34"/>
  <c r="CL6" i="34"/>
  <c r="CL5" i="34"/>
  <c r="LX5" i="34"/>
  <c r="LX6" i="34"/>
  <c r="GL5" i="34"/>
  <c r="GL6" i="34"/>
  <c r="DA5" i="34"/>
  <c r="DA6" i="34"/>
  <c r="AV6" i="34"/>
  <c r="AV5" i="34"/>
  <c r="EW5" i="34"/>
  <c r="EW6" i="34"/>
  <c r="DI6" i="34"/>
  <c r="DI5" i="34"/>
  <c r="OH6" i="34"/>
  <c r="OH5" i="34"/>
  <c r="LK5" i="34"/>
  <c r="LK6" i="34"/>
  <c r="FU5" i="34"/>
  <c r="FU6" i="34"/>
  <c r="AC5" i="34"/>
  <c r="AC6" i="34"/>
  <c r="F18" i="28"/>
  <c r="AC5" i="17"/>
  <c r="J53" i="2"/>
  <c r="G53" i="2"/>
  <c r="AC53" i="2"/>
  <c r="V53" i="2"/>
  <c r="N53" i="2"/>
  <c r="S53" i="2"/>
  <c r="AG53" i="2"/>
  <c r="X53" i="2"/>
  <c r="L53" i="2"/>
  <c r="AD53" i="2"/>
  <c r="M32" i="3"/>
  <c r="Y53" i="2"/>
  <c r="H53" i="2"/>
  <c r="AH53" i="2"/>
  <c r="AF53" i="2"/>
  <c r="F53" i="2"/>
  <c r="R53" i="2"/>
  <c r="Z53" i="2"/>
  <c r="K53" i="2"/>
  <c r="AI53" i="2"/>
  <c r="O53" i="2"/>
  <c r="T53" i="2"/>
  <c r="M53" i="2"/>
  <c r="AA53" i="2"/>
  <c r="AE53" i="2"/>
  <c r="AB53" i="2"/>
  <c r="F37" i="1"/>
  <c r="L33" i="3"/>
  <c r="W53" i="2"/>
  <c r="I53" i="2"/>
  <c r="P53" i="2"/>
  <c r="U53" i="2"/>
  <c r="Q53" i="2"/>
  <c r="AA5" i="34"/>
  <c r="AA6" i="34"/>
  <c r="IS6" i="34"/>
  <c r="IS5" i="34"/>
  <c r="DZ6" i="34"/>
  <c r="DZ5" i="34"/>
  <c r="CW5" i="33"/>
  <c r="D6" i="13"/>
  <c r="AH5" i="17"/>
  <c r="AI8" i="17" s="1"/>
  <c r="GR12" i="33"/>
  <c r="FE5" i="33"/>
  <c r="BM55" i="28"/>
  <c r="AC15" i="17" l="1"/>
  <c r="CC5" i="33"/>
  <c r="J5" i="33"/>
  <c r="BV5" i="33"/>
  <c r="V5" i="33"/>
  <c r="CY5" i="33"/>
  <c r="L38" i="3"/>
  <c r="H12" i="17"/>
  <c r="H8" i="17"/>
  <c r="H7" i="17"/>
  <c r="H9" i="17"/>
  <c r="H10" i="17" s="1"/>
  <c r="CL5" i="33"/>
  <c r="AI36" i="17"/>
  <c r="BI5" i="33"/>
  <c r="AI43" i="17"/>
  <c r="BM80" i="28"/>
  <c r="BM198" i="28" s="1"/>
  <c r="BN55" i="28"/>
  <c r="BN80" i="28" s="1"/>
  <c r="BN198" i="28" s="1"/>
  <c r="B22" i="28" s="1"/>
  <c r="B29" i="28" s="1"/>
  <c r="AI6" i="17"/>
  <c r="N47" i="28"/>
  <c r="N48" i="28" s="1"/>
  <c r="AO47" i="28"/>
  <c r="AO48" i="28" s="1"/>
  <c r="AH47" i="28"/>
  <c r="AH48" i="28" s="1"/>
  <c r="AP47" i="28"/>
  <c r="AP48" i="28" s="1"/>
  <c r="AE47" i="28"/>
  <c r="AE48" i="28" s="1"/>
  <c r="AI47" i="28"/>
  <c r="AI48" i="28" s="1"/>
  <c r="Z47" i="28"/>
  <c r="Z48" i="28" s="1"/>
  <c r="Q47" i="28"/>
  <c r="Q48" i="28" s="1"/>
  <c r="AM47" i="28"/>
  <c r="AM48" i="28" s="1"/>
  <c r="X47" i="28"/>
  <c r="X48" i="28" s="1"/>
  <c r="AA47" i="28"/>
  <c r="AA48" i="28" s="1"/>
  <c r="V47" i="28"/>
  <c r="V48" i="28" s="1"/>
  <c r="AN47" i="28"/>
  <c r="AN48" i="28" s="1"/>
  <c r="AK47" i="28"/>
  <c r="AK48" i="28" s="1"/>
  <c r="AL47" i="28"/>
  <c r="AL48" i="28" s="1"/>
  <c r="P47" i="28"/>
  <c r="P48" i="28" s="1"/>
  <c r="AC47" i="28"/>
  <c r="AC48" i="28" s="1"/>
  <c r="AG47" i="28"/>
  <c r="AG48" i="28" s="1"/>
  <c r="T47" i="28"/>
  <c r="T48" i="28" s="1"/>
  <c r="W47" i="28"/>
  <c r="W48" i="28" s="1"/>
  <c r="AD47" i="28"/>
  <c r="AD48" i="28" s="1"/>
  <c r="U47" i="28"/>
  <c r="U48" i="28" s="1"/>
  <c r="Y47" i="28"/>
  <c r="Y48" i="28" s="1"/>
  <c r="AJ47" i="28"/>
  <c r="AJ48" i="28" s="1"/>
  <c r="AF47" i="28"/>
  <c r="AF48" i="28" s="1"/>
  <c r="R47" i="28"/>
  <c r="R48" i="28" s="1"/>
  <c r="S47" i="28"/>
  <c r="S48" i="28" s="1"/>
  <c r="O47" i="28"/>
  <c r="O48" i="28" s="1"/>
  <c r="AB47" i="28"/>
  <c r="AB48" i="28" s="1"/>
  <c r="AQ47" i="28"/>
  <c r="AQ48" i="28" s="1"/>
  <c r="B16" i="28"/>
  <c r="Q7" i="28"/>
  <c r="K10" i="2"/>
  <c r="X182" i="23"/>
  <c r="AI33" i="17"/>
  <c r="AI34" i="17"/>
  <c r="AI41" i="17"/>
  <c r="AI39" i="17"/>
  <c r="AI31" i="17"/>
  <c r="AI32" i="17"/>
  <c r="AI40" i="17"/>
  <c r="AH16" i="17"/>
  <c r="AI16" i="17" s="1"/>
  <c r="GU38" i="33"/>
  <c r="GU46" i="33" s="1"/>
  <c r="B14" i="28"/>
  <c r="Q5" i="28"/>
  <c r="Q10" i="28"/>
  <c r="B19" i="28"/>
  <c r="W15" i="17"/>
  <c r="W1" i="17"/>
  <c r="B21" i="28"/>
  <c r="Q12" i="28"/>
  <c r="R113" i="28"/>
  <c r="R124" i="28" s="1"/>
  <c r="S99" i="28"/>
  <c r="D3" i="13"/>
  <c r="F19" i="1"/>
  <c r="D8" i="1" s="1"/>
  <c r="N3" i="13" s="1"/>
  <c r="M30" i="3"/>
  <c r="X216" i="23"/>
  <c r="K12" i="2"/>
  <c r="W218" i="23"/>
  <c r="W221" i="23"/>
  <c r="K11" i="2"/>
  <c r="X205" i="23"/>
  <c r="X105" i="23"/>
  <c r="K7" i="2"/>
  <c r="V218" i="23"/>
  <c r="J12" i="2"/>
  <c r="V221" i="23"/>
  <c r="V224" i="23"/>
  <c r="AI42" i="17"/>
  <c r="AI20" i="17"/>
  <c r="X54" i="23"/>
  <c r="K5" i="2"/>
  <c r="AI7" i="17"/>
  <c r="AI5" i="17"/>
  <c r="AI18" i="17"/>
  <c r="AI19" i="17"/>
  <c r="FG5" i="33"/>
  <c r="AG5" i="33"/>
  <c r="X163" i="23"/>
  <c r="K9" i="2"/>
  <c r="M33" i="3"/>
  <c r="D10" i="13"/>
  <c r="D22" i="13" s="1"/>
  <c r="F24" i="1"/>
  <c r="Q4" i="13"/>
  <c r="D18" i="13"/>
  <c r="AI17" i="17"/>
  <c r="K3" i="2"/>
  <c r="U3" i="2" s="1"/>
  <c r="X17" i="23"/>
  <c r="Q48" i="2"/>
  <c r="Q49" i="2" s="1"/>
  <c r="X48" i="2"/>
  <c r="X49" i="2" s="1"/>
  <c r="I48" i="2"/>
  <c r="I49" i="2" s="1"/>
  <c r="AH48" i="2"/>
  <c r="AH49" i="2" s="1"/>
  <c r="K48" i="2"/>
  <c r="K49" i="2" s="1"/>
  <c r="J48" i="2"/>
  <c r="J49" i="2" s="1"/>
  <c r="L48" i="2"/>
  <c r="L49" i="2" s="1"/>
  <c r="Y48" i="2"/>
  <c r="Y49" i="2" s="1"/>
  <c r="U48" i="2"/>
  <c r="U49" i="2" s="1"/>
  <c r="AE48" i="2"/>
  <c r="AE49" i="2" s="1"/>
  <c r="O48" i="2"/>
  <c r="O49" i="2" s="1"/>
  <c r="P48" i="2"/>
  <c r="P49" i="2" s="1"/>
  <c r="AI48" i="2"/>
  <c r="AI49" i="2" s="1"/>
  <c r="F48" i="2"/>
  <c r="F49" i="2" s="1"/>
  <c r="H48" i="2"/>
  <c r="H49" i="2" s="1"/>
  <c r="G48" i="2"/>
  <c r="G49" i="2" s="1"/>
  <c r="AG48" i="2"/>
  <c r="AG49" i="2" s="1"/>
  <c r="M48" i="2"/>
  <c r="M49" i="2" s="1"/>
  <c r="AF48" i="2"/>
  <c r="AF49" i="2" s="1"/>
  <c r="W48" i="2"/>
  <c r="W49" i="2" s="1"/>
  <c r="T48" i="2"/>
  <c r="T49" i="2" s="1"/>
  <c r="R48" i="2"/>
  <c r="R49" i="2" s="1"/>
  <c r="AB48" i="2"/>
  <c r="AB49" i="2" s="1"/>
  <c r="AC48" i="2"/>
  <c r="AC49" i="2" s="1"/>
  <c r="F38" i="1"/>
  <c r="V48" i="2"/>
  <c r="V49" i="2" s="1"/>
  <c r="Z48" i="2"/>
  <c r="Z49" i="2" s="1"/>
  <c r="AA48" i="2"/>
  <c r="AA49" i="2" s="1"/>
  <c r="S48" i="2"/>
  <c r="S49" i="2" s="1"/>
  <c r="AD48" i="2"/>
  <c r="AD49" i="2" s="1"/>
  <c r="N48" i="2"/>
  <c r="N49" i="2" s="1"/>
  <c r="AI38" i="17"/>
  <c r="X80" i="23"/>
  <c r="K6" i="2"/>
  <c r="X139" i="23"/>
  <c r="K8" i="2"/>
  <c r="F22" i="13"/>
  <c r="F24" i="13" s="1"/>
  <c r="F12" i="13"/>
  <c r="J80" i="28"/>
  <c r="GR51" i="33"/>
  <c r="AH9" i="17" s="1"/>
  <c r="AH13" i="17" s="1"/>
  <c r="GR46" i="33"/>
  <c r="AI15" i="17"/>
  <c r="AI11" i="17"/>
  <c r="F20" i="28"/>
  <c r="T122" i="28"/>
  <c r="B17" i="28"/>
  <c r="Q8" i="28"/>
  <c r="Q11" i="28"/>
  <c r="J10" i="28" s="1"/>
  <c r="B20" i="28"/>
  <c r="AI23" i="17" l="1"/>
  <c r="X218" i="23"/>
  <c r="B25" i="1"/>
  <c r="U10" i="2"/>
  <c r="B24" i="1"/>
  <c r="U9" i="2"/>
  <c r="S61" i="28"/>
  <c r="AD61" i="28"/>
  <c r="AE61" i="28"/>
  <c r="U61" i="28"/>
  <c r="P61" i="28"/>
  <c r="Y61" i="28"/>
  <c r="AF61" i="28"/>
  <c r="Z61" i="28"/>
  <c r="N61" i="28"/>
  <c r="N62" i="28" s="1"/>
  <c r="W61" i="28"/>
  <c r="AA61" i="28"/>
  <c r="AG61" i="28"/>
  <c r="X61" i="28"/>
  <c r="R61" i="28"/>
  <c r="AH61" i="28"/>
  <c r="V61" i="28"/>
  <c r="T61" i="28"/>
  <c r="Q61" i="28"/>
  <c r="O61" i="28"/>
  <c r="AB61" i="28"/>
  <c r="AC61" i="28"/>
  <c r="T12" i="2"/>
  <c r="J13" i="2"/>
  <c r="T13" i="2" s="1"/>
  <c r="D12" i="13"/>
  <c r="D15" i="13"/>
  <c r="I3" i="13"/>
  <c r="B23" i="1"/>
  <c r="U8" i="2"/>
  <c r="X50" i="28"/>
  <c r="AM50" i="28"/>
  <c r="AK50" i="28"/>
  <c r="W50" i="28"/>
  <c r="AH50" i="28"/>
  <c r="S113" i="28"/>
  <c r="S124" i="28" s="1"/>
  <c r="AC50" i="28"/>
  <c r="AQ50" i="28"/>
  <c r="AD50" i="28"/>
  <c r="AG50" i="28"/>
  <c r="T99" i="28"/>
  <c r="AJ50" i="28"/>
  <c r="U50" i="28"/>
  <c r="S50" i="28"/>
  <c r="AF50" i="28"/>
  <c r="Y50" i="28"/>
  <c r="AI50" i="28"/>
  <c r="N50" i="28"/>
  <c r="O50" i="28"/>
  <c r="AA50" i="28"/>
  <c r="AP50" i="28"/>
  <c r="AE50" i="28"/>
  <c r="T50" i="28"/>
  <c r="AL50" i="28"/>
  <c r="V50" i="28"/>
  <c r="AB50" i="28"/>
  <c r="F28" i="28"/>
  <c r="P50" i="28"/>
  <c r="AO50" i="28"/>
  <c r="AN50" i="28"/>
  <c r="R50" i="28"/>
  <c r="Z50" i="28"/>
  <c r="Q50" i="28"/>
  <c r="U7" i="2"/>
  <c r="B22" i="1"/>
  <c r="U6" i="2"/>
  <c r="B21" i="1"/>
  <c r="AI13" i="17"/>
  <c r="U5" i="2"/>
  <c r="M8" i="2"/>
  <c r="K36" i="2"/>
  <c r="M5" i="2"/>
  <c r="K13" i="2"/>
  <c r="U11" i="2"/>
  <c r="B6" i="2"/>
  <c r="B26" i="1"/>
  <c r="AH23" i="17"/>
  <c r="W223" i="23"/>
  <c r="M38" i="3"/>
  <c r="U12" i="2"/>
  <c r="B27" i="1"/>
  <c r="B15" i="28"/>
  <c r="Q6" i="28"/>
  <c r="Q14" i="28" s="1"/>
  <c r="O62" i="28" l="1"/>
  <c r="P62" i="28" s="1"/>
  <c r="Q62" i="28" s="1"/>
  <c r="R62" i="28" s="1"/>
  <c r="S62" i="28" s="1"/>
  <c r="T62" i="28" s="1"/>
  <c r="U62" i="28" s="1"/>
  <c r="V62" i="28" s="1"/>
  <c r="W62" i="28" s="1"/>
  <c r="X62" i="28" s="1"/>
  <c r="Y62" i="28" s="1"/>
  <c r="Z62" i="28" s="1"/>
  <c r="AA62" i="28" s="1"/>
  <c r="AB62" i="28" s="1"/>
  <c r="AC62" i="28" s="1"/>
  <c r="AD62" i="28" s="1"/>
  <c r="AE62" i="28" s="1"/>
  <c r="AF62" i="28" s="1"/>
  <c r="AG62" i="28" s="1"/>
  <c r="AH62" i="28" s="1"/>
  <c r="B20" i="1"/>
  <c r="B28" i="1" s="1"/>
  <c r="B35" i="1" s="1"/>
  <c r="I57" i="3"/>
  <c r="L57" i="3" s="1"/>
  <c r="K15" i="2"/>
  <c r="U15" i="2" s="1"/>
  <c r="K16" i="2"/>
  <c r="U16" i="2" s="1"/>
  <c r="K14" i="2"/>
  <c r="U14" i="2" s="1"/>
  <c r="F14" i="28"/>
  <c r="T113" i="28"/>
  <c r="T124" i="28" s="1"/>
  <c r="AR61" i="28"/>
  <c r="S12" i="28"/>
  <c r="J3" i="13"/>
  <c r="B3" i="13" s="1"/>
  <c r="I15" i="13"/>
  <c r="D24" i="13"/>
  <c r="F61" i="2"/>
  <c r="F62" i="2" s="1"/>
  <c r="U61" i="2"/>
  <c r="W61" i="2"/>
  <c r="Z61" i="2"/>
  <c r="O61" i="2"/>
  <c r="G61" i="2"/>
  <c r="J61" i="2"/>
  <c r="Y61" i="2"/>
  <c r="R61" i="2"/>
  <c r="Q61" i="2"/>
  <c r="L61" i="2"/>
  <c r="S61" i="2"/>
  <c r="X61" i="2"/>
  <c r="N61" i="2"/>
  <c r="I61" i="2"/>
  <c r="V61" i="2"/>
  <c r="T61" i="2"/>
  <c r="P61" i="2"/>
  <c r="M61" i="2"/>
  <c r="K61" i="2"/>
  <c r="H61" i="2"/>
  <c r="U13" i="2"/>
  <c r="K17" i="2" l="1"/>
  <c r="U17" i="2" s="1"/>
  <c r="AB115" i="28"/>
  <c r="Q15" i="28"/>
  <c r="Q16" i="28"/>
  <c r="Q17" i="28"/>
  <c r="G62" i="2"/>
  <c r="H62" i="2" s="1"/>
  <c r="I62" i="2" s="1"/>
  <c r="J62" i="2" s="1"/>
  <c r="K62" i="2" s="1"/>
  <c r="L62" i="2" s="1"/>
  <c r="M62" i="2" s="1"/>
  <c r="N62" i="2" s="1"/>
  <c r="O62" i="2" s="1"/>
  <c r="P62" i="2" s="1"/>
  <c r="Q62" i="2" s="1"/>
  <c r="R62" i="2" s="1"/>
  <c r="S62" i="2" s="1"/>
  <c r="T62" i="2" s="1"/>
  <c r="U62" i="2" s="1"/>
  <c r="V62" i="2" s="1"/>
  <c r="W62" i="2" s="1"/>
  <c r="X62" i="2" s="1"/>
  <c r="Y62" i="2" s="1"/>
  <c r="Z62" i="2" s="1"/>
  <c r="M57" i="3"/>
  <c r="J15" i="13"/>
  <c r="C58" i="13"/>
  <c r="K21" i="2" l="1"/>
  <c r="U21" i="2" s="1"/>
  <c r="K20" i="2"/>
  <c r="U20" i="2" s="1"/>
  <c r="K22" i="2"/>
  <c r="U22" i="2" s="1"/>
  <c r="K19" i="2"/>
  <c r="U19" i="2" s="1"/>
  <c r="K18" i="2"/>
  <c r="U18" i="2" s="1"/>
  <c r="Q18" i="28"/>
  <c r="Q22" i="28" s="1"/>
  <c r="Q24" i="28" l="1"/>
  <c r="Q21" i="28"/>
  <c r="Q23" i="28"/>
  <c r="Q25" i="28"/>
  <c r="K23" i="2"/>
  <c r="U23" i="2" s="1"/>
  <c r="O21" i="2"/>
  <c r="Q26" i="28" l="1"/>
  <c r="Q27" i="28" s="1"/>
  <c r="Q28" i="28" s="1"/>
  <c r="B27" i="28" s="1"/>
  <c r="B24" i="28" s="1"/>
  <c r="B25" i="28" s="1"/>
  <c r="K24" i="2"/>
  <c r="B4" i="2" s="1"/>
  <c r="M23" i="2"/>
  <c r="U24" i="2" l="1"/>
  <c r="J4" i="28"/>
  <c r="K26" i="2"/>
  <c r="K27" i="2" s="1"/>
  <c r="AB116" i="28"/>
  <c r="AB117" i="28" s="1"/>
  <c r="AI54" i="28" s="1"/>
  <c r="AI55" i="28" s="1"/>
  <c r="B30" i="28"/>
  <c r="C46" i="2"/>
  <c r="C45" i="2" s="1"/>
  <c r="K29" i="2"/>
  <c r="U29" i="2" s="1"/>
  <c r="B11" i="2"/>
  <c r="C41" i="2"/>
  <c r="D41" i="2"/>
  <c r="I58" i="3"/>
  <c r="L58" i="3" s="1"/>
  <c r="O28" i="2"/>
  <c r="B5" i="2"/>
  <c r="E41" i="2"/>
  <c r="F40" i="1"/>
  <c r="F27" i="1" s="1"/>
  <c r="E43" i="2"/>
  <c r="AI43" i="2" s="1"/>
  <c r="F45" i="2"/>
  <c r="M21" i="2"/>
  <c r="M22" i="2"/>
  <c r="U26" i="2" l="1"/>
  <c r="AJ54" i="28"/>
  <c r="AJ55" i="28" s="1"/>
  <c r="S54" i="28"/>
  <c r="S55" i="28" s="1"/>
  <c r="U54" i="28"/>
  <c r="U55" i="28" s="1"/>
  <c r="O33" i="2"/>
  <c r="T54" i="28"/>
  <c r="T55" i="28" s="1"/>
  <c r="AG54" i="28"/>
  <c r="AG55" i="28" s="1"/>
  <c r="N54" i="28"/>
  <c r="N55" i="28" s="1"/>
  <c r="AQ54" i="28"/>
  <c r="AQ55" i="28" s="1"/>
  <c r="AM54" i="28"/>
  <c r="AM55" i="28" s="1"/>
  <c r="AD54" i="28"/>
  <c r="AD55" i="28" s="1"/>
  <c r="Y54" i="28"/>
  <c r="Y55" i="28" s="1"/>
  <c r="AN54" i="28"/>
  <c r="AN55" i="28" s="1"/>
  <c r="AA54" i="28"/>
  <c r="AA55" i="28" s="1"/>
  <c r="Z54" i="28"/>
  <c r="Z55" i="28" s="1"/>
  <c r="F36" i="28"/>
  <c r="P54" i="28"/>
  <c r="P55" i="28" s="1"/>
  <c r="AP54" i="28"/>
  <c r="AP55" i="28" s="1"/>
  <c r="AF54" i="28"/>
  <c r="AF55" i="28" s="1"/>
  <c r="AK54" i="28"/>
  <c r="AK55" i="28" s="1"/>
  <c r="V54" i="28"/>
  <c r="V55" i="28" s="1"/>
  <c r="W54" i="28"/>
  <c r="W55" i="28" s="1"/>
  <c r="Q54" i="28"/>
  <c r="Q55" i="28" s="1"/>
  <c r="AL54" i="28"/>
  <c r="AL55" i="28" s="1"/>
  <c r="AE54" i="28"/>
  <c r="AE55" i="28" s="1"/>
  <c r="AH54" i="28"/>
  <c r="AH55" i="28" s="1"/>
  <c r="AO54" i="28"/>
  <c r="AO55" i="28" s="1"/>
  <c r="AB54" i="28"/>
  <c r="AB55" i="28" s="1"/>
  <c r="N44" i="28"/>
  <c r="F37" i="28"/>
  <c r="F23" i="28" s="1"/>
  <c r="K45" i="28"/>
  <c r="K44" i="28" s="1"/>
  <c r="K41" i="28"/>
  <c r="J9" i="28"/>
  <c r="M41" i="28"/>
  <c r="L41" i="28"/>
  <c r="J8" i="28"/>
  <c r="T43" i="28" s="1"/>
  <c r="M42" i="28"/>
  <c r="AQ42" i="28" s="1"/>
  <c r="AC117" i="28"/>
  <c r="F22" i="28" s="1"/>
  <c r="O54" i="28"/>
  <c r="O55" i="28" s="1"/>
  <c r="X54" i="28"/>
  <c r="X55" i="28" s="1"/>
  <c r="R54" i="28"/>
  <c r="R55" i="28" s="1"/>
  <c r="AC54" i="28"/>
  <c r="AC55" i="28" s="1"/>
  <c r="D46" i="2"/>
  <c r="C70" i="2"/>
  <c r="M58" i="3"/>
  <c r="M59" i="3" s="1"/>
  <c r="L59" i="3"/>
  <c r="L44" i="2"/>
  <c r="J44" i="2"/>
  <c r="H44" i="2"/>
  <c r="I44" i="2"/>
  <c r="F44" i="2"/>
  <c r="F46" i="2" s="1"/>
  <c r="M44" i="2"/>
  <c r="O44" i="2"/>
  <c r="N44" i="2"/>
  <c r="G44" i="2"/>
  <c r="K44" i="2"/>
  <c r="I58" i="2"/>
  <c r="F58" i="2"/>
  <c r="F59" i="2" s="1"/>
  <c r="K58" i="2"/>
  <c r="J58" i="2"/>
  <c r="G58" i="2"/>
  <c r="M58" i="2"/>
  <c r="L58" i="2"/>
  <c r="H58" i="2"/>
  <c r="B33" i="1"/>
  <c r="U27" i="2"/>
  <c r="L45" i="28" l="1"/>
  <c r="L44" i="28" s="1"/>
  <c r="L70" i="28" s="1"/>
  <c r="W43" i="28"/>
  <c r="R43" i="28"/>
  <c r="V43" i="28"/>
  <c r="Q43" i="28"/>
  <c r="O43" i="28"/>
  <c r="U43" i="28"/>
  <c r="N43" i="28"/>
  <c r="N45" i="28" s="1"/>
  <c r="O44" i="28" s="1"/>
  <c r="R58" i="28"/>
  <c r="S58" i="28"/>
  <c r="P58" i="28"/>
  <c r="U58" i="28"/>
  <c r="Q58" i="28"/>
  <c r="O58" i="28"/>
  <c r="T58" i="28"/>
  <c r="N58" i="28"/>
  <c r="S43" i="28"/>
  <c r="K70" i="28"/>
  <c r="P43" i="28"/>
  <c r="G59" i="2"/>
  <c r="H59" i="2" s="1"/>
  <c r="I59" i="2" s="1"/>
  <c r="J59" i="2" s="1"/>
  <c r="K59" i="2" s="1"/>
  <c r="L59" i="2" s="1"/>
  <c r="M59" i="2" s="1"/>
  <c r="D45" i="2"/>
  <c r="D70" i="2" s="1"/>
  <c r="E46" i="2"/>
  <c r="E45" i="2" s="1"/>
  <c r="E70" i="2" s="1"/>
  <c r="G45" i="2"/>
  <c r="G46" i="2" s="1"/>
  <c r="N54" i="2"/>
  <c r="N55" i="2" s="1"/>
  <c r="AF54" i="2"/>
  <c r="AF55" i="2" s="1"/>
  <c r="I54" i="2"/>
  <c r="I55" i="2" s="1"/>
  <c r="AH54" i="2"/>
  <c r="AH55" i="2" s="1"/>
  <c r="J54" i="2"/>
  <c r="J55" i="2" s="1"/>
  <c r="U54" i="2"/>
  <c r="U55" i="2" s="1"/>
  <c r="H54" i="2"/>
  <c r="H55" i="2" s="1"/>
  <c r="Y54" i="2"/>
  <c r="Y55" i="2" s="1"/>
  <c r="AB54" i="2"/>
  <c r="AB55" i="2" s="1"/>
  <c r="Z54" i="2"/>
  <c r="Z55" i="2" s="1"/>
  <c r="K54" i="2"/>
  <c r="K55" i="2" s="1"/>
  <c r="W54" i="2"/>
  <c r="W55" i="2" s="1"/>
  <c r="T54" i="2"/>
  <c r="T55" i="2" s="1"/>
  <c r="X54" i="2"/>
  <c r="X55" i="2" s="1"/>
  <c r="R54" i="2"/>
  <c r="R55" i="2" s="1"/>
  <c r="O54" i="2"/>
  <c r="O55" i="2" s="1"/>
  <c r="G54" i="2"/>
  <c r="G55" i="2" s="1"/>
  <c r="AC54" i="2"/>
  <c r="AC55" i="2" s="1"/>
  <c r="AD54" i="2"/>
  <c r="AD55" i="2" s="1"/>
  <c r="S54" i="2"/>
  <c r="S55" i="2" s="1"/>
  <c r="V54" i="2"/>
  <c r="V55" i="2" s="1"/>
  <c r="AE54" i="2"/>
  <c r="AE55" i="2" s="1"/>
  <c r="L54" i="2"/>
  <c r="L55" i="2" s="1"/>
  <c r="P54" i="2"/>
  <c r="P55" i="2" s="1"/>
  <c r="AI54" i="2"/>
  <c r="AI55" i="2" s="1"/>
  <c r="AG54" i="2"/>
  <c r="AG55" i="2" s="1"/>
  <c r="L67" i="3"/>
  <c r="F39" i="1"/>
  <c r="F54" i="2"/>
  <c r="F55" i="2" s="1"/>
  <c r="Q54" i="2"/>
  <c r="Q55" i="2" s="1"/>
  <c r="AA54" i="2"/>
  <c r="AA55" i="2" s="1"/>
  <c r="M54" i="2"/>
  <c r="M55" i="2" s="1"/>
  <c r="B30" i="1"/>
  <c r="B31" i="1" s="1"/>
  <c r="B36" i="1"/>
  <c r="F26" i="1"/>
  <c r="M67" i="3"/>
  <c r="M45" i="28" l="1"/>
  <c r="M44" i="28" s="1"/>
  <c r="M70" i="28" s="1"/>
  <c r="O63" i="28"/>
  <c r="O45" i="28"/>
  <c r="P44" i="28" s="1"/>
  <c r="P63" i="28" s="1"/>
  <c r="N63" i="28"/>
  <c r="N65" i="28" s="1"/>
  <c r="N59" i="28"/>
  <c r="O59" i="28" s="1"/>
  <c r="P59" i="28" s="1"/>
  <c r="Q59" i="28" s="1"/>
  <c r="R59" i="28" s="1"/>
  <c r="S59" i="28" s="1"/>
  <c r="T59" i="28" s="1"/>
  <c r="U59" i="28" s="1"/>
  <c r="AR58" i="28"/>
  <c r="H45" i="2"/>
  <c r="H46" i="2" s="1"/>
  <c r="H7" i="13"/>
  <c r="H19" i="13" s="1"/>
  <c r="H11" i="13"/>
  <c r="H23" i="13" s="1"/>
  <c r="H10" i="13"/>
  <c r="H22" i="13" s="1"/>
  <c r="H4" i="13"/>
  <c r="H8" i="13"/>
  <c r="H20" i="13" s="1"/>
  <c r="H9" i="13"/>
  <c r="H21" i="13" s="1"/>
  <c r="H5" i="13"/>
  <c r="H17" i="13" s="1"/>
  <c r="H6" i="13"/>
  <c r="N6" i="13"/>
  <c r="K30" i="2"/>
  <c r="U30" i="2" s="1"/>
  <c r="F63" i="2"/>
  <c r="F65" i="2" s="1"/>
  <c r="G63" i="2"/>
  <c r="O30" i="2"/>
  <c r="O29" i="2"/>
  <c r="N66" i="28" l="1"/>
  <c r="O64" i="28"/>
  <c r="O65" i="28" s="1"/>
  <c r="H63" i="2"/>
  <c r="O32" i="2"/>
  <c r="O31" i="2"/>
  <c r="G64" i="2"/>
  <c r="G65" i="2" s="1"/>
  <c r="F66" i="2"/>
  <c r="Q6" i="13"/>
  <c r="H18" i="13"/>
  <c r="H16" i="13"/>
  <c r="H12" i="13"/>
  <c r="I45" i="2"/>
  <c r="I63" i="2" s="1"/>
  <c r="P45" i="28"/>
  <c r="O66" i="28" l="1"/>
  <c r="P64" i="28"/>
  <c r="P65" i="28" s="1"/>
  <c r="P66" i="28" s="1"/>
  <c r="P79" i="28" s="1"/>
  <c r="N67" i="28"/>
  <c r="N69" i="28" s="1"/>
  <c r="N79" i="28"/>
  <c r="I46" i="2"/>
  <c r="J45" i="2" s="1"/>
  <c r="J63" i="2" s="1"/>
  <c r="H24" i="13"/>
  <c r="H64" i="2"/>
  <c r="H65" i="2" s="1"/>
  <c r="G66" i="2"/>
  <c r="Q44" i="28"/>
  <c r="Q63" i="28" s="1"/>
  <c r="F79" i="2"/>
  <c r="F67" i="2"/>
  <c r="F69" i="2" s="1"/>
  <c r="P67" i="28" l="1"/>
  <c r="P69" i="28" s="1"/>
  <c r="Q64" i="28"/>
  <c r="Q65" i="28" s="1"/>
  <c r="R64" i="28" s="1"/>
  <c r="O67" i="28"/>
  <c r="O69" i="28" s="1"/>
  <c r="O79" i="28"/>
  <c r="Q45" i="28"/>
  <c r="R44" i="28" s="1"/>
  <c r="R63" i="28" s="1"/>
  <c r="H66" i="2"/>
  <c r="I64" i="2"/>
  <c r="I65" i="2" s="1"/>
  <c r="J46" i="2"/>
  <c r="G79" i="2"/>
  <c r="G67" i="2"/>
  <c r="G69" i="2" s="1"/>
  <c r="Q66" i="28" l="1"/>
  <c r="Q79" i="28" s="1"/>
  <c r="R45" i="28"/>
  <c r="S44" i="28" s="1"/>
  <c r="S63" i="28" s="1"/>
  <c r="R65" i="28"/>
  <c r="R66" i="28" s="1"/>
  <c r="K45" i="2"/>
  <c r="K63" i="2" s="1"/>
  <c r="J64" i="2"/>
  <c r="J65" i="2" s="1"/>
  <c r="I66" i="2"/>
  <c r="H79" i="2"/>
  <c r="H67" i="2"/>
  <c r="H69" i="2" s="1"/>
  <c r="Q67" i="28" l="1"/>
  <c r="Q69" i="28" s="1"/>
  <c r="K46" i="2"/>
  <c r="S45" i="28"/>
  <c r="S64" i="28"/>
  <c r="S65" i="28" s="1"/>
  <c r="R79" i="28"/>
  <c r="R67" i="28"/>
  <c r="R69" i="28" s="1"/>
  <c r="I79" i="2"/>
  <c r="I67" i="2"/>
  <c r="I69" i="2" s="1"/>
  <c r="T44" i="28"/>
  <c r="T63" i="28" s="1"/>
  <c r="K64" i="2"/>
  <c r="K65" i="2" s="1"/>
  <c r="J66" i="2"/>
  <c r="L45" i="2"/>
  <c r="L63" i="2" s="1"/>
  <c r="S66" i="28" l="1"/>
  <c r="S67" i="28" s="1"/>
  <c r="S69" i="28" s="1"/>
  <c r="T64" i="28"/>
  <c r="T65" i="28" s="1"/>
  <c r="T45" i="28"/>
  <c r="U44" i="28" s="1"/>
  <c r="U63" i="28" s="1"/>
  <c r="J79" i="2"/>
  <c r="J67" i="2"/>
  <c r="J69" i="2" s="1"/>
  <c r="L46" i="2"/>
  <c r="L64" i="2"/>
  <c r="L65" i="2" s="1"/>
  <c r="K66" i="2"/>
  <c r="S79" i="28" l="1"/>
  <c r="U64" i="28"/>
  <c r="U65" i="28" s="1"/>
  <c r="T66" i="28"/>
  <c r="T79" i="28" s="1"/>
  <c r="U45" i="28"/>
  <c r="V44" i="28" s="1"/>
  <c r="V63" i="28" s="1"/>
  <c r="K79" i="2"/>
  <c r="K67" i="2"/>
  <c r="K69" i="2" s="1"/>
  <c r="M64" i="2"/>
  <c r="L66" i="2"/>
  <c r="M45" i="2"/>
  <c r="M63" i="2" s="1"/>
  <c r="T67" i="28" l="1"/>
  <c r="T69" i="28" s="1"/>
  <c r="V64" i="28"/>
  <c r="V65" i="28" s="1"/>
  <c r="U66" i="28"/>
  <c r="U79" i="28" s="1"/>
  <c r="M46" i="2"/>
  <c r="N45" i="2" s="1"/>
  <c r="N63" i="2" s="1"/>
  <c r="M65" i="2"/>
  <c r="V45" i="28"/>
  <c r="L79" i="2"/>
  <c r="L67" i="2"/>
  <c r="L69" i="2" s="1"/>
  <c r="U67" i="28" l="1"/>
  <c r="U69" i="28" s="1"/>
  <c r="V66" i="28"/>
  <c r="W64" i="28"/>
  <c r="N46" i="2"/>
  <c r="W44" i="28"/>
  <c r="W63" i="28" s="1"/>
  <c r="N64" i="2"/>
  <c r="N65" i="2" s="1"/>
  <c r="M66" i="2"/>
  <c r="W45" i="28" l="1"/>
  <c r="X44" i="28" s="1"/>
  <c r="X63" i="28" s="1"/>
  <c r="O64" i="2"/>
  <c r="N66" i="2"/>
  <c r="M79" i="2"/>
  <c r="M67" i="2"/>
  <c r="M69" i="2" s="1"/>
  <c r="W65" i="28"/>
  <c r="O45" i="2"/>
  <c r="O63" i="2" s="1"/>
  <c r="V79" i="28"/>
  <c r="V67" i="28"/>
  <c r="V69" i="28" s="1"/>
  <c r="X45" i="28" l="1"/>
  <c r="Y44" i="28" s="1"/>
  <c r="Y63" i="28" s="1"/>
  <c r="O46" i="2"/>
  <c r="P45" i="2" s="1"/>
  <c r="P63" i="2" s="1"/>
  <c r="W66" i="28"/>
  <c r="X64" i="28"/>
  <c r="X65" i="28" s="1"/>
  <c r="O65" i="2"/>
  <c r="N79" i="2"/>
  <c r="N67" i="2"/>
  <c r="N69" i="2" s="1"/>
  <c r="P46" i="2" l="1"/>
  <c r="Q45" i="2" s="1"/>
  <c r="Q63" i="2" s="1"/>
  <c r="O66" i="2"/>
  <c r="P64" i="2"/>
  <c r="Y45" i="28"/>
  <c r="P65" i="2"/>
  <c r="Y64" i="28"/>
  <c r="Y65" i="28" s="1"/>
  <c r="X66" i="28"/>
  <c r="W79" i="28"/>
  <c r="W67" i="28"/>
  <c r="W69" i="28" s="1"/>
  <c r="Q46" i="2" l="1"/>
  <c r="R45" i="2" s="1"/>
  <c r="R63" i="2" s="1"/>
  <c r="Z64" i="28"/>
  <c r="Y66" i="28"/>
  <c r="P66" i="2"/>
  <c r="Q64" i="2"/>
  <c r="X79" i="28"/>
  <c r="X67" i="28"/>
  <c r="X69" i="28" s="1"/>
  <c r="Z44" i="28"/>
  <c r="Z63" i="28" s="1"/>
  <c r="Q65" i="2"/>
  <c r="O79" i="2"/>
  <c r="O67" i="2"/>
  <c r="O69" i="2" s="1"/>
  <c r="Z45" i="28" l="1"/>
  <c r="AA44" i="28" s="1"/>
  <c r="AA63" i="28" s="1"/>
  <c r="Q66" i="2"/>
  <c r="R64" i="2"/>
  <c r="R65" i="2" s="1"/>
  <c r="R46" i="2"/>
  <c r="P79" i="2"/>
  <c r="P67" i="2"/>
  <c r="P69" i="2" s="1"/>
  <c r="Y79" i="28"/>
  <c r="Y67" i="28"/>
  <c r="Y69" i="28" s="1"/>
  <c r="Z65" i="28"/>
  <c r="Z66" i="28" l="1"/>
  <c r="AA64" i="28"/>
  <c r="AA65" i="28" s="1"/>
  <c r="AA45" i="28"/>
  <c r="S45" i="2"/>
  <c r="S63" i="2" s="1"/>
  <c r="R66" i="2"/>
  <c r="S64" i="2"/>
  <c r="Q79" i="2"/>
  <c r="Q67" i="2"/>
  <c r="Q69" i="2" s="1"/>
  <c r="S46" i="2" l="1"/>
  <c r="T45" i="2" s="1"/>
  <c r="T63" i="2" s="1"/>
  <c r="S65" i="2"/>
  <c r="S66" i="2" s="1"/>
  <c r="Z79" i="28"/>
  <c r="Z67" i="28"/>
  <c r="Z69" i="28" s="1"/>
  <c r="R79" i="2"/>
  <c r="R67" i="2"/>
  <c r="R69" i="2" s="1"/>
  <c r="AB44" i="28"/>
  <c r="AB63" i="28" s="1"/>
  <c r="AB64" i="28"/>
  <c r="AA66" i="28"/>
  <c r="T64" i="2" l="1"/>
  <c r="T65" i="2" s="1"/>
  <c r="AA79" i="28"/>
  <c r="AA67" i="28"/>
  <c r="AA69" i="28" s="1"/>
  <c r="S79" i="2"/>
  <c r="S67" i="2"/>
  <c r="S69" i="2" s="1"/>
  <c r="AB65" i="28"/>
  <c r="AB45" i="28"/>
  <c r="T46" i="2"/>
  <c r="U45" i="2" l="1"/>
  <c r="U63" i="2" s="1"/>
  <c r="AB66" i="28"/>
  <c r="AC64" i="28"/>
  <c r="AC44" i="28"/>
  <c r="AC63" i="28" s="1"/>
  <c r="U64" i="2"/>
  <c r="T66" i="2"/>
  <c r="U65" i="2" l="1"/>
  <c r="U66" i="2" s="1"/>
  <c r="U46" i="2"/>
  <c r="V45" i="2" s="1"/>
  <c r="V63" i="2" s="1"/>
  <c r="AC45" i="28"/>
  <c r="T79" i="2"/>
  <c r="T67" i="2"/>
  <c r="T69" i="2" s="1"/>
  <c r="AC65" i="28"/>
  <c r="AB79" i="28"/>
  <c r="AB67" i="28"/>
  <c r="AB69" i="28" s="1"/>
  <c r="V64" i="2" l="1"/>
  <c r="V65" i="2" s="1"/>
  <c r="AD64" i="28"/>
  <c r="AC66" i="28"/>
  <c r="AD44" i="28"/>
  <c r="AD63" i="28" s="1"/>
  <c r="V46" i="2"/>
  <c r="U79" i="2"/>
  <c r="U67" i="2"/>
  <c r="U69" i="2" s="1"/>
  <c r="AD45" i="28" l="1"/>
  <c r="AE44" i="28" s="1"/>
  <c r="AE63" i="28" s="1"/>
  <c r="W45" i="2"/>
  <c r="W63" i="2" s="1"/>
  <c r="AC79" i="28"/>
  <c r="AC67" i="28"/>
  <c r="AC69" i="28" s="1"/>
  <c r="W64" i="2"/>
  <c r="V66" i="2"/>
  <c r="AD65" i="28"/>
  <c r="AE45" i="28" l="1"/>
  <c r="V79" i="2"/>
  <c r="V67" i="2"/>
  <c r="V69" i="2" s="1"/>
  <c r="AD66" i="28"/>
  <c r="AE64" i="28"/>
  <c r="AE65" i="28" s="1"/>
  <c r="W65" i="2"/>
  <c r="W46" i="2"/>
  <c r="X45" i="2" l="1"/>
  <c r="X63" i="2" s="1"/>
  <c r="AF44" i="28"/>
  <c r="AF63" i="28" s="1"/>
  <c r="AE66" i="28"/>
  <c r="AF64" i="28"/>
  <c r="X64" i="2"/>
  <c r="W66" i="2"/>
  <c r="AD79" i="28"/>
  <c r="AD67" i="28"/>
  <c r="AD69" i="28" s="1"/>
  <c r="AF65" i="28" l="1"/>
  <c r="AF66" i="28" s="1"/>
  <c r="X65" i="2"/>
  <c r="W79" i="2"/>
  <c r="W67" i="2"/>
  <c r="W69" i="2" s="1"/>
  <c r="AE79" i="28"/>
  <c r="AE67" i="28"/>
  <c r="AE69" i="28" s="1"/>
  <c r="AF45" i="28"/>
  <c r="X46" i="2"/>
  <c r="AQ64" i="28" l="1"/>
  <c r="AG64" i="28"/>
  <c r="Y45" i="2"/>
  <c r="Y63" i="2" s="1"/>
  <c r="AI45" i="2"/>
  <c r="AI46" i="2" s="1"/>
  <c r="Y64" i="2"/>
  <c r="AI64" i="2"/>
  <c r="X66" i="2"/>
  <c r="AQ44" i="28"/>
  <c r="AQ45" i="28" s="1"/>
  <c r="AG44" i="28"/>
  <c r="AG63" i="28" s="1"/>
  <c r="AG65" i="28" s="1"/>
  <c r="AF79" i="28"/>
  <c r="AF67" i="28"/>
  <c r="AF69" i="28" s="1"/>
  <c r="AG45" i="28" l="1"/>
  <c r="AH44" i="28" s="1"/>
  <c r="AH63" i="28" s="1"/>
  <c r="AQ70" i="28"/>
  <c r="AQ63" i="28"/>
  <c r="AQ65" i="28" s="1"/>
  <c r="AQ66" i="28" s="1"/>
  <c r="AG66" i="28"/>
  <c r="AH64" i="28"/>
  <c r="Y65" i="2"/>
  <c r="Y46" i="2"/>
  <c r="X79" i="2"/>
  <c r="X67" i="2"/>
  <c r="X69" i="2" s="1"/>
  <c r="AI70" i="2"/>
  <c r="AI63" i="2"/>
  <c r="AI65" i="2" s="1"/>
  <c r="AI66" i="2" s="1"/>
  <c r="AH45" i="28" l="1"/>
  <c r="AI44" i="28" s="1"/>
  <c r="AI63" i="28" s="1"/>
  <c r="AI79" i="2"/>
  <c r="AI67" i="2"/>
  <c r="AI69" i="2" s="1"/>
  <c r="AH65" i="28"/>
  <c r="Z64" i="2"/>
  <c r="Y66" i="2"/>
  <c r="AG79" i="28"/>
  <c r="AG67" i="28"/>
  <c r="AG69" i="28" s="1"/>
  <c r="AQ79" i="28"/>
  <c r="AQ67" i="28"/>
  <c r="AQ69" i="28" s="1"/>
  <c r="Z45" i="2"/>
  <c r="Z63" i="2" s="1"/>
  <c r="Z65" i="2" l="1"/>
  <c r="AH66" i="28"/>
  <c r="AI64" i="28"/>
  <c r="AI65" i="28" s="1"/>
  <c r="Y79" i="2"/>
  <c r="Y67" i="2"/>
  <c r="Y69" i="2" s="1"/>
  <c r="Z46" i="2"/>
  <c r="AI45" i="28"/>
  <c r="AJ44" i="28" l="1"/>
  <c r="AJ63" i="28" s="1"/>
  <c r="AH79" i="28"/>
  <c r="AH67" i="28"/>
  <c r="AH69" i="28" s="1"/>
  <c r="AA45" i="2"/>
  <c r="AA63" i="2" s="1"/>
  <c r="AI66" i="28"/>
  <c r="AJ64" i="28"/>
  <c r="AA64" i="2"/>
  <c r="Z66" i="2"/>
  <c r="AA46" i="2" l="1"/>
  <c r="AB45" i="2" s="1"/>
  <c r="AB63" i="2" s="1"/>
  <c r="AJ65" i="28"/>
  <c r="Z79" i="2"/>
  <c r="Z67" i="2"/>
  <c r="Z69" i="2" s="1"/>
  <c r="AI79" i="28"/>
  <c r="AI67" i="28"/>
  <c r="AI69" i="28" s="1"/>
  <c r="AA65" i="2"/>
  <c r="AJ45" i="28"/>
  <c r="AB46" i="2" l="1"/>
  <c r="AC45" i="2" s="1"/>
  <c r="AC63" i="2" s="1"/>
  <c r="AK64" i="28"/>
  <c r="AJ66" i="28"/>
  <c r="AK44" i="28"/>
  <c r="AK63" i="28" s="1"/>
  <c r="AB64" i="2"/>
  <c r="AB65" i="2" s="1"/>
  <c r="AA66" i="2"/>
  <c r="AK65" i="28" l="1"/>
  <c r="AK66" i="28" s="1"/>
  <c r="AK45" i="28"/>
  <c r="AL44" i="28" s="1"/>
  <c r="AL63" i="28" s="1"/>
  <c r="AC46" i="2"/>
  <c r="AD45" i="2" s="1"/>
  <c r="AD63" i="2" s="1"/>
  <c r="AA67" i="2"/>
  <c r="AA69" i="2" s="1"/>
  <c r="AA79" i="2"/>
  <c r="AB66" i="2"/>
  <c r="AC64" i="2"/>
  <c r="AC65" i="2" s="1"/>
  <c r="AJ79" i="28"/>
  <c r="AJ67" i="28"/>
  <c r="AJ69" i="28" s="1"/>
  <c r="AL64" i="28"/>
  <c r="AL45" i="28" l="1"/>
  <c r="AM44" i="28" s="1"/>
  <c r="AL65" i="28"/>
  <c r="AL66" i="28" s="1"/>
  <c r="AD46" i="2"/>
  <c r="AE45" i="2" s="1"/>
  <c r="AE63" i="2" s="1"/>
  <c r="AK79" i="28"/>
  <c r="AK67" i="28"/>
  <c r="AK69" i="28" s="1"/>
  <c r="AD64" i="2"/>
  <c r="AD65" i="2" s="1"/>
  <c r="AC66" i="2"/>
  <c r="AB79" i="2"/>
  <c r="AB67" i="2"/>
  <c r="AB69" i="2" s="1"/>
  <c r="AM63" i="28" l="1"/>
  <c r="AM45" i="28"/>
  <c r="AN44" i="28" s="1"/>
  <c r="AN63" i="28" s="1"/>
  <c r="AM64" i="28"/>
  <c r="AD66" i="2"/>
  <c r="AE64" i="2"/>
  <c r="AE65" i="2" s="1"/>
  <c r="AC79" i="2"/>
  <c r="AC67" i="2"/>
  <c r="AC69" i="2" s="1"/>
  <c r="AL79" i="28"/>
  <c r="AL67" i="28"/>
  <c r="AL69" i="28" s="1"/>
  <c r="AE46" i="2"/>
  <c r="AM65" i="28" l="1"/>
  <c r="AN64" i="28" s="1"/>
  <c r="AN65" i="28" s="1"/>
  <c r="AN45" i="28"/>
  <c r="AO44" i="28" s="1"/>
  <c r="AO63" i="28" s="1"/>
  <c r="AF45" i="2"/>
  <c r="AF63" i="2" s="1"/>
  <c r="AD79" i="2"/>
  <c r="AD67" i="2"/>
  <c r="AD69" i="2" s="1"/>
  <c r="AF64" i="2"/>
  <c r="AE66" i="2"/>
  <c r="AM66" i="28" l="1"/>
  <c r="AF65" i="2"/>
  <c r="AO64" i="28"/>
  <c r="AO65" i="28" s="1"/>
  <c r="AN66" i="28"/>
  <c r="AE79" i="2"/>
  <c r="AE67" i="2"/>
  <c r="AE69" i="2" s="1"/>
  <c r="AG64" i="2"/>
  <c r="AF66" i="2"/>
  <c r="AO45" i="28"/>
  <c r="AM79" i="28"/>
  <c r="AM67" i="28"/>
  <c r="AM69" i="28" s="1"/>
  <c r="AF46" i="2"/>
  <c r="AP64" i="28" l="1"/>
  <c r="AO66" i="28"/>
  <c r="AP44" i="28"/>
  <c r="AP63" i="28" s="1"/>
  <c r="AG45" i="2"/>
  <c r="AG63" i="2" s="1"/>
  <c r="AG65" i="2" s="1"/>
  <c r="AF79" i="2"/>
  <c r="AF67" i="2"/>
  <c r="AF69" i="2" s="1"/>
  <c r="AN79" i="28"/>
  <c r="AN67" i="28"/>
  <c r="AN69" i="28" s="1"/>
  <c r="AG46" i="2" l="1"/>
  <c r="AH45" i="2" s="1"/>
  <c r="AH63" i="2" s="1"/>
  <c r="AP45" i="28"/>
  <c r="AP65" i="28"/>
  <c r="AP66" i="28" s="1"/>
  <c r="AH64" i="2"/>
  <c r="AG66" i="2"/>
  <c r="AO79" i="28"/>
  <c r="AO67" i="28"/>
  <c r="AO69" i="28" s="1"/>
  <c r="AH65" i="2" l="1"/>
  <c r="AH66" i="2" s="1"/>
  <c r="AH67" i="2" s="1"/>
  <c r="AH69" i="2" s="1"/>
  <c r="AP79" i="28"/>
  <c r="J79" i="28" s="1"/>
  <c r="AP67" i="28"/>
  <c r="AP69" i="28" s="1"/>
  <c r="J69" i="28" s="1"/>
  <c r="M71" i="28" s="1"/>
  <c r="J37" i="28" s="1"/>
  <c r="D5" i="28" s="1"/>
  <c r="AG79" i="2"/>
  <c r="AG67" i="2"/>
  <c r="AG69" i="2" s="1"/>
  <c r="AH46" i="2"/>
  <c r="B69" i="2" l="1"/>
  <c r="E71" i="2" s="1"/>
  <c r="B37" i="2" s="1"/>
  <c r="B1" i="6" s="1"/>
  <c r="AH79" i="2"/>
  <c r="B79" i="2" s="1"/>
  <c r="D5" i="1"/>
  <c r="F24" i="28"/>
  <c r="F38" i="28" s="1"/>
  <c r="F25" i="28" l="1"/>
  <c r="F39" i="28" s="1"/>
  <c r="B34" i="28" s="1"/>
  <c r="D6" i="1"/>
  <c r="N2" i="13"/>
  <c r="F28" i="1"/>
  <c r="F41" i="1" s="1"/>
  <c r="F29" i="1" l="1"/>
  <c r="C11" i="13" l="1"/>
  <c r="F42" i="1"/>
  <c r="B40" i="1" s="1"/>
  <c r="C6" i="13"/>
  <c r="C4" i="13"/>
  <c r="C5" i="13"/>
  <c r="C10" i="13"/>
  <c r="C7" i="13"/>
  <c r="C8" i="13"/>
  <c r="C9" i="13"/>
  <c r="I9" i="13" l="1"/>
  <c r="J9" i="13" s="1"/>
  <c r="B9" i="13" s="1"/>
  <c r="C21" i="13"/>
  <c r="I21" i="13" s="1"/>
  <c r="I8" i="13"/>
  <c r="C20" i="13"/>
  <c r="I20" i="13" s="1"/>
  <c r="C19" i="13"/>
  <c r="I19" i="13" s="1"/>
  <c r="I7" i="13"/>
  <c r="J7" i="13" s="1"/>
  <c r="B7" i="13" s="1"/>
  <c r="I10" i="13"/>
  <c r="J10" i="13" s="1"/>
  <c r="B10" i="13" s="1"/>
  <c r="C22" i="13"/>
  <c r="I22" i="13" s="1"/>
  <c r="C17" i="13"/>
  <c r="I17" i="13" s="1"/>
  <c r="I5" i="13"/>
  <c r="J5" i="13" s="1"/>
  <c r="B5" i="13" s="1"/>
  <c r="C16" i="13"/>
  <c r="I4" i="13"/>
  <c r="C12" i="13"/>
  <c r="C18" i="13"/>
  <c r="I18" i="13" s="1"/>
  <c r="Q2" i="13"/>
  <c r="I6" i="13"/>
  <c r="C23" i="13"/>
  <c r="I23" i="13" s="1"/>
  <c r="I11" i="13"/>
  <c r="J11" i="13" s="1"/>
  <c r="B11" i="13" s="1"/>
  <c r="C65" i="13" l="1"/>
  <c r="J22" i="13"/>
  <c r="I16" i="13"/>
  <c r="C24" i="13"/>
  <c r="C63" i="13"/>
  <c r="J19" i="13"/>
  <c r="C60" i="13"/>
  <c r="J20" i="13"/>
  <c r="J4" i="13"/>
  <c r="B4" i="13" s="1"/>
  <c r="I12" i="13"/>
  <c r="J12" i="13" s="1"/>
  <c r="C62" i="13"/>
  <c r="J17" i="13"/>
  <c r="C64" i="13"/>
  <c r="J23" i="13"/>
  <c r="J6" i="13"/>
  <c r="B6" i="13" s="1"/>
  <c r="D9" i="1"/>
  <c r="Q8" i="13"/>
  <c r="R2" i="13" s="1"/>
  <c r="Q42" i="13"/>
  <c r="Q43" i="13" s="1"/>
  <c r="Q46" i="13" s="1"/>
  <c r="J8" i="13"/>
  <c r="B8" i="13" s="1"/>
  <c r="C59" i="13"/>
  <c r="J18" i="13"/>
  <c r="J21" i="13"/>
  <c r="C66" i="13"/>
  <c r="R8" i="13" l="1"/>
  <c r="Q10" i="13"/>
  <c r="R5" i="13"/>
  <c r="R3" i="13"/>
  <c r="R4" i="13"/>
  <c r="R6" i="13"/>
  <c r="N4" i="13"/>
  <c r="D10" i="1"/>
  <c r="N5" i="13" s="1"/>
  <c r="J16" i="13"/>
  <c r="C61" i="13"/>
  <c r="I24" i="13"/>
  <c r="Q11" i="13" l="1"/>
  <c r="R11" i="13" s="1"/>
  <c r="R10"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jlukas</author>
  </authors>
  <commentList>
    <comment ref="G140" authorId="0" shapeId="0" xr:uid="{00000000-0006-0000-0400-000001000000}">
      <text>
        <r>
          <rPr>
            <b/>
            <sz val="8"/>
            <color indexed="81"/>
            <rFont val="Tahoma"/>
            <family val="2"/>
          </rPr>
          <t>jlukas:</t>
        </r>
        <r>
          <rPr>
            <sz val="8"/>
            <color indexed="81"/>
            <rFont val="Tahoma"/>
            <family val="2"/>
          </rPr>
          <t xml:space="preserve">
HGI estimate
</t>
        </r>
      </text>
    </comment>
    <comment ref="G149" authorId="0" shapeId="0" xr:uid="{00000000-0006-0000-0400-000002000000}">
      <text>
        <r>
          <rPr>
            <b/>
            <sz val="8"/>
            <color indexed="81"/>
            <rFont val="Tahoma"/>
            <family val="2"/>
          </rPr>
          <t>jlukas:</t>
        </r>
        <r>
          <rPr>
            <sz val="8"/>
            <color indexed="81"/>
            <rFont val="Tahoma"/>
            <family val="2"/>
          </rPr>
          <t xml:space="preserve">
HGI estimate
</t>
        </r>
      </text>
    </comment>
    <comment ref="F150" authorId="0" shapeId="0" xr:uid="{00000000-0006-0000-0400-000003000000}">
      <text>
        <r>
          <rPr>
            <b/>
            <sz val="8"/>
            <color indexed="81"/>
            <rFont val="Tahoma"/>
            <family val="2"/>
          </rPr>
          <t>jlukas:</t>
        </r>
        <r>
          <rPr>
            <sz val="8"/>
            <color indexed="81"/>
            <rFont val="Tahoma"/>
            <family val="2"/>
          </rPr>
          <t xml:space="preserve">
HGI Estimate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mruth</author>
  </authors>
  <commentList>
    <comment ref="B79" authorId="0" shapeId="0" xr:uid="{00000000-0006-0000-0500-000001000000}">
      <text>
        <r>
          <rPr>
            <b/>
            <sz val="8"/>
            <color indexed="81"/>
            <rFont val="Tahoma"/>
            <family val="2"/>
          </rPr>
          <t>mruth:</t>
        </r>
        <r>
          <rPr>
            <sz val="8"/>
            <color indexed="81"/>
            <rFont val="Tahoma"/>
            <family val="2"/>
          </rPr>
          <t xml:space="preserve">
Sum of NPV of Income Tax</t>
        </r>
      </text>
    </comment>
    <comment ref="B80" authorId="0" shapeId="0" xr:uid="{00000000-0006-0000-0500-000002000000}">
      <text>
        <r>
          <rPr>
            <b/>
            <sz val="8"/>
            <color indexed="81"/>
            <rFont val="Tahoma"/>
            <family val="2"/>
          </rPr>
          <t>mruth:</t>
        </r>
        <r>
          <rPr>
            <sz val="8"/>
            <color indexed="81"/>
            <rFont val="Tahoma"/>
            <family val="2"/>
          </rPr>
          <t xml:space="preserve">
Sum of NPV of Ethanol Income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Humbird</author>
  </authors>
  <commentList>
    <comment ref="G7" authorId="0" shapeId="0" xr:uid="{00000000-0006-0000-0600-000001000000}">
      <text>
        <r>
          <rPr>
            <sz val="8"/>
            <color indexed="81"/>
            <rFont val="Tahoma"/>
            <family val="2"/>
          </rPr>
          <t xml:space="preserve">Update Aspen2 tab to update the shaded numbers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mruth</author>
    <author>Ryan Davis</author>
    <author>david humbird</author>
    <author>Ling Tao</author>
  </authors>
  <commentList>
    <comment ref="J79" authorId="0" shapeId="0" xr:uid="{00000000-0006-0000-0C00-000001000000}">
      <text>
        <r>
          <rPr>
            <b/>
            <sz val="8"/>
            <color indexed="81"/>
            <rFont val="Tahoma"/>
            <family val="2"/>
          </rPr>
          <t>mruth:</t>
        </r>
        <r>
          <rPr>
            <sz val="8"/>
            <color indexed="81"/>
            <rFont val="Tahoma"/>
            <family val="2"/>
          </rPr>
          <t xml:space="preserve">
Sum of NPV of Income Tax</t>
        </r>
      </text>
    </comment>
    <comment ref="J80" authorId="0" shapeId="0" xr:uid="{00000000-0006-0000-0C00-000002000000}">
      <text>
        <r>
          <rPr>
            <b/>
            <sz val="8"/>
            <color indexed="81"/>
            <rFont val="Tahoma"/>
            <family val="2"/>
          </rPr>
          <t>mruth:</t>
        </r>
        <r>
          <rPr>
            <sz val="8"/>
            <color indexed="81"/>
            <rFont val="Tahoma"/>
            <family val="2"/>
          </rPr>
          <t xml:space="preserve">
Sum of NPV of Ethanol Income</t>
        </r>
      </text>
    </comment>
    <comment ref="N111" authorId="1" shapeId="0" xr:uid="{00000000-0006-0000-0C00-000003000000}">
      <text>
        <r>
          <rPr>
            <sz val="8"/>
            <color indexed="81"/>
            <rFont val="Tahoma"/>
            <family val="2"/>
          </rPr>
          <t>cents per MM BTU (2007 industrial NG price per EIA)</t>
        </r>
      </text>
    </comment>
    <comment ref="F120" authorId="2" shapeId="0" xr:uid="{00000000-0006-0000-0C00-000004000000}">
      <text>
        <r>
          <rPr>
            <b/>
            <sz val="8"/>
            <color indexed="81"/>
            <rFont val="Tahoma"/>
            <family val="2"/>
          </rPr>
          <t>david humbird:</t>
        </r>
        <r>
          <rPr>
            <sz val="8"/>
            <color indexed="81"/>
            <rFont val="Tahoma"/>
            <family val="2"/>
          </rPr>
          <t xml:space="preserve">
Update Aspen2 tab to update this value</t>
        </r>
      </text>
    </comment>
    <comment ref="BA158" authorId="3" shapeId="0" xr:uid="{00000000-0006-0000-0C00-000005000000}">
      <text>
        <r>
          <rPr>
            <b/>
            <sz val="10"/>
            <color indexed="81"/>
            <rFont val="Tahoma"/>
            <family val="2"/>
          </rPr>
          <t>Ling Tao:</t>
        </r>
        <r>
          <rPr>
            <sz val="10"/>
            <color indexed="81"/>
            <rFont val="Tahoma"/>
            <family val="2"/>
          </rPr>
          <t xml:space="preserve">
No pump</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etan</author>
    <author>kneeves</author>
    <author>John Jechura</author>
  </authors>
  <commentList>
    <comment ref="Q12" authorId="0" shapeId="0" xr:uid="{5BE475F1-9299-45BB-949E-11D47AE0FDA0}">
      <text>
        <r>
          <rPr>
            <b/>
            <sz val="8"/>
            <color indexed="81"/>
            <rFont val="Tahoma"/>
            <family val="2"/>
          </rPr>
          <t>etan:</t>
        </r>
        <r>
          <rPr>
            <sz val="8"/>
            <color indexed="81"/>
            <rFont val="Tahoma"/>
            <family val="2"/>
          </rPr>
          <t xml:space="preserve">
Proxy. Need to be updated!</t>
        </r>
      </text>
    </comment>
    <comment ref="B53" authorId="1" shapeId="0" xr:uid="{00000000-0006-0000-0D00-000001000000}">
      <text>
        <r>
          <rPr>
            <b/>
            <sz val="8"/>
            <color indexed="81"/>
            <rFont val="Tahoma"/>
            <family val="2"/>
          </rPr>
          <t>kneeves:</t>
        </r>
        <r>
          <rPr>
            <sz val="8"/>
            <color indexed="81"/>
            <rFont val="Tahoma"/>
            <family val="2"/>
          </rPr>
          <t xml:space="preserve">
data &lt;1992 ratio of old data to new, with 1992=100
</t>
        </r>
        <r>
          <rPr>
            <b/>
            <sz val="8"/>
            <color indexed="81"/>
            <rFont val="Tahoma"/>
            <family val="2"/>
          </rPr>
          <t>JJechura:</t>
        </r>
        <r>
          <rPr>
            <sz val="8"/>
            <color indexed="81"/>
            <rFont val="Tahoma"/>
            <family val="2"/>
          </rPr>
          <t xml:space="preserve">
Updated with historical &amp; most recent data. (1982=100)
</t>
        </r>
        <r>
          <rPr>
            <b/>
            <sz val="8"/>
            <color indexed="81"/>
            <rFont val="Tahoma"/>
            <family val="2"/>
          </rPr>
          <t>JJechura:</t>
        </r>
        <r>
          <rPr>
            <sz val="8"/>
            <color indexed="81"/>
            <rFont val="Tahoma"/>
            <family val="2"/>
          </rPr>
          <t xml:space="preserve">
Revised 1997-2003 numbers to match current SRI report.</t>
        </r>
      </text>
    </comment>
    <comment ref="C102" authorId="2" shapeId="0" xr:uid="{00000000-0006-0000-0D00-000002000000}">
      <text>
        <r>
          <rPr>
            <b/>
            <sz val="10"/>
            <color indexed="81"/>
            <rFont val="Tahoma"/>
            <family val="2"/>
          </rPr>
          <t>John Jechura:</t>
        </r>
        <r>
          <rPr>
            <sz val="10"/>
            <color indexed="81"/>
            <rFont val="Tahoma"/>
            <family val="2"/>
          </rPr>
          <t xml:space="preserve">
Previously from EEU32280006, Chemicals and Allied Products.</t>
        </r>
      </text>
    </comment>
  </commentList>
</comments>
</file>

<file path=xl/sharedStrings.xml><?xml version="1.0" encoding="utf-8"?>
<sst xmlns="http://schemas.openxmlformats.org/spreadsheetml/2006/main" count="11078" uniqueCount="3955">
  <si>
    <t>Ethanol Fermentor Agitator</t>
  </si>
  <si>
    <t>Seed Transfer Pump</t>
  </si>
  <si>
    <t>Beer Surge Tank Agitator</t>
  </si>
  <si>
    <t>Fermentation Cooler</t>
  </si>
  <si>
    <t>Beer Column Condenser</t>
  </si>
  <si>
    <t>Vent Scrubber</t>
  </si>
  <si>
    <t>Denaturant In-line Mixer</t>
  </si>
  <si>
    <t>Plant Manager</t>
  </si>
  <si>
    <t>Plant Engineer</t>
  </si>
  <si>
    <t>Maintenance Supr</t>
  </si>
  <si>
    <t>Lab Manager</t>
  </si>
  <si>
    <t>Shift Supervisor</t>
  </si>
  <si>
    <t>Lab Technician</t>
  </si>
  <si>
    <t>Maintenance Tech</t>
  </si>
  <si>
    <t>Shift Operators</t>
  </si>
  <si>
    <t>Yard Employees</t>
  </si>
  <si>
    <t>Enzyme Loading (mg/g cellulose)</t>
  </si>
  <si>
    <t>Saccharification Time (days)</t>
  </si>
  <si>
    <t>Specific Operating Conditions</t>
  </si>
  <si>
    <t>Fermentation Time (days)</t>
  </si>
  <si>
    <t>Clerks &amp; Secretaries</t>
  </si>
  <si>
    <t>Total Salaries</t>
  </si>
  <si>
    <t>Start-up Time (Years)</t>
  </si>
  <si>
    <t xml:space="preserve">  Variable Costs (% of Normal)</t>
  </si>
  <si>
    <t xml:space="preserve">   Revenues (% of Normal)</t>
  </si>
  <si>
    <t xml:space="preserve">  Fixed Cost (% of Normal)</t>
  </si>
  <si>
    <t>Working Capital (% of FCI)</t>
  </si>
  <si>
    <t xml:space="preserve">        (% of TPI)</t>
  </si>
  <si>
    <t>FIBERGLASS</t>
  </si>
  <si>
    <t>CS;SS316</t>
  </si>
  <si>
    <t>Hot Process Water Softener System</t>
  </si>
  <si>
    <t>Equity</t>
  </si>
  <si>
    <t xml:space="preserve">   Loan Interest</t>
  </si>
  <si>
    <t xml:space="preserve">   Loan Term, years</t>
  </si>
  <si>
    <t xml:space="preserve">   Annual Loan Payment</t>
  </si>
  <si>
    <t>Loan Payment</t>
  </si>
  <si>
    <t xml:space="preserve">   Loan Interest Payment</t>
  </si>
  <si>
    <t xml:space="preserve">   Loan Principal</t>
  </si>
  <si>
    <t xml:space="preserve">   Ethanol Sales</t>
  </si>
  <si>
    <t xml:space="preserve">   By-Product Credit</t>
  </si>
  <si>
    <t>Total Annual Sales</t>
  </si>
  <si>
    <t>Taxable Income</t>
  </si>
  <si>
    <t>Income Tax</t>
  </si>
  <si>
    <t>Total Capital Investment + Interest</t>
  </si>
  <si>
    <t>Loan Interest subtracted from taxable income.</t>
  </si>
  <si>
    <t>Loan payment subtracted from annual cash income</t>
  </si>
  <si>
    <t>Interest on construction loan added to investment</t>
  </si>
  <si>
    <t xml:space="preserve">   Baghouse Bags (5 yr life, Ryton MOC)</t>
  </si>
  <si>
    <t>No. Bags</t>
  </si>
  <si>
    <t>Bag Cost</t>
  </si>
  <si>
    <t>Quote year</t>
  </si>
  <si>
    <t xml:space="preserve">   Baghouse Bags</t>
  </si>
  <si>
    <t>Combustion Gas Baghouse</t>
  </si>
  <si>
    <t>MASS-FLOW</t>
  </si>
  <si>
    <t>ENTHALPY-FLO</t>
  </si>
  <si>
    <t>MOLE-FLOW</t>
  </si>
  <si>
    <t>VOLUME-FLOW</t>
  </si>
  <si>
    <t>TEMPERATURE</t>
  </si>
  <si>
    <t>PRESSURE</t>
  </si>
  <si>
    <t>MOLE-ENTHALP</t>
  </si>
  <si>
    <t>MASS-ENTHALP</t>
  </si>
  <si>
    <t>MOLE-ENTROPY</t>
  </si>
  <si>
    <t>MASS-ENTROPY</t>
  </si>
  <si>
    <t>MOLE-DENSITY</t>
  </si>
  <si>
    <t>MASS-DENSITY</t>
  </si>
  <si>
    <t>POWER</t>
  </si>
  <si>
    <t>MMKCAL/HR</t>
  </si>
  <si>
    <t>DAP</t>
  </si>
  <si>
    <t>CO</t>
  </si>
  <si>
    <t>Substream</t>
  </si>
  <si>
    <t>KMOL/HR</t>
  </si>
  <si>
    <t>CAL/MOL</t>
  </si>
  <si>
    <t>KCAL/KG</t>
  </si>
  <si>
    <t>CAL/MOL-K</t>
  </si>
  <si>
    <t>KCAL/KG-K</t>
  </si>
  <si>
    <t>MOL/CC</t>
  </si>
  <si>
    <t>L/MIN</t>
  </si>
  <si>
    <t xml:space="preserve">KW                </t>
  </si>
  <si>
    <t>Corn Steep Liquor</t>
  </si>
  <si>
    <t>Year of Price Quote</t>
  </si>
  <si>
    <t>Quoted Price (cents / ton)</t>
  </si>
  <si>
    <t>Costing Code</t>
  </si>
  <si>
    <t>R-5</t>
  </si>
  <si>
    <t>F-1</t>
  </si>
  <si>
    <t>S-8</t>
  </si>
  <si>
    <t>S-1</t>
  </si>
  <si>
    <t>S-2</t>
  </si>
  <si>
    <t>W-2</t>
  </si>
  <si>
    <t>P-1</t>
  </si>
  <si>
    <t>Ethanol Fuel Val.</t>
  </si>
  <si>
    <t>$/yr</t>
  </si>
  <si>
    <t>Denaturant Cost</t>
  </si>
  <si>
    <t>S-10</t>
  </si>
  <si>
    <t>A300.QC301</t>
  </si>
  <si>
    <t>CMIX.ARABINOS.a400.420</t>
  </si>
  <si>
    <t>CMIX.ARABOLIG.a400.420</t>
  </si>
  <si>
    <t>CMIX.CELLOB.a400.420</t>
  </si>
  <si>
    <t>CMIX.EXTRACT.a400.420</t>
  </si>
  <si>
    <t>CMIX.GALAOLIG.a400.420</t>
  </si>
  <si>
    <t>CMIX.GALACTOS.a400.420</t>
  </si>
  <si>
    <t>CMIX.GLUCOSE.a400.420</t>
  </si>
  <si>
    <t>CMIX.GLUCOLIG.a400.420</t>
  </si>
  <si>
    <t>CMIX.LGNSOL.a400.420</t>
  </si>
  <si>
    <t>CMIX.MANOLIG.a400.420</t>
  </si>
  <si>
    <t>CMIX.MANNOSE.a400.420</t>
  </si>
  <si>
    <t>CMIX.XYLOLIG.a400.420</t>
  </si>
  <si>
    <t>CMIX.XYLOSE.a400.420</t>
  </si>
  <si>
    <t>CMIX.ARABINOS.a400.420p</t>
  </si>
  <si>
    <t>CMIX.ARABOLIG.a400.420p</t>
  </si>
  <si>
    <t>CMIX.CELLOB.a400.420p</t>
  </si>
  <si>
    <t>CMIX.EXTRACT.a400.420p</t>
  </si>
  <si>
    <t>CMIX.GALAOLIG.a400.420p</t>
  </si>
  <si>
    <t>CMIX.GALACTOS.a400.420p</t>
  </si>
  <si>
    <t>CMIX.GLUCOSE.a400.420p</t>
  </si>
  <si>
    <t>CMIX.GLUCOLIG.a400.420p</t>
  </si>
  <si>
    <t>CMIX.LGNSOL.a400.420p</t>
  </si>
  <si>
    <t>CMIX.MANOLIG.a400.420p</t>
  </si>
  <si>
    <t>CMIX.MANNOSE.a400.420p</t>
  </si>
  <si>
    <t>CMIX.XYLOLIG.a400.420p</t>
  </si>
  <si>
    <t>CMIX.XYLOSE.a400.420p</t>
  </si>
  <si>
    <t>Denatured Fuel Val.</t>
  </si>
  <si>
    <t>Denatured Fuel Val</t>
  </si>
  <si>
    <t>$/gal</t>
  </si>
  <si>
    <t>Denatured Fuel Stream</t>
  </si>
  <si>
    <t>Denatured Fuel Stream Dens.</t>
  </si>
  <si>
    <t>Denatured Fuel Production Rate (MM gal/yr)</t>
  </si>
  <si>
    <t>Denaturant Stream</t>
  </si>
  <si>
    <t>Denaturant Stream Dens.</t>
  </si>
  <si>
    <t>Denaturant Use Rate (MM gal/yr)</t>
  </si>
  <si>
    <t xml:space="preserve">        </t>
  </si>
  <si>
    <t>Equity Percent of Total Investment</t>
  </si>
  <si>
    <t>Capital Charge Factor</t>
  </si>
  <si>
    <t>Loan Rate</t>
  </si>
  <si>
    <t>Term (years)</t>
  </si>
  <si>
    <t>Capital Depreciation</t>
  </si>
  <si>
    <t>Internal Rate of Return (After-Tax)</t>
  </si>
  <si>
    <t>Installed Equipment Cost/Annual Gallon</t>
  </si>
  <si>
    <t>Denatured Fuel Min. Sales Price</t>
  </si>
  <si>
    <t>Net Revenue</t>
  </si>
  <si>
    <t>Losses Forward</t>
  </si>
  <si>
    <t>(4)Chemical Engineering Magazine, April, 2002</t>
  </si>
  <si>
    <t>(4)</t>
  </si>
  <si>
    <t>CSL Storage Tank Agitator</t>
  </si>
  <si>
    <t xml:space="preserve">Source: </t>
  </si>
  <si>
    <t>(1)Chemical Engineering Magazine, March, 1997</t>
  </si>
  <si>
    <t>(2)Chemical Engineering Magazine, March, 2000</t>
  </si>
  <si>
    <t>(1)</t>
  </si>
  <si>
    <t>(2)</t>
  </si>
  <si>
    <t>Series ID:</t>
  </si>
  <si>
    <t>Minimum Ethanol Selling Price</t>
  </si>
  <si>
    <t>Burner Combustion Air Preheater</t>
  </si>
  <si>
    <t>C</t>
  </si>
  <si>
    <t>Sensitivity Block ID</t>
  </si>
  <si>
    <t>MASSFLOW</t>
  </si>
  <si>
    <t>GM/CC</t>
  </si>
  <si>
    <t>ATM</t>
  </si>
  <si>
    <t>Average Hourly Earnings of Production Workers</t>
  </si>
  <si>
    <t>(5) Chemical Engineering Magazine, December, 2003</t>
  </si>
  <si>
    <t>(5)</t>
  </si>
  <si>
    <t>Current indices @</t>
  </si>
  <si>
    <t>http://www.che.com/ei</t>
  </si>
  <si>
    <t>Chemicals</t>
  </si>
  <si>
    <t>http://data.bls.gov/cgi-bin/srgate</t>
  </si>
  <si>
    <t/>
  </si>
  <si>
    <t>Portion of MESP for each cost in each area</t>
  </si>
  <si>
    <t>% of MESP for each cost in each area</t>
  </si>
  <si>
    <t>AREA</t>
  </si>
  <si>
    <t>Capital Recovery Charge</t>
  </si>
  <si>
    <t>Raw Materials &amp; Waste</t>
  </si>
  <si>
    <t>Process Electricity</t>
  </si>
  <si>
    <t>Grid Electricity</t>
  </si>
  <si>
    <t>Total Plant Electricity</t>
  </si>
  <si>
    <t>Area Totals</t>
  </si>
  <si>
    <t>Labels</t>
  </si>
  <si>
    <t>Storage</t>
  </si>
  <si>
    <t>Corn Steep Liquor loading wt%</t>
  </si>
  <si>
    <t>Area 700</t>
  </si>
  <si>
    <t>Area 100</t>
  </si>
  <si>
    <t>A900</t>
  </si>
  <si>
    <t>Utilities</t>
  </si>
  <si>
    <t>Area 900</t>
  </si>
  <si>
    <t>Area 200</t>
  </si>
  <si>
    <t>Boiler/Turbogenerator</t>
  </si>
  <si>
    <t>Area 800</t>
  </si>
  <si>
    <t>Area 300</t>
  </si>
  <si>
    <t>Wastewater Treatment</t>
  </si>
  <si>
    <t>Area 600</t>
  </si>
  <si>
    <t>Area 400</t>
  </si>
  <si>
    <t>Distillation and Solids Recovery</t>
  </si>
  <si>
    <t>Area 500</t>
  </si>
  <si>
    <t>NONE</t>
  </si>
  <si>
    <t>NET SUMMATION</t>
  </si>
  <si>
    <t>RESULT</t>
  </si>
  <si>
    <t>WKNET</t>
  </si>
  <si>
    <t>QM811</t>
  </si>
  <si>
    <t>WTOTAL</t>
  </si>
  <si>
    <t>QH602</t>
  </si>
  <si>
    <t xml:space="preserve">            </t>
  </si>
  <si>
    <t>Stream Attribute</t>
  </si>
  <si>
    <t>Units</t>
  </si>
  <si>
    <t>Total</t>
  </si>
  <si>
    <t>(6) Chemical Engineering Magazine, May 2005</t>
  </si>
  <si>
    <t>Source:</t>
  </si>
  <si>
    <t>Bureau of Labor Statistics</t>
  </si>
  <si>
    <t>CE Annual</t>
  </si>
  <si>
    <t>in Calcs</t>
  </si>
  <si>
    <t>KG/HR</t>
  </si>
  <si>
    <t>Denaturant Cost ($/gal denaturant)</t>
  </si>
  <si>
    <t>(3)Chemical Engineering Magazine, January, 2001</t>
  </si>
  <si>
    <t>(3)</t>
  </si>
  <si>
    <t>HEAT.A500.QCD502</t>
  </si>
  <si>
    <t>Scaling Variable</t>
  </si>
  <si>
    <t>kg/L</t>
  </si>
  <si>
    <t>lb/gal</t>
  </si>
  <si>
    <t>Average Income Tax</t>
  </si>
  <si>
    <t>CLVESSEL</t>
  </si>
  <si>
    <t>Cellulase Fermentor Agitators</t>
  </si>
  <si>
    <t>1st Cellulase Seed Fermentor</t>
  </si>
  <si>
    <t>2nd Cellulase Seed Fermentor</t>
  </si>
  <si>
    <t>3rd Cellulase Seed Fermentor</t>
  </si>
  <si>
    <t>Cellulase Fermentation Cooler</t>
  </si>
  <si>
    <t>Cellulase Transfer Pump</t>
  </si>
  <si>
    <t>Cellulase Seed Pump</t>
  </si>
  <si>
    <t>Media Pump</t>
  </si>
  <si>
    <t>Anti-foam Pump</t>
  </si>
  <si>
    <t>Media-Prep Tank</t>
  </si>
  <si>
    <t>Average Return on Investment</t>
  </si>
  <si>
    <t>NPV of Income Tax</t>
  </si>
  <si>
    <t>NPV of Ethanol Income</t>
  </si>
  <si>
    <t>Ethanol Production Process Engineering Analysis</t>
  </si>
  <si>
    <t>Capital Costs</t>
  </si>
  <si>
    <t>Feedstock</t>
  </si>
  <si>
    <t>CSL</t>
  </si>
  <si>
    <t>Other Raw Materials</t>
  </si>
  <si>
    <t>Waste Disposal</t>
  </si>
  <si>
    <t>Electricity</t>
  </si>
  <si>
    <t>Fixed Costs</t>
  </si>
  <si>
    <t>Added Costs</t>
  </si>
  <si>
    <t>Other Raw Matl. Costs</t>
  </si>
  <si>
    <t>Total Project Investment</t>
  </si>
  <si>
    <t>Assumptions</t>
  </si>
  <si>
    <t>Value</t>
  </si>
  <si>
    <t>Source</t>
  </si>
  <si>
    <t>Fixed Capital Investment</t>
  </si>
  <si>
    <t xml:space="preserve">   General Plant</t>
  </si>
  <si>
    <t xml:space="preserve">   Steam Plant</t>
  </si>
  <si>
    <t xml:space="preserve">   Ion Exchange Resin (7300 CF, 5 yr Life)</t>
  </si>
  <si>
    <t>Salvage Value</t>
  </si>
  <si>
    <t>P&amp;T</t>
  </si>
  <si>
    <t>Type of Depreciation</t>
  </si>
  <si>
    <t>DDB</t>
  </si>
  <si>
    <t>Short et. al</t>
  </si>
  <si>
    <t>Depreciation Period (Years)</t>
  </si>
  <si>
    <t xml:space="preserve">   Steam/Electricity System</t>
  </si>
  <si>
    <t>Construction Period (Years)</t>
  </si>
  <si>
    <t xml:space="preserve">   % Spent in Year -3</t>
  </si>
  <si>
    <t xml:space="preserve">   % Spent in Year -2</t>
  </si>
  <si>
    <t xml:space="preserve">   % Spent in Year -1</t>
  </si>
  <si>
    <t>Income Tax Rate</t>
  </si>
  <si>
    <t>Ethanol Production Rate (MMgal/yr)</t>
  </si>
  <si>
    <t>ASPEN</t>
  </si>
  <si>
    <t>Cost Year for Analysis</t>
  </si>
  <si>
    <t>Manipulated Value</t>
  </si>
  <si>
    <t>Net Present Worth</t>
  </si>
  <si>
    <t>Targeted Value</t>
  </si>
  <si>
    <t>DCFROR Worksheet</t>
  </si>
  <si>
    <t>Year</t>
  </si>
  <si>
    <t>Working Capital</t>
  </si>
  <si>
    <t xml:space="preserve"> </t>
  </si>
  <si>
    <t>Annual Manufacturing Cost</t>
  </si>
  <si>
    <t xml:space="preserve">   Ion Exchange Resin</t>
  </si>
  <si>
    <t xml:space="preserve">   Other Variable Costs</t>
  </si>
  <si>
    <t xml:space="preserve">   Fixed Operating Costs</t>
  </si>
  <si>
    <t>Total Product Cost</t>
  </si>
  <si>
    <t>Annual Depreciation</t>
  </si>
  <si>
    <t xml:space="preserve">     Remaining Value</t>
  </si>
  <si>
    <t>Annual Cash Income</t>
  </si>
  <si>
    <t>Discount Factor</t>
  </si>
  <si>
    <t>Annual Present Value</t>
  </si>
  <si>
    <t>Ethanol Stream</t>
  </si>
  <si>
    <t>Ethanol Production Rate (MM gal/yr)</t>
  </si>
  <si>
    <t>Feedstock Dry Tons/yr</t>
  </si>
  <si>
    <t>gal/ton</t>
  </si>
  <si>
    <t>Stream No.</t>
  </si>
  <si>
    <t>Sulfuric Acid</t>
  </si>
  <si>
    <t>Variable Operating Costs</t>
  </si>
  <si>
    <t>Raw Material</t>
  </si>
  <si>
    <t>kg/hr</t>
  </si>
  <si>
    <t>lb/hr</t>
  </si>
  <si>
    <t>$/hour</t>
  </si>
  <si>
    <t>Makeup Water</t>
  </si>
  <si>
    <t>HEAT.A800.QBOILER</t>
  </si>
  <si>
    <t>HEAT.A800.A810.QM811</t>
  </si>
  <si>
    <t>Subtotal</t>
  </si>
  <si>
    <t>Waste Streams</t>
  </si>
  <si>
    <t>By-Product Credits</t>
  </si>
  <si>
    <t>Total Variable Operating Costs</t>
  </si>
  <si>
    <t>Fixed Operating Costs</t>
  </si>
  <si>
    <t>of Labor &amp; Supervison</t>
  </si>
  <si>
    <t>Maintenance</t>
  </si>
  <si>
    <t>Total Fixed Operating Costs</t>
  </si>
  <si>
    <t>Kg/hr</t>
  </si>
  <si>
    <t>MM gal/yr</t>
  </si>
  <si>
    <t>Feed Cellulose</t>
  </si>
  <si>
    <t>Feed Xylan</t>
  </si>
  <si>
    <t>Feed Arabinan</t>
  </si>
  <si>
    <t>Feed Mannan</t>
  </si>
  <si>
    <t>Feed Galactan</t>
  </si>
  <si>
    <t>Total Maximum Ethanol</t>
  </si>
  <si>
    <t>Maximum Gal Ethanol/Dry US Ton Feedstock</t>
  </si>
  <si>
    <t>Size Ratio</t>
  </si>
  <si>
    <t>A100</t>
  </si>
  <si>
    <t>In-line Sulfuric Acid Mixer</t>
  </si>
  <si>
    <t>Reacidification Tank Agitator</t>
  </si>
  <si>
    <t>Sulfuric Acid Pump</t>
  </si>
  <si>
    <t>Total Installed Equipment Cost</t>
  </si>
  <si>
    <t>Maximum Yields (100% of Theoretical)</t>
  </si>
  <si>
    <t>Current Yield (Actual/Theoretical)</t>
  </si>
  <si>
    <t>Blowdown Tank</t>
  </si>
  <si>
    <t>Reacidification Tank</t>
  </si>
  <si>
    <t>A200</t>
  </si>
  <si>
    <t>Seed Hold Tank Agitator</t>
  </si>
  <si>
    <t>4th Seed Vessel Agitator</t>
  </si>
  <si>
    <t>5th Seed Vessel Agitator</t>
  </si>
  <si>
    <t>Beer Column Feed Interchanger</t>
  </si>
  <si>
    <t>Cooling Tower Chems</t>
  </si>
  <si>
    <t>Beer Transfer Pump</t>
  </si>
  <si>
    <t>Beer Storage Tank</t>
  </si>
  <si>
    <t>A300</t>
  </si>
  <si>
    <t>A400</t>
  </si>
  <si>
    <t>Beer Column</t>
  </si>
  <si>
    <t>Beer Column Reboiler</t>
  </si>
  <si>
    <t>A200.WM205</t>
  </si>
  <si>
    <t>A400.WM401</t>
  </si>
  <si>
    <t>A500.EVAP.WM505</t>
  </si>
  <si>
    <t>A800.A810.WP811</t>
  </si>
  <si>
    <t>A800.A810.WP824</t>
  </si>
  <si>
    <t>A800.A810.WP826</t>
  </si>
  <si>
    <t>A800.WCOMBFAN</t>
  </si>
  <si>
    <t>A800.WTOTAL</t>
  </si>
  <si>
    <t>A200.QH201</t>
  </si>
  <si>
    <t>A200.QH244</t>
  </si>
  <si>
    <t>A400.QF400</t>
  </si>
  <si>
    <t>A400.QM401</t>
  </si>
  <si>
    <t>A500.M503.QH507</t>
  </si>
  <si>
    <t>A500.QH503</t>
  </si>
  <si>
    <t>A500.QH506</t>
  </si>
  <si>
    <t>A500.QH509</t>
  </si>
  <si>
    <t>A500.QCD501</t>
  </si>
  <si>
    <t>A500.QRD501</t>
  </si>
  <si>
    <t>A600.QH602</t>
  </si>
  <si>
    <t>A800.QH801</t>
  </si>
  <si>
    <t>A800.QM811</t>
  </si>
  <si>
    <t>A800.QM803</t>
  </si>
  <si>
    <t>A800.QBOILER</t>
  </si>
  <si>
    <t>A800.QCOMLOSS</t>
  </si>
  <si>
    <t>A900.QH910</t>
  </si>
  <si>
    <t>A900.QCHWOP</t>
  </si>
  <si>
    <t>Beer Column Reflux Pump</t>
  </si>
  <si>
    <t>Ethanol Product Pump</t>
  </si>
  <si>
    <t>Condensate Pump</t>
  </si>
  <si>
    <t>Scrubber Bottoms Pump</t>
  </si>
  <si>
    <t>A500</t>
  </si>
  <si>
    <t>(6)</t>
  </si>
  <si>
    <t>https://www.sriconsulting.com/CEH/Private/EECI/EECI.pdf</t>
  </si>
  <si>
    <t>A600</t>
  </si>
  <si>
    <t>Firewater Pump</t>
  </si>
  <si>
    <t>Gasoline Pump</t>
  </si>
  <si>
    <t>CSL Pump</t>
  </si>
  <si>
    <t>Ethanol Product Storage Tank</t>
  </si>
  <si>
    <t>Sulfuric Acid Storage Tank</t>
  </si>
  <si>
    <t>Saccharification Tank</t>
  </si>
  <si>
    <t>Seed Hold Tank</t>
  </si>
  <si>
    <t>1st Seed Fermentor</t>
  </si>
  <si>
    <t>2nd Seed Fermentor</t>
  </si>
  <si>
    <t>3rd Seed Fermentor</t>
  </si>
  <si>
    <t>4th Seed Fermentor</t>
  </si>
  <si>
    <t>5th Seed Fermentor</t>
  </si>
  <si>
    <t>Firewater Storage Tank</t>
  </si>
  <si>
    <t>Gasoline Storage Tank</t>
  </si>
  <si>
    <t>CSL Storage Tank</t>
  </si>
  <si>
    <t>A700</t>
  </si>
  <si>
    <t>BFW Preheater</t>
  </si>
  <si>
    <t>Turbine/Generator</t>
  </si>
  <si>
    <t>Phosphate Addition Pkg.</t>
  </si>
  <si>
    <t>Turbine Condensate Pump</t>
  </si>
  <si>
    <t>Deaerator Feed Pump</t>
  </si>
  <si>
    <t>BFW Pump</t>
  </si>
  <si>
    <t>Blowdown Pump</t>
  </si>
  <si>
    <t>Condensate Collection Tank</t>
  </si>
  <si>
    <t>Condensate Surge Drum</t>
  </si>
  <si>
    <t>Source:  SRI International Chemical Economics Handbook, Economic Environment of the Chemical Industry 2004</t>
  </si>
  <si>
    <t>Deaerator</t>
  </si>
  <si>
    <t>Blowdown Flash Drum</t>
  </si>
  <si>
    <t>A800</t>
  </si>
  <si>
    <t>Cooling Tower System</t>
  </si>
  <si>
    <t>Plant Air Compressor</t>
  </si>
  <si>
    <t>Make-up Water Pump</t>
  </si>
  <si>
    <t>Process Water Circulating Pump</t>
  </si>
  <si>
    <t>Instrument Air Dryer</t>
  </si>
  <si>
    <t>Plant Air Receiver</t>
  </si>
  <si>
    <t xml:space="preserve">   Warehouse</t>
  </si>
  <si>
    <t xml:space="preserve">   Site Development</t>
  </si>
  <si>
    <t>of ISBL</t>
  </si>
  <si>
    <t>Indirect Costs</t>
  </si>
  <si>
    <t xml:space="preserve">   Field Expenses</t>
  </si>
  <si>
    <t xml:space="preserve">   Home Office &amp; Construction Fee</t>
  </si>
  <si>
    <t xml:space="preserve">   Project Contingency</t>
  </si>
  <si>
    <t>Total Capital Investment (TCI)</t>
  </si>
  <si>
    <t>Inorganic Chemical Index</t>
  </si>
  <si>
    <t>Plant Cost Indices</t>
  </si>
  <si>
    <t>US Producer</t>
  </si>
  <si>
    <t>Calculated</t>
  </si>
  <si>
    <t>Index Used</t>
  </si>
  <si>
    <t>Price Index</t>
  </si>
  <si>
    <t>Index</t>
  </si>
  <si>
    <t>Linear Regression Results</t>
  </si>
  <si>
    <t>Labor Index</t>
  </si>
  <si>
    <t>Reported</t>
  </si>
  <si>
    <t>SS316</t>
  </si>
  <si>
    <t>KW</t>
  </si>
  <si>
    <t>Lignin Wet Cake Screw</t>
  </si>
  <si>
    <t>Cooling Water Pump</t>
  </si>
  <si>
    <t>strm.a400.416</t>
  </si>
  <si>
    <t>Acid Conc (wt%)</t>
  </si>
  <si>
    <t>Sugar &amp; Solids Flow Rates (kg/hr)</t>
  </si>
  <si>
    <t>Soluble Sugars From Seed Train</t>
  </si>
  <si>
    <t>Other Soluble Solids From Seed Train</t>
  </si>
  <si>
    <t>Soluble Sugars From PT</t>
  </si>
  <si>
    <t>R-6</t>
  </si>
  <si>
    <t>Chilled Water Package</t>
  </si>
  <si>
    <t>Ammonia</t>
  </si>
  <si>
    <t>Ammonia Storage Tank</t>
  </si>
  <si>
    <t>Biomass Feed + Boiler</t>
  </si>
  <si>
    <t>Other Soluble Solids From PT</t>
  </si>
  <si>
    <t>Soluble Sugars From Sacc</t>
  </si>
  <si>
    <t>Other Soluble Solids From Sacc</t>
  </si>
  <si>
    <t>CMIX.GALAOLIG.A300.311</t>
  </si>
  <si>
    <t>CMIX.GALAOLIG.A300.304</t>
  </si>
  <si>
    <t>CMIX.GLUCOSE.A300.311</t>
  </si>
  <si>
    <t>A900.WM910</t>
  </si>
  <si>
    <t>A900.WM902</t>
  </si>
  <si>
    <t>A900.WM908</t>
  </si>
  <si>
    <t>A900.WP902</t>
  </si>
  <si>
    <t>A900.WP914</t>
  </si>
  <si>
    <t>A900.WKNET</t>
  </si>
  <si>
    <t>A900.WTOTAL</t>
  </si>
  <si>
    <t>Ethanol Out of Fermenters (wt%)</t>
  </si>
  <si>
    <t>4th Seed Fermentor Coil</t>
  </si>
  <si>
    <t>5th Seed Fermentor Coil</t>
  </si>
  <si>
    <t>Fermentation Recirc/Transfer Pump</t>
  </si>
  <si>
    <t>Seed Hold Transfer Pump</t>
  </si>
  <si>
    <t>Pretreatment</t>
  </si>
  <si>
    <t>Pressure (atm)</t>
  </si>
  <si>
    <t>Residence Time (min.)</t>
  </si>
  <si>
    <t>Conditioning</t>
  </si>
  <si>
    <t xml:space="preserve">  Xylose   </t>
  </si>
  <si>
    <t xml:space="preserve">  Arabinose</t>
  </si>
  <si>
    <t xml:space="preserve">  Glucose  </t>
  </si>
  <si>
    <t xml:space="preserve">  Galactose</t>
  </si>
  <si>
    <t xml:space="preserve">  Mannose  </t>
  </si>
  <si>
    <t xml:space="preserve">  Cellobiose</t>
  </si>
  <si>
    <t>Total Solids (wt%)</t>
  </si>
  <si>
    <t>Conversions:</t>
  </si>
  <si>
    <t xml:space="preserve">  Cellulose to Glucolig</t>
  </si>
  <si>
    <t xml:space="preserve">  Cellulose to Cellobiose</t>
  </si>
  <si>
    <t xml:space="preserve">  Cellulose to Glucose</t>
  </si>
  <si>
    <t xml:space="preserve">  Cellulose to HMF</t>
  </si>
  <si>
    <t xml:space="preserve">  Xylan to Oligomer</t>
  </si>
  <si>
    <t xml:space="preserve">  Xylan to Xylose</t>
  </si>
  <si>
    <t xml:space="preserve">  Xylan to Furfural</t>
  </si>
  <si>
    <t xml:space="preserve">  Xylan to Tar</t>
  </si>
  <si>
    <t xml:space="preserve">  Mannan to Oligomer</t>
  </si>
  <si>
    <t xml:space="preserve">  Mannan to Mannose</t>
  </si>
  <si>
    <t xml:space="preserve">  Mannan to HMF</t>
  </si>
  <si>
    <t xml:space="preserve">  Galactan to Oligomer</t>
  </si>
  <si>
    <t xml:space="preserve">  Galactan to Galactose</t>
  </si>
  <si>
    <t xml:space="preserve">  Galactan to HMF</t>
  </si>
  <si>
    <t xml:space="preserve">  Arabinan to Oligomer</t>
  </si>
  <si>
    <t xml:space="preserve">  Arabinan to Arabinose</t>
  </si>
  <si>
    <t xml:space="preserve">  Arabinan to Furfural</t>
  </si>
  <si>
    <t xml:space="preserve">  Arabinan to Tar</t>
  </si>
  <si>
    <t xml:space="preserve">  Acetate to Oligomer</t>
  </si>
  <si>
    <t xml:space="preserve">  Acetate to Acetic Acid</t>
  </si>
  <si>
    <t xml:space="preserve">  Furfural to Tar</t>
  </si>
  <si>
    <t xml:space="preserve">  HMF to Tar</t>
  </si>
  <si>
    <t xml:space="preserve">  Lignin to Soluble Lignin</t>
  </si>
  <si>
    <t>Saccharification</t>
  </si>
  <si>
    <t>Enzyme Loading (mg/g cell)</t>
  </si>
  <si>
    <t xml:space="preserve">  Glucolig to Cellobiose</t>
  </si>
  <si>
    <t xml:space="preserve">  Glucolig to Glucose</t>
  </si>
  <si>
    <t xml:space="preserve">  Cellobiose to Glucose</t>
  </si>
  <si>
    <t xml:space="preserve">  Xylose Oligomer to Xylose</t>
  </si>
  <si>
    <t xml:space="preserve">  Galactose Oligomer to Galactose</t>
  </si>
  <si>
    <t xml:space="preserve">  Mannose Oligomer to Mannose</t>
  </si>
  <si>
    <t>Insoluble Solids (wt%)</t>
  </si>
  <si>
    <t>Temperature (°C)</t>
  </si>
  <si>
    <t>Fermentation</t>
  </si>
  <si>
    <t xml:space="preserve">  Xylose to Zymo</t>
  </si>
  <si>
    <t xml:space="preserve">  Xylose to Glycerol</t>
  </si>
  <si>
    <t xml:space="preserve">  Xylose to Xylitol</t>
  </si>
  <si>
    <t xml:space="preserve">  Xylose to Succinic Acid</t>
  </si>
  <si>
    <t xml:space="preserve">  Xylose to Acetic Acid</t>
  </si>
  <si>
    <t xml:space="preserve">  Xylose to Lactic Acid</t>
  </si>
  <si>
    <t xml:space="preserve">  Arabinose to Zymo</t>
  </si>
  <si>
    <t xml:space="preserve">  Arabinose to Glycerol</t>
  </si>
  <si>
    <t xml:space="preserve">  Arabinose to Succinic Acid</t>
  </si>
  <si>
    <t xml:space="preserve">  Arabinose to Acetic Acid</t>
  </si>
  <si>
    <t xml:space="preserve">  Arabinose to Lactic Acid</t>
  </si>
  <si>
    <t xml:space="preserve">  Galactose to Zymo</t>
  </si>
  <si>
    <t xml:space="preserve">  Galactose to Glycerol</t>
  </si>
  <si>
    <t xml:space="preserve">  Galactose to Succinic Acid</t>
  </si>
  <si>
    <t xml:space="preserve">  Galactose to Acetic Acid</t>
  </si>
  <si>
    <t xml:space="preserve">  Galactose to Lactic Acid</t>
  </si>
  <si>
    <t xml:space="preserve">  Mannose to Zymo</t>
  </si>
  <si>
    <t xml:space="preserve">  Mannose to Glycerol</t>
  </si>
  <si>
    <t xml:space="preserve">  Mannose to Succinic Acid</t>
  </si>
  <si>
    <t xml:space="preserve">  Mannose to Acetic Acid</t>
  </si>
  <si>
    <t xml:space="preserve">  Mannose to Lactic Acid</t>
  </si>
  <si>
    <t>Contamination Loss</t>
  </si>
  <si>
    <t xml:space="preserve">  Glucose to Ethanol</t>
  </si>
  <si>
    <t xml:space="preserve">  Glucose to Glycerol</t>
  </si>
  <si>
    <t xml:space="preserve">  Glucose to Succinic Acid</t>
  </si>
  <si>
    <t xml:space="preserve">  Glucose to Acetic Acid</t>
  </si>
  <si>
    <t xml:space="preserve">  Glucose to Lactic Acid</t>
  </si>
  <si>
    <t xml:space="preserve">  Xylose to Ethanol</t>
  </si>
  <si>
    <t xml:space="preserve">  Arabinose to Ethanol</t>
  </si>
  <si>
    <t xml:space="preserve">  Mannose to Ethanol</t>
  </si>
  <si>
    <t xml:space="preserve">  Galactose to Ethanol</t>
  </si>
  <si>
    <t>Residence Time (days)</t>
  </si>
  <si>
    <t>Bulk Unleaded Gasoline</t>
  </si>
  <si>
    <t>HEAT.A500.QCD501</t>
  </si>
  <si>
    <t>HEAT.A500.QH506</t>
  </si>
  <si>
    <t>HEAT.A800.QH801</t>
  </si>
  <si>
    <t>HEAT.A500.QRD501</t>
  </si>
  <si>
    <t>HEAT.A800.A810.QTSTM</t>
  </si>
  <si>
    <t>STRM.101</t>
  </si>
  <si>
    <t>STRM.A200.214</t>
  </si>
  <si>
    <t>STRM.A200.215</t>
  </si>
  <si>
    <t>STRM.A200.216</t>
  </si>
  <si>
    <t>STRM.A200.217</t>
  </si>
  <si>
    <t>STRM.A200.220</t>
  </si>
  <si>
    <t>SCIS.A200.220</t>
  </si>
  <si>
    <t>STRM.A200.228</t>
  </si>
  <si>
    <t>STRM.A200.239</t>
  </si>
  <si>
    <t>STRM.A200.250</t>
  </si>
  <si>
    <t>STRM.A300.304</t>
  </si>
  <si>
    <t>SCIS.A300.304</t>
  </si>
  <si>
    <t>STRM.A300.311</t>
  </si>
  <si>
    <t>SCIS.A300.311</t>
  </si>
  <si>
    <t>STRM.422</t>
  </si>
  <si>
    <t>SCIS.422</t>
  </si>
  <si>
    <t>STRM.A500.515</t>
  </si>
  <si>
    <t>STRM.A500.516</t>
  </si>
  <si>
    <t>STRM.A500.523</t>
  </si>
  <si>
    <t>STRM.551</t>
  </si>
  <si>
    <t>STRM.A500.EVAP.557</t>
  </si>
  <si>
    <t>STRM.A500.571</t>
  </si>
  <si>
    <t>STRM.A500.EVAP.572</t>
  </si>
  <si>
    <t>STRM.A600.612</t>
  </si>
  <si>
    <t>STRM.615</t>
  </si>
  <si>
    <t>STRM.A600.621</t>
  </si>
  <si>
    <t>STRM.623</t>
  </si>
  <si>
    <t>STRM.A600.625</t>
  </si>
  <si>
    <t>STRM.A600.627</t>
  </si>
  <si>
    <t>STRM.A600.630</t>
  </si>
  <si>
    <t>STRM.A700.701</t>
  </si>
  <si>
    <t>STRM.703</t>
  </si>
  <si>
    <t>STRM.A700.713</t>
  </si>
  <si>
    <t>STRM.A800.809</t>
  </si>
  <si>
    <t>STRM.A800.A810.811</t>
  </si>
  <si>
    <t>STRM.A800.A810.812</t>
  </si>
  <si>
    <t>STRM.A800.A810.813</t>
  </si>
  <si>
    <t>STRM.A800.A810.815</t>
  </si>
  <si>
    <t>STRM.A800.821</t>
  </si>
  <si>
    <t>STRM.A800.A810.823</t>
  </si>
  <si>
    <t>STRM.A800.840</t>
  </si>
  <si>
    <t>STRM.A800.A810.896</t>
  </si>
  <si>
    <t>STRM.A900.904</t>
  </si>
  <si>
    <t>STRM.A900.905</t>
  </si>
  <si>
    <t>STRM.A900.914</t>
  </si>
  <si>
    <t>STRM.A900.921</t>
  </si>
  <si>
    <t>STRM.A900.922</t>
  </si>
  <si>
    <t>STRM.A900.940</t>
  </si>
  <si>
    <t>STRM.A800.A810.811A</t>
  </si>
  <si>
    <t>STRM.A800.A810.811B</t>
  </si>
  <si>
    <t>STRM.A800.A810.813A</t>
  </si>
  <si>
    <t>STRM.A800.A810.815A</t>
  </si>
  <si>
    <t>STRM.A800.A810.816A</t>
  </si>
  <si>
    <t>TEMP.A200.217</t>
  </si>
  <si>
    <t>WORK.A900.WKNET</t>
  </si>
  <si>
    <t>WORK.WTOTAL</t>
  </si>
  <si>
    <t>CMIX.H2O.101</t>
  </si>
  <si>
    <t>CMIX.H2O.A200.217</t>
  </si>
  <si>
    <t>HEAT.A500.QRD502</t>
  </si>
  <si>
    <t>Feedstock cost</t>
  </si>
  <si>
    <t>CMIX.H2O.A500.550</t>
  </si>
  <si>
    <t>DEN.A700.701</t>
  </si>
  <si>
    <t>DEN.703</t>
  </si>
  <si>
    <t>DEN.A700.515E</t>
  </si>
  <si>
    <t>PRES.A200.217</t>
  </si>
  <si>
    <t>STRM.A700.750</t>
  </si>
  <si>
    <t>CCIS.ARABINAN.101</t>
  </si>
  <si>
    <t>CCIS.CELLULOS.101</t>
  </si>
  <si>
    <t>CCIS.GALACTAN.101</t>
  </si>
  <si>
    <t>CCIS.MANNAN.101</t>
  </si>
  <si>
    <t>CCIS.XYLAN.101</t>
  </si>
  <si>
    <t>strm.a400.420</t>
  </si>
  <si>
    <t>CMIX.H2SO4.A200.217</t>
  </si>
  <si>
    <t>CMIX.ARABINOS.A300.304</t>
  </si>
  <si>
    <t>CMIX.ARABOLIG.A300.304</t>
  </si>
  <si>
    <t>CMIX.CELLOB.A300.304</t>
  </si>
  <si>
    <t>CMIX.EXTRACT.A300.304</t>
  </si>
  <si>
    <t>CMIX.GALACTOS.A300.304</t>
  </si>
  <si>
    <t>CMIX.GLUCOSE.A300.304</t>
  </si>
  <si>
    <t>CMIX.GLUCOLIG.A300.304</t>
  </si>
  <si>
    <t>CMIX.LGNSOL.A300.304</t>
  </si>
  <si>
    <t>CMIX.MANOLIG.A300.304</t>
  </si>
  <si>
    <t>CMIX.MANNOSE.A300.304</t>
  </si>
  <si>
    <t>CMIX.XYLOLIG.A300.304</t>
  </si>
  <si>
    <t>CMIX.XYLOSE.A300.304</t>
  </si>
  <si>
    <t>CMIX.ARABINOS.A300.311</t>
  </si>
  <si>
    <t>CMIX.ARABOLIG.A300.311</t>
  </si>
  <si>
    <t>CMIX.CELLOB.A300.311</t>
  </si>
  <si>
    <t>CMIX.EXTRACT.A300.311</t>
  </si>
  <si>
    <t>CMIX.GALACTOS.A300.311</t>
  </si>
  <si>
    <t>CMIX.GLUCOLIG.A300.311</t>
  </si>
  <si>
    <t>CMIX.LGNSOL.A300.311</t>
  </si>
  <si>
    <t>CMIX.MANOLIG.A300.311</t>
  </si>
  <si>
    <t>CMIX.MANNOSE.A300.311</t>
  </si>
  <si>
    <t>CMIX.XYLOLIG.A300.311</t>
  </si>
  <si>
    <t>CMIX.XYLOSE.A300.311</t>
  </si>
  <si>
    <t>Sheet</t>
  </si>
  <si>
    <t>aspen</t>
  </si>
  <si>
    <t>aspen2</t>
  </si>
  <si>
    <t>Sulfuric Acid Tank</t>
  </si>
  <si>
    <t>CIP System</t>
  </si>
  <si>
    <t>CS</t>
  </si>
  <si>
    <t>SS304</t>
  </si>
  <si>
    <t>A285C</t>
  </si>
  <si>
    <t>Rectification Column</t>
  </si>
  <si>
    <t>Rectification Column Reboiler</t>
  </si>
  <si>
    <t>Rectification Column Reflux Pump</t>
  </si>
  <si>
    <t>Rectification Column Reflux Drum</t>
  </si>
  <si>
    <t>Recycled Water Tank</t>
  </si>
  <si>
    <t>CONCRETE</t>
  </si>
  <si>
    <t>Ammonia Addition Pkg</t>
  </si>
  <si>
    <t>304SS</t>
  </si>
  <si>
    <t>PLASTIC</t>
  </si>
  <si>
    <t>SS</t>
  </si>
  <si>
    <t>Hydrolyzate Cooler</t>
  </si>
  <si>
    <t>Minimum Ethanol Selling Price ($/gal)</t>
  </si>
  <si>
    <t>Ethanol Fermentor</t>
  </si>
  <si>
    <t>cmix.h2o.a800.803</t>
  </si>
  <si>
    <t>strm.a800.803</t>
  </si>
  <si>
    <t>Combined boiler feed moisture</t>
  </si>
  <si>
    <t>WWT sludge moisture %</t>
  </si>
  <si>
    <t>First effect lignin moisture %</t>
  </si>
  <si>
    <t>cmix.h2o.a800.623</t>
  </si>
  <si>
    <t>strm.a800.623</t>
  </si>
  <si>
    <t>cmix.h2o.a800.571</t>
  </si>
  <si>
    <t>strm.a800.571</t>
  </si>
  <si>
    <t>smix.a200.254</t>
  </si>
  <si>
    <t>strm.a400.401</t>
  </si>
  <si>
    <t>STRM.903</t>
  </si>
  <si>
    <t>strm.717</t>
  </si>
  <si>
    <t>STRM.755</t>
  </si>
  <si>
    <t>STRM.710</t>
  </si>
  <si>
    <t>STRM.735</t>
  </si>
  <si>
    <t>strm.755</t>
  </si>
  <si>
    <t>strm.710</t>
  </si>
  <si>
    <t>(7) Chemical Engineering Magazine, April 2009</t>
  </si>
  <si>
    <t>strm.a400.450</t>
  </si>
  <si>
    <t>A300.WP306</t>
  </si>
  <si>
    <t>A500.EVAP.WP581</t>
  </si>
  <si>
    <t>A800.WPA810</t>
  </si>
  <si>
    <t>Enzyme Production</t>
  </si>
  <si>
    <t>Protein produced (kg/hr)</t>
  </si>
  <si>
    <t>Compressor electricity (kW)</t>
  </si>
  <si>
    <t>Agitator electricity (kW)</t>
  </si>
  <si>
    <t>Chiller system electricity (kW)</t>
  </si>
  <si>
    <t>A400 total electricity (kW)</t>
  </si>
  <si>
    <t>cmix.glucose.a400.401</t>
  </si>
  <si>
    <t>cmix.xylose.a400.401</t>
  </si>
  <si>
    <t>cmix.mannose.a400.401</t>
  </si>
  <si>
    <t>cmix.arabinos.a400.401</t>
  </si>
  <si>
    <t>cmix.galactos.a400.401</t>
  </si>
  <si>
    <t>CMIX.ARABOLIG.a400.401</t>
  </si>
  <si>
    <t>CMIX.CELLOB.a400.401</t>
  </si>
  <si>
    <t>CMIX.GALAOLIG.a400.401</t>
  </si>
  <si>
    <t>CMIX.GLUCOLIG.a400.401</t>
  </si>
  <si>
    <t>CMIX.MANOLIG.a400.401</t>
  </si>
  <si>
    <t>CMIX.XYLOLIG.a400.401</t>
  </si>
  <si>
    <t>ccis.cellulos.a400.401</t>
  </si>
  <si>
    <t>ccis.galactan.a400.401</t>
  </si>
  <si>
    <t>ccis.mannan.a400.401</t>
  </si>
  <si>
    <t>work.a400.wm401</t>
  </si>
  <si>
    <t>work.a900.wm908</t>
  </si>
  <si>
    <t>cmix.h2o.a500.515</t>
  </si>
  <si>
    <t>cmix.h2o.a900.949</t>
  </si>
  <si>
    <t>cmix.h2o.a600.620</t>
  </si>
  <si>
    <t>cmix.h2o.a800.810</t>
  </si>
  <si>
    <t>cmix.h2o.a800.a810.821v</t>
  </si>
  <si>
    <t>cmix.h2o.a400.420p</t>
  </si>
  <si>
    <t>cmix.h2o.a800.804</t>
  </si>
  <si>
    <t>cmix.h2o.903</t>
  </si>
  <si>
    <t>cmix.h2o.a200.216</t>
  </si>
  <si>
    <t>cmix.h2o.a200.228</t>
  </si>
  <si>
    <t>cmix.h2o.a200.233</t>
  </si>
  <si>
    <t>cmix.h2o.a200.239</t>
  </si>
  <si>
    <t>cmix.h2o.a400.435</t>
  </si>
  <si>
    <t>cmix.h2o.a400.450</t>
  </si>
  <si>
    <t>cmix.h2o.a400.401</t>
  </si>
  <si>
    <t>cmix.h2o.a400.420</t>
  </si>
  <si>
    <t>cmix.h2o.a600.632</t>
  </si>
  <si>
    <t>cmix.h2o.a600.627</t>
  </si>
  <si>
    <t>cmix.h2o.a900.906a</t>
  </si>
  <si>
    <t>cmix.h2o.a200.274</t>
  </si>
  <si>
    <t>cmix.h2o.a500.524</t>
  </si>
  <si>
    <t>cmix.h2o.a600.944</t>
  </si>
  <si>
    <t>cmix.h2o.a600.624</t>
  </si>
  <si>
    <t>CMIX.GLUCOSE.A400.401</t>
  </si>
  <si>
    <t>CMIX.H2O.A800.810</t>
  </si>
  <si>
    <t>Inputs</t>
  </si>
  <si>
    <t>Outputs</t>
  </si>
  <si>
    <t>Moisture in feedstock</t>
  </si>
  <si>
    <t>cmix.h2o.101</t>
  </si>
  <si>
    <t>WWT evap</t>
  </si>
  <si>
    <t>cmix.h2o.a500.550</t>
  </si>
  <si>
    <t>F401-4</t>
  </si>
  <si>
    <t>Input 1</t>
  </si>
  <si>
    <t>input</t>
  </si>
  <si>
    <t>Input 2</t>
  </si>
  <si>
    <t>output</t>
  </si>
  <si>
    <t>Output</t>
  </si>
  <si>
    <t>cmix.h2o.a200.217</t>
  </si>
  <si>
    <t>F400</t>
  </si>
  <si>
    <t>input 1</t>
  </si>
  <si>
    <t>F301-6</t>
  </si>
  <si>
    <t>F300F</t>
  </si>
  <si>
    <t>T310</t>
  </si>
  <si>
    <t>T606</t>
  </si>
  <si>
    <t>M803CMB</t>
  </si>
  <si>
    <t>T608</t>
  </si>
  <si>
    <t>Cellulose from PT</t>
  </si>
  <si>
    <t>Protein yield (kg/kg substrate)</t>
  </si>
  <si>
    <t>cellulase price (if purchased)</t>
  </si>
  <si>
    <t>Sorbitol</t>
  </si>
  <si>
    <t>SMIX.A400.401</t>
  </si>
  <si>
    <t>SCIS.A400.401</t>
  </si>
  <si>
    <t>strm.a300.303</t>
  </si>
  <si>
    <t>Operating Cost Analysis</t>
  </si>
  <si>
    <t>Raw Materials</t>
  </si>
  <si>
    <t>Labor &amp; Supervision</t>
  </si>
  <si>
    <t>Position</t>
  </si>
  <si>
    <t>Salary</t>
  </si>
  <si>
    <t># Required</t>
  </si>
  <si>
    <t>Year of salary quote</t>
  </si>
  <si>
    <t>Purchased Enzyme</t>
  </si>
  <si>
    <t>Other Overhead</t>
  </si>
  <si>
    <t>Labor Burden</t>
  </si>
  <si>
    <t>kW</t>
  </si>
  <si>
    <t>Boiler feed heating value (Btu/lb)</t>
  </si>
  <si>
    <t>Feedstock moisture</t>
  </si>
  <si>
    <t>Moisture Content</t>
  </si>
  <si>
    <t>100% Conversion</t>
  </si>
  <si>
    <t>Theoretical Maximum Yields</t>
  </si>
  <si>
    <t>strm.a800.a810.812</t>
  </si>
  <si>
    <t>Steam loop flow (kg/hr)</t>
  </si>
  <si>
    <t>Total Operating Costs</t>
  </si>
  <si>
    <t>Denaturant Costs</t>
  </si>
  <si>
    <t>g/cc</t>
  </si>
  <si>
    <t>MMgal/yr</t>
  </si>
  <si>
    <t>cmix.h2o.a400.403</t>
  </si>
  <si>
    <t>cmix.h2o.a400.408a</t>
  </si>
  <si>
    <t>cmix.h2o.a400.411</t>
  </si>
  <si>
    <t>cmix.h2o.a400.418</t>
  </si>
  <si>
    <t>cmix.h2o.a400.423</t>
  </si>
  <si>
    <t>Sum of Inputs</t>
  </si>
  <si>
    <t>Sum of Outputs</t>
  </si>
  <si>
    <t>Water Balance</t>
  </si>
  <si>
    <t>Closure</t>
  </si>
  <si>
    <t>strm.a600.624</t>
  </si>
  <si>
    <t xml:space="preserve">   Feedstock</t>
  </si>
  <si>
    <t>work.a900.wka100</t>
  </si>
  <si>
    <t>work.a900.wka200</t>
  </si>
  <si>
    <t>work.a900.wka300</t>
  </si>
  <si>
    <t>work.a900.wka400</t>
  </si>
  <si>
    <t>work.a900.wka500</t>
  </si>
  <si>
    <t>work.a900.wka600</t>
  </si>
  <si>
    <t>work.a900.wka700</t>
  </si>
  <si>
    <t>work.a900.wka800</t>
  </si>
  <si>
    <t>work.a900.wka900</t>
  </si>
  <si>
    <t>WORK.A900.WKA100</t>
  </si>
  <si>
    <t>strm.a700.csl-a300</t>
  </si>
  <si>
    <t>strm.a700.csl-a400</t>
  </si>
  <si>
    <t>STRM.A700.CSL-A300</t>
  </si>
  <si>
    <t>STRM.A700.CSL-A400</t>
  </si>
  <si>
    <t>STRM.A700.NH3-A400</t>
  </si>
  <si>
    <t>Host nutrients</t>
  </si>
  <si>
    <t>STRM.A400.440</t>
  </si>
  <si>
    <t>Sulfur Dioxide</t>
  </si>
  <si>
    <t>STRM.A400.442</t>
  </si>
  <si>
    <t>work.a900.wm908-4</t>
  </si>
  <si>
    <t>EQPT NO</t>
  </si>
  <si>
    <t>EQUIPMENT TITLE</t>
  </si>
  <si>
    <t>DESCRIPTION</t>
  </si>
  <si>
    <t>HP</t>
  </si>
  <si>
    <t>NUM REQD</t>
  </si>
  <si>
    <t>Transfer Conveyor</t>
  </si>
  <si>
    <t>High Angle Transfer Conveyor</t>
  </si>
  <si>
    <t>Reversing Load-in Conveyor</t>
  </si>
  <si>
    <t>Dome Reclaim System</t>
  </si>
  <si>
    <t>45 kw ea.</t>
  </si>
  <si>
    <t>Reclaim Conveyor</t>
  </si>
  <si>
    <t>Elevated Transfer Conveyor</t>
  </si>
  <si>
    <t>Process Feed Conveyor</t>
  </si>
  <si>
    <t>Truck Scale</t>
  </si>
  <si>
    <t>10' x 70', 200,000 lb</t>
  </si>
  <si>
    <t>Truck Dumper</t>
  </si>
  <si>
    <t>70' x 55 ton x 63 degree</t>
  </si>
  <si>
    <t>Truck Dumper Hopper</t>
  </si>
  <si>
    <t>3500 cu.ft. hopper w/ drag chain conveyor</t>
  </si>
  <si>
    <t>Concrete Feedstock Storage Dome</t>
  </si>
  <si>
    <t>98 ft. dia., 160 ft. high., 4000 MT</t>
  </si>
  <si>
    <t>Belt Scale</t>
  </si>
  <si>
    <t>Dust Collection System</t>
  </si>
  <si>
    <t>8500 ACFM</t>
  </si>
  <si>
    <t>A</t>
  </si>
  <si>
    <t>Mechanical Equipment List</t>
  </si>
  <si>
    <t>VENDOR</t>
  </si>
  <si>
    <t>MODEL</t>
  </si>
  <si>
    <t>MATERIAL</t>
  </si>
  <si>
    <t>QUOTE INFO</t>
  </si>
  <si>
    <t>$</t>
  </si>
  <si>
    <t>Cambelt</t>
  </si>
  <si>
    <t>YES</t>
  </si>
  <si>
    <t>M</t>
  </si>
  <si>
    <t>St. Louis Scale</t>
  </si>
  <si>
    <t>Jeffrey Rader</t>
  </si>
  <si>
    <t>Domtec</t>
  </si>
  <si>
    <t>Sly</t>
  </si>
  <si>
    <t>Kynar Lined - 600 gpm H2O - 5 gpm acid</t>
  </si>
  <si>
    <t>Blowdown Tank Agitator</t>
  </si>
  <si>
    <t>Andritz</t>
  </si>
  <si>
    <t>Side-mounted, 3 x 75 hp. ( 170 kW)</t>
  </si>
  <si>
    <t>170 kW</t>
  </si>
  <si>
    <t>316LSS</t>
  </si>
  <si>
    <t>Andritz Price</t>
  </si>
  <si>
    <t>Ammonia Addition Tank Agitator</t>
  </si>
  <si>
    <t>800 mm x 7600 mm (2'-8" x 25')</t>
  </si>
  <si>
    <t>40 kW ea.</t>
  </si>
  <si>
    <t>AL-6XN</t>
  </si>
  <si>
    <t>Included with Andritz</t>
  </si>
  <si>
    <t>Distribution Conveyor</t>
  </si>
  <si>
    <t>Overfeed Conveyor</t>
  </si>
  <si>
    <t>Pressurized Heating Screw</t>
  </si>
  <si>
    <t>2500 mm x 9500 mm (8' x 31')</t>
  </si>
  <si>
    <t>75 kW</t>
  </si>
  <si>
    <t>Dup. 2205</t>
  </si>
  <si>
    <t>Pressurized Pre-heater Discharge</t>
  </si>
  <si>
    <t>850 mm x 3500 mm (2'-10" x 12')</t>
  </si>
  <si>
    <t>Pressurized Transport - No. 1</t>
  </si>
  <si>
    <t>900 mm x 3500 mm (3' x 12')</t>
  </si>
  <si>
    <t>20 kW</t>
  </si>
  <si>
    <t>Incoloy 825-CLAD; CS</t>
  </si>
  <si>
    <t>Pressurized Transport - No. 2</t>
  </si>
  <si>
    <t>1200 mm x 3500 mm (4' x 12')</t>
  </si>
  <si>
    <t>40 kW</t>
  </si>
  <si>
    <t>H</t>
  </si>
  <si>
    <t>Doffing Roll Storage Bins</t>
  </si>
  <si>
    <t>60 cu. m. (2100 cu.ft.) with conveyors/scrapers</t>
  </si>
  <si>
    <t>304/316SS</t>
  </si>
  <si>
    <t>Pin Drum Feeder</t>
  </si>
  <si>
    <t>15 kW ea.</t>
  </si>
  <si>
    <t>Plug Screw Feeder</t>
  </si>
  <si>
    <t>1100 kW ea.</t>
  </si>
  <si>
    <t>Prehydrolysis / Vertical Preheater</t>
  </si>
  <si>
    <t>45 kW</t>
  </si>
  <si>
    <t>Pretreatment Reactor</t>
  </si>
  <si>
    <t>2600 mm x 9000 mm (9' x 30') - 2 min. residence time</t>
  </si>
  <si>
    <t>P</t>
  </si>
  <si>
    <t>HGI database</t>
  </si>
  <si>
    <t>Blowdown Tank Discharge Pump</t>
  </si>
  <si>
    <t>Hydrolyzate Pump</t>
  </si>
  <si>
    <t>1771 GPM, 150 FT TDH</t>
  </si>
  <si>
    <t>1771 GPM, 100 FT TDH</t>
  </si>
  <si>
    <t>T</t>
  </si>
  <si>
    <t>12,800 gal, 24hr residence time</t>
  </si>
  <si>
    <t>Ammonia Addition Tank</t>
  </si>
  <si>
    <t>118,000 gal, 1hr residence time</t>
  </si>
  <si>
    <t>Mueller</t>
  </si>
  <si>
    <t>500,000 gallon</t>
  </si>
  <si>
    <t>F</t>
  </si>
  <si>
    <t>1,000,000 gallon ea</t>
  </si>
  <si>
    <t>20,000 gallon, incl. coil - $176,000 ea</t>
  </si>
  <si>
    <t>200,000 gallon, incl. coil - $590,000 ea</t>
  </si>
  <si>
    <t>incl. w/ tank</t>
  </si>
  <si>
    <t>190 GPM, 150 FT TDH</t>
  </si>
  <si>
    <t>190 GPM, 615 FT TDH</t>
  </si>
  <si>
    <t>2152 GPM, 171 FT TDH</t>
  </si>
  <si>
    <t>300,000 gallon</t>
  </si>
  <si>
    <t>Media-Prep Tank Agitator</t>
  </si>
  <si>
    <t>Cellulase Nutrient Mix Tank Agitator</t>
  </si>
  <si>
    <t>Cellulase Fermentor</t>
  </si>
  <si>
    <t>Cellulase Nutrient Transfer Pump</t>
  </si>
  <si>
    <t>Cellulase Nutrient Mix Tank</t>
  </si>
  <si>
    <t>D</t>
  </si>
  <si>
    <t>E</t>
  </si>
  <si>
    <t>316SS</t>
  </si>
  <si>
    <t>108 GPM, 104 FT TDH</t>
  </si>
  <si>
    <t>S</t>
  </si>
  <si>
    <t>750,000 gal., 7 day storage, Floating roof</t>
  </si>
  <si>
    <t>SA- 516-70</t>
  </si>
  <si>
    <t>12,800 gal</t>
  </si>
  <si>
    <t>Year of Quote</t>
  </si>
  <si>
    <t>Scaling Val</t>
  </si>
  <si>
    <t>New Val</t>
  </si>
  <si>
    <t>Scaling Exp</t>
  </si>
  <si>
    <t>Purch Cost in Proj year</t>
  </si>
  <si>
    <t>Scaled Purch Cost</t>
  </si>
  <si>
    <t>Inst Factor</t>
  </si>
  <si>
    <t>Inst Cost in Proj year</t>
  </si>
  <si>
    <t xml:space="preserve">   Prorateable Expenses</t>
  </si>
  <si>
    <t>Net Present Value</t>
  </si>
  <si>
    <t>Purch Cost in Base Yr</t>
  </si>
  <si>
    <t>/dry US ton</t>
  </si>
  <si>
    <t>/gal</t>
  </si>
  <si>
    <t>Operating Hours/Yr</t>
  </si>
  <si>
    <t>Dearborn Mid-West</t>
  </si>
  <si>
    <t>160 MTPH ea., enclosed, 60 in. x 65 ft. long</t>
  </si>
  <si>
    <t>20 hp ea.</t>
  </si>
  <si>
    <t>DMWCC Price</t>
  </si>
  <si>
    <t>160 MTPH ea., enclosed, 72 in. wide</t>
  </si>
  <si>
    <t>50 hp ea.</t>
  </si>
  <si>
    <t>Included with DMWCC</t>
  </si>
  <si>
    <t>320 MT / hr, enclosed, 84 in. wide</t>
  </si>
  <si>
    <t>20 hp</t>
  </si>
  <si>
    <t>100 MTPH ea.</t>
  </si>
  <si>
    <t>100 MTPH ea., enclosed, 48 in. x 125 ft. long</t>
  </si>
  <si>
    <t>10 hp ea.</t>
  </si>
  <si>
    <t>100 MTPH, enclosed, 72 in. wide</t>
  </si>
  <si>
    <t>100 MTPH, enclosed, 48 in. x 200 ft. long</t>
  </si>
  <si>
    <t>10 hp</t>
  </si>
  <si>
    <t>70 MTPH ea., enclosed, 42 in. x 25 ft. long</t>
  </si>
  <si>
    <t>5 hp ea.</t>
  </si>
  <si>
    <t>2 x 50 hp ea.</t>
  </si>
  <si>
    <t>Tecweigh</t>
  </si>
  <si>
    <t>Scale plus processor</t>
  </si>
  <si>
    <t>25 hp ea.</t>
  </si>
  <si>
    <t>Waste Vapor Condenser</t>
  </si>
  <si>
    <t>17% suspended solids</t>
  </si>
  <si>
    <t>specify type of plastic</t>
  </si>
  <si>
    <t>return what was here before</t>
  </si>
  <si>
    <t>Cellulase Hold Tank Agitator</t>
  </si>
  <si>
    <t>Fermenter Air Compressor Package</t>
  </si>
  <si>
    <t>Dresser Roots</t>
  </si>
  <si>
    <t xml:space="preserve">2030 RAJ </t>
  </si>
  <si>
    <t>8000 SCFM @ 16 psig</t>
  </si>
  <si>
    <t>Motor base coupling, silencers, relief valve, flex conn's</t>
  </si>
  <si>
    <t>Cellulase Hold Tank</t>
  </si>
  <si>
    <t>KWS/Barnard-Boe</t>
  </si>
  <si>
    <t>Screw conveyor - 25 ft lg x 14" dia</t>
  </si>
  <si>
    <t>Assumes bulk density of 30 lb/cu ft</t>
  </si>
  <si>
    <t>Pressure Filter</t>
  </si>
  <si>
    <t>Beer Column Reflux Drum</t>
  </si>
  <si>
    <t>same size as 2002 report</t>
  </si>
  <si>
    <t>600,000 gal - 4 hrs @ 2500 gpm</t>
  </si>
  <si>
    <t>Glass lined</t>
  </si>
  <si>
    <t>Glass lined CS.  Price factored from current quote</t>
  </si>
  <si>
    <t>70,000 gal</t>
  </si>
  <si>
    <t>Marley SPX</t>
  </si>
  <si>
    <t>Price includes field erection, excludes basin.</t>
  </si>
  <si>
    <t>150 hp</t>
  </si>
  <si>
    <t>inumsscf</t>
  </si>
  <si>
    <t>strm.a200.228</t>
  </si>
  <si>
    <t>strm.a200.239</t>
  </si>
  <si>
    <t>ea</t>
  </si>
  <si>
    <t>strm.a500.571</t>
  </si>
  <si>
    <t>strm.a500.evap.572</t>
  </si>
  <si>
    <t>strm.a500.515</t>
  </si>
  <si>
    <t>strm.a700.713</t>
  </si>
  <si>
    <t>MMkcal/hr</t>
  </si>
  <si>
    <t>gal/gal</t>
  </si>
  <si>
    <t>strm.a200.214</t>
  </si>
  <si>
    <t>strm.a300.304</t>
  </si>
  <si>
    <t>strm.551</t>
  </si>
  <si>
    <t>strm.a500.523</t>
  </si>
  <si>
    <t>Boiler</t>
  </si>
  <si>
    <t>Lotus</t>
  </si>
  <si>
    <t>Viking</t>
  </si>
  <si>
    <t>Goulds</t>
  </si>
  <si>
    <t>3196; 6X8-13</t>
  </si>
  <si>
    <t>30 hp</t>
  </si>
  <si>
    <t>15 hp</t>
  </si>
  <si>
    <t>7.5 hp</t>
  </si>
  <si>
    <t>A&amp;B Process</t>
  </si>
  <si>
    <t>20 gallon skid complete - $37,700 ea</t>
  </si>
  <si>
    <t>200 gallon skid complete - $58,300 ea</t>
  </si>
  <si>
    <t>2000 gallon skid complete - $78,800 ea</t>
  </si>
  <si>
    <t>3196; 2X3-13</t>
  </si>
  <si>
    <t>340 GPM, 150 FT</t>
  </si>
  <si>
    <t>3196; 3X4-10</t>
  </si>
  <si>
    <t>3196; 3X4-13</t>
  </si>
  <si>
    <t>3196; 6X8-15</t>
  </si>
  <si>
    <t>352 GPM, 150 FT TDH</t>
  </si>
  <si>
    <t>[NREL spec: 200 hp]</t>
  </si>
  <si>
    <t>[NREL spec: 0.2 hp]</t>
  </si>
  <si>
    <t>[NREL spec: 2.0 hp]</t>
  </si>
  <si>
    <t>[NREL spec: 20 hp]</t>
  </si>
  <si>
    <t>3 hp</t>
  </si>
  <si>
    <t>[NREL spec: 1.5 hp]</t>
  </si>
  <si>
    <t>80 gallon skid complete - $46,000 ea</t>
  </si>
  <si>
    <t>800 gallon skid complete - $57,500 ea</t>
  </si>
  <si>
    <t>8,000 gallon skid complete - $95,400 ea</t>
  </si>
  <si>
    <t>3196; 1.5X3-13</t>
  </si>
  <si>
    <t>3196; 2X3-8</t>
  </si>
  <si>
    <t>Gear Pump 2 GPM, 100 FT</t>
  </si>
  <si>
    <t>Megtec</t>
  </si>
  <si>
    <t>14' dia. x 76' tall, 32 trays, 24" spacing</t>
  </si>
  <si>
    <t>Megtec Price</t>
  </si>
  <si>
    <t>Top 13' dia. x 68' h, Bottom 4'6" x 31' h</t>
  </si>
  <si>
    <t>Included with Megtec</t>
  </si>
  <si>
    <t>INCLUDED</t>
  </si>
  <si>
    <t>S &amp; T</t>
  </si>
  <si>
    <t>316SS;CS</t>
  </si>
  <si>
    <t>Plate &amp; Frame</t>
  </si>
  <si>
    <t>Delta-T</t>
  </si>
  <si>
    <t>10,000 gpm</t>
  </si>
  <si>
    <t>15 gpm</t>
  </si>
  <si>
    <t>150 gpm</t>
  </si>
  <si>
    <t>500 gpm</t>
  </si>
  <si>
    <t>3196; 1.5X3-10</t>
  </si>
  <si>
    <t>4' dia, 6' high, 50 psig design</t>
  </si>
  <si>
    <t>Envitech</t>
  </si>
  <si>
    <t>Inlet Gas: 9681 acfm, 91°F, 1.97 mass% Ethanol</t>
  </si>
  <si>
    <t>SS304;PP</t>
  </si>
  <si>
    <t>Ethanol removal &gt;99%</t>
  </si>
  <si>
    <t xml:space="preserve">4 inch </t>
  </si>
  <si>
    <t>may not be necessary</t>
  </si>
  <si>
    <t>DAP Make-up Tank Agitator</t>
  </si>
  <si>
    <t>5.5 hp</t>
  </si>
  <si>
    <t>DAP Bulk Bag Unloader</t>
  </si>
  <si>
    <t>Flexicon</t>
  </si>
  <si>
    <t>Super sack unloader</t>
  </si>
  <si>
    <t>bag support frame, hopper, bag flexer  level control, valve conveyor and control panel</t>
  </si>
  <si>
    <t>150 GPM, 112 FT TDH</t>
  </si>
  <si>
    <t>3196LF 1X1.5-8</t>
  </si>
  <si>
    <t>3175; 8x10-14AI</t>
  </si>
  <si>
    <t>2500 GPM, 150 FT TDH</t>
  </si>
  <si>
    <t>4 GPM, 60 FT</t>
  </si>
  <si>
    <t>8 GPM, 80 FT TDH</t>
  </si>
  <si>
    <t>DAP Pump</t>
  </si>
  <si>
    <t>2 GPM, 100 FT TDH</t>
  </si>
  <si>
    <t xml:space="preserve">5 day storage  per 1999 report </t>
  </si>
  <si>
    <t>65,000 gal., floating roof</t>
  </si>
  <si>
    <t>7 day storage per 1999 Report</t>
  </si>
  <si>
    <t>Glass lined CS</t>
  </si>
  <si>
    <t>DAP Bulk Bag Holder</t>
  </si>
  <si>
    <t>Super sack holder</t>
  </si>
  <si>
    <t>DAP Make-up Tank</t>
  </si>
  <si>
    <t>Rogers Machinery</t>
  </si>
  <si>
    <t>QNW752</t>
  </si>
  <si>
    <t>Includes control panel</t>
  </si>
  <si>
    <t>3175; 20X24-28</t>
  </si>
  <si>
    <t>3196; 4X6-10H</t>
  </si>
  <si>
    <t>Zeks</t>
  </si>
  <si>
    <t>70HSF</t>
  </si>
  <si>
    <t>670 SCFM - CYCLING TYPE</t>
  </si>
  <si>
    <t>Includes Coalescing filter</t>
  </si>
  <si>
    <t>3800 gal - 72" x 228" vertical</t>
  </si>
  <si>
    <t>strm.a400.409</t>
  </si>
  <si>
    <t>strm.422</t>
  </si>
  <si>
    <t>strm.a400.444</t>
  </si>
  <si>
    <t>Glucose</t>
  </si>
  <si>
    <t>strm.a500.511</t>
  </si>
  <si>
    <t>strm.703</t>
  </si>
  <si>
    <t>strm.735</t>
  </si>
  <si>
    <t>strm.a700.701</t>
  </si>
  <si>
    <t>strm.a900.914</t>
  </si>
  <si>
    <t>strm.a900.904</t>
  </si>
  <si>
    <t>strm.a900.905</t>
  </si>
  <si>
    <t xml:space="preserve">  Xylose olig to xylose</t>
  </si>
  <si>
    <t xml:space="preserve">  Mannose olig to mannose</t>
  </si>
  <si>
    <t xml:space="preserve">  Arabinose olig to arabinose</t>
  </si>
  <si>
    <t xml:space="preserve">  Galactose olig to galactose</t>
  </si>
  <si>
    <t>Sugar Losses:</t>
  </si>
  <si>
    <t>Production selectivity:</t>
  </si>
  <si>
    <t>M207</t>
  </si>
  <si>
    <t>M208</t>
  </si>
  <si>
    <t>cmix.h2o.a200.222</t>
  </si>
  <si>
    <t>cmix.h2o.a200.223</t>
  </si>
  <si>
    <t>F300SAC</t>
  </si>
  <si>
    <t>Conversions</t>
  </si>
  <si>
    <t>Overall</t>
  </si>
  <si>
    <t>F300</t>
  </si>
  <si>
    <t>heat.a900.qchwop</t>
  </si>
  <si>
    <t>ccis.enzyme.422</t>
  </si>
  <si>
    <t>CCIS.ENZYME.750</t>
  </si>
  <si>
    <t>ccis.enzyme.a400.420</t>
  </si>
  <si>
    <t>CCIS.enzyme.750</t>
  </si>
  <si>
    <t>cmix.nh3.a200.275</t>
  </si>
  <si>
    <t>cmix.nh3.a200.228</t>
  </si>
  <si>
    <t>Ammonia Loading (% stoich. excess)</t>
  </si>
  <si>
    <t>Protein harvest titer (g/L)</t>
  </si>
  <si>
    <t>STRM.A200.273</t>
  </si>
  <si>
    <t>strm.a300.t310fd</t>
  </si>
  <si>
    <t>scis.a300.t310fd</t>
  </si>
  <si>
    <t>CMIX.ARABINOS.a300.t310fd</t>
  </si>
  <si>
    <t>CMIX.ARABOLIG.a300.t310fd</t>
  </si>
  <si>
    <t>CMIX.CELLOB.a300.t310fd</t>
  </si>
  <si>
    <t>CMIX.EXTRACT.a300.t310fd</t>
  </si>
  <si>
    <t>CMIX.GALAOLIG.a300.t310fd</t>
  </si>
  <si>
    <t>CMIX.GALACTOS.a300.t310fd</t>
  </si>
  <si>
    <t>CMIX.GLUCOSE.a300.t310fd</t>
  </si>
  <si>
    <t>CMIX.GLUCOLIG.a300.t310fd</t>
  </si>
  <si>
    <t>CMIX.LGNSOL.a300.t310fd</t>
  </si>
  <si>
    <t>CMIX.MANOLIG.a300.t310fd</t>
  </si>
  <si>
    <t>CMIX.MANNOSE.a300.t310fd</t>
  </si>
  <si>
    <t>CMIX.XYLOLIG.a300.t310fd</t>
  </si>
  <si>
    <t>CMIX.XYLOSE.a300.t310fd</t>
  </si>
  <si>
    <t>cmix.h2o.a300.t310fd</t>
  </si>
  <si>
    <t>STRM.A300.f300fd</t>
  </si>
  <si>
    <t>cmix.h2o.a300.f300fd</t>
  </si>
  <si>
    <t>cmix.glucose.A300.308a</t>
  </si>
  <si>
    <t>cmix.glucose.a300.f300fd</t>
  </si>
  <si>
    <t>CMIX.ETHANOL.A300.315</t>
  </si>
  <si>
    <t>SMIX.A300.315</t>
  </si>
  <si>
    <t>PRES.A300.308</t>
  </si>
  <si>
    <t>temp.a300.308</t>
  </si>
  <si>
    <t>scis.a300.f300fd</t>
  </si>
  <si>
    <t>cmix.h2o.a300.308</t>
  </si>
  <si>
    <t>cmix.h2o.a300.306</t>
  </si>
  <si>
    <t>cmix.h2o.a300.306a</t>
  </si>
  <si>
    <t>cmix.h2o.a300.304b</t>
  </si>
  <si>
    <t>strm.501</t>
  </si>
  <si>
    <t>scis.a500.evap.571</t>
  </si>
  <si>
    <t>CMIX.ARABINOS.A300.306A</t>
  </si>
  <si>
    <t>CMIX.ARABOLIG.A300.306A</t>
  </si>
  <si>
    <t>CMIX.CELLOB.A300.306A</t>
  </si>
  <si>
    <t>CMIX.EXTRACT.A300.306A</t>
  </si>
  <si>
    <t>CMIX.GALAOLIG.A300.306A</t>
  </si>
  <si>
    <t>CMIX.GALACTOS.A300.306A</t>
  </si>
  <si>
    <t>CMIX.GLUCOSE.A300.306A</t>
  </si>
  <si>
    <t>CMIX.GLUCOLIG.A300.306A</t>
  </si>
  <si>
    <t>CMIX.LGNSOL.A300.306A</t>
  </si>
  <si>
    <t>CMIX.MANOLIG.A300.306A</t>
  </si>
  <si>
    <t>CMIX.MANNOSE.A300.306A</t>
  </si>
  <si>
    <t>CMIX.XYLOLIG.A300.306A</t>
  </si>
  <si>
    <t>CMIX.XYLOSE.A300.306A</t>
  </si>
  <si>
    <t>Inlets</t>
  </si>
  <si>
    <t>Outlets</t>
  </si>
  <si>
    <t>Inlet</t>
  </si>
  <si>
    <t>Ash</t>
  </si>
  <si>
    <t>Stack Gas</t>
  </si>
  <si>
    <t>Distillation</t>
  </si>
  <si>
    <t>Sulfuric</t>
  </si>
  <si>
    <t>Air</t>
  </si>
  <si>
    <t>Comb Air</t>
  </si>
  <si>
    <t>Well Water Input</t>
  </si>
  <si>
    <t>Ethanol</t>
  </si>
  <si>
    <t>Gas to Stack</t>
  </si>
  <si>
    <t>Evap Loss</t>
  </si>
  <si>
    <t>Material Stream</t>
  </si>
  <si>
    <t>UNITS</t>
  </si>
  <si>
    <t>IN</t>
  </si>
  <si>
    <t>OUT</t>
  </si>
  <si>
    <t>Total Flow</t>
  </si>
  <si>
    <t>Total Heat Flow</t>
  </si>
  <si>
    <t>Temperature</t>
  </si>
  <si>
    <t>Sensible Heat</t>
  </si>
  <si>
    <t>B</t>
  </si>
  <si>
    <t>Flowing Enthalpy</t>
  </si>
  <si>
    <t>Latent Heat</t>
  </si>
  <si>
    <t>Heat Stream</t>
  </si>
  <si>
    <t>QBOILER</t>
  </si>
  <si>
    <t>Work Stream</t>
  </si>
  <si>
    <t>MW</t>
  </si>
  <si>
    <t>Vapor Fraction</t>
  </si>
  <si>
    <t>QCH-A300</t>
  </si>
  <si>
    <t>QCH-A400</t>
  </si>
  <si>
    <t>A300.QF300F</t>
  </si>
  <si>
    <t>A300.QF300SAC</t>
  </si>
  <si>
    <t>A500.QCD502</t>
  </si>
  <si>
    <t>A500.QRD502</t>
  </si>
  <si>
    <t>A500.QHX512</t>
  </si>
  <si>
    <t>A800.QH812</t>
  </si>
  <si>
    <t>QH812</t>
  </si>
  <si>
    <t>QC-A300</t>
  </si>
  <si>
    <t>QC-A400</t>
  </si>
  <si>
    <t>QH-A500</t>
  </si>
  <si>
    <t>A100.WC101</t>
  </si>
  <si>
    <t>A100.WC102</t>
  </si>
  <si>
    <t>A100.WC103</t>
  </si>
  <si>
    <t>A100.WC104</t>
  </si>
  <si>
    <t>A100.WC105</t>
  </si>
  <si>
    <t>A100.WC106</t>
  </si>
  <si>
    <t>A100.WC107</t>
  </si>
  <si>
    <t>A100.WC108</t>
  </si>
  <si>
    <t>A100.WM102</t>
  </si>
  <si>
    <t>A100.WM103</t>
  </si>
  <si>
    <t>A100.WM106</t>
  </si>
  <si>
    <t>A200.WC201</t>
  </si>
  <si>
    <t>A200.WC202</t>
  </si>
  <si>
    <t>A200.WC203</t>
  </si>
  <si>
    <t>A200.WC204</t>
  </si>
  <si>
    <t>A200.WC205</t>
  </si>
  <si>
    <t>A200.WC206</t>
  </si>
  <si>
    <t>A200.WC207</t>
  </si>
  <si>
    <t>A200.WM201</t>
  </si>
  <si>
    <t>A200.WM202</t>
  </si>
  <si>
    <t>A200.WM203</t>
  </si>
  <si>
    <t>A200.WM204</t>
  </si>
  <si>
    <t>A200.WM206</t>
  </si>
  <si>
    <t>A200.WP201</t>
  </si>
  <si>
    <t>A200.WP203</t>
  </si>
  <si>
    <t>A200.WP209</t>
  </si>
  <si>
    <t>A200.WP239</t>
  </si>
  <si>
    <t>A200.WT203</t>
  </si>
  <si>
    <t>A200.WT224</t>
  </si>
  <si>
    <t>A200.WT209</t>
  </si>
  <si>
    <t>A300.WP310</t>
  </si>
  <si>
    <t>A300.WP301</t>
  </si>
  <si>
    <t>A300.WP302</t>
  </si>
  <si>
    <t>A300.WT301</t>
  </si>
  <si>
    <t>A300.WT306</t>
  </si>
  <si>
    <t>A400.WP400</t>
  </si>
  <si>
    <t>A400.WP420</t>
  </si>
  <si>
    <t>A400.WP401</t>
  </si>
  <si>
    <t>A400.WP405</t>
  </si>
  <si>
    <t>A400.WT400</t>
  </si>
  <si>
    <t>A400.WPA400</t>
  </si>
  <si>
    <t>A500.WM503</t>
  </si>
  <si>
    <t>A500.WP501</t>
  </si>
  <si>
    <t>A500.WP503</t>
  </si>
  <si>
    <t>A500.WP504</t>
  </si>
  <si>
    <t>A500.WP505</t>
  </si>
  <si>
    <t>A500.WP515</t>
  </si>
  <si>
    <t>A500.EVAP.WT530</t>
  </si>
  <si>
    <t>A600.WP610</t>
  </si>
  <si>
    <t>A600.WP602</t>
  </si>
  <si>
    <t>A600.WP616</t>
  </si>
  <si>
    <t>A600.WT606</t>
  </si>
  <si>
    <t>A700.WC755</t>
  </si>
  <si>
    <t>A700.WP710</t>
  </si>
  <si>
    <t>A700.WP720</t>
  </si>
  <si>
    <t>A700.WP760</t>
  </si>
  <si>
    <t>A700.WP701</t>
  </si>
  <si>
    <t>A700.WP703</t>
  </si>
  <si>
    <t>A700.WP704</t>
  </si>
  <si>
    <t>A700.WT720</t>
  </si>
  <si>
    <t>A700.WT760</t>
  </si>
  <si>
    <t>A800.WM804</t>
  </si>
  <si>
    <t>$TOTAL</t>
  </si>
  <si>
    <t>MASSFLMX</t>
  </si>
  <si>
    <t>HMX</t>
  </si>
  <si>
    <t>MIXED</t>
  </si>
  <si>
    <t>GLUCOSE</t>
  </si>
  <si>
    <t>CELLULOS</t>
  </si>
  <si>
    <t>XYLOSE</t>
  </si>
  <si>
    <t>XYLAN</t>
  </si>
  <si>
    <t>LIGNIN</t>
  </si>
  <si>
    <t>BIOMASS</t>
  </si>
  <si>
    <t>ZYMO</t>
  </si>
  <si>
    <t>ACETATE</t>
  </si>
  <si>
    <t>LGNSOL</t>
  </si>
  <si>
    <t>HMF</t>
  </si>
  <si>
    <t>ARABINOS</t>
  </si>
  <si>
    <t>GALACTOS</t>
  </si>
  <si>
    <t>MANNOSE</t>
  </si>
  <si>
    <t>ARABINAN</t>
  </si>
  <si>
    <t>MANNAN</t>
  </si>
  <si>
    <t>GALACTAN</t>
  </si>
  <si>
    <t>GLUCOLIG</t>
  </si>
  <si>
    <t>CELLOB</t>
  </si>
  <si>
    <t>XYLOLIG</t>
  </si>
  <si>
    <t>TAR</t>
  </si>
  <si>
    <t>MANOLIG</t>
  </si>
  <si>
    <t>GALAOLIG</t>
  </si>
  <si>
    <t>ARABOLIG</t>
  </si>
  <si>
    <t>XYLITOL</t>
  </si>
  <si>
    <t>EXTRACT</t>
  </si>
  <si>
    <t>PROTEIN</t>
  </si>
  <si>
    <t>ASH</t>
  </si>
  <si>
    <t>ETHANOL</t>
  </si>
  <si>
    <t>H2O</t>
  </si>
  <si>
    <t>FURFURAL</t>
  </si>
  <si>
    <t>H2SO4</t>
  </si>
  <si>
    <t>N2</t>
  </si>
  <si>
    <t>CO2</t>
  </si>
  <si>
    <t>O2</t>
  </si>
  <si>
    <t>CH4</t>
  </si>
  <si>
    <t>NO</t>
  </si>
  <si>
    <t>NO2</t>
  </si>
  <si>
    <t>NH3</t>
  </si>
  <si>
    <t>LACID</t>
  </si>
  <si>
    <t>AACID</t>
  </si>
  <si>
    <t>NH4SO4</t>
  </si>
  <si>
    <t>NH4ACET</t>
  </si>
  <si>
    <t>GLYCEROL</t>
  </si>
  <si>
    <t>SUCCACID</t>
  </si>
  <si>
    <t>DENAT</t>
  </si>
  <si>
    <t>OIL</t>
  </si>
  <si>
    <t>CNUTR</t>
  </si>
  <si>
    <t>WNUTR</t>
  </si>
  <si>
    <t>SO2</t>
  </si>
  <si>
    <t>H2S</t>
  </si>
  <si>
    <t>TRICHO</t>
  </si>
  <si>
    <t>ENZYME</t>
  </si>
  <si>
    <t>MOLEFLMX</t>
  </si>
  <si>
    <t>VOLFLMX</t>
  </si>
  <si>
    <t>TEMP</t>
  </si>
  <si>
    <t>PRES</t>
  </si>
  <si>
    <t>VFRAC</t>
  </si>
  <si>
    <t>LFRAC</t>
  </si>
  <si>
    <t>SFRAC</t>
  </si>
  <si>
    <t>SMX</t>
  </si>
  <si>
    <t>RHOMX</t>
  </si>
  <si>
    <t>MWMX</t>
  </si>
  <si>
    <t>VLSTDMX</t>
  </si>
  <si>
    <t>CISOLID</t>
  </si>
  <si>
    <t>A100.101</t>
  </si>
  <si>
    <t>A100.105</t>
  </si>
  <si>
    <t>A200.250</t>
  </si>
  <si>
    <t>A200.260</t>
  </si>
  <si>
    <t>A200.301</t>
  </si>
  <si>
    <t>A200.211</t>
  </si>
  <si>
    <t>A200.251</t>
  </si>
  <si>
    <t>A200.212</t>
  </si>
  <si>
    <t>A200.222</t>
  </si>
  <si>
    <t>A200.232</t>
  </si>
  <si>
    <t>A200.252</t>
  </si>
  <si>
    <t>A200.223</t>
  </si>
  <si>
    <t>A200.233</t>
  </si>
  <si>
    <t>A200.253</t>
  </si>
  <si>
    <t>A200.273</t>
  </si>
  <si>
    <t>A200.214</t>
  </si>
  <si>
    <t>A200.224</t>
  </si>
  <si>
    <t>A200.254</t>
  </si>
  <si>
    <t>A200.274</t>
  </si>
  <si>
    <t>A200.105</t>
  </si>
  <si>
    <t>A200.215</t>
  </si>
  <si>
    <t>A200.255</t>
  </si>
  <si>
    <t>A200.275</t>
  </si>
  <si>
    <t>A200.216</t>
  </si>
  <si>
    <t>A200.516</t>
  </si>
  <si>
    <t>A200.217</t>
  </si>
  <si>
    <t>A200.218</t>
  </si>
  <si>
    <t>A200.228</t>
  </si>
  <si>
    <t>A200.239</t>
  </si>
  <si>
    <t>A300.310</t>
  </si>
  <si>
    <t>A300.F300FD</t>
  </si>
  <si>
    <t>A300.301</t>
  </si>
  <si>
    <t>A300.501</t>
  </si>
  <si>
    <t>A300.311</t>
  </si>
  <si>
    <t>A300.T310FD</t>
  </si>
  <si>
    <t>A300.551</t>
  </si>
  <si>
    <t>A300.422</t>
  </si>
  <si>
    <t>A300.303</t>
  </si>
  <si>
    <t>A300.304</t>
  </si>
  <si>
    <t>A300.305</t>
  </si>
  <si>
    <t>A300.315</t>
  </si>
  <si>
    <t>A300.306</t>
  </si>
  <si>
    <t>A300.317</t>
  </si>
  <si>
    <t>A400.400</t>
  </si>
  <si>
    <t>A400.410</t>
  </si>
  <si>
    <t>A400.440</t>
  </si>
  <si>
    <t>A400.450</t>
  </si>
  <si>
    <t>A400.401</t>
  </si>
  <si>
    <t>A400.441</t>
  </si>
  <si>
    <t>A400.402</t>
  </si>
  <si>
    <t>A400.422</t>
  </si>
  <si>
    <t>A400.442</t>
  </si>
  <si>
    <t>A400.452</t>
  </si>
  <si>
    <t>A400.403</t>
  </si>
  <si>
    <t>A400.423</t>
  </si>
  <si>
    <t>A400.443</t>
  </si>
  <si>
    <t>A400.453</t>
  </si>
  <si>
    <t>A400.404</t>
  </si>
  <si>
    <t>A400.444</t>
  </si>
  <si>
    <t>A400.454</t>
  </si>
  <si>
    <t>A400.405</t>
  </si>
  <si>
    <t>A400.435</t>
  </si>
  <si>
    <t>A400.406</t>
  </si>
  <si>
    <t>A400.416</t>
  </si>
  <si>
    <t>A400.446</t>
  </si>
  <si>
    <t>A400.407</t>
  </si>
  <si>
    <t>A400.409</t>
  </si>
  <si>
    <t>A500.510</t>
  </si>
  <si>
    <t>A500.550</t>
  </si>
  <si>
    <t>A500.M503.512</t>
  </si>
  <si>
    <t>A500.M503.514</t>
  </si>
  <si>
    <t>A500.M503.517</t>
  </si>
  <si>
    <t>A500.M503.519</t>
  </si>
  <si>
    <t>A500.M503.511A</t>
  </si>
  <si>
    <t>A500.560</t>
  </si>
  <si>
    <t>A500.501</t>
  </si>
  <si>
    <t>A500.511</t>
  </si>
  <si>
    <t>A500.521</t>
  </si>
  <si>
    <t>A500.551</t>
  </si>
  <si>
    <t>A500.571</t>
  </si>
  <si>
    <t>A500.523</t>
  </si>
  <si>
    <t>A500.524</t>
  </si>
  <si>
    <t>A500.305</t>
  </si>
  <si>
    <t>A500.515</t>
  </si>
  <si>
    <t>A500.535</t>
  </si>
  <si>
    <t>A500.506</t>
  </si>
  <si>
    <t>A500.516</t>
  </si>
  <si>
    <t>A500.507</t>
  </si>
  <si>
    <t>A500.317</t>
  </si>
  <si>
    <t>A500.508</t>
  </si>
  <si>
    <t>A500.509</t>
  </si>
  <si>
    <t>A500.EVAP.557</t>
  </si>
  <si>
    <t>A500.EVAP.572</t>
  </si>
  <si>
    <t>A600.620</t>
  </si>
  <si>
    <t>A600.630</t>
  </si>
  <si>
    <t>A600.260</t>
  </si>
  <si>
    <t>A600.621</t>
  </si>
  <si>
    <t>A600.821</t>
  </si>
  <si>
    <t>A600.613</t>
  </si>
  <si>
    <t>A600.623</t>
  </si>
  <si>
    <t>A600.624</t>
  </si>
  <si>
    <t>A600.944</t>
  </si>
  <si>
    <t>A600.615</t>
  </si>
  <si>
    <t>A600.625</t>
  </si>
  <si>
    <t>A600.535</t>
  </si>
  <si>
    <t>A600.626</t>
  </si>
  <si>
    <t>A600.627</t>
  </si>
  <si>
    <t>A700.310</t>
  </si>
  <si>
    <t>A700.710</t>
  </si>
  <si>
    <t>A700.701</t>
  </si>
  <si>
    <t>A700.311</t>
  </si>
  <si>
    <t>A700.703</t>
  </si>
  <si>
    <t>A700.713</t>
  </si>
  <si>
    <t>A700.273</t>
  </si>
  <si>
    <t>A700.515</t>
  </si>
  <si>
    <t>A700.735</t>
  </si>
  <si>
    <t>A700.755</t>
  </si>
  <si>
    <t>A700.717</t>
  </si>
  <si>
    <t>A800.810</t>
  </si>
  <si>
    <t>A800.840</t>
  </si>
  <si>
    <t>A800.560</t>
  </si>
  <si>
    <t>A800.821</t>
  </si>
  <si>
    <t>A800.571</t>
  </si>
  <si>
    <t>A800.A810.216</t>
  </si>
  <si>
    <t>A800.A810.811</t>
  </si>
  <si>
    <t>A800.A810.812</t>
  </si>
  <si>
    <t>A800.A810.813</t>
  </si>
  <si>
    <t>A800.A810.815</t>
  </si>
  <si>
    <t>A800.A810.816</t>
  </si>
  <si>
    <t>A800.A810.811A</t>
  </si>
  <si>
    <t>A800.A810.813A</t>
  </si>
  <si>
    <t>A800.A810.815A</t>
  </si>
  <si>
    <t>A800.A810.816A</t>
  </si>
  <si>
    <t>A800.A810.811B</t>
  </si>
  <si>
    <t>A800.A810.812B</t>
  </si>
  <si>
    <t>A800.A810.813B</t>
  </si>
  <si>
    <t>A800.A810.812E</t>
  </si>
  <si>
    <t>A800.A810.815E</t>
  </si>
  <si>
    <t>A800.A810.811H</t>
  </si>
  <si>
    <t>A800.A810.821</t>
  </si>
  <si>
    <t>A800.A810.823</t>
  </si>
  <si>
    <t>A800.A810.821V</t>
  </si>
  <si>
    <t>A800.A810.896</t>
  </si>
  <si>
    <t>A800.803</t>
  </si>
  <si>
    <t>A800.623</t>
  </si>
  <si>
    <t>A800.804</t>
  </si>
  <si>
    <t>A800.615</t>
  </si>
  <si>
    <t>A800.809</t>
  </si>
  <si>
    <t>A900.400</t>
  </si>
  <si>
    <t>A900.940</t>
  </si>
  <si>
    <t>A900.950</t>
  </si>
  <si>
    <t>A900.211</t>
  </si>
  <si>
    <t>A900.811</t>
  </si>
  <si>
    <t>A900.941</t>
  </si>
  <si>
    <t>A900.951</t>
  </si>
  <si>
    <t>A900.904</t>
  </si>
  <si>
    <t>A900.914</t>
  </si>
  <si>
    <t>A900.524</t>
  </si>
  <si>
    <t>A900.944</t>
  </si>
  <si>
    <t>A900.274</t>
  </si>
  <si>
    <t>A900.905</t>
  </si>
  <si>
    <t>A900.945</t>
  </si>
  <si>
    <t>A900.906</t>
  </si>
  <si>
    <t>A900.906A</t>
  </si>
  <si>
    <t>A900.916</t>
  </si>
  <si>
    <t>A900.909</t>
  </si>
  <si>
    <t>A900.949</t>
  </si>
  <si>
    <t>col number</t>
  </si>
  <si>
    <t>VAPOR</t>
  </si>
  <si>
    <t>KMOL/SEC</t>
  </si>
  <si>
    <t>A400.420p</t>
  </si>
  <si>
    <t>Identifier String</t>
  </si>
  <si>
    <t>Corn Stover</t>
  </si>
  <si>
    <t>Report Type</t>
  </si>
  <si>
    <t>Design Report</t>
  </si>
  <si>
    <t>Year modeled</t>
  </si>
  <si>
    <t xml:space="preserve">CEU3232500008 </t>
  </si>
  <si>
    <t>Jun 09</t>
  </si>
  <si>
    <t>EIA Average Wholesale price, cents/kWh</t>
  </si>
  <si>
    <t>by year</t>
  </si>
  <si>
    <t>$/kWh</t>
  </si>
  <si>
    <t>Lignin Separation</t>
  </si>
  <si>
    <t>A500.CWA500</t>
  </si>
  <si>
    <t>GLUCOSE (MIXED)</t>
  </si>
  <si>
    <t>XYLOSE (MIXED)</t>
  </si>
  <si>
    <t>EXTRACT (MIXED)</t>
  </si>
  <si>
    <t>ARABINOS (MIXED)</t>
  </si>
  <si>
    <t>GALACTOS (MIXED)</t>
  </si>
  <si>
    <t>MANNOSE (MIXED)</t>
  </si>
  <si>
    <t>GLUCOLIG (MIXED)</t>
  </si>
  <si>
    <t>CELLOB (MIXED)</t>
  </si>
  <si>
    <t>XYLOLIG (MIXED)</t>
  </si>
  <si>
    <t>MANOLIG (MIXED)</t>
  </si>
  <si>
    <t>GALAOLIG (MIXED)</t>
  </si>
  <si>
    <t>ARABOLIG (MIXED)</t>
  </si>
  <si>
    <t>XYLITOL (MIXED)</t>
  </si>
  <si>
    <t>LGNSOL (MIXED)</t>
  </si>
  <si>
    <t>ETHANOL (MIXED)</t>
  </si>
  <si>
    <t>H2O (MIXED)</t>
  </si>
  <si>
    <t>FURFURAL (MIXED)</t>
  </si>
  <si>
    <t>HMF (MIXED)</t>
  </si>
  <si>
    <t>H2SO4 (MIXED)</t>
  </si>
  <si>
    <t>N2 (MIXED)</t>
  </si>
  <si>
    <t>CO2 (MIXED)</t>
  </si>
  <si>
    <t>O2 (MIXED)</t>
  </si>
  <si>
    <t>CH4 (MIXED)</t>
  </si>
  <si>
    <t>NO (MIXED)</t>
  </si>
  <si>
    <t>NO2 (MIXED)</t>
  </si>
  <si>
    <t>NH3 (MIXED)</t>
  </si>
  <si>
    <t>LACID (MIXED)</t>
  </si>
  <si>
    <t>AACID (MIXED)</t>
  </si>
  <si>
    <t>NH4SO4 (MIXED)</t>
  </si>
  <si>
    <t>NH4ACET (MIXED)</t>
  </si>
  <si>
    <t>GLYCEROL (MIXED)</t>
  </si>
  <si>
    <t>SUCCACID (MIXED)</t>
  </si>
  <si>
    <t>DAP (MIXED)</t>
  </si>
  <si>
    <t>DENAT (MIXED)</t>
  </si>
  <si>
    <t>OIL (MIXED)</t>
  </si>
  <si>
    <t>CNUTR (MIXED)</t>
  </si>
  <si>
    <t>WNUTR (MIXED)</t>
  </si>
  <si>
    <t>SO2 (MIXED)</t>
  </si>
  <si>
    <t>H2S (MIXED)</t>
  </si>
  <si>
    <t>CO (MIXED)</t>
  </si>
  <si>
    <t>CELLULOS (CISOLID)</t>
  </si>
  <si>
    <t>XYLAN (CISOLID)</t>
  </si>
  <si>
    <t>LIGNIN (CISOLID)</t>
  </si>
  <si>
    <t>ENZYME (CISOLID)</t>
  </si>
  <si>
    <t>BIOMASS (CISOLID)</t>
  </si>
  <si>
    <t>ZYMO (CISOLID)</t>
  </si>
  <si>
    <t>ACETATE (CISOLID)</t>
  </si>
  <si>
    <t>ARABINAN (CISOLID)</t>
  </si>
  <si>
    <t>MANNAN (CISOLID)</t>
  </si>
  <si>
    <t>GALACTAN (CISOLID)</t>
  </si>
  <si>
    <t>TAR (CISOLID)</t>
  </si>
  <si>
    <t>ASH (CISOLID)</t>
  </si>
  <si>
    <t>TRICHO (CISOLID)</t>
  </si>
  <si>
    <t>Cost reference</t>
  </si>
  <si>
    <t>USDA</t>
  </si>
  <si>
    <t>SRI CEH</t>
  </si>
  <si>
    <t>Set in Cell E20</t>
  </si>
  <si>
    <t>Set in Cell I20</t>
  </si>
  <si>
    <t>Corn Products via HGI</t>
  </si>
  <si>
    <t>Coast Southwest via HGI</t>
  </si>
  <si>
    <t>Ronas Chemicals via HGI</t>
  </si>
  <si>
    <t>Diammonium Phosph</t>
  </si>
  <si>
    <t>Disposal of Ash</t>
  </si>
  <si>
    <t>Glucose (enzyme production)</t>
  </si>
  <si>
    <t>Terra Industries via HGI, anhydrous, delivery to Iowa</t>
  </si>
  <si>
    <t>Heat / Duty streams</t>
  </si>
  <si>
    <t>Work Streams</t>
  </si>
  <si>
    <t>Work streams</t>
  </si>
  <si>
    <t>LOOKUP strings</t>
  </si>
  <si>
    <t>Data Set</t>
  </si>
  <si>
    <t>End Col</t>
  </si>
  <si>
    <t>End row</t>
  </si>
  <si>
    <t>Start Col</t>
  </si>
  <si>
    <t>Start Row</t>
  </si>
  <si>
    <t>Lookup String</t>
  </si>
  <si>
    <t>Sensitivity</t>
  </si>
  <si>
    <t>Heat streams</t>
  </si>
  <si>
    <t>aspenqw</t>
  </si>
  <si>
    <t>Material streams</t>
  </si>
  <si>
    <t>Input:</t>
  </si>
  <si>
    <t>Operating Summary</t>
  </si>
  <si>
    <t>Sulfuric Acid, 93%</t>
  </si>
  <si>
    <t>Basic Chemical, Omaha via HGI</t>
  </si>
  <si>
    <t>If taxable income &lt; 0, tax = $0</t>
  </si>
  <si>
    <t>Case ID: Auto</t>
  </si>
  <si>
    <t>or override</t>
  </si>
  <si>
    <t>ICLSEED</t>
  </si>
  <si>
    <t>SORBIT</t>
  </si>
  <si>
    <t>QH811</t>
  </si>
  <si>
    <t>A500.EVAP.QM505</t>
  </si>
  <si>
    <t>A500.EVAP.QM507</t>
  </si>
  <si>
    <t>A200.WM207</t>
  </si>
  <si>
    <t>A200.WP204</t>
  </si>
  <si>
    <t>A200.WP208</t>
  </si>
  <si>
    <t>A200.WT204</t>
  </si>
  <si>
    <t>A200.WT208</t>
  </si>
  <si>
    <t>A300.WA308</t>
  </si>
  <si>
    <t>A400.WP410</t>
  </si>
  <si>
    <t>A400.WP406</t>
  </si>
  <si>
    <t>A400.WT410</t>
  </si>
  <si>
    <t>A500.WH505</t>
  </si>
  <si>
    <t>A500.WP506</t>
  </si>
  <si>
    <t>A500.EVAP.WM507</t>
  </si>
  <si>
    <t>A900.WM904</t>
  </si>
  <si>
    <t>HNO3</t>
  </si>
  <si>
    <t>A500.EVAP.SQAIRCL</t>
  </si>
  <si>
    <t>A500.EVAP.SQAIRIN</t>
  </si>
  <si>
    <t>HNO3 (MIXED)</t>
  </si>
  <si>
    <t>KOMAX</t>
  </si>
  <si>
    <t>Komax</t>
  </si>
  <si>
    <t>Flash Tank Agitator</t>
  </si>
  <si>
    <t>UET Mixers</t>
  </si>
  <si>
    <t>New as of 9/9/09 Mark-ups</t>
  </si>
  <si>
    <t>Oligomer Hold Tank Agitator</t>
  </si>
  <si>
    <t>Ammonia Static Mixer</t>
  </si>
  <si>
    <t>Pretreatment Water Heater</t>
  </si>
  <si>
    <t>GEA Rainey</t>
  </si>
  <si>
    <t>3196; 2X3-6</t>
  </si>
  <si>
    <t>9 GPM, 245 FT TDH</t>
  </si>
  <si>
    <t>900 GPM, 150 FT TDH</t>
  </si>
  <si>
    <t>Flash Tank Discharge Pump</t>
  </si>
  <si>
    <t>Reacidified Hydrolyzate Pump</t>
  </si>
  <si>
    <t>Flash Tank</t>
  </si>
  <si>
    <t>23' x 48' - 110,000 gal.</t>
  </si>
  <si>
    <t>2.6 atm, 130C operating
30 min. hold = 30,000 gal</t>
  </si>
  <si>
    <t>strm.a200.254</t>
  </si>
  <si>
    <t>strm.a200.222</t>
  </si>
  <si>
    <t>strm.a200.275</t>
  </si>
  <si>
    <t>Heat.A200.QH201</t>
  </si>
  <si>
    <t>Heat.A200.QH244</t>
  </si>
  <si>
    <t>HEAT.A200.QH244</t>
  </si>
  <si>
    <t>density 1.8</t>
  </si>
  <si>
    <t>density 1.0</t>
  </si>
  <si>
    <t>strm.a200.223</t>
  </si>
  <si>
    <t>Enzyme-Hydrolysate Mixer</t>
  </si>
  <si>
    <t>GLV</t>
  </si>
  <si>
    <t>inline mixer 1673 gpm</t>
  </si>
  <si>
    <t>100 hp</t>
  </si>
  <si>
    <t>inline mixer prior to saccharification tower</t>
  </si>
  <si>
    <t>verify sizing (and qty) for new config, 2 hr turnaround</t>
  </si>
  <si>
    <t>verify cycle time at 36 hrs</t>
  </si>
  <si>
    <t>(24 batch + 12 turnaround)</t>
  </si>
  <si>
    <t>Alfa Laval</t>
  </si>
  <si>
    <t>Plate &amp; frame</t>
  </si>
  <si>
    <t>Fox Engineering</t>
  </si>
  <si>
    <t>Size 54-240</t>
  </si>
  <si>
    <t>SS 304</t>
  </si>
  <si>
    <t>4.95 MM Kcal/hr.  72 C in/49 C out 1674 gpm</t>
  </si>
  <si>
    <t>Fermentor Batch Cooler</t>
  </si>
  <si>
    <t>Saccharification Transfer Pump</t>
  </si>
  <si>
    <t>Caldwell</t>
  </si>
  <si>
    <t>250,000 gal each - 19' dia. x 120' tall</t>
  </si>
  <si>
    <t>80,000 gal, 1 atm, 28 °C, Internal coil</t>
  </si>
  <si>
    <t>Cooling coil included with Cellulase Fermenter</t>
  </si>
  <si>
    <t>Cooling coil included with cellulase fermenter</t>
  </si>
  <si>
    <t>Media Prep Tank Cooler</t>
  </si>
  <si>
    <t>Cooling coil included with Media Prep Tank</t>
  </si>
  <si>
    <t>Cooling coil included with tank</t>
  </si>
  <si>
    <t>Cellulase Feed Pump</t>
  </si>
  <si>
    <t>Gear Pump</t>
  </si>
  <si>
    <t>SO2 Storage Tank</t>
  </si>
  <si>
    <t>SO2 Vendor</t>
  </si>
  <si>
    <t>Provided with SO3 purchase</t>
  </si>
  <si>
    <t>20,000 gallon, incl. coil</t>
  </si>
  <si>
    <t>4 hours residence</t>
  </si>
  <si>
    <t xml:space="preserve">Harrington </t>
  </si>
  <si>
    <t>HDPE</t>
  </si>
  <si>
    <t>size from  T-405 from 1999 report per</t>
  </si>
  <si>
    <t>80,000 gal</t>
  </si>
  <si>
    <t>Factored pricing - Actual quotation due 9/29</t>
  </si>
  <si>
    <t>Filtrate Tank Agitator</t>
  </si>
  <si>
    <t>Revised to SS</t>
  </si>
  <si>
    <t>Lignin Wet Cake Conveyor</t>
  </si>
  <si>
    <t>New Price - revised without H-505, I&amp;C</t>
  </si>
  <si>
    <t>Rectification Column Condenser</t>
  </si>
  <si>
    <t>2-1540T156</t>
  </si>
  <si>
    <t>Outlet temp. = 81C / 61.9 MMBtu exchanged</t>
  </si>
  <si>
    <t>Molecular Sieve Package (9 pieces)</t>
  </si>
  <si>
    <t>Atlas-Copco</t>
  </si>
  <si>
    <t>GR 110-20</t>
  </si>
  <si>
    <t>460 SCFM, 300 psig</t>
  </si>
  <si>
    <t>from Larox</t>
  </si>
  <si>
    <t>GA 500-10</t>
  </si>
  <si>
    <t>4000 SCFM, 130 psig (ea)</t>
  </si>
  <si>
    <t>700 hp ea.</t>
  </si>
  <si>
    <t>2000 gpm</t>
  </si>
  <si>
    <t>Filtrate Tank Discharge Pump</t>
  </si>
  <si>
    <t>Sulzer</t>
  </si>
  <si>
    <t>32-100</t>
  </si>
  <si>
    <t>75 hp</t>
  </si>
  <si>
    <t>Feed Pump</t>
  </si>
  <si>
    <t>Warman</t>
  </si>
  <si>
    <t>8/6</t>
  </si>
  <si>
    <t>sizing by Larox</t>
  </si>
  <si>
    <t>Manifold Flush Pump</t>
  </si>
  <si>
    <t>6/4</t>
  </si>
  <si>
    <t>Cloth Wash Pump</t>
  </si>
  <si>
    <t>Filtrate Discharge Pump</t>
  </si>
  <si>
    <t>Larox</t>
  </si>
  <si>
    <t>FFP 2512 - 60/60</t>
  </si>
  <si>
    <t>Filtrate Tank</t>
  </si>
  <si>
    <t>Feed Tank</t>
  </si>
  <si>
    <t>Harrington Plastic</t>
  </si>
  <si>
    <t>4000 gal.</t>
  </si>
  <si>
    <t>Pressing Air Compressor Receiver</t>
  </si>
  <si>
    <t>1350 gal., 300 psig design</t>
  </si>
  <si>
    <t>Drying Air Compressor Receiver</t>
  </si>
  <si>
    <t>9,000 gal., 150 psig design</t>
  </si>
  <si>
    <t>Installed cost</t>
  </si>
  <si>
    <t>Installed cost excluding foundations</t>
  </si>
  <si>
    <t>Chemithon</t>
  </si>
  <si>
    <t>Included with C-755</t>
  </si>
  <si>
    <t>Babcock &amp; Wilcox</t>
  </si>
  <si>
    <t>BOILER MFR</t>
  </si>
  <si>
    <t>9.4 MM Btu/hr</t>
  </si>
  <si>
    <t>TowerPak</t>
  </si>
  <si>
    <t>2752 kW</t>
  </si>
  <si>
    <t>Siemens</t>
  </si>
  <si>
    <t>SST-300</t>
  </si>
  <si>
    <t>23.6 kW, 2 extractions</t>
  </si>
  <si>
    <t>Proctor Sales</t>
  </si>
  <si>
    <t>Amine Addition Pkg.</t>
  </si>
  <si>
    <t>Use some other amine - Hydrazine carcinogenic</t>
  </si>
  <si>
    <t>Amine Transfer Pump</t>
  </si>
  <si>
    <t>Tray type</t>
  </si>
  <si>
    <t>Amine Drum</t>
  </si>
  <si>
    <t>Trane</t>
  </si>
  <si>
    <t>Recent Trane quote for similar sized chiller</t>
  </si>
  <si>
    <t>100,000 GAL</t>
  </si>
  <si>
    <t>SS304/SS316</t>
  </si>
  <si>
    <t>Process Water Tank No. 1</t>
  </si>
  <si>
    <t>250,000 gal</t>
  </si>
  <si>
    <t>Sized for 2 hrs</t>
  </si>
  <si>
    <t>heat.a300.qc301</t>
  </si>
  <si>
    <t>HEAT.A300.QC301</t>
  </si>
  <si>
    <t>strm.a300.306</t>
  </si>
  <si>
    <t>strm.a400.422</t>
  </si>
  <si>
    <t>heat.a500.qcd502</t>
  </si>
  <si>
    <t>strm.a500.evap.sqairin</t>
  </si>
  <si>
    <t>strm.a500.evap.557</t>
  </si>
  <si>
    <t>strm.a500.535</t>
  </si>
  <si>
    <t>strm.a500.508</t>
  </si>
  <si>
    <t>strm.a500.evap.571</t>
  </si>
  <si>
    <t>35,000 kg/hr dry solids @ 35% moisture</t>
  </si>
  <si>
    <t>strm.a600.612</t>
  </si>
  <si>
    <t>heat.QH812</t>
  </si>
  <si>
    <t>work.wtotal</t>
  </si>
  <si>
    <t>strm.a900.945</t>
  </si>
  <si>
    <t>Cooling tower</t>
  </si>
  <si>
    <t>a900.944</t>
  </si>
  <si>
    <t>a900.949</t>
  </si>
  <si>
    <t>makeup</t>
  </si>
  <si>
    <t>blowdown</t>
  </si>
  <si>
    <t>Table I. Ethanol Plant Overall Energy Balance</t>
  </si>
  <si>
    <t>Energy Flow [MMkcal/hr]</t>
  </si>
  <si>
    <t>Ratio to Feedstock Energy Flow</t>
  </si>
  <si>
    <t>Major Energy Inlets</t>
  </si>
  <si>
    <t>Stover Feedstock</t>
  </si>
  <si>
    <t>Well Water</t>
  </si>
  <si>
    <t>Other</t>
  </si>
  <si>
    <t>Major Energy Outlets</t>
  </si>
  <si>
    <t>Cooling Tower Evap.</t>
  </si>
  <si>
    <t>Combustion Exhaust</t>
  </si>
  <si>
    <t>Soluble Solids</t>
  </si>
  <si>
    <t>Ethanol Product</t>
  </si>
  <si>
    <t>enzyme vent</t>
  </si>
  <si>
    <t>Scrubber vent</t>
  </si>
  <si>
    <t>air</t>
  </si>
  <si>
    <t>comb ash</t>
  </si>
  <si>
    <t>Table I. Ethanol Plant Overall Carbon Balance</t>
  </si>
  <si>
    <t>Carbon Flow (Ckmol/hr)</t>
  </si>
  <si>
    <t>Ratio to Feedstock Carbon Content (Ckmol basis)</t>
  </si>
  <si>
    <t>Carbon Inlets</t>
  </si>
  <si>
    <t>Carbon Outlets</t>
  </si>
  <si>
    <t>Scrubber Vent</t>
  </si>
  <si>
    <t xml:space="preserve">Ash </t>
  </si>
  <si>
    <t>Aerobic Vent</t>
  </si>
  <si>
    <t>Cooling Water Users</t>
  </si>
  <si>
    <t>Total Duty</t>
  </si>
  <si>
    <t>HEAT.A900.QTTOTAL</t>
  </si>
  <si>
    <t>HEAT.A300.QF300SAC</t>
  </si>
  <si>
    <t>HEAT.A400.QM401</t>
  </si>
  <si>
    <t>HEAT.A500.QH503</t>
  </si>
  <si>
    <t>HEAT.A500.QH509</t>
  </si>
  <si>
    <t>HEAT.A900.QM811</t>
  </si>
  <si>
    <t>Condensing Turbine</t>
  </si>
  <si>
    <t>Chiller condenser</t>
  </si>
  <si>
    <t>HEAT.A900.QCHILCON</t>
  </si>
  <si>
    <t>Sum</t>
  </si>
  <si>
    <t>Combustor stack</t>
  </si>
  <si>
    <t>Xylose</t>
  </si>
  <si>
    <t>CMIX.N2.A400.423</t>
  </si>
  <si>
    <t>CMIX.CO2.A400.423</t>
  </si>
  <si>
    <t>CMIX.O2.A400.423</t>
  </si>
  <si>
    <t>CMIX.NH3.A400.423</t>
  </si>
  <si>
    <t>CMIX.SO2.A400.423</t>
  </si>
  <si>
    <t>CMIX.N2.A400.435</t>
  </si>
  <si>
    <t>CMIX.CO2.A400.435</t>
  </si>
  <si>
    <t>CMIX.O2.A400.435</t>
  </si>
  <si>
    <t>CMIX.ETHANOL.A500.550</t>
  </si>
  <si>
    <t>CMIX.CO2.A500.550</t>
  </si>
  <si>
    <t>CMIX.O2.A500.550</t>
  </si>
  <si>
    <t>CMIX.FURFURAL.A600.620</t>
  </si>
  <si>
    <t>CMIX.N2.A600.620</t>
  </si>
  <si>
    <t>CMIX.CO2.A600.620</t>
  </si>
  <si>
    <t>CMIX.O2.A600.620</t>
  </si>
  <si>
    <t>CMIX.CH4.A600.620</t>
  </si>
  <si>
    <t>CMIX.NO2.A600.620</t>
  </si>
  <si>
    <t>CMIX.ETHANOL.703</t>
  </si>
  <si>
    <t>CMIX.H2O.703</t>
  </si>
  <si>
    <t>CMIX.CO2.703</t>
  </si>
  <si>
    <t>CMIX.NH3.703</t>
  </si>
  <si>
    <t>CMIX.DENAT.703</t>
  </si>
  <si>
    <t>CMIX.XYLOSE.A800.810</t>
  </si>
  <si>
    <t>CMIX.HMF.A800.810</t>
  </si>
  <si>
    <t>CMIX.GLUCOLIG.A800.810</t>
  </si>
  <si>
    <t>CMIX.XYLITOL.A800.810</t>
  </si>
  <si>
    <t>CMIX.EXTRACT.A800.810</t>
  </si>
  <si>
    <t>CMIX.H2SO4.A800.810</t>
  </si>
  <si>
    <t>CMIX.N2.A800.810</t>
  </si>
  <si>
    <t>CMIX.CO2.A800.810</t>
  </si>
  <si>
    <t>CMIX.O2.A800.810</t>
  </si>
  <si>
    <t>CMIX.CH4.A800.810</t>
  </si>
  <si>
    <t>CMIX.NO2.A800.810</t>
  </si>
  <si>
    <t>CMIX.LACID.A800.810</t>
  </si>
  <si>
    <t>CMIX.AACID.A800.810</t>
  </si>
  <si>
    <t>CMIX.NH4ACET.A800.810</t>
  </si>
  <si>
    <t>CMIX.DAP.A800.810</t>
  </si>
  <si>
    <t>CMIX.SO2.A800.810</t>
  </si>
  <si>
    <t>CMIX.CO.A800.810</t>
  </si>
  <si>
    <t>CMIX.H2O.A900.941</t>
  </si>
  <si>
    <t>Sugar Production Process Engineering Analysis</t>
  </si>
  <si>
    <t>Total Capital Investment</t>
  </si>
  <si>
    <t>Dilute Acid Prehydrolysis with Enzymatic Saccharification</t>
  </si>
  <si>
    <t>Minimum Sugar Selling Price</t>
  </si>
  <si>
    <t>Glucose (Enzyme Production)</t>
  </si>
  <si>
    <t>Installed Equipment Cost/Annual lb</t>
  </si>
  <si>
    <t>Total Project Investment/Annual lb</t>
  </si>
  <si>
    <t>Interest rate</t>
  </si>
  <si>
    <t>Sugar Production Rate (MMlb/yr)</t>
  </si>
  <si>
    <t>Minimum Sugar Selling Price ($/lb)</t>
  </si>
  <si>
    <t>Excess Electricity (KWH/lb)</t>
  </si>
  <si>
    <t>Plant Electricity Use (KWH/lb)</t>
  </si>
  <si>
    <t xml:space="preserve">   Raw Materials</t>
  </si>
  <si>
    <t>Main PT Reactor:</t>
  </si>
  <si>
    <t>If income taxable income &lt; 0, tax = $0</t>
  </si>
  <si>
    <t>Oligomer Hold Reactor:</t>
  </si>
  <si>
    <t>OVERALL:</t>
  </si>
  <si>
    <t>Sugar Production Rate (MM lb/yr)</t>
  </si>
  <si>
    <t>Operating Hours per Year</t>
  </si>
  <si>
    <t>target cellulase</t>
  </si>
  <si>
    <t>$/dry ton</t>
  </si>
  <si>
    <t>Cost on a dry basis</t>
  </si>
  <si>
    <t>2007 Cost</t>
  </si>
  <si>
    <t>STRM.A700.710</t>
  </si>
  <si>
    <t>Boiler Chems</t>
  </si>
  <si>
    <t>Cooling Twr Chems</t>
  </si>
  <si>
    <t>WWT</t>
  </si>
  <si>
    <t>Combustor Ash</t>
  </si>
  <si>
    <t>$/KW</t>
  </si>
  <si>
    <t>na</t>
  </si>
  <si>
    <t>100% Conversion to Ethanol</t>
  </si>
  <si>
    <t>Sugar product pump</t>
  </si>
  <si>
    <t>Ethanol Density</t>
  </si>
  <si>
    <t>DEN.515</t>
  </si>
  <si>
    <t>Feed Water</t>
  </si>
  <si>
    <t>Feed % Water</t>
  </si>
  <si>
    <t>Total Electricity Produced</t>
  </si>
  <si>
    <t>WORK.A900.WTOTAL</t>
  </si>
  <si>
    <t>Steam Used</t>
  </si>
  <si>
    <t>Sugar Production</t>
  </si>
  <si>
    <t>STRM.535</t>
  </si>
  <si>
    <t>strm.a700.710</t>
  </si>
  <si>
    <t>Index-Electricity</t>
  </si>
  <si>
    <t>Index-Labor</t>
  </si>
  <si>
    <t>Index-Chemical</t>
  </si>
  <si>
    <t>Index-Capital</t>
  </si>
  <si>
    <t>Hydrolyzate Solid-Liquid Separator</t>
  </si>
  <si>
    <t>scis.a200.254b</t>
  </si>
  <si>
    <t>PFD-P120-A101</t>
  </si>
  <si>
    <t>COMPONENT</t>
  </si>
  <si>
    <t>Insoluble Solids</t>
  </si>
  <si>
    <t>%</t>
  </si>
  <si>
    <t>°C</t>
  </si>
  <si>
    <t>Pressure</t>
  </si>
  <si>
    <t>atm</t>
  </si>
  <si>
    <t>Water</t>
  </si>
  <si>
    <t>Glucose (SS)</t>
  </si>
  <si>
    <t>Xylose (SS)</t>
  </si>
  <si>
    <t>Acetic Acid</t>
  </si>
  <si>
    <t>Furfurals</t>
  </si>
  <si>
    <t>Other Organics</t>
  </si>
  <si>
    <t>Carbon Dioxide</t>
  </si>
  <si>
    <t>Methane</t>
  </si>
  <si>
    <t>Cellulose (IS)</t>
  </si>
  <si>
    <t>Xylan (IS)</t>
  </si>
  <si>
    <t>Acetate (IS)</t>
  </si>
  <si>
    <t>Cell Mass (IS)</t>
  </si>
  <si>
    <t>Lignin (IS)</t>
  </si>
  <si>
    <t>Other Insoluble Solids (IS)</t>
  </si>
  <si>
    <t>PFD-P120-A201</t>
  </si>
  <si>
    <t>PFD-P120-A202</t>
  </si>
  <si>
    <t>PFD-P120-A301</t>
  </si>
  <si>
    <t>PFD-P120-A302</t>
  </si>
  <si>
    <t>PFD-P120-A401</t>
  </si>
  <si>
    <t>PFD-P120-A402</t>
  </si>
  <si>
    <t>PFD-P120-A501</t>
  </si>
  <si>
    <t>PFD-P120-A502</t>
  </si>
  <si>
    <t>PFD-P120-A503</t>
  </si>
  <si>
    <t>511A</t>
  </si>
  <si>
    <t>PFD-P120-A505</t>
  </si>
  <si>
    <t>PFD-P120-A601</t>
  </si>
  <si>
    <t>PFD-P120-A602</t>
  </si>
  <si>
    <t>PFD-P120-A701</t>
  </si>
  <si>
    <t>PFD-P120-A702</t>
  </si>
  <si>
    <t>PFD-P120-A801</t>
  </si>
  <si>
    <t>PFD-P120-A802</t>
  </si>
  <si>
    <t>812B</t>
  </si>
  <si>
    <t>813A</t>
  </si>
  <si>
    <t>813B</t>
  </si>
  <si>
    <t>815A</t>
  </si>
  <si>
    <t>815E</t>
  </si>
  <si>
    <t>816A</t>
  </si>
  <si>
    <t>PFD-P120-A803</t>
  </si>
  <si>
    <t>811A</t>
  </si>
  <si>
    <t>811B</t>
  </si>
  <si>
    <t>811H</t>
  </si>
  <si>
    <t>812E</t>
  </si>
  <si>
    <t>PFD-P120-A804</t>
  </si>
  <si>
    <t>PFD-P120-A901</t>
  </si>
  <si>
    <t>PFD-P120-A902</t>
  </si>
  <si>
    <t>PFD-P120-A903</t>
  </si>
  <si>
    <t>WC101</t>
  </si>
  <si>
    <t>WC107</t>
  </si>
  <si>
    <t>WC102</t>
  </si>
  <si>
    <t>WC108</t>
  </si>
  <si>
    <t>WC103</t>
  </si>
  <si>
    <t>WM102</t>
  </si>
  <si>
    <t>WC104</t>
  </si>
  <si>
    <t>WM103</t>
  </si>
  <si>
    <t>WC105</t>
  </si>
  <si>
    <t>WM106</t>
  </si>
  <si>
    <t>WC106</t>
  </si>
  <si>
    <t>WC201</t>
  </si>
  <si>
    <t>WM203</t>
  </si>
  <si>
    <t>WC202</t>
  </si>
  <si>
    <t>WM204</t>
  </si>
  <si>
    <t>WC203</t>
  </si>
  <si>
    <t>WM205</t>
  </si>
  <si>
    <t>WC204</t>
  </si>
  <si>
    <t>WM206</t>
  </si>
  <si>
    <t>WC205</t>
  </si>
  <si>
    <t>WM207</t>
  </si>
  <si>
    <t>WC206</t>
  </si>
  <si>
    <t>WP201</t>
  </si>
  <si>
    <t>WC207</t>
  </si>
  <si>
    <t>WP203</t>
  </si>
  <si>
    <t>WM201</t>
  </si>
  <si>
    <t>WT203</t>
  </si>
  <si>
    <t>WM202</t>
  </si>
  <si>
    <t>QH201</t>
  </si>
  <si>
    <t>QH244</t>
  </si>
  <si>
    <t>WP204</t>
  </si>
  <si>
    <t>WP208</t>
  </si>
  <si>
    <t>WP209</t>
  </si>
  <si>
    <t>WT204</t>
  </si>
  <si>
    <t>WT208</t>
  </si>
  <si>
    <t>WT209</t>
  </si>
  <si>
    <t>QF301-5</t>
  </si>
  <si>
    <t>WP301</t>
  </si>
  <si>
    <t>WP302</t>
  </si>
  <si>
    <t>WT301</t>
  </si>
  <si>
    <t>QC301</t>
  </si>
  <si>
    <t>WA308</t>
  </si>
  <si>
    <t>WP306</t>
  </si>
  <si>
    <t>WP310</t>
  </si>
  <si>
    <t>WT306</t>
  </si>
  <si>
    <t>QF401-3</t>
  </si>
  <si>
    <t>WM401</t>
  </si>
  <si>
    <t>QM401</t>
  </si>
  <si>
    <t>WP401</t>
  </si>
  <si>
    <t>WT401-3</t>
  </si>
  <si>
    <t>QF400</t>
  </si>
  <si>
    <t>WP400</t>
  </si>
  <si>
    <t>WP405</t>
  </si>
  <si>
    <t>WP406</t>
  </si>
  <si>
    <t>WP410</t>
  </si>
  <si>
    <t>WP420</t>
  </si>
  <si>
    <t>WT400</t>
  </si>
  <si>
    <t>WT410</t>
  </si>
  <si>
    <t>QCD501</t>
  </si>
  <si>
    <t>WP501</t>
  </si>
  <si>
    <t>QH512</t>
  </si>
  <si>
    <t>WP503</t>
  </si>
  <si>
    <t>QRD501</t>
  </si>
  <si>
    <t>WP506</t>
  </si>
  <si>
    <t>QCD502</t>
  </si>
  <si>
    <t>WH505</t>
  </si>
  <si>
    <t>QRD502</t>
  </si>
  <si>
    <t>WP504</t>
  </si>
  <si>
    <t>WP505</t>
  </si>
  <si>
    <t>WP515</t>
  </si>
  <si>
    <t>QH503</t>
  </si>
  <si>
    <t>WM503</t>
  </si>
  <si>
    <t>QH506</t>
  </si>
  <si>
    <t>QH507</t>
  </si>
  <si>
    <t>QH509</t>
  </si>
  <si>
    <t>QM505</t>
  </si>
  <si>
    <t>WC501</t>
  </si>
  <si>
    <t>QM507</t>
  </si>
  <si>
    <t>WC502</t>
  </si>
  <si>
    <t>WM505</t>
  </si>
  <si>
    <t>WM507</t>
  </si>
  <si>
    <t>WP530</t>
  </si>
  <si>
    <t>WP531</t>
  </si>
  <si>
    <t>WP532</t>
  </si>
  <si>
    <t>WP533</t>
  </si>
  <si>
    <t>WP581</t>
  </si>
  <si>
    <t>WT530</t>
  </si>
  <si>
    <t>WP602</t>
  </si>
  <si>
    <t>WT606</t>
  </si>
  <si>
    <t>WP616</t>
  </si>
  <si>
    <t>WP610</t>
  </si>
  <si>
    <t>WP701</t>
  </si>
  <si>
    <t>WP703</t>
  </si>
  <si>
    <t>WP704</t>
  </si>
  <si>
    <t>WP710</t>
  </si>
  <si>
    <t>WP720</t>
  </si>
  <si>
    <t>WT720</t>
  </si>
  <si>
    <t>WC755</t>
  </si>
  <si>
    <t>WP760</t>
  </si>
  <si>
    <t>WT760</t>
  </si>
  <si>
    <t>QH801</t>
  </si>
  <si>
    <t>WCOMBFAN</t>
  </si>
  <si>
    <t>WM804</t>
  </si>
  <si>
    <t>WP811</t>
  </si>
  <si>
    <t>WPLANT</t>
  </si>
  <si>
    <t>WP804</t>
  </si>
  <si>
    <t>WP824</t>
  </si>
  <si>
    <t>WP826</t>
  </si>
  <si>
    <t>WP828</t>
  </si>
  <si>
    <t>WM830</t>
  </si>
  <si>
    <t>WM832</t>
  </si>
  <si>
    <t>WM834</t>
  </si>
  <si>
    <t>WP830</t>
  </si>
  <si>
    <t>QCHWOP</t>
  </si>
  <si>
    <t>WM902</t>
  </si>
  <si>
    <t>WM904</t>
  </si>
  <si>
    <t>WM908</t>
  </si>
  <si>
    <t>WP902</t>
  </si>
  <si>
    <t>WP914</t>
  </si>
  <si>
    <t>QH910</t>
  </si>
  <si>
    <t>WM910</t>
  </si>
  <si>
    <t>Acid Loading (mg acid/g dry biomass)</t>
  </si>
  <si>
    <t>Ammonia Loading (g/L hydrolyzate)</t>
  </si>
  <si>
    <t>Boiler effcy</t>
  </si>
  <si>
    <t>MMBtu/hr</t>
  </si>
  <si>
    <t>Non-Enzyme Conversion</t>
  </si>
  <si>
    <t>Enzymes</t>
  </si>
  <si>
    <t>Contributions:</t>
  </si>
  <si>
    <t>SOT Table Column</t>
  </si>
  <si>
    <t>Feedstock Contribution</t>
  </si>
  <si>
    <t>Non-Enzyme Contribution</t>
  </si>
  <si>
    <t>Enzyme Contribution</t>
  </si>
  <si>
    <t>Technical Targets</t>
  </si>
  <si>
    <t>Feedstock cost $/dt</t>
  </si>
  <si>
    <t>Solids Loading (wt%)</t>
  </si>
  <si>
    <t>Pt Temperature (°C)</t>
  </si>
  <si>
    <t>Oligomer hold step</t>
  </si>
  <si>
    <t>Overall Xylan to Xylose</t>
  </si>
  <si>
    <t>Xylan to Degradation</t>
  </si>
  <si>
    <t>Ammonia loading g/L</t>
  </si>
  <si>
    <t>Hydrolyzate S/L sep</t>
  </si>
  <si>
    <t>Xylose sugar loss</t>
  </si>
  <si>
    <t>Glucose sugar loss</t>
  </si>
  <si>
    <t>Enz Hyd &amp; Ferm</t>
  </si>
  <si>
    <t>Enzyme loading mg/g</t>
  </si>
  <si>
    <t>Sacc mode</t>
  </si>
  <si>
    <t>Total solids loading</t>
  </si>
  <si>
    <t>Combined sacc &amp; ferm time (d)</t>
  </si>
  <si>
    <t>CSL loading (wt%)</t>
  </si>
  <si>
    <t>Overal celluose to ethanol</t>
  </si>
  <si>
    <t>Xylose to ethanol</t>
  </si>
  <si>
    <t>Arabinose to ethanol</t>
  </si>
  <si>
    <t>Yield (gal/ton)</t>
  </si>
  <si>
    <t>??</t>
  </si>
  <si>
    <t>Acid loading mg/g</t>
  </si>
  <si>
    <t>strm.a300.306a</t>
  </si>
  <si>
    <t>cmix.hmf.a300.306a</t>
  </si>
  <si>
    <t>cmix.furfural.a300.306a</t>
  </si>
  <si>
    <t>cmix.nh4acet.a300.306a</t>
  </si>
  <si>
    <t>Enzyme Cost Breakdown</t>
  </si>
  <si>
    <t>Capital</t>
  </si>
  <si>
    <t>Area total</t>
  </si>
  <si>
    <t>$/kg protein</t>
  </si>
  <si>
    <t>$/L product</t>
  </si>
  <si>
    <t>except 6&amp;8</t>
  </si>
  <si>
    <t>Process Area</t>
  </si>
  <si>
    <t>Ethanol Production Rate (kg/hr)</t>
  </si>
  <si>
    <t>cmix.glucose.101</t>
  </si>
  <si>
    <t>Stream--&gt;</t>
  </si>
  <si>
    <t>&lt;--Stream</t>
  </si>
  <si>
    <t>%total</t>
  </si>
  <si>
    <t>Evap gal/gal</t>
  </si>
  <si>
    <t>T208</t>
  </si>
  <si>
    <t>Destroyed in Pretreatment</t>
  </si>
  <si>
    <t>Destroyed in Enz. Hydr.</t>
  </si>
  <si>
    <t>Water in ethanol product</t>
  </si>
  <si>
    <t>Cooling tower evap.</t>
  </si>
  <si>
    <t>Boiler blowdown vent</t>
  </si>
  <si>
    <t>Enzyme prodn aeration</t>
  </si>
  <si>
    <t>Enzyme seed aeration</t>
  </si>
  <si>
    <t>Generated in fermentation</t>
  </si>
  <si>
    <t>Generated in WWT</t>
  </si>
  <si>
    <t>Generated in Combustor</t>
  </si>
  <si>
    <t>Generated in enzyme prodn.</t>
  </si>
  <si>
    <t>Makeup water</t>
  </si>
  <si>
    <t>Water in glucose syrup</t>
  </si>
  <si>
    <t>Combustion air intake</t>
  </si>
  <si>
    <t>strm.a800.804</t>
  </si>
  <si>
    <t>strm.a600.626</t>
  </si>
  <si>
    <t>strm.a400.400</t>
  </si>
  <si>
    <t>Arabinose</t>
  </si>
  <si>
    <t>Mannose</t>
  </si>
  <si>
    <t>Galactose</t>
  </si>
  <si>
    <t>Model</t>
  </si>
  <si>
    <t>L/hr</t>
  </si>
  <si>
    <t>Basic Wastewater Cost</t>
  </si>
  <si>
    <t>Denaturant Cost $/gal</t>
  </si>
  <si>
    <t xml:space="preserve">     Ethanol Production (MMgal/yr)</t>
  </si>
  <si>
    <t>Excess Electricity (kWh/gal)</t>
  </si>
  <si>
    <t>Plant Electricity Use (kWh/gal)</t>
  </si>
  <si>
    <t>Total COD (kg/hr)</t>
  </si>
  <si>
    <t>Hydraulic Load (gpm)</t>
  </si>
  <si>
    <t>den.a600.624</t>
  </si>
  <si>
    <t>Total COD (g/L)</t>
  </si>
  <si>
    <t>Hydrolysis cooler</t>
  </si>
  <si>
    <t>EtOH product cooler</t>
  </si>
  <si>
    <t>Pre-fermentation cooler</t>
  </si>
  <si>
    <t>Molsieve regeneration cooler</t>
  </si>
  <si>
    <t>Enzyme production compressor</t>
  </si>
  <si>
    <t>Beer column condenser</t>
  </si>
  <si>
    <t>Hydrolyzate flash condenser</t>
  </si>
  <si>
    <t xml:space="preserve">   % Spent in Year 0</t>
  </si>
  <si>
    <t>Purchased Cost</t>
  </si>
  <si>
    <t>Installed Cost</t>
  </si>
  <si>
    <t>Enzymatic Hydrolysis &amp; Fermentation</t>
  </si>
  <si>
    <t>Pretreatment &amp; Conditioning</t>
  </si>
  <si>
    <t>Area 100 Totals</t>
  </si>
  <si>
    <t>Copied H-201</t>
  </si>
  <si>
    <t>Scaled Installed Costs</t>
  </si>
  <si>
    <t>Area 200 Totals</t>
  </si>
  <si>
    <t>Area 300 Totals</t>
  </si>
  <si>
    <t>Area 400 Totals</t>
  </si>
  <si>
    <t>Area 500 Totals</t>
  </si>
  <si>
    <t>Area 800 Totals</t>
  </si>
  <si>
    <t>Area 600 Totals</t>
  </si>
  <si>
    <t>Area 700 Totals</t>
  </si>
  <si>
    <t>Area 900 Totals</t>
  </si>
  <si>
    <t>Grand Totals</t>
  </si>
  <si>
    <t>1 ton cylinders, incl w/ delivery</t>
  </si>
  <si>
    <t>Hydraulic Load (MMgal/day)</t>
  </si>
  <si>
    <t>Gasoline-Equivalent MESP:</t>
  </si>
  <si>
    <t>Minimum Ethanol Selling Price (MESP):</t>
  </si>
  <si>
    <t>/gal gasoline equivalent</t>
  </si>
  <si>
    <t>Net Electricity</t>
  </si>
  <si>
    <t>Plant Water Usage (gal/gal)</t>
  </si>
  <si>
    <t xml:space="preserve">  Selectivity to protein</t>
  </si>
  <si>
    <t xml:space="preserve">  Selectivity to cell mass</t>
  </si>
  <si>
    <t xml:space="preserve">  Selectivity to CO2</t>
  </si>
  <si>
    <t xml:space="preserve">Consumptive water use </t>
  </si>
  <si>
    <t>gal/kWh</t>
  </si>
  <si>
    <t>Power per gal Ethanol</t>
  </si>
  <si>
    <t>kWh/gal</t>
  </si>
  <si>
    <t>includes erection</t>
  </si>
  <si>
    <t>A200.M207FD</t>
  </si>
  <si>
    <t>(Includes handling)</t>
  </si>
  <si>
    <t>Area 100 Electricity</t>
  </si>
  <si>
    <t>Feedstock + Handling</t>
  </si>
  <si>
    <t xml:space="preserve">     Theoretical Yield (gal/U.S. ton)</t>
  </si>
  <si>
    <t>strm.a200.m207fd</t>
  </si>
  <si>
    <t>scis.a200.m207fd</t>
  </si>
  <si>
    <t>By-Products and Credits</t>
  </si>
  <si>
    <t>Other Nutrients</t>
  </si>
  <si>
    <t>strm.a500.524</t>
  </si>
  <si>
    <t>cmix.co2.a600.615</t>
  </si>
  <si>
    <t>cmix.ch4.a600.615</t>
  </si>
  <si>
    <t>Electricity Used (%)</t>
  </si>
  <si>
    <t>Excess electricity to grid</t>
  </si>
  <si>
    <t>Total Generator Output (kW)</t>
  </si>
  <si>
    <t>Oligomer Conversion Tank</t>
  </si>
  <si>
    <t>Denatured Fuel Production (MMgal/yr)</t>
  </si>
  <si>
    <t>MMgal/yr (Ethanol at 68 °F)</t>
  </si>
  <si>
    <t>Ethanol Production</t>
  </si>
  <si>
    <t>gal / dry U.S. ton feedstock</t>
  </si>
  <si>
    <t>Ethanol Yield</t>
  </si>
  <si>
    <t>/dry U.S. ton</t>
  </si>
  <si>
    <t>Feedstock + Handling Cost</t>
  </si>
  <si>
    <t>Neutralization/Conditioning</t>
  </si>
  <si>
    <t>Saccharification &amp; Fermentation</t>
  </si>
  <si>
    <t>On-site Enzyme Production</t>
  </si>
  <si>
    <t>Dilute Acid Pretreatment with Enzymatic Hydrolysis and Co-Fermentation</t>
  </si>
  <si>
    <t>Cellulase Enzyme</t>
  </si>
  <si>
    <t>Enzymatic Hydrolysis</t>
  </si>
  <si>
    <t>Solids Recovery</t>
  </si>
  <si>
    <t xml:space="preserve">Sugar Production (MMlb / Year) </t>
  </si>
  <si>
    <t xml:space="preserve">Sugar Yield (lb / Dry U.S. Ton Feedstock) </t>
  </si>
  <si>
    <t xml:space="preserve">Feedstock Cost $/Dry U.S. Ton </t>
  </si>
  <si>
    <t>Glucose feed (kg/hr)</t>
  </si>
  <si>
    <t xml:space="preserve">  Glucose to Zymo (cell mass)</t>
  </si>
  <si>
    <t>0.75hp</t>
  </si>
  <si>
    <t>Labor Burden (90%)</t>
  </si>
  <si>
    <t>Lab Tech-Enzyme</t>
  </si>
  <si>
    <t>Shift Oper-Enzyme</t>
  </si>
  <si>
    <t>density 1.0. increased # to 4</t>
  </si>
  <si>
    <t>ccis.enzyme.a400.420a</t>
  </si>
  <si>
    <t>cmix.h2o.a400.420a</t>
  </si>
  <si>
    <t>8 hp</t>
  </si>
  <si>
    <t>80 hp</t>
  </si>
  <si>
    <t xml:space="preserve">   Additional Piping</t>
  </si>
  <si>
    <t>Total Direct Costs (TDC)</t>
  </si>
  <si>
    <t>Total Indirect Costs</t>
  </si>
  <si>
    <t>Fixed Capital Investment (FCI)</t>
  </si>
  <si>
    <t xml:space="preserve">   Other Costs (Start-Up, Permits, etc.)</t>
  </si>
  <si>
    <t>Totals (Excl. Area 100)</t>
  </si>
  <si>
    <t>of TDC</t>
  </si>
  <si>
    <t>Area 100: Feedstock handling*</t>
  </si>
  <si>
    <t>Area 200: Pretreatment</t>
  </si>
  <si>
    <t>Area 300: Enzymatic Hydrolysis &amp; Fermentation</t>
  </si>
  <si>
    <t>Area 400: Enzyme Production</t>
  </si>
  <si>
    <t>Area 500: Recovery</t>
  </si>
  <si>
    <t>Area 600: Wastewater</t>
  </si>
  <si>
    <t>Area 700: Storage</t>
  </si>
  <si>
    <t>Area 800: Boiler</t>
  </si>
  <si>
    <t>Area 900: Utilities</t>
  </si>
  <si>
    <t xml:space="preserve">   Working Capital</t>
  </si>
  <si>
    <t>of FCI</t>
  </si>
  <si>
    <t>Lang Factor (TCI/Purchased Equip Cost)</t>
  </si>
  <si>
    <t>*Feedstock Handling not included in this calculation</t>
  </si>
  <si>
    <t>Total Capital Investment/Annual Gallon</t>
  </si>
  <si>
    <t>TCI per annual gallon</t>
  </si>
  <si>
    <t>solids handling</t>
  </si>
  <si>
    <t>in line mixer</t>
  </si>
  <si>
    <t>Agitator, SS</t>
  </si>
  <si>
    <t>Heat Ex, S&amp;T, SS</t>
  </si>
  <si>
    <t>Pump, SS</t>
  </si>
  <si>
    <t>Tank, storage, plastic</t>
  </si>
  <si>
    <t>Pressure vessel, SS</t>
  </si>
  <si>
    <t>Tank, field-erected, SS</t>
  </si>
  <si>
    <t>Skid equip</t>
  </si>
  <si>
    <t>PT Reactor</t>
  </si>
  <si>
    <t>Heat Ex, Plate, SS</t>
  </si>
  <si>
    <t>Tank, storage, SS</t>
  </si>
  <si>
    <t>Agitator, CS</t>
  </si>
  <si>
    <t>Compressor, motor-driven</t>
  </si>
  <si>
    <t>Heat ex, Air-cooled</t>
  </si>
  <si>
    <t>compressor, motor-driven</t>
  </si>
  <si>
    <t>distillation column, SS</t>
  </si>
  <si>
    <t>pressure vessel, SS</t>
  </si>
  <si>
    <t>tank, storage, plastic</t>
  </si>
  <si>
    <t>pressure vessel, cs</t>
  </si>
  <si>
    <t>pump, CS</t>
  </si>
  <si>
    <t>tank, field-erected, CS</t>
  </si>
  <si>
    <t>pressure vessel, CS</t>
  </si>
  <si>
    <t>tank, field-erected, SS</t>
  </si>
  <si>
    <t>tank, storage, CS</t>
  </si>
  <si>
    <t>tank, storage, SS</t>
  </si>
  <si>
    <t>Heat ex, S&amp;T, SS</t>
  </si>
  <si>
    <t>boiler</t>
  </si>
  <si>
    <t>turbogenerator</t>
  </si>
  <si>
    <t>skid equip</t>
  </si>
  <si>
    <t>distillation column, CS</t>
  </si>
  <si>
    <t>cooling tower</t>
  </si>
  <si>
    <t>of PEC</t>
  </si>
  <si>
    <t>Area 200 Total</t>
  </si>
  <si>
    <t>ISBL Total</t>
  </si>
  <si>
    <t>Property Insur. &amp; Tax</t>
  </si>
  <si>
    <t>IRS Pub 946</t>
  </si>
  <si>
    <t>Not permitted since 2002</t>
  </si>
  <si>
    <t xml:space="preserve">     Depreciation Charge</t>
  </si>
  <si>
    <t>distillation column, ss</t>
  </si>
  <si>
    <t xml:space="preserve">        (% of TCI)</t>
  </si>
  <si>
    <t xml:space="preserve">   General Plant Allowed Writedown</t>
  </si>
  <si>
    <t xml:space="preserve">   Steam Plant Allowed Writedown</t>
  </si>
  <si>
    <t xml:space="preserve">  EtOH production/Feedstock use (% of Normal)</t>
  </si>
  <si>
    <t xml:space="preserve">  Additional piping</t>
  </si>
  <si>
    <t xml:space="preserve">   Other costs</t>
  </si>
  <si>
    <t xml:space="preserve">  Working Capital</t>
  </si>
  <si>
    <t xml:space="preserve">     Depreciation charge</t>
  </si>
  <si>
    <t>Manufacturing Costs (cents/gal ethanol)</t>
  </si>
  <si>
    <t>Manufacturing Costs ($/yr)</t>
  </si>
  <si>
    <t>Ethanol titer (wt%)</t>
  </si>
  <si>
    <t>Manufacturing Costs (cents/lb sugar)</t>
  </si>
  <si>
    <t>Delta-T factor</t>
  </si>
  <si>
    <t>Working capital statements</t>
  </si>
  <si>
    <t>P&amp;T 10% of FCI</t>
  </si>
  <si>
    <t>One month opcost</t>
  </si>
  <si>
    <t>One year opcost</t>
  </si>
  <si>
    <t>Garrett 10% of annual</t>
  </si>
  <si>
    <t>Garrett 35% of annual</t>
  </si>
  <si>
    <t>5% of FCI</t>
  </si>
  <si>
    <t>SUCROSE</t>
  </si>
  <si>
    <t>DENZ</t>
  </si>
  <si>
    <t>SUCROSE (MIXED)</t>
  </si>
  <si>
    <t>DENZ (CISOLID)</t>
  </si>
  <si>
    <t>Mass</t>
  </si>
  <si>
    <t>AREA 400</t>
  </si>
  <si>
    <t>AREA 300</t>
  </si>
  <si>
    <t>AREA 200</t>
  </si>
  <si>
    <t>WWT AREA 600</t>
  </si>
  <si>
    <t>OVERALL BALANCE</t>
  </si>
  <si>
    <t>A810 Steam Section</t>
  </si>
  <si>
    <t>AREA 800</t>
  </si>
  <si>
    <t>Combustor</t>
  </si>
  <si>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</si>
  <si>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</si>
  <si>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</si>
  <si>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</si>
  <si>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</si>
  <si>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</si>
  <si>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</si>
  <si>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</si>
  <si>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</si>
  <si>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</si>
  <si>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</si>
  <si>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</si>
  <si>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c56c15b3-aa1a-46af-82d5-6065da42a48b</t>
  </si>
  <si>
    <t>CB_Block_7.0.0.0:1</t>
  </si>
  <si>
    <t>Decisioneering:7.0.0.0</t>
  </si>
  <si>
    <t>CB_Block_0</t>
  </si>
  <si>
    <t>㜸〱敤㕣㕢㙣ㅣ㔷ㄹ摥㌳摥㔹敦慣敤搸㡤搳㑢㑡㘹つ㘹㘹愹㠳ㅢ愷〹㙤㠱㄰㝣㘹㙥㌸戱ㅢ㍢㈹〸搰㘶扣㝢㈶㥥㘶㘷挶㥤㤹㜵攲㔲愹ㄵ㤴㥢戸㐹摣㐴愱摣㉡㠴挴ぢㄷ〹㜱攷〱〹〹㠴㡡㠴㄰㍣㈰昱㔰㄰㠲〷㉥㡡挴ぢて㐸昰㝤㘷㘶㜶㘷㜷扤㘳㜷摢㠲㡢㝣ㅣ晦㍥㜳㙥㜳捥昹慦攷晦捦㈴㈷㜲戹摣扦㤱昸㤷㈹捦捣㑤㡢敢㐱㈸㥤㠹ㄹ慦㔶㤳㤵搰昶摣㘰㘲捡昷捤昵㌹㍢〸晢搰愰㔰戶㔱ㅦ攸攵挰㝥㐴ㄶ换㙢搲て搰㐸捦攵㡡㐵㐳㐳㍤〷攱敦㐸昲㘰戰搷㘰ㅥ㘰㘹㘶㝡㝥昹㈱㡣扡ㄸ㝡扥摣㍦㜶㍥敡㝢㘴㜲㜲〲㍦㠷づ摤㍢㜱㘰晦搸㑣扤ㄶ搶㝤㜹挴㤵昵搰㌷㙢晢挷ㄶ敡换㌵扢昲㘶戹扥攴㕤㤲敥ㄱ戹㝣攰敥㘵昳搰扤㤳㠷づㅦ戶敥扢敦摥㐱扣㍡㜷㘶㘶㝡挱㤷㔶昰〲㡤愹㜳捡㠷㘶㘵挵收摡愴昴㙤昷攲挴捣㌴晥愵收㡦愷㝢㈶ㄶ㔷愴っ昹㙡改㑢户㈲〳〳ㅤ〷㥣愹㈰愸㍢慢摣㍣挳㌹㠶愵㔶捣㈰搴㥤ㄹ㔹慢ㄹ㑥㌲㙡搱㤹挷摥搵捣昵㐱㘷㔱扡㠱ㅤ摡㙢㜶戸㕥㜰㤶㌰㔰㜵挸㌹ㄷ挸戳愶㝢㔱㥥㌱ㅤ愹㍢挷敢㜶㌵ㅦ愵㕣摦敤挹㄰改㠹愹攵㑦㑣〵捥捣㡡改慢ㄹ〵摣㤸㡣戶挷晣㑡㙢摢㝤摤挷攵搴搵ㅢ㌸收㙤摤摢愱收扣改㌷㕡㡥㜷㙦ㄹ㉦扥㜵〶㜷㜵㙦㥦摡愳搶㍥慦敥摥㐷㙤㘵㙢㙢㌱㄰搳户摡㔱㉣挶㈸㄰昴ㄳㄴ〹㠸㐰愳㐴㌰㐰㌰〸㈰昲晦〰㤷愴㍢戲㑡㉢㥢㕡㜹㔹㉢㔷戴㜲㔵㉢㑢慤㙣㘹攵㡢㕡㜹㐵㉢摢㕡昹㈱慤㝣〹㙤㤲㔴散敦搷攲愴㥦晡敤慦晥㜶挷扥改㉦㝤昲㠹㙦扤晤搶愱ㅦつ敥㐲愳〷攲㐹捤晡收㘵㤰㕡㤳㡡て㑥ㅣ攰捦收㕣〱愶戰づ㕢昷㔸㤳㤳搵挳〷捣扢㑤㥤换捡㐰㝥ぢ愱㡣愰敤愰昵愰敤㔶扤换ち㜷㌷㑤㥢㠱㙣㙥摣㜸㕣㌷敤搵摤㙡昰戲㡤㉢ㄷ㐳㌳㤴㌷戶搷㌵〷改攸戶〸戶㤲㠱㝡摦捤敤摤捥㥢戵扡㥣扡㘲㐷搵㉦㙦慢㜶ㄶ㝣㙦戹㝢敤㌱㕦㍥摣愸敤㤸搱ㄴ㠴摡㥡ㅡ扢㘳㤵㔱㔵㌴慦戱㤹ㄵ㉦㤰慥㥡摥戸戳㘰㔷㉥㐹㝦㔱㔲㈴捡慡㕡敡戵慣㡡戹㝥㝣摥挵㐲挱慤搵㔷愶㑢慤晢慦㠴㘰㘶㔹挵㝣㔷愵ㅦ慥㉦㤹换㌵㜹㕤㑢㤳攸㥤愸搸摢㔲㝣捣慢搴㠳ㄹ捦つ㝤慦搶㕡㌳㔵㕤㌳㈱㘹慡愷扤慡捣攷㜳㑡㈸㐰攰昶昵〹㤱扢戳㍢㉦㈸㐴愴㔰㑣㐶扥愱㤵散㈶捥㘲㜵㔸㐵㑤㤲㈶戵㕢㌷ㄹ㡣昳㔵㌲㈶㠳〳㔳㙢愲晥攰㑢敦搸㘴搸〶收㕥摣挶㥡㌶ㅡ慦晥晥㌵改㠶㈷㑣户㕡㤳㝥愶昶ㄳ㥣㤱㌱っ愰㕦㠵㐰攸扡㝢㔴㜵攲㡡㔸搷㉦摢搵㜰愵戰㈲敤㡢㉢㈱捡愰㈱㡢㐵㙥㙤㐷㌲慥㐱㤱戱㥢㘰ㄴ愰㔴捡ㄵ昶戰㔱愱㠴㤴搳㈹㥤㌲㜸戹㐵㤰戳㕦ぢ㉦て㕡挷散㕡㈸㈳愱㍣㙣〱㈳㤱㔶㔳攸ㅢ㈲㠹晡㘶㈵㔲ㄸ㝢慣ㄹ㔰愹㘹扢攱㝡㤳㙦㍢戸㈴㈲愲ㅤ㔹戰敤㘴〱㐵㐱慢㍣挸攰㌵㄰㑤㥢㌴挸㙥㥣㈲㈲戲㐱㠶㘶挷挸慤㐴挶昶ㄹ㌲〲敤搳㐴挸搶〷扡换〸ㄲ㝢㈷㤱戲㔳㔷㝥摣㤱㘶ㅢ搹昲㤱㌴扢ㄶㅢ㘷㕣㐷㜰㍤挱つ〴㝢〱挴㥦㈰攱㈸攵㤰㙦㑤挶换昰㙣摣㐴昰㜲〰挸㈷㠳㌲㈷ㄶ㔵戴愱戶㘲㐷戲摤㄰散㘴㘵ㄴ㐷愲㠸㤶㜱挳捥ㅣ㜲ㄴ愲㘳慢㜳㝢攸摡扣搲戱慦敡㑥㥢改攵㤰㈲㌳㥡愶搷扡㐹搳昴㐶戰㘹㡦㝡敢ㄶ㜴㌵挶〸㕥〱㔰㌲㕥㐹〸攵㐲㠳㜷㙢ㄶ㍤㑤捡㤷㠴㔹ㄴㄹ㐳㍤㉡昸㤸㤰㜹〴挸㄰㜲ㅤ挷㤷ㅤㅢ㥡收攰戸昵㤲户愱昷㜷攷敦ㄸ改㙤㝡㜳㐷敦搰㕦昴ㅣ慤攸㝤㘰㉦昱扢慥㍡收㌶㔴ㅢ慦㈲戸ㅤ愰㑤挷昰昴晤㕣㍤〵捡㉣㜶㔲㤸摢㑤慦㡢戲㜲㤷搶㔷愵搲㐰㠳搶㤲改㕦㤴㈱㍣ㄸ㈷㘷㘱ぢ㝢扥㉦㙢㌸搴㔶㔵〱捦㉦搷户ㄶ〶挷㝣捦㘱昹㡥㡤ㅣ扣㈴ㄴ㐳㍥慦昵攵摡㙣攴っ㕢㌳攵㜳㑡㔱づ㜵昰摤摤㠵㐴慡㔳㉢㜹戱㕦昶昹㜲㐷㤲昴㈰㐹㕥㡤㙤㌵敥〴㠰㤴㄰扦改㉡㔱昶戳搹㙢㔴戳㔶㡢㤵ㅥ扥㡣搳㐹㥢て戱㐳㡥っ㐴づ摢㘹昸て㠲㈱㘷搱㜶ㅡ挲㘲挰㔹㤰㝥〵扥〵扢㈶㑢㤱㕢㤶愲㘶㐷㔶扣㐴㘴㐵㕦㕦挷㜹㍡挳扦愶攸愴㑤㑡㘴㜲㝢㘶㘵挶㔹扣㐹㔴㜴㐳㔲愸㘴戸㠶ㅡㄲ㠸㤴挷戶㍢㈲愶〷ㄱ㜳ㄷ㌶捥㌸㐰㌰㐹㜰㄰㐰晦〵㈴捤㔶㌷㥥攱戰晥㌵扡戴换攵㕣㤱㘸㔰㉥挲㘷扡ち慢挳㝣捤㙢〹敥〱㘸㌳㝦攸㠰捣㈰㐴㠵昲ㄴ㈱慡㌰㠶㜵摥㤶㤷㐹〳扢㉣〴㤶㘶敡㐱攸㌹㡣㉣つ㔹戳摥ㄹ㉦㥣戵㠳㔵㐴愲㐶慤㌸昳攰㡡㜴㐱㕤㍥㙣㥦戶㌲㙦㜵㔵㔶つ㙢搱慢㐳戴㥤㥣摤づ〷㜳㙣〷㙣㐹㜵㌶搷〴㔲㙦攷㘳っ㈱戰搳捡摦㑡㙦散㤶扣摦㍣昴つ㌷㜷㜴挹づ㙢㜲挰㡡㤸㡥昹愲㠵㕤㐴攴愰摡㙦㉤慤昸㔲捥づ㔹挷㝤扢㕡戳㕤㐹㘴挰挶㘴戰㙥㑥㕥㐴㤴㘰挱㘳っ搰㜳㠷慣㈵摦㜴㠳㔵㤳〱挵昵摤㉤㑦㉡㉣愲㕢搳戶ㅢ攰㌵ち㡢捣て㕢㡢㉢摥㘵㐴㙣敢㡥㝢摣㕣つ戶〵㔶㐸昴㔱㔲愸ㄱ㥡搰㌴㔱搴㡡扤攲㠷〷昲㕣㡥扣㤷㈷㔰戸捡改昴㤹㘷㘸㙦摡昵㜱㡣㠶㜶㍡攷㌴㠸攸㔱愳戰㉦㔳ち㤳㔳㡤晢搸攷㜵〰愷㡥㥦㍢搹㡣捣㍤慦㤸戵㑥㉦㝦㠶㡣㔷㘴搱〸㠴搰㐷户㉢㈲ㄵ㤶㤱㜲挰㠱挰㌸㥦摡挹慦㘴愹㌶愴扥㕤捤散㌱㐴㤲〶慤㌹㜳㔹搶㄰㡦㜶捣㜰㔷昴㐰㌳搶㌱㙢㐱㕣㌷攳㌹㡥㐹搲㈲㔹㉥㔶㑣㔲昰㔴㍤昴㑥摢慥㘱〱㈸晡㡢㡢捣㉢㈸㌲慦愸愲㐱敢㉣㐳㠳㉡捦戱扣㡢愶㙦㠷㉢㡥㕤㈹昲㠱攱扢㙤㐱㤳㘰㜲㑡摥㈴㈵㌲㘳慣捤㥡㍦〷㤳㉤㤸〰扡㈷㈰㐷戹㜵㐴㍦㈸㔷ㄳ〵晣㠸ㅥㅤ㑢㄰㌰捡㔳㙡扣〱愳改敡㜶〴㐴㡥㑡㔷㤳㍢ㄸ㔷ㅦ㐳㐹㈴㠴㠸昵っㄲ㠱㔷㌰㈵攴改攲㉥㔸攷㕣㍢〴昶㠸戱㘳㜶㌸ㅢ〰攵〰挸慡攳敤㡤ち慢愹㑥攳つ慤㜰㑢㘷㔵㡢㥡戸戹戳㍥慤㌷㙥摤愰㍡搲㈸㈹㐵戲㔹㈳愵㔹㌶㤸攳㜶㔲㌵㐲㈹敥㐴摢㠸㉣户㘹㜳摦㈹㐵㥥㠷㘲㔲㌴㤳㌳摥愸〸〵㠱摥㔸㐷搱㘷㥦㑤ㅥ愹㠸つ㙤㠰ㄲ昵㔴㔴㌶ㄴ㠷〴㑦攲摡㐹㔵㤶攲㈷昰昷慥㌸㍢㕦て㕢㙡捣㉢愳㜱捤㔴慤㌶敦挲㑡愸㤸㝥㜵㥢戰㌴搶ㄶ㘹ㄸ挵㥤扤㙡晦㘸㝢㔳㡣ㄸ戳㈱挳㈲ㄹ㝥㘰戰㈱㤸㉢ㄵ㔱愵㜵㌶挴慤㙥ㄴㄷ昹㜴㕡㥡慥挲挰㘲㔸㥤㤵㙢捡っ㙢㕡昲愳慡㐳攳戴愸攴愸㘱㑤㉤〷㔰改㈱攵㜸㥣㔳っ㙥㔸㘷改㤶挲㈵〶㠸摤㌸户㔰〹ㄱ摡㙤っ挰㤳挱昶挱づ㜶㈴ち㥤搰㍡愳〴㉤㘴㄰㙥敢㈲挸㍢㍤㘲ㄴ㠲搴㔲改敦㐷挵㘷㥥㘴晡敡搱㕣㤲㠹㤹㠸攱慥っ敢〱挸㑤㐷㈶挹㐵愳㐹挰㍣㤲㙣㑡㘸つ㈶㘵㌴㌱㠶㘸昲昹㈱㙥昱㌰㤶㌵㑣戶愹攱㥥㕢㘸㐳㥢搶搶㜷㔹㈷摤㑡慤㕥㤵㑡ㄵ㈷戲㕡㘹攴㙤㠱㉦㜵〵㌰攲愶㡣㝤㠹㌷攵㈴㡥㔲㕣㌲㤱搴扢摤㙤ㅣ㐵㜷㈵攴㌰㐶愴晡ㄸ㠰捣㜰换愹㠰㔸挷㍤〵摡㠷扢㥢ㄷㄸ搴攵㌹㠸戴㡥㈲捡戲㌹摣挷㙢㐴㤱ㄵ户愵㥡捤㜹㜳ㅥ㙤昶㔴搱〹㍢㉡摡ㄶ㌸挲㍡㈳㠱㔷㈸挰ㄸ改㤱㍢㌸㐸敥㙡ㅣ摤扤晡㤸㝡捣㕤〵㉡ㄴ〶〴㘳扣㍣〵攵戰慢㘰㈴ㅡ摣㕡搳敡ㄶ㡣晥搲昲㌶愶〰〴挳挰㌴㘸搱㌲㌲㜰㘶㤰摦摣挰戹〵慤㌲㈲愴改㘰㉡㘳㤴愳㜰搸〳㘹攰㈶ㅥ愴㤷㍣㈸愱㜰㡦扡ㄸ㤶摣㑤ㅣ㜷㜰〴昲晣敢摡ちㄷ捣㄰搷㕦摣扤㙤挵㔳搵㉡捤㕤昸攷戶〵㔶㜱㜵㈳㌲㐷昷戴㕤捡㔲㙢愲㝤户慦慤㈲扥㉣㜸㜰㜶攲㠴ㄹ㔶㔶ㄶ挳昵攸攲㔶慦㈴愱晦㄰晥㠸つ摦㑥㥢㌹敦昲㈲敡ㅡ昷扥㜴挹昵㉥扢㙡㕥㝡挰㕢㝦愰㄰㕣愱散攷㈴㑢戹㝦攳㐷㈵㉤愷晦〰㈳㙥㘵摡ㅣ愰改㈰攱㌸㉡㐵搲㘰っ昹っ㍡㠱敤摥戸㌵㐰㍡搹搳㐶㈷㑡㄰散㄰㡡㝢昱〵㈳ㄴ昱㝤愰㤵挴ㄲㅤ挹戱攷㕦〱敢㡢敦愱㠴〸挷㜳㉣㐶昴㔷㈰㤷㠱㍡㈵挸攳㉢ㅥ扣㄰昲晦㠳愵㠴㥢㌷㘴愷晦〲㌳㡢敦戶愳攸㘶愲攸㍢ㅤ㈸ㄲ扣〶愲昸昷ㄴ㌲㐹搲ㄹ㥥㝤㑥㠱㜰慥㘹攷〰晡愲㕦昸晤ㅦㅥ㐰攷㘲攲㔰㌶ㅡ㐲㙤户攱戹㘱㈲昴㜵㤸〸っ摥㉢ㄳ攱㌴㌲㠲㔱晣挸㐴㠸㝤㈰昳㈸搸摣㐴㘰㙣㉦挳㄰㑣㠵㕡㔳㙥つ㥥挰慥㜳攸ㅦ㍢㠱㡢户㌲㐰㍣ㅦ㑡㉢㤸㠱㐷敡晡捥攲〵搳㌷㥤扤慡晣戸㉦愱捣晣㈵摣攴㔶㕤搸攳挶つ㙢㔴愷つ㝣ㄵ㠹㤷㝤挷㥦戲戵晢敢挰㔴㤴㈲昷扤㈸㡡挲昳昰㤴〸㥥ㅢ㜲敦摣昳戵攳扦㝦攴㠹愳扣慤ㄶ搳慡㝥㈷昲扤㠴散㘹㑦㈰愸㥢扡㈸㜲㉤㍦捣㌹㡤㑦㤴散搵㥡㥣㌶㝤㘵〵〵㠶㤳㘴㈳挲㑢ㄱ㘶㐴㝣摢挱挴挴扤㠷挸挴㥣㘸㜳㜷慡て㥢㤴㡢㜰㈲㌵㜱攵搳㑢挲㠶愲慢㈲敢搱摡搴扦〱㔵昴ㅣ㈷搲㙡㈵昲搴挹㈴挴搷摢㜵摤㘱敡扡攸㈰挳戰㝦㈲愵㄰㝦㈰㠵愴て㌲扣㄰愰愴搴㔹㘴昴扢〰㌲㈲㙢敤㈱㕥晡〳㜶㠴㠰㙣㕣晡敢昱㈳ㄶ散㈲戰㤸昸攲㝢㍤搱搲ㄶ㑤㔴ㄳ㐳戵捡愶㔹㐴㐶ㅤ㕥㔸㌰㤹㤴㉥㈱㤳㈴晤㈰㜲㕢㜶㐷昱㈵㐳㑥ㄴ㜸㡢ㄸ㕢㜷攸㙢㉢㌹昷扢㜵摣晣㠰㥥㈹㈸㠵攱敥㘶㌱づ愴㉡㐶ㄷ㌵㉤㐵㐵㠴挳㔱戶搱㘹㈰慥㠲捥㜲昷攲㔴㡡攰ㅦ扦ㄴ㘲晤㜸㜳攸㙢摢㙢愸攳摣㝥㉣㤰扦戰扦㙥捥㘰㙣扣㤵ㅣ〳〹扢愵㔶挵攸㝡昸㌹㜴攱愲㜳挲㘸㘶搵戳㌸㡣㍦〹㘷昵㘹ㅤ晡㥦搱㙢挵㔹攷搹㥢㘱散ㄶ晤晦ㄶㄴ㙣慡晦〵㘳㙦ち㤱㙦㡤㌳㝣搰ㄹ㍦搹㌴㘴挳ㅤ㠱㘷ㅢ挱ㅢ㜵㌰㌶㔴㤶㈱敦㈸户㠸㡦㔷愳㙡㈵挱攱昷捡户㕦㡤㘸昴愵㙤㍢搰㔵〰㌲㌶愴㝦〵㈲愸㙢晦㔶戹㤵㥣㙥ぢ㙦㐳挷㍤愷敤㡡敦〵㥥ㄵ㡥㉤㈲攸㍢挶㙦捦㉣搸㍣㔳攲换敤㐲㙤ㅦ㜶㘲昰ㅤ攸㜳㘶ㅥ〲晢㡣っ㕦愸㔸㈴㈳ぢ㕢㡢㘴昰㍢愴㤱㔴㜸㠹摡㈱戸挶㝡愰㙥搶昰改敡㍣㝣㥤㈱㡢戶㠵戲㡢㍣捥敤㌷㌴戸㜵戸愳昵㘶昸㠳㘴㙤〲挱㌱戵㠴户扤㠳晢摡扥〷慤㙤攳戵〵㙣搹㥢捦慤愴㍦つ㥣㙥敤㉤慤㈴挳㜷昲㡢攴㤲㔱㈶挴愵晤愳昸扢㜵〷㉤㐷ㅢ〵㥤挷ㅦ㜴搳ㄱ㌶㕥㠳晢㙣ぢ搱敦ぢ攸㉡愶〸昰㙢㤸㜱㠶て㠲㕥㍥戲愲昸㍣㤶㐵〶㐰㍥㔷愸〰㜴愷敡愷㌶愲敡㤱㔳散㠹㈴㜸挶㈰㌹㤶挴㘷搱㤰摢ㄵ㉤ㅢ㉣挱㘵ぢ㜵㤶㐰摥㐸㝡㈰㥦ㄳ㍣㑢愸㠹㝣ㅡㅤㅡㄳ戱㔱摡㝤㈲㥦摡㘸㈲㠲㔶㠰㕡㘸㝡晣㤱㐴㡢ㄸ㌵㔴ㅢづ㠱㑢攰〱㡣㈴捡㘴㤸昲㤱㐲愷㄰挵ㄸ扥㐷ㄴ㈱晤㌲晥晢散搱㕦㍣挳昴搷愳㐲㐹㐴㔴戵慥㠲ㄲ㔱慤攲愳改㔵昸㈸敤扥㡡て㙦戴㡡ㄱち㑢捥挴〸〱㠶晡㐴ㄹ㝦搴慡敡挸㜰㐳昹㉢㉥㄰攰户㘵ㄶ㈳㈶㑡㔴摦换挸愰㉦㜷㕥戵扡㠲㑣搲㔷攷㐶㘴㝣攵愳っ㈵摥㠸愴㔳愷㄰㜹㘵ぢ㤱㝡㉣㍡戱㍢㜶㕢〸〹㉣㠹㥦捤㜶㤵敤㠵ㅥ㐳晤攲㝤〹㘲㑥㥣㐸㍥愱搲攲攰ㄳ〸㈳㌲㑤㐹㐸摣㐸昱摥愴昱㌷扦摤昴㥤愲〲〹搴ㄳ㌵㈶挱愹挶敦㐹ㅡㅦ挴攷㔹慡㑤㡥㔷〹㤸㥥㑤ㅡ㤳㌰㔵攳㈷㤲挶㝦㌹戸户搱㌸愱挳㘸㘴㥤㐴㤲㘱昴慡㘳㐰敡㔳敤㘱㌴搷㉤㉡搲〱㉢㉡愶〸㔵㌱攴㥡㔲愵㠳戸ㄵ攲攳㘳改㌹㕣㜲挲㕤㄰㐸摢攸晦㑣㌸㠹换㑦戳㘶㘸攲㕢攸㌵㐴㥤㝤㐳㍤戱㜳挱㥡昷㔱搰㙦㥤っ㜰戸慡㙥㉢ㄲ㠱㕤㤰㡦昶㜷ㄳ敦㝣㠶つ搹摣㡦㈴㕡愶昱㌲㐹㙦㕡㐴㐵㔸昲攲㕤〹㘶㜳㡦㌷㘹挶㜸っ挸㠱㤸〴㘴挶㜸ㅣ㌰㡡挸散㘱挱〸昹㕦㌱昷扢㔸昱㙥㠲㈷〰㑡㠲捣㑥㍡㈸扣〷㘰㌸昹ㅦ㉢挶搶㤴攳㐴ㄳ㡦㈴㉦㑢㤳㤱昱㍥㜶㜸㍦㐰ㅦ晣戸㈲㈶挲㤲昱〱㤴愴㕦㑡挱愱㕥晡㐱㔶㝣㠸攰挳〰㈵㥤㤳摤昲慥㜱㑤㍤慡戰㡦愰慢㜸㥣〰扦挶㐷攳っㅦ㜴敥挳敢扢ㅢ捤㍣ㄳ㈷㕦昸㈳收搹昲㈹晦晤昸㌴㝦㥤㡢敥挳晦㑣愲㉢ぢ㍦慦扤慥户戱挸〴㌴捥搵敦㉡㌶晢㜹㡣挳㜵㌵㐳㈹ㅣ㤱㑡愵愸ㄵ〴昱捤〵ぢて㙦攰㕢㡥愸ち㈱㐸〳慡挲㡤㉢㡥愲挰昸㌸㥢ㄲ挷挴㤳昱〹㍥ㄱ戵㙡ㄳ㍦ㄹ㘷昸㈰㠸㔷搵晤愱戸㝢昲㐲攲㕡㔵搸㙤㉦㈴晥㔵挵㑡晡㠵㑦㜲㌰㠵㉣㘴㕡戵ㄲ㤱愶㘸攸戳挸っ昵つ㜳㙥て攲㔷扢㈲㉡ㄷ慡ㄷ㉥晣㜳㌸㍦㜶㘳晥㉤㙦ㅡ㝣昲搹㥦晦攱㘳扦㝥晢㤱㍦晦敢愹愷㝥晤挷㡦㍤昳慦ㅦ㉥ㅦ昹改搳㑦晦攴搴ㄷ㥥昹挳㙥敢㡢摡户晦㌹昷挵㐷㈷㉦㍤晡戰㜵敥捥攳㡦扥昵愱〷㈶ㄷ慥ㄹ敦敢敢敦扦㝤昴㘷㌷摣㌱昲昸挳摦ㄵ㍦晥敤昵慥㔰换挵ぢ㕡愷挱㘵慢㘹㝣づㄹ㑣㠳㌳㝥㔱愷挱攵慡㡤㕡㡥㌷㙡ㅡ〵㐵㌸㌷㌸〱㔵㘱戶㔶っ晣〷㜵㉢戲攱</t>
  </si>
  <si>
    <t>4bf45a57-6292-458b-8940-e5e9c9582e73</t>
  </si>
  <si>
    <t>㜸〱敤㕣㕢㙣ㅣ㔷ㄹ摥㌳摥㔹敦慣敤搸㡤搳㑢㑡㘹つ愵㉤搴挱㡤搳㠴戶㐰〸扥㌴㌷㥣搸㡤㥤ㄴ〴㘸㌳摥㍤ㄳ㑦戳㌳攳捥捣㍡㜱愹搴〸ち〵㐱愹挴㑤ㄴ捡㐵ㄵ㐲攲㠵换㑢戹扥㈰㈱㠱㔰㤱㐰挰〳ㄲて〵㈱㜸〰愱㐸扣昰㠰〴摦㜷㘶㘶㜷㜶搷㍢㜶户㉤戸挸挷昱敦㌳攷㌶攷㥣晦㝡晥晦㑣㜲㈲㤷换晤ㅢ㠹㝦㤹昲捣摣戴戸ㅥ㠴搲㤹㤸昱㙡㌵㔹〹㙤捦つ㈶愶㝣摦㕣㥦戳㠳戰てつち㘵ㅢ昵㠱㕥づ散㐷㘴戱扣㈶晤〰㡤昴㕣慥㔸㌴㌴搴㜳㄰晥㡥㈴て〶㝢つ收〱㤶㘶愶攷㤷ㅦ挲愸㡢愱攷换㝤㘳攷愲扥㠷㈷㈷㈷昰㜳昰攰扤ㄳ晢昷㡤捤搴㙢㘱摤㤷㠷㕤㔹て㝤戳戶㙦㙣愱扥㕣戳㉢敦㤲敢㑢摥㐵改ㅥ㤶换晢敦㕥㌶て摥㍢㜹昰搰㈱敢扥晢敥ㅤ挴慢㜳愷㘷愶ㄷ㝣㘹〵㉦搳㤸㍡愷㝣㜰㔶㔶㙣慥㑤㑡摦㜶㉦㑣捣㑣攳㕦㙡晥㜸扡㘷㘲㜱㐵捡㤰慦㤶扥㜴㉢㌲㌰搰㜱挰㤹ち㠲扡戳捡捤㌳㥣愳㔸㙡挵っ㐲摤㤹㤱戵㥡攱㈴愳ㄶ㥤㜹散㕤捤㕣ㅦ㜴ㄶ愵ㅢ搸愱扤㘶㠷敢〵㘷〹〳㔵㠷㥣戳㠱㍣㘳扡ㄷ攴㘹搳㤱扡㜳慣㙥㔷昳㔱捡昵摤㤱っ㤱㥥㤸㕡晥挴㔴攰捣慣㤸扥㥡㔱挰㡤挹㘸㝢搴慦戴戶扤戵晢戸㥣扡㝡〳挷扣慤㝢㍢搴㥣㌳晤㐶换昱敥㉤攳挵户捥攰慥敥敤㔳㝢搴摡攷㑤摤晢愸慤㙣㙤㉤〶㘲晡㔶㍢㡡挵ㄸ〵㠲㝥㠲㈲〱ㄱ㘸㤴〸〶〸〶〱㐴晥ㅦ攰㤲㜴㐷㔶㘹㘵㔳㉢㉦㙢攵㡡㔶慥㙡㘵愹㤵㉤慤㝣㐱㉢慦㘸㘵㕢㉢㍦愴㤵㉦愲㑤㤲㡡晤晤㕡㥣扥㔹晡昵搹愷慦扣㙤晥昳㑦挹㤳摦昸搵㐷扥㍤戸ぢ㡤ㅥ㠸㈷㌵敢㥢㤷㐰㙡㑤㉡㍥㌰戱㥦㍦㥢㜳〵㤸挲㍡㘴摤㘳㑤㑥㔶て敤㌷敦㌶㜵㉥㉢〳昹㉤㠴㌲㠲戶㠳搶㠳戶㕢昵㉥㈹摣摤㌴㙤〶戲戹㜱攳㜱摤戴㔷㜷慢挱㙢㌶慥㕣っ捤㔰摥搸㕥搷ㅣ愴愳摢㈲搸㑡〶敡㝤㌷户㜷㍢㘷搶敡㜲敡戲ㅤ㔵扦戶慤摡㔹昰扤攵敥戵㐷㝤昹㜰愳戶㘳㐶㔳㄰㙡㙢㙡散㡥㔵㐶㔵搱扣挶㘶㔶扣㐰扡㙡㝡攳捥㠲㕤戹㈸晤㐵㐹㤱㈸慢㙡愹搷戲㉡收晡昱㜹ㄷぢ〵户㔶㕦㥦㉥戵敥扦ㅣ㠲㤹㘵ㄵ昳㕤㤵㝥戸扥㘴㉥搷攴㜵㉤㑤愲㜷愲㘲㙦㑢昱㔱慦㔲て㘶㍣㌷昴扤㕡㙢捤㔴㜵捤㠴愴愹㥥昲慡㌲㥦捦㈹愱〰㠱摢搷㈷㐴敥捥敥扣愰㄰㤱㐲㌱ㄹ昹㠶㔶戲㥢㌸㠳搵㘱ㄵ㌵㐹㥡搴摥戰挹㘰㥣慦㤲㌱ㄹㅣ㤸㕡ㄳ昵〷㕦晡挶㑤㠶㙤㘰敥㤵㙤慣㘹愳昱敡敦㕦㤳㙥㜸摣㜴慢㌵改㘷㙡㍦挱ㄹㄹ挳〰晡㔵〸㠴慥扢㐷㔵㈷㉥㡢㜵晤㤲㕤つ㔷ち㉢搲扥戰ㄲ愲っㅡ戲㔸攴搶㜶㈴攳ㅡㄴㄹ扢〹㐶〱㑡愵㕣㘱てㅢㄵ㑡㐸㌹㥤搲㈹㠳㤷㕢〴㌹晢戵昰昲愰㜵搴慥㠵㌲ㄲ捡挳ㄶ㌰ㄲ㘹㌵㠵扥㈱㤲愸㙦㔶㈲㠵戱挷㥡〱㤵㥡戶ㅢ慥㌷昹戶㠳㑢㈲㈲摡㤱〵摢㑥ㄶ㔰ㄴ戴捡㠳っ㕥〳搱戴㐹㠳散挶㈹㈲㈲ㅢ㘴㘸㜶㡣摣㑡㘴㙣㥦㈱㈳搰㍥㑤㠴㙣扤扦扢㡣㈰戱㜷ㄲ㈹㍢㜵攵挷ㅤ㘹戶㤱㉤ㅦ㐹戳㙢戱㜱挶㜵〴搷ㄳ摣㐰戰ㄷ㐰晣ㄹㄲ㡥㔲づ昹搶㘴扣〶捦挶㑤〴慦〵㠰㝣㌲㈸㜳㘲㔱㐵ㅢ㙡㉢㜶㈴摢つ挱㑥㔶㐶㜱㈴㡡㘸ㄹ㌷散捣㈱㐷㈱㍡戶㍡户㠷慥捤㉢ㅤ㝢㝢㜷摡㑣㉦㠷ㄴ㤹搱㌴扤搶㑤㥡愶㌷㠲㑤㝢搴㕢户愰慢㌱㐶昰㍡㠰㤲昱㝡㐲㈸ㄷㅡ扣㕢戳攸㘹㔲扥㉡捣愲挸ㄸ敡㔱挱挷㠴捣㈳㐰㠶㤰敢㌸扥散搸搰㌴〷挷慤㔷扤つ扤慦㍢㝦挷㐸㙦搳㥢㍢㝡㠷晥愲ㄷ㘹㐵摦ち昶ㄲ扦敦慡㘳㙥㐳戵㜱㍢挱ㅤ〰㙤㍡㠶愷敦ㄷ敢㈹㔰㘶戱㤳挲摣㙥㝡㕤㤴㤵扢戴扥㉡㤵〶ㅡ戴㤶㑣晦㠲っ攱挱㌸㌱ぢ㕢搸昳㝤㔹挳愱戶慡ち㜸㝥戹扥戵㌰㌸敡㝢づ换㜷㙣攴攰㔵愱ㄸ昲㜹慤㉦搷㘶㈳㘷搸㥡㈹㥦㔳㡡㜲愸㠳敦敥㉥㈴㔲㥤㕡挹㡢晤戲捦㤷㍢㤲愴〷㐹昲㈶㙣慢㜱㈷〰愴㠴昸㙤㔷㠹戲㡦捤摥慣㥡戵㕡慣昴昰㘵㥣㑥摡㝣㠸ㅤ㜲㘴㈰㜲搸㑥挳㝦㄰っ㌹㡢戶搳㄰ㄶ〳捥㠲昴㉢昰㉤搸㌵㔹㡡摣戲ㄴ㌵㍢戲攲㔵㈲㉢晡晡㍡捥搳ㄹ晥㌵㐵㈷㙤㔲㈲㤳摢㌳㉢㌳捥攲㑤愲愲ㅢ㤲㐲㈵挳㌵搴㤰㐰愴㍣戶摤ㄱ㌱㍤㠸㤸扢戰㜱挶㝥㠲㐹㠲〳〰晡㉦㈰㘹戶扡昱っ㠷昵慦搱愵㕤㉥攷㡡㐴㠳㜲ㄱ㍥摦㔵㔸ㅤ攲㙢摥㐲㜰て㐰㥢昹㐳〷㘴〶㈱㉡㤴愷〸㔱㠵㌱慣㜳戶扣㐴ㅡ搸㘵㈱戰㌴㔳て㐲捦㘱㘴㘹挸㥡昵㑥㝢攱慣ㅤ慣㈲ㄲ㌵㙡挵㤹〷㔷愴ぢ敡昲㘱晢戴㤵㜹慢慢戲㙡㔸㡢㕥ㅤ愲敤挴散㜶㌸㤸㘳㍢㘰㑢慡戳戹㈶㤰㝡㍢ㅦ㘳〸㠱㥤㔶晥㔶㝡㘳户攴晤收愱㙦戸戹愳㑢㜶㔸㤳〳㔶挴㜴捣ㄷ㉤散㈲㈲〷搵㝥㙢㘹挵㤷㜲㜶挸㍡收摢搵㥡敤㑡㈲〳㌶㈶㠳㜵㜳昲〲愲〴ぢㅥ㘳㠰㥥㍢㘴㉤昹愶ㅢ慣㥡っ㈸慥敦㙥㜹㔲㘱ㄱ摤㥡戶摤〰慦㔱㔸㘴㝥搸㕡㕣昱㉥㈱㘲㕢㜷摣㘳收㙡戰㉤戰㐲愲㡦㤲㐲㡤搰㠴愶㠹愲㔶散ㄵ㍦㍣㤰攷㜲攴扤㍣㠱挲㔵㑥愷捦㍣㐳㝢搳慥㡦㘳㌴戴搳㌹愷㐱㐴㡦ㅡ㠵㝤㤹㔲㤸㥣㙡摣挷㍥㙦〵㌸㜹散散㠹㘶㘴敥㈵挵慣㜵㝡昹㌳㘴扣㈲㡢㐶㈰㠴㍥扡㕤ㄱ愹戰㡣㤴〳づ〴挶昹搴㑥㝥㈵㑢戵㈱昵敤㙡㘶㡦㈲㤲㌴㘸捤㤹换戲㠶㜸戴㘳㠶扢愲〷㥡戱㡥㔹ぢ攲扡ㄹ捦㜱㑣㤲ㄶ挹㜲戱㘲㤲㠲愷敡愱㜷捡㜶つぢ㐰搱㕦㕣㘴㕥㐶㤱㜹㔹ㄵつ㕡㘷ㄸㅡ㔴㜹㡥攵㕤㌰㝤㍢㕣㜱散㑡㤱てっ摦㙤ぢ㥡〴㤳㔳昲㈶㈹㤱ㄹ㘳㙤搶晣㔹㤸㙣挱〴搰㍤〱㌹捡慤㈳晡㐱戹㥡㈸攰㐷昴攸㔸㠲㠰㔱㥥㔲攳敤ㄸ㑤㔷户㈳㈰㜲㔴扡㥡摣挱戸晡ㄸ㑡㈲㈱㐴慣㘷㤰〸扣㠲㈹㈱㑦ㄷ㜷挱㍡敢摡㈱戰㐷㡣ㅤ戵挳搹〰㈸〷㐰㔶ㅤ㙦㙦㔴㔸㑤㜵ㅡ㙦㘸㠵㕢㍡慢㕡搴挴捤㥤昵㘹扤昱㠶つ慡㈳㡤㤲㔲㈴㥢㌵㔲㥡㘵㠳㌹㙥㈷㔵㈳㤴攲㑥戴㡤挸㜲㥢㌶昷㥤㔲攴㈵㈸㈶㐵㌳㌹攳ㅤ㡡㔰㄰攸㡤㜵ㄴ㝤昶搹攴㤱㡡搸搰〶㈸㔱㑦㐵㘵㐳㜱㐸昰〴慥㥤㔴㘵㈹㝥〲㝦敦㡡戳昳昵戰愵挶扣㍣ㅡ搷㑣搵㙡昳㉥慣㠴㡡改㔷户〹㑢㘳㙤㤱㠶㔱摣搹慢昶㡦戶㌷挵㠸㌱ㅢ㌲㉣㤲攱〷〶ㅢ㠲戹㔲ㄱ㔵㕡㘷㐳摣敡㐶㜱㤱㑦愷愴改㉡っ㉣㠶搵㔹戹愶捣戰愶㈵㍦慡㍡㌴㑥㡢㑡㡥ㅡ搶搴㜲〰㤵ㅥ㔲㡥挷㌹挵攰㠶㜵㠶㙥㈹㕣㘲㠰搸㡤㜳ぢ㤵㄰愱摤挶〰㍣ㄹ㙣ㅦ散㘰㐷愲搰〹慤㌳㑡搰㐲〶攱戶㉥㠲扣搳㈳㐶㈱㐸㉤㤵晥㝥㐴㝣攱㘹愶㙦ㅣ挹㈵㤹㤸㠹ㄸ敥捡戰ㅥ㠰摣㜴㘴㤲㕣㌴㥡〴捣㈳挹愶㠴搶㘰㔲㐶ㄳ㘳㠸㈶㥦ㅦ攲ㄶて㘳㔹挳㘴㥢ㅡ敥戹㠵㌶戴㘹㙤㝤㤷㜵挲慤搴敡㔵愹㔴㜱㈲慢㤵㐶摥ㄶ昸㔲㔷〰㈳㙥捡搸㤷㜸㔳㑥攰㈸挵㈵ㄳ㐹扤摢摤挶ㄱ㜴㔷㐲づ㘳㐴慡㡦〱挸っ户㥣ち㠸㜵摣㔳愰㝤戸扢㜹㠱㐱㕤㥥㠳㐸敢㈸愲㉣㥢挳㝤扣㐶ㄴ㔹㜱㕢慡搹㥣㌷攷搱㘶㑦ㄵㅤ户愳愲㙤㠱㈳慣㌳ㄲ㜸㠵〲㡣㤱ㅥ戹㠳㠳攴慥挶搱摤慢㡦愹挷摣㔵愰㐲㘱㐰㌰挶换㔳㔰づ扢ち㐶愲挱慤㌵慤㙥挱攸㉦㉤㙦㘳ち㐰㌰っ㑣㠳ㄶ㉤㈳〳㘷〶昹捤つ㥣㕢搰㉡㈳㐲㥡づ愶㌲㐶㌹ち㠷㍤㤰〶㙥攲㐱㝡挹㠳ㄲち昷愸㡢㘱挹摤挴㜱〷㐷㈰捦扦慥慤㜰挱っ㜱晤挵摤摢㔶㍣㔵慤搲摣㠵㝦㙥㕢㘰ㄵ㔷㌷㈲㜳㜴㑦摢愵㉣戵㈶摡㜷户戶㔵挴㤷〵て捣㑥ㅣ㌷挳捡捡㘲戸ㅥ㕤摣敡㤵㈴昴ㅦ挱ㅦ戱攱摢㘹㌳攷㕤㕥㐴㕤攳摥㤷㉥扡摥㈵㔷捤㑢て㜸敢てㄴ㠲㉢㤴晤㥣㘴㈹昷㙦晣愸愴攵昴ㅦ㘲挴慤㑣㥢〳㌴ㅤ㈴ㅣ㐷愵㐸ㅡ㡣㈱㥦㐱㈷戰摤ㅢ户〶㐸㈷㝢摡攸㐴〹㠲ㅤ㐲㜱㉦扣㙣㠴㈲㝥〰戴㤲㔸愲㈳㌹昶晣敢㘰㝤昱㝤㤴㄰攱㜸㡥挵㠸晥㍡攴㌲㔰愷〴㜹㝣挵㠳ㄷ㐲晥㝦戰㤴㜰昳㠶散昴㕦㘰㘶昱扤㜶ㄴ摤㑣ㄴ㝤户〳㐵㠲搷㐰ㄴ晦㥥㐴㈶㐹㍡挳戳㉦㉡㄰捥㌵敤ㅣ㐰㕦昱ぢ扦晦挳〳攸㕣㑣ㅣ捡㐶㐳愸敤㌶㍣㌷㑣㠴扥づㄳ㠱挱㝢㘵㈲㥣㐲㐶㌰㡡ㅦ㤹〸戱て㘴ㅥ〵㥢㥢〸㡣敤㘵ㄸ㠲愹㔰㙢捡慤挱ㄳ搸㜵づ晤㘳挷㜱昱㔶〶㠸攷㐳㘹〵㌳昰㐸㕤摦㔹扣㘰晡愶戳㔷㤵ㅦ昳㈵㤴㤹扦㠴㥢摣慡ぢ㝢摣戸㘱㡤敡戴㠱慦㈲昱戲敦昸㔳戶㜶㝦ㅤ㤸㡡㔲攴扥ㄷ㐵㔱㜸〹㥥ㄲ挱㜳㐳敥〳㝢扥㜹散て㡦㍣㝥㠴户搵㘲㕡搵敦㐴扥㤷㤰㍤敤〹〴㜵㔳ㄷ㐵慥攵㠷㌹愷昰㠹㤲扤㕡㤳搳愶慦慣愰挰㜰㤲㙣㐴㜸㈹挲㡣㠸㙦㍢㤸㤸戸昷㄰㤹㤸ㄳ㙤敥㑥昵㘱㤳㜲ㄱ㑥愴㈶慥㝣㝡㐹搸㔰㜴㔵㘴㍤㕡㥢晡户愱㡡㕥攴㐴㕡慤㐴㥥㍡㤹㠴昸㔶扢慥㍢㐴㕤ㄷㅤ㘴ㄸ昶㑦愴ㄴ攲て愴㤰昴㐱㠶ㄷ〲㤴㤴㍡㠳㡣㝥ㄷ㐰㐶㘴慤㍤挴㑢㝦挰㡥㄰㤰㡤㑢㝦㍤㝥挴㠲㕤〴ㄶㄳ㕦㝣慦㈷㕡摡愲㠹㙡㘲愸㔶搹㌴㡢挸愸挳ぢぢ㈶㤳搲㈵㘴㤲愴ㅦ㐰㙥换敥㈸扥㘴挸㠹〲㙦ㄱ㘳敢づ㝤㙤㈵攷㝥户㡥㥢ㅦ搰㌳〵愵㌰摣摤㉣挶㠱㔴挵攸愲愶愵愸㠸㜰㌸捡㌶㍡つ挴㔵搰㔹敥㕥㥣㑡ㄱ晣攳㤷㐲慣ㅦ㙦づ㝤㙤㝢つ㜵㥣摢㡦〵昲ㄷ昶搷捤ㄹ㡣㡤户㤲㘳㈰㘱户搴慡ㄸ㕤て㍦㡢㉥㕣㜴㑥ㄸ捤慣㝡ㄶ㠷昰㈷攱慣㍥慤㐳晦㌳㝡慤㌸敢ㅣ㝢㌳㡣摤愲晦摦㡤㠲㑤昵扦㘰散㑤㈱昲㍤㜱㠶て㍡攳㈷㥢㠶㙣戸㈳昰㙣㈳㜸愳づ挶㠶捡㌲攴ㅤ攵ㄶ昱昱㙡㔴慤㈴㌸晣㕥昹昶慢ㄱ㡤扥戴㙤〷扡ち㐰挶㠶昴慦㐳〴㜵敤摦㉡户㤲搳㙤攱扤攸戸攷㤴㕤昱扤挰戳挲戱㐵〴㝤挷昸敤㤹〵㥢㘷㑡㝣慤㕤愸摤㡡㥤ㄸ㝣㍦晡㥣㥥㠷挰㍥㉤挳㤷㉢ㄶ挹挸挲搶㈲ㄹ晣づ㘹㈴ㄵ㕥愲㜶〸慥戱ㅥ愸㥢㌵㝣扡㍡て㕦㘷挸愲㙤愱散㈲㡦㜳晢つつ㙥ㅤ敥㘸扤ぢ晥㈰㔹㥢㐰㜰㑣㉤攱扤敦攷扥戶敦㐱㙢摢㜸㙤〱㕢昶收㜳㉢改捦〲愷㕢㝢㑢㉢挹昰㥤晣㈲戹㘴㤴〹㜱㘹晦〸晥㙥摤㐱换搱㐶㐱攷昱〷摤㜴㠴㡤搷攰㍥摢㐲昴晢㍣扡㡡㈹〲晣ㅡ㘶㥣攱㠳愰㤷㡦慣㈸扥㡣㘵㤱〱㤰捦ㄵ㉡〰摤愹晡㤹㡤愸㝡攴㈴㝢㈲〹㥥㌱㐸㡥㈵昱㐵㌴攴㜶㐵换〶㑢㜰搹㐲㥤㈵㤰㌷㤲ㅥ挸攷〴捦ㄲ㙡㈲㥦㐷㠷挶㐴㙣㤴㜶㥦挸攷㌶㥡㠸愰ㄵ愰ㄶ㥡ㅥ㝦㈴搱㈲㐶つ搵㠶㐳攰ㄲ㜸〰㈳㠹㌲ㄹ愶㝣愴搰㈹㐴㌱㠶敦ㄳ㐵㐸扦㡣晦扥㜰攴ㄷ捦㌳晤敤㠸㔰ㄲㄱ㔵慤慢愰㐴㔴慢㜸㉡扤ちㅦ愵摤㔷昱攴㐶慢ㄸ愱戰攴㑣㡣㄰㘰愸㑦㤴昱㐷慤慡㡥っ㌷㤴扦攲㍣〱㝥㕢㘶㌱㘲愲㐴昵扤㠴っ晡㜲攷㔵慢换挸㈴㝤㜵㙥㐴挶㔷㍥捡㔰攲㡤㐸㍡㜵ち㤱㔷戶㄰愹挷愲ㄳ扢㘳户㠵㤰挰㤲昸搹㙣㔷搹㕥攸㌱搴㉦㥥㐸㄰㜳晣㜸昲〹㤵ㄶ〷㥦㐰ㄸ㤱㘹㑡㐲攲㐶㡡㡦㈴㡤扦昳㕣搳㜷㡡ち㈴㔰㑦搴㤸〴愷ㅡ㝦㌸㘹㝣〰㥦㘷愹㌶㌹㕥㈵㘰㝡㈱㘹㑣挲㔴㡤ㅦ㑦ㅡ晦昵挰摥㐶攳㠴づ愳㤱㜵ㄲ㐹㠶搱慢㡥〱愹㑦戵㠷搱㕣户愸㐸〷慣愸㤸㈲㔴挵㤰㙢㑡㤵づ攲㔶㠸㡦㡦愵攷㜰挹〹㜷㐱㈰㙤愳晦㌳攱〴㉥㍦捤㥡愱㠹㙦愱搷㄰㜵昶つ昵挴捥〵㙢摥㐷㐱扦㜵㈲挰攱慡扡慤㐸〴㜶㐱㍥摡摦㑤扣昳ㄹ㌶㘴㜳㍦㤲㘸㤹挶换㈴扤㘹ㄱㄵ㘱挹㡢て㈶㤸捤㕤㘹搲㡣昱ㄸ㤰〳㌱〹挸㡣㜱〵㌰㡡挸散㘱挱〸昹㕦㌱昷〷㔹昱㈱㠲挷〱㑡㠲捣㑥㍡㈸㝣ㄸ㘰㌸昹ㅦ㉢挶搶㤴攳㐴ㄳ㡦㈴㉦㑢㤳㤱昱〴㍢㝣ㄴ愰て㝥㕣ㄱㄳ㘱挹昸ㄸ㑡搲㉦愵攰㔰㉦晤㌸㉢㍥㐱昰㈴㐰㐹攷㘴户扣㙢㕣㔳㡦㉡散㤳攸㉡慥㄰攰搷㜸㉡捥昰㐱攷㍥扣慤扢搱捣㌳㜱昲㠵㍦㘲㥥㉤㥦昲摦㡦㑦昳搷戹攸㍥晣捦㈴扡戲昰昳摡㕢㝢ㅢ㡢㑣㐰攳㕣晤慥㘲戳㕦挲㌸㕣㔷㌳㤴挲ㄱ愹㔴㡡㕡㐱㄰摦㕣戰昰昰〶扥攵戰慡㄰㠲㌴愰㉡摣戸攲〸ち㡣㑦戳㈹㜱㑣㍣ㄹ㥦攱ㄳ㔱慢㌶昱戳㜱㠶て㠲㜸㔵摤ㅦ㡡扢㈷㉦㈴慥㔵㠵摤昶㐲攲㕦㔵慣愴㕦昸㌴〷㔳挸㐲愶㔵㉢ㄱ㘹㡡㠶扥㠸捣㔰摦㌰攷昶㈰㝥戵换愲㜲扥㝡晥晣㍦㠷昳㘳㌷收摦晤捥挱愷㕦昸昹ㅦ㍦昵㥢昷ㅤ晥换扦㥥㜹收㌷㝦晡搴昳晦晡搱昲攱㥦㍥晢散㑦㑥㝥攵昹㍦敥戶扥慡㍤昷捦戹慦㍥㍡㜹昱搱㠷慤戳㜷ㅥ㝢昴㍤て㍤㌰戹㜰捤㜸㕦㕦㝦晦ㅤ愳㍦扢攱㡤㈳㔷ㅥ晥㥥昸昱敦慥㜷㠵㕡㉥㕥搰㍡つ㉥㕢㑤攳㑢挸㘰ㅡ㥣昱㉢㍡つ㉥㔷㙤搴㜲扣㔱搳㈸㈸挲戹挱〹愸ち戳戵㘲攰㍦㜳ㄵ戳扥</t>
  </si>
  <si>
    <t>Decisioneering:7.3.0.0</t>
  </si>
  <si>
    <t>CB_Block_7.0.0.0:2</t>
  </si>
  <si>
    <t>CB_Block_7.3.0.0:1</t>
  </si>
  <si>
    <t>Discount Rate (Internal Rate of Return [IRR])</t>
  </si>
  <si>
    <t>% from lignin cake</t>
  </si>
  <si>
    <t>% from biogas</t>
  </si>
  <si>
    <t>Boiler feed heating value (kcal/kg)</t>
  </si>
  <si>
    <t>Boiler feed combustion energy MMkcal/hr</t>
  </si>
  <si>
    <t xml:space="preserve">  to A100 Feedstock Handling</t>
  </si>
  <si>
    <t xml:space="preserve">  to A200 Pretreatment</t>
  </si>
  <si>
    <t xml:space="preserve">  to A300 Hydrolysis &amp; Fermentation</t>
  </si>
  <si>
    <t xml:space="preserve">  to A400 Enzyme Production</t>
  </si>
  <si>
    <t xml:space="preserve">  to A500 Recovery</t>
  </si>
  <si>
    <t xml:space="preserve">  to A600 Wastewater</t>
  </si>
  <si>
    <t xml:space="preserve">  to A700 Storage</t>
  </si>
  <si>
    <t xml:space="preserve">  to A800 Boiler/Turbogen</t>
  </si>
  <si>
    <t xml:space="preserve">  to A900 Utilities</t>
  </si>
  <si>
    <t>Electricity Used (kW)</t>
  </si>
  <si>
    <t>.bkp</t>
  </si>
  <si>
    <t>㜸〱捤㔹ぢ㙣ㅣ挵ㄹ扥戹扢㍤摦㥥ㅦ㌱㠱㠴㈴㤰挴つ〹㈵㈴ㅣ㜶ㅥ挴〴㐲㙣摦搹㠹ㄳ扦挸㌹㌶㐹ㄳ㡥扤扢㌹摦攲摢㕢戳扢攷〷㔰㥥㈲㔰〵㐱㕡㄰ㄵ㈰㐰㔵㕢㉡㤵㜷㘹ㅢ㐱㐵㈵搴搲ㄲ搱〷愲㙡㔵愱戶㔰ち㔵㤱㕡㤵㑡㈱㠸㡡㤰晥摦散㥥㝤扥摢㑤㐲㐸㈵搶昱敦㤹昹㘷扥㤹㥤昹晦敦晦㘷攳㘳㍥㥦敦ㄸ㍤昸㡢㈷㠸挲戹㠹㈹搳攲㕡㌴愶攷昳㍣㙤愹㝡挱㡣戶ㅢ㠶㌲搵愳㥡㔶㠰㍡㠴㤲㉡改㑤㈹㘹慡搷昳㜰㜲㥣ㅢ㈶㜵㤲㝣扥㜰㔸昶㤳扥昴摢㔸㉡挸ㄸ㈵〷㐹搴㔱㉦摦㘰慣愳㍦㜵㉤㐱㈷㉣摤攰慢㥢㠶㙣㠰㑤㉤㉤㔱晡㔹户慥㌵摡扣扡㈹㔶捣㕢㐵㠳㙦㉡昰愲㘵㈸昹搵㑤〳挵㔴㕥㑤㙦攷㔳㠳晡㈸㉦㙣攲愹收戵㈹㘵㕤㙢换扡昵敢戳㤷㕥摡㕡ㄷ㈲攴㠱㔸挷㔶㥥ㅦ㈳扣搳㠵㕡㐳愸㝤戱㡥〱㠳㘷㑦ㄷ愶㠴摤戸㈸捥搳㉡戶㡤㜳㐳㉤㡣㐴㘳ㅤ昴慦㙣㔷愸戶㈱摡㥦㐸愴ㄵ换攲〶㜶㑤搶晡搳愹㈱㈵㕦攴㈱㑤㉣㈷慣つ㈹㐶㥦愲昱㝡㙤愷挹㜷㈸㠵ㄱ㡥㥡愴㙤㈹慡㤹㈰ㅤ㘵㘰愵摢㈴捥〶㐵晢㘳ㅤ戱㥣㘲㔸㌶㈴㑤戰捡慤户㤸㈹敡㉣㐳昴ㄷ㉤搸ㄶ㔶敢ㄸち收ㄳ㉢っ㘳㤹㌲㠹㔰㠴挴ㅣ㘷㔴㤳ㄸ搶戴㠶〵㍦㈴㔳㉢ㅦ㔴㑢扤晣㐹挵㥦㑣昹㤳㘹㝦㌲攳㑦㜲㝦㌲敢㑦㡥昸㤳㌹㝦㔲昵㈷慦昵㈷㐷愹㑦改〹搷搴昸㥤攷愱戶攱〵て㥥晢昸搶㙦ㅤ搹㥣㍢昲扤㤷㐲っ搶㈵捣慣㡥ち㜲㍤㠹㔰〳㠹㡡㐵戴㌰昶ㅦ㕡〴ㄶ㜲昰㘲㙥㌶扦搳戹敤改㕢敢摦㝥㘷搷挸ㄳ㜵㡤搴扤㡦㜶㈵摡挷慤搳㘴㍥ㄲ㜶攴攴㑦〱㑢㤷㌴晢㄰攳摣㑣换㌸攱敥㐲㠶㑦㠶愸㐴㈷㕦愷挵昴㠲挵㈷慤戸㘲㈹㌵摡㠰㘲昰㠲㈵㔳愷㔵㘲㤴㕤挲挸㝡搱㔶ㅡㅤ㜱㙡㠴搰㈸㡡㘵㈸戵愲挱㐶㘲攴晥㠱愰㉤挳㈱㌷ㅥ搸慡㤸㌹㑢㐹攵昹昲ち㘳挱扥㤱㝤敥戴搴扣ㄹ㈵挸㉤㠶㕥ㅣ挳㡥㥥㉥ㅣ戸户っ戳ち捤㈵㈱㔸ぢ㝦改㘹㤳捦㈴ㄹㄱ㑡ㄹ㑡㍡摣㘳㔰搰攳攸敡捥愶㌲㉤㌱慥㙢㡡㕡㌸㑤㠷㕢户㠰㐰慦㜴㝣㈰㙥㈸ㄳ攴挷㌳搰㙢愲捤昸㌹㌱㤱ㄱ㡦㘵搷㘷㌷㘴㕢㕡㌲敢㥢㤵戵㡡〴〷晡㉣扥戸㤴晡搷㘹挳㙡㈱愳㑦〸攷慣搷ㄲ慡戰㥣㌸ㄸ扢㑥ㅢ㔴㡣ㄱ㑥㝥㙥㜴挷㈳㥡㜰挶挱愹㌱㕥慢㘱捤〳扡㕡戰捣㍡㑤晣㑤㑣㘹㈹㍤㕦㙢㔷㠸晥㜵㈳攲㈸㠸攸㘵搱扦㐷㉤㔰〹㌲㐱㙤ㄱ㔱ㄲ㍤敤㐶〰搳昴㌹㝤愲㑢捤ㄳ㜱昱捣㌹㘲㔸㑣㌷っ㥥㔷㄰㑣㘲㍡捦㘶搵戴㑡㤶摢愰㜵ㄹ扡㤶攰〵㔳慣㙡扥攸扡㠳㡦ㄸ摣〴㌵挶戹愵㤰㌹㥤摢愱㤸㝣㠶㝡㔶㘵敤㔷敤搰㡢㠵㡣㜹㡥扢㌲㘱㈹ㄶ㕦㔴愹㥢〱愹ㅡ㤶㈰ㅡ收愶搸扥㈵㤵挳㠴敢戵㑦慡戶㝡㜱㠵㥡挸㔸㑦㜹㙢扢っ㝥摤戴戶㙡㐵敤ㄴ㕦挷㌹昴㔵㙦㘹慢散㜵ㄱ㠵敡㈶㉦㠸攵慤搲〶搴昴㈸㌷ㄲㅣ搱㤹㘷挴慢捥㠳㡡戶扢㤰收收慡晥〲扤㈸㐵㠳捣戲昲搶㙣攷愴挵㠹㑢㌲戴㕥㡡㤰搶搴㈰晣㜸晥慣㉥昶㥣愴㔸㌸慢戹㑢㑦ㄷ㑤㜰㠶愱攷㘷㙢摡㌳攳ち捤㤹改搵㌳㍣ㄸ昰〷㝤㠲㠷㠳㈰㘳㕦搰ㄷ挴攳愳㐰ㄴ㈰㑥㔹㕤挱ㄸ㈲攲㘱ㅡ戳ㄴ㕥捡㑣ㄸ昱挵㡤㝦愶昳㤰㉦㝢愳㠹㔳㠶㈱攲㔷〴慡戳㘶㍢㈹㌲ㅢ摤㠰昷搶戰ㅡ㑦㥤㉢㙤捦㕡㉦扣㘰㝡づ挶搸㠲㡡㘹㜶搰昹搰㌹攴㌹愶昲㔷㌲㘶搹晢捦搸㈵㤶㝢㥣㠹换㑥〵慥㡤摥ㄷ㥣㘰㈳愶㙤敦晦摢搹敦㍦搳㜹晢捥㜱昲散慤㑡㈱㤳攷挶㜱㡦㤰㘱㐵昲㐲㠸㐵㄰攷㤰㤰摥㈵敥㍥搹戳㐵戲㕡㌳㡥戸㤸㑣晡挲㐰㠳摤戱搰㘲㤲愱㕥挵㈰昳㤶摥㈱㍣搷㈳㐶搷㘰〱昹㤲㐰㠸㡣ㄶ昴〹攲㈶㌲っ挹〴㜹〰㕣慥愹挱搱㈱敡㌸㡦㥦㤲㕢㐶晦晥㑡戰㠰㡥散搹戳挷㠹㌵㝥㥦昴㌶戵ㅣ攷昴㥣㝣愸㘴㌶搵换挷㈴㘴㐷㍥改㉤〲昲戴㈶昱㤲㤳㙣㑡㥡㔰㌳㔶㉥㤴攳敡㐸捥挲搰㌰㍤㔸敦攰㈷挷㡥㐵〹攱〱捡扦㙢㤰㠳换换㈰捥㠳㔸㑥㈲ㄲ昱㠹㌸ㄹ㡡挸攷摢㔵㠶捣㐳㘴㙦挸㤹慡㠳攸㑡㜴㤳㡦愳㘳㐸戸㄰戸攴㡢㈰愲㄰ㄷ㤳㘰慦搳㍡㜰愶㘲搱㌲㑥㠶晤㠶慡㘲敦愸攲㍣愵㙤晤㜵㐹㔵扥慤散㔷搴㡡慤㐵㘷㙣て㝢㡤㉡㙦搱敦ㄵ昴愲ぢ攸敦慢昴㤲㍦ㄶ挹摦㈵搴㐵摥〰搱㑡愲散㐵㌷摡搵㈰㔲〵㌷慢㥣㑥㙣㘰㐶㤱ㅥ㕤挹㜴㈹㘹扡㥥搴㌸㤷㤳㜰㑣搷挶㈸摤㌲ㅡ搱㌳㐶㜴㐷㌴㍡慥㘶戸ㄱ㐶〳㠲㘱㤰敥㈶㘶㐸〴ぢ㤳昲愸㠰㑦㤲㙡挳㙥㜳㜵㤷戰㤶㍢㉥㐳㘶㌷㝤搳敡慥挲晦攷㤵慤㥢㜱㡡㤱〸昲㘵昹㌲㠸换㐹㐸㜰㥤捦挴慡㜳㌰㔴ㅢ挸敢ㄶ搶摢愰挵っ扡挸ㄹ慡搲愳㙡慡㌵㙦扡摡㔷搴㔲摣ㄸ㈴㐵摥㍣㜳扡㜵㠰ㅢ㘹昲㙣㘵㠴㉦ㄲ㝣㔵挶搶慢戲㐳㉡㥦〰ㄵ㉥慤㔶搱摤㈴㔶㌴㉤㕤㘴愸㑢慡昵㜱扤㑦户攲慡㌹㤶㔷愶㤶扢愸㙤捤㜰㡥ㄷ㈸搲ㄹㄴ昰㑥搴㐹ㅦㅢ攳ㄹ㤷㌵㈶昴㈲扤㐱㜷晣㡢㄰㉢〵㔳搱㘹昸㤸㠸㡤攱愸㌷㡢㤷敥㕥攵㘷〵㈳つ㠷晤攴っ散搴㘸ㄷ昶㈴晤㡣㕣攷㌳㑥散捥㔹晦㈰摦ㄳ㌷㍥㡡昵㉣㠲挷挷㐰改㠲㐳慦愰〲って扦ㄲ㌸摥㌵户戵㌳昳改㍢㜰㜷㠶㑣㑤戵愶㜰慤慣挳挵㜷搰攰攲㜶ㅢㄶㄵ㤱㘵づ敢挶㘸㑡搷㐷㜱㕦㙡搰㔰㌳㜳㥣㕢戸㡤搶㙡昶㔵ㅡ㘵摡愳㐰㘰搶慤搳昱㍡㈸㜱㉦戰戹戰㡤㑡㠱㉥㈳㉤㙡散愷戴㌵戸㈴㍥㍦㉦晦捡愲敦㍦搳㜵摢敦慦攱㙦㜶㝣㘷㍦㝢挹㔱㌴晣㙥㝤挲昸敤晤晤㡦晣攱摤摡㔷敥摥昵㜵〹ㄴ㝢㔲㈱ㅥ㤷愲㌹搹㘹慦ㄸ㔴慤㍣慦捤ち挳ㄷ攵㜰㤶散㥣ㄲ扣㑣㑤㜶㌰㐷㙦ㅤ慦捦㙥㌱搴㑣摥㐹㌶捥戲扢昶昰ㄱ㑡收〶㜴㔳㐵㑥㕤㥦ㅤ㌴㤴㠲〹㠲㉡愴愷收捥慡〹㐲㤲戲ㅤ㙡挱愴㘹㠴㈷愲㍣㈷㡢㉣㥤㤸愷愸ㄵ戶㈸㘳收ㄷ挲㉢㘰㌰昶㈳摣㠲昹㤹摦捦挲晥昰㈹㕡戹㌰㑡扦㙦つ㐱晡㈱㠸㐲挹㌴㈵〴挲攳㠴改㡡㈴ぢ㙢愲晢搱㑣㝥ㅤ㜰攳昴改挴㔴㈴㌵㜱㡣改㈴戱㙤换捥敥㤹㍢攱攷晡挰㈵㈱㜴㥦㜴戶㌷㡦㍡㌷搸愶㠲っ㄰摣㉣㡢ㄳ㐷慤搲晣㈲㔹搱〷㤶搸㌰㔳散愲㠴扦㉥摢愳愴㜸扥㑢㌷㌴挵㙡戰㉢愰㉡㡤㐲㠳愳愳㘰愶㈹㌰㉤㝣㑣㈲戲捡昳㜰戶扤㘸改扤㙡㐱捥㤲㄰昶攷㌴㈹㤳搴愴㑣㡡愶扡散づ摣攰散㜸㐹㔸晡㠸㐲ㄴ㤷搳搴㜴ㄸㄵ摣戲扥㄰㌶㐹㌴㠶攴愵昴〸挳㈴收㙤慡㘰㙣晢换〷ㅤ㜷㤴〲㈳戶づ挷㑦㤶敢㘷㈱晡㘱愷㤸ㅥ㔳扥㈳〸㐹摥㐲㘸ㄲ㔸ㅢ〹㤰㜸㍥㈸㝤戵晤攰㘶㙡戱㐹ㄷ改ㅣ搴昲㔶愷㠰ち㐳昶㠶扣愷㈲㤱攸愶㈶㜹ㅢ㍡㈰㘷㐳㌲㈱昰㝦㐴っ㠷挸㐰㜵㥦ㅢ戱㈳户ㄳ㜳昴㔰愱㐴散散㘲慡㠰摣敤搵戶㤵㑡散㔹㠷㉦慢㠸昴ㄹて㈲㘵㐸攱㐰愶敥捥换㤰摣㠹㑣㜶〷ㄵㄸ戲㍣昸挵昴㍥つ㔲昹挴晢㠴㙣㔰扣挳㑥愷㠰㑡㈳㌲㉢㙣㐱㘸㠸挴ㄹ戱㡥愴ㅤ㐴㑡戱㈸㌴㑣捤つ搴㕣挶〵㡤㐸挴㌰㐶扥ち〲ㄹ㜰㈳〲ㅥ㐸㕥摥つ昱ㄵ㠸㍤㄰㝢㈱慥㠶㐸㐲㕣〳愱㐰愴㈰搲㄰ㄹ〸づ㤱㠵ㄸ㠱挸㤱㠸戰㌸㐹戱㘲㤵ち愵㐷㠲㔵㥣搰㄰㘱扤㤱㉣㑣㌲㘱㑤攵㠹〶㔰㐴搰戴㑢攲㍢㡥㘸ㄳ户ㅦ晡㙥ㅣ慣扣㝡㑣㡦挵敤愲搶昵㍡〵つ㉣㕥㝡㠰捥搵㜳㍣摥㘰收挶㠶㌱㜸㐲昸挶㝢㔶慦㥡㌶㜴㔳捦㕡㑤〹ち㘵㑤昸昰㐱㥢搰摣捥敥㈷挴㔹昷㠵昳㘸㈷ㅡ㘱攱㜸㌳㔹㈳㔱ㅦ㘸㠴㌵㡢㠳挰攱挹㌸慡㐶搸戶㘸ㅡ㐳ㄳ㙥㈸㡤戰㔹㜱㌶〶㥡㈸㑤昷挹戸㍡挹㐵㠸㜱㠸〹㠸㐹㠸㈹㠸敢㈱㙥㠰戸ㄱ攲慢㄰㌷㐱摣っ㜱ぢ㠹〸ㄳ㤶㠸㙡昹搹㌰㔸㈲捥㠷摤㐴敢挷慥㔰搹㈷摢㥦戳改慤㙥㜴㝤㉢搸愳㜸慢㍢愸㔰ㅦ㘰㔷搱ㅦ戸㔵㘸ㅦ敡敤昹㝣㔳㈹敢㌱㐳㜷愲㘹昶㔷晣扢愸愹㉥㍥摣搲摣摣ㅡ㡢㑥收㑤㡤㑤搰㌴㐸㘴㠶㜷ㅦ摥晥㡤搴晥捥慦戵扤昷晥愱慢愲㈶ㅢ㜷ㄴ㔵ㅦ搲㘱戵㤸戲搲㤳つ㘷㐰㤵㈷㕦攷㈸㉡㔳㈲〶搳㥦㐶ちㅤ愰㕡愰摤搴散〴慢攰㠵愶㌹㡡ぢ敥㝤慤攵攷敢㕦散㝤㜴搹㉦慣㠶晢㌷晤㤲挱㠷愶搱㘴愰搹㐸搷㝡㈱愹㡥愲昹昵㠳㉢敥晣攴捦㕢㕦〸愴ㅥ㍡晣昰攰〸㠳㈳扡㈱㘵扤㤰戸愳㔸捥㤷㑡㐷㕥敤㡤摦昶搶挳㑦晣敤㡥㐵ち㠳㌷扢㈱愵扣㤰ㄴ㐷㜱攱㌷㕦㥥晦摣戱愷㝡㙦晦㘸挵扥㤷晦昲㘸㉢〳㈵戸㈱㕤敤㠵戴搷㔱ㅣ㡣晣㔰㍤㌰挶㘲晢戶ㅣ㑤㉤㙡晥晢㈶㜶㡤〷搲㙥㉦愴㕤㡥愲㌹㝥挹扡㥦散扦愳㘳晦㠶㝦慦散㝦晡昱㐶〶㜲㜲㕢搳㤰ㄷ搲㑥㐷戱昹挹㝢㠶ㄶ扦㝦慣晤愹㐳昷㥣晤搸㈱改㌶〶㠶㜳㐳摡攱㠵㜴愵愳昸㘳戶㝥摦て㤶ㅣ㘸㝢昲搹㌷昶㍣戶㝦㜴㍦〳㑤扡㈱昵㜹㈱昵㍡㡡搶㜵㉢扡ㅡ㔶扦搰昵摣攱昹ㅦ㙦㡦摦昴ㅥ换㜸㈰㙤昳㐲敡㜶ㄴ昷慤慥扤㙢攱摤扢㘳〷㙦㍦昸㠸㜹敢收ㄶ〶挲㜶㕢㔳㤷ㄷ㔲愷愳㌸昸挸扤换㠶㌶㍥搷晦搰扦㔶㉥敤摣晢㘶㡥㠱昵摤㤰㍡扣㤰摡ㅤ挵搰㐷晢ㅥ㜸摢㔴晢敥㜹㤴㕤晦㘰扤㝣〱㐳攸㜰㐳扡挲ぢ㘹㤳愳㈸散㜸昲昶㌵〷㡥昶㍥晣摤换㍢㌷户晦改摢っ昱挷つ㘹愳ㄷ搲愵㡥㘲晢ㅢ挳昲慥扥搶慥扢㍦ㅥ敤戹慦㌱昷㝣㘳㠹ㅥ㈵㔰昶㘵ㄵ昹㔳搹攷搰戲昸扡慡昲愳㜵㈷㝤㠴㥥〲愹〷攸㙢㡢㈴㤲挷愰㝦攳愹㘱㤵扥摤搶㄰㥣搴㑡慢晥ㅣ㌸戳㈳ㅢ㄰㤷搲慦㝣㠸〴㐳昸ㄱ㍢〸ㄲ㤷㐱摢㌲㠸㥡慤㜵㌶慡㡡㥢搷㌸㡡捡晦愲㘴㠸㕡㌳㘷搱〶愴戹㐰挲搷㍥搷敢敡㐵㡥愲㡡㥢ㄱ晡㘶㤰㘶搸昴㐲㉦愴㤵㡥愲㡡㤷ㄱ㍦摤㤰捥昷㐲㕡攱㈸慡㜸ㄹ㐱搸つ㘹㤹ㄷ搲㤷ㅣ㐵ㄵ㉦㈳㤲扢㈱㉤昱㐲㕡散㈸慡㜸ㄹ改㠰ㅢ搲㈲㉦愴㠵㡥愲㡡㤷㤱㔳戸㈱捤昷㐲㥡攷㈸慡㜸ㄹ㠹㠹ㅢ搲㕣㉦愴㌳ㅣ㐵ㄵ㉦㈳扢㜱㐳㙡昰㐲慡㜷ㄴ㔵扣㝣㠳〷㔲挴ぢ㐹㜶ㄴ㔵扣㡣㍣换㙤㑤㈱㉦㈴挹㔱㔴昱㌲㤲㌵㌷㈴扦ㄷㄲ㜳ㄴ㔵扣㡣㡣捦つ改搳㑦㍤晣敥愸愳愸攲㘵愴㡤㙥㐸晦昵㐲晡搸㔱㔴昱昲㉤ㅥ㐸㐷扣㤰㍥㜴ㄴ㤵扣捣㤰㙢㠲㤲搹㘱敡〱ㅥㄴ搴㔵㑦㤴㈶㠱扦㉡昳㝤㕣ㄸ扡㐰挱ㄵ晦〱㔱㕢㡢㠴㝥昰挱ㄷ摢㡥慥摤摢捥㌰ㅥ挳㑢つ戵晦〳㐹㐸昳昳</t>
  </si>
  <si>
    <t>㜸〱捤㔹㙢㙣ㅣ㔷ㄵ摥㍢扢戳摥㔹摢挹收摤㠴㌴㜵㐳㠰㔲㐷㡢ㅤ摢㡤ㄳㄴ㙡敦晡㐹攳㐷戲㥢㤸〴攸㌲摥扤㙢㑦㍣㍢攳捥捣晡㤱ㄶ㔴愲㐲㥡愴㐵㌴つ搰戴㉡愴愵〸搱㡡㐲〵攲㐷〵〲㉡㕡㔴㔵愸ㄲ〱㠴〲㐸㈰㔱㔵ㄴ㈴㠴㕡挱慦慡㥣敦捥慣昷㌵㜶ㅥ〴㈹㘳敦搹㝢捦戹昷摣㌳摦㥣㝢捥戹戳〱ㄶ〸〴摥愳ぢ摦戸㐲㘸㙣㑤㉤摡づ㉦挴㤳愶慥昳慣愳㤹㠶ㅤ敦戵㉣㜵㜱扦㘶㍢㐱ㅡ㄰捥㘸㈴户攵㡣慤ㅤ攷㤱捣ㅣ户㙣ㅡ㈴〷〲㤱㠸㈲㐱㡢昷㠹㤵㍡ち㘶㈹㘰㉢㌴㉡愰㠴㠹㌴㌵㄰㐹㈷ㄳ㘳㤳挷㘸㤱㤴㘳㕡㝣㘷换㘱㔷搵扥昶昶㌸晤㜵㜶㜶挷摢㜶戶㈴㡢扡㔳戴昸㍥㠳ㄷㅤ㑢搵㜷戶㡣ㄷ㈷㜵㉤㝢ㄷ㕦㑣㥢㌳摣搸挷㈷摢㍡㈶搵捥敥昶捥慥慥晣㥥㍤摤㑤ㄱ搲㍣㥥㑣っ㜱㝤㤶昴㕤㉦慤ち㘹ㅤ㑤㈶挶㉤㥥扦㕥㍡㘵攰搲摥挷戳ㅡ〰攴摣搲㡣愹㜸㌲㐱晦ㄵ愸㔰㙦㜷㝣㉣㤵攲㠶慤㌹摡㥣收㉣ちっぢ㘳搹挹挳慡㕥攴攱㠲㌰㈹㔲㌸慣㕡愳㙡㠱㌷ㄷづ搹晣愰㙡㑣㜱昴攴挲㘰㔱换㠵攸挱〶㍦散户㤰〷㔲㝣㉣㤹㐸㑥慢㤶㈳㔴〲挰㡦昸㡤ㄶ㉢挵㉢㑣ㄱ㜳〴ㄷ昰戰㐶捦㜵戰㈶㥥慦ㄲ〵㘹㈴ㄲ㙥㈲戲慥㘲㘶㡢㤸摡搲捥㐲㙦㤳〳㔶㑥挴㜰㈹愳㑡㤹㐹㈹㤳㤵㌲㌹㈹挳愵㑣㕥捡㑣㐹㤹㘹㈹愳㐹㤹㘳㔲㘶㠶挶㤴慥㐸㐳㠳攴㕤㍦㝡昶散挷扥㜳晡㔷愳㕦㜸攷㠳㜷㝦晦挰愵慦㌰昸㥣㜰扥㔵搴㔰㔶ㄳ〹挷㠸昸ㄸ戲㡢戱㝦㤲㈱㌰收愷捦㘵敥㝦敢㠵〳晢扦摣搶㜵㝡敥摦㈷㠲っ㠰ぢ㉤㙢愱㘵ㅤ戴慣昷搷搲挹搸摦㍤㉤扦晣挹戶㥦㥦晥昵攳晤㕦㕤昳敥敦㕦㍤昹攷㘳っ㕥㉦戴㙣㠴㤶㑤搰㜲㤳扦㤶づ挶摥昴戴散扤昸㘶㜱摢ㄳ㤹㠱愷㜶晥㙣摢㉢㝦㜸攳㍦㑤㕢㘸捡㈸㍤慤昸㈸㜷慥㤳㙢换㜸㑡㔷敥ㅤ㜸㤲㜲挱㜵慥㍥㙥㘷ㄵ㜸摥戰㤱攳ぢ㘱㙡㤱㐷㌶ㄵ㤲愶攱昰〵愷㑦㜵搴㠶挲戸㙡㜱挳㔱㘸㔰慢㤸攵戶㌰戳㔹昰㑡戳愳㕥㡦㌴挴㐴戳㐲㑢愳㘰戸㥡ㄸ〵愹㘰挸愵㤱戰㕦戴ㅡ㔲敤㘹㐷㥤搴昹㡥ㅡ㈷〶㙥戴㙦づ㌹㥡㙥挷㐹攵愰㘵ㄶ㘷㠱攸㜵搳㐳扡ㄴ〰ㄴ摥㑡㐴挴㔶㝣搳〲㍤捡捤昴ㄵㄵ㐲〵㐲㝡挰敦㐱㔲㤶㌵摤㑡ㅤ㌲戱捦㉣愸㥡㜱㥤ㅥ㙥搳㜶㔲㝡挰摢㤷㝤㤶㍡㑦㌱愶慣㝡㔷扣つ㝦㤷て戲ㄴ㘳昳㕤昹摤昹昶昶㕣㔷㥢摡愱捡搸愵㔷ㅢ㈳戰㘹㥡ちㄳ㥡㤱㌳攷㐵搰㔸㕢愰㠸㈰〲㐱㝡㜱㤶ぢ㔶㔳㍥慤㕡㔳㥣〲㤱㌵摣户㍥㥦㌴㉤㡢敢慡挳㜳㠲㠱ㄴ戴愹㥡㘹て㔸㘶〱晣慤〹搵收攵㠰搴㥡㜷ㄷ㑡㤸㐵㈳㘷扦捦㕦㤸㜲㐸昵㤶㕡㔹㔹㐹摤戴ㄴ〵㘹㙥ぢ㑢户搵㑥ㄳ捥摦扢愰戹攲㥢㙢挴ㄴ愶捤挹攵愵〳ㄶ扦㘷㐹㕡㘷㔱㉦攵攱㌹づ㜹摤㕤扡㈲搷㉥ち慡愶捤つ㘱㕥㙢㘱㕣换捥㜰㉢挵㤱挵㜹㑥摣敡〶㠸㌸敤挷㉣户㕢挷〰㍤攵㠹摣昶㑡㙥扥㝦挱攱戴㥢㜳㘴㉦攵㑦㘷㌱㡤㥤戴戱㙡㠸扢㈶〹㌶㔷戱〷捣㙣搱挶慥戵㑣扤㕡搲㥢㥢㔳㘹捤摣㠸㤹攳愱㤰ㄴ愴ㅡ㈱㠴㉢㐰㜹㈹㐸㕢戹慤㘶愳㡡㈴〸摤㜶㘵戶愹昰ㅣ愴㥢㡥㉢㥡㔴敤㕥㤸攷ㄷ㌲㤶ちㅣ㜶㔳昵㕥㠹ㅦ㈴昴〸㈵㥤㘳㈳㐹戵ㄱ愵挲搰戲搷㘰ㄱ摦㜸敡摥㔱〵㘶昰㕢㡣扥㙤昹㕢ㄱ㙡㤷㍣攳晦㍢㔸㤲搶㜹㜷摦㍦㐷㌱㝢㐸㌵㜲㍡户㔶挶ぢㄶ㈹敦〷搹〱昲〱㈲搱㠰㝣㠹愲摢戲㐸㈲㉢戳〵戶㈸捦㙢㌹㘷㍡㍣捤戵愹㘹㠷㜸㔴㐰㐶㈲㠰㔹愵てㄸ㉦㔱愸㕦㠵㉡㔲昹㄰挸㙤㐴愲搱㘸㐰挴捦㜰㔴戹㥤晡攱㔶㈲㙢㉢ぢぢ搷㑢愲㡣㈱攷㡢〲〴㈹扦㍥收挶㈱㔶㔶㤰㌱搴ぢ㠸㜳捡㉥㤰づ㤰㑥㈲搱〰㝢㡤㙥て户昸㐷敡攲㔳㌶昴づ㡣摡㡤㔱ㄵ㠶敥愱㝥㜸㉦㤱㠶㐱㙥㜰㉡㘲挹㍡搴ㄲ挲㍡㐴挵㝡敢昶㐱慣慣㈰㘳愸㐳㠴㜵扤㔰㤰〰㐹㘲㔲㠰晤搸戳敥㙤㠲慦㡤攰㠳㜵愳〲挶㝥㡣ㅡ挰愸ち敢㠶愸ㅦㅥ㈶攲て㈳捡ㄵ㘱㈸慡㤵㝡㐳昷㐳慣慣㈰㘳㈸㜵㠴愱攳㔰㜰〰攴㈰㈶〵搸㜷㍤㐳搷㔰ㄷ㐵㘷搹搰㌴㐶ㅤ挲愸ち㐳㈷挰㠴愱㔱ㄶ㐲㌶昵㜳捣愵摣㡦晡㌳扡摦㔴㜳〳㙡㤶㑥ㄷつ摥搹㈲㤲㌴ぢ戳㔴㤱㔸㌱㡣㑣㔲㍣愲㌸㌷愷攵戸ㄵ〱㈳㐵㐷㥡㄰ㅤ㉤散戰㠸收㌶㤵ㅡ挱㠰㉣㌷㐶晣搶ㅡ㉥改摡攱敤㥡捡㈳搳㜰㥤晥㝦ㅣ攸扥ㄳ㑦㈱ㅡㄵ㘸ㅣ愱愶㜲㤴㠸㡣摤㜳搵ㄱ㄰捥戹戱㤰㥡㌶攷㠷㘸晢㜰摢㉤摤敤愴愵㌹㥢敡搹㔴㍡愹㠵捤㠲㍦㘸㜱㑡㝡㔶㥡㘲扦戸㐷捣搸攲㉢ㄱ㤳戶㠸〰㔴ㄱ㝡㕢昳㠷㌵㍥㡦㠴㝤㑢扤㠸捥ㅥ挹愲敤㤸愲搲摢㔶㉦敦㌳㐷㑤愷㑦戳㘷㜵㜵㜱㠷㡦搸㤵㑣㑣㜳㠳昲㤵㐵㘹敢㜲㠳捣搹㔹㥥昳戱㌱㘵ㄶ慤㉣ㅦ敥扢ㄱ㌲ㅥ㍤㈹昷㘲㈲搹戱〸ぢ㑢㡣慥㙢ぢ戶㙣㌳㤴摤扢晥昹挱扦ㅣ㝦攰捥㌰愵㔰㐶㥢㠴戶㠹㡣〰㝣慤㐹戱戹慡ㄴ摢㠰㐳攴〸ㅤ扣戵㔹㥤㈷㔴㡢ㅣ摢戴㙣愵㔰㙡扡㡥㔷ㄱ㜵摤摤㜲㈳㠰㑤㤵㠵㕢㔳挴㤷捦愹ㄵ㠶ぢㅦ㠴㌳㈳㡦戱昵㌵挹㕦摣昷㜶㐸慥敤㔹挹摦愲〸㜷㤵㠶㔰戰づ㌴捣攱㈰㤵挹〴㈲㌰ぢㄷ㤳㥦㈱㔵扥昶㈱㥤㠶っㅣ昶挵慣攸㡣㘱捥ㅢ挲㜲搹㐶㝤ぢ㠵㑡㐳〳㙥〳㜱㕣㕣㕤㈵户〹挸挸搸慤㝥㔸戹攷㤰愵户ㄱ挳㌹㉡〹扣搷て㑤㜸晤㤰戶戸㜸挷㄰ㄱㅤ㠲戰戹㌰㘱㕡㌳㤳愶㌹㠳搳攱㉡搱戳愷㌹㜷昰㍥愰戱攰扥搴㐰㥢㝣㍦ㄸ慣㍡昳㝢戸㐳㜸㉢搹攳㘶昸扢愹ㄵㅣ戰戲愲挷㉥搰晤攳㜸晥㠳つ晡换㕢㥥晤摥挰㠹摦㝥㠶㕦㑡㍣㜳㠶㝤挳ㄳ慣扡搸㤵戲㕥㍦㌷昶攴敦晥摡昸昲㐳㐷ㅥ㤱㔱㌴㕣㔱挱㠶㈲㘰㜵㝥㈹㜶愵㌵㐷攷㡤㜹搷㌵搰㡥攴㈹ㅡ㔱㌱㥤㙢挸愷愷改慥晢㥡昳㠳㤶㤶搳㌵㠳挳㜵攸㤸㠲㜷㈷晢昹ㄴㄵ捥攳㈶摥搳㤸㐶㜳㍥㙤愹㠶㡤㕣㘳㘴ㄷ搷㔶昵挴㙥㤱昳〹捤戰㘹ㄹㄱ㉦搱㕥㥤㐷㌸愷㈷㔷㉣ㄸ㠳敡慣㝤㈳㙣㈷昲㤳搲攵〶㉦㠹㐹ㄲ㡢㐸㤱㙢摣ㄱ㠱昰㈴改㙢慥搸㠱㝢㕢愸慥㤶㐴㔴㤳㔰㘸㈱攵㔳㌰㐳戱㜷攵㐵㌴慣㙣ㄲ㙦挲扣搳㑤搰㉦㘱㉦㔵昹搸㔵㑡㤶〸扢ㅤ〴扤㥣搷㐰㠷愱㌶㐴㠵㔱㤳戲㌹戱㤴㍣〶挰㔰愴敤㘵㠳㌱㐳戹㠸㠰捣捥㤳㝢㈲っ㔰㍢挰搸㘳搴挲㑥昶搹㠹っ挵㈵㜶愳敢晤挷愸㔵昶晥㜳㌴挷搷晢ㅦ昵〴㍤㍤㉦㌴㡥㙣搰㝢捥扦昴摣ㄳ愷㝥㜱攸ㄵ㠶㑡ㄴ㍢㈰㄰㌶㠸㕣ㅥ㜱㠶慡ㄵ愸㉢㈶ㄱ㠶㥡㔵〰㌳敢㌵〴㌰㈸㑢㝤㠰戹㠷搸㡡㠵㠱扤㐴晣㠰㈱ㄱ㥥㉢ㄵ㝤〹ㅡ㈱㠰㜹㤸㉣㉦〳昳㄰昵㤶〳㈶㐹㔳捡挰捣㔱慦っ捣㠳换〱㜳搲ㄳ㠴㌷㌶攸㠹搳慦㝤晣挴㘳㙢摦㥡昹搷㥦捥戲㝥㥡敦〲㜳㥣㕡㤵㐵敦摥㤶㈳ㅡ搷挹ㄳ敡晤㤱愱㙡ㄶ攸摣㑢つ㌶〴㐲ㅦ攵㍥慦㈱搰㐱㉤散㠳捥㘷㌱昰㜳ㄸ㠸ち㜸㘵㜴㔰ㅥぢ㜴㍥㕦㠵捥晤㉢愰㠳㘲㝡〹ㅤ〵攸戸〱昳扥攵㤰戹搷ㄳ挸ㄷ捦㡣扥㝥愶㝢散挴搷敦㔸㍦昲㥢愷攳っ㔵户㡢捣ㄷ愹戵愶㙡㤳㡥昴愷挸㝡ㅦ㘰㔰愵ぢ㘰㑥㔲㠳愱㐶ㄷ挰㍣攸㌵搰㠹愱搶㤵攸ㄳ㍥㐵㘴㑤㌲㤱㜱㜳㐱㈹愵㠴㑦ㄳ㝢ㄵ戱㉢㡥挶㌱㤴挶㤸愳㥣〱㐱挹捣戲㈰攸㍤㑣愴㜴挵攸㜹㠹摦ㅣ㤴㉦㔱愳㌹ㄸ攳昴㈵㈶㘲㌱〵慡㘳搸戳㠲昵〸㔸㈸㥤㤹㜰㜲昴ㅥ㈵㔲扡㘲㜰昶㄰㝤㤴㜳㐴㐸ㄷㅣ扢㐶ㄷ摣㕣戰扥㠶㜱㌸㠵㌱攱ㄲ攸㥤㈷㔲扡㘲㜰つ愱敢㜱㙡㤰㉥戸㐱㡤㉥㌸㠵㘰㍤㐹つ昱㑥㤸〹ㄴ搱慢搲〵㌴㠵慥ぢ搴㘸づ㌲㘰㠲㘷ㅥ㝥ち晤㕥㕤㙦㈹愵㕥㍢晣㌴㔸㔵㉦昴挳摦㈴㔶㔳摦㐴㝢㕢㕢㜷㌲扥愰摢〵昶㈹捦〷㈶㡥扥㜳搷搹挹㌳晤愷㝡摥昸摢慢㥦㠸摢散㤳㥥愰昶㕤㝡慣㠴戹っ㤸㍦敡㔷㌰搴扤摥㘸慤㝤㤷搴㑦敦㠶ㄶ㜱挳㐱㍡㘳挹㈲つ㠶愴扤搷愶慢㔴戴㈱㤶换㐷挹敡晦㐱て㥣慡扡收扡㠵㌸捡户㠹㌰戸㡣搸㕥㠰㕡〱戸ち攰㘴㠷㤶㐳㌰敤〹㙡㝦㐷㠸㤵㍣㡤挱戹㠰㈲㑢搱㔰㤸㉥㔶㝢ㅥㅣ㌸㔵㜹㌵戱愴㔸㙤㙣戹搵㐶㍤㐱敤敦つ戱㤲晦㌰戸㥦㔸㙤愴㜲戵ㅦ㘲㌵戸㥤摦㙡挳换慤㌶攴〹㙡㝦㤷㘰ㄷ㑡㡢っ㔶㉥昲㈲㜱㘵愰㔸㕢戸攲㥣㍤〰㐷愸㜹〷搴搸戸㥤㤸改昳㉦昶扣摢昱改㕥〶㐸㌰㝤㠹〱慢慢ㄸ㔸愱㤲搱昸㕦晥㌲㜸㙣</t>
  </si>
  <si>
    <t>㜸〱敤㝤㜷㝣㕣挵戵晦㡥愴扤搶慣㈵㙢〱摢㠰㘹〲っ㌱搸㠸敤挵㘰㙣㑢慥攰㠶㙤㙣挸㉦㐴扥扢㝢搷ㄶ㕥慤捣敥捡㠵㤰㔰㐲ぢ㈶戴㐰〲挶愱㐳㐲㜹㠴搰㡢〳愱〵〸㠴ㄶ㝡㠰㄰㐲昲㘸〹㈴㈱㘰〸攵㝤扦㜳换摥㉤㤲㡤ㅦ㝣㝥晣昱慥攵戳㌳㘷扥攷捣捣㌹搳敦摤扢ㅥ攱昱㜸㍥挷挵㑦㕥㑤っ散戸㘰㑤戱㘴昴㜶㜴昵攵㜲㐶扡搴搳㤷㉦㜶㑣㉥ㄴ昴㌵戳㝡㡡愵㐶〰戴敥ㅥ愴ㄷ扤摤挵㥥愳㡣收敥㤵㐶愱〸㤰搷攳㘹㙥㤶つ㐸㙦戱晥晢敤㠸愴㤴㙣㈲〱捡㈳㌵㤲㈱㈴捤㈴㤲挴㐷㌲㤴㠴攲戲㤵㘴ㄸ㐸㑢ㅢ挸挲慥捥戹愹㈳㔰㤸〵愵扥㠲㌱慥㝤㤱㤹攵㠴㘰戰〳晦㈲㤱㐴㐷㘰㕣㝢㔷㝦慥搴㕦㌰㈶攴㡤晥㔲㐱捦㡤㙢㥦搷㥦捡昵愴て㌲搶㉣散㕢㙥攴㈷ㄸ愹㐰㌸愵㐷ㄲ挱㐸㌴㥡㑤㈶ㄳ㉤㝥㘸㥥搳搵㌹慦㘰㘴㡢㕦㤶捥慤愸㜳㙥㔷㘷挷ㅣ愳昴㘵改摣ㅡ㍡愱㜲㑡㕦慦摥㤳晦㤲㤴㝡改㤲昰ㄴ㈳摤㐳摦ㄹ㐶愱㈷扦戴〳挵慥㌰㌴㘲昱㡥㘹戰㜸㕡㉦㤶扡㡣㕣㙥扥㤱愵摢㕡㝡㘹㌳愳㘰攴搳㐶㜱㔸敦搴搵㘹㈳㘷㈵ㄷ㥢㝢ㄷ改㠵㌹㝡慦搱挴㐰㕢慦改户㤹ㄹ㈳㕦敡㈹慤㘹敤㍤愴㘸捣搷昳㑢つ㐲扣扤搳晢㝢㌲㑤㑤愲愹挹搳昸㡤㝡㠵㔱扥改㤸㔶㐸㜷㉤搳ぢ㈵ㄵ愳搷㠲昵戰慥ㄶ愲ち㕥㔱㉣戶愲昶㉡㈹扡㘹㐱㑦敦㐱㐶㈱㙦攴㤸〹㥤㌷戶ち愴㙣㘲㥡摥㌱㡥㕤ㅢ㍡㐶っ戵扡ぢ慢挲㕣攴㌶㈴挳㐱戴ㄱ㈰㑤ㄳづっ㐵攵㐸昲戶〵ㄱ㑤㙦愰扦戹㘵搸收ㅢ扡昵㠶敥㔴㐳㜷扡愱㍢搳搰㙤㌴㜴㘷ㅢ扡㤷㌶㜴㉦㙢攸敥㘹攸㍥愲愱㝢㌹㌰昶搵㍣㘴㐸㠳㜵㥤昵攱〱捦㙣攸㍡㜶摡㔵敤㘳ㄶ摦昱攲搲㡤㠲㕤㑣昵戵敤ㄱ㤰愳㐰戴ㅤ㐰㔸㠶㤰摣㤱扣㥤㐰㠴㜸つ㘵㘰㌹昴㜵晥昴ㅦ摦㍣㜷捥摡㉢扦户戰㍢晤攸㔹㠲摤㔳㈹搸㠵攰㜶㄰㙤㔷㄰㉡〸换摤挸摢ㅤ㐴㠸㤷㉣〵挳㤶㉦㜸敤㤲搹摢㜷摤㜸攰㐹㝦戸昱愳戵㕢㜹搹戵愳昵㑣㔸敤㥤挹挵㘲㝦敦ち㡥㉥㔶换㔱㐳㐱敦㤴㘲㘹㥥㕥攸㉤㝥戹㑤っつ㙣㔳㙤㙣㜲戱昷慢㙦㘳挸攴㑢㘹㘳摡ㅥ㌰昳㤸㠵㠵ㅥ昴愴晥㥣㕥ㄸ㌷扢㈷㍦㈱㌰㙥㔶捦㜲㈳搷㘳ㄴ㑢ㄳ〲ㅤ㠱昰戸搹晡㙡〶㘲㜲㑦㍡敥ㅢ㈰摡ㄸ㤰挶〹㥤㐹戹ㄷ㔹㝢㠳〸昱㡣攵换晣晣㙢扦ㅦ㍡昳搳搹ㄷ㕣戱晦搴㠹㤳㕦扡㑣戰慢慢挶㌰㡥攰㝤㐰戴づ㄰㌶㠶㠸摣㤷扣〰㠸㄰㡦㕢ちㅥ㘸昲扥㌱昲愳敢㈷㥦㤶㝡攴昰㥢慥摢㈵㉦攸㔲㌶〸㉤〴㌲戶扡戸ㅤ挱㜸戴愲挸㈱慢挴攸㉦㘱〸挸〸㐵愳㈰㑤ㄳ㍡㠳〱ㄹ㈳㉦づ㈲挴㐳㔶㡥㠱㈹戱挸㥤㙢㑦散㕣ㅢ㝦㜷慦戹搷㕤改ㄷ㥣㑡㔴㡥㐹〴㙡㜳慣捡㌰㘹㘵㤸㡣㈴攴㜸㙡摦㡦攲晢㠳㌰挷愰㥣㐰摥〱㈰㐲摣㘳攷昸挴慤㝢㥣晣挹换㌳㙥㙦㑣慤㝢晦㠲㠵㑢〵攷㉤㤵攳㈴〴㐶㔷搵㌱攸慡㕦戰㈳慡戲ぢ换挹㐰捡㑥捡㜵㠱㌰慢㤸㥣㐲摥㔴㄰㈱敥戰戲㍡攸愹挵昲戰㌹㠹㘹愷㝤戴㝣搶㡦晣换㙥ㄴㅣ㈹㔴㔶搳ㄱㄸ㔷㤵ㄵㅤ敤捡つ搱愴㕤扤㘰㐸捥愰晡㤹㤴㍦㄰〴㉤㈰㈱て㈲㙢ㄶ㠸㄰㌷㕡㌹㉥晡昰愴ㅦ扦㕡散㤹㜳晡㠵攲愸昳㕢攵ㄸ挱愹㔸攵㌸〷㠱扤㙡㜲㑣㔴㘴㘸㘷㤷っ挹戹搴㍤㡦挲〷㠳㈰扢㤸㥣㑦搶〲㄰㈱慥戵戲㝢㍥摢㝡搲つ㍢㥦㌹改摡敢㥦晡搶㐵㙢㤷慦ㄵ㥣昴㔵㜶㠷㈰㔰㙤换㤰㉢戳戰㘵换愸㕣㐴戵㡢㈹㜷㈸〸㙤ㄹ㤶㠷㤱昷㑤㄰㈱慥戰戲ㅡ㙤散攲晤攰愱搹㔳㡥晦攳〵搷晣昹挴㔱扡攰搲㐲戵敤㙦ㄱ㝣㌸㠸昶㙤㄰戶敤愰散㈶㙦〹㠸㄰ㄷ㔹ち㡥晡换愹㍦扤昶㠶㝦捤㌹昱搳晣摦摥挹㑦晡扣㈵㠵攴㠳慤愱㝦㑡㐱㕦㠵昹戳㍣㌵㠷㍡㘰晦捤㔹㤳㘰㐹㤲㡤㘶攳搹㘰㌰ㄳつ攸㘱摤换挹㘳㜳㘷㐲捥㌱㉤搹挵㍤昹㑣摦㉡㌵㌵戶㘴愷昵攴㑡㐶㐱㐵摡戲昸㌰愷㜷ㄵ㙦捤㑥㕤㡤㜵㔱摡㥣㐵㠷㘷扢㡣㐲〹敢㠹搲㥡昲戰户㘳愷㕥㌴捡搱戱㤶敥捥扥晥㝣愶戸㐳晤挴〵㈵扤㘴㡣慡㑥㉢㉢愹ㄱ㕢㠰戵㠶㔱㔴㐵摡戹㕡㙣㤱㥥敢㌷㈶慦敥㌱㤳㜷慡㑡挶慡愳㉦㌵㜰敡戴㠲㜱愴㤳㕡㔳愲挹㔸挹慥㔴扡㙢㙡㘹㈶㤹攵㙡敦㕡搶㔷㌴昲慡㜸㘳㝢攷昵愴㤷ㅢ㠵〵〶搷挱㐶㐶㔵㜵〴㤳慣愵捦搸戹㜹㔴ㄴ㡢㤹捣㙥㙥㉥つ㙤攴㌳㐶〶攵㕤〱㉢慦㔹愸愷㜲挶挸ち㠸㤹㈷ㄲ戶慦㘰㑦敢㑢昷ㄷ扢晡昲愵㐲㕦慥㌲㘵㜲㘶愵㡥攵㔶㘶㜶㕦挶㘸㔲㤷挷愴挲搳搸㈸㠴㘷㑣扤㐹㤷扡㡢㕣搹戸ㅡ〹搷㑦㠳㠳㕤㡤㠸攰扡㉢㈲㐷㌳〲慥㐶㐶晣㕥㠳㤶挴摤〸㠹づっ㡡慥搳㐸㈹戴㕤㘵挷敢㤸て晦挰て㌹㠳扤戲㘱昴挰㉡换敤㜲ㄳ㈵㜵㜹㠵摢ㅥ愲〷㌱㥡㔲敢戴扤慦ㄶ摣搰戰㡤㔵晢愹㉢戱愸㥥愱攷㌳㌹愳㌰攸愶㑤戰㐴㌲㑤㤲㈱㌱㐸戲㈴㑢㐱扣攷㘱㡣ㅢ搰愲㕣㔲㡡搵㘲㡤㜷㔵㑦愶戴㑣㕢㘶昴㉣㕤㔶〲て㥢扤收㘶㥡扢收㤲㍤㘰挹㈳㐸戸㙥昵昹㍣㕡㡥㈰捤㈷㝢昹㤱〷㘹戳㜷ㄵ敤㘶换昴〹㉦㐷戳㉦扥慥㙦㠰㤴㔴摢〸散昳㡡摥㕥攸㉤㌶㌶搶戳挶っ扤戸慣挴㡥㌸㘸愲㕡挱昷㔱改ち㤰㤶㈳㐱收捣㌰㜲攸挶㕦搶ㄶ搱换扤挰㈶户㈲摣㕡㡣散㕤戰㈶㥦㕥㔶攸换㘳㥦㍤㐵㉦改㤳搳搸㙦ㄵ㠵慥昵捥敡敢敡㉦㘹扤㌳㝡昰搱搲㍢摦㔸㘱攸愵㉥っ搳愵搶摥㔹搸慢愹㜱㜴㘶㘶戵户搷摣㘶㑤㌱㡡㘹挹晤搸㑣っ㑢慢㌵㠴㌰捥戶昴㜲愰㌱㔶㤷愸㝡㐸㉦㤶摤㘸㑥ㄲ愰戱㑡捡っ㔱戲㔵昱㙣㘹㥦ㄵ㠳〶扦ち扡戴っ㔵っ㔳㤳㠷㉤〷㌳㈸收搹㈶㡢㔶昷愰㐳㑡㍤戹㘲㠷㘵摥㡥㈹㝤搸慦ㅢ敡愴㠱㘶搷㌴㌴㌰㙤㔰㘷㔵㜷㜴㙥攸收愶㔳愶㕡ㄴ㘵㝡愱慦㝦〵ㄷ摣㕦㤶ㅥ敡昲挸〲挸㐵晦戸㝡扦㍤㝥晡㡢捦慤捦㘳搰㠵搴㈵戹攷㤳㙣敦㡣攲㐳㕤戲ㅦㅦ扥挱搲扣摣ㅣ搶ㅤ㘹〷搸㝢㜲愷搶搲㡢摡㉥㉣ㄸ㙡㌳摤慣㈲㙢㔶ㄸ慤扤㡢晢ち换㔳㝤㝤换改晣㘱㉡㔶㕣㘶ㄸ㈵敥㔰㠷㕡ㅢ㜲㠶㠵㄰㡤㡤ㄵ㕢㔱搷㔶㤶つ㔰㕢〳搲㍡㌹㤷㙢户㌵ㄶ戵愳挰㙡挴㡣愲㝤㠷〵㤸戲㌸ㄸ〸㈴扡㍡㔶攷㡡扤攲〴搴㤸扢捡ㅢ㐷攴ㅥㄸ㜵昵㉦愶ㅤ晦捣ㄲ攳挵捥换搷㡡敦㕢〹㌵晢㔵㙥㔳搵㜶昹㝢〸挸㘳㐸㡥㈵㌹㡥攴㜸㄰昱㕤㠸㜲㝣㐲戸昲㤲㈷㈰㉥㑦㈴㌹〹〴愳㡣戲㍡〶㤹㔳挸攳㈰攳ㄳ㠲㕢㘰づ㉣昲㔴㤲戵㈰㠲摢㘰㜶㐱㡦㍣つ㘴㐰㍦㜲摦㕣敢挷㌳挰昵挹㐱搲〴㌷搸昴愵愴敤㈴慤㈵㘹㈹㜱㠴㘵㠳ㅡ攳昴㔸〹㌵㝢昱㕤㈰愶㡣㜳ㅥ㤵㥣㑦戲㡥攴〲㤲昵㈰㈲㍤愰㜱㉥㈴收㈲㤲㡢㐱㕣挶戹㤴㍣换㌸敤〸㉢攳㕣㑥收ㄵ㈰㘲㌷㄰搳㌸㔷㈲㌴愰㜱㜸㈶㔰㙢㥣慢挰昵挹㐱搲挴敥㐰搴㌳捥扣㠱㡣㌳搷㑡愸㌹㘷搸ㄳ㥡〶㔹㈷搷散收㉢搶挹㌵㉢㐰㜳ㄲ晡扦㜵敥搷㙥㥤㕢戹挶摤㝢ㄳぢ扢慡㔵敥㠰㙢㥡ㄴㅡ捦晦慤ㄲ慢㡦昶捤㔵攲つ戰㡤㤸㍤攰挰㜲ㄳ㤲攵捤㈴户㠰戸〶㤶摢捣愸攰㌱㤳ㅡ㔴㙥㈷攸づ㄰敦㕥㈰㠳㉦㜸搰㕤戹昰㙡攲昱㕦㙢敦ㄴ㈳慢攳㉣㕦㉤㔲㠴晥晦㜳つ搳㠴㍢㈲慥〵捣攰㤵㐰搹戹㍥搰慡昷㍦㤵挷捣㌸晣捥㑣㌷昲ぢ㌱㔱ㄷ扦捣愵挹㤷戹挴㤱㜷愲ㅥ昶攵㥤㠲挶戰昹㜵㠲戹㍣㐳㔶㜲㝤搹摤敤㘹㘶つ挹㤱㍣㜸慣㥤㌱敥〶搷㌷㔸㥡搸ㅢ〸㘷挶搰敥㐷慣ㄱ㡤挵㥣㔲挷て㌴㙢㈴慤㠴㥡ㄳ捤㜱㤰㔷㔳敡㐳〸挸㠷㐹㝥㑢昲〸挹愳㈰㈲㍣㘰换㝦㡣㤸挷㐹㥥〰㜱戵晣愷挸戳愶㔴ㅥ㤲慡搶晦㌴㤹捦㠰㠸㝤㐱捣㈹昵㔹㠴〶㥣㔲㍢㈸㤰〳㐱〱㥣搵㡥㝣〱っ㥦ㅣ㈴㑤〴㠰㜰っ攴㕡㙦戴㕢㌶愸㔹㙦散㘲㈵搴㥣搶㠶愱㠹搳慡㝣つ㐴散〴㔸晤㠵搷敢挴晣㠵攴慦㈰㉥㐳扣㘱㐶㐵〴㥦捡〸㙦ㄲ昴ㄶ㠸㠸㠱㜰ㄸ㤰㙦㠳搸㤷ㄸ㡥㍣搸扡㔴ぢ㠹㠲㕤㙢㠰㜷挱昵挹㐱搲㐴ㅣ㠸戲〱搸㐲捣搶攱戳敡㔹㘳〰㘹㈵搴ㅣㅥ㡦㠷慣㌲挰㐶〴挴㄰挰敡ㅢ攰㘳收昱ㅦ㤲㑦㐰㕣〶昸捣㡣㡡晤昰愹っ㐰㐷㑡㜶〰挱愳㘴㘵〰㡥㈷昶㈵㍥晢捣㘵㠰晤挱慥㌵㠰ㄷ㜸㥦ㅣ㈴㑤ㅣ〰戹㝡〶㜸ㅦ捡敢㉥挷晦㘵㈵〴慡捦戲㈷㐳㤳㌲挰㌰ㄶ昹ㅦ㠰搵㌷㠰ㅦ挹㜲㉢㤲慤㐱㕣〶ㄸ㙥㐶㐵㈷ㄴ㈹〳㡣㈰㘸㈴㠸㤸〲㤶㌲挰戶㠸搹㤷㜸挳㙤〰㥥㠶搷ㅡ㘰〷敡㤴㠳愴㠹愹㤰慢㘷㠰㔷〶㌲挰换㔶㐲捤〹晢っ㘸㔲〶ㄸ捤㈲晦㘱㐰〳散㠹㘴昹つ㤲㌱㉣㕤㜹敦戱户ㄹㄵ㌳愱㐸ㄹ㘰㉣㐱攳㐰挴㐱㘰㈹〳散㠳㤸㝤㠹愷摣〶㌸㄰散㕡〳〴愹㔳づ㤲㈶㘶㐱慥㥥〱ㅥㅡ挸〰て㕡〹㌵〷晥㜳愱㐹ㄹ㘰㍣㡢晣挰㠰〶搸ㅦ挹㜲〲挹〱㉣㕤搹〰㤳捣愸㤸〷㐵捡〰㤳〹敡〴ㄱ昳挱㔲〶攸㐲捣扥挴〶户〱づ〶扢搶〰搳愹㔳づ㤲㈶ㄶ㐰慥㥥〱㙥ㄸ挸〰扦戴ㄲ㙡㙥㐱㉣㠲㈶㘵㠰㜹㉣昲㉦〶㌴挰㝣㈴换〵㈴ぢ㔹扡戲〱ㄶ㤹㔱戱ㄸ㡡㤴〱ㄶㄳ㜴㈸㠸㌸っ㉣㘵㠰挳㄰戳㉦㜱愵摢〰扣㠹㔱㙢㠰挳愹㔳づ㤲㈶扥〹戹㝡〶㔸㍦㤰〱㉥戰ㄲ㙡㙥㡣㝣ぢ㥡搴ㄴ㤹㘵戹㤷㤲㉣㈳改㈱㌹〲㐴㥣㍢愰㔱㜲挴昴㤲攴㐱㕣㐶㔹愱㜸搰㡣㉤㌹敦戵㈸挳ㄴ挸㉣㠲㠸㙥戰捣㈹戲㠴攸㠰㔳攴户〱慢㌵捥㉡㠸昸攴㈰㘹㘲〹攴捡挶㌹㡡㕡扥〳㈲㡥ㅦ挸㌸挷㔹〹搵㌷㝤扣㍣㐲慤㍥挴㔲て〸㌸挷攱慥㉤挸㌰㠰戵散㈱昹㥥㔲㜱㘸㜶㜲㝦愹㙦㕡㑦〹㙢挴㤶㉣〸㠲㑡㘴㤴㍡㌹㜶〹㡤捤㉥敡㌱㔶㜱㜵戸㑢㙤ㄲ㥥㥤攸敡㉦㤶晡搴昹摣捥戵改㔳晡收昴㤵愶昴ㄴ㔷攴昴㌵愳敢㈴㥢㈹㡢㤷ㄹ㜹摣捡㈸攰㡥挶愶㐰㝤㉢㔶ㄸ㤹㍡㘵㕣搰搷㕦㐸ㅢ㌳愷㝣ㅤ㙥㠶〸昳愰搱㠳戳㉣捣慤㘲㡦㠱昷㠸㉥扢晢攱㥢〶㥣㝦㠹㉤㍢㑢搷㡥㐵愳㙢㔸扥ㄸ㈷㔵〸攰㤰㔳愰戵换攳搹ㄲ㝤ㅥ㙦㘶㤳慤挴㜵㠷㘵㈸挰扥㉣㍣㙢昲㕡慤㕢㜸㌳昳挵㥥㡣攱戳㘲戸扤㍦捣ち捥敤㉦㔵愴攸慢户戱㔲㜰㑥㌷㌷て敦愷昵㐲收敢攰ㄸ㔴っ㤷改ㄵ愱攱摦㤶搹摡㔴攳昱扣㘷㍦愵昶摥㌱攸敦摦户㙣㙤㈰戹敥戱愹搳㈳ㄱ㜰摤愰㙡〳扥㤵收㜶搸捤㡣捤㌶昴扣昲挲㠲㔲㘶㡡戱㜲㤸㐲ㄸ㘸攳㜸㙡㈹㘷㙣㔳ㄹ㔵ㅢ㔳㤹㥤㥣㉡昶攵晡㑢挶㌰㈷愴晡扡捣捥㌷㜲㍡㙦㌶戶㌸愱㜹改ㄲ㙥挷㍡晡㜸㈳昱敢攳㈱㔸愴挹昲㤲㔰㝥搲〶ㄹ攲㉡㉢挱㙥戴㠵㕥㠵晦戲敡晡晢㐴戱敥㝣㕥㔷㑤昴搸〱ㅦ㉦㡦㌷ぢ昵搵㍢捦捡攱搶㝤㌷㤱㍤㘹ㅢ晢㈶户㌹挸愹昱慢挵收昱㐶㕥㙢㔶つ㝤戸㕢捦挷㡥摡搸㜵㜲㜸㥡戰搴㤳搶㜳戹㌵挳戲㌳昳改㕣㝦挶㤸愵愷㡣㥣㍤㙣昷ㄵ㝡扦㈶晥㔲捦㘷㥡扥ㅡ挴㉥㤶㔱㘶攲㈱㑤晢摥攵ㄶ㡦㜴ㅥ㜹〲㍣愵㘶㕤攸昰挹㤳慣㝥挷ㅢ㠷㕦昸搶慤て㐲㕢㤷ㅦ㍣㔰捦〱㘲㘸慢㘱㜱㑣攳㙤㉣攷敥慦敡㜱㉥搸慣扥㔹㝤戸㌳㥦㜱戱㘶昴㤸慣慦㑤扦㔲㙥搲㌴㙤㑢攷ㄸ搸ち搷㝢搶㔹〰〶㍤㌳㍥㤱㜳っ㍢㐷て攲搵㌷挰㕣㥤㐳㑤晦㙡㄰㘴㈷㙤攳〸㘶慥ㅤㄶ昶㤴㜲挶搰慣㑡㔷攱㘶㜶〹㕡㜳㐸㜶攱㌲摣㑣㥡搲㥡㥤㕥攸挹攴㝡昲〶搷㈱㜸㔲㠴捦㕥捥㌲㤶攲㤹㠶㜹㝤挵ㅥ㍥戳搷㥡㕤㔸搰昳挵ㄵ扣㘷㤸㕥戳㜵㐵㑣㌹换㥢敤散挹愳〳㤹㜹㌲摣㤶㕤戰慣㙦ㄵㅥ㉡敥敦捤㑦搷㔷ㄴ扦ㄶ㡥㐲㙢戶㉥戳㔷㌵㠸㠶〶搱摣搰扣愵㜳ㄵ㕡㌸㔴㠶愰戳㠱挴㜲搵ㄱ〸つ搲㕦改㈵敢㠹ㄲ昶㔷㤶愹攲昱挷扡户戳㥤㈷戲改㕥㜹㌲㠴㕡㑥〱㌹㜰晡㈱㌳换捦㈱晤慦㥥㡦昶㉥㠷收㐱愶〲搵㉣㥣㠷ㅥ㐶〰㍣捣㙣㉡攴戱攵㐸攵㜱挶慡㥢㥦㉦慢㌰㙣㠹㤸㍤〹㘷㜰ㅡ㙥㐷户愰攳㘳攸挵㙤㝣㡣戹挳捣〸㔷㜴扤㝡慥㘸愵㜵昵昵昶敡㙣㕡㙣㤶ぢ㌰㙥ㅢ捤㙡㜹㡤㤱㐴㘶㐱㔴晢戳㔸晡㙡戰昴搵㡡㠵改㤸て㌲愹㌰㜵昵㉤搵ぢ㍤愵㘵扤㍤改㘶㐶昸戰搱搷愲㑤愲〹㌵挱㤸昶愵ㅡ㈶搶慡搵㠷捦收㕤㙥戸扢〳摢〷㥡㡥敥㐷换㙤㔰㜳戸搸挲愷㐴搰㝣㈵ㄷ户昲㔴㄰㙦〳ち挱挵慤扡㕣ぢ㌰㜰搴㈰㈴昸㐰〷㤳攵㕡ぢ㐴㘴㔳ㅦ挸愰㌷敥㠷〰攰㥢搵愷㘷愶攱㜹戴扥挲㄰敢㜹晥㘶戸㤶㐳㑡挱捦㠷㌵扡昰愴ㄳ㥥愰㕡㠹㜵㜰愱㤹㡣〵㜸っ愲㠹㡦㜹㘸愶て戹戸昴㜸扤㐳㥢敢攵㌵搳搶㌵摡扡愹敤晥㍡挳捣ㅡ晤敦ㅣ㥣㤸挸摡晡㝣㕣㐶挸搳㔰ㅤ昹㐳㄰戱〲㔱搶愷ち㜰㍡〱㘷㠰㜸ぢ㐸慣敥㈵〳㍥搸搰〸戰户㤷て㕣㌴昷戲㍡㔸㙥㘸㜸っ〳て㙥挰㈴摡搰收㈳㤱㉥捦㠴摡摦㍤晡㈸㡦っ㍤愲ㅦ挴捥㕦㐳搸㉡攰㔹捣晦㙣㄰昱㍤㌰戹㉦搵㝥㠴㔸㘳㐶㕦攳㤱攷㈰㘴㙦㑡捥㐵ㄸ搳㠵攰晣挱㡤㠹㝤戹扣㠹攵昴㡦㉤搴戱㐸收㤲㥡㑥摤搴昲㑣ㅣ〷ㅣ㤷㘸ㅥ昹ㄳ挰换㙢㠴昳㉤㘵挷㈳㠹敢〴昳ㅡ㜰㈶ㄳ㈷〰挰搹捣㔳㜷昴ㄴ㈷㈲㠵㈳愸㕣〷扤攲㈴㠴㌸㌰戱愱戲挶㜲㍤挸愶ㅢ敡㈹㑡〲㜰㜷㐳ㄵ愷㠲㙢ㅢ搷攵晤ぢ愹昷㈲收戶戶㍥攰㘲〲㉥㈱攰㌴〰搸〲攴愵㠸㌹㑥㍢挳㈵收㜲摡㘵ㄴ扢㥣㘲攷〱愰㥣㜶〵㘲㉤愳昷搵昳昹㝥㍤搷扥㔴捦㜹攴㤵㘰搹摥晢ㄹ挲昴ㅥ敦晥て散扤㥦㕢愸㜵㐰㙤戶昷㉥〰搸昴摥㔵㄰㉦㝢敦ㅡ㑢搹㝡愴㙦㡥昷㉥〴㙥㄰敦㕤㠴㘴攵扤㙢愱㔷㕣㡣㤸敤㍤㔶㕤㕥〷戲㘹敦㕤ち㌱〰慢扣㜷㌹㌸㜵扣㜷㍤昵晥ㄲ㐴㕣㔱ㅦ㜰〳〱㌷ㄲ㜰㈵〰捡㝢㌷㈱收㜸敦㉡㤷㤸换㝢㌷㔳散ㄶ㄰敦つ〰㝣㠱㝢搱㙡㐴㜱捥㜵搴摥戲㝣㡣搳㥡㜵㥦摡㙣㤳戵㡥㙦㕣㠷㌴㔵㍣戵愷挱搴晡㌵㍡㠲㠱㌹㘰㑣㝢愲摡攲〵慦㜹㡣挲挵慤戸〹ち㔵愳搲㙥㠵挱户㉤㍦㜹摥づ晢㤴ち㍤愹㝥慥㐲㔵扥㈱搰㈶ㄲ㜴ㄴ㡡摥㡣㤰㙡㜰户㐱㔲摣㠲㤸搹攰㠴㙡攲昲づ㍡㤰㝤㝤搰㜹敤㌶〲昰㕦摥㐹㈵㔶㐴昰㤶戶摤攰㥡㄰戶挶攲つ〰挸㕦ㄱ㜸㐷㝤挰㕤〴摣つ攲扤ㄳ㠰敡㠹扣昲晥㌰づ愹㈴㐰㑤敡㉢㔴㝣晡慥ㄹて戲愹挷昶扣㙡搶ㅢ敡㝡摣㑥㌳㥦戴㙢㠶っ㐲扤㐵㙤〱㤶㐴㐶挶㘷戶㉥捥㌲㥣扢ㅢㅡ㥡戰㉥搰慡㥦㤶愹挹㤶㉡ㄶㄸ敡ㅥ戶攰㝤㕢敤搷㄰ㅥ捡㠳㑢攸敦㥥㡡㙦ㄱ㔴摦㥥挴㤹搷扤挰攰㔴昷㙥㔰摢㌲㍢㤳㘳㑥愳昷㈱㔵摥て㈲㜸挳㔵つ㜸て㔰挰㈳㝦挳て搳攱昲㐱㠴改戹㠷挱ㅡ㜸㤰㝢挸㐲晤ㄶ愸捤ㅥ攴ㅥ〱搸ㅣ攴ㅥ㠶㜸㜹㤰㝢挴㔲昶㈸搲㌷㘷㤰㝢っ㌸搵ㅥ㝤㈸㜵捤〲㕦㍣㡥㘴搵收ㅥ㐵愲㜸〲㌱㝢㤰㘳㜵攵㘳㈰㥢㙥㜳㑦㐱っ挰慡㐱敥㘹㜰㙣换㜲昵㘰㔹昶〹敡㝤ㄲ㐴㍣㔳ㅦ昰ㄴ〱扦㈷攰㔹〰ち昸㉦㥦㐶捣ㄹ攴㜸㘷搹搶敢ㅡ攴㥥愱搸戳ㄴ㝢つ㠰ㅢ昰摦昲㤲敡㕢慦㈳㙡㜶换攷〰昹㐲摤昲㉦㄰㔵㈶㝡㥥捡晦㡡㔸㐵户㝣ㄱ摣㑤㥢㠸㜷㤸〱昴挸㍦㔰㠹ㄵㄱ㙦㈲㘰㔷挵搵㉤㕦〲㐰扥㑣攰㕢昵〱慦㄰昰㐷〲摥〶㠰㕤㔳㝢ㄵ㌱㥦搳攴㈳昵㕡晣㙢㠰愰挵扦敢搲戹㍢㌹㘶㡢晦㌳㜵扥㑥㥤ㅢ挱慣戶摦挷攰㤹昶晢ぢ㈰㕦挸㝥晦㠱愸戲摦㕦愹晣ㄳ挴㉡散昷〶戸㥢戶摦㘷㄰〳搰㈳摦愴ㄲ㉢㈲㍥㐷愰㡥晤摥〲㐰扥慤㠰㈰㜵〰敦㄰昰㌷〲㌸捣㈸晢晤ㅤ㠱戲晤愲昵散昷ㅥ㈰戰㥦ㄷㅦ戶捥㜶㜲㑣晢晤〳㙣昹㑦㄰㌱っ愴摡㝥㝥昰㑣晢晤ぢ愱㉦㘴扦慤㈰愰散昷㍥〲㘲㙢㤰ち晢㝤〰挶愶敤㌷㥣戲㈸慣晣搰ち㌰㈲㜸㤳摢慥㡡慢晤㙤〴㕢㝥㐴攰挸晡㠰㡦〹昸て〱摢㠲㈸晢㝤㠲㐰㜹挸挵搷散敡っ戹㥦〱〳〳昲扥戸㥤敢㉥㘵〳昲㤴㕣㝡㌰挱㠹搱〸㔵ㅢ㜰㑦昰㑣〳ち㐰扥㤰〱扦〱㔱㘵挰〶㉡ㅦ㠳㔸㠵〱㥢挰摤戴〱㜹㝦ㅣ㝦昸ㅥ㌸㤵搰㜸晣㍦ㄶ搴慥㡡换㠰ㅡ㌰㜲〸㠱攳敡〳㥡〹攰㔷捥〵敦愹㉢〳晡㄰㉢㌷挰㐴㍤晢戵〰〲晢〵㕤㍡㕤昶㙢愵捥㘱搴㌹ㅥ㠰㙡晢敤て㥥㘹扦㌶㐰扥㤰晤㜸户㕣搹㡦㕦㡢ㄷ〷㈰㔶㘱扦慤挱摤戴晤㈶㐱っ㝦昸㤲㌱㤵搸昶㥢㡣㔰ㅤ晢つ〷㐶㡥㈰戰戳㍥㘰㈴〱摢ㄲ搰〵㠰戲摦㜶㠸㤵敤ㄷ慢㘷扦㔱㠰挰㝥搳㕤㍡摢挹㌱㍢昰づ搴戹㈳㜵捥〳愰摡㝥昳挱㌳敤户ㄳ㈰㕦挸㝥ぢ㈰慡散户㌳㤵㉦㐴慣挲㝥敤攰㙥摡㝥㡢㈰㠶㍦㡦摣㤵㑡㄰㔰晦ㄷ㠳搶戱摦㙥挰挸摤〹攴敤晢㍡㠰搱〴散㐱〰敦攸㉢晢敤㠹㔸戹〳〷㤳昵っ㌸〶ㄸㄸ㤰㜷昵㙤愵慥〶戸ㄷ㤵敥㑤愵㔹〰搴㥡㘹㉣〵昰ㄸ〹㍦慣㌵搳㍥〸㜳捤戴ㄴ㤸っ㔳慤慢㜲㕢摦㘱愱㤶〱戵搹㙢㈶摥改㌷搷㑣晢㐲㕣㔵〰㤹晡㘴搰㔲挶㠷〰㌶㘷捤㤴〳㑥昹摡㠷㔲搷慥㤹昸㥣㠰昲㘷〸㝡㐵ㅥ㌱搳㥦ㅥ挹敡捡〸挸愶晤戹〲㘲昸慢㕡㌳ㄵ挰戲㉤敢㕡㌳挵愸㌷捥摣㡡昵〱〹〲㤲〴㤴〰㈸㔰敦㜸挴㥣㌵搳㉡㤷㤸㙢捤戴ㅦ挵昶〷昱ㅥ〷挰收摤㠰ㅥ〲攵㝥搷㔳〱收昳愰搹㠳㜱ち㠰搷㈴捣挵㝤愹ㄲ㔹㕦㠷〳挹㈶昳敥攰㈶昷て慡ち晦敦㜰㙥ㅤ慡㙤㔰戹搷戰敡愶ㅥ㝦摤戲扢㠷㍥敦㝤㥦㝥晥昹收攵〲㤷㔴㍤㤰慡㥡㠴㍣〰づ㘳て㍡ㅥ〰㘲㉡㑦㠶扥㕦㡦敢㍤〱摣㐱づ昲慢㙥扣㔱敢㌶攵㘳㐷ㅥ㌰㡦捤㘱晢扡ㄹ攷昹㤳㔰㌸㜱㤲㕤㠶挹㠸搹㤷㌸搹收㜶ㄲ〳㌶慢攳攵㜱㙤昵挶戲收㠴㔸捤慤㔹㥥ㄵ㉦㈸慤挹攱㝣㥥㐱㙥㌴捤㄰て㈴昱挴〱㜸㈸㜴㕦愱〹㑦㔶㔴㍦㐲敦挸愶㤰改搰攱㔵㕦挳㔴㘲㑣㌹〵愵昱晥ち㉥ㅡ㔰㥥〵㉦㍦㈶㑣ㄹ㕥摡ㄴ搴㘹昸散㥥㜴愱慦搸㤷㉤戵㉦挰㍤愶㜶㝥㌱ㄷ攳㔱㘰戲昷㑥㘸慣㥢㈷㉢搶㤴攷ㅢ㐵㔶昲挹㘳摦昲㝣摦慡扣㉡㡤户挸敦㈷㌳㌷㌹㘴〸戳挱㘰㘴㕥扢挳㜸晥戵㑣挱攵㍦つ〱攴敤搱愶㠱敥搱搵搹㌵扦㍢㙣〴㐳搱㐴㌲㙡愴っ㍤ㄲ㠸〷ㄲ㠹㜸㍡ㅢ㠸〴㤳搱㜸㕡㑦㐷攲摡㜴〷ㅡ㌳愲㤹㠸㘱愴㔳搱㘸㈸ㄲ㡢㐶㤳攱㜴㈸ㄱ㑢攸攱㐸㌴㘸㈴昴㠸㥦㐷挹㔴㉦㘷㠰捡㤹㈰晥搳㙤搶㠱㘴ㅤ㐴ㄶ捦㤳昱改㐲戵㥤〹ㄶ㡢捣攱收㑢扤晣㘷㐱㌳㥢㡥㌶〷㔹㙥搵搵搹㕤昹愶ㄶ㙤㉥搸㉤㘰慢㔳㠷昹昸ㅥ戱㌶て㥣㘱攰戸敥㔷昹捦戶戴挸㠳㤱愸摥㝡愲摥㝦㈲捥〱㥦愳愱㑦㕣ぢ愷戱户㥡扤敥㄰挰搸敢㜸㉣㡤扦慡㕥昷攳扡摣㥦㠰换㥥㈷ㄷ㐳㔸昰㜴ㄹ㝦ㅥ㔹搱㉢搶搹摣挳㠸㐱㌲戳ㄳ敢ㄱ㘲捦㄰㔷愲〰㙣㡦㘰㝡㈴ㅢㄹ摢㤳戸ㅣㅣ戶愹捡㌶㜱㈱〴㠸搰づ〷㌵㥢㠲ㄱっ挴㘳搹㜴㈲ㅢ㐹攱㘵㐳愱㙣捡㐸挵〳搱㙣㕡て㠴戲搹㘰㌶慢㝤摢㠱愶〳改㔰㈰㘶㈴㈳愹㑣㌰㤲㑣挵昵㜰㌲㤹搱ㄱ㡡挴戳挹㜰㉣收攷戹㌲搵换㙥㔰戹〴挴㝦戱捤搲挹㑡㤱㜵㠹捤㈲㐰㐱摢㉥〵敢慢㘹ち㤷㐱㌳敤㈵搹ㄴ㈴ㅤ㉦改㙢晦攵㌶㝦ㄹ㔹愳㠸搸ㅥ㐴㕣〹扥改摣㜳㘱扤戲㜳㜳㠰搱戹㍦㐳㍡晥慡㥣晢昳扡㕣ㅥ㍥㉢攷收㈱㉣慥戱㌱ㄵ捥扤搶收慥㈰〶㡡㤵㜳慦㐳㐸㌹昷っㄴ愲搶戹㍦慣敢摣敢㈱〴㈵ㅥ慤〴㙡㍡㌷ㄹ〹挶㘳㝡㉡ㅤ捦挴っ〴搳㠹㑣㈲ㅤ㡣〵㠲㝡㈸慢ㅢ㠱㑣㕡敢㜷愰愹㜴㈲㥤㡡㠷搳昱㐸㌴ㄵ㐹愷昴㤴ㅥて㘱㘸搰昱㍡愹㐸〸づ昶晦搲㔲㉦㔷㐲㐶慥〲昱摦㘰戳㔶㤳戵㠶慣ㅢ㙤㤶㠳㙡扢〹慣慦挶戹㍣戶慥攷摣㕢㙣晥㌱㉣㔷㍢摤挵㔵愸㔰挷愶㡣ㅤて㍥㌰愶戱敦㐰㐸ㄹ晢扢㉥㘳㙢㈷〰㌲攰㜰㉤扥㔳搷〳㍣㔱攵㜸㉤㑦㠲㜰㙢愳㝦㠳ㄵ搷㑥㐶摣昴㐸㌴ㅢ㡣〵攳㤱㐸㉣㤱㡥㐵㠲㔱㈳〹㐶〰㜶㡥㐴挲㠶ㅥっ㠵戴㔳捡搰㘴㔸て攱㝤㕥㝡㉣ㄶ㠹愰㌳敡挹㘸㌰㤶㌴挲㝡㉡ㄸ㑤愷㘲㠶昶〳〷㥡㠸㠵愲㐹㡣挶戱㑣㍣ㄸ㠱㠷昵㔸㈸㥢㠹㘲㜴㡥㘶挲扡慥㐷戵㔳ㅤ㘸㌲㤰㌴戲㐹㍤ㅣっ愵搱摦㤱㥡つ㘷戳㌱㈳㄰て㠷㘳㝡㌶ㄳ昳昳戴㔷㔵㘲㉤㘴攴㘹㈴㍦㈴㌹ㅤ挴㝦㤷㥤㜸〶㔹㘷㤲㥣㐵㜲㌶ㄳ㜹っ慣㈴㤵㄰昱愶㈴ㄵ㜹敦㐵攲㈶搷㔹搶㌹㉤㤵㠸㤴㐸㡢㡣㌰㥡㠶っ愹㜹昰戱㜲捤㠵㈳㕣㜳㠹〹㈹㑤攳ㅡ捤摢〳昷っ扥㠴戲㠵㔰㉡搷㘴㑤㘱ㄴ搶㈳捦㘳攱捦〷昱昹敦〳㠴㡤㑣㕢㠷㘸㥤挹攴〲戰㉢㈷㤳昵攰㔴㑦㈶昷㕢㕡攴㑦㤱愸㕥㔸愴㕥㕤㈴㝥〳扥㌹摥㉣㐱㤹换攳捤㈵㠰㜱扣㜹㄰改昸慢ㅡ㙦ㅥ慡换攵㌹戰ㅡ㙦㉥㠳戰㜸挴挶㔴㡣㌷㡦摡摣㉢㠸㠱㘲㌵摥㍣㠶㤰敡〲摦㜴㜵㠱昲㘴㜲㘸摤搶晥㠴愵㑡扢ち慡慣昱㈶ㅡ㌶㔲㘹㍤ㅡち愵〳ㄱ㍤㄰㐹㠶攲㠹㑣㉡ㅣ〹㘶昰㌲㤸㑣㌴敢㝦搲捥晥㙡挸昸㥦戲㘳搷㌰昶㝢㍢挶戴戶愷ㄱ晢㙡㐶つ㥥〳搷ㅢ㌵㥥戵昹搷㈳㝦昵㑥㈸㌹づ〶ㄲ敡㔴㤷㉥戸ㄱ㝣㘰㑣㤳扤㠸㤰㌲搹㉣㤷挹戴㥢〱ㄹ㜸搴㌸戰慥ㅤ㜹攰慢扡捤慤㄰挶愸昱㤲ㄵ搷㙥㐳摣戴㙢㍡㠸㝦攱㘰㈶㥣捡愴㈲搹㐴㐰捦ㅡ㤱㔰㈸愸ㅢ㠹㔴㈰㥥捡㐴戵摢ㅤ㘸㈶〸〷㈴㔳㔸慥㐵昴㐸㌸ㄶ㐹挴昵㜸㈲ㅣ捥㈶㈲昱㜴っ挳扡㜶㠷〳㑤㈵搳㘹㑣晢挹㔴㉣㠸ㄱ㈶ㅣ㑦㈶㈲戱㜸㈰ㄳぢ〵戲改㔴㈸ㄹ搶敥㜴愰㠹㔴㉡愹㠷戰㙡挴㡢慤㈲㐹㈳㤶㐸㈵㔲㔸㉣㐶〲㠹㘸㈲㤳づ敢㝥ㅥ㐶慢㑡㙣㠰㡣晣ㄵ挹㕤㈴㜷㠳昸㕦戱ㄳ㝦㑤搶㍤㈴昷㤲摣挷㐴㥥㔲㉢㐹㈵愴挴㈹愴挴挵㙢㐸攴挸㈱ㄲ㌰ㅤ㝢㌵㔲昰敤㌶愶晦ㄶ挴攷晦㌳ㄲ㔵敦㝣〴搱㍡扤昳㔱戰㉢㝢攷敦挰愹敥㥤慦㕢㕡攴㘳㐸㔴㉦攷㔲慦改ㄲ㝦㘵搶捣昱㐹昰ㄹ㔰扤攵つ㠴㤴敢㍢㕣慥㤷㜴扤㕡㝡㡤慢敢㘵ㅥ㑢慢㙡㍥〳ㅣ扣晣㤶ㄵ搷㥥㐵摣昴㜲㈸㤲㑣ㄸ㜰愹㥥㑥㐷㈳愹㘰㉡ㄹ〸㘶〳愱㑣ㄴ㝤㐸㡦挶攱攵攷ㅣ㘸㉡ㄹ换㈶搰挱㠲愹㑣㤲〳㝥㈲㥤㑤㐶挳挱㘸㌲㙤ㄸ㤱㑣㌸愳㍤敦㐰攳㔸捣㠵昵㐴㌸ㄴ㡡〷㈲改㙣㈲ㄵ㌷戰捥ぢ〴㌳挱㔸㉣㤸㡥〶戵ㄷㅣ㘸㉣㤵㑡挴㡤ㄴ扣㙣㘰㠱ㄷ捥愶攲愹慣㡥㈶ㄷ捡㐶愳挱㘸㌴敡㝦摢慥挴㡢㤰㤱㝦㈰㜹㠹攴㘵㄰晦㍢㜶攲㉢㘴晤㤱攴㔵㤲㍦㌱㤱㘷改慡晡㠴㥡㐲㡥づ昱ㅥㄲ㤵㤷㐷戹扤晣摦㐴扥〱攲昳晦〳〰搵㘵改㘵㐹㥦㑡扡搱晦㑦㥢晦づ㔹晢搱㔳攳㐱挴晢攰攳捦㈳摦〵㥦〱攵户て㄰㔲㝥昳扢晤挶㠹㕥昹㙤㔸㕤扦㝤〸㈱㔵昰㝦〱〷扦昱攸㥢㜱敤㝤挴敤㌹㍤㤴㡡㈴ㄲ搹㜸㍡㡤愱㉥ㄲ㑢㘶㠲㔸ㅡ敢㌱㍤㥡㡡㠶ㄳ搹愸昶㙦〷㥡づ挶㔳攱㐰㌴㠳搷㑥挶㈲扡ㄱ㑣㘶挲㔸〰㐴愳㐶㈰㤵㑡愵㐳㔱敤〳〷㥡㑣〵㘲戱㜴㌸ㅣ㌵㡣㘸㈴㤶〹㐱㘱㈰ㄲ㑥㘰慦㤶㑣愴搳挱㡣昶愱〳つㄹ㠱〰㝡㙥㌶㤴ち㘶㈲㌱㍤㤴〸愱つ㘰㌶て挵㤳㤹㘸㌰ㅢ昷昳愸㕥㔵㘲㈳㘴攴㐷㈴ㅦ㤳晣〷挴晦戱㥤昸〹㔹㥦㤲㝣㐶挲扥收攷ㄹ扥㤲㔴昸戲㌸㈵挵㘷㐸㔴㝥晢攴ㄳ㔷敦攴晢㌷愵〶攲昳昳挴㕥昹㙤ㅤㄵ㕥㐰戲㥥㕡㌹挹㉡扥㡦搸㑥㤸㔳㑥〶挱ㄳ㡡㤶摦㕡挱㠷慣改户㈶㜰㤵摦晥㠹㙣㥣搵戰攳户昷挰慤摤敡昰㠰㑤ㄵ㝣㉢愸㠲摦㜸攲慥晣戶㌵攲愶摦挲ㄱㅤ扢㕦㜴㠸㘸㈰ㄲ㠹㠷㠳㠹㘸㈸㤹挴戰ㄹ㐰ㅦ㑡〶〲ㄱ㙤ㅢ〷ち㠳㘶攰ㅥ㍤ㄵ捥愶㈳㝡㉡㤴〸㈷昴㠴愱㘳㌹ㄶ挴ㅢ捥㔲㜱㙤戸〳つ㘴㤲㠹㙣㉡〴㙦挲ㄹ㠱㠴㥥っ㠶挲挹㑣㈶ㄹっ㘴戱㕦ち挷戴ㄱづㄴ㥤㌲ㅣ挴〵挵昱㐸㈸ㅤ搵ㄳ愹㙣〸㡤㈳㠳㥤㜸㌶ㄶっ晢㜹㠷㐰㔵㘲㈴㘴攴戶㈴摢㤱㙣て攲㙦戶ㄳ㐷㤱戵〳挹㡥㈴㍢㌱㔱摡㠹㑡㔲〹㈹㜱㑡㡡ㄶ㈴㉡扦扤攲昶摢敥ㄴㅥつ攲昳户〲㠰〰㥥㑢㐲挰攵户㘱㌶㝦っ戱㌳㠹㤸㐱扦昹挱愷扢攴㔸昰ㅤ扦昱摣㕦昹敤改扡㝥㝢慡慥摦㜸晡慦慡扣㉦㔴挱㙦㍣改㔷㝥ぢ㈰㙥晡㉤㠰搱㉥㥤挶㝥〶㉥㐰㈷ち㘱㜲ち〵㜰㍡㤱〸改搸戰愶挳㕡搰㠱㠶つ㑣㑦㌰㘵〴晤㈶ㄲ挰㕣ㄷ㡡㜲㘹㡣扤㡦㤱㑣挱换㕡挸㠱挶搰㙢㌱㤰㘶戱㠰㡥㘰㈰㑥搲ㄵ㝡㈶㠰つ㙥㌰ㄶ㐵攷搶挲づ㌴㤳㑤愵〲㐸ち愱ㄴ㤱㔴㉣㤳㐸㠴搳㤸㤳ㄳ㤱㙣搶㌰昴㘸挶㍦挲慥㐴〴㌲㌲㑡ㄲ㈳㠹㠳昸㐷摡㠹〹戲㤲㈴攳㐹昶㘳攲戶㜶愲ㄲ㔲攲ㄴ㔲攲㘲ㄴㄲ㤵摦㝥敤昶摢㘴愶㜷㠲昸晣㍢〰㠰㐰㡤摦㜶戴昹搳㠸㥤㐷挴㕣晡㙤㘷昰㤵摦㘶㠲敦昸慤ㅤ㕣攵户㕢敡晡敤愶扡㝥摢ㄵ㐲捡㙦戳愱ち㝥摢捤㡡㙢㜳㄰㌷晤ㄶ〹㐴〳搹㐸㐶て愶戱ㅢ㡤挴戱晣㐰㕦〹〴㠲㔱㍤ㄴ㌱戰㤲搰收㍡搰ㄸ㑣㥢づㅢㄱ昴挶ㄸ昶㍥愱㠴㡥〱㉤㘵〴つ㜸㌰㠱㈹㐹㥢攷㐰戱戱㡤挴㌰晢〵㠳改㐴㈴ㅣ搴㈱㘰挴㤲㔸摡攸㘱挸挵〲摡挱づㄴ㈳㜳㍣㡥㤷㐷㘶ㄲ㘱㉣愳昴㌴㍦搰㡡㔲改㔸㈸㠵㘲愵晣扣㈳愲㉡㌱ㅦ㌲㜲〱挹㐲㤲㐳㐰晣愳敤挴㐵㘴㉤㈶㌹㤴攴㌰㈶昲㔶㠹㤲㔴㜸㈵愹㜴㔰㔲㡣㐱愲昲摢愵㙥扦㜵㔳㜸〹㠸捦扦ㄷ〰〸搴昸㙤㙦㥢㥦㈱㤶摦扢㔴㙦㠵ㄴ攳挰㌷㜷つ攷㐳㘳㜹搷戰㡣摡戰㙢搸〷改捡慦㙢㐹慤㑢㜴搴攵敥ぢ慥摡㌵ㅣ〱㘱挱㍢㈱㑡戲㘲搷愰敥㘳㐰㡤捣ㄱ㠳〰㍥㍣㠲昷㌱㔴㍢昹㤱扢㥤㑣〱㔷捤愷㘷搵㙤㈷㌱㉢〳㙤〵㜴㤸敤〲㥢㑦㌸㉦ㄹ挹挶㔲愱㐸㑡挷㐴ㄷ㐹挱摢㤱㜸㍣㤶㠸㠷㌲㐱㝦摣㉥搴㤱㤰昱㈷散㔸㠱戱愴ㅤ㘳㕡摢㜸挴扥㥡㕤挳㝥搰㡣ㅣ㙡づ㤲昶户昹慢㤰慡摥戶㈹昹㍤㔳㜱㠰㕤慥愳挰愷㈰晦㡢㐹㌶搷㜶㡣ㄷ㕣扦㙤㙢㝦㈷㤲㔵㉢㍡ㅡ攸搶㐶敦っ挴敢㝥ㄵ愵晡㤵挳敥ㄷ㐲昳㍣㜵㐴敦捣㈲づ㌶昱㙡户㠵㝤㤳㥤㤷㔲㙦㘵ㅦ㜸㡥戵㕦㉢户㐷㤹㘳㝦攷换ㄶ㥢㕢㜰攴昰㤶㌴ㅣ㍤㈳㘱㉣㕦㐲㌷愲ㅣ㜳㍤戰戵㐳㤹㡢㉦昸攱㙢㐷㐶挶搶㔸挴㥤扤愶㠶㐶㔱昷戹㐲敢ㅤ㘰㜸敤㤶慤㘰㙡扥扦㜷㙢搴㘱㠷㍡㑦㌷㜷昶㤴搴户〳摡㘸㑣挹〳㙤敤㝢㌰㤵㌶㘱昴慣搱愱愸昷㌸㌴戹㉦㤰ぢ㕢㜲昹愴㥥㜹㤲攳㤳挷㐲愵㤸〹攵戴扦㤰㍣っ搷㡥㌷戳㌹㄰搹㠸敦㈲ㅢ㘶〵㌰搰㈷㄰㝤㈰㌰㘴㔱㠱㌸挸㡡㌰㕤昰昴戸摥㔷㜴㔷〳㕤昷ㅤ〶慢慣㠴㥡㔷㡡ㅤ〲㑤搴㉦㑦㐵㡥昸㌳㥢搴㘲㥢㕢搱愴づ〳㔷戵愴搳〰㙣㙤ㄴ摤㠸㥢戵㌹ㅣ㈱敤㜴㜰㘱㌴搴㈶㈴㡥㐴㝥攵摡㥣㠹ㄴ戱挴㐱㝦㥢攸戳㑤㌴㑣ㅣㄲ扤ㄶ摡戴搴㌹㐴敢挰㌸㜵㑦㔹ㄱ㔵昷㘵㠸搴慢晢戲㠱敡扥搴㑡愸㜹㘳㔸づ㥡㔴摤搷㈱㐷晣㤹㜵捦摢摣㡡扡昳㈸㔵搵㝤㍤㠰愸晢㑡挴捤扡昳㘴㔴扢㄰㕣戳挱㠴㠵㕥㔱㥢㡢㤱㈲㔶㌹攸㝥愲㉦㌵搱戰㔴㔸ㅣ㙥愱㔹㌷㥦扣㥣攸搵挰㌸㜵㕦㘳㐵㔴摤㡦㐱愴㕥摤てㅤ愸敥㡢慤㠴敡ㄷ㠲昹㡦㠷㈶㔵㥦慢㤱㈳㐶〵㥥㉥敥㌷昰㜷㠱㕤昷㌰挶攲戶㕤挵敢㕡愷攲昵慢㉣愵愷ㄱ㕦㌶㌰㥦扡㙣㙡ㄸ扦㘵扡㜸攸挶㙦攸昰扦昷㄰ㄴ晥㝦愱㠷慥㉤昷㐴㙡攴㠱慤扣㤶㈶㕥㡢昲㥡敥攳㌱慡㜶ㅤ㜸摥〹愳㍢㐷㈷扤〷㈳搳挱扡㍢㕥愷攳ㅥ㔴㉡㌳㘱㜷攷攵㤳搷㌳㤷搳㥣㕣㑥㘱㉥㌷㤸戹㑣㐷㉥戳㤱㑢昵户㈰搴户搱慣愱㡢㠷㤶ㅣ〸昱㕥摢㤹㤹摡㍣攸㌹㥦扣㠹㜹晣搰挹攳〷捣攳ㄶ㌳㡦愹愳㤳㘲㈶昲㘰㍥㘰〳㝣ㅢ挱愷㍢攰㔳〹扥挳〴㑦〳㜸慡〵〶〷攰つ〴昳㌸㤶昲捣㑣昰㔸㤶ㄱ愶ぢㅥ捦摡㥡〵㡦㘹㘹㌴㈴㜸摡捥㐳㠴㜳㐵搵晤户昷㈶㌲ㄵ搷㈴㐵㍤捤搶愷摦晡ㅣ㍥愹敤㝣㕢昲㜰戱敢搹㤳扤慦ㅥ㔳晤㕥〳㔳搲攳戹㙤攷ㄳ摦㍥昸戶ぢ㈷㥡㥦搷㑤ㄴ㍦㠵㘴戹㔳摣て㥣昹扥㠲㐹㈸㔴摤挱㜰愲㤵㔰昳扥愳㑢愰㐹つ〸昷愲㥡慣愹慡慤㍡昹愴搶㡡〱㠱㘷㥤慡〳摤て㄰〶㠴慢ㄱ㌷㕢搴㔵〸㘹扦〱搷ㅣっ㈳㈲㠹晣捡㠳攱㐳㐸ㄱ搷〰㘳戳〴捦〶换ㄵ㌸捡愹㐰㘴愰ち㠴慤㠴敡㜷ㄲ昹㜹㥡愸ち昵㤸㔹愸㕢ㄱ㘷捦ㄶ㐱㐸戰㍢愹ㅥ昰〴㑢戰〱㙣戳扣户㈱愴㍤㘵㤶㜷摡攸㘰㐰散〳愰敤㙢㥦㝣㥡攸㕦㌹攸摢㠹㝥搶㐴㑦㈷㝡㉦ぢ捤㝣㝤昲㜹愲敦㜲搰㜷㄰晤愲㠹敥㈴㝡て愰敤搶攲㤳㉦ㄱ㝤户㠳扥㤳攸㔷㑣昴㔴愲㜷戵㜴㠳て摤慦ㄲ晤㙢㠴㔹㌸㘶㈷敥戱㈲㐸昰㠸㝢慤〸挱㠲挷㠰㜶㍥㙤て㈳戲㘵慤昲户戶攴㐰慤搲晣搶捦㙦㈶㥡㕦挵㝥搸㙡攷㑦㑣ㄴ㡦㐱戲散搴晢㔱㈶戳㔵敥㠸戲搷㙤㤵㍢㔸〹搵敦㔹昲昳㥣㔰㌹昵慦愸㈶㕡摡㌳㠸㉢愷㙥て〹挷愹㙦搰㌸㉦㈲挹㜴敡戳〸㘹㙦㠱㠷㐶〸㔳〶挵〸㠰敤㍥敢㤳敦㄰晤〷〷晤ㅣ搱㝦㌷搱㜰㔳㔰㙣〵戴㙤㍥㥦㝣㡦攸㤷ㅣ昴昳㐴晦搳㐴愳挱〴㐵慢愵ㅢ㉣戸改㝤愲㕦㜶搰㉦㄰晤㠱㠹㐶㠳〹ち㘹愱捤〶戳㤱攸㔷㠰㜱㥣晡㐷㉢㐲㙤攲㔵㉢㠲て㡦昸ㄳ愸㕤慡㌶ㅥ攵㙤㤹㔳摦戰㈵〷㜲㉡昲挲昵挶㐴㍣挹㠴敢㥤㠹ㅢ㑡㍦摡慥㘹ㄱ扥㜹晦づ㈴敢㌹戵〹㔵慡敢搴㐶㉢愱晡摤㔱㝥ㅥ㈲㉡愷㝥㠶㙡挲愹㍣〹㔴㑥ㄵ㤰㜰㥣㑡㠸搸㠸㈴搳愹㍣ㅥ搴昰昵〴㍡ㄵ㠶㡦㠹㑦晦攳敥愹昸㔹ㄸ㡦昸挸㐱晦㥢㘸捤㐴愳〹挴挴㐷ㄶㅡ㝣戸愹㤹攸㡦ㅤ昴〷㐴晢㑣㌴摣ㄴㄳ晦戶搰㘰〱摤㐲昴㝦ㅣ昴㠷㐴て㌳搱㘸㌰㌱昱て愰㙤搷昸愴㥦攸㑦㠰㜱㥣晡愹ㄵ㔱㑥晤捣㡡攰挳㈳㌸㍦搹㤲㙤㍣攷摢㌲愷昲㜰㔰㐹づ敥㔴㝢㈶摡㘸昵搴收㐹挲〷挹㝡㑥㝤〷㔵慡敢搴户慤㠴敡昷㘱昹㜹挲㐸㜳挹㤱愰㜰敡㔶㠸㉢愷扥〹〹挷愹摢搱㌸㈳㤱㘴㍡㜵㙢㠴戴㔱攰㘱〱㌲㝤㜴㐲晣〵㔸摢㙣㍥戹㈳挱摢㍡㘰㥥ㅥ㙡㍢㥢攰愹〰晦挹〲搳㤲㍥搹㑥昰㜶づ㜸㌸挱扢㤹攰㘹〰扦㙣㠱挱〶㜸㌴挱㍣扡㌳㡢㌱㠲攰㍤㑤㜰㈷挰㉦〰㙣扢〵敦ㅣ㈴㜸ㄴ㈰㜶挹〴捦〶ㄹ挱〷㕥ㄲ㙣㐵㤴㐳㜹㔶㘸㑢戶昱〰㜰换ㅣ㍡摡㤶ㅣ挸愱昶〲攰㥦㑦捤㑥昹て扤摤㕡㄰摣㌵㔱昰㈰戱㥥㐳㥦㐶㤵敡㍡昴昷㔶㐲昵晢扤晣㍣㝡㐴捤㍤戲〳ㄴづ攵昹愱㜲攸㤳㤰㜰ㅣㅡ愰㜱㈲㐸㌲㉤ㄹ㐰㐸ぢ㠱〷㠷㑥ㅢㅤㄳ扦〳搶戶㤴㑦㐶〸收㐱㥣〹づㄲㅣ㌳挱搳〱㝥搸〲㠳〳ㅦ㈵〸㡥㌹攰㄰挱攳㑤㜰㈷挰て〰㙣㕢ㅡ㉦扤㈳㤸〷㝢愶㘶ㅥ㉤㙡〷㤸攰愹〰摦㘳㘹㌶㥢捡㈴㠲ㄳ㠰㌸づ攵愱愱㕤㑣㌱摥㡡㈸㠷昲㄰搱捥愶㡤㈷㠳㕢收㔰ㅥ㈷づ摡㐳捤㌹昴㑤㘷搸㍤㜲㠲敦戹换㔶晣㙤愲攰〹㘳㍤㠷㙥㐰㤵敡㍡昴㑥㉢愱晡㝤㘵㝥㥥㐹愲收ㅥ㌹つㄴづ攵挱愲㜲攸敤㤰㜰ㅣ㍡㠳挶㤹㡦㈴搳㤲㜳㄰搲づ〴捦㥣㑢挳攲收ち㔳捥㈲㥡愷㜳㈶㥡〷㡥摡ㅣㄳ㡤㐱㍡㉣㝥㘹愱挱㠷㑢攷ㄱ扤搰㐱捦㈳㝡扥㠹挶戰ㅢㄶ晦㘵愱挱〲㝡㈱搱㍣敦㌳㜵ㅦ㑣昴㈲ㄳ㡤㘱㌷㉣慥〲摡㜶つ㕥㜹㐶昴㈲㘰ㅣ愷昲㐴搱㜱敡愱㔶㐴㌹㤵㈷㡣戶㘴ㅢ㡦つ户捣愹㑢㙣挹㠱㝡㈹慡挱㙢㤲愲㥥ㄶ敢㜳昸㈴㤱㠱㘴㍤愷㕥㡥㉡搵㜵敡㘵㔶㐲捤㍢搸㜸㐲愹㤶敤摦㐶晤ㄱ㌶㤷敤㐷搸摣㡡㘵㍢てㅢ㠱挲㈱㈹㈸ㅡ〰㑦昸㑣摢慥㐰㐸㑢㠱㙢㉥摢㠳攲愷挸捦㕥愳晢㘴〶㈹愲〰㡣捤ㄲ㍣㥣㉢㔷愰扣㙣㍦㙦愰ち晣挴㑡愸㝥㑦㥡晦㈸㘸㔲㠵㍡〲㔴㉥㈷挹㠱昸扣㐷㈳愱敥㘶㔴扤愹愴挳㝣愵㐳昹〷㘲㜸㠲攵捤昲〹搵愱㔹昳昷㔹戸㥦㔶㙦挵捡愹挷㍢㕢昰㜶㠷〲㝥愲㘵ㄶ㕥㔶㠲㜷㍡攰搷摣慣愷ㄸ昱ㄲㄳ㝥晦搱㝥㝦㠰㔴㌱ち㙢搹戹〵扣㔰㘰㐸㜶㘶ㄱ慦㐴挹㌴攳㜷て㑡昸挹㥣晣搷攱㐹㙢㍣㜰换摢㜸戸捣敦搲搶㝤搶㌵㠵攴扡㍢㙤搳㠴㘵㝢搸敦晥㘹攰㑢㈱戶散㌹㙢慤ㄷ㕥㉢晦㔶挷㑡㥥㜰ㄶㅢ挴搹昰扢扡㤹昸㜶㘸晢捦㔵㜹㍤つㅥ搹㐷㌷戳搵〸㔵〷扣ㄲ㑤ㅥ愹㍣て㤶晡ㄶ㠱愷改㔸戸㝦戰ㄳ㑢㈴㝢㠶昴㜶敢晣戵挹收摥敥㥣㤱㕦㕡㕡收晣挲㈴㥥㤹挷㑦㐲挸㈲㤴㌲〷晥ㄷ㈷㐰㠴㕡㘵挹挵昵㥦ちづ攲ㅥ搹捦〲慣㈴㔹〵攲ㄳ㍣攸㘳ㅢ㤴慣㔸㠳㌸戹㙥㐵㡥㈲扥戲㈲㐷㤳挵敦㘲㤹ㄵㄱ㘷㐲㠷捡昶㝢搴㘳ㄷ收ㅣ㥢㝢㡣㡢敢㕦〷㉥攲㜸慦〶㤵ㅣ㐷㜲㍣㠸㑦慣㐷㠲慢㌰㐷搷㉤捣㠹挴㔷ㄶ收㘴戲㕣㠵戹搸捥昶〷㐸㜰ち㜳戹捤㍤搵捤扤摡捡㔳㕢ぢ慥晢晢㌷ㄹ搷昷慡㥢㐴挹㉥㡢攷㔸㑦搹挳㍦㠴㡣㜶㍡㐸㈳づ㡤搴〸〵攲㤳㘷㠰攳㉡㡦㤷〷㔲搵㑤㤷捦㤶㑦㘳搹慡㝥㐷㘶攸搰ㄴ㤸昶㈵慥户ぢ㝤ㄶ㜴㍡㔵戹挹收㥥敤收摥㘶㜳㝦攴收㙥戰戹攷戸戸㝥㥥㝦㈰敥㤱攷㠲捡ㅦ㤳晣〴挴㈷敥㐷㠲换〷㑢敤㝡㔷戴散㜵挴㔷晡㘰㍤㔹㉥ㅦ昰㄰㐴㌵㠸ぢ㤱攰ㄴ㥣愷ㄶ搴慥㕤〴敥挰搶㕥㘲攷敡㜱㕢晢ㄲ㘶㐱㙢㤷㉤㝤ㄹ㔹慥㕣㥦㠰㙥㕡摢扥挴搳㠸愸㘲㕣〱愴㔳㡣攷㙤敥㤵㙥敥㑢㌶昷㘷㙥敥慢㌶昷攷㙥㉥㜷敡慡㈲㔷㠱㍢㜰㐵ㄶ搵慤挸㌵㤰愹慡挸㝦㤱攵慡〸㌷晢ㄵㄵ㜹挷㉥挶㉦摣挵㜸捦收㕥敦收扥㙦㜳㝦改收㙥戴戹㌷戸戹摣㥤慡㡡摣〸敥挰ㄵ㤹㔵户㈲㌷㐳愶慡㈲户㤲攵慡〸㕢㔹㐵㐵戸㠷㔵ㅥ戹ㅤ〱挷㈳摣慢㉡敥ㅤ㙥㉥昷愴㡡㝢愷㥢换扤愷攲㙥㜰㜳㐷㈲愲㉡昲㉢〴〶慥㐸㘷摤㡡摣つ㤹慡㡡摣㐳㤶慢㈲摣搴㔵㔴㘴㐷㌰㔴㌱敥㐳挰愹㐸扢捤扤摦捤攵㔶㑣㘱ㅦ㜰㜳戹攷㔲摣摦戸戹摣㠹愸㡡㍣㠸挰挰ㄵ㐹搴慤挸挳㤰愹慡挸㈳㘴戹㉡挲捤㑣㐵㐵戸㘱㔱挵昸ㅤ〲㑥㐵戸㌳㔱摣挷摣摣晤㙤敥攳㙥敥㈴㥢晢㠴㥢换ㄵ戸慡挸㤳〸っ㕣㤱㡥扡ㄵ昹㍤㘴慡㉡昲っ㔹慥㡡㜰ㄱ㕦㔱ㄱ慥搳㔵㤱㥦㐳挰愹挸㍣㥢晢扣㥢换㜵户挲扥攰收㜲㝤慤戸㉦扡戸㝥慥㍡昱㠷㘷搷㐰攵㑢㈴㉦㠳昸挴ㄲ㔰搶搰㥡㍤㜷戵㙢㔲㌱㔸扥㑡㝣攵㘰昹ㅡ㔹慥㥡㜰改愹戲㝤ㅤ〱愷攰㕣㉢慡慤换づ搰换慤换晥㈸㐳㜳㠳㈶戸㝥㔴〹愳慣〴扥ㄹ愹ㄹ慦挴攲㥡㔲㈵㙣㙦㈵昰っ㐴扥〱慥㤷㡢㤱捤㕥㈵㜱慤扤㠵㕦搴㝡ㄳ昹〸㉥㜳搴㝡晤㉤〴散晡戴㜱㥤㐲㙥㌳㉣收㘹攳晡挴㠹〹慥㑢㔴挹㐷㔴搵㤵㙢ㄵ㤵㌰扣慡慥㕣扦愸㠴㙤摣㜵晤㍢戵㜲扤挲晡捡㜷ㄹ㍢㥡㠴㜶㜸て〱愷㌰㕣愷㌸搹户㜱㝤攲挴挴戱㠸㈹搵㙤㔵㠵攱㕡㐵㈵っ慢㉡っ搷㉦㉡愱搵㕤㤸昷愹㤵敢ㄵ㔵㤸㝦㌳挶愵㡡㉡捣〷〸㌸㠵攱㍡挵挹扥㡤敢ㄳ㈷㈶戸挶㔰昲ㅦ㤲㝤㠶㤵㈶㌷㕡〱〲摢戸㌸㜰㈴摡戸㈸㈸挷戸ㄸ㈸挷捥㜱挷挴戹㠸愹㘲て愹慡㈸ㄷ〴㉡㐱慢慡攸㑦散〴慦扢愲㥦㔰㉢ㄷ〵慡愰㥦㌲戶㥥㠴㔶晦っ〱愷愲㕣っ㌸㠵ㄱ㥣搰㤵挴攷㘴㜳㉥㔷ㄲㅥ㍣摥挰〰晦户㜱摥㜶㈴摡㌸㕦㤷㘳㥣愷换戱㥦扢㘳㠲㜳慣搲捤㥦㜰ㄶ㥣㕥㠹㤴つ㙥摤扦㜰㑢戴㕤㕦ㄱ攳搴㔹搶捤㈹搳㠹㠹㥢ㄱ㔳扡ㅢ愹敤㔶㉢㑤㌶戹㜵㜳㜶㜳㈴摡㌸慢㤵㘳㥣捤捡戱つ敥㤸攰㑣愴㜴㝢愹㡤㤳㄰㤱㔲㜳敢收㠴㔳㤶攷㐴㔳㡥㜱㠲㈹挷㌸戱㌸㌱挱挹㐱改ㅥ㐲㙤㥣ㄷ㤸㈶㥢摤扡㌹〷㌸ㄲ㙤ㅣ晢换戱挷㉢㘲ㅣ敢㥤㌴挱昱㕡改收㉦摡㡢㘷慣㌴改㜳敢㝥捥㉤搱挶攱搸㤱㙦攳㌰㕣㡥㜱昸㜵㘲㠲挳慥㙡㡤晦晥戸㜲㈰㝣挹㑥㜸摦㑡戰〷㐲づ捦㑡攲㕦㔶㠲ㅡ〸㠷戱㌰ㅣ㡥㔵㐱摢ㄸ攳㐸捣㡣愴ㅦ㌱愷㤹㜲ㄸ㜶戲㙦攳昸戹ㄸ㤸㠶搵㈲扤㈴戳㘴挹挶戶愶昶㔱㑤㠷㑥㙡㌹晦搵摦扥㜶昶搳摦㥡昰摦㥦慣㕦晦昴敢㘷㍦晡挹㠶搴㠴〷㉦扤昴晥〳㉦㝡昴戵慤戳ㄷ㌷摣戲㜱搶挵㐷〷㤷ㅦ㝤㘴昶㤰扤愷ㅦ㝤搸ㄱ〷〷攷㙤㌵戶戱㜱挸㤰㙦㙣昳搰㜶㘳晣挷ㅥ㜹㥢戸攷㠵㙤昳㐲㡤㤹㉣挴㔶㈸〴慦㘶晣昷㜳散挴ㅦ㝥㔳〲㕣戹つ㐸㙢㐳ㅢ挷户慦戴㉣敦㈲〳㘵㤰攱敥戲㜰攸㔴㘵ㄹ挱戲㡣㌴换挲攱敤㉢㉤㡢ㅡ㌱㘹㠱㙤摤㘵攱挸愹捡戲ㅤ换戲扤㉡㡢㔰㠳㈳愱愳㉣㈸挲ㅥ㍦〷㐹〵摤㠱愸挶㌶㡥㔳㕦㘹㠹搵搰挷㘲散㘸ㄵ㐳㜹㤲㐳愰㉡挶㑥攰捡㥤㔹㤶〶愱挶㍣㐲㜷戱愰慡挴ㅣ晢ㄴ戴㥤㈸扣挰ㅤㅦ捡ㅤㄵ㈸㡥㘲ち戵㥢㠹㔲攳㄰㜵㔵搴㥥攳㤱㐲㡤㌶㔱㙡㐴愹㐱㜱㘴㔱愸㍤㑤㤴ㅡㅢ㙡㔰ㅣ㈳ㄴ㙡㡣㠹㔲扤扣〶挵摥慥㔰㝢㉢㔴ㅢ㍢摣㔷㙡㙦搵㠷㔹㡣戱挸㠹㤷戲㌷晢戲㉡挶㌸〴攴㍥㈰慤つ㝥昶㉤㌲㕢㥢〴㍢㤴ㅡㅤ㥥戲㐶㠷㑥㑡攲㕤昹散㘴㉡攱㐹㉢㠱捦㤴挸〰戸㝥㜶〷㑢㥣㝤㐰愱ㅥ慦ㄲ㘷扦㔰〹㡦戹挵挳ㄴ㘷ぢ戶挴搹㙣ㄵ敡搱㉡㜱㌶㘵㤵昰㠸㕢㍣㐶㜱摢慦㠲つ㔹㘱ㅥ慥ㄴ昶戳挱㔹ㄹ戰㤵㈹捣㐳㤵ㄸ挱㤶愷ㄲㅥ㜴㘷㌰ㅥ㕣扦摤扣〴摢㥤挲㍣㔰㈵捣愶愶ㄲ敥慦㑡㘰敢㔲〹昷㔵㈵戰㐱愹㠴㝢慢ㄲ搸㠶㔴挲㍤㔵〹㙣㌶㉡攱搷㤵〹㝥扡搷慡ㅤ㝤慡㌰㜷㔷㘲〴晤慣ㄲ敥戲ㄲ㤴昳扡挰ㄵ昴愰ㅡ昳愷㌰㐶㠷愸搸㔴挶㘸㕦ㄵ㥢挶ㄸ㡤愱㘲搳ㄹ愳戰㡡捤㘰㑣〹戳㐱㑣收㐴㘱㕤㐲㈹㐱愴㤲慢㤴搵㜰㤵搲ㅡ慥㔲㕥捤ㅤ晡㍦㥡㔱㌳搳</t>
  </si>
  <si>
    <t>㜸〱敤㝤㜷㥣ㄴ挵ㄶ敥搶㠶㘶㝢〸㍢㈶捣戲㈰〸〲攲挴㥤ㄹ〵㘱㐹ぢ〸㠲㐴昳㌲愱〷㔶㌶攰敥㤲捣愲㘲〰ㄳ㘲ㄶ〳㉡㐶挴㠰㔹慦㠰〸收㜰㑤搷㥣昵㥡戸收㜰つ扣敦慢敥敡改㤹改㔹戸㍥昹㍤晦㜸挳㜲愶捦愹敦㥣㍡㜵㑥㔵㜵㜵㑦昵㑣㤱㈸㉡㉡摡㠴ㄷ摦昹㉡攵挱㙥ㄳ收戵戴ㅡつ晤㠶㌴搵搷ㅢ挹搶扡愶挶㤶㝥搵捤捤昱㜹愳敢㕡㕡㑢〰搰㙡敢㔰摥㔲㔶摢㔲㜷慣㔱㕥㍢摢㘸㙥〱愸慣愸愸扣㕣㉦㐶昹捥搶㝦慦㘲㜴㙡改愵㈴㐰ㄵ改ㅡ㐹㍢㤲㜲ㄲ㥤挴㐳搲㥥愴〳㐹㐷㤲㑥㈴ㄵ㈴㕥㤲㙤㐸戶㈵搹㡥㘴㝢㤲ㅤ㐸㍡㤳散㐸戲ㄳ〹敢搷㜷㈱搹ㄵ愴挳㙥㈰ㄳ㠷っㅥ㥢㌸ㅡ慤㤹搰摡搴㙣昴慤㥣㙣晡㍣挰敦敦㠷㝦愱㔰戴㥦慦㙦攵㤰㔹昵慤戳㥡㡤〱㡤挶慣搶收㜸㝤摦捡㜱戳ㄲ昵㜵挹〳㡤㜹ㄳ㥢㘶ㄸ㡤〳㡣㠴㉦㤸㠸㠷愲晥㔰㌸㥣㡥挵愲ㅤ㜶㠷攵㠳㠶っㅥ搷㙣愴㕢晥㉡㥢㝢搰收搸㈱㠳晢ㅤ㘴戴晥㔵㌶扢挰㈶㑣づ㙤㙡㠸搷㌵晥㐵㐶换㤸搳攰㔰㈳㔹挷攴ㅢ㐶㜳㕤攳戴㝥㜰㍢㉢搰攰㈲晤㠶㈳攲挹㜸㑢敢㄰愳扥㝥扣㤱㘶摥㍢㌴㌰㘶㐶戳搱㤸㌴㕡㍡㌵っ㥢㥢㌴敡慤攲㤶昲㠶挹昱收㠳攲つ㐶㈹て㉡ㅡ捣扣㡤㑣ㄹ㡤慤㜵慤昳㍡㌶㑣㙡㌱挶挷ㅢ愷ㄹ㠴㤴㌵搴捣慡㑢㤵㤶㡡搲搲愲㤲㥥㙥捥挸摣昴ㅢ摥㥣ㅣ㌲㍤摥摣㉡㌹㘶捤敦㠶㜵昴㄰改㜸㤶㕢散㐵㤵㌹㕡㑣搳㠴扡㠶〳㡤收㐶愳㥥㤵㌰㜹㝤㜲㐰㌲㈶㘶攸敤攰愸搶㌰㌱愲扤㌵摥搸ㄴ搶愲㔷㤲㜴〵搱扡㠱㤴づㄸ攵て攸㝢㔲搶ㅤ㐴㤴扥㠹〱敢搴攱愰㈹慥㡤ㄷ搷㈶㡡㙢㤳挵戵愹攲㕡愳戸㌶㕤㕣㍢慤戸㜶㝡㜱㙤㕤㜱敤搱挵戵㌳㠰㔱慦昲㜶敤㡡慤搷户㤷晣㜶㔲愷㥥て搷㕣扡昷慦攷㜷㥥㜸挷㈲挱㌱㉡〷敢㕥㌸搰㝢㠲㘸扤㐰攸㐳㔴摦㥢戲摥㈰㐲扣〲ㅦ攸㐷昱昳晤㔷㜶㝦户愴㝡挹挴づ㝤㕦扥昱㥤㔴ㄹ挷㜷搸㉤〲戹挱慤㙥㘹㤹搵㌰㤳戳㡢㤵㜸㌹ㄵ㌴っ㙤㘹ㅤㄷ㙦㙥㘸昹㙢㝢〸晡挷收扡㐸㜵㑢挳搶敦㈲愸攴㉦改㈲㕡㕦㠴戹捦挴收㍡っ㠴㔹昵昱收扥㘳敡ㅡ〷昸晡昹㠲㝤㐷搷捤㌰敡敢㡣㤶㔶戲攱扥㘳攲㜳㜹㄰搵昷㘱敥晡㠱㘸晢㠲㤴っㄸㅣ搱㝤ㄴ昹㐱㠴㜸捥㑡攷㝤㑢捦敢㌶㜹扦㍢挷㕥晥搵摥㕤㠶ㅤ昹挶㜴挱㤹㥡㈹搵㠲㈰㝢攷㔵ㄸ〸㘷㔵ㄸ戴敡ぢ改㈱挰昵㌰ㄵ慢㐰㔰㕤㔰㡦㔰ㄴ〵ㄱ㘲㠳㔵㕤㌴搴㘳㜸愷扥てっ扦昳晢捥扦ㅣ㌸昴挴㡦〵攷〶搹晤昶㈳㜸㝦㄰慤㍦㐵〳㐶㠵昵〱ㄴㅤ〰㈲挴ㅡ㑢晦㥢愵㘷愷て㝦攴㡤㌱て㍦户敤戵㡦扤㍤昰っ挱㍥㈴昵〷ㄱ㕣つ愲つ〶㘱昷つ敡㐳㈸ㅢち㈲挴㐳㤶㠱〹㈷㉣敦戲敥搷ㄳ㐶摤㔶晢㜲慦㙦摦攸㜱愸攰愹㐸ㅡㄸ㑥㜰つ㠸㌶㠲愲〱愳㈲晡㐸㡡㐶㠱〸㜱㡦愵㍦昵摥㘷愷晣㜱挱晣㥡〷挷㠴㌶つ㝡昰挹て〵捦㘲㔲㝦㌴挱㘳㐰戴㠳㐰攸㐰㤵㍥㤶戲㜱㈰㐲慣戴っ摣昵攳㌶搳㉢昷戸攴挰ㅢ㙦慤㕣㔱㝡晦㠶㍦〴〷戳㌴㌰㥥攰〹㈰摡㐴㡡〶㡣ち改㤳㈸㥡っ㈲挴捤㤶扥搶戹㕤晤攰戳㥦ㅥ㌵晦搲㙤㍦㥦昱捤摢㡢〵㑦㥥㔲晦㄰㠲て〵搱づ〳愱〳㘱晤㜰捡㡥〰ㄱ攲㍡换挰晢扤㉦摤㜵晤挵搳㙢㉥㑥昹㘶㥦㝢挳㜷㌱挱ㄳ慦㌴㜰ㄴ挱戵㈰摡㔴㄰ㅡ昰改㜱捡ㄲ㈰㐲㉣戵っ㝣晡摤戲㉥搳摦㍣㘵挴扤㥤扥㜸㜵昶ㅦ㥦㑦ㄶ㍣㘹换㉥㤳挲㐱㡦㥣㉥攳昷㌹㍡㑣挰㈷晢㑢搰愷ㅢ戴㥢〶搱愶㠱㤴づㄸ㡣ㄹ㙦㍡㘵㜵㈰㐲㕣㙣搵搵敢扣愷晤敢挲て㡥戹慡摢晡搶㑥㑢〶㙣㄰㕣ㅢ㐸㘷㌹扦改昵㈰㕡〳〸㥣つ昸昴㐶捡㥡㐰㠴㌸摦㌲㌰敥摥㍢㕦改㥣摡㝤昴㌵摡ㅤㅢ㝦扢敦昸㥦〵搷ㄵ搲挰㌱〴㌷㠳㘸㉤ㄴつㄸ㔵愵户㔲㌴ぢ㐴㠸戳㉤晤攵摦㙦㌸戹㘸搲愰敡〷摦㉡搹昵戹㥦愶慣㄰㕣㤲㐸晤㌹〴捦〵搱收㔱㌴㘰㔴㔴㍦㤶愲攳㐰㠴㌸捤搲㙦昷挰愳㝢摥㝣㐸挷敡攵㝤㡦㕢ㄸ晢慥㈱㉡戸㥡㤱晡㈷㄰㝣㈲㠸㜶ㄲ㐵〳㐶〵昵㤳㈹㍡〵㐴㠸ㄳ㉤晤戲㤷ㄶㅥ昴晣挲攸搸昹㔷㔵㙤㍦收攵㘵晤〴ㄷ㐲㌲搸愷攲愰㜷㑥戰㝤晤㈲搹攳㌳慡㈶㠴㤸㝥ㅡ㡤㥦づ愲㉤〰㘱挴㐳晡ㄹ㤴㥤〹㈲挴ㅣ慢挲摥㤷慣改㝣攷愶ㄵ㘳㑥晤愹挷㠲㌵敦㕣ㄵㄵ㕣㜴㐹㠷捦㈶㜸㈱㠸戶〸㠴摤㈳愴㥦㐳搹戹㈰㐲ㅣ㘳ㄹ攸㝡搶ㄵ㡦㙣扢㌲㔰扤散搴㕢敦敤㌹㜴攴〱㠲ぢ㌶改昱昹㌸攸㤷攷戱捦敦攸㈰㤸戹〲㈱攵戳㉦ㄸ搶㉦㘰〵㡢㐱戴ぢ㐱㌰慤㠴昴㈵ㄴ㕤〴㈲挴搱㔶㥤ㄷ昶㙤㝦收捥㡢づㅢ㜲摦愹昷㉤㙤㌹㘵愰㕦㜰㝤㈸敢扣〴〷㍤㜳敢捣慡㌰㙡㑤㘱搱戰㝥㈹㉤㕦〶愲㕤づ挲㄰㠵昵㉢㈸扢ㄲ㐴㠸愴㔵摢㝤㥥㔵㜵攷捦ㄴ㐳ㄶ搴晣㥥搸挵昷挹〰挱㠵愸慣敤㉡ㅣ昴捡愹捤ㅦ㜶㡥〰㝦搸慣捦ㅦ昱改㔷搳昴㌵㈰摡戵㈰㘸㕢㔸㕦㐶搱㜵㈰㐲ㅣ㘱搵㌶昰戶㜳㈷敦晥搹愶敡ㄵ㑦㥥扢攳搵㑦㤶捤ㄷ㍢ㄱ㑣摣つ㈴换㐱戴ㅢ㐱㤸㤰㤸㝥ㄳ㘵㌷㠳〸㌱搹㌲昰捣㡥〷ㅣ㉢づ㝢㜸搴慡㙢㈷㡢捡㠶㌹㜱挱搵戲㌴㜰㉢挱户㠱㘸㉢㐰㘸挰慦摦㑥搹㑡㄰㈱挶㔹〶敥敥㜵昹㜵慦㔶㕦㌸昸㠲㕦晢㥥㔰㜳挳搵昳挴㉥㈸㤶〶敥㈴昸㉥㄰敤㙥㄰ㅡ㠸攸慢㈸扢〷㐴㠸㔱㤶㠱摡ㅥ晢扥戹昴㠹挳〶慦摡戸戱㝥敤扣挰㜵㘲㔷ㄴ㑢〳昷ㄱ㝣㍦㠸昶〰㐵〳㐶挵昴〷㈹㝡〸㐴㠸愱㤶㝥㑤挹㜱敤㍦扦攵愷攱㈷摦晣㘴昱摤慢ㄷ㝦搶攱ㄱㄴㅦ㙣㉤愲㠶㌶挷攷㘰㈵㥡㔹攴〶晡愱ㄷ㙤挹敡ㅥ㡢晢㜴㌸ㅤ㐹晢晤愹戰㉦ㅥ㡣㤷㔵挲散㤶慥㈹㌹㉣㍡愴愷搴㌵愶㥡收挸㐵㘶㠷昴昰扡晡㔶愳㔹㌲ㄵ㘹扣㤹ぢ㘵挹㜷㑣て㥢㡢㉢㡣愴戹ㅥ摤㍥㍤挴㘸㙥挵捡扣㜵㕥㘶〵戲摢攰㜸㡢㤱㘱晢㔸戶〷㌷捤㙡㑣戵散敡㕥㌸愱㌵摥㙡散㤲㕢㤶㌱㤲愷㌶〱慢㜶愳㐵扡戴㐷慥摡攴㜸晤㉣愳㝡㙥㥤㔹扣㝢㑥㌱搶敦㑤㠹挲愵挳㥢㡤㘳散搲㍣㡦慡㜱㔱㌹㕢摡捥㙢愵㔹㘴晡㔵㌹㘴㝡㔳㡢搱㈸摤敢搳㌰慥㉥㌹挳㘸㥥㘰昰㤲搴㐸挹愶敥挰㈲敢㈲愲捦搸㐶㌴ㄴ㤷〵愹㙥㑥㈹〳㙤㌴愶㡣ㄴ晣㥤㠹㈸捦㥢ㄸ㑦搴ㅢ㥤戳㈰㘶㥤㈸搸㌹㑢㍣扣㈹㌹慢㘵㐸㔳㘳㙢㜳㔳㝤㜶㐹㜵㙡㜶ㅣㄷ㉥愹㌱㑤㈹愳㔴扥㡡㑣㉡㡡㑡㑡㠴㈸敡攵戶晥愵敤ㄶ㕥㈳㌸㍡〹慦㐴摡〶㍢㍡ㄱ挱慥搷ㄶ戶㘵ㅣ㌸㍡ㄹ昱㝢户改㠹戳ㄳㄲ敤㙢ㄳ敤搲㐹愹戴㔳昶挰敢㌷ㅥ昹㐱ㅥ敡㡤㐷㔰㔸摣扤戰挹㑣扦摣㡣愷㡥慣昰づ〴搱㙤〴㑤㥡戵晢摥搶〵ㄷㄷ㙦㘷戵㝥搸㙣㕣㥥㡥㠸㌷愶敡㡤收㌶敦㥦〸㝡愴晦㠳攴㔱㤲搵㈴㙢㐸搶㠲㤴つ挰ㅣ㔷㌰愲愵㐰㠸戹㘲㕥搹㥣扡㔴敢㜴㙤扡㔱㌷㙤㝡㉢㘴戸敦㔲㕥晥〸て㜲㕦晡㍡㐸昴挷㐹搶㠳㜸㍣㐵摡〶㘲㌴㡦晥〴摦㥥〴愹㔰搷攷㤵㘶捦昴㠸戲慥㄰晦敦㔷挸挵搰搲攵〵㌹敥㤸戴㤴㌵挰㙥㑢㐹㠹㕢㌴㐶挴㕢愶户㜲㈰戶㕤㐸㝢㑦㤱㍣つ搲攱ㄹ㤰㠳㐶ㄸ昵ㄸ挶㝦搵捤㤶戲㍤㘱㜳戳ㄷ昵㕣愳㜵㙥㤸㌰慦㌱㌹扤戹愹ㄱ户扣㠶挶㕢攳搵㐹摣戹㘸ㄱ㜱慤㘱㜴搳㤰㔹慤㕡挳㠸㍡扣㜵㘸ㄸ㙦捣㌴攲慤㐳㌰㑤户㜶㙣ㄸ㡤扢ㅥ㜲ㅥㅤ㤹㥡㕢搶㘰摥戰ㄸ㙡戴㈴㜵摥搹ㄸ㠹㘹㘹慥㠶㈳捣戳ㅤㅡ㌸搱ㄸ㜳㕢㘹扡㕤〳慥㠰搱㥤㜴㠰晡㐸㉤昳㠸㥡ㅤ愵㑣㘹㝢㉣づㄶ扣昲搰㘱愵扤ㄴ㤸㤶㡡搸㜳㜰〶挵㌹戵搴愲戹㈳㘸㔲㙢㕤㝤㑢㍦㉢扣晤㠶㌶攱捥㤷㈱㙦晡㌱散㥡㠶づ愶戵㤹慣摣㠱捥㕢㈳㘳㤳〹搳㉣㕣愹㘹㙥㥡㌵㜳て搸晡慢散搰㔶㤱晥㉣挸搵摦摣戲㝦㡦愵㉢㌷㔹敦㈷㘱〸挹㤷摥㡤〸昶㜷戲㜸㤳㉦晤〵扣㜹摡㉡㉢敢づ㠴敢㑣㕢攰㉥づㄷ㝢ㅤㅡ搰摡㠹捤㠶扣㉤㔵㉥㤹㜹㌳㡤㡥つ㔳㥡㥡㘷㈴㥡㥡㘶㌰昹㥤㈴搷㌲摤㌰㕡㜹慦愷扤㜵㙢㡢挷㐲㠸㤲㤲慣㥢㍡㡥㥢㐲㕤㘰㕦㝢ㄹ愴㘳㜵㝤㝤愵戲搸愲扤〲㔱〹捥㈸摡慢㜴㘰攸ㄴ扦捦ㄷㅤ搲㙦㙥㝤㑢㠳搸ㅢ㉤收晤㤹扢㜷愸㝦㝣㤷㕢㔶づ㥦晦捡㔴攳㡤挱搷㉦ㄴ扤慣㠲扣㍢㍦㝢挱㐶㈵晥敢慦㤳扣㐱昲㈶挹㕢㈴㙦㠳㠸㙥㔰攵晣㠴攳散㤷晥㉥㜸晤㍤㤲昷㐱㌰换挸愸㘳㤲昹㤰㌲㑥㌲ㅥ㈱㝡攲㡤ㄳ㡢晥㌱挹㈷㈰㘲㙦㄰づ挱㈲晤㔳㤰㠲㜹散㐵㐴㕥ㅥ㍦㠷搴愳户㔱㈶㝡〳挱㕣敡㡣㥤捥㘸改㡣㤴愸戰㘲㤰ㄷ㥣㑥㔶㐱摥㕤慤㝤愰搶挶㔲㌰敢摥ㄱ㉦㈹戳㤶㠲㜹㡢ㅣ㜳㥥晤晦㑢戹扦摤㔲㉥㝢ㄹ搷㝢㌳㙢㤷㥣㠵㕣挱搳㌶捦捣晦㝦㈱㤴晢㐱㤲戹㄰晡㡥攳戱㐳挱㠹攵〷ㄴ敢㍦㤲晣〴攲㤸㔸㝥㌱㔹搱て敦㜲㔲昹㉦㐱扦㠲㤴昹㐰摡㍥愷㘳戸昲挶㔱㈹㙦㌶㜷㙣ㄸ㙡愴攳昸攰㐷㥥㠷㐵晣晦攵㘹扡ㄴ㥦扦㠹捣㌹扡敤㐶挰㜷㥥〲戵摣㈵㝥昶㘷ㄲ昸愴㈴㔵㘳㌴㑥挴戹愸攵慦㍣晢晥㤵㘷㜱晤㌷戴㐳扤捡㑡搰ㄹ戶扣㑤〸㔷㔱扢搹㕣㐲搵搶ㄶ㤵戳㠵㤴攸晢㤲攴㥤㌱㔸收㘹慢㑣昸愱㘷㥦㌱戴㌲㈶〳㥤挵㍣㙢晣昲㐷㠱㔳敡捦㔶㐱摥捤昳㄰慣昱捣愱敢㌰㈴㝥〴捣晤昴搹ㅥ挵㝡〷㤲㡥㈰㡥㕥㕥㘱戲㈲っ㈳㕤㘹挸㑢搰㌶㈰㈲〲㤶㍤㕤摦ㄶ㥣㝡㠹慦㔰〷〳㐸㤹戶㍤愸扣昳㥥ㄷ㠸捥㈸昱攸㉣捦て㤲㉣ㄳ㔱ㄸ戰〳愱㌳㄰㘶㄰㍥㉣ㄴ㠴て慣㠲扣㕢晡晢挱㔲㈵晥敢㕤㘸愴㤲愴㉢㐹㌷㤲㍤㐱挴㕢〵〳搳㠳㤸扤㐸㝡㠲㌸〲戳㌷㘵搶扡㘲㝦ㄸ敦捡ち晡㔰搸ㄷ㐴っ〰㙢慥㉢昶〱㕢㜰㕤搱㥦㕡㜹挱昱㐱挵愳户㔱㈶づ㠰㕥㈶㌸㤹㜵挵㤳㠵㠲昳㠴㔵㤰昷㜹挵㈰㔸慡挴㝦㍤㠶㑡昵晤㐸昶㈷改㑦㌲〰㐴慣㉤ㄸ㥣㠱挴っ㈲愹〶㜱〴㘷〸㘵㔶㜰慡㘱扣㉢㉢ㄸ㐶攱㜰㄰㌱〴慣ㄹ㥣ㅡ戰〵㠳㌳㤸㕡㜹挱ㄹ〵ㄵ㡦摥㐶㤹ㄸち㍤户攰慣㉣ㄴ㥣摢慤㠲扣捦㘲㠶挳㔲㈵扤㤸㠰㑡昵㠹㈴㤳㐸㈶㤳㑣〱ㄱ㌷ㄵっ捥愱挴ㅣ㐶㜲㌸㠸㈳㌸㐷㔲㘶〵愷〶挶扢戲㠲㕡ち愷㠲㠸㤱㘰捤攰挴挱ㄶっ捥〸㙡攵〵㈷〵ㄵ㡦摥㐶㤹ㄸ〵㍤户攰㕣㔴㈸㌸㑢慣㠲扣て㥡㐶挳㔲㈵扤㘸㐰愵㝡㈳㐹ㄳ挹㑣㤲㘳㐰挴戹〵㠳搳㐲㑣㉢挹㉣㄰㐷㜰收㔰㘶〵㘷っ㡣㜷㘵〵昳㈸㍣ㄶ㐴㡣〵㙢〶攷㌸戰〵㠳㜳㄰戵昲㠲㜳㈲㔴㍣㝡ㅢ㘵㘲ㅣ昴摣㠲㜳㕣愱攰ㅣ㙢ㄵ攴㝤㠸㌶ㅥ㤶㉡改挵ㄹ愸㔴㍦㤳攴㉣㤲戳㐹ㄶ㠲㠸㔶㉢㌸捦㤵ㄴㄵ昱ㄶ挳愳戸㜹昱ㅡち㡡昴㜳㠸㌹㤷攴㍣㄰㐷㜰㉥〰慢㉤愶㑣摥㘲慡攴㌹ㄵ㤷㌵ㄳ愰搴㤵㡡ㄷ愲㐸㕦〲㈲㈶㠱㌵攳㜴ㄱ搸㠲㜱㥡㐸慤扣㌸㕤ちㄵ㡦摥㐶㤹㤸っ㍤户㌸挵ぢ挵㘹慡㔵㤰昷㘱攱㈱戰㔴㐹㉦慥㐵愵晡㌲㤲敢㐸慥㈷戹〱㐴ㅣ㘶挵〹愰散㤷㝥㈳㌱㌷㤱摣っ攲㠸搳慤㤴㔹㥤攸㔰㈸㜵挵㝦㝤〵㠵户㠳㠸挳挱㥡挱㔹〹戶㘰㜰づ愳㔶㕥㜰敥㠲㡡㐷㙦愳㑣ㅣ〱㍤户攰搴ㄴち捥㜰慢㈰敦㠳搰愳㘰愹㤲㕥㍣㠴㑡昵㠷㐹ㅥ㈱昹〷挹愳㈰㘲㔰挱攰慣㈱㘶㉤挹㘳㈰㡥攰㍣㑥㤹ㄵ㥣㕡ㄸ敦捡ち㌶㔰昸〴㠸㠸㠳㌵㠳昳㈴搸㠲挱㤹㉡戵㐰㜰慡户㉦挷昵㘷愰攲搱摢㈸ㄳ〹愸戸〵㘷㥦㐲挱改㙢ㄵ攴㝤挸㙢挰㤲㕣摡扣㐲户㝢ㄷっ〴挷㤴晥㉦㤲搷改㕤收捥挰㥢㈶㉢搲㌰搴ㄵ晦昵户〸㝡ㅢ㐴㑣〷㉢㤷㌶敦㠰㔳㉦搱ㄵ㜵愸愵㡤㍥つ攲晣摥昱〱昰㥥戶捡㐴ㅤ昴㌲〱㈸㘳㤵昲㡥挰㡥㠵〲搰搹㉡挸晢攴㤹ㅦ㌸㔷搲㡢㉦㘸攴㑢㤲慦㐸㌶㤲晣〷㐴㜸ぢ〶攵ㅢ㘲扥㈵昹づ挴ㄱ㤴ㅦ㈸戳㝡㐷㍤㡣㜷㘵〵㍦㔱昸㌳㠸㘸〴㙢昶㡥㕦挰ㄶ散ㅤつ搴捡ㅢ㍡扦㐱挵愳户㔱㈶㥡愰㤷〹㑥㘶㔹昳晢敦〵ㄶ扥扦㔹〵㜹㥦慡ㅦ〳㑢㤵昴愲っ搳慡慥㤱戴㈳㈹㈷攱ㄶ㐱昱㈳㔴ぢ㉣㠶㠹改㐰搲ㄱ挴ㄱ㥣ち捡慣攰㌴挳㜸㔷㔶戰つ㠵摢㠲㠸㔶戰㘶㜰戶〳㕢㌰㌸㉤搴捡ぢ㑥㘷愸㜸昴㌶捡挴㉣攸戹〵攷挳㐲挱昹挰㉡挸摢㌲㌰〷㤶㉡改㐵ㄷ晡㕥㐹搲㤵愴ㅢ挹㥥㈰攲慤㠲挱改㐱捣㕥㈴㍤㐱ㅣ挱搹㥢㌲㉢㌸㜳㘱㕣〶愷て㠵㝤㐱挴戱㄰㤹挱搹〷㙣挱攰捣愳㕢㜹挱昱㐱挵愳户㔱㈶㡥㠳㥥㕢㜰㥥㉣ㄴ㥣㈷慣㠲扣晤㄰㈷挰㔲㈵扤㠸搱昷晤㐸昶㈷改㑦㌲〰㐴慣戵㠲挳ㄹ愲㥦㜰㥥戹〷ㄲ㌳㠸愴ㅡ挴ㄱ㥣㈱㤴挹㌳㌷㜶㔲㐰㑤〶㘷ㄸ㠵挳㐱挴挹㄰㤹挱愹〱㕢㌰㌸㈷〱㤶ㅦ㥣㔱㔰昱攸㙤㤴㠹㔳愰攷ㄶ㥣㤵㠵㠲㜳扢㔵㤰户搹攳㌴㔸㤲㤳敥〴扡㝤㥢ㄵ〸〸戳㕦晡㈴ㄴ敢㤳㐹愶搰扢捣愴㝢愸挹㡡搳愱㈰㠳㜰ㄸ㐱㠷㠳㠸㌳㈰㤲㤳敥ㄱ攰搴㑢㕣㠷㍡散㐹㜷〱挴昹〱㤸㑡㥢㝡ㅢ㘵攲㑣攸㘵〲㤰㤹㜴㉦㉢ㄴ㠰㑢慤㠲扣捤㈷㘷挳㔲㈵扤愸愳摦㐷㤳捣㈰愹㈷㘹〰ㄱ㡢ぢ〶愵㠹㤸㤹㈴挷㠰㌸㠲搲㐲㤹㌵㜴戸㥦㐵〶㘶ㄶ㠵戳㐱挴㌹㄰㤹扤㘳づ搸㠲扤㘳ㄱ摤捡ㅢ㍡挷㐲挵愳户㔱㈶捥㠵㕥㈶㌸㤹㐹昷愴㐲挱㌹搱㉡挸摢㔸挳扤㌱戲㜷㥣㑡户㡦㉦ㄸ㠸搳㔱慣㉦㈰㌹㠳摥㘵㝡挷㔹㈶㉢ㄶ挳㤰っ挲搹〴㉤〴ㄱ㑢㈰㤲扤㘳ㄱ㌸昵ㄲ㉤愸挳敥ㅤㄷ㐲㥣ㅦ㠰昳㘹㔳㙦愳㑣㕣〴扤㑣〰㌲扤愳慥㔰〰愶㕢〵㜹扢㝣㉥㠵㈵ㄹ㠰换攸㜲扡㘰〰慥㐰戱㝥㈵挹㔲㝡㤷〹挰搵㈶㉢㉥㠳㈱ㄹ㠰㙢〸扡ㄶ㐴㕣〱㤱っ挰㌲㜰敡㈵㡥㜴〶攰㜲㠸昳〳戰㥣㌶昵㌶捡挴㤵搰㜳ぢ挰㠴㐲〱ㄸ㙦ㄵ攴㙤㍣扡ㅡ㤶㘴〰㔶搲攵㜱〵〳㜰㈷㡡昵扢㐸敥愶㜷㤹〰摣㘳戲攲ㅡㄸ㤲〱戸㤷愰晢㐰挴㌲㠸㘴〰敥〷愷㕥愲挶ㄹ㠰㙢㈱捥て挰挳挰㝢昴㌶捡挴㜵搰㜳ぢ挰㠰㐲〱攸㙦ㄵ攴敤㠵扡〱㤶㉡改挵攳愸㔴㕦㑦戲㠱攴〹㤲㈷㐱㐴㔵挱愰㍣㑤捣㌳㈴捦㠲㌸㠲昲㍣㘵搶晣戰ㅣ挶㘵㘰㕥愴昰㥦㈰攲㈶㠸捣昹攱㈵戰〵攷㠷ㅢ改㔶摥晣昰㉡㔴㍣㝡ㅢ㘵攲㘶攸㘵㠲㤳㤹ㅦ昶㉣ㄴ㥣㙥㔶㐱摥㍥㉦㙥敦慡愴ㄷ敦搲昷昷㐸摥㈷昹㠰攴㐳㄰戱㕢挱攰㝣㑣捣㈷㈴㥦㠲㌸㠲昳ㄹ㘵㔶㜰㙥㠳㜱ㄹ㥣㉦㈸晣ㄲ㐴摣づ㤱ㄹ㥣慦挰ㄶっ捥ち扡㤵ㄷ㥣慦愱攲搱摢㈸ㄳ㉢愱攷ㄶㅣ扤㔰㜰捡㔵㐱敥ㅥ㌶㙥㕤慢愴ㄷ扦搰昷晦㤲晣㑡昲ㅢ挹敦㈰愲戸㘰㜰㌶ㄱ挳つ㙣扡〰㜱〴愷㠴㌲㉢㌸㜷挱戸っづ㥦㥢搰㌵㄰戱ち愲㍤昱ㅦ㡢㘳戰〵㠳㜳㌷ㄱ㜹挱昱㐰挵愳户㔱㈶敥㠱㥥㕢㜰晥昳㕢㠱攵晣㐶慢㈰㙦㝦ㅥ户攵㔵搲㡢敤㔰愹扥㍤挹づ㈴㥤㐹㜶〴ㄱ晦㠶敡〰挷戵㈸挰收㑢摦㤹㤸㕤㐸㜶〵㜱〴㘷㜷捡慣攰摣て戰っ㑥ㄷち㉢㐱挴㠳㄰敤㐹ㅢ㝡㔷戰〵㠳昳〰ㄱ㜹挱改づㄵ㡦摥㐶㤹㜸〸㝡㙥挱㜹愵㔰㜰㕥戶ち㜲㌷ㅦ㤶晤〳㤶㜲㌷㔳挸㐷㍥散㙤㔹㡥捦〹㍢〱慣愵㈷㌵搶戵戶戴㑦㔷捦㙡㙤ㅡ㕥搷㡡て㜲㍡愴㐱㜰㈸㔵㜶㤱户㤷ㅣ㑡㝤搲㤳敢㡣㌹扣摤搴㈵扦〸㑦挳っ㤹搵搲摡㈴昷㠹散㤱㕦㍥戴改愰愶搶愱㜵㉤㌳敢攳昳扡扢ㄴ㥢㈵㔳愶ㅢ㡤搸㔲搷㡣㥤㜵㥢〳㌵捤㥣㘹愴㕣㝣㥣搰㌴慢㌹㘹㡣ㅣ晡㜷搸㤴㈷捣つ㉦㐵搸㔳㈱㐴㤱攸㔱昸㠳㕣㐷摣㜷㐷㙥㡡戱て㐳晣戹㍤㕤摡㍥攸㜴攸㡣晤昸〶㉢攸敢晡扥散㠷㥥愲戲㐷㈱㙡扢㡦㌸昶昹戵〷搸㤳㐶㕥㑤㔹㐷㙢㈳改挸挶㤶扡㤴攱戱㌸㍣敦搱挹㍡ㅣ㍢慢㌵慢㈴㍥㜷㍢慢〴扢㐵挶㌶㈲昷挹㜸㜳敡敦㤰ㄶ㌴っ㉦㌳㈷㐲挳扦㍦ㄷ㘹搳㑣㔱搱搷㥢㠴㜹昸昵㐹ㄸ敤㍥㉢搶慢㈱㜳摤扣㘳㡦㐷ㅣ㌸戶㐹㔶〰摦㤱攱戶挵攵攴挶ㄸ昱㐶㤹㠵〹慤愹愱挶散㑥ㄲ㘱愰㠷攳㈹戴㝡㘳扢㙣㔶㝥㜶慣愷慢ㄳ㉤㑤昵戳㕡㡤㑥昶㤱ㅣ改㝡㝡扣㔱ㅦ攷㤶搷づ昶搱戸㘴㉢㌶〵摢昶戸㥤昵敦㤳㈱㐴愴搴捡㤲㤰㜹搲摡攸扣搹㡤攰㈰晡㤳㔹㐵㌲搳昲戵㜱愰戸晣㌲扥㙥ㅥ㔸愴づ㍣㝣ㄵ㤵慤㠱昹摣て㠷戳㈷㕢攷㥥㔶㡥愴敤搴㔶㙢㜳㡡㤳戳㔷〷㈵攳㜶搲㡥㘹㌹昱㘱捦㌸㥦㐳慢攰搰愹挷搳愱慤㜵挹㜸㝤晤扣㑥改㤱㡤挹晡㔹㈹㘳㜴㍣㘱搴慢㐹扢愹戹攱㙦㤲㉦昹挰慥㤹慢㌶攲㘲〵㘵㈴㥥摡㔵㍢㘸晦昴㍣㠷㐷挶㌰搲攴㌹ㄷ㌶㍣㝡搰ㅡ㜷㙢ㄱ散晦㜹〳戱〷㑡摢㘶戶扦换攷㍡㌱戵攵㠹㌸愷㜱㌳愵扤〷㔹㡥㌸〷㙣㜴搳攸㈶散て㑦㌹㐴㈳敡㑣搱摦㘶㕣挹㌴㘹㥡昶㘷捦㌰㠸ㄵ㕥㕦㙦戲摥㜹捦〹慦慦〷昲ㅣ挳挱戱づ㕣敥㌶㑣挷攰㤰㈷㝦㌹〹㝡〱慣攰っ㘶慥ㅣ㈶搶戵搶ㅢ敤搳戲㕣ㅥ㤷㜳㐸㌰㥡敤搲ㄳ愷㘳㑢攳搰㡥改㥡收扡㔴㝤㕤愳挱㔵〸㥥㔷攰戳戴愳㡤㘹搸㔹㍦慥愹愵㡥て㜱㜶㑣㑦㙣㡥㌷戶捣攴捥搵攴扣㙤戳㌸㤹慣戲昴攰扡㐶っ㈰戳㑥ㅥ㔷愴㈷㑣㙦㥡㠳愷捣㘷㌵㌴搶挴㘷戶晣㉤ㄲ㘵㥤㔲㄰㈱㜳㔴ㄵ㡢攲㘲㔱㕥㕣晥㘷捦㔵攸攱㌰ㄹ㠰扤㘲ㄲ㉢㔵㡦攳愸㡤昱捡㉣㔹捦㌵㜰扣搲愷慣攷㘱㕤㌷㔵摢㡦攸㜳づ搶㐳ㄸ㤶ㅤ挲㈰愳㙡㈶㡤捣㍣つ昳㝦昵扣㝢搹㝡㔸㙥攳㔴㈰扢㠵扤昵㝥〷㠰㍢㤹㕤㠵㌲昶ㅣ㕤㘶㥣㕣㙥昷昳愴㈵㠶㍤ㄱ㘷㑦挲㜹㌸ㅣ㥢愲㍢㘰攰㘳敡挵㘶㜲捣戹㥤㑣㠶敢戹㠶㜸㝤㡢㔵㌶愴愹愱㈱捥慥挵㙥㌹〱昳戶㔱㉥ㄷ搷㤸㐹昴㌴㠸散㝦㤶㈸㍥ㄷ愲昸㕣㈹挲改㤸㡦搳挸㘳摡㙡㥡ㄶ㙦慥㙢㥤摥㔰㤷㉣㈷挳㐷㕥晥ㄶ㝤ㄲ㕤愸ㄴ挱㔴㉦搹㌱戱㔲捤摤ㅦ㘶敥戵㐶扡晢攱攲㠱愱㘳晡搱㜳㡢攵㌹㕣晣挹㘷ㄵ搰㝤㜵㉥㙤昵〸㐸ㄹ㉥㜵攵攲㔶晡攲㔸㠰愱㡢捡㐹㐸㍣㐱〰晥敢㔱挰搵慢昴㈹ㅣ戵戹㝤扣ㅤ〰㥥搱㑤昱搴㜰㍣ㄵ搵搴摣捥晡㝥㠶㜲愴㤶㔳㑡戳㤷㡦っっ挱昳㌶㜸㡥㘷㌶搶挱捤攵ㄴ㑣挰㘶晣㔲㍥㙣愰㤹㌹攴愰㉤㉡㉢㙢㕦敥㔶搷㐸㘵慢扢戵戵摡昹晤ㄶ㈳昳散㝦㜹㜰㜴㈰㥢攰昱㜰ㄹ愱挷ㄸ㠲晤㐰挴搳㘰搹㥥ㅣ挰晥〴昴〷㈹㝢ㄶ㠵戹愳愴攰昶㝡㈸ㄴ㤵㌵㜰摢㝦㜹〳㥢㠳攵㠶㠶㠷〱昰昸〰㐲愲戵㉦㝦〶攵晡〰愰㥥㝤收㤹〱㌸㉥ㄲ㉦㠰愸晡㌵ㅣ㕢づㅥ挰晡改戱㜸ㅤ㐲㕥㤵㙡㠳挰㜵㙡㤸戶敦戴㑡㝣扤㐲晤慣㝡㍣㑤㔵愴㔷㐳愸慥㑦〶攳ㄸ㘷づ昱〶㐴扣㐶㔱㉦㐷㘲戱戲ㅥ㘲愱摥㐴昱㙡㐲㤰摦捤慤搴挴㕢挰慤㈱㔸ㅦち昵捣㜲㘱戸㘵散㙤ㄴ㜱挹㘰扥ち㥥搴挴扢〰昰挴㔶攴㍡㤱㡡昷㔰挲挹㔴慦㠱㕤昱㍥㡥㌸㐷戱捦戲昱晡㐸㤰捤昷搹て愵〶攰捥㍥㉢㍥㠶㔴挵㤹摤摥㡡昳㠱戴㍢ㅡ㐴㝣攲づㄸ㐳挰㐱〴㝣ち〰㍢㠳㍥ㄶ㥣㥤扦捦ㅤ㙡ㅡ㡥㉤扢攳愸㜶㌰㐸搹㜷㄰晥て㝢㡦㘵昷戴㙦ㄱ挸ぢ㤵捣ㅤ㠱㡥㘹攷つ㠰敤搲搶㥤〰挷昵㝥㡥㑣㉥㤰㌱㑦晦㡤慥收ㄱづ〴㔳捤㝡㝦㝡昵㘴㕥㤳㜳愵㈴㝥㠰㐱搹愹戴昱〸昸㡥㤹㐷㜴㉢ㄱ㥦搶收扡挴㉣㉥㘹㘴扤㍣㘹㤷㘶捥摣㠲㥢㤱㘵㠷㥢〰㑤挱㕤挹㘶㠷ㄳ戲㡢敢㤳㤸挰捤㑥㤲扦㐰㑤㑥㤲㤳㘹挴㘲挴㝦㜱愰㍡ㅣ攷㝢慢㘳㑣〱㐶㍦㠴挰㕦摤〱㠷ㄲ㜰ㄸ㐸搹㙦〰攴㥥ㄵ戲昷〳攳㝥㠷づ㔰愹晣㝥ㄵ㍥㔰㔴㡥㘷㜳攴㤳㐸㘵㜲ち㙤敦㜸㠲㐸㌳ㅦㅥ㉡㠷づ㡥ㅡ㕡戴〹㌸扦ㅡ㈹㡦搹扢㌸㘵攱㉥㐷㔱㜱㜱㈹㑥㌲㕡敥搳ㄱ㜹搵搲挴〴㐳敥㔹ㄶ㝢挰〵敤㜰㜸散攱㍤㌰搸慦ㅤㄶ挹扢㡢㠷晢㈷㐷〲㠲㐷㐷ㄸ㈲ㄵㄸ慡㕡㠱㌹㡡敤慥〵ㄱ㍡〰ㅣ㌵搶扣㈶㜳摣ㅥ㌲㌳挷㔳〱昹㥦㜲摣〱慡㌲挷㜱ㅡ敦〸㉥㉢挷㐹㐸㌷㥦攳ち愸攱慦㐸㑦搱〸㝤攳㝦㙥攰㔵㑤㜱攴搸〰㐶㑦ㄳ挸捤扤㉥㠰㘹〴㑣㈷㘰㕢〰㤸㘷慤づ㕣㈶㝥㐱户昸捤〰〴昱攳㤶㕥㘵搳ㄱ扦㝡摡㙣愰捤㉥〰挸㌳㐶㈳戸㜶搳攲昵晢攲㍦㌶ㄴ㔲摤ㅣ㌶晡㑣ㅣ㜳攸㔴〲㕡昸㔴㜱㡣㠵敡ち搴㙡㈸戳搱㥢㍤㔵㜴〳㘸つ挱㝡㌳搴㌳愷ち㝥搷ㄴ慢摣ㄳ攵㕢㜲慡攸〱㥣捣戸㐷搶㥢戳收ㄶ㝢愱㔸㘶㜵ㄶ散㡡㥥攰捣慣㘲昷㈴慢㥤〳戲昹慣敥つ㌵晣攵㥣㉡晡㐰愴〲散㌸㔵捣愳摤㘳㔹㕢㕦㜷挰㜱〴ㅣ㑦挰㍥〰挸㔳挵〹攰散㔳〵户㈲㉢扢㜲㠵㘴慥㐵㑥愴摡㐹㔴㡢〱㈰ㄳ㜷㌲㌸〸㑦攱㥢㤵戱昹㌸㘶昸戸慢戸㜰挶㑥戵㔰晢〳戵㥡㌶昰扥搹㡣㜱㝢昲ㅡ㠲昵搳愰㥥挹搸〲换ㄸ㜷㉥㙦㐹挶〶〲搷㐶挶〶愱㔸㘶散っ搸ㄵ搵攰㔴挶搸㕣晤㉣㤰捤㘷㙣〸搴昰㤷㤳戱㘱㄰愹挸挲㡣㥡㔲ㄶ搲敥㈲㄰㌱摣ㅤ㜰づ〱攷ㄲ㔰〳㠰捣搸㜹攰散㡣㜱㝦戴戲慢㘵散㥥㑦戵ぢ愸挶扤捣㌲㘳㡢挱㤵㜵㌷〷摡㠵㌸㔶㘹㕢㠲㘳愶㡤晢㥤ぢ愷敤㈲ぢ㌵〹愸搵㔰摥愲戴㜱攳昴ㅡ㠲昵㡢愱㥥㐹摢愵㤶戱㈹㈸摦㤲戴ㅤち㕣ㅢ㘹攳戶㙢㤹戶换㘰㔷ㅣづ㑥愵㡤㙤搶慦〰搹㝣摡戸㑦ㅢ㝦㌹㘹慢㠵㐸㠵搷㌱搰㤶搲敥㔵慣㙤慡㍢攰㙡〲慥㈱㈰づ㠰㑣摢戵攰散戴㜱攷戶戲敢㐸摢㌲慡㕤㐷戵〶〰㘴摡慥〷〷攱つ㝣戳〶摡㜲ㅣ㌳㘳㡤挰ㄴ捥搸㡤ㄶ慡〹愸搵戴㠱昷捤づ㌴敥收㕥㐳戰㝥ㄳ搴㌳ㄹ扢挵㌲挶㡤摥㕢㤲㌱敥昸㙥㈳㘳扣挳㈰㌳㜶㉢散㡡㔹攰㔴挶搸㕣㝤〵挸收㌳㌶〷㙡昸换挹搸㍣㠸㔴㘴㘱㐶つ戴㤵戴㝢〷㠸攰捥㜲ㄷ挰㥤〴摣㐵挰㜱〰挸㡣摤つ捥捥ㄸ户㤳㉢㌵㐷挶㔶㔱敤ㅥ慡㥤〱㠰捣搸扤攰摡昳㥣㤶㙡㥥㔷搹㡡㘵㥤㝥ㅦ㈴㜰㔵㝥㐴㜳㍦㡥㤹㍣㙥ㄲ㉦㥣扣〷㉣搴㔹㐰慤㠶昲ㄶ㈵㡦扢捤搷㄰慣㍦〸昵㑣昲ㅥ戶㡣㉤㐴昹㤶㈴敦ㅣ攰㘴昲戴㐷愰㔹㜶㘸㥤㔱㥦㤲ㅥ攴㥥攱捥〵㔰愶昱ㅦ挰㠹昳挰愹㌴㌲〶晡㙡㙡㜳搴戰摦捡㤷攳㍡てㄲ昳〲㥥摢摣㔹慣慦愱ㄱ愲昹㥦㥢摢㔵戸ㅤ〳㙦㉤敤㍥㐶㈰㌷扥扢〰搶ㄱ昰㌸〱ㄷ〱㈰搳戸ㅥ㥣㥤㐶敥㜶㔷㙡㡥㌴㙥愰摡ㄳ㔴扢ㄶ〰㤹挶㈷挱㐱昸ㄴ摦慣㠱昷㌴㡥㤹扢㘵挰ㄴ捥摤㌳ㄶ敡㍡愰㔶搳〶摥㌷㍢昰戸〳㝥つ挱晡戳㔰捦攴敥㜹换搸つ㈸摦㤲摣摤〸㕣ㅢ〳㡦晢攷㘵挶㕥㠰㕤㜱㌳㌸㤵㌱㌶㔷晦㈷挸收㌳㜶㉢搴昰㤷㌳昰㔶㐰愴㈲ぢ㌳㙡攰扤㑣扢慦㠰㠸摢摤〱慦ㄲ昰ㅡ〱㉢〱㤰ㄹ晢ㄷ㌸㍢㘳摣㠲慦散㍡㌲昶㍡搵摥愰摡㐳〰挸㡣扤〹慥〴㜷ㅦ戰户ㅢ㐷㉡㘹㙦攳㤸㐹攳㠶晡挲㐹㝢挷㐲㜱挷晤㙡㈸㙦㔱搲戸㌳㝦つ挱晡扢㔰捦㈴敤㝤换搸愳㈸摦㤲愴慤〱慥㡤愴慤㐵戱㑣摡〷戰㉢ㅥ〳愷㤲挶ㄶ敢ㅦ㠱㙣㍥㘹㡦㐳つ㝦㌹㐹摢〰㤱ち慥㘳㤸㝤㐲扢㥦戲㌶㍥㈵攰〲昸㌷〱㥦ㄱ昰㈴〰㌲㘹㥦㠳戳㤳昶㡣㐳捤㤱戴㉦愸昶㈵搵㕥〱㈰昷ち㡡㝢昷捤㜹攷㉢㐰晥愷㉢㈸敥昸㤷㈱摡㐸攳慦㠳㌳㐳㘴㕤㈵㝦つ改收㐳昴㈶搴昰㔷愴㝦㐳㈳㌸㤰晦昹㥣㠰㡡㐰㈹㠴搶挵攰户挰攸摦ㄱ挸㘷〸㕣〰摦ㄳ昰〳〱㝣慣㐰㕥㐱晤〸慥扤㝤〵㡡㉦戸摣〰㝢捥㐷㉡㜰〹晡㌳㌰戸㠴攲愳〵捡攸ㅥ㤹㕡㝦愱搱晦搲攸ㄷ〰挸㕥晦㉢ㄵ戰㜱㠸㙦搶㍣昵㍢㡥搹攵扦〴愶㜰㤷晦挳㐲㝤〵搴㙡摡挰晢㘶攷愹㡤〰慤㈱㔸摦〴昵㑣㤷攷つ㘳㔶昹ㅦ㤴㙦㐹㤷攷㈳〹㙤㜴㜹㍥慣㈰昳㠹㡢晤㈲挱愷ㄶ㔴㤷㘷㜳㜵㝣晢敡ㄶ攴昳〷愸攱㉦愷换昳昱〶ㄵ㔹搸㔲昹搴㘰㔲㙦挷摡昸攸㠳ぢ愰㥣〰㝥愷戰昸〵〰搹攵㍤攰散㉥捦攷ㅤ㤴㥡愳换户愷㕡〷慡戱〳捡㡣㜵〴愷㔶攲㥤㜰慣搲㔶㠱㘳挶㔰〳戰㜰摡扣ㄶ慡ㅤ㔰慢愱扣㐵㘹攳㠳㄰㙢〸搶户㠱㝡㈶㙤摢㔹挶㜴㤴慦㘵戹㝣ㄵ扥㍢摡ㅥ戸㜵挴㜸㘴扤戹ぢ㠲づ㈸㤶㘹摢ㅥ㜶㐵㐷㜰㉡㙤㙣戳摥ㄹ㘴昳挳㤰捦㕤㈰㤶㌹㘹攳㠳ㄷ㉡扣㌸㔴㘹摢㠹㜶㜷㘶㙤㝣㈸挳〵戰ぢ〱扢ㄲ戰ㅤ〰㌲㙤扢㠱戳搳搶搹愱收㐸摢敥㔴摢㠳㙡㕤〰㤰㘹敢〲㑥愵慤ㄲ挷㉡㙤㕤㜱捣戴㔵〲㔸㌸㙤摤㉣ㄴㅦ扤㔸つ攵㉤㑡ㅢㅦ搱㌰搳戶㈷搴㌳㘹敢㘱ㄹ攳搳ㅢ㙢㘹㑣扥ち愷慤〷㜰敢㠸㜱㑦摢㕥㈸㤶㘹摢ぢ㜶㐵㑦㜰㉡㙤㙣戳摥ぢ㘴昳㘹摢ㅢ㙡昹㘹敢〳愹㑢㔶㝡搳㙥ㅦ搶搶搷ㅤ搰㤷㠰㝤〸搸〷〰㤹戶㝥攰散戴昱ㄹㄱ㘵搷㤱戶㝤愹收愳ㅡ㥦攷㤰㘹昳㠳㔳㘹ぢ攰ㄸ㑥捡㠵㜸㄰挷㑣ㅢ㥦昹㈸㥣戶㤰㠵攲㐳㈱慢ㄹ㐱㌴㜱戳㤳㘴㝦㠰捤戴㠵愱㥥㐹㕢挴㌲挶攷㑡搶搲㤸㝣ㄵ㑥摢㐰攰搶ㄱ愳㐵愱㔹㍡㘶搸㠴㜱搲㠱摣㘱㌷〸㌸㤹扦ㄸ㘰㠲て愳愸晣戱昱晡晥㈰㥢捦ㅦㅦ㕡㤱昹敢㑦㈳愸㔴晥ㅦ〶愹㡡㌳づ搵戰ㅢ㐰扢〷㄰㌸摣ㅤ㌰㤰㠰㐱〴搴〰㈰昳㔷つ捥捥ㅦㅦ㘳㔱㜶ㅤ昹ㅢ㑣戵㈱㔴㥢〰㐰敥〲㠱捦㤹慣㤳昱ㄸち挸晦戴㐰㤸っ㔵ㄹ愲㘱㌴捥挷㔴捣㄰㔹ぢ㠴ㅡ㐸㌷ㅦ㈲㍥捥㈲㐳㌴㠲㐶㔴㠸昸㑣㡢㙡ち攴㉡㐴㈳㜱慣㡦㈲㤰捦扢戸〰づ㈴㘰㌴〱㐷〰㈰ㄷ〸㘳挰㘵㙥戱〶㘴捦挹㔹ㅦ㡣〵〴敢㠳愹づ㥢㕤㌳㤵㡥愳捤㠳㘹戳づ〰搹晦挷㔳〱捦戴昳捤㕡ㅦ㑣挴㌱扢㍥ㅦ㘸㈹摣昵㈷㔹愸ㄹ㐰慤愶つ戴㜸戳㕤扦ㅥ攰㌵〴敢㤳愱㥥改晡㠷㔸挶ㅡ㔰扥㤶攵昲㔵戸敢昳改㤹㜵挴㜸㘴扤戹㍤㥥捦搵挸㜴ㅥち扢㠲て搸愸ㅥ捦收敡㠷㠳㙣㍥㥤㉤㔰㘳ㄶ戳㍦㠶攳㤳㌸㉡㕢㡥昵挱㤱戴㝢ㄴ㙢㥢敤づ愸㈵㘰㉡〱㝣㙥㐷昶昸㌸㌸扢挷昳搱ㅣ㘵搷搱攳ㄳ㔴㑢㔲㡤㡦搱攴昶昸搳㈱㕢挷㌰㘸㈹㐰晥愷ㅥ扦〰慡㌲㐴〶㡤㥦〱㉥慢挷㑦㠳㜴昳㈱㍡ぢ㙡㌲㐴搳㘹〴㝥挸晦㝣㑥㐷㌵〵㜲搵攳敢㜰慣ㅦ㑤攰㐲㜷挰っ〲敡〹㔸〴㠰散昱つ攰㌲㍤㍥攴搶攳㥢〰㐱㡦攷㤳㍤慡搲㉥㤹㑡㘷搲收㌱戴挹愷㜰㜲攳挷㐷㙦搶〱㕣愴㌵〳昲㍦挵敦㑡愸捡昸戵搰㌸㥦摣挹㡡摦㉣㐸㌷ㅦ扦慢愱㈶攳㌷㥢㐶攰㠷晣㝦つ愴慡㈹㤰慢昸捤挱戱㍥㤷㐰㍥〲攴〲㤸㐷挰戱〴昰愹㈰ㄹ扦攳挰㘵攲攷晡愱捣〹㠰㈰㝥换ㅤ㌶㉢㌳㤵㥥㐸㥢㈷搱㈶ㅦ攲挹㡤ㅦ㥦摣㔹〷㜰㤱㜶㌲㈰晦㔳晣昸扣㡦㡣摦㈹㌴㝥㌷戸慣昸㥤ち改收攳挷〷㠴㘴晣㑥愳ㄱ昸㈱晦摦ぢ愹㑢㜸㑥〷㐶㕦㐰㈰㥦㈰㜲〱㥣㐱挰㤹〴昰愱㈲ㄹ扦戳挰㘵攲ㄷ㜶敢㝦ぢ〱㐱晣ㅥ㜶搸㜴昴扦㐵戴㜹づ㙤㍥づ㠰㥣㜱捦〵㔷㤲㡡捦挳㌷㍡㔰搵㥡㜴捦挷㌱㈷摤昵㠰ㄵ㥥㜴㉦戰㔰ㅢ㠰㕡つ㘵㌶㜸戳㤳㉥ㅦ㌷㕡㐳戰扥ㄸ敡㤹㐹㜷㠹㘵散㐹㤴慦㘵戹㝣ㄵ㥥㜴㥦〶㙥ㅤ㌱ㅥ㔹㙦敥愴晢っ㡡㘵㐶㉦㠲㕤昱㉣㌸㌳愳昸㠰㠲搵㕥〲戲昹㡣昲改㈶㈶㌱㝢搲攵攳㑤㉡㘱㌸㔴㈳攲㌲摡扤㥣戵昱搱㈷ㄷ挰ㄵ〴㕣㐹挰㑢〰挸㐹㜷㈹㌸㝢搲㝤搵愱愶㘵散㕥㐵戵慢愹昶㉥〰㌲㘹搷㠰㉢㔹㝢挷㄰㍣㝦㠷㈳㤵戴㘵㌸㘶搲摥〳慣㜰搲慥戳㔰㝣扣㘹㌵㤴户㈸㘹㝣っ捡㑣摡昵㔰捦㈴㙤戹㘵㡣㑦㐸慤愵㌱昹㉡㥣戴㡦㠱㕢㐷㡣㝢搲㍥㐱戱㑣摡㡤戰㉢㍥〵愷㤲挶ㄶ敢㌷㠳㙣㍥㘹㥦㐱㉤㍦㘹㕦㐰敡㤲㤳㕢㘹昷㌶搶昶愵㍢㘰〵〱户ㄳ昰ㄵ〰㌲㘹㉢挱搹㐹攳㜳㔸捡慥㈳㘹㜷㔰敤㑥慡昱㤹㈹㤹戴扢挰㐱㜸㌷摦慣㘱戶ち挷捣ㄸㅦ愹㉡㥣戱㝢㉣ㄴ㥦戹㕡㑤ㅢ㘸摤㘶㠷搹㙦〰㥢ㄹ扢ㄷ敡㤹㡣摤㙦ㄹ攳㘳㕢㙢㘹㑣扥ち㘷㙣ㄳ㜰敢㠸㜱捦㔸ㄱ㔶ㅤ㌲㘳て挰㉥扥愶㌳㤳㌱㌶㔷㝦〸㘴昳ㄹ㉢㠱㕡㝥挶昸㉣㤸㡡㉣づ搵㌰㝢㠴㜶晦挱摡㌴㜷挰愳〴慣㈶愰ㅤ〰㌲㘳㙢挰搹ㄹ攳挳㘱捡慥㈳㘳㙢愹昶ㄸ搵戶〳㐰㘶㙣ㅤ㌸〸ㅦ攷㥢㤵戱昵㌸㘶挶戶〷愶㜰挶㌶㔸愸ㅤ㠰㕡㑤ㅢ㕢㤲戱捥〰㥢ㄹ㝢〲敡㤹㡣㍤㘵ㄹ摢ㄱ攵㕢㤲戱㥤㠱㕢挷㑡摤㌳戶ぢ㡡㘵挶㥥㠶㕤戱㉢戸昵愶㠷㍡㥢慢㍦ぢ戲昹㡣敤づ戵晣㡣㜵㠱㔴㐵ㄶ㠷㉡㘳捦搳敥ぢ慣慤搲ㅤ昰㈲〱晦㈴愰㉢〰㌲㘳㉦㠱戳㌳搶摤愱收挸搸换㔴㝢〵愴慣ㅦ〰㕢昶ㅣㄳ㌷ち㜸ㅤて㤷㜱攳㙤换㌶改㠳㘷挵敢昱晢㐹㘳昱㠰㐳㉢㐵㝦㠷㥤慤愵收㘳㈶㥢摤㍢㈴㥢㜰昸㤱㝢愰㘵戹㌱挸摥㘷㘴戵㑤㝥搵攱㥦㝢っ挵㔳搶晢搷㑤㥢戶慣ㄶ㜶㡦散㉦ㅦ㐴㤲戰㘱昲㌵㈴㡣㈳㘸㕦戰昹㕤挸攷㈶㉤昳㐳摡挶㡥昰㥣㈷㌸㘸㜵扢捣晥㔵敥㔴敥㔳㡦慤㙢㕢戰㌱晣㜵㌸㈷㠲捡㠷㌷挰愹㤷〸㈹改㥢挴㐰っ扥愸㉣〲㥡扢愹㉣㙦慢㌱捤攰搹㌴㙣㍡㥥搰㍡慦ㅥㅢ扤㜹挸㑤㘶收ㄱ㜷戶㥡挵㜰扡愹ㄹ㑦慤㤴收㝥㕤慡慤晢〸㑣戵摦㍥攷㕢攵愵ㅡ㑢挲昰愶慣㍢㔲㔴㔰㍦㍢㉢搴攱㑢㝢ㅢ㉥㙥㍦愶㉥搹摣搴搲㤴㙥慤㥣㠰㠷ㄵ㉡昹㍢〳㘹㍣戶㔲㕤搶つㄶ㕤敢㘴挳㑡ㅢ昹㔳㘳戳昹㉤㤳㥥ㄹ㡤㑤㜳ㅡ愵㌷㘵㉤晣戹〵㤹摦㜶敤㔸つ㈶㈳昳戵㈷㠲攷㡤㌲㜸㜸㜹㘳㌸㈰㑡㝢ㄷ戶㝡っㄹ㍣㘴㝣㙤㈸㤸㡥〴愲㠹㘸ㅣ扦㌸㠱㥦㤳ぢ挷〳戱㜰㌴收て昸挳挱慡㤰㉦ㄲ昶敥㘷改攸敦㐱挷扢扦攲摥㈷搷㕦㜱㉣慢ㄸ〰㡥ㄵ㜳搲昸㑢㕦摥〳㘰ㄹ㝦㐵摡㠷愸㘷㥢㈱㠳㙢戳㝦㠸㑤晢〸攲づ㄰换㝤㠳攳昱攳〶摡挷㤰㜴㠲挴昱昸㠲㜷愰㘵㐵晦〴㠵㝡㔷搸搳㉢㐱㐴㌵攴㥣搳㍣㘲㐷㠴㥥㘳㡥㜵㜹昴捦〱攳搸ㄹっ㔶挶㔶挵ㄱ愵昸敥㐲㔷改㔰㐸㌹㝥昴㉦愱㉣㠶㉢㑣㔶摦慥㔱搲㡤挴挰ㄶ㜸㝣摤ㅦ㈸晢户搸〶づ戰㔷戱ㄶ㥤㕤㠵扤㐲㔴㐰挲㥥㤱㥤搹〳愱㠰㈵㐳㤱昶㉤㜰㘶㐲挳ㄱ㝦㈸㙡〴㐱㝣挱㔰搸㐸㐴㠳戱㘰㉣㔱ㄵち昸搲㔵愱㜸㌸愵㝤㘷㐳㠳㍥㝦㌲ㄱぢ㔷㐵㘲㘹㕦㈸㤶㐸㐶愳㤱㐴㉣㄰〸㐶愳挱㘰㈲ㄲ㑢㜹㐷㕢收昵敦愱愳晦〰攲ㅤ愳㐴㍦㔲昴ㄳ㐵〷㈹㤱㡤慡ㄸぢ搱搶改ち攳㘰ㄹ㝦昸㥡〰搶捦挴敢捣戵昷㘰㈵晦㥤愲㥥㐴散〵㈲㈶㐰㉥㤳挷摦挱戱㠳㍤〹㔲ㄹ散㑤晦捤〴㕢㉢〶愴攰戸ㄴ扦〳㥡㥦㠱挹戰㠴ㅡ昱挱ㄳ㤴㍢㤶㜸愷㔸扣挶㥦㥦㌳㌳㤲昶昹㈳晥㔴㈸ㄸつㄹ㐶㈸ㄶ昵㐵㠳㔵㐶㍡㤱㡡㠶攳改㔴㈰㙥挴㌴捤㠶晡晣〶㝥晡挵㙦㠴㐳戱㐰挸㠸㔵挵搳㔵㐶㉣ㅡ㠸挴晣㐱㝦㍣ㄴ㠸㙡敤㙣㘸戴㉡攰て愶ㄲ㤱㐰㈰㄰つ昹㔳改㘸㈲㥤㐸〷㔲改㜰㌲ㄹ㡣挶〲〹慤摣㠶〶攲㔱㝦㈰㤹〸攳攷㘴㝣愱㐰㍣ㄹ昵㔵〵㘰㍣㠴㥥㤱㌴㤲愹戸昷㄰搵〸晥㈶愶敥㈱㘹㑦搲〱挴㝢愸㉡散㐸㔱㈷㤲ちㄲ㉦ぢて㔳㠵㔲搳㔶㤲㌶捡㡥㐴攱㘶㑦愸搶㘶㕣挶㔰㈴㐴㔲愴㠴㔱摡慥㕤摥㠳搲搹㈷㔷散搳㤵㈷㘲㥥㠶㌵㡤戴散ぢ愴愷敤㜳愵㔲㘲㉦挸㍥㔷㜲〸改㥤搹愸ㅤ㐱㍣摥愳攰㌸晥㡡戴㥤挰扡捣㌷㍢㐳㥣㍤摦散〲㐹敥㝣㔳㙢㔹搱㜷㐵愱晣挱㍢昹搳㜷㈲づ戹散㤲㝢㐰㙥㜷挹㈴愴戲㑢扥敦攸㤲㍡扢愴ㅣ晦敦扡昶扥ㄴ㤴㘴敦敢〶ㅣ㝡ㅦ㌷敦㤲搷昶〴㙦昶扥㉡收㌸ㄱ㑣昹慢挲挱㔰㈸㥤㐸昸㐲㤱㘸㌲㥡づ挷〲昱㔰㈸㄰搲扡摢搰㘰㈸ㄱ慢ちㅢ戱㐸㉣㄰〹〵㤳㔵㠹㐸搲ㄷ㐸ㄸ昱㐸㔵㌸攰ぢ挶搲㕡てㅢ㥡㡥愰慢〶㈲㠹㘰〴㝤㌵ㅥ㠹㈷㝣㔵㠹㘸㌲㥣㑥愶㔳㐶㉣㘱㈴戴扤㙣愸慦㉡攸昷晢㔲㠱㜰挸ㄷ㐷㥦㡥㈴㡣㜰㈴攵昷㐷慢慡㝣改㜴㈰㤸昴愶㔵㈳㝡㐲㐷敦㐵戲㌷㐹㙦㄰敦㌴㔵搸㠷愲扥㈴晢㤰昴㘳㈱㜷㈱换收㑢㑤㕢㐹摡㄰㌳㔰挸ㅥ㈸㥥㐵攸搸㍢㘴㤶㐳㔴づ㠳㜸扣昵㈸挴ㅦ㝥愹㤵㌲收㔴㘷ㅡ扤つ㑡ㅥ愳㈸㑣㐴〸㐴㌴㐱㙥㥥㈷搶挱㕡收㍣㌱〰㌰㥥㈷㘶愲㕣收㌵敢㍣㜱㡣慢戴ㄹ㔲㜹㥥ㄸ〸㘵搱慡㌰㔹攷㠹㔹㑡㕡㑤っ㍣〰㡦㕢挸愰戲㥦晣〳㑥攴㥦㈷ㅥ㠶㌴㝦㤶㥡〷㈵㜹㥥ㄸ〶㔳搶㜹挲㠸㐶つ愴㈶㤸㐸㔶㠵㡣㉡昴㡢戴て昳㔲㌰ㅣづ愴慡攲㐶㐸ㅢ㙥㐳㈳晥愸㉦㠵晥㘲㔴㈵㠳愱㘴〲㌳㡤て㝣㈰ㄱ㡣㈷晤攱㜴㌸攵㍤搶㌲慦搷㐰㐷ㅦ〱攲㍤㑥㠹㐶㔲㌴㡡愲攳㤵㠸〰〹慤㌸〱愲慤㜳㥥㌸ㄱ㤶昱㤷㜷㥥㌸㐹挹挷搱㠹晤㠹搸㡦㘱㍤〵㜲㌳戹㉢戲㤲㍢ㄱ㌰㈶㜷㍥捡昳㤳㝢慡慢昴㌴㐸㘵㜲㈷㐳㔹㉣㔰㤸慣攴㥥愱愴㠷㄰〳て挰ㄷ㠹戳㐰㘵㜲㙦㜴㑤敥つ慥挹㕤㘸㤹搲㡥㠰㈹㌳戹愹㘴㌸㥣ちㄹ扥㜰㉣㤸ち㈵㠳愹㜸㈲㤵㑣㐷㤲搱㜰搰ㄷ㑢愵㠳〱敦㈲㔵晤㤱搰昱㥥愳戸愳挸㥤慢㌸㤶㔵㥣〷㙥敢愴攸㝣㔸挶㕦㕥㡡㉥㔰昲㈴敡搷慢㠹ㄸ挴攰㕣〸戹㤹愲换戳㔲㌴つ㌰愶㘸〹捡昳㔳㜴㤱慢昴㘲㐸㘵㡡敡愰㉣㉥㔵㤸慣ㄴ㕤愶愴㌳㠸㠱〷攰昱昵㕢愰㌲㐵㑢㕣㔳戴搸㌵㐵㑢愱㈴挷㕦ㄳ㑣㤹㈹挲㤸昲愵㡣㌰㔷摡〶㝥挴搹㠸愷搳攱㘸挰㤷昲㠵慢愲攱㔸㌸愲捤戴愱昸挹㘲㕦㌰㘰㈴搲搱㔸㌸㤴昴愵戱㔲㑢ㅢ㔵愹㜸㈸攵㡢昹㈲挱戰昷㉡换扣㝥っ㜴昴㘶㄰敦搵㑡搴㐲㔱㉢㐵搷㈸ㄱ〱ㄲ㕡㜱㉤㐴㕢㈷戹换㘰ㄹ㝦㜹挹扤㑥挹㡦愵ㄳ㌵㐴っ㘷㔸戹㡢搹㑣敥愹㔹挹㍤ㄱ㌰㈶㜷㌹捡昳㤳㝢愳慢㤴ㅢ㤴㘵㜲㑦㠶戲攰〶㘵愹㤹㤵摣㕢㤵㜴㍥㌱昰〰㝣㤱㔸〱㉡㤳㝢㠲㙢㜲㡦㜳㑤敥㑡换㤴戶〰愶捣攴㐶〳㔸收㔵㔵ㄹ㠶㍦㥣〸昹㘲㤱㘸挰ㅦつ㈷〳挱㔴㉡ㄵ挶昹㉦攸扤㐳㔵㝦〶㜴扣㜷㉡敥㑣㜲㜷㈹㡥㘵ㄵ㜷㠳摢㍡㈹㕡〵换昸换㑢搱㍤㑡㝥づ敡㤷㍦ㅣ慢㡦㘶㜰敥㠳摣㑣搱捣慣ㄴ㕤〰ㄸ㔳㜴㍦捡㘵愰ㄷ㐳挰摥捥晦攲〱㈵捤㍡㉢㍥〸愹㑣搱ㄲ㘰挵挳ち㤳㤵愲㝦㈸改挵挴挰㤶㕣㈳慥㠶㔴愶愸捥㌵㐵搳㕣㔳戴〶㑡㜲愱㜰㌹㑣㘱㥤戴ㄶ扣ㅣ㡦㔷㠰㌷㔳㤶㌰慡㐲㔵㌸戱㘱捡㡣㠵攲愹㔴㍣ㅤっ攲ㄷ㍦㐳㐶㈸㤱っㄹ改㤸㜶愵つ㡤〴㘲㔸㤶愷ㄳ㜱㝦㍡ㄵ㡡挶㝣戱㉡㕦㉣ㄶ〹㘲㌴挷㤲ㄸ挷〱敦㘳㤶㜹㝤㈹㜴昴慢㐰扣敢㤴攸㙡㡡慥愱㠸㝢㤱改㐴〶㔵戱ㅥ愲慤㤳散つ戰㡣扦扣㘴㜳㘷戳㤴㉦愷㕦ㄳ㠸ㄸて㈲戸戹搹㑣昶㤴慣㘴摦〲ㄸ㤳晤㌴捡㘵戲戳搲晡㡣慢昴㔹㐸㘵戲㙦㠳戲㜸㕥㘱戲㤲晤㠲㤲摥㑥っ㍣〰㡦捦㜶㐰㘵戲て㜶㑤昶㔸搷㘴扦㙣㤹搲敥㠲㈹㌳戹㍥㕦摡㥦攲ㅡ〷敢㤶㄰慥㜶ㄳ挸㙡㍣ㅥ㑥挴㠳㠱㘸㌲㙥㈴扣慦愸敡敦㠶㡥昷㔵挵慤㈲昷㥡攲㔸㔶昱㉦㜰㕢㈷㐵慦挳㌲晥昲㔲昴㠶㤲㍦㠰晡攵敦㈸敢晣戶㜴昱ㄶ攴㘶㡡㠶㘶愵攸ㄱ挰㤸愲户㔱㥥㥦愲㜷㕣愵敦㐲㉡㔳昴㈸㤴挵晢ち㤳㤵愲て㤴㜴つ㌱㉡㐵ㅦ㐱㉡㔳㜴㠰㙢㡡晡扢愶攸ㄳ㈸挹昱昷㌸㑣㔹㈹㌲㔲昸挱搳㜴㌴㤵昶愵㐲攱㐴㍡ㅥち晢㤳㔸戵〴搲㔵ㄱ㝦ㅣㄷㅦ敢㙤㘸挰㥦〸㈶攳㉣㑤㐴㐲㈱㕣㜰㐴搳㘹㕦㍣ㅣ㌵晣㤸㙦㔳㠱㠴昷㔳换扣扥〱㍡晡ㄳ㈰㕥㙥㑢㤶㠳敤㐹㡡㥥愲㠸㥢㤴愵㠸〰〹慤攰㑥攵慤㤳摣㉦㘰ㄹ㝦㜹挹晤㔲挹㕦愰ㄳ戵㐴ㅣ挵攴㙥㠴㕣㈶敦㈵挸敤㘰㝦つ愹っ㜶㕦㘷戰敤㡢挴摥慥挱晥〶㑡㜲昲㝢つ愶㌰昹㝤㙢昱摡扦挰㥢挱挷㠵㐰㄰户㝤晣戸攷ㄷて〵ㄱ搰㐸㌸ㄲづ愶搲晥㘰ㄲ〵昱㤸昶扡つ㡤㈴㔲㠹㐴ㅣ㙢晦㔴㌸㡣搸㐷㘳㠹〸敥㌱㠵㜰昷〱㤹ち㐵㠳摡ㅢ㌶㌴㥥㡥晢挲㠹㐸戴㉡㕤ㄵづ昹挳挹㔸㍣㠵扢つ挹㠸攱㡢㐶慡㜰㉤愱扤㘹㐳搳戸晡㌰挲㈹㍦㙣愵㐳ㄱ摣捤㌰㡣㘸㍡㤵づ昸㐳㜱㕦㈸攴昷㝢扦㔳㡤㜸ぢ㍡晡摢㈴敦㤰扣ぢ攲晤㕥ㄵ扥㐷搱晢㈴ㅦ㤰㝣挸挲ㅦ㔴㈱愱づ㑤ㅡㄲ㍦愳㔰㕥㈴敥㠴搰搹ㄷ㠹㥦ㄱ昹㌹㠸挷晢ぢ〰昸换扢㐸晣慦㤲㙦㈴ㄶ㜷㙥㡢㜴㠳㜹晢つ㜲㜳㔰㔶挰㘲收㈲昱㕢㕡挳愰晣ㅤ攵昹㠳昲て㔷改㈶㐸攵愰晣ㅥ捡㐲㈰㠷㔲㌳㙢㔰ㄶ㉢改㡦挴挰〳攸攰㍢㍡㈰㤵晤㐴㜷昶ㄳ晢㘶㘲㍢搷㝥愲㔹愶戴晦挲㤴搹㉦搲㔸㡡㐶〳昸㈵攲㜴っ㜷〸㝤挹㜸ㄴ愷戹㘸㌴ㄵっ㈴㡤〴捥㤶摥㜶慡晡㕦愱攳㉤㔷摣㙦攴㜴挵戱慣挲〳㙥敢っ慤昶戰捣㔶攷摥ㄲ散愰攴〲㜷愴攵㉦戲敢㌳ㄸ㥣㑥㤰㥢㈹晡敤ㄷ㘷㡡捡〰㘳㡡㉡㔰㥥㥦㈲慦慢㜴ㅢ㐸㘵㡡摡㐱㔹㙣愷㌰㔹㈹摡㕥㐹㜵㘲㔴㡡㍡㐳㉡㔳昴㈳㥣挸扦㡥晦ㅥ搲晣敢昸㥤愰㈴攷捤㡥㌰㘵愶〸ㄷ㜵戸ㄷ㠳扢㉦㍥っ㤴慡愰ㄱ㑦挵㜱㑢㌷㤰挴挲㌳ㄶ㌵㤲㈱慤㤳つ挵ㅤ挳㘸㍡㥡㑣攰㙥㝦㈲㤴ち攳慡㌰ㅡ㡣〴㤳ㅣ挶㐱㕦㌴ㄹ昰敥㙣㤹搷㉢愰愳㝢㐱扣扢㈸搱㌶ㄴ㙤㑢搱慥㑡㐴㠰㠴㔶㜰摦昴搶㐹敥敥戰散㤶摣㍤㤴㝣㈷㍡搱捣昴昳慢晥㐵㈵攴㘶㜲㍦捥㑡敥㙥㠰㌱戹㕤㔱㥥㥦摣㙥慥搲㍤㈱㤵挹摤〳捡愲㠷挲㘴㈵㜷㉦㈵慤㈴㐶㈵户ㄷ愴㌲戹敦扡㈶昷㙤搷攴昶㠶㤲㑣㙥㜷㤸㌲㤳㥢昲㔵㠵㜱㌷㍥敡挳慤摥㔰㍡ㄸ㑦昸搳愱㔴ㄵ敥つ㐷ㄳ挱戴㤱㌴戴ㅥ㌶ㄴ㜷攸攲挱〸㝥㤹㍥㄰㡦㠴㈲㐶㌴㥥㡡愴㌰㥢挷攳㠹㜸㔵㍣攵㑦㝡晢㔸收昵扤愰愳昷〴昱昶㔵愲㕥ㄴ敤㑤搱㍥㑡㘴愳㉡晡㐱戴㜵㤲扢㉦㉣扢㈵搷愷攴晢搲㉦晥㠸㠰捥㥦㉡㄰〱挸捤攴㍥㤷㤵摣㈰㘰㑣㙥㄰攵㌲戹㈱〸ㄸ㑡晥ㄷ㈱㈵捤㕡慡㠶㈱㤵挹慤〲㔶㐴ㄴ㈶㉢戹㌱㈵㡤ㄲ〳㕢攰㡢挴晥愰㌲戹ㅢ㕣㤳晢戸㙢㜲戹㜵㥡摡㝡㝦㤸挲㐹㜸〰ㄸ㤹散〱攰慤㘴愷㔳愹㘸㍡㄰昱㔵攱㝣ㅡ挱昵㝥㈰ㅥ㡢㠴㜰ㄱ㠹ㅢ㜲㠱㜰㉡愹ㅤ㘰㐳㘳㕣晡㔴㐵㈲扥㐴ㄵ㤲ㅤ〸挷㤳㌸㈵㈷ㄲ㐶㈴ㄹ挳㠹㌴㄰昶ㅥ㘰㤹搷〷㐲㐷ㅦ〴攲ㅤ愸㐴搵ㄴつ愶㘸㤰ㄲ搹愸㡡㙡㠸戶㑥戲〷挳戲㕢戲㠷㈸昹〸晡㜵㈲㘳㜴〲挳㍣っ㜲㤹捣〳㈱户㐷㔶つ愴㌲昸慢ㅣ挱搷挶〰㔲昸㤳㥢扢㕣㌳㌲〲㤶昰㠷慦挴㠱㌲㌲㌲搲攲戵㜱攰慤㡣昸㜱昳っㄷ昰〱〳户捡慢㝣愹㐴愸ち敢搳㘰㔵㔵〴㙢㈲㈳㤶搴づ戶愱㤰〶挲㤱愰㤱㌲㐲㔵㈱㝦㤵ㅦ㥦摣㘰敤ㄳ挵扡㉡ㅤ慥㑡㔵愵戵昱㌶㌴㔹㤵づ㈴㤳昸㐴㈶㥣挴昲㈶㤸㡥晡㤲㤱愴㍦㙥㘰㌲挶晣㥣㌲戴〹㌶㌴㤶挰㈸㡥愴㡤㜰㔵㌸ㄹち攱昳㈰㑣昶挹㜸㉡㔱㤵昰昹㔳㈹㈳攰ㅤ愵ㅡ㌱ㄱ㍡晡㈴㤲挹㈴㔳㐰扣〷慡挲㐳㈸㍡㤴攴㌰㤲挳㔹㌸㕡ㄵㄲ㙡㉡㐹㜵ㅡㄲ㘳㔱㈸㤷㐵搷㈰㜴昶戲㈸㑥㘴〲挴攳ㅤ〷〰㤳愹㈵挱扡㝣㐲㤲㠲㌸晢ㄳㄲ〳㤲摣㑦㐸づ戶慣攸㘹ㄴ敡愷㌳ㄹ愷㌱昵ㄳ㈰㌷挷昹㈵愸㍦戳㠸㍡ㅡ㌰㡥昳㠹㈸㤷㕤㈳㙢㐴㑦㜲㤵㑥㠶㔴㡥昳㝡㈸ぢ㙥㌶㤷㥡㔹攳晣㔰㈵㙤㈴〶ㅥ戰㘹攲㜰㐸㘵㔷扢挰搱搵㌲㥦挸㥥攷摡慢㡥戴㑣㘹捤㌰㘵㥤愱昱〱㠹㤱㑡攲㌳㤲㈸敥昴昱㜲〵ㅦ捥晡㘳㔵昸挴㌵㔰ㄵ㠸挴扤㐷愹敡㕢愰攳慤㔵㕣㉢戹愹㡡㘳㔹㐵ㅣ摣搶ㄹ㥤〹㔸㜶ㅢ㥤㐹㈵㥦㠷晡昵㠵㑣搱搹っ㡥愱晣㍡ㅥ㜲㍢㘴搳㈰㤵㈱㍢搵ㄹ㌲晢晡攴ㄴ搷㤰㑤㠷ㄲ晥㡡昴㤳㘱ち〳戱捥攲戵㔳挰㥢㈱㡣愵攲㤱㘸㍡ㄹ挵昵㕥㈲攴て愴㜱㕡㡢愴㠲㔵㈹㕣㜴愴ㄲ扥㘴㔸㥢㥦㠱㜲愱ㅡ㡣㘰㥤ㄳ㐸㠷㘲㐹㕣摤挷挲㈹㝣捥㥡昰攱㘲ㅦ㑢㔹敤㔴ㅢ㕡㠵㉢ㄸ挳㠷㍢愹晣㕣㌴っ㌴㙥挰〶昰㘹㌸敦搰㔵㠵搲㔵摡㘹㌶㌴攱挳扤㠲㈸敥搱㘲〴㠶〲攱㘴㈲㠰㔱㡥捦㕢㤳㝥㈳㘲愴㐳㐱敦搱慡ㄱ愷㐳㐷㕦㐰㜲〶挹㤹㈰摥ㄹ慡昰㉣㡡捥㈶㔹㐸戲㠸㠵昵慡㔰㙡摡㑡搲㠶㘸㐲愱ㅣ㠸㑤〸㥤㍤㄰ㄷ㔳昹㐲㄰㡦㜷㈶〰㌲㙦㌹ㅦ㘲ㅤ愳攴㤷㄰扢㤸攱攵慦㜲㠸ㄶ挸攵〰戸ㅣ㜲㍢㙦戳㈰㤵㜹㌳㥣㜹攳慣㉡㍦㝣㑣扡收㙤㌶㤴昰㠷ㅢ㕣挰㈱㙦㜳㉣㕥扢ㅡ扣㤹户戸㍦㄰㑢㐶㜱搷㌳收㡢㘲㉤攲㑦㐴昰戱㔱㈴㠱㡦〱搳戸㔱收㑢㘹搷搸搰ㄴ㘶戹㘸㌲㥤昴ㄹ挱㌰㙥扢〵攳扥㠴㍦ㄹ挲〷㔱挸㔰㈴㤱㑥㙡搷摡㔰㕦っ昳㜱㌲㙣㐴戰换㠱㐰㝣昰㠸昱㘵㠴㌰慡昰㠱㔴摣搰㤶搹搰㐸ㅡㅦ㌸㈶㔲愹㘴挴ㄷ〸㠱㈶晣㔵扥〴昶㌶挴㤲戱㜴㍡ㄱ㑢㜸戹愹㕥㌶攲㍡攸攸搷㤳摣㐰戲ㅣ挴㍢㑦ㄵ摥㐸搱㑤㈴㌷㤳摣挲挲㘳㔵愱搴㈴㍥愳㉥㑥㐰愱捣摢挱捥扣摤㐱搰㥤㈰ㅥ敦㠹〰挸扣㜱〲搵㌹㕤敡㥣㈱扤㈷㈹昹㍤ㄴ㕤挶昰昲挷㐴挴㈹㤰换扣摤て戹㥤户㔳㈱㤵㜹慢㜱收捤ㅥ㙦挳㕣昳㜶ㅡ㤴昰㠷ㅦ㤲㠳㈹攴敤㜴㡢搷ㅥ〱㙦收捤〸挴昰〱㌰捥㕦㐶㌸㠰㙤〷昸挰ㄸ攷愷㔴㉣攰挳㍤〲っ愵㤴昶てㅢ㡡捦て㜱昷㈰㄰㌴ㄲ戱㜸挸ㄷ昵㈷㜰㐷挰㠸㈲㤵㝥摣〴て挴㝤摡愳㌶㌴改挷㠰挱㤵扦て户〹㜰㡢ㄵ慢㥢㘸っㅦ㐸㘱㐳㐲捡㠷敢晥戰戶摡㠶㠶㝣㔸改㈲昵㌸搹攱ㄶ㙢㉡㥡〸㐴戰㌶㑡挶戱㜳挱㡦㡢ㅢ扦㜷㠱㙡挴ㅡ攸攸㙢㐹ㅥ㈳㔹〷攲㍤㐳ㄵ㍥㑥搱㝡㤲つ㈴㑦戰昰㑣㔵㈸昱ㄹ㜵㙡㡡㠵㈸㤴㜹ぢ㍡昳昶ㅣ㤵㥦〷昱㜸ㄷ〱攰㌶摥捥㔱昲㤷㠸扤㠶攱扤㥡㜹㍢て㜲昳㔴搶ㅢㄶ㌳愷戲搷㘸つ愷戲昳㔱㉥昳㥡㜵㉡扢挰㔵扡ㄸ㔲㜹㉡㝢ㅤ捡㘲㠹挲㘴㥤捡㉥㔲搲㌷㠹㠱〷㜴㔶㕣〲愹散㈷摤㥤晤攴㙤㐸攵昸敥收摡㑦㉥㐳戱㕣愲扥ぢ㔳㘶扦挰扤ㅦ散㕣〹ㅢ戸攰っ㠴㈲㠹㘴挲㙦愴〲㐹㕣㤸㈰㝦〱㝣㉣慣扤㘷㐳搳㤱〸慥㉣㐳晥㘰〴㑢㈲㈸㘰㙦ㄱ㤶㐳愱㔴搰挰㘰つ挶攳摥换㉤昳晡晢搰搱㍦〰昱㕥愱㐴ㅦ㔲昴ㄱ㐵摣挱㑦㈷㌲愸㡡愵㄰㙤㥤㤳攰㔵戰㉣㤳晢㈱づㅣ㥢㡢慥㔶昲捦改搷㜲扡㜳〳㠸戸ㄶ㜲㌳戹摢㘵㈵㜷㈳㘰㑣敥㌲㤴攷㈷昷㍡㔷改昵㤰捡攴㝥つ㘵戱㕣㘱戲㤲㝢愳㤲㝥㑢っ㍣㤰挹攵㐶㝤㤹摣㡥慥挹㙤敦㥡摣㕢愱㈴㤳晢㈳㑣㔹挹㐵㔶㜱攷㌵㠹㕢㍢㠹㔰扣㉡ㅤつ攰㡣㠸㑦㈵㜱㕤㠱㜵㙦㉣愴晤㘴㐳攳㍣昳㔶㘱摤ㅡ挳㡥㠰〴㜶㠰愴晤戱㤴攱ぢ昹㈳戸㠴㐹㘱㜸摥㘶㤹搷㝦㠶㡥晥ぢ㠸㜷㠵ㄲ晤㤷愲㕦㈹攲㑥㝦㤹㕣〲㈴戴㘲㈵㐴㕢㈷戹㜷挰戲㕢㜲敦㔴㜲㠱敤捡㍡㝦㌹㐶扦㤵挹扤ㅢ㜲㌳戹扦晤散ㅣ戹㘵㠰㌱戹慢㔰㥥㥦摣㝢㕣愵昷㐲㉡㤳摢づ捡㠲㑦〵㐸捤慣攴㍥愰愴㍡㌱㉡戹て㐱㉡㤳晢㈳㥣㜰戹㑤〴㘹晥㙤愲㐷㉣㔳㕡㐷㤸㌲㤳㥢挴晤㜴摣昶㠹晡㜱愱ㄲ挲㑣ㅡ㑢㘱㡦㕦愰㉡㠹晢戲昸㠸换ㅦ昰晥㐳㔵摦〹㍡摥㐷ㄵ㔷㐱㙥戵攲㔸㔶戱〶摣搶㐹搱㕡㔸㜶㑢搱㘳㑡扥㍤敡搷敦㘲㡡昸㉢㌹攲㜱挸捤ㄴ㝤㤶㤵愲㥤〰㘳㡡搶愳㍣㍦㐵ㅢ㕣愵㑦㐰㉡㔳戴ぢ㤴挵㔳ち㤳㤵愲愷㤵㜴㌷㘲㔴㡡㥥㠵㔴愶攸㐳搷ㄴ扤敦㥡愲攷㉤㔳㕡㈵㑣㤹㈹昲ㅢ〹慣㘶〲搸愳ㄹ挷搹ㄷぢㄹ摣㡢㡦昳敥㝢搴ㅦ㐹攲㐶㥤昷〵㔵㝤㔷攸㜸㕦㔴㕣㌷㜲㜲㐳㍦〳挳戲㡡㤷㔰戶㜵㔲昴㌲㉣扢愵攸ㄵ㈵敦㠹晡㜵晥㡡㡥捥摦敡ㄱ慦㈹㉦㝢㐳㑥㐵晥ㄷ慦㉢愹㍡敢愱戰挸慢㘲敤㝤ㄳ挵昸挳㝥㉦挸㍢㤶㤴扤〷挶昵ぢ晤捤㝤挰ㄳ昰㌵捤㐶扦㈱㠳㈳晤㠶捤挵搷ぢて挱㌷っ㘳ㄳ㌰愶㤴愲ㅤㅡ㐶戶攰搰㘸㙥㤹搸㔴㉤扦搲㥦ㅢ挱户㔱晢㠴晢㌴搴捣慡㑢攱㕢㥢㝢㘴㈴敡㤷㌳㤴摡搸㘶㕢慦㘳〶㠵敦〰摦㈱挳㌹扥愹㜴搷㡣ㄴ㍦㤳㠲ㅦ㙦㌰㔲捡㘲ぢ敦攱ㄷ㤷〸搷㉦搴ㅤ摡搴㄰慦㙢散㌷扣㌹愹っっ㙢㥣搵搰〵㙤搸搵攵㍢愲〷搷戵捡敦㔸摦つ攵㐲㝦ㄷ攱搱晡㈱㔴摡㠰敥愳扡晢〳㘵㉦㜲㌴戸晤搲㡣㝢㉤散挹㤹つ㤱慣㤳㉦晣㡥〹㑣㡡昷㘱㥣昶㈸ㄲ㥦㠰改㡥〳晤㘵㤲㔷㐸攴㡦搶㍥〳挰㥢㜸ㅣ晤敥ㅤ敡ㅦ摦攵㤶㤵挳攷扦㌲搵㜸㘳昰昵ぢ挵搳㔶挱户㤷晣㜶㔲愷㥥て搷㕣扡昷慦攷㜷㥥㜸挷㈲昱㌹㉣挹愱㔹㠵㑡散㝥昱愵㤲慡㝥㠱㑦づ㡡扣摣㈷㡤㍦㍣ㄸ㈸扢㠳昸ㅥっ扢㠴搰戹敤㔹摢捦㙣昹攸敥晥愸㜸ㅣ昵搱㕢㥡昶攸晤搹㠰ㅦ㙣昴㜷㐴ㅦ㘰愲ㄱ愷愸㔸㘳愱〱〶㝡㄰搱㍦〲愳っ㠸㥦㉣㠶攵攲㜷㌰摤㜱㤰摢昶㠷慤㈶收戵晤㈱慢愰昸昹晥㉢扢扦㕢㔲扤㘴㘲㠷扥㉦摦昸㑥捡换慤挸㌰㠶㥤㉦愸ㄱ摤㥢㕢㠷昷㜷㑢㤷晣㠹㠴㝥㡥㍤散㝤昰昰〵㝥改挰㐸攱扢挷㘷愲㜳捤ㅢ搶搸摡㍣㡦愷搰ㄲ昴㘲昳㝢㜳㑢㡢昷晢㜳戶戸愳㜶㜷㤸攲晦戲〷攰晣晦㠵㥤散㉥㐵㡢散㔶晡〸㠶㔸㐷㜳捤昴㜱㡦戴㌶ち戲戲〱摤㙢扡㐷捡敥㐱愵戹㕦㔷㉥㝦㌶挲敡户摣㉢捣戱搶摣㔴㍦㤲摦㤳㤸搳㙢ㄹ㔳㡦㍥㥡㜵㜸散㍡㌴搶㜱㤰㔹挷㘰搴㜱㈷敡㘸㙢㙣㔴户㌴㌸㐷㘰㝥㉤愸〴戵㡣㘳㉤摣敦㙣戶愴ㅤ㙢ㄹ㙦搶㌲扣㝢㐴慣㐰㉤㙣つ㝢㌶㝥㐲㥤㘰㙥愶㌶挱攵〴㑦㌶挱挳〰扥搹〲㌳㡦ㅥ晤㄰㠲戹搷㥡晡㙣㤲攰㥥㙢㘵㑣㜰敦㌵ㄹ㠲〵昷㘰戳㐱㌸㉥慡攰〶㘶㑥㝡晣敦㜸昱㔷㌹攴㙢㤰昹㔶㙥扤㝢慤昷敤〷㔵㜰搷戳搴㍣㔲㜴㕤㕣㕤昶摥㐹戹㍦㜲㜶晦ㅥ愷㝦㜱昰晤㔷つ㔴扦㠱㜳摣昶户搷扣㝦散慡㠱㘲㔷㘸㘶〶㐵ㄹ愲㘵㑥〸搷挳㈹搷〹攱㍡慢攰扥愵攷㜵㥢扣摦㥤㘳㉦晦㙡敦㉥挳㡥㝣㘳扡㜷て㔸㤲㠳攲㈸戴扦㘳㠹攸㐶ㅥ晦挵戵搰㘰㙦㤴ㅤ㘸㉡㠳搳ㄳ㘲㌳㤲摣收慣㈵捣㐸搶㜴て㡡愵挰愹戰㜹昴ㄴ挱扤㙣㌰㌷㍡㙢㘹ㄳ㍣ㄸ攰换〰㔶挱昳攸搳〹摥摢〶㜳慢戳㜶戴〹ㅥづ昰㐵㤶㘵㌳愱昵〴昷戶挱㝢ㄱ摣㘸㠲㠷〱㝣㠱〵㌶ㄳ㍡㤳㘰㙥㕦㔶㥥〹㙥㘳㈶㈳捦㠵摣捥㑣㐶㈶㤴摢㥡㤵㑦ㄵ㈱㌰㝦㉥愱摣攰摣㘶㐲捤慥昰挲㐰㝣扡㡦搷㑢㔶㘲㕦ㅦ㈸戸攷搹㉤愱㡢攰愱㙢㐲ㄷ㕡〵搱㔰㡦攱㥤晡㍥㌰晣捥敦㍢晦㜲攰搰ㄳ㍦ㄶ〳㘰㠹愳㐷㥦㡤昶摢㌳晣㐰㈵捤㥡攱戹挳㔹㈶㝦㉥戰㐸㝥つ㜸㌳挳摣戰慣ㅤ㙢㠶㜶㔴昷戰㌸ㅤ搵扤㠸晦㙣㠰㐷㍦㥥愱ㅤ㘱㠳㠷ㄳ㝣愲〹ㅥつ昰㈹ㄶ㤸㙥㜸昴㤳〹ㅥ〹〸昵㈹ㄲ愳㉣㠶挶〴㌷〴㘷㕡㥥㌹户ㅤて戴㙢换㡦戳ち扥㔹㝡㜶晡昰㐷摥ㄸ昳昰㜳摢㕥晢搸摢〳捦㄰ㄳ㘱㐹戶㝣〱㙡戴㕢㉥㌷〳愳㈲晢昱㜶愰㡡扣摣晥㉢㕢㝥㈶戰㘸昹㤱攰捤㤶ㅦ㠱㈳敤㙣㐸捤戳㝡㔰捣戲㕡㐳㙦昱㑢扥㙣捤㔱挰愸㘸〸㙥㤷㜵㙢挰捣㐲つ㘸戲ち㈶㥣戰扣换扡㕦㑦ㄸ㜵㕢敤换扤扥㝤愳挷愱㘲ㅡ㉣挹〶㉣㜶㌶愰㑥㐹戳㔲挷捤戱戲〱㑢捣〶㜰ぢ慡搹〰敥㜵搵㉥㠶ㄴ戳晢㈸㑣㜳㜵㔹晥㕦㑡晦戹ㄳ搵〴㜳户慢㜶戹〹ㅥつ戰㘱㠱捤搴㕤㐹㌰㜷戲摡愹㙢戵ㄸ〶㐳㜰㉦愹㕢换愷ㄶ㙡㜹慤㔵㌰昵摥㘷愷晣㜱挱晣㥡〷挷㠴㌶つ㝡昰挹て挵㠹戰㈴㕢扥っ㌵摡愹㤳晢㐸㔱㔱㜶敡收〳㉢㕢㝥㍤戰㐸摤ㄹ攰捤挶㉣挰㤱戶ㅣ㔲㌳㜵㔵攲搰慣愶摦挴搶㥣〹㡣㥤㍡敥戴㜴㙢挰挴㐲つ㤸㘰ㄵ摣昵攳㌶搳㉢昷戸攴挰ㅢ㙦慤㕣㔱㝡晦㠶㍦〴㌷㘳捡〶摣敥㘸㠰㤷㍢㌲愵慢㉢㈱搵敦〰改㔸㉣㤶㈸㘸㔶㍥戹搹㔲㐲敦㈲慡㐴㜰挷愴㥣㠷挷愰㑡㝢ㅥ㕥㠵㐲戱ㄴ㐵㘶㠳慦挰㤱㜶㉦㘴㐸昵攸敥㈱㌱搲㙡慦㤹扤晢〹扥捡〶㕦㐹昰㠳㈶㜸ㄴ挰挳㉣㌰㔳改搱ㅦ㈶昸㙡㐰散㔴㜳戳愴ㅤ愹攵㘰摣㈲㌵挸ち㐸摥㉡㙣愰㔵愰㜵㙥㔷㍦昸散愷㐷捤扦㜴摢捦㘷㝣昳昶㘲㜱ぢ㉣挹㐸慤㐵㡤㜶慡攵ㄶ挵扣㔴㜳㔳愲っ捡㍡㘰ㄱㄴ敥〴㌴㕢捥㍤㠶摡㝡㐸捤㔴㠷㐵㉣慢㌵㑦戰㌵慢㠰戱ㅢ挰㑤㝣㙥つ〸ㄵ㙡㐰搰㉡㜸扦昷愵扢慥扦㜸㝡捤挵㈹摦散㜳㙦昸㉥㈶ㅥ㠱㈵搹㠰攷㥣つ㜸㔴㐹㔵㔶㜹ㅥ昰㜲换㥥㙣挰ぢ㘶〳㌶㠰㌷ㅢ挰ㅤ㜸摡㍦敤〶昸挴㍥㔹つ㜸㤹つ㜸挲㐶慦㈷晡㔵ㄳ㡤〵户㑦散㙤愱捤㑣晦㡢攸㈷㠱戱㤳昷㤴挵㌰戹㠲㝢摣摣摡摥扤㔰摢昷戴ち㍥晤㙥㔹㤷改㙦㥥㌲攲摥㑥㕦扣㍡晢㡦捦㈷㝢戹㉢㑥戶攷ㅤ搴㠸㠴㜰㙢㥢散愵㕤愱㘱昷搲昷攸づ昷㜹㤹㑤攵㝥㌷敤〳搳昹挱戸㑥ㄲ扢〳㝣㈷晥搳㌹㡦晥ㄱ搱㙦摢㘸㙥㜹搳㍥㌱搱挳㠹摥ㄹ㐸㜵搶昶攸晦㈶晡ㅤㅢ捤㕤㙦摡攷㈶㝡ㄸ搱㍢㔸㘸㜳つ昰㈵搱摣㠰㘶㝡昲㈶搱ㅢ㑤㜴つ搱摢㔸㘸戶挹愳㝦㑤㌴昷戲戱㍡㡡〴昷戴愹扡挵〷ㄶ㈳㔷っ摣攳愶摡㔰昱ㄹ㤸㍦户㘲昸㕣㘹ㄶ㕡〲㌲㐶挸摥㈰昹㔶ㄴ戲摥てㄸ㈴戸〱㉥㤳搴捣ㄲ戰〳㝣㜷㍤㙦戶户ち㝡㥤昷戴㝦㕤昸挱㌱㔷㜵㕢摦摡㘹挹㠰つ㠲㝢攴㘴㠷晥ㄱ敤户㐷攴昷㑡慡㍡㌴昸㈲㉦户扢挹づ昰㌳戰攸〰摣㘳㘶挶㤶扢搷戴晦㥡戱ㅤ搵㍤攰ㄳ㘵愸㡦晤㤱㥥㝢昴摦ㄸ㕢敥㑦㔳㈲晣慥愴戳〱㤹ㄳ㝦㔱愱〶㙣晡挹㙣搹戸㝢敦㝣愵㜳㙡昷搱搷㘸㜷㙣晣敤扥攳㝦ㄶ㘵戰㈴ㅢ㔰㕣敥㘸㐰㍢㈵捤㙡〰㌷㠳挹〶㤴〲㡢〶㜰换㤵搹〰敥敤搲㌴㐸攵㜹戳㑡晣㠲敡㤴戳ㅥ扤ㅣ〵㠲㍢慦㑣㌰㜷㜷㘹ㅥㄳ㍣扡㝢㤵昸挱〲㥢攳戱〳挱摣戹㐵㝤㡡挴戶ㄶ挳㘰㠸㥤挰㘴㔲㤷㘹昹搷㔶〳昳㈶搳晦㔸〵换扦摦㜰㜲搱愴㐱搵て扥㔵戲敢㜳㍦㑤㔹㈱戸扤㑡戶㝣㕢搴㘸愷㑥敥㥢㐲㐵搹攷捤㑡㘰㘵换户〷ㄶ㉤摦ぢ扣搹㤸敥㌸搲㍡慢挶㐴挵㘷㔹㡤搹㠹㡤改㘹㠳㝢㄰扣㡢〹ㅥ搵㍤㉡㍥戶挰㙣㤹㐷摦㡤攰㕥㠰搸㉤攷昶㈶ㄵ㐶挱㡤㐵㙥㉤㝦慦㔰换摦戵ち摡㍤昰攸㥥㌷ㅦ搲戱㝡㜹摦攳ㄶ挶扥㙢㠸㡡㈰㉣挹㤶㜷㐳㡤慡攵㕥㙥㐰㤲㙤摣ㄳ㔲扤㍢〸㑥戸㜲愷㔱㕥㌸愲ち扡ㄷ㔱㈵㠲ㅢ㠴攴㔴昶㍡慡戴愷戲㕥㈸ㄴ摣愶㘳㐶㡡扢㠶戴摥㤰挹ㄳ㙥㔰扣㘲㌵摥㑣㝢㕦㠲〷搹㘰敥ㅢ搲晡㤹攰㔱戸㍣㜹搱〲㥢㤱昲ㄱ㕣つ㠸ㅤ愹挱ㄶ挳㜲㌱〲㡣㕢愴㥥戱〲㤲搷㐷㥥戶ち捡㕥㕡㜸搰昳ぢ愳㘳攷㕦㔵戵晤㤸㤷㤷昵昳㜲ㅦ㡦㡣㐹ㄵ㙡㐴㐳戹敦㐶㌶昴㐹㘸搸つ㡤搲ㅤ㙥㐲㌱ㅢ捡捤㌸摡㝥㤰攱晣㡡㌹㍢㈴ㅥ〷昸㑥㝢㌴昷㈷㥡晢㔶㑣㌴昷攳㘸〷㤸㘸捣挲㈱戱〶㘸捥㥢收㉣㍣㠸㘸敥㡦㌱搱攳㠹ㅥ㙣愲㌱挳㠷挴㈳ㄶ㥡㘹昴攸㐳㠹收敥ㄸㄳ㍤㠱攸攱㈶ㅡ㜳㜶㐸㍣㘰愱搹㈶㡦㍥㠲攸㐳㠰戱攷散㐳㉤㠶搶〴㌷摥㈸㐷〴㌷攰愸㌶㔴挴挱攰㑦晥挷㥢㝡㙤挱㘵㝢㐲㘹戶㍤㘷晦摢扡捡晢㘲㈰扥攳〵慦㉦〷ち摥ㅣ捤㈴㌵㌳㘷慦㐲㤳㕣攷散扢慤㠲摥㤷慣改㝣攷愶ㄵ㘳㑥晤愹挷㠲㌵敦㕣ㄵㄵ摣㤲㈳扢晦㐱㘸扦敡晥㐲敥戵㐱㑢戲〷㍥㜷搷挸づ㌰づ㔸㜴㠰ㄶ昰㘶㙣㥢㜱愴㡤㌷㘳㡢㍢㜳㈱戱〲昵愹挱㡡晢㈷㡣㉤户挳㈸㤱㤸〷㈶搳㠰捣捣㜵㔳愱〶摣㘸ㄵ㜴㍤敢㡡㐷戶㕤ㄹ愸㕥㜶敡慤昷昶ㅣ㍡昲〰㉦昷慦㐸愷づ㌳㥤㍡㤹㍣㑥て攲〶㘸搸扤昲〸㝡㜰㍡㡡㑣㝦㑦挱㤱㜶ㄴ㘴ㄸ㝥㌵㔸挲㕥ぢ慣捡扢㐷㥦㑡昰〲ㅢ㍣㥦攰㠴〹ㅥっ昰㔲㠰㔵昶㜱㤳㠲攰㌳㙣昰愹〴愷㑤昰㜰㠰㉦戳㉣㥢㕤㜲㍡挱㘷摡攰搳〸㍥摡〴て〳昸㈲ぢ㙣昶昶㝡㠲戹攳㐴㜹㈶戸昳㠴㡣散㤱摣㠱㘲昷㐸敥㐴㔱㍥㔵㉣〶㠳扦㍦搱㈳㉦㔴㥡㠵㝡愴㜹攳攸戴㠱愳㍡ㄴ昷㌹愳昳㘵〳扦㍣㤸户㤶慥ㅤ㈸戸㑤㈵㤳搰㑣㡦㍣ㅦ㑤㜲敤㤱攷㔹〵ㄷ昶㙤㝦收捥㡢づㅢ㜲摦愹昷㉤㙤㌹㘵愰摦换㡤㉤㌲愱捤㘸㍦㝡ㄹ㜷愷挸㠴㥥〳つ㍢愱慤っ捥㜵㈸㌲ㄳ捡㉤㉢摡㙣挸㌰捤㘰㜰㠷挵㔹㔶㈸㘹挹愳捦㈵晡㝡ㅢ㝤つ搱挷㥡㘸㑣㌳戸㉢㘱愱捤挰ㅦ㑦昴つ㌶晡㕡愲㑦㌴搱㤸挲㜰㕢〲㘸ㄵ㙣摣㤶㈰㝡戹㡤㕥㐶昴㝣ㄳ㡤㐹㈹㉣㑥戰㙣㥢㍤攰㌴愲㙦〴挶㑥敡㑤ㄶ㈳㤳捡敤㈹㜶㔲戹㑤㐵搵㔳挱扤㈷昸晢ㄳ㐹攵㠶ㄵ愹㔹㈸愹戰㉡㕦收摤挱捦散改㐶㜰て㡢㕢㔲攷愲㐹慥㐹㥤㘳ㄵ摣攷㔹㔵㜷晥㑣㌱㘴㐱捤敦㠹㕤㝣㥦っ昰摥て㑢㌲愹㘷愳晤㐸㉡户慥挸愴捥㠲㠶㥤搴㐵っ捥ㅡㄴ㤹㐹攵㝥ㄶ敤㕣挸㌰㑡㠷攳㜶搰㌱㔹㤱㍣㥦攰戵㌶㤸㍢㕡戴挵㈶㜸ㄸ挰つㄶ搸㑣改ㄲ㠲戹㘱挴戴捣㍤㉤摡挵㈶戸〶攰㍡ぢ㙣昶㤶㑢〹㕥㘷㠳㔷ㄳ㝣戹〹ㅥっ戰〱戰㑡㡢㐷扦㤲攰挷〱戱ㄳ扡摥㘲㘴㐲㌷㔸っ摤㄰㑦㠰㔱㥡ㄵ摣㤴㠲扦㍦㤱㔰敥㘴㤱㥡㙤㈶㜴㜵㘲㄰慣ㄷㄵ慤㑥㥡敦㠳㡣㐱攲㈵愸戹㈵㜴㉡㥡攴㥡搰㕡慢㘰攰㙤攷㑥摥晤戳㑤搵㉢㥥㍣㜷挷慢㥦㉣㥢㉦戸晦㐵㥥㌷㤶愱晤㙣愹㙣敤敢㑡㥡戵㔴收㔶ㄶ㤹晣敢㠱㐵昲摦〷㙦收㠱㍢㔳戴攵㤰㘲搸攲㜲㌴㈶づ㐵㝤㉦㕡㙢㕤㡦㝥ㄳ㘳晢㠱㡤㝥㡦攸㕢㑣㌴捥㌲㌱㌱挹㐲戳㤹ㅥ晤㌶愲戹昳㐴ㄹ㄰ㅦ㔹っ换〵昷㝥㘴摡㥥㌹攵㡣㉢搴昶戱㔶挱㌳㍢ㅥ㜰慣㌸散攱㔱慢慥㥤㉣㉡ㅢ收挴〵户㠷挸戶摦㠵ㅡ敤戶换㝤ㅦ愸挸㍥㘷〲㔵攴晤ㄶ㔴戶㝤ㄵ戰㘸晢捦攰捤戶㜳攳㠶㜶慦摤ㅡ扦ㄸ㤹搵㥡晢搹ㅡ敥慢㌰搱摣扢愱㍤㘸愲ㄱ㈹扦ㄸ㘶愱改〸敥扡㄰捤㡤ㄹ㜶摢戹㐱㠳っ㡡昱戹㈵㉥㥡摣摡㍥愸㔰摢〷慡㠲㕥㤷㕦昷㙡昵㠵㠳㉦昸戵敦〹㌵㌷㕣㍤㑦㜰昷㠴㙣晢㕡搴㘸户㕤㙥㡢㐰㐵㜶摢㜱〲挶〳㐴挰捡戶慦〳ㄶ㙤敦〴摥㙣つ昷㌵㘸敢捤搶㈰㤳ㄱㄱ换㙡晢ㄳ㙣つ㜷㉥搸つ搸ㅥ㡣㕢〳㐲捡捦摣て㉥㠳㔶㐱㙤㡦㝤摦㕣晡挴㘱㠳㔷㙤摣㔸扦㜶㕥攰㍡戱ㄳ㉣挹〶㍣攷㙣挰㉥㑡慡㍡㉥愲㔷攴摤つ㔲搹㠰ㄷ捣〶昰戳㜹戳〱㤵㌸搲晥〹愹扣挶㡢㠹㝤戲晣㝦㤹晥㜷〳挴昶㥦㥦慡扢昹摦慢㤰晦㍤慤㠲㥡㤲攳摡㝦㝥换㑦挳㑦扥昹挹攲扢㔷㉦晥捣摢ㅢ㤶愴㑦㙦愰ㄲ晤㑤㤲户㐰㍣㘵㝤㔱攰晡挱㤸昹㈹愴昹㡢搶昸㤶㌲愳㐵ち㉡搰挰戲㌴㍦㑥㙦㥦收㤷㤷ㄹ昲㘷戵昱捤㙡㜵昵昵昲㑢挹㍡攰挷慤㥢㘷ㄸ捤愳昱㕢敤昸㐹敢〹㜵つ搶户㜶攱㌷摣昹㡢㥤敡攷㤳㜵挹昱挳㐷㉤㍤戶ㄹ扦愷摣㉥㍤戲〵扦〸㥦㉡㙦ㄸㄷ㙦㙤㌵㥡ㅢ晦づ摦て㠸慦㠹㉢攵ㅣ㡣㑥㕢㠲摦慣㉡㜶晤㠶戶㐷㔰散晡昹愵ㄹ挲㑣㍣昸㔳敡晣㔰戴㤸扦㠹晤攷扥ㅤ㔰㝢ㅢ㔹慢挰㍥〴㝣㍢㐴㑢㙢攵㙣㝥㈵㕣㑢戱攸㠶扣换つ㐱㕦〴㜶㤶㘳㤷㍢慣昴㜷㤹㘶㑥㔹㐲戶〱扦㜲愰扦㑦搱〶㠸㈴㈹㉡昵㈱晤㙤㙤㌵攰㔸㙤搷㔰ㅢ㙦㙥㡥捦㉢㙦愸慤㌷ㅡ愷戵㑥㉦慦㥤㡤扤ㄵ昸㠱㕡㈸㤷㤷㤷敢ㅦ挲㈸㙢攰㝦㙦ㄵ㠴戲愷㝤挴慡㍥㈶昹〴挴㈳愲㈸㘰㙦搳搹㠴㘲戱㤳慢换㥦ㄱ㥦敤昲ㄷㄴ㙤戰㕤ㄶ晤㘱㠳㙥敢㕦_x0018__x0000__x0000__x0000__x0000__x0000_	_x0000__x0000__x0000_攱㤰戲㑥敤㍦㤰㍡扦慤㍡攵昸㤹摤㔲攱㔵扥ㄴ㥤㕣㤴〹摦㌷搰搱扥〵㈹挱_x0000__x0000__x0000__x0000_㠳㜸昴敦㈰㜱昸㔳㌶〲昶㜳晢〵扦㙥㜰㌸㝤㉢㥢㔳㤷㙡㥤慥㑤㌷敡愶㑤㙦挵搷ち戶㘷㘷㔱㉦㌱㕡㌹晤〳㙣摡㑤ㄹ愷愴㍦㍡愵ㄳ㤵昴㈷愷昴㄰㈵晤搹㈹攵㠷愹戲搹扦㐰㕡戸搹㥡㙢戳㝦㠵㡥昶ㅢ㐸㜶戳㝦㠷挴搱㙣㌱ㄵ㜵戰改敡㈵昸戹慢捣换㈶㈰敤挶㑣㔷搲㈲晣散慦㉤慤㔷㔲攱㤴捥㔴搲㘲㠷搴㍢ㅢ㔲搹愱㑡㈰搵㑢㐹捡㐰㍣㘲㉥ち搸㑡慢㐳晤昲愳摢ㄸ㈸㈷㍥扢㐳㜹㈸摡〰扦㈵㈹ㄲ挷挳㠶㜴扣〳ち㙣ㄷ㑦㔶搲㡥づ愹㜷〱愴搲㤹㑥㌴㔲㐱攲〵昱㠸㌳㔱攰㜰㘶愳慢㌳摢ㄱ㥦敤捣づㄴ㙤挸㌸戳㐸㔵扢㈳ち㤴㌳㕥㝥㈲㈷慢摤㠹昰㥤㐹㜶〱昱㠸㈵搹搵㝥攴㕡敤敥挴㘷㔷摢㠵㈲㐷戵㤷慡㙡扢愲㐰㔵㉢慥㔴搲㙥づ愹㤷ㅦ㤲㐹㘷昶愴㤱敥㈴㍤㐰㍣㠲㥦㠸㌹㘲昰扡慢㌳扤㠸捦㜶愶㌷㐵ㅢ㌲㌱戸㐹㔵摢ㄷ〵捡ㄹ敦敤慡摡㝤〸敦㐷戲㉦㠸㐷慣㘴〱慦摤㕦㐰㠵扣㉡攸〵㔳攵昸㌲攱㍢㔴挱昳㔶挱摥慣㈳〰㈵挱㡦戹ㅣ慥㍥攳敡㙡㤸㜵㘴扢ㅡ愱㘸㐳挶搵㔵戰挳㔱㌰昱戲〷〷晤ㅥ㍣戲㕡摣て㐶㜶愶ㄸ㤰捡㜷昱戰㤲敥攷㤰㝡昹ㄱ㤴っ攴晥戴摡㥦㘴〰㠸㐷昰昳㈶㠷㜷㙢㕣扤ㅢ㐴㝣戶㜷㠳㈹摡㤰昱敥〹㔵敤㔰ㄴ㈸㘷扣捦愹㙡㠷ㄱ㍥㥣愴〶挴㈳㕥挸慥昶㍥搷㙡㐷ㄱ㥦㕤敤㘸㡡ㅣ搵扥慣慡㍤〸〵慡㕡昱㉦㈵ㅤ敢㤴昲㤳ㅣ㌶㔵ㅢ〷㘹攱愹㙡愵昲愵挸㌹㐳㡦㘷挵㥣愱㌳戳昳㐴㡡㌶㘴㐲昰ㅥ㙣㌳㐱敡㈵昸㜹㡦㑣搰㘴愷ㅢ晦㔶搲㈹㑥改㤷㑡㝡㠸㔳晡戵㤲ㅥ敡㤰㝡昹改㠵㑣收㘱㤰敡㠷㤳ㅣ〱攲ㄱ㍦愳挰㤱捣㘵慡㈵㔹愷敡㕡攲戳愳ㅡ愷㘸㐳愶㈵扦愹㙡㤳㈸㔰㔱昵ㄶ愳昵戲摡ㄴ攱〶㐹ㅡ挴㈳㑡㔱攰愸昶㔲搷㙡敢㠸捦慥㜶〶㐵㡥㙡换㘱㐷挶慢〱〵慡㕡搱㐱㐹ㅢㅤ㔲敦戶捡㤹㈶ㅡ㤹㐹㜲っ㠸㐷㙣㥦敤捣㌹慥捥昰㠷攱㜳㥣㤹㑤㤱挳㤹㥤㔴戵㜳㔱㘰㍢戳㥢㤲捥㜳㐸扤摤㤴㌳挷搲挸㜱㈴挷㠳㜸〴㙦捥换昹攲㔴戸攱㥣㉦扡慢㠲昹㔶挱摥㡣晥㐹㔰ㄲ㝢愱挸ㄱ捤㤳㕣ㅢ㌰㥦㜵㘴㐷昳㌴㡡ㅣつ攸〵㍢㔹昳㐵㕦〸㘴㜸ㄷ〰㘹户㠸㜷攷愵昴っ愷戴捡㜲㐲㍢ㄳ搲挲㘳㘵㡥㜲㉥㙢慣㥣㑤㑦戲挷捡㈲㡡ㅣ捥㐵㉤攷散戱搲㕦戹㜱慥搳つ摥㑦㤷捥㥤攷㤴づ㔵搲昳㥤搲ㄱ㑡㝡㠱㐳敡攵㕤㘳搹㘹ㄷ㐳慡㕦㐸戲〴挴㈳㜸㡢搸ㄱ收愳㔵㑢戲挶捡㈵挴㘷㠷昹㌲㡡ㅣ㉤㤹愸慡扤〲〵㜶㔴て戳慣㙢㔷㐲㕡㌸㝥㐹㔵㙢㔶晣慥㘲ㄵ搹昱扢㈶愷搶㈳㘰㍦㙢慥攱㉤㘱ㄹ愹㘵㑥㌷㔲㑡㝡㥤㔳㍡㕤㐹慦㜷㑡敢㤵昴〶愷戴ㄹ㔲㠶㐹㕢づ㘹攱㠶ㅣ敡摡㤰㥢愰㤳搳㤰㕢㈸㜲㠴慦ㄵ昶戳ㅡ㌲㔷戹㜱㥢搳㡤攳㤵㜴㠵㔳捡㍢㥢戲搱户㍢愵愷㈹改㑡愷㤴昷昵㘴㐳敥㠰戴㜰㐳挶扡㌶攴㉥攸攴㌴㘴ㄵ㐵㡥㠶㉣㠲晤慣㠶昰昶㥦㜴敥㕥愷ㅢ㑢㤴昴㍥愷昴㔲㈵扤摦㈹扤㔲㐹ㅦ㜰㐸扤扣㥦㈵㝢昴㠳㤰敡て㤱㍣っ㠲㌵ㄱちㅣ㍤㝡戰㙡㐹㔶㡦㝥㤴昸散ㅥ扤㠶㈲㐷㑢㙥㔲搵㍥㠶〲扢㐷摦愶愴敢ㅣ㔲敦㕤捡㤹挷㘹㘴扤戴〴攲ㄱ慢戲㥤㠹戸㍡昳ㄴ昱搹捥㍣㈳㑤㘴㑥㐵昷慢㙡㥦㐳㠱敤捣挳㑡晡扣㐳敡攵ㅤㅦㄹ㤹ㄷ㘸攴㐵㤲㝦㠲㘰㤱㤳敤㑣㕦㔷㘷㕥㈱㍥摢㤹搷㈸㜲㐴收〹㔵敤敢㈸㔰捥㜸㜹㥦㐶㔶晢〶攱㙦㤲扣〵㠲㐵㑥㜶戵摤㕣慢㝤㤷昸散㙡摦愷挸㔱敤换慡摡て㔱愰慡ㄵ扣扤㈲捦㉤扢挱㉥捦㉤晤ㄱ戵昲㘲㑤昰㤶㡢㉣搸搵㉡ㄸ㈰ぢ㠴㜸㑢ㄵ散㘲ㄵっ㘴㥣㍦㠵搱㌲㕥扦㙦昱㡤〵摥㥤晡㤳摦挸晦㙦㔴㈶㜸㘷㐰摥攱晡捣搱㥥ち㕥摡㔳㕡㉥㙦搴㝥愴㝣敤㥣搳㍡㕥收换搶敤㤰搳㍡㕥晡换㠲敤㥤慤晢㡡ㄵ昲㔲㕦摥愱搸㐸㡥㔷昹戲晡晦㌸慢攷㈵扥㕤㝤〵㉦敤㙤㑥昰昲㕣敡㝦㑤㝤㕥㤵㑢晤㙦挸挱㘳晥慦攰㜵戵慤㔱挱敢改っ挷敢攸っ昷戳㤳ㄳ扣〶㤶戶扦愵㌵㕥晡ㄲ愹㝦攷戴扤挹愹㔱挱换摢㡣㌵㤱挵ㄵ㍢㌹㔱〲㑥㠶愴㐳㑥㄰㑢㔵㐱晢㥣㈰㤶愹〲㡦㌳㠸㍦搱㙡㌹㠸㜴昴㘷㜲ㅥㄲ㍡晡ぢづ㔴㥦慣攸㘰㐹㘵づ㉢㍡㍡㌹搱〹㥣㜴㐶换㜱愶㐲ㄵ㤴攵㌸攳㔵〵愵㑥㘷㝥愷㔵㕥摥㑡㘷晥㈰挷㉢㕢改捣㈶ㅣ搸捥散㘸㐹捤づ戵ㄳ㌸㔹㝤㔱㑥昵㍢慢㠲㑤㍦㤸攳㐸つ㤷㕤㔴挱ㅦ㔶㠱ㅣ㉥㈵㜸散㐹昰㌲㔷㔶㕦㑡慥ぢ㌸㔹㝤ㄹ㌸扢晡慥㤶搴㡣㐵㌷㈷㈷昶〴㈷㥤昹慦㘵㕡㡤摤敥慡攰㤷ㅣ㘷㝡愸㠲㥦㥤捥攸慣扥ㄷ㡡愴㌳㜸㈲慤㐸昴〶㈷㥤㘹敦㜴愶慦㈵㌵㘳戱㡦㌲昶㝤㑥昵晤㔴挱㜷㌹搵敦慢ち扥㜵㔶㕦㠱㉡㉡〲㈸挲㝢㔱扢ㄷ㡢㐵搱愳挵慦攱搷捡㕥㤳扦昸㔶て㌷〴㉦㙣愵㜳㕥㍡ㄷ〱㈷㥤摢挶改㕣捣㤲㥡㤱摡捦挹㠹晤挱挹㐸㙤捣㜱戵扦㉡昸㉡挷㔵㕥搷㑡㡤㉦㥤慥敥挰敡㜹ㅤ㉢㥤改㑣㙥㌰㌸改捣㡥㑥㘷㠶㕡㔲㌳㔲挳㤴戱㝦攷㔴㍦㕣ㄵ㝣㥡㔳㍤慦㙦㘵昵㥦㌸慢摦㤵ㄵ㡥㐲㤱慣㝥㌷㜲愳挱挹敡㜷㜷㔶㝦㤰㈵㌵㘳㌱搶挹㠹昱㑡㝦て敡昳昲㔳敡㜷㈱㠷〴昰㝦〵㉦㌵㜹㘰敡㑦挹攲づ挹攲づ㜵㜲攲㌰㜰搲敤昷㜲ㅡ㝡戸㉡㜸㌷愷愱㐷愸㠲㜷㥣つ摤㤳捥搴愲㐸㌶戴㍢戹㌸㌸改㘸て㜰昶昰㐸㕡㔲㌳捥㈹㘵散㡤㥣敡つ㔵昰㝡㑥昵㘹㔵昰㉦㘷昵㝢戳㐲㕥㙡捡敡㝢㤳攳㔵愶慣扥㡦戳晡〶㑢㙡挶愹搱挹㠹㈶㜰㌲ㄶ㉦攷㌸㌳㔳ㄵ扣㤴攳っ㉦㍤愵挶㍦㥤捥散换敡㜹愹㈹㥤昱㤱攳㔵愶㜴挶敦㜴㘶慥㈵㌵㥤㤹攷攴挴戱攰愴改攷㜲㥣㌹㑥ㄵ㍣㥢攳捣昱慡攰ㄹ愷㌳㘱㔴㔸㜱ㄲ㡡昰㕥㘰慣捥㐷愹㜴戵㡡慥㥥〶㑥扡ㅡ㜱扡扡挰㤲㥡慥昲㥡㤱ㄸ㌳㠹㘷㉢晤㈸昵ㄷ㈹晤ㄸ㌹㠰昸扦攲㕣愷㐶挵㜹㔹摣昹㔹ㅣ㉦攳㌲戶ㄷ㠳㤳㘱㔸㥦ㄳ〶㕥搲挹㠲挷㜳挲挰换㍣㔹戰捥ㄹ㠶〱㜴收ㄲㄴ挹㠶ㅥ㐰敥㌲㜰慣㐸ㅦ〸捥敥㥦㔷㔸㔲戳㘹扣㈴㤳ㅡ㠳愸挱慢㌱愹㔱㑤㑥㌵㙤㤹㔳愳攲扡㉣敥晡㉣敥〶㈷㈷㜸㤵㈴㙤て愶戵㕢慣㌲㝤㠸搳昶㙤㑥㡤㡡ㄵ㔹摣敤㔹摣㑡㈷㈷敥〲㈷㙤て愵㌵㕥戳㐸扦㠷㌹㙤昳晡㠴㔲㌳愵昷㘵㜱昷㘷㜱て㌸㌹昱㈰㌸ㄹ攰〷㜳㔲昲㤰㉡㜸㈰㈷㈵て慢㠲晢㥤㈹ㄹ㐹㘷ㅥ㐵㤱㜴㜴ㄴ戹㌵攰愴愳〷㠲戳㔳昲㤸㈵㌵ㅤ㕤攷攴挴攳攰愴㌳慢㜲㥣攱㌵㠹㉣戸㍢挷㤹つ慡攰㉥愷㌳㘳㔹晤㔳㈸㤲捥㡣㈳昷っ㌸改捣挱㑥㘷㥥戳愴愶㌳捦㍢㌹昱〲㌸㔹攷敤㌹捥昰㥡㐴ㄶ慣挸㜱收㥦慡攰㌶愷㌳㤳㔸㍤慦㑢愴㌳㤳挹扤〶㑥㍡㌳挵改捣敢㤶搴散慣㙦㈸㘳㌷攵㔴晦愶㉡戸㌱愷晡户㔴挱㜲㘷昵㠷戳挲㜷㔱㈴慢㍦㠲摣晢攰㘴昵㐷㍡慢晦搰㤲㥡戱攰〵挵ㄴ昴愷攲戹㈲㌹㌵㌵㜵敡捦ㄵ愵㤵扢㤴ㅥ㌲愸挳㘵敦㍤昵挱攲㤷㡦ㄸ昰改㙦㔷㕥昹昲㐷㡢㥦昹敤攱挴㠰つ换㤶慤ㅢ㜵昵㌳ㅦ㙣㥢扥愶昸摥㥦㐷㕦㜳扣㝦挶昱挷愴㈷昵慥㌹晥搰愳て昶㡦摢愶㑦㐹㐹扢㜶㍤户㝢㘲愷㕥摥㤳㡦戹㕦慣㜹㝤挷㐶㈱㉦㈲㌸㘰㡦㠲ㄳ㝣㘱㜹㡣㙦摢㐵戵昲㌲慣ㄶ㔲㝤㉡㐸挷攲㡡慦戶戶㉦ㅢ慤愶敢㜱愷㉦晦㔱扥㈴攸㑢㔲晡㈲扥㔶搰㤴〵愵敢㕥㕥㐴㐸户つ愲㑡挴户慥㈸㕥づ㐸搴㌴㠹慡昸〹晣㔶㡤昱捦捡㡤改㤶戳㌲挶扦㈸㌷敡㈰搵㡦愶㉦挵ㄵ㕣㤰㙦㔵㕦攴ㅡㅦ戱搲㘷㌸㝤搹愴㝣愹愷㉦つ愶㉦㕣㥤㙦㔵㕦攴㠲㥦扥㌴㍡㝤攱挲㕦愶愷〹〷晡㑣㄰挴㠵㡢昳慤敡㡢㕣敦搳㤷㘳㔰ㄳ㕦㌲㐷㕣昷㑢㕦㥡㜱愰户㠰挰ㄷ慥搴户慡㉦㜲㜹てㄷ昴㔶搴挴ㄹ〲㙦㐵㕥㉥昳愵㉦戳㜰愰捦〶㠱㉦㕣㡡㙦㔵㕦攴敡㥥扥捣㐱㑤㝣挹戸㜰㤵㉦㝤㤹㡢〳㝤ㅥ〸㝣攱扡㝣慢晡㈲㤷晡㜰㐱㍦ㄶ㌵昱㈵㝤攱㤲㕦晡㜲ㅣづ昴攳㐱戰㝢㕦慥敡㠱搰戳收〷慥敥㈵昴㐴愲㑡㉡戸挰摥慡ㅥ㜷㐷〵㜲㡡㍦〹〷㝣㐹㡦戹㜶㤷㙥㥣㡣〳晤ㄴ㄰㐴㡦慢敤慤敡㡢㕣挰挳〵㝤㍥㙡攲㑢晡挲㠵扣昴攵㔴ㅣ攸愷㠱挰ㄷ㉥戶户慡㉦㜲晤づㄷ昴搳㔱ㄳ㕦搲ㄷ慥攳愵㉦ぢ㜰愰㥦〱〲㕦戸搶摥慡扥挸〵㍡㕣搰捦㐴㑤昶㘸攳㐲㕤晡㜲ㄶづ昴戳㐱搰慢攴㕡㥣搰㠵攰搵换换㌵戹㠴㉥㈲慡愴㠲换攲慤敡戱㕣㘹搳㡤㜳㉣㌷㘴昴戸攲㤶㙥㥣㡢〳晤㍣㄰㜸㍣〸㙦戲〳㘶㡤〳㉥戵㈵昴〲愲㑡㠴㕣㉣搳㘰㔶扢㠶㈸搴㠵㈶㙡㈸摥昲㙤つ㔳愸㡢㈴慡㘲㈴摥戶㙡敢㐷㈹㌷㉥挶〱㕦戲昵〷㠲㤱㑤扡〴〷晡愵㈰攸㍢㘳昱戶㔵㝤㤱㙢㕡戸愰㕦㠶㥡昸㤲扥ㅣっ㐶晡㜲㌹づ昴㉢㐰攰换㈴扣㙤㔵㕦㈶愳〲㤹㥥㉢㜱㘰晢㌲〵㡣昴㘵㈹づ昴慢㐰攰ぢㄷ愳㕢搵ㄷ戹扥㠵て晡搵愸挹昶㠵敢㕣改换㌵㌸搰慦〵改㔸散㍤捡ㄲ㜶㉣ㄵ戵㍣攴㡥㤰愳慣㤵昳㘰愸㤶㡢㈲㌱㔵ㄵㅣ㘹ㄵ㜸㔱愰㕦て愹㤷㑢㐵摡㠴㍡搷㠷㔲晤昰ㅣ昵愴㉡㌸捣愹㝥㈳搵搵戰㄰㠶挲ㅣ㤲愳捣㐵愲戴㍡㈵扢挰换挵㥣㔵㜳㥤挲㑣捥挶㠸愳㔵挱㈴㘷捤户㐱敡㥤㤱㔱攷愲㑢㔶㌱㈱㐷㥤ぢ㌱㔹㌰摥愹扥㤲敡㕣㌲㔹戵㌷㈹搴戸ㅣ㜵慥㥤愴晡㔸愷晡㕤㔴㍦㈶愳捥愵㡤㐴㡤挹㔱攷㜲㐷ㄶ㡣㜶慡摦㐳㜵㉥㑣㘴㈶敦挵〱㈶㤰㔹ち㍡㌲挷挶㙣㔵㌰挲㘹攳〱㐸扤㜳㔸㘴㘶㡥慢〸㔹搳昰ㅣ㜵慥㉣㘴挱㌰愷晡挳㔴攷ㅡ挰㔲攷㠹㕦愲㠶攴愸㜳㌱㈰ぢ〶㍢搵ㅦ㠵㔴㜰〵㈰㡢〶㘵敢㜸㑦㘲㠱改ㄶ㑦捦ㄲ㌳㌰ㅢ㈳㜸捡㤶〵〷㌸敤㍥〶愹㤷㈷㔷㑢㥤㘷㔴㠹敡㥦愳㝥㥡㉡搸摦愹扥㥥敡㍣ㅦ㕡敡㍣〹㑡昵㔸㡥㍡㑦㡣戲㈰敡㔴㝦㤲敡㍣㠵㔱㕤㝦ち〷挸ぢ㑦㕥ㄲㅡ捥戱挱ㄳ㥡㉣〸㌹㙤㍣ぢ愹㔷㥤〳〴㑦㘷ㄲㄳ挸㔶昶昲戴㘳㌹挹㜳㡤挴昸戳㌱㠲攷ㅦ㔹攰㜳㔶昰㈲愴㠲㈷ㅤ㔹搴㉦㐷㠷攷ㄹ㔹戰㑦㑥〱㑦㉤戲愰㙦㜶㠱㤷愷〰换ㄳ捥晢ㄲ搳㈷ㅢ㈳㜸㉥㤰〵扤慤〲㌹㜹扣〶愹㤷戳戶愵捥愹㕡愲㝡攵愸㜳晡㤶〵㍤㥤敡㙦㔰㥤ㄳ慤愵捥搹㔵愲㝡攴愸㜳挶㤵〵摤㥤敡㙦㔳㥤㜳愳愵捥〹㔱愲扡攵愸㜳㤲㤴〵㕤㥤敡敦㐱㉡㌸晤挹㥢〹敦㤳攳㙣㈶戹て挸㜱㠶㤱摣㠷攴㌸㘱㐸敥㈳㜲ㅣ晦㤲晢㤸ㅣ㠷戳攴㍥挱㐱ㄹ㠷㜳昷挲㕦㐸㤵搹ㄳ捤昳㥣摥㌰〱扦㘴捤摤搱㥥〶㝥晦㤹晣㈶㈶慤㘱挲㜴晣搲昵㌶搶て㡦昷戱㌱摢摡ㄲㅢ摢挹ㄶ㐹㥤㥤㠷㌴㌵捣㡣㌷挷ㄳ昵〶㈱㝤㌲㐶㜷挸㉤㤱㜸挴㡥攱㉢敡㔶搸㘱攵㈰户㙦㤷㡢㉤〶㤶ぢ㉡攸㥦㈲ㅡ㝣㌴㐰㘴㡥㈴㉢㌸㝦挹愰晤ㅢ〷㠲搳㤱攴㍥㈳挷搹㐵㜲㥦㤳攳㥣㈰戹㉦挸㜱㠸㑢敥㑢㜲ㅣ戱㤲晢㡡ㅣ㐷㉣挳慦㙦〴㌱㙢戵㡦捣㕡㌹㍡㈵晥㍦㌸㄰ㅣ㑡㤲晢㥡ㅣ扢戳攴扥㈱挷摥㈹戹㙦挹戱戳㐹敥㍢㜲散㍢㤲晢㥥㥣散㍢㙣慢晡㍡㍦ㅣ攳㈹ㅣㄶ攵㐹㘵㕦捡㤳捡㍥㤵㈷㤵㝤㉢㑦捡㍥㤶㘷户㡣㘱摥㠲搴㔰昱㑦㝥㔲晥㈳敢㤵戹㜲扡㐴㠳㐲收捣㈹挵㌱ㅥㅦ㜲㜳㔴挸ㅣ收㘱㘵㉥昳愴㌲愷㜹㔲㘶㤴捤搵㝦㘶〵㌲㡦㑥㡣昴㐸收搳㈹挵㜱㤱㤰㜹捤㤳捡晣收㐹㘵㥥昳愴㌲摦㜹㔲ㄹ㥡㍣愹㜴㉦㔷摡晥晦〰㔵挱㉦昸</t>
  </si>
  <si>
    <t>TCI/Annual Gallon</t>
  </si>
  <si>
    <t>Operating Parameters</t>
  </si>
  <si>
    <t>Conditioning Mode</t>
  </si>
  <si>
    <t>strm.a200.254b</t>
  </si>
  <si>
    <t>strm.a200.301liq</t>
  </si>
  <si>
    <t>Total Capital Investment (Rounded Table)</t>
  </si>
  <si>
    <t>General Plant Writedown</t>
  </si>
  <si>
    <t>Steam Plant Writedown</t>
  </si>
  <si>
    <t>Ethanol density</t>
  </si>
  <si>
    <t>cmix.ethanol.a500.515</t>
  </si>
  <si>
    <t>DRY101</t>
  </si>
  <si>
    <t>cmix.lacid.a300.306a</t>
  </si>
  <si>
    <t>cmix.lacid.a300.304</t>
  </si>
  <si>
    <t>cmix.lacid.a300.311</t>
  </si>
  <si>
    <t>cmix.lacid.a400.420</t>
  </si>
  <si>
    <t>Component LHV</t>
  </si>
  <si>
    <t>WATT</t>
  </si>
  <si>
    <t>HREF</t>
  </si>
  <si>
    <t>A200.QM207</t>
  </si>
  <si>
    <t>A200.220</t>
  </si>
  <si>
    <t>A200.S205SOL</t>
  </si>
  <si>
    <t>A200.S205LIQ</t>
  </si>
  <si>
    <t>A200.301LIQ</t>
  </si>
  <si>
    <t>A200.254B</t>
  </si>
  <si>
    <t>A200.254AA</t>
  </si>
  <si>
    <t>A200.274A</t>
  </si>
  <si>
    <t>A200.274B</t>
  </si>
  <si>
    <t>A200.225</t>
  </si>
  <si>
    <t>A200.239A</t>
  </si>
  <si>
    <t>A300.2</t>
  </si>
  <si>
    <t>A300.301SUG</t>
  </si>
  <si>
    <t>A300.301LIQ</t>
  </si>
  <si>
    <t>A300.304B</t>
  </si>
  <si>
    <t>A300.306A</t>
  </si>
  <si>
    <t>A300.306B</t>
  </si>
  <si>
    <t>A300.306AA</t>
  </si>
  <si>
    <t>A300.316</t>
  </si>
  <si>
    <t>A300.307</t>
  </si>
  <si>
    <t>A300.308</t>
  </si>
  <si>
    <t>A300.308A</t>
  </si>
  <si>
    <t>A300.CONTBP</t>
  </si>
  <si>
    <t>A300.CLOSS</t>
  </si>
  <si>
    <t>A400.420</t>
  </si>
  <si>
    <t>A400.420A</t>
  </si>
  <si>
    <t>A400.420B</t>
  </si>
  <si>
    <t>A400.420P</t>
  </si>
  <si>
    <t>A400.420EX</t>
  </si>
  <si>
    <t>A400.F400IN</t>
  </si>
  <si>
    <t>A400.411</t>
  </si>
  <si>
    <t>A400.451</t>
  </si>
  <si>
    <t>A400.402B</t>
  </si>
  <si>
    <t>A400.408</t>
  </si>
  <si>
    <t>A400.408A</t>
  </si>
  <si>
    <t>A400.418</t>
  </si>
  <si>
    <t>A500.M503.511</t>
  </si>
  <si>
    <t>A500.M503.515</t>
  </si>
  <si>
    <t>A500.M503.517A</t>
  </si>
  <si>
    <t>A500.M503.521</t>
  </si>
  <si>
    <t>A500.EVAP.508</t>
  </si>
  <si>
    <t>A500.EVAP.535</t>
  </si>
  <si>
    <t>A500.EVAP.558</t>
  </si>
  <si>
    <t>A500.EVAP.559</t>
  </si>
  <si>
    <t>A500.EVAP.560</t>
  </si>
  <si>
    <t>A500.EVAP.571</t>
  </si>
  <si>
    <t>A500.EVAP.571B</t>
  </si>
  <si>
    <t>A500.EVAP.SQAIROUT</t>
  </si>
  <si>
    <t>A600.612</t>
  </si>
  <si>
    <t>A600.632</t>
  </si>
  <si>
    <t>A700.420P</t>
  </si>
  <si>
    <t>A700.750</t>
  </si>
  <si>
    <t>A700.232</t>
  </si>
  <si>
    <t>A700.233</t>
  </si>
  <si>
    <t>A700.443</t>
  </si>
  <si>
    <t>A700.NH3-A400</t>
  </si>
  <si>
    <t>A700.404</t>
  </si>
  <si>
    <t>A700.515E</t>
  </si>
  <si>
    <t>A700.437</t>
  </si>
  <si>
    <t>A700.439</t>
  </si>
  <si>
    <t>A700.CSL-A300</t>
  </si>
  <si>
    <t>A700.CSL-A400</t>
  </si>
  <si>
    <t>A700.FIRE</t>
  </si>
  <si>
    <t>A800.A810.812A</t>
  </si>
  <si>
    <t>A800.A810.814A</t>
  </si>
  <si>
    <t>A800.A810.814B</t>
  </si>
  <si>
    <t>A800.A810.815B</t>
  </si>
  <si>
    <t>A800.A810.813C</t>
  </si>
  <si>
    <t>A800.A810.821A</t>
  </si>
  <si>
    <t>A800.804E</t>
  </si>
  <si>
    <t>A900.S205WASH</t>
  </si>
  <si>
    <t>A900.921</t>
  </si>
  <si>
    <t>A900.941AA</t>
  </si>
  <si>
    <t>A900.922</t>
  </si>
  <si>
    <t>A900.903</t>
  </si>
  <si>
    <t>A900.923</t>
  </si>
  <si>
    <t>A900.948</t>
  </si>
  <si>
    <t>A900.BALNCE</t>
  </si>
  <si>
    <t>301LIQ</t>
  </si>
  <si>
    <t>A200.QC-A200</t>
  </si>
  <si>
    <t>A200.QM204</t>
  </si>
  <si>
    <t>A200.QH812</t>
  </si>
  <si>
    <t>A300.QC-A300</t>
  </si>
  <si>
    <t>A300.QCH-A300</t>
  </si>
  <si>
    <t>A400.QCH-A400</t>
  </si>
  <si>
    <t>A500.QC-A500</t>
  </si>
  <si>
    <t>A500.QH-A500</t>
  </si>
  <si>
    <t>A500.M503.QH503</t>
  </si>
  <si>
    <t>A500.M503.QH506</t>
  </si>
  <si>
    <t>A500.M503.QH509</t>
  </si>
  <si>
    <t>A600.Q608C</t>
  </si>
  <si>
    <t>A700.QDCOOLE</t>
  </si>
  <si>
    <t>A800.QH-A500</t>
  </si>
  <si>
    <t>A800.A810.QBOILER</t>
  </si>
  <si>
    <t>A800.A810.QDEAER</t>
  </si>
  <si>
    <t>A800.A810.QH811</t>
  </si>
  <si>
    <t>A800.A810.QH812</t>
  </si>
  <si>
    <t>A800.A810.QH-A500</t>
  </si>
  <si>
    <t>A800.A810.QM811</t>
  </si>
  <si>
    <t>A800.A810.QSUPER</t>
  </si>
  <si>
    <t>A800.A810.QSUPXS</t>
  </si>
  <si>
    <t>A800.A810.QTSTM</t>
  </si>
  <si>
    <t>A800.A810.QTSTMXS</t>
  </si>
  <si>
    <t>A800.QM803T</t>
  </si>
  <si>
    <t>A900.QC-A200</t>
  </si>
  <si>
    <t>A900.QC-A300</t>
  </si>
  <si>
    <t>A900.QC-A400</t>
  </si>
  <si>
    <t>A900.QC-A500</t>
  </si>
  <si>
    <t>A900.QH602</t>
  </si>
  <si>
    <t>A900.QM811</t>
  </si>
  <si>
    <t>A900.QCHWXS</t>
  </si>
  <si>
    <t>A900.QCH-A300</t>
  </si>
  <si>
    <t>A900.QCH-A400</t>
  </si>
  <si>
    <t>A900.QCHILCON</t>
  </si>
  <si>
    <t>A900.QCHWLOOP</t>
  </si>
  <si>
    <t>A900.QTTOTAL</t>
  </si>
  <si>
    <t>QC-A200</t>
  </si>
  <si>
    <t>QC-A500</t>
  </si>
  <si>
    <t>A100.WKA100</t>
  </si>
  <si>
    <t>A200.WKA200</t>
  </si>
  <si>
    <t>A200.WPTRX</t>
  </si>
  <si>
    <t>A300.WA300</t>
  </si>
  <si>
    <t>A300.WAG300</t>
  </si>
  <si>
    <t>A400.WT405</t>
  </si>
  <si>
    <t>A400.WKA400</t>
  </si>
  <si>
    <t>A500.WP-A500</t>
  </si>
  <si>
    <t>A500.WKA500</t>
  </si>
  <si>
    <t>A600.WKA600</t>
  </si>
  <si>
    <t>A700.WKA700</t>
  </si>
  <si>
    <t>A800.A810.WM811HT</t>
  </si>
  <si>
    <t>A800.A810.WM811IT</t>
  </si>
  <si>
    <t>A800.A810.WM811VT</t>
  </si>
  <si>
    <t>A800.A810.WPA810</t>
  </si>
  <si>
    <t>A800.A810.WTOTAL</t>
  </si>
  <si>
    <t>A800.WKA800</t>
  </si>
  <si>
    <t>A800.WPU800</t>
  </si>
  <si>
    <t>A900.WA300</t>
  </si>
  <si>
    <t>A900.WA400</t>
  </si>
  <si>
    <t>A900.WM908-3</t>
  </si>
  <si>
    <t>A900.WM908-4</t>
  </si>
  <si>
    <t>A900.WP912</t>
  </si>
  <si>
    <t>A900.WKA100</t>
  </si>
  <si>
    <t>A900.WKA200</t>
  </si>
  <si>
    <t>A900.WKA300</t>
  </si>
  <si>
    <t>A900.WKA400</t>
  </si>
  <si>
    <t>A900.WKA500</t>
  </si>
  <si>
    <t>A900.WKA600</t>
  </si>
  <si>
    <t>A900.WKA700</t>
  </si>
  <si>
    <t>A900.WKA800</t>
  </si>
  <si>
    <t>A900.WKA900</t>
  </si>
  <si>
    <t>A900.WMP10</t>
  </si>
  <si>
    <t>A900.WPU900</t>
  </si>
  <si>
    <t>WA300</t>
  </si>
  <si>
    <t>WKA100</t>
  </si>
  <si>
    <t>WKA200</t>
  </si>
  <si>
    <t>WKA400</t>
  </si>
  <si>
    <t>WKA500</t>
  </si>
  <si>
    <t>WKA600</t>
  </si>
  <si>
    <t>WKA700</t>
  </si>
  <si>
    <t>WKA800</t>
  </si>
  <si>
    <t>ratioed number of tanks for batch sacch</t>
  </si>
  <si>
    <t>Total Latent heat</t>
  </si>
  <si>
    <t>HMF vapor (kmol/s)</t>
  </si>
  <si>
    <t>Furfural vapor (kmol/s)</t>
  </si>
  <si>
    <t>Ethanol vapor (kmol/s)</t>
  </si>
  <si>
    <t xml:space="preserve">     total (kg/hr)</t>
  </si>
  <si>
    <t>NH3 vapor (kmol/s)</t>
  </si>
  <si>
    <t>Water vapor (kmol/s)</t>
  </si>
  <si>
    <t>∆H vap (cal/mol)</t>
  </si>
  <si>
    <t>Total Component LHV</t>
  </si>
  <si>
    <t>LHV MMkcal/mol</t>
  </si>
  <si>
    <t>LOSS</t>
  </si>
  <si>
    <t>a300.qf300sac</t>
  </si>
  <si>
    <t>Qc-A300</t>
  </si>
  <si>
    <t>a200.qh812</t>
  </si>
  <si>
    <t>Ref. enthalpy (25C)</t>
  </si>
  <si>
    <t>a200.301</t>
  </si>
  <si>
    <t>a200.260</t>
  </si>
  <si>
    <t>a200.233</t>
  </si>
  <si>
    <t>a200.274</t>
  </si>
  <si>
    <t>a200.273</t>
  </si>
  <si>
    <t>a200.216</t>
  </si>
  <si>
    <t>a200.211</t>
  </si>
  <si>
    <t>a200.232</t>
  </si>
  <si>
    <t>a200.516</t>
  </si>
  <si>
    <t>a200.105</t>
  </si>
  <si>
    <t>Blowdown</t>
  </si>
  <si>
    <t>BD Vent</t>
  </si>
  <si>
    <t>To A200</t>
  </si>
  <si>
    <t>BFW</t>
  </si>
  <si>
    <t>solids</t>
  </si>
  <si>
    <t>vent</t>
  </si>
  <si>
    <t>liquid</t>
  </si>
  <si>
    <t>stillage</t>
  </si>
  <si>
    <t>drying air</t>
  </si>
  <si>
    <t>glucose</t>
  </si>
  <si>
    <t>water</t>
  </si>
  <si>
    <t>Seed nutrs</t>
  </si>
  <si>
    <t>Description</t>
  </si>
  <si>
    <t>Col # in aspen2</t>
  </si>
  <si>
    <t>Not included in financial calcs</t>
  </si>
  <si>
    <t xml:space="preserve">   Sugar Sales</t>
  </si>
  <si>
    <t>lb sugar/ton FS</t>
  </si>
  <si>
    <t>$/lb sugar</t>
  </si>
  <si>
    <t>A100 Electricity</t>
  </si>
  <si>
    <t>Lab Tech-enzyme</t>
  </si>
  <si>
    <t>Shift Op-enzyme</t>
  </si>
  <si>
    <t>Prop ins + taxes</t>
  </si>
  <si>
    <t>CODTO2</t>
  </si>
  <si>
    <t>REMOVED; now costed as opex</t>
  </si>
  <si>
    <t>NPV of Sugar Income</t>
  </si>
  <si>
    <t>A600.3</t>
  </si>
  <si>
    <t>A600.4</t>
  </si>
  <si>
    <t>A600.5</t>
  </si>
  <si>
    <t>A600.632HSUG</t>
  </si>
  <si>
    <t>On-Site Enzyme Production</t>
  </si>
  <si>
    <t>Plant Water Use (gal/lb)</t>
  </si>
  <si>
    <t>Other Soluble Solids To Sacc</t>
  </si>
  <si>
    <t>Monomeric Sugars From Sacc</t>
  </si>
  <si>
    <t>Other Sugars From Sacc</t>
  </si>
  <si>
    <t>Monomeric Sugars To Sacc</t>
  </si>
  <si>
    <t>Other Sugars To Sacc</t>
  </si>
  <si>
    <t>Monomeric Sugar Recovery (%)</t>
  </si>
  <si>
    <t>Sugar Separation and Concentration</t>
  </si>
  <si>
    <t>T-310 continuous sacc residence time (day)</t>
  </si>
  <si>
    <t>Sugar LHV Heat Flow (MMkcal/hr)</t>
  </si>
  <si>
    <t>TOTAL</t>
  </si>
  <si>
    <t>Energy Balance (%LHV)</t>
  </si>
  <si>
    <t>Energy Efficiency (LHV sugar/LHV feed)</t>
  </si>
  <si>
    <t>NOTE: ALL EQUIPMENT LINKED TO "EQUIP-2009" SHEET (YELLOW CELLS = MODIFIED FOR SUGAR CASE)</t>
  </si>
  <si>
    <t>NH3-N to Ferm mg/L</t>
  </si>
  <si>
    <t>NH3-N out of Ferm mg/L</t>
  </si>
  <si>
    <t>cmix.nh4acet.a300.f300fd</t>
  </si>
  <si>
    <t>cmix.dap.a300.f300fd</t>
  </si>
  <si>
    <t>cmix.nh4so4.a300.f300fd</t>
  </si>
  <si>
    <t>smix.a300.f300fd</t>
  </si>
  <si>
    <t>den.a300.f300fd</t>
  </si>
  <si>
    <t>cmix.nh4acet.a300.315</t>
  </si>
  <si>
    <t>cmix.dap.a300.315</t>
  </si>
  <si>
    <t>cmix.nh4so4.a300.315</t>
  </si>
  <si>
    <t>smix.a300.315</t>
  </si>
  <si>
    <t>den.a300.315</t>
  </si>
  <si>
    <t>NH3-N in Combined WW mg/L</t>
  </si>
  <si>
    <t>cmix.nh4acet.a600.612</t>
  </si>
  <si>
    <t>cmix.dap.a600.612</t>
  </si>
  <si>
    <t>cmix.nh4so4.a600.612</t>
  </si>
  <si>
    <t>smix.a600.612</t>
  </si>
  <si>
    <t>den.a600.612</t>
  </si>
  <si>
    <t xml:space="preserve">   Protein-N</t>
  </si>
  <si>
    <t xml:space="preserve">   Cellulase-N</t>
  </si>
  <si>
    <t>ccis.enzyme.a300.315</t>
  </si>
  <si>
    <t>ccis.denz.a300.315</t>
  </si>
  <si>
    <t>ccis.enzyme.a600.612</t>
  </si>
  <si>
    <t>ccis.denz.a600.612</t>
  </si>
  <si>
    <t>Caustic</t>
  </si>
  <si>
    <t>strm.a600.632</t>
  </si>
  <si>
    <t>strm.a600.601</t>
  </si>
  <si>
    <t>NAOH</t>
  </si>
  <si>
    <t>NANO3</t>
  </si>
  <si>
    <t>A200.1</t>
  </si>
  <si>
    <t>A600.620A</t>
  </si>
  <si>
    <t>A600.620B</t>
  </si>
  <si>
    <t>A600.601</t>
  </si>
  <si>
    <t>A600.611</t>
  </si>
  <si>
    <t>A600.602</t>
  </si>
  <si>
    <t>A600.602A</t>
  </si>
  <si>
    <t>A600.622</t>
  </si>
  <si>
    <t>A600.628</t>
  </si>
  <si>
    <t>PROTEIN (CISOLID)</t>
  </si>
  <si>
    <t>NAOH (MIXED)</t>
  </si>
  <si>
    <t>NANO3 (MIXED)</t>
  </si>
  <si>
    <t>CARBON BALANCE:</t>
  </si>
  <si>
    <t>ENERGY BALANCE:</t>
  </si>
  <si>
    <t>a600.632</t>
  </si>
  <si>
    <t>Land</t>
  </si>
  <si>
    <t xml:space="preserve">   Land</t>
  </si>
  <si>
    <t>Periodic expenses</t>
  </si>
  <si>
    <t>Land Requirement</t>
  </si>
  <si>
    <t>Acres</t>
  </si>
  <si>
    <t>/acre</t>
  </si>
  <si>
    <t>FGD Lime</t>
  </si>
  <si>
    <t>additional MYPP numbers</t>
  </si>
  <si>
    <t>lb stm/gal ethanol</t>
  </si>
  <si>
    <t>elec coprod $/gal</t>
  </si>
  <si>
    <t>elec coprod kwh/gal</t>
  </si>
  <si>
    <t>total elec prodn kwh/gal</t>
  </si>
  <si>
    <t>water gal/gal</t>
  </si>
  <si>
    <t>29.9 MMBtu</t>
  </si>
  <si>
    <t>1900 GPM, 150 FT TDH</t>
  </si>
  <si>
    <t>59 gpm, 100 FT, TDH SIZE 2X1-10C</t>
  </si>
  <si>
    <t>3 GPM, 100 FT TDH SIZE 2X1-10</t>
  </si>
  <si>
    <t>63 GPM, 100 FT TDH SIZE 2X1-10C</t>
  </si>
  <si>
    <t>HDPE, 8,000 gal</t>
  </si>
  <si>
    <t xml:space="preserve">92.2 MM Btu/hr 3 cells </t>
  </si>
  <si>
    <t>590 GPM, 100 FT TDH SIZE 4X3-13</t>
  </si>
  <si>
    <t>1014 GPM 230 FT TDH SIZE 8X6-15</t>
  </si>
  <si>
    <t>384 sq. m fitration area ea incl packing</t>
  </si>
  <si>
    <t>13,750 gal 14' dia x 12' H</t>
  </si>
  <si>
    <t>20,300 gal 14' dia x 18' H</t>
  </si>
  <si>
    <t>Anaerobic Reactor Feed Pump</t>
  </si>
  <si>
    <t>ADI</t>
  </si>
  <si>
    <t>Anaerobic Digestor Feed Cooler</t>
  </si>
  <si>
    <t>ALFA LAVAL</t>
  </si>
  <si>
    <t>Anaerobic Basin</t>
  </si>
  <si>
    <t>Biogas Emergency Flare</t>
  </si>
  <si>
    <t>Biogas Blower</t>
  </si>
  <si>
    <t>Waste Anaerobic Sludge Pump</t>
  </si>
  <si>
    <t>Aeration Basin Feed Pump</t>
  </si>
  <si>
    <t>Aeration Digester</t>
  </si>
  <si>
    <t>2500 gpm submersible rail mounted</t>
  </si>
  <si>
    <t xml:space="preserve"> Wide gap plate &amp; frame 2.5 mgd </t>
  </si>
  <si>
    <t>31 Million gallonwith cover</t>
  </si>
  <si>
    <t>400 gpm, 50 ft TDH</t>
  </si>
  <si>
    <t>3000 ACFM, 10 PSI</t>
  </si>
  <si>
    <t xml:space="preserve">10 gpm </t>
  </si>
  <si>
    <t>25 ft H x 115 ft  x 344 ft 2 ft floor/wall thkness</t>
  </si>
  <si>
    <t>SS316; CS</t>
  </si>
  <si>
    <t>Veolia Water</t>
  </si>
  <si>
    <t>Aerobic Digester Blower</t>
  </si>
  <si>
    <t>Sludge Holding Tank</t>
  </si>
  <si>
    <t>R</t>
  </si>
  <si>
    <t>Membrane Bioreactor</t>
  </si>
  <si>
    <t>Return Activated Sludge Pump</t>
  </si>
  <si>
    <t>Reverse Osmosis Feed Pump</t>
  </si>
  <si>
    <t>Reverse Osmosis System</t>
  </si>
  <si>
    <t>Centrifuge Feed Pump</t>
  </si>
  <si>
    <t xml:space="preserve">14,000 SCFM @ 10.3 psig </t>
  </si>
  <si>
    <t>Includes membrane CIP and Scour system</t>
  </si>
  <si>
    <t>?</t>
  </si>
  <si>
    <t>Centrate Pump</t>
  </si>
  <si>
    <t>Caustic Feed System</t>
  </si>
  <si>
    <t>Aerobic Sludge Screw</t>
  </si>
  <si>
    <t>Treated Water Pump</t>
  </si>
  <si>
    <t>11.4 gph neat polymer</t>
  </si>
  <si>
    <t>0-300 gph Aerobic Digesters #1- #3</t>
  </si>
  <si>
    <t>5 GPM, 150 FT TDH SIZE 2X1-10</t>
  </si>
  <si>
    <t>12,600 gal, 12' dia x15' H</t>
  </si>
  <si>
    <t>28,000 gal</t>
  </si>
  <si>
    <t>525,000 lb/hr @ 900 psig</t>
  </si>
  <si>
    <t>INCLUDED WITH FGD SYSTEM</t>
  </si>
  <si>
    <t>44,200 gpm</t>
  </si>
  <si>
    <t>750 hp</t>
  </si>
  <si>
    <t>400 SCFM@125 psig</t>
  </si>
  <si>
    <t>2 x 2350 tons (14.2 MM kcal/hr)</t>
  </si>
  <si>
    <t>3400 hp</t>
  </si>
  <si>
    <t>16,120 GPM, 100 FT TDH SIZE 20X20-28</t>
  </si>
  <si>
    <t>685 GPM, 75 FT TDH SIZE 6X4-13</t>
  </si>
  <si>
    <t>2285 GPM, 75 FT TDH SIZE 8X6-13</t>
  </si>
  <si>
    <t>Plate &amp; Frame 32.5 MMBtu/hr</t>
  </si>
  <si>
    <t>A200.A203.Q-OUT</t>
  </si>
  <si>
    <t>A200.A204.Q-OUT</t>
  </si>
  <si>
    <t>A200.A208.Q-OUT</t>
  </si>
  <si>
    <t>A200.A209.Q-OUT</t>
  </si>
  <si>
    <t>A200.A224.Q-OUT</t>
  </si>
  <si>
    <t>A200.QWT203</t>
  </si>
  <si>
    <t>A200.QWT204</t>
  </si>
  <si>
    <t>A200.QWT224</t>
  </si>
  <si>
    <t>A200.QWT208</t>
  </si>
  <si>
    <t>A200.QWT209</t>
  </si>
  <si>
    <t>A300.A301.Q-OUT</t>
  </si>
  <si>
    <t>A300.A305.Q-OUT</t>
  </si>
  <si>
    <t>A300.A306.Q-OUT</t>
  </si>
  <si>
    <t>A300.A300F.Q-OUT</t>
  </si>
  <si>
    <t>A300.A300S.Q-OUT</t>
  </si>
  <si>
    <t>A300.A308W.Q-OUT</t>
  </si>
  <si>
    <t>A300.QWA301</t>
  </si>
  <si>
    <t>A300.QWA305</t>
  </si>
  <si>
    <t>A300.QWA306</t>
  </si>
  <si>
    <t>A300.QWA308</t>
  </si>
  <si>
    <t>A300.QWA300F</t>
  </si>
  <si>
    <t>A300.QWA300S</t>
  </si>
  <si>
    <t>A400.A400.Q-OUT</t>
  </si>
  <si>
    <t>A400.A404.Q-OUT</t>
  </si>
  <si>
    <t>A400.A405.Q-OUT</t>
  </si>
  <si>
    <t>A400.A406.Q-OUT</t>
  </si>
  <si>
    <t>A400.A410.Q-OUT</t>
  </si>
  <si>
    <t>A400.QWA400</t>
  </si>
  <si>
    <t>A400.QWA410</t>
  </si>
  <si>
    <t>A400.QWA405</t>
  </si>
  <si>
    <t>A400.QWA406</t>
  </si>
  <si>
    <t>A500.6</t>
  </si>
  <si>
    <t>A500.P501.Q-OUT</t>
  </si>
  <si>
    <t>A500.P503.Q-OUT</t>
  </si>
  <si>
    <t>A500.P505.Q-OUT</t>
  </si>
  <si>
    <t>A500.QWP501</t>
  </si>
  <si>
    <t>A500.QWP503</t>
  </si>
  <si>
    <t>A500.QWP505</t>
  </si>
  <si>
    <t>A900.10</t>
  </si>
  <si>
    <t>A900.QWATER</t>
  </si>
  <si>
    <t>A900.QCWBAL</t>
  </si>
  <si>
    <t>A200.W1</t>
  </si>
  <si>
    <t>A200.W2</t>
  </si>
  <si>
    <t>A200.A203.W-DUP</t>
  </si>
  <si>
    <t>A200.A203.W-OUT</t>
  </si>
  <si>
    <t>A200.A203.W-SPEC</t>
  </si>
  <si>
    <t>A200.A203.W-CONV</t>
  </si>
  <si>
    <t>A200.A204.W-DUP</t>
  </si>
  <si>
    <t>A200.A204.W-OUT</t>
  </si>
  <si>
    <t>A200.A204.W-SPEC</t>
  </si>
  <si>
    <t>A200.A204.W-CONV</t>
  </si>
  <si>
    <t>A200.A208.W-DUP</t>
  </si>
  <si>
    <t>A200.A208.W-OUT</t>
  </si>
  <si>
    <t>A200.A208.W-SPEC</t>
  </si>
  <si>
    <t>A200.A208.W-CONV</t>
  </si>
  <si>
    <t>A200.A209.W-DUP</t>
  </si>
  <si>
    <t>A200.A209.W-OUT</t>
  </si>
  <si>
    <t>A200.A209.W-SPEC</t>
  </si>
  <si>
    <t>A200.A209.W-CONV</t>
  </si>
  <si>
    <t>A200.A224.W-DUP</t>
  </si>
  <si>
    <t>A200.A224.W-OUT</t>
  </si>
  <si>
    <t>A200.A224.W-SPEC</t>
  </si>
  <si>
    <t>A200.A224.W-CONV</t>
  </si>
  <si>
    <t>A300.8</t>
  </si>
  <si>
    <t>A300.A301.W-DUP</t>
  </si>
  <si>
    <t>A300.A301.W-OUT</t>
  </si>
  <si>
    <t>A300.A301.W-SPEC</t>
  </si>
  <si>
    <t>A300.A301.W-CONV</t>
  </si>
  <si>
    <t>A300.A305.W-DUP</t>
  </si>
  <si>
    <t>A300.A305.W-OUT</t>
  </si>
  <si>
    <t>A300.A305.W-SPEC</t>
  </si>
  <si>
    <t>A300.A305.W-CONV</t>
  </si>
  <si>
    <t>A300.A306.W-DUP</t>
  </si>
  <si>
    <t>A300.A306.W-OUT</t>
  </si>
  <si>
    <t>A300.A306.W-SPEC</t>
  </si>
  <si>
    <t>A300.A306.W-CONV</t>
  </si>
  <si>
    <t>A300.A300F.W-SPEC</t>
  </si>
  <si>
    <t>A300.A300F.W-CONV</t>
  </si>
  <si>
    <t>A300.A300F.W-DUP</t>
  </si>
  <si>
    <t>A300.A300F.W-OUT</t>
  </si>
  <si>
    <t>A300.A300S.W-SPEC</t>
  </si>
  <si>
    <t>A300.A300S.W-CONV</t>
  </si>
  <si>
    <t>A300.A300S.W-DUP</t>
  </si>
  <si>
    <t>A300.A300S.W-OUT</t>
  </si>
  <si>
    <t>A300.A308W.W-SPEC</t>
  </si>
  <si>
    <t>A300.A308W.W-CONV</t>
  </si>
  <si>
    <t>A300.A308W.W-DUP</t>
  </si>
  <si>
    <t>A300.A308W.W-OUT</t>
  </si>
  <si>
    <t>A300.WT300F</t>
  </si>
  <si>
    <t>A300.WT300S</t>
  </si>
  <si>
    <t>A400.A400.W-DUP</t>
  </si>
  <si>
    <t>A400.A400.W-OUT</t>
  </si>
  <si>
    <t>A400.A400.W-SPEC</t>
  </si>
  <si>
    <t>A400.A400.W-CONV</t>
  </si>
  <si>
    <t>A400.A404.W-DUP</t>
  </si>
  <si>
    <t>A400.A404.W-OUT</t>
  </si>
  <si>
    <t>A400.A404.W-SPEC</t>
  </si>
  <si>
    <t>A400.A404.W-CONV</t>
  </si>
  <si>
    <t>A400.A405.W-DUP</t>
  </si>
  <si>
    <t>A400.A405.W-OUT</t>
  </si>
  <si>
    <t>A400.A405.W-SPEC</t>
  </si>
  <si>
    <t>A400.A405.W-CONV</t>
  </si>
  <si>
    <t>A400.A406.W-DUP</t>
  </si>
  <si>
    <t>A400.A406.W-OUT</t>
  </si>
  <si>
    <t>A400.A406.W-SPEC</t>
  </si>
  <si>
    <t>A400.A406.W-CONV</t>
  </si>
  <si>
    <t>A400.A410.W-DUP</t>
  </si>
  <si>
    <t>A400.A410.W-OUT</t>
  </si>
  <si>
    <t>A400.A410.W-SPEC</t>
  </si>
  <si>
    <t>A400.A410.W-CONV</t>
  </si>
  <si>
    <t>A400.WT406</t>
  </si>
  <si>
    <t>A500.1</t>
  </si>
  <si>
    <t>A500.M503.1</t>
  </si>
  <si>
    <t>A500.M503.WM503</t>
  </si>
  <si>
    <t>A500.P501.W-DUP</t>
  </si>
  <si>
    <t>A500.P501.W-OUT</t>
  </si>
  <si>
    <t>A500.P501.W-SPEC</t>
  </si>
  <si>
    <t>A500.P501.W-CONV</t>
  </si>
  <si>
    <t>A500.P503.W-DUP</t>
  </si>
  <si>
    <t>A500.P503.W-OUT</t>
  </si>
  <si>
    <t>A500.P503.W-SPEC</t>
  </si>
  <si>
    <t>A500.P503.W-CONV</t>
  </si>
  <si>
    <t>A500.P505.W-DUP</t>
  </si>
  <si>
    <t>A500.P505.W-OUT</t>
  </si>
  <si>
    <t>A500.P505.W-SPEC</t>
  </si>
  <si>
    <t>A500.P505.W-CONV</t>
  </si>
  <si>
    <t>A500.EVAP.W5EVAP</t>
  </si>
  <si>
    <t>A500.EVAP.WC501</t>
  </si>
  <si>
    <t>A500.EVAP.WC502</t>
  </si>
  <si>
    <t>A500.EVAP.WP530</t>
  </si>
  <si>
    <t>A500.EVAP.WP531</t>
  </si>
  <si>
    <t>A500.EVAP.WP532</t>
  </si>
  <si>
    <t>A500.EVAP.WP533</t>
  </si>
  <si>
    <t>A500.W5EVAP</t>
  </si>
  <si>
    <t>A800.A810.WM830</t>
  </si>
  <si>
    <t>A800.A810.WM832</t>
  </si>
  <si>
    <t>A800.A810.WM834</t>
  </si>
  <si>
    <t>A800.A810.WP830</t>
  </si>
  <si>
    <t>A800.A810.WP804</t>
  </si>
  <si>
    <t>A800.A810.WP828</t>
  </si>
  <si>
    <t>A900.WP946</t>
  </si>
  <si>
    <t>LIME</t>
  </si>
  <si>
    <t>A200.20</t>
  </si>
  <si>
    <t>A200.16</t>
  </si>
  <si>
    <t>A200.222S</t>
  </si>
  <si>
    <t>A200.223D</t>
  </si>
  <si>
    <t>A200.254D</t>
  </si>
  <si>
    <t>A200.254S</t>
  </si>
  <si>
    <t>A200.228S</t>
  </si>
  <si>
    <t>A300.3</t>
  </si>
  <si>
    <t>A300.4</t>
  </si>
  <si>
    <t>A300.5</t>
  </si>
  <si>
    <t>A300.306S</t>
  </si>
  <si>
    <t>A400.422S</t>
  </si>
  <si>
    <t>A400.416S</t>
  </si>
  <si>
    <t>A500.3</t>
  </si>
  <si>
    <t>A500.4</t>
  </si>
  <si>
    <t>A500.H505AIR</t>
  </si>
  <si>
    <t>A500.551S</t>
  </si>
  <si>
    <t>A500.516S</t>
  </si>
  <si>
    <t>A500.507S</t>
  </si>
  <si>
    <t>A500.EVAP.2</t>
  </si>
  <si>
    <t>A500.EVAP.3</t>
  </si>
  <si>
    <t>A500.EVAP.4</t>
  </si>
  <si>
    <t>A500.EVAP.5</t>
  </si>
  <si>
    <t>A600.620C</t>
  </si>
  <si>
    <t>A600.602B</t>
  </si>
  <si>
    <t>A600.602C</t>
  </si>
  <si>
    <t>A600.602D</t>
  </si>
  <si>
    <t>A600.602E</t>
  </si>
  <si>
    <t>A600.602F</t>
  </si>
  <si>
    <t>A600.602G</t>
  </si>
  <si>
    <t>A600.614</t>
  </si>
  <si>
    <t>A600.616</t>
  </si>
  <si>
    <t>A600.617</t>
  </si>
  <si>
    <t>A600.628A</t>
  </si>
  <si>
    <t>A600.628B</t>
  </si>
  <si>
    <t>A600.609</t>
  </si>
  <si>
    <t>A700.2</t>
  </si>
  <si>
    <t>A700.4</t>
  </si>
  <si>
    <t>A700.710S</t>
  </si>
  <si>
    <t>A700.701S</t>
  </si>
  <si>
    <t>A800.2</t>
  </si>
  <si>
    <t>A800.45</t>
  </si>
  <si>
    <t>A800.A810.3</t>
  </si>
  <si>
    <t>A800.A810.5</t>
  </si>
  <si>
    <t>A800.A810.6</t>
  </si>
  <si>
    <t>A800.A810.821S</t>
  </si>
  <si>
    <t>A800.A810.66</t>
  </si>
  <si>
    <t>A800.GYPSUM</t>
  </si>
  <si>
    <t>A900.2</t>
  </si>
  <si>
    <t>A900.626</t>
  </si>
  <si>
    <t>A900.939</t>
  </si>
  <si>
    <t>A900.HEADER</t>
  </si>
  <si>
    <t>A900.DRAIN</t>
  </si>
  <si>
    <t>A900.EVAP</t>
  </si>
  <si>
    <t>A900.FALLER</t>
  </si>
  <si>
    <t>A900.RISER</t>
  </si>
  <si>
    <t>Peters &amp; Timmerhaus</t>
  </si>
  <si>
    <t>A800.3</t>
  </si>
  <si>
    <t>A800.43</t>
  </si>
  <si>
    <t>a600.626</t>
  </si>
  <si>
    <t>a600.627</t>
  </si>
  <si>
    <t>a600.qt608</t>
  </si>
  <si>
    <t>A600.1</t>
  </si>
  <si>
    <t>A600.2</t>
  </si>
  <si>
    <t>A600.QT608</t>
  </si>
  <si>
    <t>a600.602f</t>
  </si>
  <si>
    <t>a600.7</t>
  </si>
  <si>
    <t>a600.8</t>
  </si>
  <si>
    <t>A600.7</t>
  </si>
  <si>
    <t>A600.8</t>
  </si>
  <si>
    <t>A600.602c</t>
  </si>
  <si>
    <t>a600.602e</t>
  </si>
  <si>
    <t>a600.621</t>
  </si>
  <si>
    <t>a600.617</t>
  </si>
  <si>
    <t>a600.630</t>
  </si>
  <si>
    <t>a600.620b</t>
  </si>
  <si>
    <t>T608 Aerobic Dig</t>
  </si>
  <si>
    <t>Carbon Flow</t>
  </si>
  <si>
    <t>kmol/hr</t>
  </si>
  <si>
    <t>Carbon</t>
  </si>
  <si>
    <t>T606 Biogas</t>
  </si>
  <si>
    <t>T606 Biomass</t>
  </si>
  <si>
    <t>A600.602W</t>
  </si>
  <si>
    <t>A600.602X</t>
  </si>
  <si>
    <t>a600.602w</t>
  </si>
  <si>
    <t>brine</t>
  </si>
  <si>
    <t>A899</t>
  </si>
  <si>
    <t>a900.948</t>
  </si>
  <si>
    <t>a900.941</t>
  </si>
  <si>
    <t>air draw</t>
  </si>
  <si>
    <t>smix.a300.307</t>
  </si>
  <si>
    <t>Model name</t>
  </si>
  <si>
    <t>scis.a200.254s</t>
  </si>
  <si>
    <t>strm.a200.254s</t>
  </si>
  <si>
    <t>Insoluble Solids in (wt%)</t>
  </si>
  <si>
    <t>Insoluble Solids out (wt%)</t>
  </si>
  <si>
    <t>Capital Charge Factor (Computed)</t>
  </si>
  <si>
    <t>DW1102A</t>
  </si>
  <si>
    <t>work.a400.wt400</t>
  </si>
  <si>
    <t>Hydraulic Load (L/hr)</t>
  </si>
  <si>
    <t>den.a600.601</t>
  </si>
  <si>
    <t>methane produced (kg/kg COD)</t>
  </si>
  <si>
    <t>cell mass</t>
  </si>
  <si>
    <t>ccis.biomass.a600.602e</t>
  </si>
  <si>
    <t>Centrifuge</t>
  </si>
  <si>
    <t>Boiler efficiency (feed/steam)</t>
  </si>
  <si>
    <t>Area 200: Neutralization</t>
  </si>
  <si>
    <t>Evaporator System</t>
  </si>
  <si>
    <t>three effects (2 parallel trains), forced circ</t>
  </si>
  <si>
    <t>Natural Gas (sugar section)</t>
  </si>
  <si>
    <t>MM BTU/hr</t>
  </si>
  <si>
    <t>QSUGNG</t>
  </si>
  <si>
    <t>3rd Evaporator Condenser</t>
  </si>
  <si>
    <t>Natural Gas (sugar concentration)</t>
  </si>
  <si>
    <t>a200.qh244</t>
  </si>
  <si>
    <t>A300.Wa300</t>
  </si>
  <si>
    <t>a400.441</t>
  </si>
  <si>
    <t>a500.wp-a500</t>
  </si>
  <si>
    <t>a500.evap.sqairin</t>
  </si>
  <si>
    <t>a500.evap.qm507</t>
  </si>
  <si>
    <t>a500.evap.sqaircl</t>
  </si>
  <si>
    <t>WWT sludge</t>
  </si>
  <si>
    <t>biogas</t>
  </si>
  <si>
    <t>lignin</t>
  </si>
  <si>
    <t>filter vent</t>
  </si>
  <si>
    <t>FGD lime</t>
  </si>
  <si>
    <t>CARBON</t>
  </si>
  <si>
    <t>Liquid-Reference Components in Vapor</t>
  </si>
  <si>
    <t>Vapor-Reference Components in Liquid</t>
  </si>
  <si>
    <t>exhaust</t>
  </si>
  <si>
    <t>GYPSUM</t>
  </si>
  <si>
    <t>CASO4</t>
  </si>
  <si>
    <t>A500.H505Air</t>
  </si>
  <si>
    <t>a900.wknet</t>
  </si>
  <si>
    <t>A600.9</t>
  </si>
  <si>
    <t>A600.11</t>
  </si>
  <si>
    <t>A600.QT606</t>
  </si>
  <si>
    <t>A600.qt606</t>
  </si>
  <si>
    <t>A600.12</t>
  </si>
  <si>
    <t>A600.620D</t>
  </si>
  <si>
    <t>A600.624S</t>
  </si>
  <si>
    <t>A600.WP609</t>
  </si>
  <si>
    <t>a900.wm908</t>
  </si>
  <si>
    <t>a200.wptrx</t>
  </si>
  <si>
    <t>a900.wmp10</t>
  </si>
  <si>
    <t>A500.EVAP.1</t>
  </si>
  <si>
    <t>A500.EVAP.6</t>
  </si>
  <si>
    <t>A500.EVAP.A530.Q-OUT</t>
  </si>
  <si>
    <t>A500.EVAP.QWT530</t>
  </si>
  <si>
    <t>A500.EVAP.W1</t>
  </si>
  <si>
    <t>A500.EVAP.A530.W-SPEC</t>
  </si>
  <si>
    <t>A500.EVAP.A530.W-CONV</t>
  </si>
  <si>
    <t>A500.EVAP.A530.W-DUP</t>
  </si>
  <si>
    <t>A500.EVAP.A530.W-OUT</t>
  </si>
  <si>
    <t>a500.evap.w1</t>
  </si>
  <si>
    <t>a500.evap.qm505</t>
  </si>
  <si>
    <t>A600.15</t>
  </si>
  <si>
    <t>A600.5A</t>
  </si>
  <si>
    <t>A600.6A</t>
  </si>
  <si>
    <t>A600.7A</t>
  </si>
  <si>
    <t>A600.629</t>
  </si>
  <si>
    <t>A600.CNDSAT</t>
  </si>
  <si>
    <t>A600.VAP</t>
  </si>
  <si>
    <t>A600.16</t>
  </si>
  <si>
    <t>a600.629</t>
  </si>
  <si>
    <t>a600.cndsat</t>
  </si>
  <si>
    <t>Brine evap</t>
  </si>
  <si>
    <t>a600.evapbal</t>
  </si>
  <si>
    <t>A600.17</t>
  </si>
  <si>
    <t>A600.18</t>
  </si>
  <si>
    <t>A600.EVAPBAL</t>
  </si>
  <si>
    <t>wka700</t>
  </si>
  <si>
    <t>A800.1</t>
  </si>
  <si>
    <t>a800.a810.qsupxs</t>
  </si>
  <si>
    <t>A900.1</t>
  </si>
  <si>
    <t>A900.QT914</t>
  </si>
  <si>
    <t>a900.qt914</t>
  </si>
  <si>
    <t>WWT Brine</t>
  </si>
  <si>
    <t>cmix.h2o.a600.602</t>
  </si>
  <si>
    <t>cmix.h2o.a600.602g</t>
  </si>
  <si>
    <t>cmix.h2o.a600.617</t>
  </si>
  <si>
    <t>cmix.h2o.a600.630</t>
  </si>
  <si>
    <t>cmix.h2o.a600.621</t>
  </si>
  <si>
    <t>cmix.h2o.a600.620b</t>
  </si>
  <si>
    <t>cmix.h2o.a600.622</t>
  </si>
  <si>
    <t>M902 Cooling tower</t>
  </si>
  <si>
    <t>cmix.h2o.a200.m207fd</t>
  </si>
  <si>
    <t>cmix.h2o.a300.303</t>
  </si>
  <si>
    <t>Water in CSL</t>
  </si>
  <si>
    <t>cmix.h2o.a700.735</t>
  </si>
  <si>
    <t>FGD</t>
  </si>
  <si>
    <t>cmix.h2o.a800.3</t>
  </si>
  <si>
    <t>cmix.h2o.a800.2</t>
  </si>
  <si>
    <t>Enzyme air intake</t>
  </si>
  <si>
    <t>cmix.h2o.a900.948</t>
  </si>
  <si>
    <t>cmix.h2o.a900.riser</t>
  </si>
  <si>
    <t>cmix.h2o.a900.faller</t>
  </si>
  <si>
    <t>INPUTS</t>
  </si>
  <si>
    <t>OUTPUTS</t>
  </si>
  <si>
    <t>A500 vent</t>
  </si>
  <si>
    <t>A600 evap</t>
  </si>
  <si>
    <t>A600.CIP</t>
  </si>
  <si>
    <t>ctwr</t>
  </si>
  <si>
    <t>A400 chemicals</t>
  </si>
  <si>
    <t>A500 ACC</t>
  </si>
  <si>
    <t>a500.wh505</t>
  </si>
  <si>
    <t>A800 stack+ash</t>
  </si>
  <si>
    <t>A300 Chemicals</t>
  </si>
  <si>
    <t>kmol C/hr</t>
  </si>
  <si>
    <t>A200 Chemicals</t>
  </si>
  <si>
    <t>Gcal/hr</t>
  </si>
  <si>
    <t>Biomass</t>
  </si>
  <si>
    <t>A500 Air</t>
  </si>
  <si>
    <t>a400 glucose</t>
  </si>
  <si>
    <t>A400 air</t>
  </si>
  <si>
    <t>A600 air</t>
  </si>
  <si>
    <t>A600 chems</t>
  </si>
  <si>
    <t>A800 Ai</t>
  </si>
  <si>
    <t>A800 chems</t>
  </si>
  <si>
    <t>well water</t>
  </si>
  <si>
    <t>A900 air</t>
  </si>
  <si>
    <t>ethanol</t>
  </si>
  <si>
    <t>a500 losses</t>
  </si>
  <si>
    <t>a400 vent</t>
  </si>
  <si>
    <t>A600 brine</t>
  </si>
  <si>
    <t>A600 losses</t>
  </si>
  <si>
    <t>A800 losses</t>
  </si>
  <si>
    <t>a800.elec out</t>
  </si>
  <si>
    <t>reserve elec</t>
  </si>
  <si>
    <t>Intermediate</t>
  </si>
  <si>
    <t>qm811</t>
  </si>
  <si>
    <t>200 steam</t>
  </si>
  <si>
    <t>qh-a500</t>
  </si>
  <si>
    <t>wa200</t>
  </si>
  <si>
    <t>wa300</t>
  </si>
  <si>
    <t>wa400</t>
  </si>
  <si>
    <t>wa500</t>
  </si>
  <si>
    <t>wa600</t>
  </si>
  <si>
    <t>wka600</t>
  </si>
  <si>
    <t>Enzyme production vent</t>
  </si>
  <si>
    <t>Brine</t>
  </si>
  <si>
    <t>Other chemicals</t>
  </si>
  <si>
    <t>Other chems</t>
  </si>
  <si>
    <t>total ambient</t>
  </si>
  <si>
    <t>Ambient Heat Losses</t>
  </si>
  <si>
    <t>Electricity export</t>
  </si>
  <si>
    <t>Electricity reserve</t>
  </si>
  <si>
    <t>Combustion exhaust + ash</t>
  </si>
  <si>
    <t>WWT brine</t>
  </si>
  <si>
    <t>cmix.h2o.710</t>
  </si>
  <si>
    <t>Water in Sulfuric acid</t>
  </si>
  <si>
    <t>WWT air intake</t>
  </si>
  <si>
    <t>cmix.h2o.a500.evap.557</t>
  </si>
  <si>
    <t>Lignin cake dryer intake</t>
  </si>
  <si>
    <t>Rect Btms</t>
  </si>
  <si>
    <t>Dil water</t>
  </si>
  <si>
    <t>Steam</t>
  </si>
  <si>
    <t>Hydrolyzate</t>
  </si>
  <si>
    <t>Flash condn</t>
  </si>
  <si>
    <t>hydrolyzate</t>
  </si>
  <si>
    <t>enzyme</t>
  </si>
  <si>
    <t>Scrb return</t>
  </si>
  <si>
    <t>Beer</t>
  </si>
  <si>
    <t>Prod nutr</t>
  </si>
  <si>
    <t>purch enz</t>
  </si>
  <si>
    <t>Seed nutr</t>
  </si>
  <si>
    <t>Cnutr</t>
  </si>
  <si>
    <t>antifoam</t>
  </si>
  <si>
    <t>a600.cip</t>
  </si>
  <si>
    <t>sludge</t>
  </si>
  <si>
    <t>recycle</t>
  </si>
  <si>
    <t>lagoon</t>
  </si>
  <si>
    <t>WW in</t>
  </si>
  <si>
    <t>caustic</t>
  </si>
  <si>
    <t>a600.qt606</t>
  </si>
  <si>
    <t>qh602</t>
  </si>
  <si>
    <t>boiler BD</t>
  </si>
  <si>
    <t>a500.evap.557</t>
  </si>
  <si>
    <t>cmix.h2o.a400.f400in</t>
  </si>
  <si>
    <t>cmix.h2o.a400.407</t>
  </si>
  <si>
    <t>cmix.h2o.a900.941</t>
  </si>
  <si>
    <t>cmix.h2o.a900.944</t>
  </si>
  <si>
    <t>a900.qwater</t>
  </si>
  <si>
    <t>Water in raw chemicals</t>
  </si>
  <si>
    <t>Stripped in enzyme aeration</t>
  </si>
  <si>
    <t>Feed sucrose</t>
  </si>
  <si>
    <t>CMIX.sucrOSE.101</t>
  </si>
  <si>
    <t>CMIX.SUCROSE.101</t>
  </si>
  <si>
    <t>Added Direct + Indirect Costs</t>
  </si>
  <si>
    <t>ccis.cellulos.a300.301</t>
  </si>
  <si>
    <t>HEAT.A300.QC310</t>
  </si>
  <si>
    <t>cmix.h2o.a300.309</t>
  </si>
  <si>
    <t>a500.m503.powm503</t>
  </si>
  <si>
    <t>STRM.A800.851</t>
  </si>
  <si>
    <t>A200.201</t>
  </si>
  <si>
    <t>A200.202</t>
  </si>
  <si>
    <t>A200.232S</t>
  </si>
  <si>
    <t>A200.203</t>
  </si>
  <si>
    <t>A300.302</t>
  </si>
  <si>
    <t>A300.312</t>
  </si>
  <si>
    <t>A300.309</t>
  </si>
  <si>
    <t>A600.640</t>
  </si>
  <si>
    <t>A600.629A</t>
  </si>
  <si>
    <t>A700.312</t>
  </si>
  <si>
    <t>A700.309</t>
  </si>
  <si>
    <t>A800.850</t>
  </si>
  <si>
    <t>A800.801</t>
  </si>
  <si>
    <t>A800.851</t>
  </si>
  <si>
    <t>A800.A810.215</t>
  </si>
  <si>
    <t>A800.802</t>
  </si>
  <si>
    <t>A800.805</t>
  </si>
  <si>
    <t>A800.806</t>
  </si>
  <si>
    <t>A800.807</t>
  </si>
  <si>
    <t>A900.850</t>
  </si>
  <si>
    <t>A300.QC310</t>
  </si>
  <si>
    <t>A300.QF301-5</t>
  </si>
  <si>
    <t>A400.QA404</t>
  </si>
  <si>
    <t>A400.QF401-3</t>
  </si>
  <si>
    <t>A600.A606.Q-OUT</t>
  </si>
  <si>
    <t>A600.QWA606</t>
  </si>
  <si>
    <t>A300.WF301-5</t>
  </si>
  <si>
    <t>A300.WT300</t>
  </si>
  <si>
    <t>A400.WT401-3</t>
  </si>
  <si>
    <t>A500.M503.POWM503</t>
  </si>
  <si>
    <t>A600.6</t>
  </si>
  <si>
    <t>A600.A606.W-DUP</t>
  </si>
  <si>
    <t>A600.A606.W-OUT</t>
  </si>
  <si>
    <t>A600.A606.W-SPEC</t>
  </si>
  <si>
    <t>A600.A606.W-CONV</t>
  </si>
  <si>
    <t>A600.WB606</t>
  </si>
  <si>
    <t>A600.WB608</t>
  </si>
  <si>
    <t>A600.WM640</t>
  </si>
  <si>
    <t>A800.A810.WA810</t>
  </si>
  <si>
    <t>A900.WCTFAN</t>
  </si>
  <si>
    <t>COD</t>
  </si>
  <si>
    <t>FRACTION</t>
  </si>
  <si>
    <t>HT</t>
  </si>
  <si>
    <t>Col#</t>
  </si>
  <si>
    <t>Other sugars (SS)</t>
  </si>
  <si>
    <t>Sugar Oligomers (SS)</t>
  </si>
  <si>
    <t>Organic Soluble Solids (SS)</t>
  </si>
  <si>
    <t>Inorganic Soluble Solids (SS)</t>
  </si>
  <si>
    <t>CO/SOX/NOX/H2S</t>
  </si>
  <si>
    <t>Protein (IS)</t>
  </si>
  <si>
    <t>Reference Enthalpy 25C</t>
  </si>
  <si>
    <t>a200.215</t>
  </si>
  <si>
    <t>Total Latent Heat</t>
  </si>
  <si>
    <t>LHV 25C</t>
  </si>
  <si>
    <t>a300.309</t>
  </si>
  <si>
    <t>a300.310</t>
  </si>
  <si>
    <t>a300.qf301-5</t>
  </si>
  <si>
    <t>WF301-5</t>
  </si>
  <si>
    <t>a300.wf301-5</t>
  </si>
  <si>
    <t>a300.wp301</t>
  </si>
  <si>
    <t>a300.wp302</t>
  </si>
  <si>
    <t>a300.wt301</t>
  </si>
  <si>
    <t>a300.302</t>
  </si>
  <si>
    <t>a300.312</t>
  </si>
  <si>
    <t>QC310</t>
  </si>
  <si>
    <t>a300.qc310</t>
  </si>
  <si>
    <t>A300.wt300</t>
  </si>
  <si>
    <t>WT300</t>
  </si>
  <si>
    <t>a400.qm401</t>
  </si>
  <si>
    <t>a400.qf401-3</t>
  </si>
  <si>
    <t>a400.wm401</t>
  </si>
  <si>
    <t>a400.wp401</t>
  </si>
  <si>
    <t>a400.wt401-3</t>
  </si>
  <si>
    <t>WT406</t>
  </si>
  <si>
    <t>a400.wt406</t>
  </si>
  <si>
    <t>a400.wt405</t>
  </si>
  <si>
    <t>WT405</t>
  </si>
  <si>
    <t>A500.evap.WC501</t>
  </si>
  <si>
    <t>A500.evap.WC502</t>
  </si>
  <si>
    <t>A500.evap.WP530</t>
  </si>
  <si>
    <t>A500.evap.WP531</t>
  </si>
  <si>
    <t>A500.evap.WP532</t>
  </si>
  <si>
    <t>A500.evap.WP533</t>
  </si>
  <si>
    <t>a600.601</t>
  </si>
  <si>
    <t>a600.602</t>
  </si>
  <si>
    <t>a600.611</t>
  </si>
  <si>
    <t>a600.612</t>
  </si>
  <si>
    <t>a600.615</t>
  </si>
  <si>
    <t>a600.640</t>
  </si>
  <si>
    <t>a900.904</t>
  </si>
  <si>
    <t>a600.944</t>
  </si>
  <si>
    <t>a600.821</t>
  </si>
  <si>
    <t>a600.qh602</t>
  </si>
  <si>
    <t>QT606</t>
  </si>
  <si>
    <t>a600.wb606</t>
  </si>
  <si>
    <t>a600.wp602</t>
  </si>
  <si>
    <t>a600.wt606</t>
  </si>
  <si>
    <t>WB606</t>
  </si>
  <si>
    <t>a600.613</t>
  </si>
  <si>
    <t>a600.614</t>
  </si>
  <si>
    <t>a600.616</t>
  </si>
  <si>
    <t>a600.628</t>
  </si>
  <si>
    <t>QT608</t>
  </si>
  <si>
    <t>a600.wb608</t>
  </si>
  <si>
    <t>a600.wm640</t>
  </si>
  <si>
    <t>a600.wp609</t>
  </si>
  <si>
    <t>a600.wp610</t>
  </si>
  <si>
    <t>a600.wp616</t>
  </si>
  <si>
    <t>WB608</t>
  </si>
  <si>
    <t>WM640</t>
  </si>
  <si>
    <t>WP609</t>
  </si>
  <si>
    <t>a800.802</t>
  </si>
  <si>
    <t>a800.803</t>
  </si>
  <si>
    <t>a800.804</t>
  </si>
  <si>
    <t>a800.806</t>
  </si>
  <si>
    <t>a800.807</t>
  </si>
  <si>
    <t>a800.809</t>
  </si>
  <si>
    <t>a800.810</t>
  </si>
  <si>
    <t>a800.850</t>
  </si>
  <si>
    <t>a800.851</t>
  </si>
  <si>
    <t>a800.qh801</t>
  </si>
  <si>
    <t>a800.wcombfan</t>
  </si>
  <si>
    <t>a800.wm804</t>
  </si>
  <si>
    <t>a800.801</t>
  </si>
  <si>
    <t>a800.a810.215</t>
  </si>
  <si>
    <t>By Difference</t>
  </si>
  <si>
    <t>a800.a810.qh811</t>
  </si>
  <si>
    <t>A800.A810.821v</t>
  </si>
  <si>
    <t>821V</t>
  </si>
  <si>
    <t>A800.a810.WP804</t>
  </si>
  <si>
    <t>A800.a810.WP828</t>
  </si>
  <si>
    <t>NO MATERIAL STREAM TABLE</t>
  </si>
  <si>
    <t>A800.a810.WM830</t>
  </si>
  <si>
    <t>A800.a810.WM832</t>
  </si>
  <si>
    <t>A800.a810.WM834</t>
  </si>
  <si>
    <t>A800.a810.WP830</t>
  </si>
  <si>
    <t>QTTOTAL</t>
  </si>
  <si>
    <t>a900.qttotal</t>
  </si>
  <si>
    <t>QT914</t>
  </si>
  <si>
    <t>a900.wp914</t>
  </si>
  <si>
    <t>Other Struct. Carbohydr. (IS)</t>
  </si>
  <si>
    <t>Carbon Mole Flow</t>
  </si>
  <si>
    <t>LHV | 25°C</t>
  </si>
  <si>
    <t>300 tot</t>
  </si>
  <si>
    <t>1100kW ea.</t>
  </si>
  <si>
    <t>640</t>
  </si>
  <si>
    <t>630</t>
  </si>
  <si>
    <t>632</t>
  </si>
  <si>
    <t>HGI/BC Subcontract</t>
  </si>
  <si>
    <t>23' x 48' - 25 min. - 110,000 gal.</t>
  </si>
  <si>
    <t>Belt 100 ft. long x 24" wide, enclosed</t>
  </si>
  <si>
    <t>16' x 62' - 10 min. residence time</t>
  </si>
  <si>
    <t>Pressure Filter Pressing Compr</t>
  </si>
  <si>
    <t>Pressure Filter Drying Compr</t>
  </si>
  <si>
    <t>Anaerobic Reactor Recirc Pump</t>
  </si>
  <si>
    <t>Pretreatment/BFW heat recovery</t>
  </si>
  <si>
    <t>Polymer Addition System</t>
  </si>
  <si>
    <t>Beer Column Bottoms Recirc Pump</t>
  </si>
  <si>
    <t>Rectification Column Btms Pump</t>
  </si>
  <si>
    <t>Beer Column Stillage Pump</t>
  </si>
  <si>
    <t>Oligomer Hold Tank Discharge</t>
  </si>
  <si>
    <t>Dearborn Midwest</t>
  </si>
  <si>
    <t>Acid Loading (mg/g dry biomass)</t>
  </si>
  <si>
    <t>Biogas composition (Dry molar%)     CH4</t>
  </si>
  <si>
    <t>Electricity demand (kWh/kg protn)</t>
  </si>
  <si>
    <t>Ammonia Loading (% stoich. XS</t>
  </si>
  <si>
    <t>cmix.h2o.a800.801</t>
  </si>
  <si>
    <t>cmix.h2o.a800.805</t>
  </si>
  <si>
    <t>cmix.h2o.a800.807</t>
  </si>
  <si>
    <t>Carbon flow Mixed</t>
  </si>
  <si>
    <t>Carbon flow cisolid</t>
  </si>
  <si>
    <t>A600.wm640</t>
  </si>
  <si>
    <t>a300.311</t>
  </si>
  <si>
    <t>$MM/yr</t>
  </si>
  <si>
    <t>/kg COD</t>
  </si>
  <si>
    <t>A300.QT300</t>
  </si>
  <si>
    <t>QT300</t>
  </si>
  <si>
    <t>a300.qt300</t>
  </si>
  <si>
    <t>QT405</t>
  </si>
  <si>
    <t>A400.qt405</t>
  </si>
  <si>
    <t>A400.QT405</t>
  </si>
  <si>
    <t>A800.A810.QT405</t>
  </si>
  <si>
    <t>A800.QT405</t>
  </si>
  <si>
    <t>WP632</t>
  </si>
  <si>
    <t>a600.wp632</t>
  </si>
  <si>
    <t>CMIX.NAOH.A600.632</t>
  </si>
  <si>
    <t>Caustic (as pure)</t>
  </si>
  <si>
    <t>A600.19</t>
  </si>
  <si>
    <t>A600.632S</t>
  </si>
  <si>
    <t>A600.623S</t>
  </si>
  <si>
    <t>A600.614S</t>
  </si>
  <si>
    <t>A600.WS611.Q-OUT</t>
  </si>
  <si>
    <t>A600.QWS611</t>
  </si>
  <si>
    <t>A600.25</t>
  </si>
  <si>
    <t>A600.WC614</t>
  </si>
  <si>
    <t>A600.WP611</t>
  </si>
  <si>
    <t>A600.WP612</t>
  </si>
  <si>
    <t>A600.WP632</t>
  </si>
  <si>
    <t>A600.WS611</t>
  </si>
  <si>
    <t>A600.WS611.W-SPEC</t>
  </si>
  <si>
    <t>A600.WS611.W-CONV</t>
  </si>
  <si>
    <t>A600.WS611.W-DUP</t>
  </si>
  <si>
    <t>A600.WS611.W-OUT</t>
  </si>
  <si>
    <t>WC614</t>
  </si>
  <si>
    <t>a600.wc614</t>
  </si>
  <si>
    <t>WS611</t>
  </si>
  <si>
    <t>a600.wp611</t>
  </si>
  <si>
    <t>a600.ws611</t>
  </si>
  <si>
    <t>WP611</t>
  </si>
  <si>
    <t>WP612</t>
  </si>
  <si>
    <t>a600.wp612</t>
  </si>
  <si>
    <t>802</t>
  </si>
  <si>
    <t>Air Intake Fan</t>
  </si>
  <si>
    <t>CMIX.GLUCOSE.A300.301</t>
  </si>
  <si>
    <t>CMIX.XYLOSE.A300.301</t>
  </si>
  <si>
    <t>CMIX.ARABINOS.A300.301</t>
  </si>
  <si>
    <t>CMIX.MANNOSE.A300.301</t>
  </si>
  <si>
    <t>CMIX.GALACTOS.A300.301</t>
  </si>
  <si>
    <t>CMIX.GLUCOLIG.A300.301</t>
  </si>
  <si>
    <t>CMIX.CELLOB.A300.301</t>
  </si>
  <si>
    <t>CMIX.XYLOLIG.A300.301</t>
  </si>
  <si>
    <t>CMIX.MANOLIG.A300.301</t>
  </si>
  <si>
    <t>CMIX.GALAOLIG.A300.301</t>
  </si>
  <si>
    <t>CMIX.ARABOLIG.A300.301</t>
  </si>
  <si>
    <t>strm.a800.801</t>
  </si>
  <si>
    <t>Cooling water users</t>
  </si>
  <si>
    <t>Distribution of Plant Electricity</t>
  </si>
  <si>
    <t>Lang Factor (FCI/Purchased Equip Cost)</t>
  </si>
  <si>
    <t>water in caustic</t>
  </si>
  <si>
    <t>cmix.h2o.a600.620c</t>
  </si>
  <si>
    <t>Input 3</t>
  </si>
  <si>
    <t>Sugar case (concentrated or dilute):</t>
  </si>
  <si>
    <t>Sugar Concentration (g/L)</t>
  </si>
  <si>
    <t>Monomeric Sugar Concentration (g/L), concentrated case:</t>
  </si>
  <si>
    <t>Monomeric Sugar Concentration (g/L), dilute case:</t>
  </si>
  <si>
    <t>concentrated sugar stream flow</t>
  </si>
  <si>
    <t>concentrated sugar stream density</t>
  </si>
  <si>
    <t>concentrated sugar stream volume</t>
  </si>
  <si>
    <t>dilute sugar stream flow</t>
  </si>
  <si>
    <t>dilute sugar stream density</t>
  </si>
  <si>
    <t>dilute sugar stream volume</t>
  </si>
  <si>
    <t>Enzyme</t>
  </si>
  <si>
    <t>Recovery</t>
  </si>
  <si>
    <t>Boiler/Generator</t>
  </si>
  <si>
    <t>Pre-treatment</t>
  </si>
  <si>
    <t>Enz. Hydr. &amp; Ferm.</t>
  </si>
  <si>
    <t>Quantity</t>
  </si>
  <si>
    <t>Use "Update file name" button to browse to .bkp file</t>
  </si>
  <si>
    <t>Tab "aspen" pulls minimal data for MESP calculations</t>
  </si>
  <si>
    <t>Tab "DCFROR" has a goal seek macro to determine MESP for zero NPV</t>
  </si>
  <si>
    <t>Tab "aspen2" and "aspenqw" pull all material and heat/work streams from the backup file for full energy balance.</t>
  </si>
  <si>
    <t>This spreadsheet contains macros. These macros expect Aspen  V7.2</t>
  </si>
  <si>
    <t>ECONOMIC MODEL TO ACCOMPANY THE 2011 NREL BIOCHEM DESIGN REPORT</t>
  </si>
  <si>
    <t>Mechanical Instructions</t>
  </si>
  <si>
    <t>Desired Units: In theory, you can change these, but note that all subsequent calculations will be wrong.</t>
  </si>
  <si>
    <t>To change Aspen version, you must update all instances of the toolkit paths at the top of VBA module EconAspenSummary</t>
  </si>
  <si>
    <t>Concentrated sugars</t>
  </si>
  <si>
    <t>wt% Sugar leaving saccharification</t>
  </si>
  <si>
    <t>xylose</t>
  </si>
  <si>
    <t>wt% of inhibitors</t>
  </si>
  <si>
    <t>acetate</t>
  </si>
  <si>
    <t>hmf + furf</t>
  </si>
  <si>
    <t>CMIX.EXTRACT.A300.301</t>
  </si>
  <si>
    <t>CMIX.LGNSOL.A300.301</t>
  </si>
  <si>
    <t>CCIS.PROTEIN.A300.301</t>
  </si>
  <si>
    <t>CMIX.LACID.A300.301</t>
  </si>
  <si>
    <t>There could be  errors here due to small flows</t>
  </si>
  <si>
    <t>CCIS.PROTEIN.A300.304</t>
  </si>
  <si>
    <t>CCIS.PROTEIN.A300.306A</t>
  </si>
  <si>
    <t>CCIS.PROTEIN.A300.311</t>
  </si>
  <si>
    <t>CCIS.protein.a300.315</t>
  </si>
  <si>
    <t>CCIS.PROTEIN.a300.t310fd</t>
  </si>
  <si>
    <t>CCIS.PROTEIN.a400.420</t>
  </si>
  <si>
    <t>CCIS.PROTEIN.a400.420p</t>
  </si>
  <si>
    <t>CCIS.protein.a600.612</t>
  </si>
  <si>
    <t>CCIS.PROTEIN.A800.810</t>
  </si>
  <si>
    <t>work.a400.wt401-3</t>
  </si>
  <si>
    <t>Find the design report at: http://www.nrel.gov/docs/fy11osti/47764.pdf</t>
  </si>
  <si>
    <t>strm.a300.sugmix.s-lig</t>
  </si>
  <si>
    <t>strm.a300.sugmix.s-prod</t>
  </si>
  <si>
    <t>den.a300.sugmix.305</t>
  </si>
  <si>
    <t>HEAT.a300.sugmix.QH317</t>
  </si>
  <si>
    <t>strm.a300.sugmix.305</t>
  </si>
  <si>
    <t>temp.a300.301sug</t>
  </si>
  <si>
    <t>pres.a300.301sug</t>
  </si>
  <si>
    <t>scis.a300.301sug</t>
  </si>
  <si>
    <t>cmix.xylose.a300.sugmix.s-prod</t>
  </si>
  <si>
    <t>den.a300.sugmix.s-prod</t>
  </si>
  <si>
    <t>cmix.xylose.a300.301sug</t>
  </si>
  <si>
    <t>cmix.arabinos.a300.301sug</t>
  </si>
  <si>
    <t>cmix.arabolig.a300.301sug</t>
  </si>
  <si>
    <t>cmix.cellob.a300.301sug</t>
  </si>
  <si>
    <t>cmix.galactos.a300.301sug</t>
  </si>
  <si>
    <t>cmix.galaolig.a300.301sug</t>
  </si>
  <si>
    <t>cmix.glucolig.a300.301sug</t>
  </si>
  <si>
    <t>cmix.glucose.a300.301sug</t>
  </si>
  <si>
    <t>CMIX.ARABINOS.a300.sugmix.s-prod</t>
  </si>
  <si>
    <t>CMIX.GALACTOS.a300.sugmix.s-prod</t>
  </si>
  <si>
    <t>cmix.xylolig.a300.301sug</t>
  </si>
  <si>
    <t>cmix.glucose.a300.sugmix.s-prod</t>
  </si>
  <si>
    <t>cmix.mannose.a300.301sug</t>
  </si>
  <si>
    <t>cmix.mannose.a300.sugmix.s-prod</t>
  </si>
  <si>
    <t>cmix.manolig.a300.301sug</t>
  </si>
  <si>
    <t>heat.a300.qc310</t>
  </si>
  <si>
    <t>strm.a400.402</t>
  </si>
  <si>
    <t>heat.a300.sugmix.qh317</t>
  </si>
  <si>
    <t>C:\Documents and Settings\dhumbird\My Documents\13374S\Projects-current\design report\0 Aspen\DW1102A-RC16.bkp</t>
  </si>
  <si>
    <t>A300.SUGMIX.1</t>
  </si>
  <si>
    <t>A300.SUGMIX.2</t>
  </si>
  <si>
    <t>A300.SUGMIX.332</t>
  </si>
  <si>
    <t>A300.SUGMIX.382</t>
  </si>
  <si>
    <t>A300.SUGMIX.303</t>
  </si>
  <si>
    <t>A300.SUGMIX.333</t>
  </si>
  <si>
    <t>A300.SUGMIX.383</t>
  </si>
  <si>
    <t>A300.SUGMIX.334</t>
  </si>
  <si>
    <t>A300.SUGMIX.534</t>
  </si>
  <si>
    <t>A300.SUGMIX.305</t>
  </si>
  <si>
    <t>A300.SUGMIX.325</t>
  </si>
  <si>
    <t>A300.SUGMIX.326</t>
  </si>
  <si>
    <t>A300.SUGMIX.536</t>
  </si>
  <si>
    <t>A300.SUGMIX.327</t>
  </si>
  <si>
    <t>A300.SUGMIX.387</t>
  </si>
  <si>
    <t>A300.SUGMIX.S-WASH</t>
  </si>
  <si>
    <t>A300.SUGMIX.532B</t>
  </si>
  <si>
    <t>A300.SUGMIX.AIRCOND</t>
  </si>
  <si>
    <t>A300.SUGMIX.S-VENT</t>
  </si>
  <si>
    <t>A300.SUGMIX.S-LIG</t>
  </si>
  <si>
    <t>A300.SUGMIX.S-LIQ</t>
  </si>
  <si>
    <t>A300.SUGMIX.S-SOL</t>
  </si>
  <si>
    <t>A300.SUGMIX.S-PROD</t>
  </si>
  <si>
    <t>A300.SUGMIX.301SUG</t>
  </si>
  <si>
    <t>6/8/2011</t>
  </si>
  <si>
    <t>9:54:57 AM</t>
  </si>
  <si>
    <t>A300.SUGMIX.3</t>
  </si>
  <si>
    <t>A300.SUGMIX.QE301</t>
  </si>
  <si>
    <t>A300.SUGMIX.QE302</t>
  </si>
  <si>
    <t>A300.SUGMIX.QE303</t>
  </si>
  <si>
    <t>A300.SUGMIX.QH317</t>
  </si>
  <si>
    <t>A300.SUGMIX.4</t>
  </si>
  <si>
    <t>REMARKS</t>
  </si>
  <si>
    <t>installation factor 
category</t>
  </si>
  <si>
    <t>The macro will look up variables in this column from the summary file.</t>
  </si>
  <si>
    <t>MASSFLOW sensitivity variables will also be pulled; do not add them to this column</t>
  </si>
  <si>
    <t>This may also apply to you if you are using Windows 7</t>
  </si>
  <si>
    <t>Tables in this report may vary slightly from those published due to small corrections made after publication</t>
  </si>
  <si>
    <t>INUMSACC</t>
  </si>
  <si>
    <t>INUMSACA</t>
  </si>
  <si>
    <t>INUMSSCF</t>
  </si>
  <si>
    <t>INUMSSFA</t>
  </si>
  <si>
    <t>PRETRX01</t>
  </si>
  <si>
    <t>PRETRX02</t>
  </si>
  <si>
    <t>PRETRX03</t>
  </si>
  <si>
    <t>PRETRX04</t>
  </si>
  <si>
    <t>PRETRX05</t>
  </si>
  <si>
    <t>PRETRX06</t>
  </si>
  <si>
    <t>PRETRX07</t>
  </si>
  <si>
    <t>PRETRX08</t>
  </si>
  <si>
    <t>PRETRX09</t>
  </si>
  <si>
    <t>PRETRX10</t>
  </si>
  <si>
    <t>PRETRX11</t>
  </si>
  <si>
    <t>PRETRX12</t>
  </si>
  <si>
    <t>PRETRX13</t>
  </si>
  <si>
    <t>PRETRX14</t>
  </si>
  <si>
    <t>PRETRX15</t>
  </si>
  <si>
    <t>PRETRX16</t>
  </si>
  <si>
    <t>PRETRX17</t>
  </si>
  <si>
    <t>PRETRX18</t>
  </si>
  <si>
    <t>PRETRX19</t>
  </si>
  <si>
    <t>PRETRX20</t>
  </si>
  <si>
    <t>PRETRX21</t>
  </si>
  <si>
    <t>PRETRX22</t>
  </si>
  <si>
    <t>PRETRX23</t>
  </si>
  <si>
    <t>SACHRX01</t>
  </si>
  <si>
    <t>SACHRX02</t>
  </si>
  <si>
    <t>SACHRX03</t>
  </si>
  <si>
    <t>SACHRX04</t>
  </si>
  <si>
    <t>SACHRX05</t>
  </si>
  <si>
    <t>SACHRX06</t>
  </si>
  <si>
    <t>SACHRX13</t>
  </si>
  <si>
    <t>SACHRX14</t>
  </si>
  <si>
    <t>SACHRX15</t>
  </si>
  <si>
    <t>SACHRX23</t>
  </si>
  <si>
    <t>SACHRX24</t>
  </si>
  <si>
    <t>SACHRX25</t>
  </si>
  <si>
    <t>SACHRX32</t>
  </si>
  <si>
    <t>SACHRX33</t>
  </si>
  <si>
    <t>SACHRX34</t>
  </si>
  <si>
    <t>SACHRX41</t>
  </si>
  <si>
    <t>SACHRX42</t>
  </si>
  <si>
    <t>SACHRX43</t>
  </si>
  <si>
    <t>FERMRX07</t>
  </si>
  <si>
    <t>FERMRX08</t>
  </si>
  <si>
    <t>FERMRX09</t>
  </si>
  <si>
    <t>FERMRX10</t>
  </si>
  <si>
    <t>FERMRX11</t>
  </si>
  <si>
    <t>FERMRX12</t>
  </si>
  <si>
    <t>FERMRX16</t>
  </si>
  <si>
    <t>FERMRX17</t>
  </si>
  <si>
    <t>FERMRX18</t>
  </si>
  <si>
    <t>FERMRX19</t>
  </si>
  <si>
    <t>FERMRX20</t>
  </si>
  <si>
    <t>FERMRX21</t>
  </si>
  <si>
    <t>FERMRX22</t>
  </si>
  <si>
    <t>FERMRX26</t>
  </si>
  <si>
    <t>FERMRX27</t>
  </si>
  <si>
    <t>FERMRX28</t>
  </si>
  <si>
    <t>FERMRX29</t>
  </si>
  <si>
    <t>FERMRX30</t>
  </si>
  <si>
    <t>FERMRX31</t>
  </si>
  <si>
    <t>FERMRX35</t>
  </si>
  <si>
    <t>FERMRX36</t>
  </si>
  <si>
    <t>FERMRX37</t>
  </si>
  <si>
    <t>FERMRX38</t>
  </si>
  <si>
    <t>FERMRX39</t>
  </si>
  <si>
    <t>FERMRX40</t>
  </si>
  <si>
    <t>FERMRX44</t>
  </si>
  <si>
    <t>FERMRX45</t>
  </si>
  <si>
    <t>FERMRX46</t>
  </si>
  <si>
    <t>FERMRX47</t>
  </si>
  <si>
    <t>FERMRX48</t>
  </si>
  <si>
    <t>FERMRX49</t>
  </si>
  <si>
    <t>SACHDAYS</t>
  </si>
  <si>
    <t>FERMDAYS</t>
  </si>
  <si>
    <t>OSLR1</t>
  </si>
  <si>
    <t>OSLR2</t>
  </si>
  <si>
    <t>OSLR5</t>
  </si>
  <si>
    <t>OSLR6</t>
  </si>
  <si>
    <t>OSLR7</t>
  </si>
  <si>
    <t>OSLR8</t>
  </si>
  <si>
    <t>MOWTEXTR</t>
  </si>
  <si>
    <t>MOWTPROT</t>
  </si>
  <si>
    <t>OLIG01</t>
  </si>
  <si>
    <t>OLIG02</t>
  </si>
  <si>
    <t>OLIG03</t>
  </si>
  <si>
    <t>OLIG04</t>
  </si>
  <si>
    <t>SACVES</t>
  </si>
  <si>
    <t>SOL310FD</t>
  </si>
  <si>
    <t>S4CO2</t>
  </si>
  <si>
    <t>S4PRO</t>
  </si>
  <si>
    <t>S4BMS</t>
  </si>
  <si>
    <t>SAC03B</t>
  </si>
  <si>
    <t>SAC04B</t>
  </si>
  <si>
    <t>SAC05B</t>
  </si>
  <si>
    <t>SAC06B</t>
  </si>
  <si>
    <t>SAC13B</t>
  </si>
  <si>
    <t>SAC14B</t>
  </si>
  <si>
    <t>SAC15B</t>
  </si>
  <si>
    <t>SAC23B</t>
  </si>
  <si>
    <t>SAC24B</t>
  </si>
  <si>
    <t>SAC25B</t>
  </si>
  <si>
    <t>SAC32B</t>
  </si>
  <si>
    <t>SAC33B</t>
  </si>
  <si>
    <t>SAC34B</t>
  </si>
  <si>
    <t>SAC41B</t>
  </si>
  <si>
    <t>SAC42B</t>
  </si>
  <si>
    <t>SAC43B</t>
  </si>
  <si>
    <t>SAC01B</t>
  </si>
  <si>
    <t>SAC02B</t>
  </si>
  <si>
    <t>SOL300</t>
  </si>
  <si>
    <t>CODTO1</t>
  </si>
  <si>
    <t>AMLOAD</t>
  </si>
  <si>
    <t>SOL207FD</t>
  </si>
  <si>
    <t>ISEED</t>
  </si>
  <si>
    <t>SOL301S</t>
  </si>
  <si>
    <t>CSAC</t>
  </si>
  <si>
    <t>SOL254</t>
  </si>
  <si>
    <t xml:space="preserve">KG/HR           </t>
  </si>
  <si>
    <t>CCIS.BIOMASS.A600.602E</t>
  </si>
  <si>
    <t>CCIS.CELLULOS.A300.301</t>
  </si>
  <si>
    <t>CCIS.CELLULOS.A400.401</t>
  </si>
  <si>
    <t>CCIS.DENZ.A300.315</t>
  </si>
  <si>
    <t>CCIS.DENZ.A600.612</t>
  </si>
  <si>
    <t>CCIS.ENZYME.422</t>
  </si>
  <si>
    <t>CCIS.ENZYME.A300.315</t>
  </si>
  <si>
    <t>CCIS.ENZYME.A400.420</t>
  </si>
  <si>
    <t>CCIS.ENZYME.A400.420A</t>
  </si>
  <si>
    <t>CCIS.ENZYME.A600.612</t>
  </si>
  <si>
    <t>CCIS.GALACTAN.A400.401</t>
  </si>
  <si>
    <t>CCIS.MANNAN.A400.401</t>
  </si>
  <si>
    <t>CMIX.ARABINOS.A300.301SUG</t>
  </si>
  <si>
    <t>CMIX.ARABINOS.A300.T310FD</t>
  </si>
  <si>
    <t>CMIX.ARABINOS.A400.401</t>
  </si>
  <si>
    <t>CMIX.ARABINOS.A400.420</t>
  </si>
  <si>
    <t>CMIX.ARABINOS.A400.420P</t>
  </si>
  <si>
    <t>CMIX.ARABINOS.A300.SUGMIX.S-PROD</t>
  </si>
  <si>
    <t>CMIX.ARABOLIG.A300.301SUG</t>
  </si>
  <si>
    <t>CMIX.ARABOLIG.A300.T310FD</t>
  </si>
  <si>
    <t>CMIX.ARABOLIG.A400.401</t>
  </si>
  <si>
    <t>CMIX.ARABOLIG.A400.420</t>
  </si>
  <si>
    <t>CMIX.ARABOLIG.A400.420P</t>
  </si>
  <si>
    <t>CMIX.CELLOB.A300.301SUG</t>
  </si>
  <si>
    <t>CMIX.CELLOB.A300.T310FD</t>
  </si>
  <si>
    <t>CMIX.CELLOB.A400.401</t>
  </si>
  <si>
    <t>CMIX.CELLOB.A400.420</t>
  </si>
  <si>
    <t>CMIX.CELLOB.A400.420P</t>
  </si>
  <si>
    <t>CMIX.CH4.A600.615</t>
  </si>
  <si>
    <t>CMIX.CO2.A600.615</t>
  </si>
  <si>
    <t>CMIX.DAP.A300.315</t>
  </si>
  <si>
    <t>CMIX.DAP.A300.F300FD</t>
  </si>
  <si>
    <t>CMIX.DAP.A600.612</t>
  </si>
  <si>
    <t>CMIX.ETHANOL.A500.515</t>
  </si>
  <si>
    <t>CMIX.EXTRACT.A300.T310FD</t>
  </si>
  <si>
    <t>CMIX.EXTRACT.A400.420</t>
  </si>
  <si>
    <t>CMIX.EXTRACT.A400.420P</t>
  </si>
  <si>
    <t>CMIX.FURFURAL.A300.306A</t>
  </si>
  <si>
    <t>CMIX.GALACTOS.A300.301SUG</t>
  </si>
  <si>
    <t>CMIX.GALACTOS.A300.T310FD</t>
  </si>
  <si>
    <t>CMIX.GALACTOS.A400.401</t>
  </si>
  <si>
    <t>CMIX.GALACTOS.A400.420</t>
  </si>
  <si>
    <t>CMIX.GALACTOS.A400.420P</t>
  </si>
  <si>
    <t>CMIX.GALACTOS.A300.SUGMIX.S-PROD</t>
  </si>
  <si>
    <t>CMIX.GALAOLIG.A300.301SUG</t>
  </si>
  <si>
    <t>CMIX.GALAOLIG.A300.T310FD</t>
  </si>
  <si>
    <t>CMIX.GALAOLIG.A400.401</t>
  </si>
  <si>
    <t>CMIX.GALAOLIG.A400.420</t>
  </si>
  <si>
    <t>CMIX.GALAOLIG.A400.420P</t>
  </si>
  <si>
    <t>CMIX.GLUCOLIG.A300.301SUG</t>
  </si>
  <si>
    <t>CMIX.GLUCOLIG.A300.T310FD</t>
  </si>
  <si>
    <t>CMIX.GLUCOLIG.A400.401</t>
  </si>
  <si>
    <t>CMIX.GLUCOLIG.A400.420</t>
  </si>
  <si>
    <t>CMIX.GLUCOLIG.A400.420P</t>
  </si>
  <si>
    <t>CMIX.GLUCOSE.101</t>
  </si>
  <si>
    <t>CMIX.GLUCOSE.A300.301SUG</t>
  </si>
  <si>
    <t>CMIX.GLUCOSE.A300.308A</t>
  </si>
  <si>
    <t>CMIX.GLUCOSE.A300.F300FD</t>
  </si>
  <si>
    <t>CMIX.GLUCOSE.A300.T310FD</t>
  </si>
  <si>
    <t>CMIX.GLUCOSE.A400.420</t>
  </si>
  <si>
    <t>CMIX.GLUCOSE.A400.420P</t>
  </si>
  <si>
    <t>CMIX.GLUCOSE.A300.SUGMIX.S-PROD</t>
  </si>
  <si>
    <t>CMIX.H2O.710</t>
  </si>
  <si>
    <t>CMIX.H2O.903</t>
  </si>
  <si>
    <t>CMIX.H2O.A200.216</t>
  </si>
  <si>
    <t>CMIX.H2O.A200.222</t>
  </si>
  <si>
    <t>CMIX.H2O.A200.223</t>
  </si>
  <si>
    <t>CMIX.H2O.A200.228</t>
  </si>
  <si>
    <t>CMIX.H2O.A200.233</t>
  </si>
  <si>
    <t>CMIX.H2O.A200.239</t>
  </si>
  <si>
    <t>CMIX.H2O.A200.274</t>
  </si>
  <si>
    <t>CMIX.H2O.A200.M207FD</t>
  </si>
  <si>
    <t>CMIX.H2O.A300.303</t>
  </si>
  <si>
    <t>CMIX.H2O.A300.304B</t>
  </si>
  <si>
    <t>CMIX.H2O.A300.306</t>
  </si>
  <si>
    <t>CMIX.H2O.A300.306A</t>
  </si>
  <si>
    <t>CMIX.H2O.A300.308</t>
  </si>
  <si>
    <t>CMIX.H2O.A300.309</t>
  </si>
  <si>
    <t>CMIX.H2O.A300.F300FD</t>
  </si>
  <si>
    <t>CMIX.H2O.A300.T310FD</t>
  </si>
  <si>
    <t>CMIX.H2O.A400.401</t>
  </si>
  <si>
    <t>CMIX.H2O.A400.403</t>
  </si>
  <si>
    <t>CMIX.H2O.A400.407</t>
  </si>
  <si>
    <t>CMIX.H2O.A400.408A</t>
  </si>
  <si>
    <t>CMIX.H2O.A400.411</t>
  </si>
  <si>
    <t>CMIX.H2O.A400.418</t>
  </si>
  <si>
    <t>CMIX.H2O.A400.420</t>
  </si>
  <si>
    <t>CMIX.H2O.A400.420A</t>
  </si>
  <si>
    <t>CMIX.H2O.A400.420P</t>
  </si>
  <si>
    <t>CMIX.H2O.A400.423</t>
  </si>
  <si>
    <t>CMIX.H2O.A400.435</t>
  </si>
  <si>
    <t>CMIX.H2O.A400.450</t>
  </si>
  <si>
    <t>CMIX.H2O.A400.F400IN</t>
  </si>
  <si>
    <t>CMIX.H2O.A500.515</t>
  </si>
  <si>
    <t>CMIX.H2O.A500.524</t>
  </si>
  <si>
    <t>CMIX.H2O.A500.EVAP.557</t>
  </si>
  <si>
    <t>CMIX.H2O.A600.602</t>
  </si>
  <si>
    <t>CMIX.H2O.A600.602G</t>
  </si>
  <si>
    <t>CMIX.H2O.A600.617</t>
  </si>
  <si>
    <t>CMIX.H2O.A600.620</t>
  </si>
  <si>
    <t>CMIX.H2O.A600.620B</t>
  </si>
  <si>
    <t>CMIX.H2O.A600.620C</t>
  </si>
  <si>
    <t>CMIX.H2O.A600.621</t>
  </si>
  <si>
    <t>CMIX.H2O.A600.622</t>
  </si>
  <si>
    <t>CMIX.H2O.A600.624</t>
  </si>
  <si>
    <t>CMIX.H2O.A600.627</t>
  </si>
  <si>
    <t>CMIX.H2O.A600.630</t>
  </si>
  <si>
    <t>CMIX.H2O.A600.632</t>
  </si>
  <si>
    <t>CMIX.H2O.A600.944</t>
  </si>
  <si>
    <t>CMIX.H2O.A700.735</t>
  </si>
  <si>
    <t>CMIX.H2O.A800.2</t>
  </si>
  <si>
    <t>CMIX.H2O.A800.3</t>
  </si>
  <si>
    <t>CMIX.H2O.A800.571</t>
  </si>
  <si>
    <t>CMIX.H2O.A800.623</t>
  </si>
  <si>
    <t>CMIX.H2O.A800.801</t>
  </si>
  <si>
    <t>CMIX.H2O.A800.803</t>
  </si>
  <si>
    <t>CMIX.H2O.A800.804</t>
  </si>
  <si>
    <t>CMIX.H2O.A800.805</t>
  </si>
  <si>
    <t>CMIX.H2O.A800.807</t>
  </si>
  <si>
    <t>CMIX.H2O.A800.A810.821V</t>
  </si>
  <si>
    <t>CMIX.H2O.A900.906A</t>
  </si>
  <si>
    <t>CMIX.H2O.A900.944</t>
  </si>
  <si>
    <t>CMIX.H2O.A900.948</t>
  </si>
  <si>
    <t>CMIX.H2O.A900.949</t>
  </si>
  <si>
    <t>CMIX.H2O.A900.FALLER</t>
  </si>
  <si>
    <t>CMIX.H2O.A900.RISER</t>
  </si>
  <si>
    <t>CMIX.HMF.A300.306A</t>
  </si>
  <si>
    <t>CMIX.LACID.A300.304</t>
  </si>
  <si>
    <t>CMIX.LACID.A300.306A</t>
  </si>
  <si>
    <t>CMIX.LACID.A300.311</t>
  </si>
  <si>
    <t>CMIX.LACID.A400.420</t>
  </si>
  <si>
    <t>CMIX.LGNSOL.A300.T310FD</t>
  </si>
  <si>
    <t>CMIX.LGNSOL.A400.420</t>
  </si>
  <si>
    <t>CMIX.LGNSOL.A400.420P</t>
  </si>
  <si>
    <t>CMIX.MANNOSE.A300.301SUG</t>
  </si>
  <si>
    <t>CMIX.MANNOSE.A300.T310FD</t>
  </si>
  <si>
    <t>CMIX.MANNOSE.A400.401</t>
  </si>
  <si>
    <t>CMIX.MANNOSE.A400.420</t>
  </si>
  <si>
    <t>CMIX.MANNOSE.A400.420P</t>
  </si>
  <si>
    <t>CMIX.MANNOSE.A300.SUGMIX.S-PROD</t>
  </si>
  <si>
    <t>CMIX.MANOLIG.A300.301SUG</t>
  </si>
  <si>
    <t>CMIX.MANOLIG.A300.T310FD</t>
  </si>
  <si>
    <t>CMIX.MANOLIG.A400.401</t>
  </si>
  <si>
    <t>CMIX.MANOLIG.A400.420</t>
  </si>
  <si>
    <t>CMIX.MANOLIG.A400.420P</t>
  </si>
  <si>
    <t>CMIX.NH3.A200.228</t>
  </si>
  <si>
    <t>CMIX.NH3.A200.275</t>
  </si>
  <si>
    <t>CMIX.NH4ACET.A300.306A</t>
  </si>
  <si>
    <t>CMIX.NH4ACET.A300.315</t>
  </si>
  <si>
    <t>CMIX.NH4ACET.A300.F300FD</t>
  </si>
  <si>
    <t>CMIX.NH4ACET.A600.612</t>
  </si>
  <si>
    <t>CMIX.NH4SO4.A300.315</t>
  </si>
  <si>
    <t>CMIX.NH4SO4.A300.F300FD</t>
  </si>
  <si>
    <t>CMIX.NH4SO4.A600.612</t>
  </si>
  <si>
    <t>CCIS.PROTEIN.A300.315</t>
  </si>
  <si>
    <t>CCIS.PROTEIN.A300.T310FD</t>
  </si>
  <si>
    <t>CCIS.PROTEIN.A400.420</t>
  </si>
  <si>
    <t>CCIS.PROTEIN.A400.420P</t>
  </si>
  <si>
    <t>CCIS.PROTEIN.A600.612</t>
  </si>
  <si>
    <t>CMIX.XYLOLIG.A300.301SUG</t>
  </si>
  <si>
    <t>CMIX.XYLOLIG.A300.T310FD</t>
  </si>
  <si>
    <t>CMIX.XYLOLIG.A400.401</t>
  </si>
  <si>
    <t>CMIX.XYLOLIG.A400.420</t>
  </si>
  <si>
    <t>CMIX.XYLOLIG.A400.420P</t>
  </si>
  <si>
    <t>CMIX.XYLOSE.A300.301SUG</t>
  </si>
  <si>
    <t>CMIX.XYLOSE.A300.T310FD</t>
  </si>
  <si>
    <t>CMIX.XYLOSE.A400.401</t>
  </si>
  <si>
    <t>CMIX.XYLOSE.A400.420</t>
  </si>
  <si>
    <t>CMIX.XYLOSE.A400.420P</t>
  </si>
  <si>
    <t>CMIX.XYLOSE.A300.SUGMIX.S-PROD</t>
  </si>
  <si>
    <t xml:space="preserve">GM/CC           </t>
  </si>
  <si>
    <t>DEN.A300.315</t>
  </si>
  <si>
    <t>DEN.A300.F300FD</t>
  </si>
  <si>
    <t>DEN.A600.601</t>
  </si>
  <si>
    <t>DEN.A600.612</t>
  </si>
  <si>
    <t>DEN.A600.624</t>
  </si>
  <si>
    <t>DEN.A300.SUGMIX.S-PROD</t>
  </si>
  <si>
    <t>DEN.A300.SUGMIX.305</t>
  </si>
  <si>
    <t>HEAT.A200.QH201</t>
  </si>
  <si>
    <t xml:space="preserve">MMKCAL/HR       </t>
  </si>
  <si>
    <t>HEAT.A900.QCHWOP</t>
  </si>
  <si>
    <t>HEAT.QH812</t>
  </si>
  <si>
    <t>HEAT.A300.SUGMIX.QH317</t>
  </si>
  <si>
    <t>PRES.A300.301SUG</t>
  </si>
  <si>
    <t xml:space="preserve">ATM             </t>
  </si>
  <si>
    <t>SCIS.A300.301SUG</t>
  </si>
  <si>
    <t>SCIS.A200.254B</t>
  </si>
  <si>
    <t>SCIS.A200.254S</t>
  </si>
  <si>
    <t>SCIS.A200.M207FD</t>
  </si>
  <si>
    <t>SCIS.A300.F300FD</t>
  </si>
  <si>
    <t>SCIS.A300.T310FD</t>
  </si>
  <si>
    <t>SCIS.A500.EVAP.571</t>
  </si>
  <si>
    <t>SMIX.A200.254</t>
  </si>
  <si>
    <t>SMIX.A300.307</t>
  </si>
  <si>
    <t>SMIX.A300.F300FD</t>
  </si>
  <si>
    <t>SMIX.A600.612</t>
  </si>
  <si>
    <t>STRM.501</t>
  </si>
  <si>
    <t>STRM.717</t>
  </si>
  <si>
    <t>STRM.A200.222</t>
  </si>
  <si>
    <t>STRM.A200.223</t>
  </si>
  <si>
    <t>STRM.A200.254</t>
  </si>
  <si>
    <t>STRM.A200.254B</t>
  </si>
  <si>
    <t>STRM.A200.254S</t>
  </si>
  <si>
    <t>STRM.A200.275</t>
  </si>
  <si>
    <t>STRM.A200.301LIQ</t>
  </si>
  <si>
    <t>STRM.A200.M207FD</t>
  </si>
  <si>
    <t>STRM.A300.303</t>
  </si>
  <si>
    <t>STRM.A300.306</t>
  </si>
  <si>
    <t>STRM.A300.306A</t>
  </si>
  <si>
    <t>STRM.A300.F300FD</t>
  </si>
  <si>
    <t>STRM.A300.T310FD</t>
  </si>
  <si>
    <t>STRM.A400.400</t>
  </si>
  <si>
    <t>STRM.A400.401</t>
  </si>
  <si>
    <t>STRM.A400.409</t>
  </si>
  <si>
    <t>STRM.A400.416</t>
  </si>
  <si>
    <t>STRM.A400.420</t>
  </si>
  <si>
    <t>STRM.A400.422</t>
  </si>
  <si>
    <t>STRM.A400.444</t>
  </si>
  <si>
    <t>STRM.A400.450</t>
  </si>
  <si>
    <t>STRM.A500.508</t>
  </si>
  <si>
    <t>STRM.A500.511</t>
  </si>
  <si>
    <t>STRM.A500.524</t>
  </si>
  <si>
    <t>STRM.A500.535</t>
  </si>
  <si>
    <t>STRM.A500.EVAP.571</t>
  </si>
  <si>
    <t>STRM.A500.EVAP.SQAIRIN</t>
  </si>
  <si>
    <t>STRM.A600.601</t>
  </si>
  <si>
    <t>STRM.A600.624</t>
  </si>
  <si>
    <t>STRM.A600.626</t>
  </si>
  <si>
    <t>STRM.A600.632</t>
  </si>
  <si>
    <t>STRM.A800.571</t>
  </si>
  <si>
    <t>STRM.A800.623</t>
  </si>
  <si>
    <t>STRM.A800.801</t>
  </si>
  <si>
    <t>STRM.A800.803</t>
  </si>
  <si>
    <t>STRM.A800.804</t>
  </si>
  <si>
    <t>STRM.A900.945</t>
  </si>
  <si>
    <t>STRM.A300.SUGMIX.S-LIG</t>
  </si>
  <si>
    <t>STRM.A300.SUGMIX.S-PROD</t>
  </si>
  <si>
    <t>STRM.A300.SUGMIX.305</t>
  </si>
  <si>
    <t>TEMP.A300.301SUG</t>
  </si>
  <si>
    <t xml:space="preserve">C               </t>
  </si>
  <si>
    <t>TEMP.A300.308</t>
  </si>
  <si>
    <t>WORK.A400.WM401</t>
  </si>
  <si>
    <t xml:space="preserve">KW              </t>
  </si>
  <si>
    <t>WORK.A400.WT400</t>
  </si>
  <si>
    <t>WORK.A900.WKA200</t>
  </si>
  <si>
    <t>WORK.A900.WKA300</t>
  </si>
  <si>
    <t>WORK.A900.WKA400</t>
  </si>
  <si>
    <t>WORK.A900.WKA500</t>
  </si>
  <si>
    <t>WORK.A900.WKA600</t>
  </si>
  <si>
    <t>WORK.A900.WKA700</t>
  </si>
  <si>
    <t>WORK.A900.WKA800</t>
  </si>
  <si>
    <t>WORK.A900.WKA900</t>
  </si>
  <si>
    <t>WORK.A900.WM908</t>
  </si>
  <si>
    <t>WORK.A900.WM908-4</t>
  </si>
  <si>
    <t>WORK.A400.WT401-3</t>
  </si>
  <si>
    <t>STRM.A400.402</t>
  </si>
  <si>
    <t>INDICES!b15:e41</t>
  </si>
  <si>
    <t>INDICES!b57:e93</t>
  </si>
  <si>
    <t>INDICES!b109:e145</t>
  </si>
  <si>
    <t>INDICES!q5:r20</t>
  </si>
  <si>
    <t>Products</t>
  </si>
  <si>
    <t>gal/hr</t>
  </si>
  <si>
    <t>GGE/hr</t>
  </si>
  <si>
    <t>*Based on GREET 2018 LHV</t>
  </si>
  <si>
    <t>By-Products</t>
  </si>
  <si>
    <t>Excess Electricity</t>
  </si>
  <si>
    <t>Resource Consumption</t>
  </si>
  <si>
    <t>Flow Rate</t>
  </si>
  <si>
    <t>Per Gal Ethanol</t>
  </si>
  <si>
    <t>Per GGE Ethanol</t>
  </si>
  <si>
    <t>kg/gal</t>
  </si>
  <si>
    <t>kg/GGE</t>
  </si>
  <si>
    <t>Ash Species</t>
  </si>
  <si>
    <t>CCIS.ASH.A800.809</t>
  </si>
  <si>
    <t>CCIS.C.A800.809</t>
  </si>
  <si>
    <t>CCIS.CASO4.A800.809</t>
  </si>
  <si>
    <t>CaSO4</t>
  </si>
  <si>
    <t>CCIS.LIME.A800.809</t>
  </si>
  <si>
    <t>Vents</t>
  </si>
  <si>
    <t>COMBSTACK</t>
  </si>
  <si>
    <t>Cellulase seed fermenter</t>
  </si>
  <si>
    <t>Cellulase Production Fermenter</t>
  </si>
  <si>
    <t>Vent Scrubber Evap Loss</t>
  </si>
  <si>
    <t>WWT Evap Loss</t>
  </si>
  <si>
    <t>SUM</t>
  </si>
  <si>
    <t>Ash Solid Stream - Landfilled</t>
  </si>
  <si>
    <t>strm.a600.627</t>
  </si>
  <si>
    <t>Wastewater Brine</t>
  </si>
  <si>
    <t>Air Emissions</t>
  </si>
  <si>
    <t>Biogenic:</t>
  </si>
  <si>
    <t>Corn Stover (wet basis, 20% moisture)</t>
  </si>
  <si>
    <t>Corn Stover (dry basis)</t>
  </si>
  <si>
    <t>CMIX.NO.A800.810</t>
  </si>
  <si>
    <t>CMIX.H2S.A800.810</t>
  </si>
  <si>
    <t>CMIX.NO.A400.435</t>
  </si>
  <si>
    <t>CMIX.NO2.A400.435</t>
  </si>
  <si>
    <t>CMIX.CO.A400.435</t>
  </si>
  <si>
    <t>CMIX.CH4.A400.435</t>
  </si>
  <si>
    <t>CMIX.H2S.A400.435</t>
  </si>
  <si>
    <t>CMIX.SO2.A400.435</t>
  </si>
  <si>
    <t>CMIX.NO.A400.423</t>
  </si>
  <si>
    <t>CMIX.NO2.A400.423</t>
  </si>
  <si>
    <t>CMIX.CO.A400.423</t>
  </si>
  <si>
    <t>CMIX.CH4.A400.423</t>
  </si>
  <si>
    <t>CMIX.H2S.A400.423</t>
  </si>
  <si>
    <t>CMIX.N2.A500.550</t>
  </si>
  <si>
    <t>CMIX.NO.A500.550</t>
  </si>
  <si>
    <t>CMIX.NO2.A500.550</t>
  </si>
  <si>
    <t>CMIX.CO.A500.550</t>
  </si>
  <si>
    <t>CMIX.CH4.A500.550</t>
  </si>
  <si>
    <t>CMIX.H2S.A500.550</t>
  </si>
  <si>
    <t>CMIX.SO2.A500.550</t>
  </si>
  <si>
    <t>CMIX.O2.A600.622</t>
  </si>
  <si>
    <t>CMIX.N2.A600.622</t>
  </si>
  <si>
    <t>CMIX.NO.A600.622</t>
  </si>
  <si>
    <t>CMIX.NO2.A600.622</t>
  </si>
  <si>
    <t>CMIX.CO.A600.622</t>
  </si>
  <si>
    <t>CMIX.CO2.A600.622</t>
  </si>
  <si>
    <t>CMIX.CH4.A600.622</t>
  </si>
  <si>
    <t>CMIX.H2S.A600.622</t>
  </si>
  <si>
    <t>CMIX.SO2.A600.622</t>
  </si>
  <si>
    <t>*7,884 Operating hours/year</t>
  </si>
  <si>
    <t>C:\Users\abartlin\Documents\Models\Humbird 2011\DW1102A\V10\DW1102A_AB.bkp</t>
  </si>
  <si>
    <t>DW1102A_AB</t>
  </si>
  <si>
    <t>C:\Users\abartlin\Documents\Models\Humbird 2011\DW1102A\V10\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</si>
</sst>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General_)"/>
    <numFmt numFmtId="165" formatCode="0.000000_)"/>
    <numFmt numFmtId="166" formatCode="0.000"/>
    <numFmt numFmtId="167" formatCode="0.0"/>
    <numFmt numFmtId="168" formatCode="#,##0.0"/>
    <numFmt numFmtId="169" formatCode="&quot;$&quot;#,##0.0000_);[Red]\(&quot;$&quot;#,##0.00\)"/>
    <numFmt numFmtId="170" formatCode="0.0000"/>
    <numFmt numFmtId="171" formatCode="&quot;$&quot;#,##0"/>
    <numFmt numFmtId="172" formatCode="&quot;$&quot;#,##0.00"/>
    <numFmt numFmtId="173" formatCode="&quot;$&quot;#,##0.000"/>
    <numFmt numFmtId="174" formatCode="&quot;$&quot;#,##0.000_);\(&quot;$&quot;#,##0.000\)"/>
    <numFmt numFmtId="175" formatCode="#,##0.000"/>
    <numFmt numFmtId="176" formatCode="0.0%"/>
    <numFmt numFmtId="177" formatCode="#,##0.0000"/>
    <numFmt numFmtId="178" formatCode="_(* #,##0_);_(* \(#,##0\);_(* &quot;-&quot;??_);_(@_)"/>
    <numFmt numFmtId="179" formatCode="m/d/yy"/>
    <numFmt numFmtId="180" formatCode="[$-F400]h:mm:ss\ AM/PM"/>
    <numFmt numFmtId="181" formatCode="0;0;0;@\-"/>
    <numFmt numFmtId="182" formatCode="0\ &quot;HP&quot;"/>
    <numFmt numFmtId="183" formatCode="_(&quot;$&quot;* #,##0_);_(&quot;$&quot;* \(#,##0\);_(&quot;$&quot;* &quot;-&quot;??_);_(@_)"/>
    <numFmt numFmtId="184" formatCode="&quot;$&quot;#,##0.0000"/>
    <numFmt numFmtId="185" formatCode="&quot;$&quot;#,##0.0"/>
    <numFmt numFmtId="186" formatCode="0.00000"/>
    <numFmt numFmtId="187" formatCode="#,##0;#,##0;;"/>
    <numFmt numFmtId="188" formatCode="&quot;$&quot;#,##0.00_);[Red]\(&quot;$&quot;#,##0\)"/>
    <numFmt numFmtId="189" formatCode="#,##0.0_);\(#,##0.0\)"/>
  </numFmts>
  <fonts count="53" x14ac:knownFonts="1">
    <font>
      <sz val="10"/>
      <name val="Courie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Courier"/>
      <family val="3"/>
    </font>
    <font>
      <sz val="14"/>
      <name val="Courier"/>
      <family val="3"/>
    </font>
    <font>
      <b/>
      <sz val="18"/>
      <name val="Arial"/>
      <family val="2"/>
    </font>
    <font>
      <sz val="10"/>
      <name val="Arial"/>
      <family val="2"/>
    </font>
    <font>
      <sz val="14"/>
      <name val="Arial"/>
      <family val="2"/>
    </font>
    <font>
      <b/>
      <sz val="14"/>
      <name val="Arial"/>
      <family val="2"/>
    </font>
    <font>
      <b/>
      <sz val="16"/>
      <name val="Arial"/>
      <family val="2"/>
    </font>
    <font>
      <b/>
      <sz val="10"/>
      <name val="Courier"/>
      <family val="3"/>
    </font>
    <font>
      <sz val="8"/>
      <color indexed="81"/>
      <name val="Tahoma"/>
      <family val="2"/>
    </font>
    <font>
      <b/>
      <sz val="8"/>
      <color indexed="81"/>
      <name val="Tahoma"/>
      <family val="2"/>
    </font>
    <font>
      <u/>
      <sz val="11.5"/>
      <color indexed="12"/>
      <name val="Courier"/>
      <family val="3"/>
    </font>
    <font>
      <b/>
      <sz val="10"/>
      <name val="Arial"/>
      <family val="2"/>
    </font>
    <font>
      <b/>
      <sz val="14"/>
      <color indexed="10"/>
      <name val="Arial"/>
      <family val="2"/>
    </font>
    <font>
      <sz val="10"/>
      <color indexed="81"/>
      <name val="Tahoma"/>
      <family val="2"/>
    </font>
    <font>
      <b/>
      <sz val="10"/>
      <color indexed="81"/>
      <name val="Tahoma"/>
      <family val="2"/>
    </font>
    <font>
      <b/>
      <sz val="10"/>
      <color indexed="10"/>
      <name val="Arial"/>
      <family val="2"/>
    </font>
    <font>
      <sz val="10"/>
      <name val="Verdana"/>
      <family val="2"/>
    </font>
    <font>
      <b/>
      <sz val="10"/>
      <name val="Verdana"/>
      <family val="2"/>
    </font>
    <font>
      <u/>
      <sz val="10"/>
      <color indexed="12"/>
      <name val="Verdana"/>
      <family val="2"/>
    </font>
    <font>
      <b/>
      <i/>
      <sz val="10"/>
      <name val="Verdana"/>
      <family val="2"/>
    </font>
    <font>
      <u/>
      <sz val="11.5"/>
      <color indexed="12"/>
      <name val="Verdana"/>
      <family val="2"/>
    </font>
    <font>
      <sz val="8"/>
      <name val="Verdana"/>
      <family val="2"/>
    </font>
    <font>
      <b/>
      <sz val="14"/>
      <name val="Verdana"/>
      <family val="2"/>
    </font>
    <font>
      <b/>
      <sz val="6"/>
      <name val="Verdana"/>
      <family val="2"/>
    </font>
    <font>
      <sz val="6"/>
      <name val="Verdana"/>
      <family val="2"/>
    </font>
    <font>
      <sz val="8"/>
      <name val="Courier"/>
      <family val="3"/>
    </font>
    <font>
      <b/>
      <i/>
      <sz val="10"/>
      <color indexed="9"/>
      <name val="Verdana"/>
      <family val="2"/>
    </font>
    <font>
      <sz val="10"/>
      <color indexed="9"/>
      <name val="Verdana"/>
      <family val="2"/>
    </font>
    <font>
      <sz val="10"/>
      <name val="Courier"/>
      <family val="3"/>
    </font>
    <font>
      <sz val="10"/>
      <name val="Calibri"/>
      <family val="2"/>
      <scheme val="minor"/>
    </font>
    <font>
      <b/>
      <sz val="10"/>
      <name val="Calibri"/>
      <family val="2"/>
      <scheme val="minor"/>
    </font>
    <font>
      <sz val="14"/>
      <name val="Verdana"/>
      <family val="2"/>
    </font>
    <font>
      <b/>
      <sz val="12"/>
      <name val="Verdana"/>
      <family val="2"/>
    </font>
    <font>
      <b/>
      <sz val="10"/>
      <color theme="0"/>
      <name val="Verdana"/>
      <family val="2"/>
    </font>
    <font>
      <i/>
      <sz val="10"/>
      <name val="Arial"/>
      <family val="2"/>
    </font>
    <font>
      <sz val="10"/>
      <color rgb="FFFF0000"/>
      <name val="Arial"/>
      <family val="2"/>
    </font>
    <font>
      <sz val="10"/>
      <name val="Calibri"/>
      <family val="2"/>
    </font>
    <font>
      <sz val="11"/>
      <name val="Arial"/>
      <family val="2"/>
    </font>
    <font>
      <b/>
      <sz val="11"/>
      <name val="Arial"/>
      <family val="2"/>
    </font>
    <font>
      <sz val="11"/>
      <name val="Courier"/>
      <family val="3"/>
    </font>
    <font>
      <i/>
      <sz val="10"/>
      <name val="Calibri"/>
      <family val="2"/>
      <scheme val="minor"/>
    </font>
    <font>
      <b/>
      <sz val="10"/>
      <color rgb="FFFF0000"/>
      <name val="Arial"/>
      <family val="2"/>
    </font>
    <font>
      <b/>
      <sz val="10"/>
      <color rgb="FFFF0000"/>
      <name val="Verdana"/>
      <family val="2"/>
    </font>
    <font>
      <sz val="10"/>
      <color rgb="FF000000"/>
      <name val="Arial"/>
      <family val="2"/>
    </font>
    <font>
      <sz val="10"/>
      <color indexed="12"/>
      <name val="Verdana"/>
      <family val="2"/>
    </font>
    <font>
      <sz val="11"/>
      <color theme="1"/>
      <name val="Calibri"/>
      <family val="2"/>
    </font>
    <font>
      <b/>
      <i/>
      <sz val="11"/>
      <color theme="1"/>
      <name val="Calibri"/>
      <family val="2"/>
    </font>
  </fonts>
  <fills count="38">
    <fill>
      <patternFill patternType="none"/>
    </fill>
    <fill>
      <patternFill patternType="gray125"/>
    </fill>
    <fill>
      <patternFill patternType="solid">
        <fgColor indexed="13"/>
        <bgColor indexed="64"/>
      </patternFill>
    </fill>
    <fill>
      <patternFill patternType="solid">
        <fgColor indexed="26"/>
        <bgColor indexed="64"/>
      </patternFill>
    </fill>
    <fill>
      <patternFill patternType="solid">
        <fgColor indexed="22"/>
        <bgColor indexed="64"/>
      </patternFill>
    </fill>
    <fill>
      <patternFill patternType="solid">
        <fgColor indexed="43"/>
        <bgColor indexed="64"/>
      </patternFill>
    </fill>
    <fill>
      <patternFill patternType="solid">
        <fgColor indexed="41"/>
        <bgColor indexed="64"/>
      </patternFill>
    </fill>
    <fill>
      <patternFill patternType="solid">
        <fgColor indexed="47"/>
        <bgColor indexed="64"/>
      </patternFill>
    </fill>
    <fill>
      <patternFill patternType="solid">
        <fgColor indexed="8"/>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79998168889431442"/>
        <bgColor indexed="64"/>
      </patternFill>
    </fill>
    <fill>
      <patternFill patternType="solid">
        <fgColor theme="1"/>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5" tint="0.79998168889431442"/>
        <bgColor indexed="64"/>
      </patternFill>
    </fill>
    <fill>
      <patternFill patternType="darkDown">
        <bgColor theme="0"/>
      </patternFill>
    </fill>
    <fill>
      <patternFill patternType="solid">
        <fgColor theme="8"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indexed="44"/>
        <bgColor indexed="64"/>
      </patternFill>
    </fill>
    <fill>
      <patternFill patternType="solid">
        <fgColor indexed="49"/>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theme="2" tint="-0.499984740745262"/>
        <bgColor indexed="64"/>
      </patternFill>
    </fill>
    <fill>
      <patternFill patternType="solid">
        <fgColor rgb="FFFFC000"/>
        <bgColor indexed="64"/>
      </patternFill>
    </fill>
    <fill>
      <patternFill patternType="solid">
        <fgColor rgb="FF00B0F0"/>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1" tint="0.49998474074526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0"/>
        <bgColor indexed="64"/>
      </patternFill>
    </fill>
    <fill>
      <patternFill patternType="solid">
        <fgColor rgb="FFFF0000"/>
        <bgColor indexed="64"/>
      </patternFill>
    </fill>
  </fills>
  <borders count="77">
    <border>
      <left/>
      <right/>
      <top/>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medium">
        <color indexed="64"/>
      </bottom>
      <diagonal/>
    </border>
    <border>
      <left/>
      <right/>
      <top style="thin">
        <color indexed="64"/>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top style="medium">
        <color indexed="64"/>
      </top>
      <bottom style="thin">
        <color indexed="64"/>
      </bottom>
      <diagonal/>
    </border>
    <border>
      <left style="thin">
        <color indexed="64"/>
      </left>
      <right style="hair">
        <color indexed="64"/>
      </right>
      <top style="medium">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hair">
        <color indexed="64"/>
      </right>
      <top style="medium">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hair">
        <color indexed="64"/>
      </right>
      <top/>
      <bottom style="hair">
        <color indexed="64"/>
      </bottom>
      <diagonal/>
    </border>
    <border>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thin">
        <color indexed="64"/>
      </right>
      <top/>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style="hair">
        <color indexed="64"/>
      </left>
      <right/>
      <top/>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right style="thin">
        <color indexed="64"/>
      </right>
      <top style="medium">
        <color indexed="64"/>
      </top>
      <bottom style="thin">
        <color indexed="64"/>
      </bottom>
      <diagonal/>
    </border>
    <border>
      <left style="thin">
        <color indexed="64"/>
      </left>
      <right style="medium">
        <color indexed="64"/>
      </right>
      <top/>
      <bottom/>
      <diagonal/>
    </border>
    <border>
      <left style="thin">
        <color indexed="64"/>
      </left>
      <right style="hair">
        <color indexed="64"/>
      </right>
      <top/>
      <bottom style="thin">
        <color indexed="64"/>
      </bottom>
      <diagonal/>
    </border>
    <border>
      <left style="medium">
        <color indexed="64"/>
      </left>
      <right/>
      <top style="thin">
        <color indexed="64"/>
      </top>
      <bottom style="thin">
        <color indexed="64"/>
      </bottom>
      <diagonal/>
    </border>
  </borders>
  <cellStyleXfs count="60">
    <xf numFmtId="164" fontId="0" fillId="0" borderId="0"/>
    <xf numFmtId="43" fontId="5" fillId="0" borderId="0" applyFont="0" applyFill="0" applyBorder="0" applyAlignment="0" applyProtection="0"/>
    <xf numFmtId="44" fontId="5" fillId="0" borderId="0" applyFont="0" applyFill="0" applyBorder="0" applyAlignment="0" applyProtection="0"/>
    <xf numFmtId="180" fontId="16" fillId="0" borderId="0" applyNumberFormat="0" applyFill="0" applyBorder="0" applyAlignment="0" applyProtection="0">
      <alignment vertical="top"/>
      <protection locked="0"/>
    </xf>
    <xf numFmtId="164" fontId="6" fillId="0" borderId="0"/>
    <xf numFmtId="180" fontId="6" fillId="0" borderId="0"/>
    <xf numFmtId="180" fontId="6" fillId="0" borderId="0"/>
    <xf numFmtId="180" fontId="5" fillId="0" borderId="0"/>
    <xf numFmtId="180" fontId="5" fillId="0" borderId="0"/>
    <xf numFmtId="180" fontId="5" fillId="0" borderId="0"/>
    <xf numFmtId="180" fontId="5" fillId="0" borderId="0"/>
    <xf numFmtId="9" fontId="5" fillId="0" borderId="0" applyFont="0" applyFill="0" applyBorder="0" applyAlignment="0" applyProtection="0"/>
    <xf numFmtId="164" fontId="34" fillId="0" borderId="0"/>
    <xf numFmtId="180" fontId="9" fillId="0" borderId="0"/>
    <xf numFmtId="180" fontId="34" fillId="0" borderId="0"/>
    <xf numFmtId="43" fontId="9" fillId="0" borderId="0" applyFont="0" applyFill="0" applyBorder="0" applyAlignment="0" applyProtection="0"/>
    <xf numFmtId="180" fontId="5" fillId="0" borderId="0"/>
    <xf numFmtId="180" fontId="4" fillId="0" borderId="0"/>
    <xf numFmtId="180" fontId="4" fillId="0" borderId="0"/>
    <xf numFmtId="180" fontId="4" fillId="0" borderId="0"/>
    <xf numFmtId="180" fontId="4" fillId="0" borderId="0"/>
    <xf numFmtId="180" fontId="4" fillId="0" borderId="0"/>
    <xf numFmtId="180" fontId="4" fillId="0" borderId="0"/>
    <xf numFmtId="180" fontId="4" fillId="0" borderId="0"/>
    <xf numFmtId="180" fontId="4" fillId="0" borderId="0"/>
    <xf numFmtId="180" fontId="4" fillId="0" borderId="0"/>
    <xf numFmtId="180" fontId="4" fillId="0" borderId="0"/>
    <xf numFmtId="180" fontId="4" fillId="0" borderId="0"/>
    <xf numFmtId="180" fontId="4" fillId="0" borderId="0"/>
    <xf numFmtId="180" fontId="4" fillId="0" borderId="0"/>
    <xf numFmtId="180" fontId="4" fillId="0" borderId="0"/>
    <xf numFmtId="164" fontId="6" fillId="0" borderId="0"/>
    <xf numFmtId="164" fontId="6" fillId="0" borderId="0"/>
    <xf numFmtId="180" fontId="3" fillId="0" borderId="0"/>
    <xf numFmtId="180" fontId="3" fillId="0" borderId="0"/>
    <xf numFmtId="180" fontId="2" fillId="0" borderId="0"/>
    <xf numFmtId="180" fontId="1" fillId="0" borderId="0"/>
    <xf numFmtId="164" fontId="6" fillId="0" borderId="0"/>
    <xf numFmtId="43" fontId="5" fillId="0" borderId="0" applyFont="0" applyFill="0" applyBorder="0" applyAlignment="0" applyProtection="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180" fontId="1" fillId="0" borderId="0"/>
    <xf numFmtId="180" fontId="1" fillId="0" borderId="0"/>
    <xf numFmtId="180" fontId="1" fillId="0" borderId="0"/>
    <xf numFmtId="180" fontId="1" fillId="0" borderId="0"/>
    <xf numFmtId="180" fontId="1" fillId="0" borderId="0"/>
    <xf numFmtId="180" fontId="1" fillId="0" borderId="0"/>
    <xf numFmtId="180" fontId="1" fillId="0" borderId="0"/>
    <xf numFmtId="180" fontId="1" fillId="0" borderId="0"/>
    <xf numFmtId="180" fontId="1" fillId="0" borderId="0"/>
    <xf numFmtId="180" fontId="1" fillId="0" borderId="0"/>
    <xf numFmtId="180" fontId="1" fillId="0" borderId="0"/>
    <xf numFmtId="180" fontId="1" fillId="0" borderId="0"/>
    <xf numFmtId="180" fontId="1" fillId="0" borderId="0"/>
    <xf numFmtId="180" fontId="1" fillId="0" borderId="0"/>
    <xf numFmtId="180" fontId="1" fillId="0" borderId="0"/>
    <xf numFmtId="180" fontId="1" fillId="0" borderId="0"/>
    <xf numFmtId="180" fontId="1" fillId="0" borderId="0"/>
    <xf numFmtId="0" fontId="51" fillId="0" borderId="0"/>
  </cellStyleXfs>
  <cellXfs count="1546">
    <xf numFmtId="164" fontId="0" fillId="0" borderId="0" xfId="0"/>
    <xf numFmtId="164" fontId="0" fillId="0" borderId="0" xfId="0" applyAlignment="1">
      <alignment horizontal="center"/>
    </xf>
    <xf numFmtId="164" fontId="7" fillId="0" borderId="0" xfId="0" applyFont="1"/>
    <xf numFmtId="164" fontId="9" fillId="0" borderId="0" xfId="0" applyFont="1"/>
    <xf numFmtId="164" fontId="10" fillId="0" borderId="0" xfId="0" applyFont="1"/>
    <xf numFmtId="164" fontId="10" fillId="0" borderId="0" xfId="0" applyFont="1" applyAlignment="1">
      <alignment horizontal="right"/>
    </xf>
    <xf numFmtId="164" fontId="10" fillId="0" borderId="0" xfId="0" applyFont="1" applyAlignment="1">
      <alignment horizontal="center"/>
    </xf>
    <xf numFmtId="2" fontId="9" fillId="0" borderId="0" xfId="7" applyNumberFormat="1" applyFont="1" applyFill="1" applyBorder="1" applyAlignment="1">
      <alignment wrapText="1"/>
    </xf>
    <xf numFmtId="43" fontId="21" fillId="0" borderId="0" xfId="0" applyNumberFormat="1" applyFont="1" applyFill="1" applyBorder="1" applyAlignment="1">
      <alignment horizontal="left"/>
    </xf>
    <xf numFmtId="43" fontId="9" fillId="0" borderId="0" xfId="0" applyNumberFormat="1" applyFont="1" applyFill="1" applyBorder="1" applyAlignment="1">
      <alignment horizontal="left"/>
    </xf>
    <xf numFmtId="43" fontId="17" fillId="0" borderId="5" xfId="0" applyNumberFormat="1" applyFont="1" applyFill="1" applyBorder="1" applyAlignment="1">
      <alignment horizontal="left"/>
    </xf>
    <xf numFmtId="43" fontId="17" fillId="0" borderId="0" xfId="0" applyNumberFormat="1" applyFont="1" applyFill="1" applyBorder="1" applyAlignment="1">
      <alignment horizontal="left"/>
    </xf>
    <xf numFmtId="176" fontId="9" fillId="0" borderId="0" xfId="2" applyNumberFormat="1" applyFont="1" applyFill="1" applyBorder="1" applyAlignment="1">
      <alignment horizontal="left"/>
    </xf>
    <xf numFmtId="176" fontId="9" fillId="0" borderId="0" xfId="0" applyNumberFormat="1" applyFont="1" applyFill="1" applyBorder="1" applyAlignment="1">
      <alignment horizontal="left"/>
    </xf>
    <xf numFmtId="9" fontId="9" fillId="0" borderId="0" xfId="0" applyNumberFormat="1" applyFont="1" applyFill="1" applyBorder="1" applyAlignment="1">
      <alignment horizontal="center"/>
    </xf>
    <xf numFmtId="43" fontId="9" fillId="0" borderId="6" xfId="0" applyNumberFormat="1" applyFont="1" applyFill="1" applyBorder="1" applyAlignment="1">
      <alignment horizontal="left"/>
    </xf>
    <xf numFmtId="43" fontId="9" fillId="0" borderId="0" xfId="2" applyNumberFormat="1" applyFont="1" applyFill="1" applyBorder="1" applyAlignment="1">
      <alignment horizontal="left"/>
    </xf>
    <xf numFmtId="43" fontId="17" fillId="0" borderId="0" xfId="2" applyNumberFormat="1" applyFont="1" applyFill="1" applyBorder="1" applyAlignment="1">
      <alignment horizontal="left"/>
    </xf>
    <xf numFmtId="176" fontId="17" fillId="0" borderId="0" xfId="0" applyNumberFormat="1" applyFont="1" applyFill="1" applyBorder="1" applyAlignment="1">
      <alignment horizontal="left"/>
    </xf>
    <xf numFmtId="180" fontId="9" fillId="0" borderId="0" xfId="7" applyFont="1" applyFill="1" applyBorder="1" applyAlignment="1">
      <alignment wrapText="1"/>
    </xf>
    <xf numFmtId="43" fontId="9" fillId="0" borderId="0" xfId="7" applyNumberFormat="1" applyFont="1" applyFill="1" applyBorder="1" applyAlignment="1">
      <alignment wrapText="1"/>
    </xf>
    <xf numFmtId="3" fontId="9" fillId="0" borderId="0" xfId="7" applyNumberFormat="1" applyFont="1" applyFill="1" applyBorder="1" applyAlignment="1">
      <alignment wrapText="1"/>
    </xf>
    <xf numFmtId="173" fontId="9" fillId="0" borderId="0" xfId="2" applyNumberFormat="1" applyFont="1" applyFill="1" applyBorder="1" applyAlignment="1">
      <alignment horizontal="left"/>
    </xf>
    <xf numFmtId="173" fontId="9" fillId="0" borderId="0" xfId="0" applyNumberFormat="1" applyFont="1" applyFill="1" applyBorder="1" applyAlignment="1">
      <alignment horizontal="left"/>
    </xf>
    <xf numFmtId="10" fontId="22" fillId="0" borderId="0" xfId="11" applyNumberFormat="1" applyFont="1"/>
    <xf numFmtId="176" fontId="22" fillId="0" borderId="0" xfId="11" applyNumberFormat="1" applyFont="1"/>
    <xf numFmtId="164" fontId="22" fillId="0" borderId="0" xfId="0" applyFont="1"/>
    <xf numFmtId="164" fontId="22" fillId="0" borderId="0" xfId="0" applyNumberFormat="1" applyFont="1" applyAlignment="1">
      <alignment horizontal="center"/>
    </xf>
    <xf numFmtId="14" fontId="22" fillId="0" borderId="0" xfId="0" applyNumberFormat="1" applyFont="1"/>
    <xf numFmtId="180" fontId="22" fillId="0" borderId="0" xfId="0" applyNumberFormat="1" applyFont="1"/>
    <xf numFmtId="164" fontId="22" fillId="0" borderId="0" xfId="0" applyFont="1" applyFill="1"/>
    <xf numFmtId="164" fontId="22" fillId="0" borderId="0" xfId="0" applyNumberFormat="1" applyFont="1" applyFill="1" applyAlignment="1">
      <alignment horizontal="left"/>
    </xf>
    <xf numFmtId="164" fontId="22" fillId="0" borderId="0" xfId="0" applyFont="1" applyProtection="1">
      <protection locked="0"/>
    </xf>
    <xf numFmtId="164" fontId="23" fillId="0" borderId="0" xfId="0" applyFont="1"/>
    <xf numFmtId="164" fontId="22" fillId="0" borderId="0" xfId="0" applyFont="1" applyAlignment="1">
      <alignment horizontal="right"/>
    </xf>
    <xf numFmtId="164" fontId="24" fillId="0" borderId="0" xfId="3" applyNumberFormat="1" applyFont="1" applyAlignment="1" applyProtection="1"/>
    <xf numFmtId="164" fontId="22" fillId="0" borderId="0" xfId="0" quotePrefix="1" applyFont="1" applyAlignment="1">
      <alignment horizontal="center"/>
    </xf>
    <xf numFmtId="167" fontId="22" fillId="0" borderId="0" xfId="0" applyNumberFormat="1" applyFont="1"/>
    <xf numFmtId="167" fontId="22" fillId="0" borderId="0" xfId="0" applyNumberFormat="1" applyFont="1" applyAlignment="1">
      <alignment horizontal="right"/>
    </xf>
    <xf numFmtId="164" fontId="25" fillId="0" borderId="0" xfId="0" applyFont="1"/>
    <xf numFmtId="164" fontId="26" fillId="0" borderId="0" xfId="3" applyNumberFormat="1" applyFont="1" applyAlignment="1" applyProtection="1"/>
    <xf numFmtId="4" fontId="22" fillId="0" borderId="0" xfId="0" applyNumberFormat="1" applyFont="1"/>
    <xf numFmtId="14" fontId="22" fillId="0" borderId="0" xfId="5" applyNumberFormat="1" applyFont="1" applyProtection="1">
      <protection locked="0"/>
    </xf>
    <xf numFmtId="164" fontId="22" fillId="5" borderId="0" xfId="0" applyFont="1" applyFill="1"/>
    <xf numFmtId="14" fontId="22" fillId="0" borderId="0" xfId="5" applyNumberFormat="1" applyFont="1" applyFill="1" applyProtection="1">
      <protection locked="0"/>
    </xf>
    <xf numFmtId="179" fontId="22" fillId="0" borderId="0" xfId="0" applyNumberFormat="1" applyFont="1"/>
    <xf numFmtId="19" fontId="22" fillId="0" borderId="0" xfId="0" applyNumberFormat="1" applyFont="1"/>
    <xf numFmtId="180" fontId="22" fillId="0" borderId="0" xfId="5" applyFont="1" applyFill="1" applyProtection="1">
      <protection locked="0"/>
    </xf>
    <xf numFmtId="180" fontId="22" fillId="0" borderId="0" xfId="5" applyFont="1" applyProtection="1">
      <protection locked="0"/>
    </xf>
    <xf numFmtId="180" fontId="22" fillId="0" borderId="0" xfId="5" applyFont="1" applyFill="1" applyAlignment="1" applyProtection="1">
      <alignment horizontal="center" wrapText="1"/>
      <protection locked="0"/>
    </xf>
    <xf numFmtId="164" fontId="22" fillId="0" borderId="0" xfId="0" applyFont="1" applyFill="1" applyAlignment="1">
      <alignment vertical="center"/>
    </xf>
    <xf numFmtId="180" fontId="22" fillId="0" borderId="0" xfId="5" applyFont="1" applyAlignment="1" applyProtection="1">
      <alignment horizontal="center" wrapText="1"/>
      <protection locked="0"/>
    </xf>
    <xf numFmtId="164" fontId="22" fillId="0" borderId="0" xfId="0" applyFont="1" applyAlignment="1">
      <alignment horizontal="center" wrapText="1"/>
    </xf>
    <xf numFmtId="164" fontId="23" fillId="0" borderId="0" xfId="0" applyFont="1" applyBorder="1"/>
    <xf numFmtId="164" fontId="22" fillId="0" borderId="0" xfId="0" applyFont="1" applyBorder="1"/>
    <xf numFmtId="180" fontId="22" fillId="6" borderId="0" xfId="5" applyFont="1" applyFill="1" applyProtection="1"/>
    <xf numFmtId="165" fontId="22" fillId="0" borderId="0" xfId="5" applyNumberFormat="1" applyFont="1" applyFill="1" applyProtection="1">
      <protection locked="0"/>
    </xf>
    <xf numFmtId="164" fontId="22" fillId="6" borderId="0" xfId="0" applyFont="1" applyFill="1"/>
    <xf numFmtId="180" fontId="22" fillId="6" borderId="0" xfId="5" applyFont="1" applyFill="1" applyProtection="1">
      <protection locked="0"/>
    </xf>
    <xf numFmtId="164" fontId="22" fillId="6" borderId="0" xfId="0" applyFont="1" applyFill="1" applyAlignment="1">
      <alignment horizontal="left"/>
    </xf>
    <xf numFmtId="5" fontId="28" fillId="0" borderId="0" xfId="10" applyNumberFormat="1" applyFont="1"/>
    <xf numFmtId="5" fontId="22" fillId="0" borderId="0" xfId="10" applyNumberFormat="1" applyFont="1"/>
    <xf numFmtId="39" fontId="22" fillId="0" borderId="0" xfId="10" applyNumberFormat="1" applyFont="1"/>
    <xf numFmtId="180" fontId="22" fillId="0" borderId="0" xfId="7" applyFont="1" applyAlignment="1">
      <alignment wrapText="1"/>
    </xf>
    <xf numFmtId="3" fontId="22" fillId="0" borderId="0" xfId="7" applyNumberFormat="1" applyFont="1" applyAlignment="1">
      <alignment wrapText="1"/>
    </xf>
    <xf numFmtId="2" fontId="30" fillId="0" borderId="0" xfId="7" applyNumberFormat="1" applyFont="1"/>
    <xf numFmtId="3" fontId="29" fillId="0" borderId="0" xfId="7" applyNumberFormat="1" applyFont="1" applyAlignment="1">
      <alignment wrapText="1"/>
    </xf>
    <xf numFmtId="2" fontId="30" fillId="0" borderId="0" xfId="7" quotePrefix="1" applyNumberFormat="1" applyFont="1" applyAlignment="1">
      <alignment horizontal="left" wrapText="1"/>
    </xf>
    <xf numFmtId="3" fontId="30" fillId="0" borderId="0" xfId="7" applyNumberFormat="1" applyFont="1" applyFill="1" applyBorder="1" applyAlignment="1">
      <alignment horizontal="center"/>
    </xf>
    <xf numFmtId="2" fontId="30" fillId="0" borderId="0" xfId="7" quotePrefix="1" applyNumberFormat="1" applyFont="1" applyFill="1" applyBorder="1" applyAlignment="1">
      <alignment horizontal="center"/>
    </xf>
    <xf numFmtId="4" fontId="22" fillId="0" borderId="0" xfId="7" applyNumberFormat="1" applyFont="1" applyAlignment="1">
      <alignment wrapText="1"/>
    </xf>
    <xf numFmtId="1" fontId="22" fillId="0" borderId="0" xfId="7" applyNumberFormat="1" applyFont="1" applyAlignment="1">
      <alignment wrapText="1"/>
    </xf>
    <xf numFmtId="2" fontId="22" fillId="0" borderId="0" xfId="7" applyNumberFormat="1" applyFont="1" applyAlignment="1">
      <alignment wrapText="1"/>
    </xf>
    <xf numFmtId="2" fontId="23" fillId="0" borderId="0" xfId="7" applyNumberFormat="1" applyFont="1" applyAlignment="1">
      <alignment wrapText="1"/>
    </xf>
    <xf numFmtId="164" fontId="22" fillId="0" borderId="0" xfId="0" quotePrefix="1" applyFont="1"/>
    <xf numFmtId="3" fontId="22" fillId="0" borderId="0" xfId="7" quotePrefix="1" applyNumberFormat="1" applyFont="1" applyAlignment="1">
      <alignment wrapText="1"/>
    </xf>
    <xf numFmtId="180" fontId="23" fillId="0" borderId="0" xfId="7" applyFont="1" applyAlignment="1">
      <alignment wrapText="1"/>
    </xf>
    <xf numFmtId="180" fontId="22" fillId="0" borderId="0" xfId="7" applyFont="1" applyFill="1" applyAlignment="1">
      <alignment wrapText="1"/>
    </xf>
    <xf numFmtId="1" fontId="22" fillId="0" borderId="0" xfId="7" applyNumberFormat="1" applyFont="1" applyFill="1" applyBorder="1" applyAlignment="1">
      <alignment wrapText="1"/>
    </xf>
    <xf numFmtId="170" fontId="22" fillId="0" borderId="0" xfId="7" applyNumberFormat="1" applyFont="1" applyFill="1" applyBorder="1" applyAlignment="1">
      <alignment wrapText="1"/>
    </xf>
    <xf numFmtId="10" fontId="22" fillId="0" borderId="0" xfId="7" applyNumberFormat="1" applyFont="1" applyAlignment="1">
      <alignment wrapText="1"/>
    </xf>
    <xf numFmtId="3" fontId="22" fillId="0" borderId="0" xfId="7" applyNumberFormat="1" applyFont="1" applyAlignment="1"/>
    <xf numFmtId="177" fontId="22" fillId="0" borderId="0" xfId="7" applyNumberFormat="1" applyFont="1" applyAlignment="1">
      <alignment wrapText="1"/>
    </xf>
    <xf numFmtId="180" fontId="22" fillId="0" borderId="0" xfId="9" applyFont="1"/>
    <xf numFmtId="5" fontId="22" fillId="0" borderId="0" xfId="9" applyNumberFormat="1" applyFont="1" applyFill="1" applyAlignment="1">
      <alignment horizontal="right"/>
    </xf>
    <xf numFmtId="5" fontId="22" fillId="0" borderId="0" xfId="9" applyNumberFormat="1" applyFont="1" applyAlignment="1">
      <alignment horizontal="right"/>
    </xf>
    <xf numFmtId="10" fontId="22" fillId="0" borderId="0" xfId="9" applyNumberFormat="1" applyFont="1"/>
    <xf numFmtId="3" fontId="22" fillId="0" borderId="0" xfId="9" applyNumberFormat="1" applyFont="1"/>
    <xf numFmtId="169" fontId="23" fillId="0" borderId="0" xfId="9" applyNumberFormat="1" applyFont="1"/>
    <xf numFmtId="5" fontId="23" fillId="0" borderId="0" xfId="9" applyNumberFormat="1" applyFont="1"/>
    <xf numFmtId="5" fontId="22" fillId="0" borderId="0" xfId="9" applyNumberFormat="1" applyFont="1"/>
    <xf numFmtId="5" fontId="22" fillId="0" borderId="8" xfId="9" applyNumberFormat="1" applyFont="1" applyBorder="1"/>
    <xf numFmtId="5" fontId="22" fillId="0" borderId="0" xfId="9" applyNumberFormat="1" applyFont="1" applyBorder="1"/>
    <xf numFmtId="171" fontId="22" fillId="0" borderId="0" xfId="9" applyNumberFormat="1" applyFont="1" applyBorder="1"/>
    <xf numFmtId="171" fontId="22" fillId="0" borderId="8" xfId="9" applyNumberFormat="1" applyFont="1" applyBorder="1"/>
    <xf numFmtId="7" fontId="22" fillId="0" borderId="0" xfId="9" applyNumberFormat="1" applyFont="1"/>
    <xf numFmtId="5" fontId="22" fillId="2" borderId="0" xfId="9" applyNumberFormat="1" applyFont="1" applyFill="1"/>
    <xf numFmtId="1" fontId="22" fillId="3" borderId="0" xfId="9" applyNumberFormat="1" applyFont="1" applyFill="1"/>
    <xf numFmtId="9" fontId="22" fillId="3" borderId="0" xfId="9" applyNumberFormat="1" applyFont="1" applyFill="1" applyAlignment="1">
      <alignment horizontal="right"/>
    </xf>
    <xf numFmtId="176" fontId="22" fillId="3" borderId="0" xfId="9" applyNumberFormat="1" applyFont="1" applyFill="1" applyAlignment="1">
      <alignment horizontal="right"/>
    </xf>
    <xf numFmtId="37" fontId="22" fillId="3" borderId="0" xfId="9" applyNumberFormat="1" applyFont="1" applyFill="1" applyAlignment="1">
      <alignment horizontal="right"/>
    </xf>
    <xf numFmtId="10" fontId="22" fillId="3" borderId="0" xfId="11" applyNumberFormat="1" applyFont="1" applyFill="1" applyAlignment="1">
      <alignment horizontal="right"/>
    </xf>
    <xf numFmtId="10" fontId="22" fillId="3" borderId="0" xfId="9" applyNumberFormat="1" applyFont="1" applyFill="1"/>
    <xf numFmtId="9" fontId="22" fillId="3" borderId="0" xfId="9" applyNumberFormat="1" applyFont="1" applyFill="1"/>
    <xf numFmtId="169" fontId="23" fillId="7" borderId="0" xfId="9" applyNumberFormat="1" applyFont="1" applyFill="1"/>
    <xf numFmtId="164" fontId="22" fillId="6" borderId="0" xfId="4" applyFont="1" applyFill="1" applyAlignment="1">
      <alignment horizontal="left"/>
    </xf>
    <xf numFmtId="180" fontId="22" fillId="6" borderId="0" xfId="5" applyFont="1" applyFill="1" applyAlignment="1" applyProtection="1">
      <alignment horizontal="left"/>
      <protection locked="0"/>
    </xf>
    <xf numFmtId="3" fontId="22" fillId="0" borderId="0" xfId="0" applyNumberFormat="1" applyFont="1"/>
    <xf numFmtId="164" fontId="9" fillId="0" borderId="0" xfId="0" applyFont="1" applyAlignment="1">
      <alignment horizontal="left"/>
    </xf>
    <xf numFmtId="164" fontId="22" fillId="0" borderId="0" xfId="0" applyFont="1" applyAlignment="1">
      <alignment horizontal="left"/>
    </xf>
    <xf numFmtId="164" fontId="22" fillId="0" borderId="0" xfId="0" applyNumberFormat="1" applyFont="1" applyAlignment="1">
      <alignment horizontal="left"/>
    </xf>
    <xf numFmtId="164" fontId="22" fillId="0" borderId="0" xfId="5" applyNumberFormat="1" applyFont="1" applyFill="1" applyProtection="1">
      <protection locked="0"/>
    </xf>
    <xf numFmtId="164" fontId="9" fillId="6" borderId="0" xfId="0" applyFont="1" applyFill="1"/>
    <xf numFmtId="2" fontId="23" fillId="0" borderId="0" xfId="7" quotePrefix="1" applyNumberFormat="1" applyFont="1" applyBorder="1" applyAlignment="1">
      <alignment horizontal="center" wrapText="1"/>
    </xf>
    <xf numFmtId="3" fontId="22" fillId="0" borderId="0" xfId="7" applyNumberFormat="1" applyFont="1" applyBorder="1" applyAlignment="1">
      <alignment wrapText="1"/>
    </xf>
    <xf numFmtId="2" fontId="22" fillId="0" borderId="0" xfId="7" applyNumberFormat="1" applyFont="1" applyFill="1" applyBorder="1" applyAlignment="1">
      <alignment wrapText="1"/>
    </xf>
    <xf numFmtId="2" fontId="22" fillId="0" borderId="0" xfId="7" applyNumberFormat="1" applyFont="1" applyBorder="1" applyAlignment="1">
      <alignment wrapText="1"/>
    </xf>
    <xf numFmtId="164" fontId="0" fillId="0" borderId="0" xfId="0" applyFill="1"/>
    <xf numFmtId="3" fontId="22" fillId="0" borderId="0" xfId="0" applyNumberFormat="1" applyFont="1" applyFill="1"/>
    <xf numFmtId="3" fontId="23" fillId="0" borderId="2" xfId="7" applyNumberFormat="1" applyFont="1" applyBorder="1" applyAlignment="1">
      <alignment wrapText="1"/>
    </xf>
    <xf numFmtId="3" fontId="23" fillId="0" borderId="4" xfId="7" applyNumberFormat="1" applyFont="1" applyBorder="1" applyAlignment="1">
      <alignment wrapText="1"/>
    </xf>
    <xf numFmtId="2" fontId="23" fillId="0" borderId="2" xfId="7" applyNumberFormat="1" applyFont="1" applyBorder="1" applyAlignment="1">
      <alignment wrapText="1"/>
    </xf>
    <xf numFmtId="44" fontId="23" fillId="0" borderId="3" xfId="2" applyFont="1" applyBorder="1" applyAlignment="1">
      <alignment wrapText="1"/>
    </xf>
    <xf numFmtId="2" fontId="22" fillId="0" borderId="0" xfId="0" applyNumberFormat="1" applyFont="1"/>
    <xf numFmtId="1" fontId="22" fillId="0" borderId="0" xfId="0" applyNumberFormat="1" applyFont="1"/>
    <xf numFmtId="164" fontId="35" fillId="0" borderId="0" xfId="12" applyFont="1"/>
    <xf numFmtId="3" fontId="22" fillId="0" borderId="12" xfId="7" applyNumberFormat="1" applyFont="1" applyFill="1" applyBorder="1" applyAlignment="1">
      <alignment wrapText="1"/>
    </xf>
    <xf numFmtId="1" fontId="22" fillId="0" borderId="12" xfId="7" applyNumberFormat="1" applyFont="1" applyFill="1" applyBorder="1" applyAlignment="1">
      <alignment wrapText="1"/>
    </xf>
    <xf numFmtId="4" fontId="22" fillId="0" borderId="12" xfId="7" applyNumberFormat="1" applyFont="1" applyBorder="1" applyAlignment="1">
      <alignment wrapText="1"/>
    </xf>
    <xf numFmtId="3" fontId="22" fillId="0" borderId="1" xfId="7" applyNumberFormat="1" applyFont="1" applyFill="1" applyBorder="1" applyAlignment="1">
      <alignment wrapText="1"/>
    </xf>
    <xf numFmtId="1" fontId="22" fillId="0" borderId="1" xfId="7" applyNumberFormat="1" applyFont="1" applyFill="1" applyBorder="1" applyAlignment="1">
      <alignment wrapText="1"/>
    </xf>
    <xf numFmtId="2" fontId="22" fillId="0" borderId="1" xfId="7" applyNumberFormat="1" applyFont="1" applyFill="1" applyBorder="1" applyAlignment="1">
      <alignment wrapText="1"/>
    </xf>
    <xf numFmtId="4" fontId="22" fillId="0" borderId="1" xfId="7" applyNumberFormat="1" applyFont="1" applyBorder="1" applyAlignment="1">
      <alignment wrapText="1"/>
    </xf>
    <xf numFmtId="3" fontId="22" fillId="0" borderId="0" xfId="7" applyNumberFormat="1" applyFont="1" applyFill="1" applyBorder="1" applyAlignment="1">
      <alignment wrapText="1"/>
    </xf>
    <xf numFmtId="4" fontId="22" fillId="0" borderId="0" xfId="7" applyNumberFormat="1" applyFont="1" applyBorder="1" applyAlignment="1">
      <alignment wrapText="1"/>
    </xf>
    <xf numFmtId="4" fontId="22" fillId="0" borderId="1" xfId="7" applyNumberFormat="1" applyFont="1" applyFill="1" applyBorder="1" applyAlignment="1">
      <alignment wrapText="1"/>
    </xf>
    <xf numFmtId="3" fontId="23" fillId="11" borderId="0" xfId="7" applyNumberFormat="1" applyFont="1" applyFill="1" applyAlignment="1">
      <alignment wrapText="1"/>
    </xf>
    <xf numFmtId="3" fontId="22" fillId="11" borderId="0" xfId="7" applyNumberFormat="1" applyFont="1" applyFill="1" applyAlignment="1">
      <alignment wrapText="1"/>
    </xf>
    <xf numFmtId="2" fontId="22" fillId="11" borderId="0" xfId="7" applyNumberFormat="1" applyFont="1" applyFill="1" applyAlignment="1">
      <alignment wrapText="1"/>
    </xf>
    <xf numFmtId="2" fontId="22" fillId="0" borderId="17" xfId="7" applyNumberFormat="1" applyFont="1" applyFill="1" applyBorder="1" applyAlignment="1">
      <alignment wrapText="1"/>
    </xf>
    <xf numFmtId="2" fontId="22" fillId="0" borderId="19" xfId="7" applyNumberFormat="1" applyFont="1" applyFill="1" applyBorder="1" applyAlignment="1">
      <alignment wrapText="1"/>
    </xf>
    <xf numFmtId="2" fontId="22" fillId="0" borderId="6" xfId="7" applyNumberFormat="1" applyFont="1" applyFill="1" applyBorder="1" applyAlignment="1">
      <alignment wrapText="1"/>
    </xf>
    <xf numFmtId="3" fontId="22" fillId="0" borderId="8" xfId="7" applyNumberFormat="1" applyFont="1" applyFill="1" applyBorder="1" applyAlignment="1">
      <alignment wrapText="1"/>
    </xf>
    <xf numFmtId="1" fontId="22" fillId="0" borderId="8" xfId="7" applyNumberFormat="1" applyFont="1" applyFill="1" applyBorder="1" applyAlignment="1">
      <alignment wrapText="1"/>
    </xf>
    <xf numFmtId="2" fontId="22" fillId="0" borderId="8" xfId="7" applyNumberFormat="1" applyFont="1" applyFill="1" applyBorder="1" applyAlignment="1">
      <alignment wrapText="1"/>
    </xf>
    <xf numFmtId="4" fontId="23" fillId="0" borderId="8" xfId="7" applyNumberFormat="1" applyFont="1" applyBorder="1" applyAlignment="1">
      <alignment wrapText="1"/>
    </xf>
    <xf numFmtId="2" fontId="23" fillId="0" borderId="8" xfId="7" applyNumberFormat="1" applyFont="1" applyBorder="1" applyAlignment="1">
      <alignment wrapText="1"/>
    </xf>
    <xf numFmtId="2" fontId="23" fillId="0" borderId="9" xfId="7" applyNumberFormat="1" applyFont="1" applyBorder="1" applyAlignment="1">
      <alignment wrapText="1"/>
    </xf>
    <xf numFmtId="1" fontId="22" fillId="11" borderId="0" xfId="7" applyNumberFormat="1" applyFont="1" applyFill="1" applyAlignment="1">
      <alignment wrapText="1"/>
    </xf>
    <xf numFmtId="3" fontId="22" fillId="0" borderId="14" xfId="7" applyNumberFormat="1" applyFont="1" applyBorder="1" applyAlignment="1">
      <alignment wrapText="1"/>
    </xf>
    <xf numFmtId="2" fontId="22" fillId="0" borderId="15" xfId="7" applyNumberFormat="1" applyFont="1" applyFill="1" applyBorder="1" applyAlignment="1">
      <alignment wrapText="1"/>
    </xf>
    <xf numFmtId="3" fontId="22" fillId="0" borderId="8" xfId="7" applyNumberFormat="1" applyFont="1" applyBorder="1" applyAlignment="1">
      <alignment wrapText="1"/>
    </xf>
    <xf numFmtId="167" fontId="22" fillId="0" borderId="8" xfId="7" applyNumberFormat="1" applyFont="1" applyBorder="1" applyAlignment="1">
      <alignment wrapText="1"/>
    </xf>
    <xf numFmtId="2" fontId="22" fillId="0" borderId="8" xfId="7" applyNumberFormat="1" applyFont="1" applyBorder="1" applyAlignment="1">
      <alignment wrapText="1"/>
    </xf>
    <xf numFmtId="3" fontId="22" fillId="0" borderId="21" xfId="7" applyNumberFormat="1" applyFont="1" applyFill="1" applyBorder="1" applyAlignment="1">
      <alignment wrapText="1"/>
    </xf>
    <xf numFmtId="3" fontId="22" fillId="0" borderId="21" xfId="7" applyNumberFormat="1" applyFont="1" applyBorder="1" applyAlignment="1">
      <alignment wrapText="1"/>
    </xf>
    <xf numFmtId="1" fontId="22" fillId="0" borderId="21" xfId="7" applyNumberFormat="1" applyFont="1" applyFill="1" applyBorder="1" applyAlignment="1">
      <alignment wrapText="1"/>
    </xf>
    <xf numFmtId="2" fontId="22" fillId="0" borderId="21" xfId="7" applyNumberFormat="1" applyFont="1" applyFill="1" applyBorder="1" applyAlignment="1">
      <alignment wrapText="1"/>
    </xf>
    <xf numFmtId="170" fontId="22" fillId="0" borderId="21" xfId="7" applyNumberFormat="1" applyFont="1" applyFill="1" applyBorder="1" applyAlignment="1">
      <alignment wrapText="1"/>
    </xf>
    <xf numFmtId="4" fontId="22" fillId="0" borderId="21" xfId="7" applyNumberFormat="1" applyFont="1" applyBorder="1" applyAlignment="1">
      <alignment wrapText="1"/>
    </xf>
    <xf numFmtId="2" fontId="22" fillId="0" borderId="22" xfId="7" applyNumberFormat="1" applyFont="1" applyFill="1" applyBorder="1" applyAlignment="1">
      <alignment wrapText="1"/>
    </xf>
    <xf numFmtId="3" fontId="22" fillId="11" borderId="14" xfId="7" applyNumberFormat="1" applyFont="1" applyFill="1" applyBorder="1" applyAlignment="1">
      <alignment wrapText="1"/>
    </xf>
    <xf numFmtId="2" fontId="22" fillId="11" borderId="14" xfId="7" applyNumberFormat="1" applyFont="1" applyFill="1" applyBorder="1" applyAlignment="1">
      <alignment wrapText="1"/>
    </xf>
    <xf numFmtId="3" fontId="22" fillId="0" borderId="8" xfId="7" applyNumberFormat="1" applyFont="1" applyBorder="1" applyAlignment="1"/>
    <xf numFmtId="4" fontId="23" fillId="0" borderId="8" xfId="7" applyNumberFormat="1" applyFont="1" applyBorder="1" applyAlignment="1"/>
    <xf numFmtId="2" fontId="23" fillId="0" borderId="8" xfId="7" applyNumberFormat="1" applyFont="1" applyBorder="1" applyAlignment="1"/>
    <xf numFmtId="2" fontId="23" fillId="0" borderId="9" xfId="7" applyNumberFormat="1" applyFont="1" applyBorder="1" applyAlignment="1"/>
    <xf numFmtId="178" fontId="22" fillId="0" borderId="0" xfId="1" applyNumberFormat="1" applyFont="1" applyBorder="1" applyAlignment="1">
      <alignment horizontal="right" wrapText="1"/>
    </xf>
    <xf numFmtId="2" fontId="22" fillId="0" borderId="14" xfId="7" applyNumberFormat="1" applyFont="1" applyBorder="1" applyAlignment="1">
      <alignment wrapText="1"/>
    </xf>
    <xf numFmtId="1" fontId="22" fillId="0" borderId="0" xfId="7" applyNumberFormat="1" applyFont="1" applyBorder="1" applyAlignment="1">
      <alignment wrapText="1"/>
    </xf>
    <xf numFmtId="175" fontId="22" fillId="0" borderId="0" xfId="7" applyNumberFormat="1" applyFont="1" applyBorder="1" applyAlignment="1">
      <alignment wrapText="1"/>
    </xf>
    <xf numFmtId="3" fontId="22" fillId="0" borderId="1" xfId="7" applyNumberFormat="1" applyFont="1" applyBorder="1" applyAlignment="1">
      <alignment wrapText="1"/>
    </xf>
    <xf numFmtId="2" fontId="22" fillId="0" borderId="1" xfId="7" applyNumberFormat="1" applyFont="1" applyBorder="1" applyAlignment="1">
      <alignment wrapText="1"/>
    </xf>
    <xf numFmtId="175" fontId="22" fillId="0" borderId="1" xfId="7" applyNumberFormat="1" applyFont="1" applyBorder="1" applyAlignment="1">
      <alignment wrapText="1"/>
    </xf>
    <xf numFmtId="180" fontId="22" fillId="0" borderId="0" xfId="7" applyFont="1" applyAlignment="1">
      <alignment horizontal="left"/>
    </xf>
    <xf numFmtId="9" fontId="22" fillId="0" borderId="14" xfId="11" applyFont="1" applyBorder="1" applyAlignment="1">
      <alignment wrapText="1"/>
    </xf>
    <xf numFmtId="176" fontId="22" fillId="0" borderId="1" xfId="11" applyNumberFormat="1" applyFont="1" applyBorder="1" applyAlignment="1">
      <alignment wrapText="1"/>
    </xf>
    <xf numFmtId="2" fontId="23" fillId="0" borderId="0" xfId="7" applyNumberFormat="1" applyFont="1" applyBorder="1" applyAlignment="1">
      <alignment wrapText="1"/>
    </xf>
    <xf numFmtId="2" fontId="22" fillId="0" borderId="6" xfId="7" applyNumberFormat="1" applyFont="1" applyBorder="1" applyAlignment="1">
      <alignment wrapText="1"/>
    </xf>
    <xf numFmtId="3" fontId="23" fillId="12" borderId="14" xfId="7" applyNumberFormat="1" applyFont="1" applyFill="1" applyBorder="1" applyAlignment="1">
      <alignment horizontal="center" wrapText="1"/>
    </xf>
    <xf numFmtId="2" fontId="23" fillId="12" borderId="14" xfId="7" quotePrefix="1" applyNumberFormat="1" applyFont="1" applyFill="1" applyBorder="1" applyAlignment="1">
      <alignment horizontal="center" wrapText="1"/>
    </xf>
    <xf numFmtId="2" fontId="23" fillId="12" borderId="15" xfId="7" quotePrefix="1" applyNumberFormat="1" applyFont="1" applyFill="1" applyBorder="1" applyAlignment="1">
      <alignment horizontal="center" wrapText="1"/>
    </xf>
    <xf numFmtId="2" fontId="22" fillId="12" borderId="14" xfId="7" applyNumberFormat="1" applyFont="1" applyFill="1" applyBorder="1" applyAlignment="1">
      <alignment wrapText="1"/>
    </xf>
    <xf numFmtId="3" fontId="22" fillId="12" borderId="14" xfId="7" applyNumberFormat="1" applyFont="1" applyFill="1" applyBorder="1" applyAlignment="1">
      <alignment wrapText="1"/>
    </xf>
    <xf numFmtId="2" fontId="23" fillId="12" borderId="21" xfId="7" applyNumberFormat="1" applyFont="1" applyFill="1" applyBorder="1" applyAlignment="1">
      <alignment horizontal="center" wrapText="1"/>
    </xf>
    <xf numFmtId="2" fontId="23" fillId="12" borderId="21" xfId="7" quotePrefix="1" applyNumberFormat="1" applyFont="1" applyFill="1" applyBorder="1" applyAlignment="1">
      <alignment horizontal="center" wrapText="1"/>
    </xf>
    <xf numFmtId="2" fontId="22" fillId="12" borderId="21" xfId="7" applyNumberFormat="1" applyFont="1" applyFill="1" applyBorder="1" applyAlignment="1">
      <alignment wrapText="1"/>
    </xf>
    <xf numFmtId="2" fontId="23" fillId="12" borderId="22" xfId="7" quotePrefix="1" applyNumberFormat="1" applyFont="1" applyFill="1" applyBorder="1" applyAlignment="1">
      <alignment horizontal="center" wrapText="1"/>
    </xf>
    <xf numFmtId="176" fontId="23" fillId="0" borderId="4" xfId="7" applyNumberFormat="1" applyFont="1" applyBorder="1" applyAlignment="1">
      <alignment wrapText="1"/>
    </xf>
    <xf numFmtId="164" fontId="5" fillId="0" borderId="0" xfId="0" applyFont="1"/>
    <xf numFmtId="2" fontId="22" fillId="0" borderId="0" xfId="7" applyNumberFormat="1" applyFont="1" applyAlignment="1"/>
    <xf numFmtId="167" fontId="22" fillId="0" borderId="0" xfId="7" applyNumberFormat="1" applyFont="1" applyAlignment="1"/>
    <xf numFmtId="3" fontId="22" fillId="11" borderId="3" xfId="7" applyNumberFormat="1" applyFont="1" applyFill="1" applyBorder="1" applyAlignment="1">
      <alignment wrapText="1"/>
    </xf>
    <xf numFmtId="2" fontId="22" fillId="11" borderId="3" xfId="7" applyNumberFormat="1" applyFont="1" applyFill="1" applyBorder="1" applyAlignment="1">
      <alignment wrapText="1"/>
    </xf>
    <xf numFmtId="2" fontId="23" fillId="11" borderId="3" xfId="7" applyNumberFormat="1" applyFont="1" applyFill="1" applyBorder="1" applyAlignment="1">
      <alignment wrapText="1"/>
    </xf>
    <xf numFmtId="2" fontId="23" fillId="11" borderId="4" xfId="7" applyNumberFormat="1" applyFont="1" applyFill="1" applyBorder="1" applyAlignment="1">
      <alignment wrapText="1"/>
    </xf>
    <xf numFmtId="2" fontId="22" fillId="0" borderId="0" xfId="7" applyNumberFormat="1" applyFont="1" applyBorder="1" applyAlignment="1"/>
    <xf numFmtId="177" fontId="22" fillId="0" borderId="0" xfId="7" applyNumberFormat="1" applyFont="1" applyBorder="1" applyAlignment="1">
      <alignment wrapText="1"/>
    </xf>
    <xf numFmtId="3" fontId="23" fillId="0" borderId="0" xfId="7" applyNumberFormat="1" applyFont="1" applyBorder="1" applyAlignment="1">
      <alignment horizontal="center" wrapText="1"/>
    </xf>
    <xf numFmtId="2" fontId="23" fillId="0" borderId="6" xfId="7" quotePrefix="1" applyNumberFormat="1" applyFont="1" applyBorder="1" applyAlignment="1">
      <alignment horizontal="center" wrapText="1"/>
    </xf>
    <xf numFmtId="5" fontId="22" fillId="0" borderId="0" xfId="7" applyNumberFormat="1" applyFont="1" applyBorder="1" applyAlignment="1">
      <alignment wrapText="1"/>
    </xf>
    <xf numFmtId="174" fontId="22" fillId="0" borderId="0" xfId="7" applyNumberFormat="1" applyFont="1" applyBorder="1" applyAlignment="1">
      <alignment wrapText="1"/>
    </xf>
    <xf numFmtId="174" fontId="22" fillId="0" borderId="8" xfId="7" applyNumberFormat="1" applyFont="1" applyBorder="1" applyAlignment="1">
      <alignment wrapText="1"/>
    </xf>
    <xf numFmtId="164" fontId="35" fillId="0" borderId="0" xfId="12" applyFont="1" applyBorder="1"/>
    <xf numFmtId="164" fontId="36" fillId="0" borderId="0" xfId="12" applyFont="1" applyBorder="1"/>
    <xf numFmtId="164" fontId="35" fillId="0" borderId="5" xfId="12" applyFont="1" applyBorder="1"/>
    <xf numFmtId="164" fontId="35" fillId="0" borderId="7" xfId="12" applyFont="1" applyBorder="1"/>
    <xf numFmtId="164" fontId="22" fillId="0" borderId="0" xfId="0" applyFont="1" applyFill="1" applyAlignment="1">
      <alignment wrapText="1"/>
    </xf>
    <xf numFmtId="180" fontId="22" fillId="0" borderId="0" xfId="5" applyFont="1" applyFill="1" applyProtection="1"/>
    <xf numFmtId="164" fontId="22" fillId="0" borderId="0" xfId="0" applyFont="1" applyFill="1" applyAlignment="1">
      <alignment horizontal="left"/>
    </xf>
    <xf numFmtId="180" fontId="22" fillId="0" borderId="0" xfId="5" applyFont="1" applyFill="1" applyAlignment="1" applyProtection="1">
      <alignment horizontal="center"/>
    </xf>
    <xf numFmtId="164" fontId="22" fillId="0" borderId="0" xfId="4" applyFont="1" applyFill="1"/>
    <xf numFmtId="164" fontId="22" fillId="0" borderId="0" xfId="4" applyFont="1" applyFill="1" applyAlignment="1">
      <alignment horizontal="left"/>
    </xf>
    <xf numFmtId="4" fontId="22" fillId="0" borderId="21" xfId="7" applyNumberFormat="1" applyFont="1" applyFill="1" applyBorder="1" applyAlignment="1">
      <alignment wrapText="1"/>
    </xf>
    <xf numFmtId="43" fontId="22" fillId="0" borderId="0" xfId="1" applyFont="1" applyFill="1" applyAlignment="1"/>
    <xf numFmtId="43" fontId="22" fillId="0" borderId="0" xfId="7" applyNumberFormat="1" applyFont="1" applyAlignment="1">
      <alignment wrapText="1"/>
    </xf>
    <xf numFmtId="1" fontId="22" fillId="0" borderId="1" xfId="7" applyNumberFormat="1" applyFont="1" applyBorder="1" applyAlignment="1">
      <alignment wrapText="1"/>
    </xf>
    <xf numFmtId="170" fontId="22" fillId="0" borderId="12" xfId="7" applyNumberFormat="1" applyFont="1" applyFill="1" applyBorder="1" applyAlignment="1">
      <alignment wrapText="1"/>
    </xf>
    <xf numFmtId="170" fontId="22" fillId="0" borderId="1" xfId="7" applyNumberFormat="1" applyFont="1" applyFill="1" applyBorder="1" applyAlignment="1">
      <alignment wrapText="1"/>
    </xf>
    <xf numFmtId="180" fontId="5" fillId="0" borderId="0" xfId="16" applyFill="1" applyProtection="1">
      <protection locked="0"/>
    </xf>
    <xf numFmtId="180" fontId="5" fillId="0" borderId="0" xfId="16" applyFill="1" applyAlignment="1" applyProtection="1">
      <alignment horizontal="center" vertical="center"/>
      <protection locked="0"/>
    </xf>
    <xf numFmtId="180" fontId="5" fillId="0" borderId="0" xfId="16" applyFill="1" applyAlignment="1" applyProtection="1">
      <alignment vertical="center" wrapText="1"/>
      <protection locked="0"/>
    </xf>
    <xf numFmtId="181" fontId="5" fillId="4" borderId="11" xfId="16" applyNumberFormat="1" applyFont="1" applyFill="1" applyBorder="1" applyAlignment="1" applyProtection="1">
      <alignment horizontal="right" vertical="center" wrapText="1"/>
      <protection locked="0"/>
    </xf>
    <xf numFmtId="182" fontId="5" fillId="4" borderId="27" xfId="16" applyNumberFormat="1" applyFont="1" applyFill="1" applyBorder="1" applyAlignment="1" applyProtection="1">
      <alignment horizontal="center" vertical="center" wrapText="1"/>
      <protection locked="0"/>
    </xf>
    <xf numFmtId="171" fontId="5" fillId="4" borderId="27" xfId="16" applyNumberFormat="1" applyFont="1" applyFill="1" applyBorder="1" applyAlignment="1" applyProtection="1">
      <alignment horizontal="center" vertical="center" wrapText="1"/>
      <protection locked="0"/>
    </xf>
    <xf numFmtId="180" fontId="5" fillId="0" borderId="0" xfId="16" applyFont="1" applyFill="1" applyAlignment="1" applyProtection="1">
      <alignment vertical="center" wrapText="1"/>
      <protection locked="0"/>
    </xf>
    <xf numFmtId="172" fontId="5" fillId="0" borderId="0" xfId="16" applyNumberFormat="1" applyFill="1" applyAlignment="1" applyProtection="1">
      <alignment horizontal="center"/>
      <protection locked="0"/>
    </xf>
    <xf numFmtId="171" fontId="5" fillId="0" borderId="0" xfId="16" applyNumberFormat="1" applyFill="1" applyAlignment="1" applyProtection="1">
      <alignment vertical="center" wrapText="1"/>
      <protection locked="0"/>
    </xf>
    <xf numFmtId="171" fontId="5" fillId="17" borderId="0" xfId="16" applyNumberFormat="1" applyFill="1" applyAlignment="1" applyProtection="1">
      <alignment vertical="center" wrapText="1"/>
      <protection locked="0"/>
    </xf>
    <xf numFmtId="171" fontId="17" fillId="17" borderId="0" xfId="16" applyNumberFormat="1" applyFont="1" applyFill="1" applyAlignment="1" applyProtection="1">
      <alignment vertical="center" wrapText="1"/>
      <protection locked="0"/>
    </xf>
    <xf numFmtId="171" fontId="5" fillId="17" borderId="0" xfId="16" applyNumberFormat="1" applyFont="1" applyFill="1" applyAlignment="1" applyProtection="1">
      <alignment vertical="center" wrapText="1"/>
      <protection locked="0"/>
    </xf>
    <xf numFmtId="3" fontId="23" fillId="0" borderId="4" xfId="7" quotePrefix="1" applyNumberFormat="1" applyFont="1" applyBorder="1" applyAlignment="1">
      <alignment wrapText="1"/>
    </xf>
    <xf numFmtId="3" fontId="5" fillId="0" borderId="35" xfId="0" applyNumberFormat="1" applyFont="1" applyFill="1" applyBorder="1" applyAlignment="1" applyProtection="1">
      <alignment horizontal="center" vertical="center" wrapText="1"/>
      <protection locked="0"/>
    </xf>
    <xf numFmtId="171" fontId="5" fillId="0" borderId="27" xfId="0" applyNumberFormat="1" applyFont="1" applyFill="1" applyBorder="1" applyAlignment="1" applyProtection="1">
      <alignment horizontal="center" vertical="center" wrapText="1"/>
      <protection locked="0"/>
    </xf>
    <xf numFmtId="182" fontId="5" fillId="0" borderId="27" xfId="0" applyNumberFormat="1" applyFont="1" applyFill="1" applyBorder="1" applyAlignment="1" applyProtection="1">
      <alignment horizontal="center" vertical="center" wrapText="1"/>
      <protection locked="0"/>
    </xf>
    <xf numFmtId="168" fontId="5" fillId="0" borderId="35" xfId="0" applyNumberFormat="1" applyFont="1" applyFill="1" applyBorder="1" applyAlignment="1" applyProtection="1">
      <alignment horizontal="center" vertical="center" wrapText="1"/>
      <protection locked="0"/>
    </xf>
    <xf numFmtId="49" fontId="5" fillId="12" borderId="27" xfId="16" applyNumberFormat="1" applyFont="1" applyFill="1" applyBorder="1" applyAlignment="1" applyProtection="1">
      <alignment horizontal="center" vertical="center" wrapText="1"/>
      <protection locked="0"/>
    </xf>
    <xf numFmtId="2" fontId="5" fillId="0" borderId="41" xfId="16" applyNumberFormat="1" applyFont="1" applyFill="1" applyBorder="1" applyAlignment="1" applyProtection="1">
      <alignment horizontal="center" vertical="center" wrapText="1"/>
      <protection locked="0"/>
    </xf>
    <xf numFmtId="171" fontId="5" fillId="0" borderId="27" xfId="16" applyNumberFormat="1" applyFill="1" applyBorder="1" applyAlignment="1" applyProtection="1">
      <alignment vertical="center" wrapText="1"/>
      <protection locked="0"/>
    </xf>
    <xf numFmtId="2" fontId="5" fillId="0" borderId="27" xfId="16" applyNumberFormat="1" applyFont="1" applyFill="1" applyBorder="1" applyAlignment="1" applyProtection="1">
      <alignment horizontal="center" vertical="center" wrapText="1"/>
      <protection locked="0"/>
    </xf>
    <xf numFmtId="182" fontId="5" fillId="4" borderId="42" xfId="16" applyNumberFormat="1" applyFont="1" applyFill="1" applyBorder="1" applyAlignment="1" applyProtection="1">
      <alignment horizontal="center" vertical="center" wrapText="1"/>
      <protection locked="0"/>
    </xf>
    <xf numFmtId="171" fontId="5" fillId="4" borderId="42" xfId="16" applyNumberFormat="1" applyFont="1" applyFill="1" applyBorder="1" applyAlignment="1" applyProtection="1">
      <alignment horizontal="center" vertical="center" wrapText="1"/>
      <protection locked="0"/>
    </xf>
    <xf numFmtId="171" fontId="17" fillId="4" borderId="42" xfId="16" applyNumberFormat="1" applyFont="1" applyFill="1" applyBorder="1" applyAlignment="1" applyProtection="1">
      <alignment horizontal="center" vertical="center" wrapText="1"/>
      <protection locked="0"/>
    </xf>
    <xf numFmtId="171" fontId="5" fillId="17" borderId="27" xfId="16" applyNumberFormat="1" applyFill="1" applyBorder="1" applyAlignment="1" applyProtection="1">
      <alignment vertical="center" wrapText="1"/>
      <protection locked="0"/>
    </xf>
    <xf numFmtId="171" fontId="17" fillId="17" borderId="27" xfId="16" applyNumberFormat="1" applyFont="1" applyFill="1" applyBorder="1" applyAlignment="1" applyProtection="1">
      <alignment vertical="center" wrapText="1"/>
      <protection locked="0"/>
    </xf>
    <xf numFmtId="2" fontId="5" fillId="12" borderId="27" xfId="16" applyNumberFormat="1" applyFill="1" applyBorder="1" applyAlignment="1" applyProtection="1">
      <alignment vertical="center" wrapText="1"/>
      <protection locked="0"/>
    </xf>
    <xf numFmtId="171" fontId="5" fillId="17" borderId="27" xfId="16" applyNumberFormat="1" applyFill="1" applyBorder="1" applyProtection="1">
      <protection locked="0"/>
    </xf>
    <xf numFmtId="171" fontId="17" fillId="17" borderId="27" xfId="16" applyNumberFormat="1" applyFont="1" applyFill="1" applyBorder="1" applyProtection="1">
      <protection locked="0"/>
    </xf>
    <xf numFmtId="171" fontId="5" fillId="19" borderId="27" xfId="16" applyNumberFormat="1" applyFill="1" applyBorder="1" applyAlignment="1" applyProtection="1">
      <alignment vertical="center" wrapText="1"/>
      <protection locked="0"/>
    </xf>
    <xf numFmtId="49" fontId="5" fillId="19" borderId="27" xfId="16" applyNumberFormat="1" applyFont="1" applyFill="1" applyBorder="1" applyAlignment="1" applyProtection="1">
      <alignment horizontal="center" vertical="center" wrapText="1"/>
      <protection locked="0"/>
    </xf>
    <xf numFmtId="2" fontId="5" fillId="19" borderId="27" xfId="16" applyNumberFormat="1" applyFont="1" applyFill="1" applyBorder="1" applyAlignment="1" applyProtection="1">
      <alignment horizontal="center" vertical="center" wrapText="1"/>
      <protection locked="0"/>
    </xf>
    <xf numFmtId="171" fontId="5" fillId="19" borderId="39" xfId="16" applyNumberFormat="1" applyFill="1" applyBorder="1" applyAlignment="1" applyProtection="1">
      <alignment vertical="center" wrapText="1"/>
      <protection locked="0"/>
    </xf>
    <xf numFmtId="171" fontId="5" fillId="21" borderId="27" xfId="16" applyNumberFormat="1" applyFill="1" applyBorder="1" applyAlignment="1" applyProtection="1">
      <alignment vertical="center" wrapText="1"/>
      <protection locked="0"/>
    </xf>
    <xf numFmtId="2" fontId="5" fillId="12" borderId="27" xfId="16" applyNumberFormat="1" applyFont="1" applyFill="1" applyBorder="1" applyAlignment="1" applyProtection="1">
      <alignment vertical="center" wrapText="1"/>
      <protection locked="0"/>
    </xf>
    <xf numFmtId="168" fontId="5" fillId="0" borderId="27" xfId="0" applyNumberFormat="1" applyFont="1" applyFill="1" applyBorder="1" applyAlignment="1" applyProtection="1">
      <alignment horizontal="center" vertical="center" wrapText="1"/>
      <protection locked="0"/>
    </xf>
    <xf numFmtId="49" fontId="5" fillId="19" borderId="48" xfId="16" applyNumberFormat="1" applyFont="1" applyFill="1" applyBorder="1" applyAlignment="1" applyProtection="1">
      <alignment horizontal="center" vertical="center" wrapText="1"/>
      <protection locked="0"/>
    </xf>
    <xf numFmtId="171" fontId="5" fillId="17" borderId="0" xfId="16" applyNumberFormat="1" applyFont="1" applyFill="1" applyBorder="1" applyAlignment="1" applyProtection="1">
      <alignment horizontal="center" vertical="center" wrapText="1"/>
      <protection locked="0"/>
    </xf>
    <xf numFmtId="176" fontId="22" fillId="0" borderId="0" xfId="11" applyNumberFormat="1" applyFont="1" applyBorder="1" applyAlignment="1">
      <alignment wrapText="1"/>
    </xf>
    <xf numFmtId="43" fontId="9" fillId="22" borderId="2" xfId="0" applyNumberFormat="1" applyFont="1" applyFill="1" applyBorder="1" applyAlignment="1">
      <alignment horizontal="left"/>
    </xf>
    <xf numFmtId="43" fontId="17" fillId="22" borderId="3" xfId="0" applyNumberFormat="1" applyFont="1" applyFill="1" applyBorder="1" applyAlignment="1">
      <alignment horizontal="left"/>
    </xf>
    <xf numFmtId="173" fontId="9" fillId="22" borderId="3" xfId="2" applyNumberFormat="1" applyFont="1" applyFill="1" applyBorder="1" applyAlignment="1">
      <alignment horizontal="left"/>
    </xf>
    <xf numFmtId="173" fontId="9" fillId="22" borderId="3" xfId="0" applyNumberFormat="1" applyFont="1" applyFill="1" applyBorder="1" applyAlignment="1">
      <alignment horizontal="left"/>
    </xf>
    <xf numFmtId="173" fontId="17" fillId="22" borderId="3" xfId="0" applyNumberFormat="1" applyFont="1" applyFill="1" applyBorder="1" applyAlignment="1">
      <alignment horizontal="left"/>
    </xf>
    <xf numFmtId="176" fontId="17" fillId="22" borderId="3" xfId="0" applyNumberFormat="1" applyFont="1" applyFill="1" applyBorder="1" applyAlignment="1">
      <alignment horizontal="left"/>
    </xf>
    <xf numFmtId="43" fontId="17" fillId="22" borderId="4" xfId="2" applyNumberFormat="1" applyFont="1" applyFill="1" applyBorder="1" applyAlignment="1">
      <alignment horizontal="right"/>
    </xf>
    <xf numFmtId="176" fontId="9" fillId="22" borderId="3" xfId="2" applyNumberFormat="1" applyFont="1" applyFill="1" applyBorder="1" applyAlignment="1">
      <alignment horizontal="left"/>
    </xf>
    <xf numFmtId="43" fontId="17" fillId="11" borderId="2" xfId="0" applyNumberFormat="1" applyFont="1" applyFill="1" applyBorder="1" applyAlignment="1">
      <alignment horizontal="left"/>
    </xf>
    <xf numFmtId="43" fontId="9" fillId="11" borderId="3" xfId="0" applyNumberFormat="1" applyFont="1" applyFill="1" applyBorder="1" applyAlignment="1">
      <alignment horizontal="left"/>
    </xf>
    <xf numFmtId="43" fontId="17" fillId="11" borderId="3" xfId="0" applyNumberFormat="1" applyFont="1" applyFill="1" applyBorder="1" applyAlignment="1">
      <alignment horizontal="left"/>
    </xf>
    <xf numFmtId="43" fontId="9" fillId="11" borderId="4" xfId="0" applyNumberFormat="1" applyFont="1" applyFill="1" applyBorder="1" applyAlignment="1">
      <alignment horizontal="left"/>
    </xf>
    <xf numFmtId="164" fontId="5" fillId="0" borderId="0" xfId="31" applyFont="1"/>
    <xf numFmtId="164" fontId="6" fillId="0" borderId="0" xfId="31" applyBorder="1"/>
    <xf numFmtId="164" fontId="17" fillId="0" borderId="0" xfId="0" applyFont="1"/>
    <xf numFmtId="164" fontId="17" fillId="22" borderId="0" xfId="0" applyFont="1" applyFill="1"/>
    <xf numFmtId="164" fontId="5" fillId="14" borderId="0" xfId="0" applyFont="1" applyFill="1"/>
    <xf numFmtId="164" fontId="5" fillId="14" borderId="0" xfId="0" applyFont="1" applyFill="1" applyAlignment="1">
      <alignment horizontal="right"/>
    </xf>
    <xf numFmtId="182" fontId="5" fillId="0" borderId="27" xfId="0" quotePrefix="1" applyNumberFormat="1" applyFont="1" applyFill="1" applyBorder="1" applyAlignment="1" applyProtection="1">
      <alignment horizontal="center" vertical="center" wrapText="1"/>
      <protection locked="0"/>
    </xf>
    <xf numFmtId="16" fontId="5" fillId="0" borderId="27" xfId="26" quotePrefix="1" applyNumberFormat="1" applyFont="1" applyFill="1" applyBorder="1" applyAlignment="1" applyProtection="1">
      <alignment horizontal="center" vertical="center" wrapText="1"/>
      <protection locked="0"/>
    </xf>
    <xf numFmtId="171" fontId="5" fillId="0" borderId="0" xfId="16" applyNumberFormat="1" applyFill="1" applyProtection="1">
      <protection locked="0"/>
    </xf>
    <xf numFmtId="164" fontId="5" fillId="0" borderId="27" xfId="0" applyFont="1" applyBorder="1"/>
    <xf numFmtId="164" fontId="5" fillId="0" borderId="27" xfId="0" applyFont="1" applyBorder="1" applyAlignment="1">
      <alignment horizontal="center"/>
    </xf>
    <xf numFmtId="1" fontId="5" fillId="0" borderId="27" xfId="0" applyNumberFormat="1" applyFont="1" applyBorder="1" applyAlignment="1">
      <alignment horizontal="center"/>
    </xf>
    <xf numFmtId="164" fontId="5" fillId="0" borderId="0" xfId="0" applyFont="1" applyAlignment="1">
      <alignment horizontal="left"/>
    </xf>
    <xf numFmtId="164" fontId="5" fillId="0" borderId="27" xfId="0" applyFont="1" applyFill="1" applyBorder="1" applyAlignment="1">
      <alignment horizontal="left"/>
    </xf>
    <xf numFmtId="164" fontId="5" fillId="0" borderId="27" xfId="0" quotePrefix="1" applyFont="1" applyBorder="1" applyAlignment="1">
      <alignment horizontal="center"/>
    </xf>
    <xf numFmtId="176" fontId="5" fillId="0" borderId="27" xfId="11" applyNumberFormat="1" applyFont="1" applyBorder="1" applyAlignment="1">
      <alignment horizontal="center"/>
    </xf>
    <xf numFmtId="164" fontId="0" fillId="0" borderId="0" xfId="0" applyBorder="1"/>
    <xf numFmtId="164" fontId="17" fillId="0" borderId="27" xfId="0" applyFont="1" applyBorder="1"/>
    <xf numFmtId="4" fontId="35" fillId="0" borderId="6" xfId="0" applyNumberFormat="1" applyFont="1" applyBorder="1"/>
    <xf numFmtId="9" fontId="35" fillId="0" borderId="9" xfId="11" applyFont="1" applyBorder="1"/>
    <xf numFmtId="4" fontId="35" fillId="0" borderId="6" xfId="13" applyNumberFormat="1" applyFont="1" applyFill="1" applyBorder="1" applyAlignment="1">
      <alignment horizontal="right"/>
    </xf>
    <xf numFmtId="164" fontId="23" fillId="0" borderId="0" xfId="9" applyNumberFormat="1" applyFont="1" applyAlignment="1">
      <alignment horizontal="left"/>
    </xf>
    <xf numFmtId="5" fontId="23" fillId="0" borderId="0" xfId="10" applyNumberFormat="1" applyFont="1" applyAlignment="1">
      <alignment horizontal="center"/>
    </xf>
    <xf numFmtId="171" fontId="5" fillId="0" borderId="24" xfId="32" applyNumberFormat="1" applyFont="1" applyFill="1" applyBorder="1" applyAlignment="1" applyProtection="1">
      <alignment horizontal="center" vertical="center" wrapText="1"/>
      <protection locked="0"/>
    </xf>
    <xf numFmtId="181" fontId="5" fillId="0" borderId="11" xfId="32" applyNumberFormat="1" applyFont="1" applyFill="1" applyBorder="1" applyAlignment="1" applyProtection="1">
      <alignment horizontal="right" vertical="center" wrapText="1"/>
      <protection locked="0"/>
    </xf>
    <xf numFmtId="171" fontId="5" fillId="0" borderId="27" xfId="32" applyNumberFormat="1" applyFont="1" applyFill="1" applyBorder="1" applyAlignment="1" applyProtection="1">
      <alignment horizontal="center" vertical="center" wrapText="1"/>
      <protection locked="0"/>
    </xf>
    <xf numFmtId="171" fontId="22" fillId="0" borderId="0" xfId="9" applyNumberFormat="1" applyFont="1"/>
    <xf numFmtId="3" fontId="5" fillId="0" borderId="0" xfId="2" applyNumberFormat="1" applyFont="1" applyAlignment="1">
      <alignment horizontal="left"/>
    </xf>
    <xf numFmtId="5" fontId="23" fillId="0" borderId="0" xfId="10" applyNumberFormat="1" applyFont="1" applyFill="1"/>
    <xf numFmtId="5" fontId="23" fillId="0" borderId="0" xfId="10" applyNumberFormat="1" applyFont="1"/>
    <xf numFmtId="44" fontId="22" fillId="0" borderId="0" xfId="2" applyNumberFormat="1" applyFont="1"/>
    <xf numFmtId="44" fontId="22" fillId="0" borderId="0" xfId="9" applyNumberFormat="1" applyFont="1"/>
    <xf numFmtId="176" fontId="5" fillId="0" borderId="0" xfId="11" applyNumberFormat="1" applyFont="1"/>
    <xf numFmtId="5" fontId="22" fillId="13" borderId="0" xfId="9" applyNumberFormat="1" applyFont="1" applyFill="1"/>
    <xf numFmtId="3" fontId="23" fillId="0" borderId="0" xfId="7" applyNumberFormat="1" applyFont="1" applyAlignment="1">
      <alignment wrapText="1"/>
    </xf>
    <xf numFmtId="3" fontId="23" fillId="0" borderId="0" xfId="7" applyNumberFormat="1" applyFont="1" applyAlignment="1">
      <alignment horizontal="center" wrapText="1"/>
    </xf>
    <xf numFmtId="2" fontId="23" fillId="0" borderId="0" xfId="7" quotePrefix="1" applyNumberFormat="1" applyFont="1" applyAlignment="1">
      <alignment horizontal="center" wrapText="1"/>
    </xf>
    <xf numFmtId="186" fontId="22" fillId="0" borderId="0" xfId="7" applyNumberFormat="1" applyFont="1" applyAlignment="1">
      <alignment wrapText="1"/>
    </xf>
    <xf numFmtId="3" fontId="22" fillId="9" borderId="0" xfId="7" applyNumberFormat="1" applyFont="1" applyFill="1" applyAlignment="1">
      <alignment wrapText="1"/>
    </xf>
    <xf numFmtId="167" fontId="22" fillId="9" borderId="0" xfId="7" applyNumberFormat="1" applyFont="1" applyFill="1" applyBorder="1" applyAlignment="1">
      <alignment wrapText="1"/>
    </xf>
    <xf numFmtId="2" fontId="22" fillId="9" borderId="0" xfId="7" applyNumberFormat="1" applyFont="1" applyFill="1" applyBorder="1" applyAlignment="1">
      <alignment wrapText="1"/>
    </xf>
    <xf numFmtId="170" fontId="22" fillId="9" borderId="0" xfId="7" applyNumberFormat="1" applyFont="1" applyFill="1" applyAlignment="1">
      <alignment wrapText="1"/>
    </xf>
    <xf numFmtId="4" fontId="22" fillId="9" borderId="0" xfId="7" applyNumberFormat="1" applyFont="1" applyFill="1" applyAlignment="1">
      <alignment wrapText="1"/>
    </xf>
    <xf numFmtId="2" fontId="22" fillId="9" borderId="0" xfId="7" applyNumberFormat="1" applyFont="1" applyFill="1" applyAlignment="1">
      <alignment wrapText="1"/>
    </xf>
    <xf numFmtId="3" fontId="22" fillId="28" borderId="0" xfId="7" applyNumberFormat="1" applyFont="1" applyFill="1" applyAlignment="1">
      <alignment wrapText="1"/>
    </xf>
    <xf numFmtId="1" fontId="22" fillId="28" borderId="0" xfId="7" applyNumberFormat="1" applyFont="1" applyFill="1" applyBorder="1" applyAlignment="1">
      <alignment wrapText="1"/>
    </xf>
    <xf numFmtId="2" fontId="22" fillId="28" borderId="0" xfId="7" applyNumberFormat="1" applyFont="1" applyFill="1" applyBorder="1" applyAlignment="1">
      <alignment wrapText="1"/>
    </xf>
    <xf numFmtId="170" fontId="22" fillId="28" borderId="0" xfId="7" applyNumberFormat="1" applyFont="1" applyFill="1" applyAlignment="1">
      <alignment wrapText="1"/>
    </xf>
    <xf numFmtId="4" fontId="22" fillId="28" borderId="0" xfId="7" applyNumberFormat="1" applyFont="1" applyFill="1" applyAlignment="1">
      <alignment wrapText="1"/>
    </xf>
    <xf numFmtId="2" fontId="22" fillId="28" borderId="0" xfId="7" applyNumberFormat="1" applyFont="1" applyFill="1" applyAlignment="1">
      <alignment wrapText="1"/>
    </xf>
    <xf numFmtId="3" fontId="22" fillId="29" borderId="0" xfId="7" applyNumberFormat="1" applyFont="1" applyFill="1" applyAlignment="1">
      <alignment wrapText="1"/>
    </xf>
    <xf numFmtId="1" fontId="22" fillId="29" borderId="0" xfId="7" applyNumberFormat="1" applyFont="1" applyFill="1" applyBorder="1" applyAlignment="1">
      <alignment wrapText="1"/>
    </xf>
    <xf numFmtId="2" fontId="22" fillId="29" borderId="0" xfId="7" applyNumberFormat="1" applyFont="1" applyFill="1" applyBorder="1" applyAlignment="1">
      <alignment wrapText="1"/>
    </xf>
    <xf numFmtId="170" fontId="22" fillId="29" borderId="0" xfId="7" applyNumberFormat="1" applyFont="1" applyFill="1" applyAlignment="1">
      <alignment wrapText="1"/>
    </xf>
    <xf numFmtId="4" fontId="22" fillId="29" borderId="0" xfId="7" applyNumberFormat="1" applyFont="1" applyFill="1" applyAlignment="1">
      <alignment wrapText="1"/>
    </xf>
    <xf numFmtId="2" fontId="22" fillId="29" borderId="0" xfId="7" applyNumberFormat="1" applyFont="1" applyFill="1" applyAlignment="1">
      <alignment wrapText="1"/>
    </xf>
    <xf numFmtId="3" fontId="22" fillId="20" borderId="0" xfId="7" applyNumberFormat="1" applyFont="1" applyFill="1" applyAlignment="1">
      <alignment wrapText="1"/>
    </xf>
    <xf numFmtId="1" fontId="22" fillId="20" borderId="0" xfId="7" applyNumberFormat="1" applyFont="1" applyFill="1" applyBorder="1" applyAlignment="1">
      <alignment wrapText="1"/>
    </xf>
    <xf numFmtId="2" fontId="22" fillId="20" borderId="0" xfId="7" applyNumberFormat="1" applyFont="1" applyFill="1" applyBorder="1" applyAlignment="1">
      <alignment wrapText="1"/>
    </xf>
    <xf numFmtId="170" fontId="22" fillId="20" borderId="0" xfId="7" applyNumberFormat="1" applyFont="1" applyFill="1" applyAlignment="1">
      <alignment wrapText="1"/>
    </xf>
    <xf numFmtId="4" fontId="22" fillId="20" borderId="0" xfId="7" applyNumberFormat="1" applyFont="1" applyFill="1" applyAlignment="1">
      <alignment wrapText="1"/>
    </xf>
    <xf numFmtId="2" fontId="22" fillId="20" borderId="0" xfId="7" applyNumberFormat="1" applyFont="1" applyFill="1" applyAlignment="1">
      <alignment wrapText="1"/>
    </xf>
    <xf numFmtId="3" fontId="22" fillId="15" borderId="0" xfId="7" applyNumberFormat="1" applyFont="1" applyFill="1" applyAlignment="1">
      <alignment wrapText="1"/>
    </xf>
    <xf numFmtId="1" fontId="22" fillId="15" borderId="0" xfId="7" applyNumberFormat="1" applyFont="1" applyFill="1" applyBorder="1" applyAlignment="1">
      <alignment wrapText="1"/>
    </xf>
    <xf numFmtId="2" fontId="22" fillId="15" borderId="0" xfId="7" applyNumberFormat="1" applyFont="1" applyFill="1" applyBorder="1" applyAlignment="1">
      <alignment wrapText="1"/>
    </xf>
    <xf numFmtId="170" fontId="22" fillId="15" borderId="0" xfId="7" applyNumberFormat="1" applyFont="1" applyFill="1" applyAlignment="1">
      <alignment wrapText="1"/>
    </xf>
    <xf numFmtId="4" fontId="22" fillId="15" borderId="0" xfId="7" applyNumberFormat="1" applyFont="1" applyFill="1" applyAlignment="1">
      <alignment wrapText="1"/>
    </xf>
    <xf numFmtId="2" fontId="22" fillId="15" borderId="0" xfId="7" applyNumberFormat="1" applyFont="1" applyFill="1" applyAlignment="1">
      <alignment wrapText="1"/>
    </xf>
    <xf numFmtId="171" fontId="22" fillId="0" borderId="0" xfId="7" applyNumberFormat="1" applyFont="1" applyAlignment="1">
      <alignment wrapText="1"/>
    </xf>
    <xf numFmtId="3" fontId="22" fillId="0" borderId="0" xfId="7" applyNumberFormat="1" applyFont="1" applyFill="1" applyAlignment="1">
      <alignment wrapText="1"/>
    </xf>
    <xf numFmtId="2" fontId="22" fillId="0" borderId="0" xfId="7" applyNumberFormat="1" applyFont="1" applyFill="1" applyAlignment="1">
      <alignment wrapText="1"/>
    </xf>
    <xf numFmtId="4" fontId="23" fillId="0" borderId="0" xfId="7" applyNumberFormat="1" applyFont="1" applyAlignment="1">
      <alignment wrapText="1"/>
    </xf>
    <xf numFmtId="3" fontId="22" fillId="16" borderId="0" xfId="7" applyNumberFormat="1" applyFont="1" applyFill="1" applyAlignment="1">
      <alignment wrapText="1"/>
    </xf>
    <xf numFmtId="1" fontId="22" fillId="16" borderId="0" xfId="7" applyNumberFormat="1" applyFont="1" applyFill="1" applyBorder="1" applyAlignment="1">
      <alignment wrapText="1"/>
    </xf>
    <xf numFmtId="2" fontId="22" fillId="16" borderId="0" xfId="7" applyNumberFormat="1" applyFont="1" applyFill="1" applyBorder="1" applyAlignment="1">
      <alignment wrapText="1"/>
    </xf>
    <xf numFmtId="170" fontId="22" fillId="16" borderId="0" xfId="7" applyNumberFormat="1" applyFont="1" applyFill="1" applyAlignment="1">
      <alignment wrapText="1"/>
    </xf>
    <xf numFmtId="4" fontId="22" fillId="16" borderId="0" xfId="7" applyNumberFormat="1" applyFont="1" applyFill="1" applyAlignment="1">
      <alignment wrapText="1"/>
    </xf>
    <xf numFmtId="2" fontId="22" fillId="16" borderId="0" xfId="7" applyNumberFormat="1" applyFont="1" applyFill="1" applyAlignment="1">
      <alignment wrapText="1"/>
    </xf>
    <xf numFmtId="167" fontId="22" fillId="0" borderId="0" xfId="7" applyNumberFormat="1" applyFont="1" applyBorder="1" applyAlignment="1">
      <alignment wrapText="1"/>
    </xf>
    <xf numFmtId="171" fontId="22" fillId="0" borderId="8" xfId="7" applyNumberFormat="1" applyFont="1" applyBorder="1" applyAlignment="1">
      <alignment wrapText="1"/>
    </xf>
    <xf numFmtId="3" fontId="22" fillId="0" borderId="0" xfId="7" applyNumberFormat="1" applyFont="1" applyAlignment="1">
      <alignment horizontal="center" wrapText="1"/>
    </xf>
    <xf numFmtId="2" fontId="22" fillId="0" borderId="0" xfId="7" applyNumberFormat="1" applyFont="1" applyFill="1" applyAlignment="1">
      <alignment horizontal="center" wrapText="1"/>
    </xf>
    <xf numFmtId="2" fontId="23" fillId="0" borderId="0" xfId="7" applyNumberFormat="1" applyFont="1" applyAlignment="1">
      <alignment horizontal="center" wrapText="1"/>
    </xf>
    <xf numFmtId="3" fontId="22" fillId="27" borderId="0" xfId="7" applyNumberFormat="1" applyFont="1" applyFill="1" applyAlignment="1">
      <alignment wrapText="1"/>
    </xf>
    <xf numFmtId="170" fontId="22" fillId="27" borderId="0" xfId="7" applyNumberFormat="1" applyFont="1" applyFill="1" applyBorder="1" applyAlignment="1">
      <alignment wrapText="1"/>
    </xf>
    <xf numFmtId="1" fontId="22" fillId="27" borderId="0" xfId="7" applyNumberFormat="1" applyFont="1" applyFill="1" applyAlignment="1">
      <alignment wrapText="1"/>
    </xf>
    <xf numFmtId="166" fontId="22" fillId="27" borderId="0" xfId="7" applyNumberFormat="1" applyFont="1" applyFill="1" applyAlignment="1">
      <alignment wrapText="1"/>
    </xf>
    <xf numFmtId="4" fontId="22" fillId="27" borderId="0" xfId="7" applyNumberFormat="1" applyFont="1" applyFill="1" applyAlignment="1">
      <alignment wrapText="1"/>
    </xf>
    <xf numFmtId="2" fontId="22" fillId="27" borderId="0" xfId="7" applyNumberFormat="1" applyFont="1" applyFill="1" applyAlignment="1">
      <alignment wrapText="1"/>
    </xf>
    <xf numFmtId="167" fontId="22" fillId="0" borderId="0" xfId="7" applyNumberFormat="1" applyFont="1" applyAlignment="1">
      <alignment wrapText="1"/>
    </xf>
    <xf numFmtId="176" fontId="22" fillId="0" borderId="0" xfId="7" applyNumberFormat="1" applyFont="1" applyAlignment="1">
      <alignment wrapText="1"/>
    </xf>
    <xf numFmtId="9" fontId="22" fillId="0" borderId="0" xfId="7" applyNumberFormat="1" applyFont="1" applyAlignment="1">
      <alignment wrapText="1"/>
    </xf>
    <xf numFmtId="172" fontId="12" fillId="0" borderId="0" xfId="0" quotePrefix="1" applyNumberFormat="1" applyFont="1" applyFill="1" applyAlignment="1">
      <alignment horizontal="left"/>
    </xf>
    <xf numFmtId="164" fontId="5" fillId="0" borderId="0" xfId="0" quotePrefix="1" applyFont="1" applyAlignment="1">
      <alignment horizontal="right"/>
    </xf>
    <xf numFmtId="167" fontId="5" fillId="0" borderId="0" xfId="0" applyNumberFormat="1" applyFont="1" applyAlignment="1">
      <alignment horizontal="left"/>
    </xf>
    <xf numFmtId="164" fontId="5" fillId="0" borderId="0" xfId="0" applyFont="1" applyAlignment="1">
      <alignment horizontal="right"/>
    </xf>
    <xf numFmtId="1" fontId="5" fillId="0" borderId="0" xfId="0" applyNumberFormat="1" applyFont="1" applyAlignment="1">
      <alignment horizontal="left"/>
    </xf>
    <xf numFmtId="164" fontId="5" fillId="0" borderId="1" xfId="0" applyFont="1" applyBorder="1" applyAlignment="1">
      <alignment horizontal="centerContinuous"/>
    </xf>
    <xf numFmtId="166" fontId="5" fillId="0" borderId="0" xfId="0" applyNumberFormat="1" applyFont="1" applyAlignment="1">
      <alignment horizontal="right"/>
    </xf>
    <xf numFmtId="164" fontId="5" fillId="0" borderId="0" xfId="0" quotePrefix="1" applyFont="1"/>
    <xf numFmtId="171" fontId="5" fillId="0" borderId="0" xfId="0" applyNumberFormat="1" applyFont="1"/>
    <xf numFmtId="164" fontId="5" fillId="0" borderId="0" xfId="0" quotePrefix="1" applyFont="1" applyAlignment="1">
      <alignment horizontal="left"/>
    </xf>
    <xf numFmtId="171" fontId="5" fillId="0" borderId="1" xfId="0" applyNumberFormat="1" applyFont="1" applyBorder="1"/>
    <xf numFmtId="9" fontId="5" fillId="0" borderId="0" xfId="0" applyNumberFormat="1" applyFont="1" applyAlignment="1">
      <alignment horizontal="center"/>
    </xf>
    <xf numFmtId="171" fontId="5" fillId="0" borderId="0" xfId="0" applyNumberFormat="1" applyFont="1" applyAlignment="1">
      <alignment horizontal="right"/>
    </xf>
    <xf numFmtId="172" fontId="5" fillId="0" borderId="0" xfId="0" applyNumberFormat="1" applyFont="1"/>
    <xf numFmtId="176" fontId="5" fillId="0" borderId="0" xfId="0" applyNumberFormat="1" applyFont="1" applyAlignment="1">
      <alignment horizontal="right"/>
    </xf>
    <xf numFmtId="3" fontId="5" fillId="0" borderId="0" xfId="0" applyNumberFormat="1" applyFont="1" applyAlignment="1">
      <alignment horizontal="right"/>
    </xf>
    <xf numFmtId="167" fontId="5" fillId="0" borderId="0" xfId="0" applyNumberFormat="1" applyFont="1" applyAlignment="1">
      <alignment horizontal="right"/>
    </xf>
    <xf numFmtId="172" fontId="5" fillId="0" borderId="0" xfId="0" applyNumberFormat="1" applyFont="1" applyAlignment="1">
      <alignment horizontal="right"/>
    </xf>
    <xf numFmtId="2" fontId="5" fillId="0" borderId="0" xfId="0" applyNumberFormat="1" applyFont="1" applyAlignment="1">
      <alignment horizontal="right"/>
    </xf>
    <xf numFmtId="167" fontId="5" fillId="0" borderId="0" xfId="0" applyNumberFormat="1" applyFont="1"/>
    <xf numFmtId="170" fontId="5" fillId="0" borderId="0" xfId="0" applyNumberFormat="1" applyFont="1" applyAlignment="1">
      <alignment horizontal="right"/>
    </xf>
    <xf numFmtId="166" fontId="22" fillId="0" borderId="0" xfId="0" applyNumberFormat="1" applyFont="1"/>
    <xf numFmtId="164" fontId="22" fillId="27" borderId="0" xfId="0" applyFont="1" applyFill="1"/>
    <xf numFmtId="164" fontId="5" fillId="0" borderId="0" xfId="32" applyFont="1"/>
    <xf numFmtId="164" fontId="5" fillId="0" borderId="27" xfId="32" applyFont="1" applyBorder="1"/>
    <xf numFmtId="164" fontId="5" fillId="0" borderId="27" xfId="32" applyFont="1" applyBorder="1" applyAlignment="1">
      <alignment horizontal="center"/>
    </xf>
    <xf numFmtId="3" fontId="5" fillId="0" borderId="27" xfId="32" applyNumberFormat="1" applyFont="1" applyBorder="1" applyAlignment="1">
      <alignment horizontal="center"/>
    </xf>
    <xf numFmtId="1" fontId="5" fillId="0" borderId="27" xfId="32" applyNumberFormat="1" applyFont="1" applyBorder="1" applyAlignment="1">
      <alignment horizontal="center"/>
    </xf>
    <xf numFmtId="187" fontId="5" fillId="0" borderId="27" xfId="32" applyNumberFormat="1" applyFont="1" applyBorder="1" applyAlignment="1">
      <alignment horizontal="center"/>
    </xf>
    <xf numFmtId="167" fontId="5" fillId="0" borderId="27" xfId="32" applyNumberFormat="1" applyFont="1" applyBorder="1" applyAlignment="1">
      <alignment horizontal="center"/>
    </xf>
    <xf numFmtId="164" fontId="5" fillId="0" borderId="0" xfId="32" applyFont="1" applyFill="1"/>
    <xf numFmtId="2" fontId="5" fillId="0" borderId="27" xfId="32" applyNumberFormat="1" applyFont="1" applyBorder="1"/>
    <xf numFmtId="164" fontId="5" fillId="0" borderId="0" xfId="32" applyFont="1" applyBorder="1"/>
    <xf numFmtId="2" fontId="5" fillId="0" borderId="0" xfId="32" applyNumberFormat="1" applyFont="1" applyBorder="1"/>
    <xf numFmtId="164" fontId="5" fillId="0" borderId="27" xfId="32" applyFont="1" applyFill="1" applyBorder="1"/>
    <xf numFmtId="176" fontId="35" fillId="0" borderId="5" xfId="11" applyNumberFormat="1" applyFont="1" applyBorder="1"/>
    <xf numFmtId="2" fontId="35" fillId="0" borderId="46" xfId="0" applyNumberFormat="1" applyFont="1" applyBorder="1"/>
    <xf numFmtId="164" fontId="36" fillId="16" borderId="0" xfId="12" applyFont="1" applyFill="1"/>
    <xf numFmtId="9" fontId="22" fillId="0" borderId="0" xfId="11" applyFont="1"/>
    <xf numFmtId="164" fontId="6" fillId="0" borderId="0" xfId="0" applyFont="1"/>
    <xf numFmtId="164" fontId="5" fillId="30" borderId="0" xfId="0" applyFont="1" applyFill="1"/>
    <xf numFmtId="164" fontId="40" fillId="12" borderId="0" xfId="0" applyFont="1" applyFill="1"/>
    <xf numFmtId="164" fontId="5" fillId="12" borderId="0" xfId="0" applyFont="1" applyFill="1"/>
    <xf numFmtId="44" fontId="5" fillId="0" borderId="0" xfId="2" applyFont="1"/>
    <xf numFmtId="9" fontId="5" fillId="0" borderId="0" xfId="11" applyFont="1"/>
    <xf numFmtId="1" fontId="5" fillId="0" borderId="0" xfId="0" applyNumberFormat="1" applyFont="1"/>
    <xf numFmtId="10" fontId="5" fillId="0" borderId="0" xfId="11" applyNumberFormat="1" applyFont="1"/>
    <xf numFmtId="43" fontId="5" fillId="0" borderId="0" xfId="0" applyNumberFormat="1" applyFont="1" applyFill="1" applyBorder="1" applyAlignment="1">
      <alignment horizontal="left"/>
    </xf>
    <xf numFmtId="43" fontId="17" fillId="11" borderId="0" xfId="0" applyNumberFormat="1" applyFont="1" applyFill="1" applyBorder="1" applyAlignment="1">
      <alignment horizontal="left"/>
    </xf>
    <xf numFmtId="44" fontId="9" fillId="0" borderId="0" xfId="2" applyFont="1" applyFill="1" applyBorder="1" applyAlignment="1">
      <alignment horizontal="left"/>
    </xf>
    <xf numFmtId="9" fontId="9" fillId="0" borderId="0" xfId="11" applyFont="1" applyFill="1" applyBorder="1" applyAlignment="1">
      <alignment horizontal="right"/>
    </xf>
    <xf numFmtId="2" fontId="5" fillId="0" borderId="0" xfId="16" applyNumberFormat="1" applyFill="1" applyProtection="1">
      <protection locked="0"/>
    </xf>
    <xf numFmtId="180" fontId="22" fillId="0" borderId="12" xfId="7" applyNumberFormat="1" applyFont="1" applyFill="1" applyBorder="1" applyAlignment="1">
      <alignment wrapText="1"/>
    </xf>
    <xf numFmtId="180" fontId="22" fillId="0" borderId="1" xfId="7" applyNumberFormat="1" applyFont="1" applyFill="1" applyBorder="1" applyAlignment="1">
      <alignment wrapText="1"/>
    </xf>
    <xf numFmtId="180" fontId="22" fillId="0" borderId="0" xfId="7" applyNumberFormat="1" applyFont="1" applyFill="1" applyBorder="1" applyAlignment="1">
      <alignment wrapText="1"/>
    </xf>
    <xf numFmtId="180" fontId="22" fillId="0" borderId="0" xfId="7" applyNumberFormat="1" applyFont="1" applyBorder="1" applyAlignment="1">
      <alignment wrapText="1"/>
    </xf>
    <xf numFmtId="180" fontId="22" fillId="0" borderId="1" xfId="7" applyNumberFormat="1" applyFont="1" applyBorder="1" applyAlignment="1">
      <alignment wrapText="1"/>
    </xf>
    <xf numFmtId="180" fontId="22" fillId="0" borderId="21" xfId="7" applyNumberFormat="1" applyFont="1" applyFill="1" applyBorder="1" applyAlignment="1">
      <alignment wrapText="1"/>
    </xf>
    <xf numFmtId="180" fontId="17" fillId="0" borderId="31" xfId="16" applyNumberFormat="1" applyFont="1" applyFill="1" applyBorder="1" applyAlignment="1" applyProtection="1">
      <alignment horizontal="center" vertical="center" wrapText="1"/>
      <protection locked="0"/>
    </xf>
    <xf numFmtId="180" fontId="5" fillId="0" borderId="24" xfId="0" applyNumberFormat="1" applyFont="1" applyFill="1" applyBorder="1" applyAlignment="1" applyProtection="1">
      <alignment horizontal="center" vertical="center" wrapText="1"/>
      <protection locked="0"/>
    </xf>
    <xf numFmtId="180" fontId="5" fillId="0" borderId="27" xfId="0" applyNumberFormat="1" applyFont="1" applyFill="1" applyBorder="1" applyAlignment="1" applyProtection="1">
      <alignment horizontal="center" vertical="center" wrapText="1"/>
      <protection locked="0"/>
    </xf>
    <xf numFmtId="180" fontId="5" fillId="4" borderId="27" xfId="16" applyNumberFormat="1" applyFont="1" applyFill="1" applyBorder="1" applyAlignment="1" applyProtection="1">
      <alignment horizontal="center" vertical="center" wrapText="1"/>
      <protection locked="0"/>
    </xf>
    <xf numFmtId="180" fontId="5" fillId="17" borderId="0" xfId="16" applyNumberFormat="1" applyFill="1" applyAlignment="1" applyProtection="1">
      <alignment horizontal="center"/>
      <protection locked="0"/>
    </xf>
    <xf numFmtId="180" fontId="5" fillId="0" borderId="0" xfId="16" applyNumberFormat="1" applyFill="1" applyProtection="1">
      <protection locked="0"/>
    </xf>
    <xf numFmtId="180" fontId="5" fillId="0" borderId="0" xfId="16" applyNumberFormat="1" applyFill="1" applyAlignment="1" applyProtection="1">
      <alignment horizontal="center"/>
      <protection locked="0"/>
    </xf>
    <xf numFmtId="180" fontId="5" fillId="17" borderId="0" xfId="16" applyNumberFormat="1" applyFill="1" applyProtection="1">
      <protection locked="0"/>
    </xf>
    <xf numFmtId="180" fontId="5" fillId="17" borderId="27" xfId="16" applyNumberFormat="1" applyFont="1" applyFill="1" applyBorder="1" applyAlignment="1" applyProtection="1">
      <alignment horizontal="center" vertical="center" wrapText="1"/>
      <protection locked="0"/>
    </xf>
    <xf numFmtId="180" fontId="17" fillId="0" borderId="37" xfId="16" applyNumberFormat="1" applyFont="1" applyFill="1" applyBorder="1" applyAlignment="1" applyProtection="1">
      <alignment horizontal="center" vertical="center" wrapText="1"/>
      <protection locked="0"/>
    </xf>
    <xf numFmtId="180" fontId="5" fillId="16" borderId="27" xfId="16" applyNumberFormat="1" applyFont="1" applyFill="1" applyBorder="1" applyAlignment="1" applyProtection="1">
      <alignment horizontal="center" vertical="center" wrapText="1"/>
      <protection locked="0"/>
    </xf>
    <xf numFmtId="180" fontId="5" fillId="17" borderId="27" xfId="16" applyNumberFormat="1" applyFill="1" applyBorder="1" applyProtection="1">
      <protection locked="0"/>
    </xf>
    <xf numFmtId="180" fontId="5" fillId="17" borderId="27" xfId="16" applyNumberFormat="1" applyFont="1" applyFill="1" applyBorder="1" applyAlignment="1" applyProtection="1">
      <alignment horizontal="left" vertical="center" wrapText="1"/>
      <protection locked="0"/>
    </xf>
    <xf numFmtId="180" fontId="5" fillId="17" borderId="27" xfId="16" applyNumberFormat="1" applyFont="1" applyFill="1" applyBorder="1" applyAlignment="1" applyProtection="1">
      <alignment vertical="center" wrapText="1"/>
      <protection locked="0"/>
    </xf>
    <xf numFmtId="2" fontId="5" fillId="4" borderId="42" xfId="16" applyNumberFormat="1" applyFont="1" applyFill="1" applyBorder="1" applyAlignment="1" applyProtection="1">
      <alignment horizontal="center" vertical="center" wrapText="1"/>
      <protection locked="0"/>
    </xf>
    <xf numFmtId="1" fontId="5" fillId="0" borderId="40" xfId="16" applyNumberFormat="1" applyFont="1" applyFill="1" applyBorder="1" applyAlignment="1" applyProtection="1">
      <alignment horizontal="center" vertical="center" wrapText="1"/>
      <protection locked="0"/>
    </xf>
    <xf numFmtId="1" fontId="5" fillId="0" borderId="27" xfId="16" applyNumberFormat="1" applyFont="1" applyFill="1" applyBorder="1" applyAlignment="1" applyProtection="1">
      <alignment horizontal="center" vertical="center" wrapText="1"/>
      <protection locked="0"/>
    </xf>
    <xf numFmtId="180" fontId="22" fillId="0" borderId="0" xfId="9" applyNumberFormat="1" applyFont="1"/>
    <xf numFmtId="180" fontId="22" fillId="0" borderId="0" xfId="0" applyNumberFormat="1" applyFont="1"/>
    <xf numFmtId="2" fontId="22" fillId="3" borderId="0" xfId="9" applyNumberFormat="1" applyFont="1" applyFill="1"/>
    <xf numFmtId="2" fontId="22" fillId="0" borderId="0" xfId="9" applyNumberFormat="1" applyFont="1"/>
    <xf numFmtId="172" fontId="22" fillId="0" borderId="0" xfId="9" applyNumberFormat="1" applyFont="1"/>
    <xf numFmtId="2" fontId="0" fillId="0" borderId="0" xfId="0" applyNumberFormat="1"/>
    <xf numFmtId="1" fontId="5" fillId="0" borderId="0" xfId="16" applyNumberFormat="1" applyFill="1" applyProtection="1">
      <protection locked="0"/>
    </xf>
    <xf numFmtId="1" fontId="22" fillId="0" borderId="0" xfId="9" applyNumberFormat="1" applyFont="1"/>
    <xf numFmtId="1" fontId="0" fillId="0" borderId="0" xfId="0" applyNumberFormat="1"/>
    <xf numFmtId="180" fontId="5" fillId="0" borderId="14" xfId="16" applyNumberFormat="1" applyFont="1" applyFill="1" applyBorder="1" applyAlignment="1" applyProtection="1">
      <protection locked="0"/>
    </xf>
    <xf numFmtId="180" fontId="0" fillId="0" borderId="0" xfId="0" applyNumberFormat="1"/>
    <xf numFmtId="180" fontId="5" fillId="0" borderId="24" xfId="32" applyNumberFormat="1" applyFont="1" applyFill="1" applyBorder="1" applyAlignment="1" applyProtection="1">
      <alignment horizontal="center" vertical="center" wrapText="1"/>
      <protection locked="0"/>
    </xf>
    <xf numFmtId="180" fontId="5" fillId="0" borderId="27" xfId="32" applyNumberFormat="1" applyFont="1" applyFill="1" applyBorder="1" applyAlignment="1" applyProtection="1">
      <alignment horizontal="center" vertical="center" wrapText="1"/>
      <protection locked="0"/>
    </xf>
    <xf numFmtId="180" fontId="23" fillId="0" borderId="0" xfId="8" applyNumberFormat="1" applyFont="1" applyFill="1" applyAlignment="1" applyProtection="1">
      <protection locked="0"/>
    </xf>
    <xf numFmtId="2" fontId="5" fillId="0" borderId="0" xfId="16" applyNumberFormat="1" applyFont="1" applyFill="1" applyProtection="1">
      <protection locked="0"/>
    </xf>
    <xf numFmtId="2" fontId="17" fillId="0" borderId="37" xfId="16" applyNumberFormat="1" applyFont="1" applyFill="1" applyBorder="1" applyAlignment="1" applyProtection="1">
      <alignment horizontal="center" vertical="center" wrapText="1"/>
      <protection locked="0"/>
    </xf>
    <xf numFmtId="2" fontId="5" fillId="17" borderId="27" xfId="16" applyNumberFormat="1" applyFill="1" applyBorder="1" applyProtection="1">
      <protection locked="0"/>
    </xf>
    <xf numFmtId="1" fontId="5" fillId="0" borderId="0" xfId="16" applyNumberFormat="1" applyFont="1" applyFill="1" applyProtection="1">
      <protection locked="0"/>
    </xf>
    <xf numFmtId="1" fontId="17" fillId="0" borderId="37" xfId="16" applyNumberFormat="1" applyFont="1" applyFill="1" applyBorder="1" applyAlignment="1" applyProtection="1">
      <alignment horizontal="center" vertical="center" wrapText="1"/>
      <protection locked="0"/>
    </xf>
    <xf numFmtId="2" fontId="5" fillId="17" borderId="42" xfId="16" applyNumberFormat="1" applyFont="1" applyFill="1" applyBorder="1" applyAlignment="1" applyProtection="1">
      <alignment horizontal="left" vertical="center" wrapText="1"/>
      <protection locked="0"/>
    </xf>
    <xf numFmtId="2" fontId="5" fillId="17" borderId="27" xfId="16" applyNumberFormat="1" applyFont="1" applyFill="1" applyBorder="1" applyAlignment="1" applyProtection="1">
      <alignment horizontal="left" vertical="center" wrapText="1"/>
      <protection locked="0"/>
    </xf>
    <xf numFmtId="1" fontId="5" fillId="0" borderId="42" xfId="16" applyNumberFormat="1" applyFont="1" applyFill="1" applyBorder="1" applyAlignment="1" applyProtection="1">
      <alignment horizontal="center" vertical="center" wrapText="1"/>
      <protection locked="0"/>
    </xf>
    <xf numFmtId="1" fontId="5" fillId="0" borderId="42" xfId="16" applyNumberFormat="1" applyFont="1" applyFill="1" applyBorder="1" applyAlignment="1" applyProtection="1">
      <alignment horizontal="right" vertical="center" wrapText="1"/>
      <protection locked="0"/>
    </xf>
    <xf numFmtId="1" fontId="5" fillId="0" borderId="27" xfId="16" applyNumberFormat="1" applyFont="1" applyFill="1" applyBorder="1" applyAlignment="1" applyProtection="1">
      <alignment horizontal="right" vertical="center" wrapText="1"/>
      <protection locked="0"/>
    </xf>
    <xf numFmtId="1" fontId="5" fillId="0" borderId="48" xfId="16" applyNumberFormat="1" applyFont="1" applyFill="1" applyBorder="1" applyAlignment="1" applyProtection="1">
      <alignment horizontal="center" vertical="center" wrapText="1"/>
      <protection locked="0"/>
    </xf>
    <xf numFmtId="1" fontId="5" fillId="0" borderId="27" xfId="16" applyNumberFormat="1" applyFill="1" applyBorder="1" applyProtection="1">
      <protection locked="0"/>
    </xf>
    <xf numFmtId="180" fontId="22" fillId="28" borderId="0" xfId="7" applyNumberFormat="1" applyFont="1" applyFill="1" applyAlignment="1">
      <alignment wrapText="1"/>
    </xf>
    <xf numFmtId="180" fontId="22" fillId="29" borderId="0" xfId="7" applyNumberFormat="1" applyFont="1" applyFill="1" applyAlignment="1">
      <alignment wrapText="1"/>
    </xf>
    <xf numFmtId="180" fontId="22" fillId="20" borderId="0" xfId="7" applyNumberFormat="1" applyFont="1" applyFill="1" applyAlignment="1">
      <alignment wrapText="1"/>
    </xf>
    <xf numFmtId="180" fontId="22" fillId="15" borderId="0" xfId="7" applyNumberFormat="1" applyFont="1" applyFill="1" applyAlignment="1">
      <alignment wrapText="1"/>
    </xf>
    <xf numFmtId="180" fontId="22" fillId="16" borderId="0" xfId="7" applyNumberFormat="1" applyFont="1" applyFill="1" applyAlignment="1">
      <alignment wrapText="1"/>
    </xf>
    <xf numFmtId="2" fontId="5" fillId="17" borderId="0" xfId="16" applyNumberFormat="1" applyFont="1" applyFill="1" applyAlignment="1" applyProtection="1">
      <alignment vertical="center" wrapText="1"/>
      <protection locked="0"/>
    </xf>
    <xf numFmtId="2" fontId="5" fillId="17" borderId="27" xfId="16" applyNumberFormat="1" applyFont="1" applyFill="1" applyBorder="1" applyAlignment="1" applyProtection="1">
      <alignment vertical="center" wrapText="1"/>
      <protection locked="0"/>
    </xf>
    <xf numFmtId="180" fontId="22" fillId="0" borderId="0" xfId="7" applyNumberFormat="1" applyFont="1" applyAlignment="1">
      <alignment wrapText="1"/>
    </xf>
    <xf numFmtId="180" fontId="23" fillId="0" borderId="0" xfId="7" applyNumberFormat="1" applyFont="1" applyAlignment="1">
      <alignment wrapText="1"/>
    </xf>
    <xf numFmtId="44" fontId="22" fillId="0" borderId="0" xfId="2" applyFont="1" applyAlignment="1">
      <alignment wrapText="1"/>
    </xf>
    <xf numFmtId="164" fontId="36" fillId="13" borderId="0" xfId="12" applyFont="1" applyFill="1"/>
    <xf numFmtId="2" fontId="22" fillId="13" borderId="0" xfId="7" applyNumberFormat="1" applyFont="1" applyFill="1" applyAlignment="1"/>
    <xf numFmtId="167" fontId="22" fillId="13" borderId="0" xfId="7" applyNumberFormat="1" applyFont="1" applyFill="1" applyAlignment="1"/>
    <xf numFmtId="164" fontId="0" fillId="0" borderId="5" xfId="0" applyBorder="1"/>
    <xf numFmtId="164" fontId="36" fillId="0" borderId="7" xfId="12" applyFont="1" applyBorder="1"/>
    <xf numFmtId="3" fontId="35" fillId="0" borderId="6" xfId="13" applyNumberFormat="1" applyFont="1" applyFill="1" applyBorder="1" applyAlignment="1">
      <alignment horizontal="right"/>
    </xf>
    <xf numFmtId="3" fontId="36" fillId="0" borderId="9" xfId="13" applyNumberFormat="1" applyFont="1" applyFill="1" applyBorder="1" applyAlignment="1">
      <alignment horizontal="right"/>
    </xf>
    <xf numFmtId="164" fontId="36" fillId="14" borderId="13" xfId="12" applyFont="1" applyFill="1" applyBorder="1" applyAlignment="1"/>
    <xf numFmtId="180" fontId="22" fillId="13" borderId="0" xfId="0" applyNumberFormat="1" applyFont="1" applyFill="1"/>
    <xf numFmtId="180" fontId="35" fillId="0" borderId="0" xfId="12" applyNumberFormat="1" applyFont="1"/>
    <xf numFmtId="180" fontId="35" fillId="0" borderId="0" xfId="0" applyNumberFormat="1" applyFont="1"/>
    <xf numFmtId="164" fontId="35" fillId="0" borderId="0" xfId="0" applyFont="1"/>
    <xf numFmtId="178" fontId="35" fillId="0" borderId="0" xfId="1" applyNumberFormat="1" applyFont="1"/>
    <xf numFmtId="9" fontId="35" fillId="0" borderId="0" xfId="11" applyFont="1"/>
    <xf numFmtId="180" fontId="35" fillId="0" borderId="5" xfId="0" applyNumberFormat="1" applyFont="1" applyBorder="1"/>
    <xf numFmtId="180" fontId="35" fillId="0" borderId="7" xfId="0" applyNumberFormat="1" applyFont="1" applyBorder="1"/>
    <xf numFmtId="164" fontId="36" fillId="14" borderId="15" xfId="12" applyFont="1" applyFill="1" applyBorder="1" applyAlignment="1">
      <alignment horizontal="right"/>
    </xf>
    <xf numFmtId="4" fontId="35" fillId="0" borderId="0" xfId="0" applyNumberFormat="1" applyFont="1" applyBorder="1"/>
    <xf numFmtId="164" fontId="36" fillId="14" borderId="14" xfId="12" applyFont="1" applyFill="1" applyBorder="1" applyAlignment="1">
      <alignment horizontal="right"/>
    </xf>
    <xf numFmtId="3" fontId="35" fillId="0" borderId="0" xfId="13" applyNumberFormat="1" applyFont="1" applyFill="1" applyBorder="1" applyAlignment="1">
      <alignment horizontal="right"/>
    </xf>
    <xf numFmtId="3" fontId="36" fillId="0" borderId="8" xfId="13" applyNumberFormat="1" applyFont="1" applyFill="1" applyBorder="1" applyAlignment="1">
      <alignment horizontal="right"/>
    </xf>
    <xf numFmtId="3" fontId="36" fillId="0" borderId="0" xfId="13" applyNumberFormat="1" applyFont="1" applyFill="1" applyBorder="1" applyAlignment="1">
      <alignment horizontal="right"/>
    </xf>
    <xf numFmtId="4" fontId="35" fillId="0" borderId="0" xfId="13" applyNumberFormat="1" applyFont="1" applyFill="1" applyBorder="1" applyAlignment="1">
      <alignment horizontal="right"/>
    </xf>
    <xf numFmtId="164" fontId="36" fillId="16" borderId="2" xfId="12" applyFont="1" applyFill="1" applyBorder="1"/>
    <xf numFmtId="164" fontId="36" fillId="16" borderId="3" xfId="12" applyFont="1" applyFill="1" applyBorder="1"/>
    <xf numFmtId="164" fontId="36" fillId="16" borderId="3" xfId="12" applyFont="1" applyFill="1" applyBorder="1" applyAlignment="1">
      <alignment horizontal="right"/>
    </xf>
    <xf numFmtId="176" fontId="36" fillId="16" borderId="4" xfId="11" applyNumberFormat="1" applyFont="1" applyFill="1" applyBorder="1"/>
    <xf numFmtId="164" fontId="36" fillId="15" borderId="14" xfId="12" applyFont="1" applyFill="1" applyBorder="1" applyAlignment="1">
      <alignment horizontal="right"/>
    </xf>
    <xf numFmtId="164" fontId="36" fillId="15" borderId="15" xfId="12" applyFont="1" applyFill="1" applyBorder="1" applyAlignment="1">
      <alignment horizontal="right"/>
    </xf>
    <xf numFmtId="164" fontId="36" fillId="0" borderId="5" xfId="12" applyFont="1" applyBorder="1"/>
    <xf numFmtId="164" fontId="36" fillId="14" borderId="13" xfId="12" applyFont="1" applyFill="1" applyBorder="1"/>
    <xf numFmtId="164" fontId="35" fillId="14" borderId="14" xfId="12" applyFont="1" applyFill="1" applyBorder="1" applyAlignment="1">
      <alignment horizontal="right"/>
    </xf>
    <xf numFmtId="164" fontId="35" fillId="14" borderId="15" xfId="12" applyFont="1" applyFill="1" applyBorder="1" applyAlignment="1">
      <alignment horizontal="right"/>
    </xf>
    <xf numFmtId="3" fontId="36" fillId="14" borderId="14" xfId="13" applyNumberFormat="1" applyFont="1" applyFill="1" applyBorder="1" applyAlignment="1">
      <alignment horizontal="right"/>
    </xf>
    <xf numFmtId="3" fontId="36" fillId="14" borderId="15" xfId="13" applyNumberFormat="1" applyFont="1" applyFill="1" applyBorder="1" applyAlignment="1">
      <alignment horizontal="right"/>
    </xf>
    <xf numFmtId="164" fontId="36" fillId="15" borderId="13" xfId="12" applyFont="1" applyFill="1" applyBorder="1"/>
    <xf numFmtId="3" fontId="35" fillId="15" borderId="14" xfId="13" applyNumberFormat="1" applyFont="1" applyFill="1" applyBorder="1" applyAlignment="1">
      <alignment horizontal="right"/>
    </xf>
    <xf numFmtId="3" fontId="35" fillId="15" borderId="15" xfId="13" applyNumberFormat="1" applyFont="1" applyFill="1" applyBorder="1" applyAlignment="1">
      <alignment horizontal="right"/>
    </xf>
    <xf numFmtId="164" fontId="36" fillId="15" borderId="13" xfId="12" applyFont="1" applyFill="1" applyBorder="1" applyAlignment="1"/>
    <xf numFmtId="4" fontId="36" fillId="0" borderId="0" xfId="13" applyNumberFormat="1" applyFont="1" applyFill="1" applyBorder="1" applyAlignment="1">
      <alignment horizontal="right"/>
    </xf>
    <xf numFmtId="4" fontId="36" fillId="0" borderId="9" xfId="13" applyNumberFormat="1" applyFont="1" applyFill="1" applyBorder="1" applyAlignment="1">
      <alignment horizontal="right"/>
    </xf>
    <xf numFmtId="180" fontId="36" fillId="11" borderId="13" xfId="0" applyNumberFormat="1" applyFont="1" applyFill="1" applyBorder="1"/>
    <xf numFmtId="180" fontId="36" fillId="11" borderId="15" xfId="0" applyNumberFormat="1" applyFont="1" applyFill="1" applyBorder="1" applyAlignment="1">
      <alignment horizontal="right"/>
    </xf>
    <xf numFmtId="180" fontId="36" fillId="11" borderId="45" xfId="0" applyNumberFormat="1" applyFont="1" applyFill="1" applyBorder="1"/>
    <xf numFmtId="180" fontId="22" fillId="0" borderId="0" xfId="7" applyNumberFormat="1" applyFont="1" applyAlignment="1"/>
    <xf numFmtId="180" fontId="35" fillId="0" borderId="0" xfId="0" applyNumberFormat="1" applyFont="1" applyBorder="1"/>
    <xf numFmtId="180" fontId="35" fillId="0" borderId="46" xfId="0" applyNumberFormat="1" applyFont="1" applyBorder="1"/>
    <xf numFmtId="180" fontId="22" fillId="0" borderId="0" xfId="14" applyNumberFormat="1" applyFont="1" applyBorder="1" applyProtection="1">
      <protection locked="0"/>
    </xf>
    <xf numFmtId="180" fontId="35" fillId="0" borderId="6" xfId="0" applyNumberFormat="1" applyFont="1" applyBorder="1"/>
    <xf numFmtId="180" fontId="22" fillId="0" borderId="0" xfId="7" applyNumberFormat="1" applyFont="1" applyAlignment="1">
      <alignment horizontal="left"/>
    </xf>
    <xf numFmtId="180" fontId="23" fillId="0" borderId="0" xfId="0" applyNumberFormat="1" applyFont="1"/>
    <xf numFmtId="180" fontId="22" fillId="0" borderId="0" xfId="0" applyNumberFormat="1" applyFont="1" applyBorder="1"/>
    <xf numFmtId="180" fontId="35" fillId="0" borderId="47" xfId="0" applyNumberFormat="1" applyFont="1" applyBorder="1"/>
    <xf numFmtId="180" fontId="9" fillId="6" borderId="0" xfId="6" applyNumberFormat="1" applyFont="1" applyFill="1"/>
    <xf numFmtId="180" fontId="23" fillId="0" borderId="0" xfId="9" quotePrefix="1" applyNumberFormat="1" applyFont="1" applyAlignment="1"/>
    <xf numFmtId="180" fontId="23" fillId="0" borderId="0" xfId="9" applyNumberFormat="1" applyFont="1" applyAlignment="1">
      <alignment horizontal="center"/>
    </xf>
    <xf numFmtId="180" fontId="22" fillId="0" borderId="0" xfId="9" applyNumberFormat="1" applyFont="1" applyAlignment="1">
      <alignment horizontal="centerContinuous"/>
    </xf>
    <xf numFmtId="180" fontId="22" fillId="0" borderId="0" xfId="10" applyNumberFormat="1" applyFont="1"/>
    <xf numFmtId="180" fontId="22" fillId="0" borderId="0" xfId="9" applyNumberFormat="1" applyFont="1" applyAlignment="1">
      <alignment horizontal="left"/>
    </xf>
    <xf numFmtId="180" fontId="22" fillId="0" borderId="0" xfId="9" quotePrefix="1" applyNumberFormat="1" applyFont="1" applyAlignment="1">
      <alignment horizontal="left"/>
    </xf>
    <xf numFmtId="180" fontId="22" fillId="0" borderId="0" xfId="10" quotePrefix="1" applyNumberFormat="1" applyFont="1" applyAlignment="1">
      <alignment horizontal="left"/>
    </xf>
    <xf numFmtId="180" fontId="23" fillId="0" borderId="0" xfId="10" quotePrefix="1" applyNumberFormat="1" applyFont="1" applyAlignment="1">
      <alignment horizontal="left"/>
    </xf>
    <xf numFmtId="180" fontId="23" fillId="0" borderId="0" xfId="10" applyNumberFormat="1" applyFont="1"/>
    <xf numFmtId="180" fontId="23" fillId="0" borderId="0" xfId="9" quotePrefix="1" applyNumberFormat="1" applyFont="1" applyAlignment="1">
      <alignment horizontal="left"/>
    </xf>
    <xf numFmtId="180" fontId="23" fillId="0" borderId="0" xfId="9" applyNumberFormat="1" applyFont="1"/>
    <xf numFmtId="180" fontId="22" fillId="0" borderId="8" xfId="9" applyNumberFormat="1" applyFont="1" applyBorder="1"/>
    <xf numFmtId="180" fontId="22" fillId="0" borderId="0" xfId="9" applyNumberFormat="1" applyFont="1" applyBorder="1"/>
    <xf numFmtId="180" fontId="22" fillId="0" borderId="0" xfId="7" applyNumberFormat="1" applyFont="1" applyAlignment="1">
      <alignment horizontal="left" wrapText="1"/>
    </xf>
    <xf numFmtId="180" fontId="30" fillId="0" borderId="0" xfId="7" applyNumberFormat="1" applyFont="1"/>
    <xf numFmtId="180" fontId="30" fillId="0" borderId="0" xfId="7" applyNumberFormat="1" applyFont="1" applyAlignment="1">
      <alignment wrapText="1"/>
    </xf>
    <xf numFmtId="180" fontId="28" fillId="11" borderId="0" xfId="7" applyNumberFormat="1" applyFont="1" applyFill="1" applyAlignment="1"/>
    <xf numFmtId="180" fontId="23" fillId="11" borderId="0" xfId="7" applyNumberFormat="1" applyFont="1" applyFill="1" applyAlignment="1">
      <alignment wrapText="1"/>
    </xf>
    <xf numFmtId="180" fontId="22" fillId="11" borderId="0" xfId="7" applyNumberFormat="1" applyFont="1" applyFill="1" applyAlignment="1">
      <alignment wrapText="1"/>
    </xf>
    <xf numFmtId="180" fontId="37" fillId="0" borderId="0" xfId="7" applyNumberFormat="1" applyFont="1" applyAlignment="1"/>
    <xf numFmtId="180" fontId="23" fillId="0" borderId="2" xfId="7" applyNumberFormat="1" applyFont="1" applyBorder="1" applyAlignment="1">
      <alignment wrapText="1"/>
    </xf>
    <xf numFmtId="180" fontId="23" fillId="0" borderId="4" xfId="7" quotePrefix="1" applyNumberFormat="1" applyFont="1" applyBorder="1" applyAlignment="1">
      <alignment wrapText="1"/>
    </xf>
    <xf numFmtId="180" fontId="38" fillId="11" borderId="13" xfId="7" applyNumberFormat="1" applyFont="1" applyFill="1" applyBorder="1" applyAlignment="1"/>
    <xf numFmtId="180" fontId="22" fillId="11" borderId="14" xfId="7" applyNumberFormat="1" applyFont="1" applyFill="1" applyBorder="1" applyAlignment="1">
      <alignment wrapText="1"/>
    </xf>
    <xf numFmtId="180" fontId="22" fillId="11" borderId="15" xfId="7" applyNumberFormat="1" applyFont="1" applyFill="1" applyBorder="1" applyAlignment="1">
      <alignment horizontal="right" wrapText="1"/>
    </xf>
    <xf numFmtId="180" fontId="23" fillId="12" borderId="13" xfId="7" applyNumberFormat="1" applyFont="1" applyFill="1" applyBorder="1" applyAlignment="1">
      <alignment wrapText="1"/>
    </xf>
    <xf numFmtId="180" fontId="23" fillId="12" borderId="14" xfId="7" applyNumberFormat="1" applyFont="1" applyFill="1" applyBorder="1" applyAlignment="1">
      <alignment wrapText="1"/>
    </xf>
    <xf numFmtId="180" fontId="23" fillId="12" borderId="14" xfId="7" applyNumberFormat="1" applyFont="1" applyFill="1" applyBorder="1" applyAlignment="1">
      <alignment horizontal="center" wrapText="1"/>
    </xf>
    <xf numFmtId="180" fontId="22" fillId="0" borderId="20" xfId="7" applyNumberFormat="1" applyFont="1" applyFill="1" applyBorder="1" applyAlignment="1">
      <alignment wrapText="1"/>
    </xf>
    <xf numFmtId="180" fontId="22" fillId="0" borderId="21" xfId="7" applyNumberFormat="1" applyFont="1" applyFill="1" applyBorder="1" applyAlignment="1">
      <alignment horizontal="left" wrapText="1"/>
    </xf>
    <xf numFmtId="180" fontId="22" fillId="0" borderId="16" xfId="7" applyNumberFormat="1" applyFont="1" applyFill="1" applyBorder="1" applyAlignment="1">
      <alignment wrapText="1"/>
    </xf>
    <xf numFmtId="180" fontId="22" fillId="0" borderId="12" xfId="7" applyNumberFormat="1" applyFont="1" applyFill="1" applyBorder="1" applyAlignment="1">
      <alignment horizontal="left" wrapText="1"/>
    </xf>
    <xf numFmtId="180" fontId="22" fillId="0" borderId="18" xfId="7" applyNumberFormat="1" applyFont="1" applyBorder="1" applyAlignment="1">
      <alignment wrapText="1"/>
    </xf>
    <xf numFmtId="180" fontId="22" fillId="0" borderId="1" xfId="7" applyNumberFormat="1" applyFont="1" applyFill="1" applyBorder="1" applyAlignment="1">
      <alignment horizontal="left" wrapText="1"/>
    </xf>
    <xf numFmtId="180" fontId="22" fillId="0" borderId="16" xfId="7" applyNumberFormat="1" applyFont="1" applyBorder="1" applyAlignment="1">
      <alignment wrapText="1"/>
    </xf>
    <xf numFmtId="180" fontId="22" fillId="0" borderId="5" xfId="7" applyNumberFormat="1" applyFont="1" applyBorder="1" applyAlignment="1">
      <alignment wrapText="1"/>
    </xf>
    <xf numFmtId="180" fontId="22" fillId="0" borderId="0" xfId="7" applyNumberFormat="1" applyFont="1" applyFill="1" applyBorder="1" applyAlignment="1">
      <alignment horizontal="left" wrapText="1"/>
    </xf>
    <xf numFmtId="180" fontId="22" fillId="0" borderId="16" xfId="7" applyNumberFormat="1" applyFont="1" applyBorder="1" applyAlignment="1">
      <alignment vertical="top" wrapText="1"/>
    </xf>
    <xf numFmtId="180" fontId="22" fillId="0" borderId="12" xfId="7" applyNumberFormat="1" applyFont="1" applyFill="1" applyBorder="1" applyAlignment="1">
      <alignment vertical="top" wrapText="1"/>
    </xf>
    <xf numFmtId="180" fontId="22" fillId="0" borderId="7" xfId="7" applyNumberFormat="1" applyFont="1" applyBorder="1" applyAlignment="1">
      <alignment wrapText="1"/>
    </xf>
    <xf numFmtId="180" fontId="22" fillId="0" borderId="8" xfId="7" applyNumberFormat="1" applyFont="1" applyBorder="1" applyAlignment="1">
      <alignment wrapText="1"/>
    </xf>
    <xf numFmtId="180" fontId="23" fillId="0" borderId="8" xfId="7" applyNumberFormat="1" applyFont="1" applyBorder="1" applyAlignment="1">
      <alignment wrapText="1"/>
    </xf>
    <xf numFmtId="180" fontId="22" fillId="0" borderId="8" xfId="7" applyNumberFormat="1" applyFont="1" applyFill="1" applyBorder="1" applyAlignment="1">
      <alignment wrapText="1"/>
    </xf>
    <xf numFmtId="180" fontId="22" fillId="0" borderId="20" xfId="7" applyNumberFormat="1" applyFont="1" applyBorder="1" applyAlignment="1">
      <alignment wrapText="1"/>
    </xf>
    <xf numFmtId="180" fontId="23" fillId="0" borderId="0" xfId="7" applyNumberFormat="1" applyFont="1" applyAlignment="1"/>
    <xf numFmtId="180" fontId="22" fillId="0" borderId="7" xfId="7" applyNumberFormat="1" applyFont="1" applyBorder="1" applyAlignment="1"/>
    <xf numFmtId="180" fontId="22" fillId="0" borderId="8" xfId="7" applyNumberFormat="1" applyFont="1" applyBorder="1" applyAlignment="1"/>
    <xf numFmtId="180" fontId="23" fillId="0" borderId="8" xfId="7" applyNumberFormat="1" applyFont="1" applyBorder="1" applyAlignment="1"/>
    <xf numFmtId="180" fontId="23" fillId="11" borderId="14" xfId="7" applyNumberFormat="1" applyFont="1" applyFill="1" applyBorder="1" applyAlignment="1">
      <alignment wrapText="1"/>
    </xf>
    <xf numFmtId="180" fontId="22" fillId="12" borderId="20" xfId="7" applyNumberFormat="1" applyFont="1" applyFill="1" applyBorder="1" applyAlignment="1">
      <alignment wrapText="1"/>
    </xf>
    <xf numFmtId="180" fontId="22" fillId="12" borderId="21" xfId="7" applyNumberFormat="1" applyFont="1" applyFill="1" applyBorder="1" applyAlignment="1">
      <alignment wrapText="1"/>
    </xf>
    <xf numFmtId="180" fontId="23" fillId="12" borderId="21" xfId="7" applyNumberFormat="1" applyFont="1" applyFill="1" applyBorder="1" applyAlignment="1">
      <alignment horizontal="center" wrapText="1"/>
    </xf>
    <xf numFmtId="180" fontId="22" fillId="0" borderId="6" xfId="7" applyNumberFormat="1" applyFont="1" applyBorder="1" applyAlignment="1">
      <alignment wrapText="1"/>
    </xf>
    <xf numFmtId="180" fontId="22" fillId="0" borderId="0" xfId="7" quotePrefix="1" applyNumberFormat="1" applyFont="1" applyBorder="1" applyAlignment="1">
      <alignment horizontal="left" wrapText="1"/>
    </xf>
    <xf numFmtId="180" fontId="22" fillId="0" borderId="19" xfId="7" applyNumberFormat="1" applyFont="1" applyBorder="1" applyAlignment="1">
      <alignment wrapText="1"/>
    </xf>
    <xf numFmtId="180" fontId="22" fillId="0" borderId="13" xfId="7" applyNumberFormat="1" applyFont="1" applyBorder="1" applyAlignment="1">
      <alignment wrapText="1"/>
    </xf>
    <xf numFmtId="180" fontId="22" fillId="0" borderId="14" xfId="7" applyNumberFormat="1" applyFont="1" applyBorder="1" applyAlignment="1">
      <alignment wrapText="1"/>
    </xf>
    <xf numFmtId="180" fontId="22" fillId="0" borderId="14" xfId="7" applyNumberFormat="1" applyFont="1" applyBorder="1" applyAlignment="1">
      <alignment horizontal="left"/>
    </xf>
    <xf numFmtId="180" fontId="22" fillId="0" borderId="0" xfId="7" quotePrefix="1" applyNumberFormat="1" applyFont="1" applyBorder="1" applyAlignment="1">
      <alignment horizontal="left"/>
    </xf>
    <xf numFmtId="180" fontId="22" fillId="0" borderId="0" xfId="7" quotePrefix="1" applyNumberFormat="1" applyFont="1" applyAlignment="1">
      <alignment horizontal="left"/>
    </xf>
    <xf numFmtId="180" fontId="23" fillId="0" borderId="8" xfId="7" applyNumberFormat="1" applyFont="1" applyBorder="1" applyAlignment="1">
      <alignment horizontal="left"/>
    </xf>
    <xf numFmtId="180" fontId="23" fillId="0" borderId="0" xfId="7" applyNumberFormat="1" applyFont="1" applyBorder="1" applyAlignment="1">
      <alignment horizontal="left"/>
    </xf>
    <xf numFmtId="180" fontId="22" fillId="12" borderId="13" xfId="7" applyNumberFormat="1" applyFont="1" applyFill="1" applyBorder="1" applyAlignment="1">
      <alignment wrapText="1"/>
    </xf>
    <xf numFmtId="180" fontId="22" fillId="12" borderId="14" xfId="7" applyNumberFormat="1" applyFont="1" applyFill="1" applyBorder="1" applyAlignment="1">
      <alignment wrapText="1"/>
    </xf>
    <xf numFmtId="180" fontId="38" fillId="11" borderId="2" xfId="7" applyNumberFormat="1" applyFont="1" applyFill="1" applyBorder="1" applyAlignment="1"/>
    <xf numFmtId="180" fontId="22" fillId="11" borderId="3" xfId="7" applyNumberFormat="1" applyFont="1" applyFill="1" applyBorder="1" applyAlignment="1">
      <alignment wrapText="1"/>
    </xf>
    <xf numFmtId="180" fontId="22" fillId="11" borderId="15" xfId="7" applyNumberFormat="1" applyFont="1" applyFill="1" applyBorder="1" applyAlignment="1">
      <alignment wrapText="1"/>
    </xf>
    <xf numFmtId="180" fontId="22" fillId="0" borderId="0" xfId="7" applyNumberFormat="1" applyFont="1" applyBorder="1" applyAlignment="1">
      <alignment horizontal="left" wrapText="1"/>
    </xf>
    <xf numFmtId="180" fontId="23" fillId="0" borderId="5" xfId="7" applyNumberFormat="1" applyFont="1" applyBorder="1" applyAlignment="1">
      <alignment wrapText="1"/>
    </xf>
    <xf numFmtId="180" fontId="23" fillId="0" borderId="0" xfId="7" applyNumberFormat="1" applyFont="1" applyBorder="1" applyAlignment="1">
      <alignment wrapText="1"/>
    </xf>
    <xf numFmtId="180" fontId="23" fillId="0" borderId="0" xfId="7" applyNumberFormat="1" applyFont="1" applyBorder="1" applyAlignment="1">
      <alignment horizontal="center" wrapText="1"/>
    </xf>
    <xf numFmtId="180" fontId="22" fillId="0" borderId="9" xfId="7" applyNumberFormat="1" applyFont="1" applyBorder="1" applyAlignment="1">
      <alignment wrapText="1"/>
    </xf>
    <xf numFmtId="180" fontId="22" fillId="0" borderId="0" xfId="7" applyNumberFormat="1" applyFont="1" applyFill="1" applyAlignment="1">
      <alignment horizontal="left" wrapText="1"/>
    </xf>
    <xf numFmtId="180" fontId="22" fillId="0" borderId="0" xfId="7" applyNumberFormat="1" applyFont="1" applyFill="1" applyAlignment="1">
      <alignment wrapText="1"/>
    </xf>
    <xf numFmtId="180" fontId="5" fillId="0" borderId="14" xfId="16" applyNumberFormat="1" applyFont="1" applyFill="1" applyBorder="1" applyAlignment="1" applyProtection="1">
      <alignment vertical="center"/>
      <protection locked="0"/>
    </xf>
    <xf numFmtId="180" fontId="17" fillId="0" borderId="31" xfId="16" applyNumberFormat="1" applyFont="1" applyBorder="1" applyAlignment="1" applyProtection="1">
      <alignment horizontal="left" vertical="center"/>
      <protection locked="0"/>
    </xf>
    <xf numFmtId="180" fontId="17" fillId="0" borderId="31" xfId="16" applyNumberFormat="1" applyFont="1" applyFill="1" applyBorder="1" applyAlignment="1" applyProtection="1">
      <alignment horizontal="center" vertical="center"/>
      <protection locked="0"/>
    </xf>
    <xf numFmtId="180" fontId="17" fillId="0" borderId="15" xfId="16" applyNumberFormat="1" applyFont="1" applyFill="1" applyBorder="1" applyAlignment="1" applyProtection="1">
      <alignment horizontal="center" vertical="center"/>
      <protection locked="0"/>
    </xf>
    <xf numFmtId="180" fontId="5" fillId="0" borderId="0" xfId="16" applyNumberFormat="1" applyFill="1" applyAlignment="1" applyProtection="1">
      <alignment horizontal="center" vertical="center"/>
      <protection locked="0"/>
    </xf>
    <xf numFmtId="180" fontId="5" fillId="0" borderId="24" xfId="0" applyNumberFormat="1" applyFont="1" applyFill="1" applyBorder="1" applyAlignment="1" applyProtection="1">
      <alignment horizontal="left" vertical="center" wrapText="1"/>
      <protection locked="0"/>
    </xf>
    <xf numFmtId="180" fontId="5" fillId="0" borderId="38" xfId="0" applyNumberFormat="1" applyFont="1" applyFill="1" applyBorder="1" applyAlignment="1" applyProtection="1">
      <alignment horizontal="center" vertical="center" wrapText="1"/>
      <protection locked="0"/>
    </xf>
    <xf numFmtId="180" fontId="5" fillId="0" borderId="0" xfId="16" applyNumberFormat="1" applyFill="1" applyAlignment="1" applyProtection="1">
      <alignment vertical="center" wrapText="1"/>
      <protection locked="0"/>
    </xf>
    <xf numFmtId="180" fontId="5" fillId="0" borderId="27" xfId="0" applyNumberFormat="1" applyFont="1" applyFill="1" applyBorder="1" applyAlignment="1" applyProtection="1">
      <alignment horizontal="left" vertical="center" wrapText="1"/>
      <protection locked="0"/>
    </xf>
    <xf numFmtId="180" fontId="5" fillId="0" borderId="35" xfId="0" applyNumberFormat="1" applyFont="1" applyFill="1" applyBorder="1" applyAlignment="1" applyProtection="1">
      <alignment horizontal="center" vertical="center" wrapText="1"/>
      <protection locked="0"/>
    </xf>
    <xf numFmtId="180" fontId="5" fillId="0" borderId="27" xfId="0" applyNumberFormat="1" applyFont="1" applyFill="1" applyBorder="1" applyAlignment="1" applyProtection="1">
      <alignment vertical="center" wrapText="1"/>
      <protection locked="0"/>
    </xf>
    <xf numFmtId="180" fontId="5" fillId="4" borderId="27" xfId="16" applyNumberFormat="1" applyFont="1" applyFill="1" applyBorder="1" applyAlignment="1" applyProtection="1">
      <alignment horizontal="left" vertical="center" wrapText="1"/>
      <protection locked="0"/>
    </xf>
    <xf numFmtId="180" fontId="5" fillId="4" borderId="27" xfId="16" applyNumberFormat="1" applyFont="1" applyFill="1" applyBorder="1" applyAlignment="1" applyProtection="1">
      <alignment vertical="center" wrapText="1"/>
      <protection locked="0"/>
    </xf>
    <xf numFmtId="180" fontId="5" fillId="4" borderId="35" xfId="16" applyNumberFormat="1" applyFont="1" applyFill="1" applyBorder="1" applyAlignment="1" applyProtection="1">
      <alignment horizontal="center" vertical="center" wrapText="1"/>
      <protection locked="0"/>
    </xf>
    <xf numFmtId="180" fontId="5" fillId="0" borderId="0" xfId="16" applyNumberFormat="1" applyFont="1" applyFill="1" applyAlignment="1" applyProtection="1">
      <alignment vertical="center" wrapText="1"/>
      <protection locked="0"/>
    </xf>
    <xf numFmtId="180" fontId="5" fillId="0" borderId="27" xfId="12" applyNumberFormat="1" applyFont="1" applyFill="1" applyBorder="1" applyAlignment="1" applyProtection="1">
      <alignment horizontal="center" vertical="center" wrapText="1"/>
      <protection locked="0"/>
    </xf>
    <xf numFmtId="180" fontId="5" fillId="0" borderId="27" xfId="16" applyNumberFormat="1" applyFont="1" applyFill="1" applyBorder="1" applyAlignment="1" applyProtection="1">
      <alignment horizontal="center" vertical="center" wrapText="1"/>
      <protection locked="0"/>
    </xf>
    <xf numFmtId="180" fontId="5" fillId="0" borderId="27" xfId="17" applyNumberFormat="1" applyFont="1" applyFill="1" applyBorder="1" applyAlignment="1" applyProtection="1">
      <alignment horizontal="center" vertical="center" wrapText="1"/>
      <protection locked="0"/>
    </xf>
    <xf numFmtId="180" fontId="5" fillId="0" borderId="27" xfId="18" applyNumberFormat="1" applyFont="1" applyFill="1" applyBorder="1" applyAlignment="1" applyProtection="1">
      <alignment horizontal="center" vertical="center" wrapText="1"/>
      <protection locked="0"/>
    </xf>
    <xf numFmtId="180" fontId="5" fillId="0" borderId="27" xfId="19" applyNumberFormat="1" applyFont="1" applyFill="1" applyBorder="1" applyAlignment="1" applyProtection="1">
      <alignment horizontal="center" vertical="center" wrapText="1"/>
      <protection locked="0"/>
    </xf>
    <xf numFmtId="180" fontId="5" fillId="17" borderId="42" xfId="16" applyNumberFormat="1" applyFont="1" applyFill="1" applyBorder="1" applyAlignment="1" applyProtection="1">
      <alignment vertical="center" wrapText="1"/>
      <protection locked="0"/>
    </xf>
    <xf numFmtId="180" fontId="5" fillId="17" borderId="0" xfId="16" applyNumberFormat="1" applyFont="1" applyFill="1" applyBorder="1" applyAlignment="1" applyProtection="1">
      <alignment horizontal="left" vertical="center" wrapText="1"/>
      <protection locked="0"/>
    </xf>
    <xf numFmtId="180" fontId="5" fillId="17" borderId="42" xfId="16" applyNumberFormat="1" applyFont="1" applyFill="1" applyBorder="1" applyAlignment="1" applyProtection="1">
      <alignment horizontal="center" vertical="center" wrapText="1"/>
      <protection locked="0"/>
    </xf>
    <xf numFmtId="180" fontId="5" fillId="0" borderId="27" xfId="21" applyNumberFormat="1" applyFont="1" applyFill="1" applyBorder="1" applyAlignment="1" applyProtection="1">
      <alignment horizontal="center" vertical="center" wrapText="1"/>
      <protection locked="0"/>
    </xf>
    <xf numFmtId="180" fontId="5" fillId="0" borderId="27" xfId="22" applyNumberFormat="1" applyFont="1" applyFill="1" applyBorder="1" applyAlignment="1" applyProtection="1">
      <alignment horizontal="center" vertical="center" wrapText="1"/>
      <protection locked="0"/>
    </xf>
    <xf numFmtId="180" fontId="5" fillId="0" borderId="27" xfId="23" applyNumberFormat="1" applyFont="1" applyFill="1" applyBorder="1" applyAlignment="1" applyProtection="1">
      <alignment horizontal="center" vertical="center" wrapText="1"/>
      <protection locked="0"/>
    </xf>
    <xf numFmtId="180" fontId="5" fillId="0" borderId="27" xfId="24" applyNumberFormat="1" applyFont="1" applyFill="1" applyBorder="1" applyAlignment="1" applyProtection="1">
      <alignment horizontal="left" vertical="center" wrapText="1"/>
      <protection locked="0"/>
    </xf>
    <xf numFmtId="180" fontId="5" fillId="0" borderId="27" xfId="24" applyNumberFormat="1" applyFont="1" applyFill="1" applyBorder="1" applyAlignment="1" applyProtection="1">
      <alignment vertical="center" wrapText="1"/>
      <protection locked="0"/>
    </xf>
    <xf numFmtId="180" fontId="5" fillId="0" borderId="27" xfId="25" applyNumberFormat="1" applyFont="1" applyFill="1" applyBorder="1" applyAlignment="1" applyProtection="1">
      <alignment horizontal="center" vertical="center" wrapText="1"/>
      <protection locked="0"/>
    </xf>
    <xf numFmtId="180" fontId="5" fillId="0" borderId="27" xfId="26" applyNumberFormat="1" applyFont="1" applyFill="1" applyBorder="1" applyAlignment="1" applyProtection="1">
      <alignment horizontal="center" vertical="center" wrapText="1"/>
      <protection locked="0"/>
    </xf>
    <xf numFmtId="180" fontId="5" fillId="0" borderId="27" xfId="27" applyNumberFormat="1" applyFont="1" applyFill="1" applyBorder="1" applyAlignment="1" applyProtection="1">
      <alignment horizontal="center" vertical="center" wrapText="1"/>
      <protection locked="0"/>
    </xf>
    <xf numFmtId="180" fontId="5" fillId="0" borderId="27" xfId="28" applyNumberFormat="1" applyFont="1" applyFill="1" applyBorder="1" applyAlignment="1" applyProtection="1">
      <alignment horizontal="center" vertical="center" wrapText="1"/>
      <protection locked="0"/>
    </xf>
    <xf numFmtId="180" fontId="5" fillId="0" borderId="27" xfId="29" applyNumberFormat="1" applyFont="1" applyFill="1" applyBorder="1" applyAlignment="1" applyProtection="1">
      <alignment horizontal="center" vertical="center" wrapText="1"/>
      <protection locked="0"/>
    </xf>
    <xf numFmtId="180" fontId="5" fillId="0" borderId="27" xfId="30" applyNumberFormat="1" applyFont="1" applyFill="1" applyBorder="1" applyAlignment="1" applyProtection="1">
      <alignment horizontal="center" vertical="center" wrapText="1"/>
      <protection locked="0"/>
    </xf>
    <xf numFmtId="180" fontId="5" fillId="17" borderId="0" xfId="16" applyNumberFormat="1" applyFill="1" applyAlignment="1" applyProtection="1">
      <alignment wrapText="1"/>
      <protection locked="0"/>
    </xf>
    <xf numFmtId="180" fontId="5" fillId="0" borderId="0" xfId="16" applyNumberFormat="1" applyFill="1" applyAlignment="1" applyProtection="1">
      <alignment wrapText="1"/>
      <protection locked="0"/>
    </xf>
    <xf numFmtId="180" fontId="36" fillId="13" borderId="0" xfId="0" applyNumberFormat="1" applyFont="1" applyFill="1" applyBorder="1"/>
    <xf numFmtId="2" fontId="35" fillId="13" borderId="0" xfId="0" applyNumberFormat="1" applyFont="1" applyFill="1" applyBorder="1"/>
    <xf numFmtId="180" fontId="35" fillId="13" borderId="0" xfId="0" applyNumberFormat="1" applyFont="1" applyFill="1" applyBorder="1"/>
    <xf numFmtId="180" fontId="22" fillId="13" borderId="0" xfId="0" applyNumberFormat="1" applyFont="1" applyFill="1" applyBorder="1"/>
    <xf numFmtId="180" fontId="22" fillId="13" borderId="0" xfId="9" applyNumberFormat="1" applyFont="1" applyFill="1"/>
    <xf numFmtId="180" fontId="5" fillId="0" borderId="0" xfId="16" applyNumberFormat="1" applyFont="1" applyFill="1" applyBorder="1" applyAlignment="1" applyProtection="1">
      <alignment horizontal="center"/>
      <protection locked="0"/>
    </xf>
    <xf numFmtId="180" fontId="5" fillId="0" borderId="0" xfId="16" applyNumberFormat="1" applyFont="1" applyFill="1" applyProtection="1">
      <protection locked="0"/>
    </xf>
    <xf numFmtId="180" fontId="17" fillId="0" borderId="61" xfId="16" applyNumberFormat="1" applyFont="1" applyFill="1" applyBorder="1" applyAlignment="1" applyProtection="1">
      <alignment horizontal="center" vertical="center" wrapText="1"/>
      <protection locked="0"/>
    </xf>
    <xf numFmtId="180" fontId="6" fillId="0" borderId="31" xfId="32" applyNumberFormat="1" applyFill="1" applyBorder="1" applyAlignment="1" applyProtection="1">
      <alignment vertical="center" wrapText="1"/>
      <protection locked="0"/>
    </xf>
    <xf numFmtId="180" fontId="6" fillId="0" borderId="27" xfId="32" applyNumberFormat="1" applyFill="1" applyBorder="1" applyAlignment="1" applyProtection="1">
      <alignment vertical="center" wrapText="1"/>
      <protection locked="0"/>
    </xf>
    <xf numFmtId="180" fontId="5" fillId="0" borderId="35" xfId="32" applyNumberFormat="1" applyFont="1" applyFill="1" applyBorder="1" applyAlignment="1" applyProtection="1">
      <alignment horizontal="center" vertical="center" wrapText="1"/>
      <protection locked="0"/>
    </xf>
    <xf numFmtId="180" fontId="5" fillId="0" borderId="27" xfId="32" applyNumberFormat="1" applyFont="1" applyFill="1" applyBorder="1" applyAlignment="1" applyProtection="1">
      <alignment vertical="center" wrapText="1"/>
      <protection locked="0"/>
    </xf>
    <xf numFmtId="180" fontId="22" fillId="13" borderId="0" xfId="9" applyNumberFormat="1" applyFont="1" applyFill="1" applyBorder="1"/>
    <xf numFmtId="180" fontId="22" fillId="13" borderId="8" xfId="9" applyNumberFormat="1" applyFont="1" applyFill="1" applyBorder="1"/>
    <xf numFmtId="180" fontId="22" fillId="0" borderId="0" xfId="9" applyNumberFormat="1" applyFont="1" applyFill="1" applyBorder="1"/>
    <xf numFmtId="180" fontId="32" fillId="27" borderId="0" xfId="0" applyNumberFormat="1" applyFont="1" applyFill="1"/>
    <xf numFmtId="180" fontId="33" fillId="27" borderId="0" xfId="0" applyNumberFormat="1" applyFont="1" applyFill="1"/>
    <xf numFmtId="180" fontId="23" fillId="0" borderId="4" xfId="7" applyNumberFormat="1" applyFont="1" applyBorder="1" applyAlignment="1">
      <alignment wrapText="1"/>
    </xf>
    <xf numFmtId="180" fontId="23" fillId="0" borderId="0" xfId="7" applyNumberFormat="1" applyFont="1" applyAlignment="1">
      <alignment horizontal="center" wrapText="1"/>
    </xf>
    <xf numFmtId="180" fontId="22" fillId="9" borderId="0" xfId="7" applyNumberFormat="1" applyFont="1" applyFill="1" applyAlignment="1">
      <alignment wrapText="1"/>
    </xf>
    <xf numFmtId="180" fontId="22" fillId="0" borderId="0" xfId="7" applyNumberFormat="1" applyFont="1" applyFill="1" applyAlignment="1"/>
    <xf numFmtId="180" fontId="22" fillId="29" borderId="12" xfId="7" applyNumberFormat="1" applyFont="1" applyFill="1" applyBorder="1" applyAlignment="1">
      <alignment wrapText="1"/>
    </xf>
    <xf numFmtId="180" fontId="22" fillId="29" borderId="0" xfId="7" applyNumberFormat="1" applyFont="1" applyFill="1" applyBorder="1" applyAlignment="1">
      <alignment wrapText="1"/>
    </xf>
    <xf numFmtId="180" fontId="22" fillId="16" borderId="0" xfId="7" applyNumberFormat="1" applyFont="1" applyFill="1" applyAlignment="1">
      <alignment horizontal="left" wrapText="1"/>
    </xf>
    <xf numFmtId="180" fontId="22" fillId="27" borderId="0" xfId="7" applyNumberFormat="1" applyFont="1" applyFill="1" applyAlignment="1">
      <alignment wrapText="1"/>
    </xf>
    <xf numFmtId="180" fontId="5" fillId="0" borderId="27" xfId="34" applyNumberFormat="1" applyFont="1" applyFill="1" applyBorder="1" applyAlignment="1" applyProtection="1">
      <alignment vertical="center" wrapText="1"/>
      <protection locked="0"/>
    </xf>
    <xf numFmtId="167" fontId="22" fillId="0" borderId="0" xfId="9" applyNumberFormat="1" applyFont="1"/>
    <xf numFmtId="180" fontId="22" fillId="0" borderId="0" xfId="9" applyNumberFormat="1" applyFont="1" applyAlignment="1">
      <alignment horizontal="right"/>
    </xf>
    <xf numFmtId="44" fontId="22" fillId="0" borderId="0" xfId="2" applyFont="1" applyBorder="1" applyAlignment="1">
      <alignment wrapText="1"/>
    </xf>
    <xf numFmtId="164" fontId="8" fillId="0" borderId="0" xfId="0" applyFont="1" applyAlignment="1">
      <alignment horizontal="center"/>
    </xf>
    <xf numFmtId="164" fontId="5" fillId="0" borderId="0" xfId="0" applyFont="1" applyAlignment="1">
      <alignment horizontal="center"/>
    </xf>
    <xf numFmtId="164" fontId="5" fillId="0" borderId="0" xfId="0" applyFont="1" applyBorder="1" applyAlignment="1">
      <alignment horizontal="centerContinuous"/>
    </xf>
    <xf numFmtId="164" fontId="5" fillId="0" borderId="0" xfId="0" applyFont="1" applyAlignment="1">
      <alignment horizontal="center"/>
    </xf>
    <xf numFmtId="164" fontId="21" fillId="0" borderId="0" xfId="0" quotePrefix="1" applyFont="1" applyAlignment="1">
      <alignment horizontal="center"/>
    </xf>
    <xf numFmtId="173" fontId="17" fillId="0" borderId="0" xfId="0" applyNumberFormat="1" applyFont="1" applyAlignment="1">
      <alignment horizontal="left"/>
    </xf>
    <xf numFmtId="2" fontId="5" fillId="0" borderId="65" xfId="16" applyNumberFormat="1" applyFont="1" applyFill="1" applyBorder="1" applyAlignment="1" applyProtection="1">
      <alignment horizontal="center" vertical="center" wrapText="1"/>
      <protection locked="0"/>
    </xf>
    <xf numFmtId="171" fontId="5" fillId="0" borderId="14" xfId="16" applyNumberFormat="1" applyFill="1" applyBorder="1" applyAlignment="1" applyProtection="1">
      <alignment vertical="center" wrapText="1"/>
      <protection locked="0"/>
    </xf>
    <xf numFmtId="171" fontId="5" fillId="0" borderId="24" xfId="16" applyNumberFormat="1" applyFill="1" applyBorder="1" applyAlignment="1" applyProtection="1">
      <alignment vertical="center" wrapText="1"/>
      <protection locked="0"/>
    </xf>
    <xf numFmtId="171" fontId="5" fillId="0" borderId="25" xfId="16" applyNumberFormat="1" applyFill="1" applyBorder="1" applyAlignment="1" applyProtection="1">
      <alignment vertical="center" wrapText="1"/>
      <protection locked="0"/>
    </xf>
    <xf numFmtId="171" fontId="5" fillId="0" borderId="28" xfId="16" applyNumberFormat="1" applyFill="1" applyBorder="1" applyAlignment="1" applyProtection="1">
      <alignment vertical="center" wrapText="1"/>
      <protection locked="0"/>
    </xf>
    <xf numFmtId="171" fontId="5" fillId="17" borderId="8" xfId="16" applyNumberFormat="1" applyFont="1" applyFill="1" applyBorder="1" applyAlignment="1" applyProtection="1">
      <alignment vertical="center" wrapText="1"/>
      <protection locked="0"/>
    </xf>
    <xf numFmtId="180" fontId="17" fillId="4" borderId="8" xfId="16" applyNumberFormat="1" applyFont="1" applyFill="1" applyBorder="1" applyAlignment="1" applyProtection="1">
      <alignment vertical="center"/>
      <protection locked="0"/>
    </xf>
    <xf numFmtId="180" fontId="5" fillId="4" borderId="8" xfId="16" applyNumberFormat="1" applyFont="1" applyFill="1" applyBorder="1" applyAlignment="1" applyProtection="1">
      <alignment horizontal="center" vertical="center" wrapText="1"/>
      <protection locked="0"/>
    </xf>
    <xf numFmtId="180" fontId="5" fillId="4" borderId="8" xfId="16" applyNumberFormat="1" applyFont="1" applyFill="1" applyBorder="1" applyAlignment="1" applyProtection="1">
      <alignment vertical="center" wrapText="1"/>
      <protection locked="0"/>
    </xf>
    <xf numFmtId="168" fontId="5" fillId="4" borderId="8" xfId="16" applyNumberFormat="1" applyFont="1" applyFill="1" applyBorder="1" applyAlignment="1" applyProtection="1">
      <alignment horizontal="center" vertical="center" wrapText="1"/>
      <protection locked="0"/>
    </xf>
    <xf numFmtId="182" fontId="5" fillId="4" borderId="8" xfId="16" applyNumberFormat="1" applyFont="1" applyFill="1" applyBorder="1" applyAlignment="1" applyProtection="1">
      <alignment horizontal="center" vertical="center" wrapText="1"/>
      <protection locked="0"/>
    </xf>
    <xf numFmtId="171" fontId="5" fillId="17" borderId="29" xfId="16" applyNumberFormat="1" applyFont="1" applyFill="1" applyBorder="1" applyAlignment="1" applyProtection="1">
      <alignment vertical="center" wrapText="1"/>
      <protection locked="0"/>
    </xf>
    <xf numFmtId="171" fontId="5" fillId="17" borderId="61" xfId="16" applyNumberFormat="1" applyFont="1" applyFill="1" applyBorder="1" applyAlignment="1" applyProtection="1">
      <alignment vertical="center" wrapText="1"/>
      <protection locked="0"/>
    </xf>
    <xf numFmtId="171" fontId="17" fillId="17" borderId="44" xfId="16" applyNumberFormat="1" applyFont="1" applyFill="1" applyBorder="1" applyAlignment="1" applyProtection="1">
      <alignment vertical="center" wrapText="1"/>
      <protection locked="0"/>
    </xf>
    <xf numFmtId="1" fontId="5" fillId="0" borderId="31" xfId="16" applyNumberFormat="1" applyFont="1" applyFill="1" applyBorder="1" applyAlignment="1" applyProtection="1">
      <alignment horizontal="right" vertical="center" wrapText="1"/>
      <protection locked="0"/>
    </xf>
    <xf numFmtId="1" fontId="5" fillId="4" borderId="8" xfId="16" applyNumberFormat="1" applyFont="1" applyFill="1" applyBorder="1" applyAlignment="1" applyProtection="1">
      <alignment horizontal="right" vertical="center" wrapText="1"/>
      <protection locked="0"/>
    </xf>
    <xf numFmtId="182" fontId="5" fillId="4" borderId="8" xfId="16" applyNumberFormat="1" applyFont="1" applyFill="1" applyBorder="1" applyAlignment="1" applyProtection="1">
      <alignment horizontal="left" vertical="center" wrapText="1"/>
      <protection locked="0"/>
    </xf>
    <xf numFmtId="180" fontId="5" fillId="0" borderId="0" xfId="16" applyNumberFormat="1" applyFill="1" applyAlignment="1" applyProtection="1">
      <alignment vertical="center"/>
      <protection locked="0"/>
    </xf>
    <xf numFmtId="171" fontId="5" fillId="0" borderId="0" xfId="16" applyNumberFormat="1" applyFill="1" applyAlignment="1" applyProtection="1">
      <alignment vertical="center"/>
      <protection locked="0"/>
    </xf>
    <xf numFmtId="2" fontId="5" fillId="0" borderId="0" xfId="16" applyNumberFormat="1" applyFill="1" applyAlignment="1" applyProtection="1">
      <alignment vertical="center"/>
      <protection locked="0"/>
    </xf>
    <xf numFmtId="180" fontId="12" fillId="0" borderId="6" xfId="16" applyFont="1" applyFill="1" applyBorder="1" applyAlignment="1" applyProtection="1">
      <alignment vertical="center"/>
      <protection locked="0"/>
    </xf>
    <xf numFmtId="180" fontId="17" fillId="0" borderId="37" xfId="16" applyNumberFormat="1" applyFont="1" applyFill="1" applyBorder="1" applyAlignment="1" applyProtection="1">
      <alignment horizontal="center" vertical="center"/>
      <protection locked="0"/>
    </xf>
    <xf numFmtId="180" fontId="17" fillId="0" borderId="66" xfId="16" applyNumberFormat="1" applyFont="1" applyFill="1" applyBorder="1" applyAlignment="1" applyProtection="1">
      <alignment horizontal="center" vertical="center"/>
      <protection locked="0"/>
    </xf>
    <xf numFmtId="180" fontId="17" fillId="0" borderId="37" xfId="16" applyNumberFormat="1" applyFont="1" applyFill="1" applyBorder="1" applyAlignment="1" applyProtection="1">
      <alignment horizontal="center" vertical="center" textRotation="90" wrapText="1"/>
      <protection locked="0"/>
    </xf>
    <xf numFmtId="180" fontId="17" fillId="0" borderId="68" xfId="16" applyNumberFormat="1" applyFont="1" applyFill="1" applyBorder="1" applyAlignment="1" applyProtection="1">
      <alignment horizontal="center" vertical="center" wrapText="1"/>
      <protection locked="0"/>
    </xf>
    <xf numFmtId="172" fontId="17" fillId="0" borderId="68" xfId="16" applyNumberFormat="1" applyFont="1" applyFill="1" applyBorder="1" applyAlignment="1" applyProtection="1">
      <alignment horizontal="center" vertical="center"/>
      <protection locked="0"/>
    </xf>
    <xf numFmtId="171" fontId="5" fillId="0" borderId="25" xfId="0" applyNumberFormat="1" applyFont="1" applyFill="1" applyBorder="1" applyAlignment="1" applyProtection="1">
      <alignment horizontal="center" vertical="center" wrapText="1"/>
      <protection locked="0"/>
    </xf>
    <xf numFmtId="171" fontId="5" fillId="0" borderId="28" xfId="0" applyNumberFormat="1" applyFont="1" applyFill="1" applyBorder="1" applyAlignment="1" applyProtection="1">
      <alignment horizontal="center" vertical="center" wrapText="1"/>
      <protection locked="0"/>
    </xf>
    <xf numFmtId="171" fontId="5" fillId="17" borderId="37" xfId="16" applyNumberFormat="1" applyFont="1" applyFill="1" applyBorder="1" applyAlignment="1" applyProtection="1">
      <alignment vertical="center" wrapText="1"/>
      <protection locked="0"/>
    </xf>
    <xf numFmtId="171" fontId="5" fillId="17" borderId="3" xfId="16" applyNumberFormat="1" applyFont="1" applyFill="1" applyBorder="1" applyAlignment="1" applyProtection="1">
      <alignment vertical="center" wrapText="1"/>
      <protection locked="0"/>
    </xf>
    <xf numFmtId="171" fontId="17" fillId="17" borderId="68" xfId="16" applyNumberFormat="1" applyFont="1" applyFill="1" applyBorder="1" applyAlignment="1" applyProtection="1">
      <alignment vertical="center" wrapText="1"/>
      <protection locked="0"/>
    </xf>
    <xf numFmtId="180" fontId="17" fillId="4" borderId="7" xfId="16" applyNumberFormat="1" applyFont="1" applyFill="1" applyBorder="1" applyAlignment="1" applyProtection="1">
      <alignment horizontal="right" vertical="center"/>
      <protection locked="0"/>
    </xf>
    <xf numFmtId="171" fontId="5" fillId="4" borderId="9" xfId="16" applyNumberFormat="1" applyFont="1" applyFill="1" applyBorder="1" applyAlignment="1" applyProtection="1">
      <alignment horizontal="center" vertical="center" wrapText="1"/>
      <protection locked="0"/>
    </xf>
    <xf numFmtId="1" fontId="5" fillId="0" borderId="24" xfId="16" applyNumberFormat="1" applyFont="1" applyFill="1" applyBorder="1" applyAlignment="1" applyProtection="1">
      <alignment horizontal="right" vertical="center" wrapText="1"/>
      <protection locked="0"/>
    </xf>
    <xf numFmtId="2" fontId="5" fillId="0" borderId="24" xfId="16" applyNumberFormat="1" applyFont="1" applyFill="1" applyBorder="1" applyAlignment="1" applyProtection="1">
      <alignment horizontal="center" vertical="center" wrapText="1"/>
      <protection locked="0"/>
    </xf>
    <xf numFmtId="180" fontId="17" fillId="4" borderId="8" xfId="16" applyNumberFormat="1" applyFont="1" applyFill="1" applyBorder="1" applyAlignment="1" applyProtection="1">
      <alignment horizontal="right" vertical="center"/>
      <protection locked="0"/>
    </xf>
    <xf numFmtId="180" fontId="5" fillId="0" borderId="24" xfId="0" applyNumberFormat="1" applyFont="1" applyFill="1" applyBorder="1" applyAlignment="1" applyProtection="1">
      <alignment vertical="center" wrapText="1"/>
      <protection locked="0"/>
    </xf>
    <xf numFmtId="180" fontId="5" fillId="0" borderId="34" xfId="0" applyNumberFormat="1" applyFont="1" applyFill="1" applyBorder="1" applyAlignment="1" applyProtection="1">
      <alignment horizontal="center" vertical="center" wrapText="1"/>
      <protection locked="0"/>
    </xf>
    <xf numFmtId="168" fontId="5" fillId="0" borderId="34" xfId="0" applyNumberFormat="1" applyFont="1" applyFill="1" applyBorder="1" applyAlignment="1" applyProtection="1">
      <alignment horizontal="center" vertical="center" wrapText="1"/>
      <protection locked="0"/>
    </xf>
    <xf numFmtId="182" fontId="5" fillId="0" borderId="24" xfId="0" applyNumberFormat="1" applyFont="1" applyFill="1" applyBorder="1" applyAlignment="1" applyProtection="1">
      <alignment horizontal="center" vertical="center" wrapText="1"/>
      <protection locked="0"/>
    </xf>
    <xf numFmtId="171" fontId="5" fillId="0" borderId="28" xfId="20" applyNumberFormat="1" applyFont="1" applyFill="1" applyBorder="1" applyAlignment="1" applyProtection="1">
      <alignment horizontal="center" vertical="center" wrapText="1"/>
      <protection locked="0"/>
    </xf>
    <xf numFmtId="180" fontId="17" fillId="4" borderId="3" xfId="16" applyNumberFormat="1" applyFont="1" applyFill="1" applyBorder="1" applyAlignment="1" applyProtection="1">
      <alignment horizontal="right" vertical="center"/>
      <protection locked="0"/>
    </xf>
    <xf numFmtId="1" fontId="5" fillId="4" borderId="2" xfId="16" applyNumberFormat="1" applyFont="1" applyFill="1" applyBorder="1" applyAlignment="1" applyProtection="1">
      <alignment horizontal="right" vertical="center" wrapText="1"/>
      <protection locked="0"/>
    </xf>
    <xf numFmtId="180" fontId="5" fillId="0" borderId="31" xfId="0" applyNumberFormat="1" applyFont="1" applyFill="1" applyBorder="1" applyAlignment="1" applyProtection="1">
      <alignment vertical="center" wrapText="1"/>
      <protection locked="0"/>
    </xf>
    <xf numFmtId="3" fontId="5" fillId="0" borderId="34" xfId="0" applyNumberFormat="1" applyFont="1" applyFill="1" applyBorder="1" applyAlignment="1" applyProtection="1">
      <alignment horizontal="center" vertical="center" wrapText="1"/>
      <protection locked="0"/>
    </xf>
    <xf numFmtId="172" fontId="5" fillId="0" borderId="24" xfId="0" applyNumberFormat="1" applyFont="1" applyFill="1" applyBorder="1" applyAlignment="1" applyProtection="1">
      <alignment horizontal="center" vertical="center" wrapText="1"/>
      <protection locked="0"/>
    </xf>
    <xf numFmtId="180" fontId="5" fillId="0" borderId="0" xfId="0" applyNumberFormat="1" applyFont="1" applyFill="1" applyBorder="1" applyAlignment="1" applyProtection="1">
      <alignment vertical="center" wrapText="1"/>
      <protection locked="0"/>
    </xf>
    <xf numFmtId="3" fontId="5" fillId="0" borderId="27" xfId="0" applyNumberFormat="1" applyFont="1" applyFill="1" applyBorder="1" applyAlignment="1" applyProtection="1">
      <alignment horizontal="center" vertical="center" wrapText="1"/>
      <protection locked="0"/>
    </xf>
    <xf numFmtId="180" fontId="22" fillId="0" borderId="49" xfId="0" applyNumberFormat="1" applyFont="1" applyBorder="1"/>
    <xf numFmtId="164" fontId="43" fillId="0" borderId="0" xfId="0" applyFont="1" applyAlignment="1">
      <alignment horizontal="right"/>
    </xf>
    <xf numFmtId="172" fontId="44" fillId="0" borderId="0" xfId="0" quotePrefix="1" applyNumberFormat="1" applyFont="1" applyFill="1" applyAlignment="1">
      <alignment horizontal="left"/>
    </xf>
    <xf numFmtId="164" fontId="43" fillId="0" borderId="0" xfId="0" applyFont="1"/>
    <xf numFmtId="164" fontId="45" fillId="0" borderId="0" xfId="0" applyFont="1"/>
    <xf numFmtId="164" fontId="43" fillId="0" borderId="0" xfId="0" applyFont="1" applyAlignment="1">
      <alignment horizontal="center"/>
    </xf>
    <xf numFmtId="173" fontId="17" fillId="0" borderId="0" xfId="0" quotePrefix="1" applyNumberFormat="1" applyFont="1" applyAlignment="1">
      <alignment horizontal="left"/>
    </xf>
    <xf numFmtId="180" fontId="33" fillId="8" borderId="43" xfId="0" applyNumberFormat="1" applyFont="1" applyFill="1" applyBorder="1" applyAlignment="1">
      <alignment vertical="center"/>
    </xf>
    <xf numFmtId="180" fontId="22" fillId="0" borderId="0" xfId="0" applyNumberFormat="1" applyFont="1" applyAlignment="1">
      <alignment vertical="center"/>
    </xf>
    <xf numFmtId="9" fontId="22" fillId="0" borderId="43" xfId="11" applyFont="1" applyFill="1" applyBorder="1" applyAlignment="1">
      <alignment vertical="center"/>
    </xf>
    <xf numFmtId="3" fontId="22" fillId="0" borderId="43" xfId="0" applyNumberFormat="1" applyFont="1" applyBorder="1" applyAlignment="1">
      <alignment vertical="center"/>
    </xf>
    <xf numFmtId="1" fontId="22" fillId="0" borderId="43" xfId="0" applyNumberFormat="1" applyFont="1" applyBorder="1" applyAlignment="1">
      <alignment vertical="center"/>
    </xf>
    <xf numFmtId="2" fontId="22" fillId="0" borderId="43" xfId="0" applyNumberFormat="1" applyFont="1" applyFill="1" applyBorder="1" applyAlignment="1">
      <alignment vertical="center"/>
    </xf>
    <xf numFmtId="2" fontId="22" fillId="0" borderId="43" xfId="0" applyNumberFormat="1" applyFont="1" applyBorder="1" applyAlignment="1">
      <alignment vertical="center"/>
    </xf>
    <xf numFmtId="180" fontId="22" fillId="0" borderId="43" xfId="0" applyNumberFormat="1" applyFont="1" applyBorder="1" applyAlignment="1">
      <alignment vertical="center"/>
    </xf>
    <xf numFmtId="167" fontId="22" fillId="0" borderId="43" xfId="0" applyNumberFormat="1" applyFont="1" applyBorder="1" applyAlignment="1">
      <alignment vertical="center"/>
    </xf>
    <xf numFmtId="180" fontId="23" fillId="0" borderId="43" xfId="0" applyNumberFormat="1" applyFont="1" applyBorder="1" applyAlignment="1">
      <alignment vertical="center"/>
    </xf>
    <xf numFmtId="176" fontId="22" fillId="0" borderId="43" xfId="11" applyNumberFormat="1" applyFont="1" applyBorder="1" applyAlignment="1">
      <alignment vertical="center"/>
    </xf>
    <xf numFmtId="166" fontId="22" fillId="0" borderId="43" xfId="0" applyNumberFormat="1" applyFont="1" applyBorder="1" applyAlignment="1">
      <alignment vertical="center"/>
    </xf>
    <xf numFmtId="10" fontId="22" fillId="0" borderId="0" xfId="11" applyNumberFormat="1" applyFont="1" applyAlignment="1">
      <alignment vertical="center"/>
    </xf>
    <xf numFmtId="180" fontId="22" fillId="0" borderId="0" xfId="10" applyNumberFormat="1" applyFont="1" applyAlignment="1">
      <alignment vertical="center"/>
    </xf>
    <xf numFmtId="5" fontId="28" fillId="0" borderId="0" xfId="10" applyNumberFormat="1" applyFont="1" applyAlignment="1">
      <alignment vertical="center"/>
    </xf>
    <xf numFmtId="180" fontId="23" fillId="0" borderId="0" xfId="9" applyNumberFormat="1" applyFont="1" applyAlignment="1">
      <alignment horizontal="left" vertical="center"/>
    </xf>
    <xf numFmtId="180" fontId="22" fillId="0" borderId="0" xfId="9" applyNumberFormat="1" applyFont="1" applyAlignment="1">
      <alignment vertical="center"/>
    </xf>
    <xf numFmtId="180" fontId="22" fillId="0" borderId="0" xfId="9" applyNumberFormat="1" applyFont="1" applyAlignment="1">
      <alignment horizontal="centerContinuous" vertical="center"/>
    </xf>
    <xf numFmtId="180" fontId="23" fillId="0" borderId="0" xfId="9" applyNumberFormat="1" applyFont="1" applyAlignment="1">
      <alignment horizontal="center" vertical="center"/>
    </xf>
    <xf numFmtId="180" fontId="22" fillId="0" borderId="0" xfId="9" applyNumberFormat="1" applyFont="1" applyAlignment="1">
      <alignment horizontal="left" vertical="center"/>
    </xf>
    <xf numFmtId="9" fontId="22" fillId="3" borderId="0" xfId="9" applyNumberFormat="1" applyFont="1" applyFill="1" applyAlignment="1">
      <alignment horizontal="right" vertical="center"/>
    </xf>
    <xf numFmtId="176" fontId="22" fillId="3" borderId="0" xfId="9" applyNumberFormat="1" applyFont="1" applyFill="1" applyAlignment="1">
      <alignment horizontal="right" vertical="center"/>
    </xf>
    <xf numFmtId="37" fontId="22" fillId="3" borderId="0" xfId="9" applyNumberFormat="1" applyFont="1" applyFill="1" applyAlignment="1">
      <alignment horizontal="right" vertical="center"/>
    </xf>
    <xf numFmtId="5" fontId="22" fillId="0" borderId="0" xfId="9" applyNumberFormat="1" applyFont="1" applyAlignment="1">
      <alignment horizontal="right" vertical="center"/>
    </xf>
    <xf numFmtId="5" fontId="22" fillId="0" borderId="0" xfId="9" applyNumberFormat="1" applyFont="1" applyFill="1" applyAlignment="1">
      <alignment horizontal="right" vertical="center"/>
    </xf>
    <xf numFmtId="10" fontId="22" fillId="3" borderId="0" xfId="11" applyNumberFormat="1" applyFont="1" applyFill="1" applyAlignment="1">
      <alignment horizontal="right" vertical="center"/>
    </xf>
    <xf numFmtId="180" fontId="22" fillId="0" borderId="0" xfId="9" quotePrefix="1" applyNumberFormat="1" applyFont="1" applyAlignment="1">
      <alignment horizontal="left" vertical="center"/>
    </xf>
    <xf numFmtId="10" fontId="22" fillId="3" borderId="0" xfId="9" applyNumberFormat="1" applyFont="1" applyFill="1" applyAlignment="1">
      <alignment vertical="center"/>
    </xf>
    <xf numFmtId="9" fontId="22" fillId="3" borderId="0" xfId="9" applyNumberFormat="1" applyFont="1" applyFill="1" applyAlignment="1">
      <alignment vertical="center"/>
    </xf>
    <xf numFmtId="3" fontId="22" fillId="0" borderId="0" xfId="9" applyNumberFormat="1" applyFont="1" applyAlignment="1">
      <alignment vertical="center"/>
    </xf>
    <xf numFmtId="1" fontId="22" fillId="3" borderId="0" xfId="9" applyNumberFormat="1" applyFont="1" applyFill="1" applyAlignment="1">
      <alignment vertical="center"/>
    </xf>
    <xf numFmtId="180" fontId="23" fillId="0" borderId="0" xfId="9" quotePrefix="1" applyNumberFormat="1" applyFont="1" applyAlignment="1">
      <alignment horizontal="left" vertical="center"/>
    </xf>
    <xf numFmtId="169" fontId="23" fillId="7" borderId="0" xfId="9" applyNumberFormat="1" applyFont="1" applyFill="1" applyAlignment="1">
      <alignment vertical="center"/>
    </xf>
    <xf numFmtId="180" fontId="23" fillId="0" borderId="0" xfId="9" applyNumberFormat="1" applyFont="1" applyAlignment="1">
      <alignment vertical="center"/>
    </xf>
    <xf numFmtId="169" fontId="23" fillId="0" borderId="0" xfId="9" applyNumberFormat="1" applyFont="1" applyAlignment="1">
      <alignment vertical="center"/>
    </xf>
    <xf numFmtId="5" fontId="23" fillId="0" borderId="0" xfId="9" applyNumberFormat="1" applyFont="1" applyAlignment="1">
      <alignment vertical="center"/>
    </xf>
    <xf numFmtId="2" fontId="35" fillId="0" borderId="0" xfId="0" applyNumberFormat="1" applyFont="1"/>
    <xf numFmtId="180" fontId="12" fillId="0" borderId="0" xfId="16" applyNumberFormat="1" applyFont="1" applyFill="1" applyBorder="1" applyAlignment="1" applyProtection="1">
      <alignment horizontal="center" vertical="center"/>
      <protection locked="0"/>
    </xf>
    <xf numFmtId="180" fontId="17" fillId="0" borderId="0" xfId="16" applyNumberFormat="1" applyFont="1" applyFill="1" applyBorder="1" applyAlignment="1" applyProtection="1">
      <alignment horizontal="center" vertical="center" wrapText="1"/>
      <protection locked="0"/>
    </xf>
    <xf numFmtId="171" fontId="5" fillId="0" borderId="0" xfId="16" applyNumberFormat="1" applyFill="1" applyBorder="1" applyAlignment="1" applyProtection="1">
      <alignment vertical="center" wrapText="1"/>
      <protection locked="0"/>
    </xf>
    <xf numFmtId="49" fontId="5" fillId="0" borderId="0" xfId="16" applyNumberFormat="1" applyFont="1" applyFill="1" applyBorder="1" applyAlignment="1" applyProtection="1">
      <alignment horizontal="center" vertical="center" wrapText="1"/>
      <protection locked="0"/>
    </xf>
    <xf numFmtId="4" fontId="5" fillId="0" borderId="0" xfId="16" applyNumberFormat="1" applyFont="1" applyFill="1" applyBorder="1" applyAlignment="1" applyProtection="1">
      <alignment vertical="center" wrapText="1"/>
      <protection locked="0"/>
    </xf>
    <xf numFmtId="183" fontId="22" fillId="0" borderId="0" xfId="9" applyNumberFormat="1" applyFont="1"/>
    <xf numFmtId="183" fontId="22" fillId="0" borderId="0" xfId="2" applyNumberFormat="1" applyFont="1"/>
    <xf numFmtId="167" fontId="5" fillId="0" borderId="27" xfId="16" applyNumberFormat="1" applyFont="1" applyFill="1" applyBorder="1" applyAlignment="1" applyProtection="1">
      <alignment horizontal="right" vertical="center" wrapText="1"/>
      <protection locked="0"/>
    </xf>
    <xf numFmtId="166" fontId="5" fillId="0" borderId="27" xfId="16" applyNumberFormat="1" applyFont="1" applyFill="1" applyBorder="1" applyAlignment="1" applyProtection="1">
      <alignment horizontal="right" vertical="center" wrapText="1"/>
      <protection locked="0"/>
    </xf>
    <xf numFmtId="180" fontId="22" fillId="0" borderId="14" xfId="7" applyNumberFormat="1" applyFont="1" applyFill="1" applyBorder="1" applyAlignment="1">
      <alignment wrapText="1"/>
    </xf>
    <xf numFmtId="164" fontId="22" fillId="0" borderId="14" xfId="0" applyFont="1" applyBorder="1"/>
    <xf numFmtId="3" fontId="22" fillId="0" borderId="14" xfId="7" applyNumberFormat="1" applyFont="1" applyFill="1" applyBorder="1" applyAlignment="1">
      <alignment wrapText="1"/>
    </xf>
    <xf numFmtId="170" fontId="22" fillId="0" borderId="14" xfId="7" applyNumberFormat="1" applyFont="1" applyFill="1" applyBorder="1" applyAlignment="1">
      <alignment horizontal="right" wrapText="1"/>
    </xf>
    <xf numFmtId="1" fontId="22" fillId="0" borderId="14" xfId="7" applyNumberFormat="1" applyFont="1" applyFill="1" applyBorder="1" applyAlignment="1">
      <alignment wrapText="1"/>
    </xf>
    <xf numFmtId="166" fontId="22" fillId="0" borderId="14" xfId="7" applyNumberFormat="1" applyFont="1" applyBorder="1" applyAlignment="1">
      <alignment horizontal="right" wrapText="1"/>
    </xf>
    <xf numFmtId="170" fontId="22" fillId="0" borderId="14" xfId="7" applyNumberFormat="1" applyFont="1" applyFill="1" applyBorder="1" applyAlignment="1">
      <alignment wrapText="1"/>
    </xf>
    <xf numFmtId="4" fontId="22" fillId="0" borderId="14" xfId="7" applyNumberFormat="1" applyFont="1" applyBorder="1" applyAlignment="1">
      <alignment wrapText="1"/>
    </xf>
    <xf numFmtId="2" fontId="22" fillId="0" borderId="14" xfId="7" applyNumberFormat="1" applyFont="1" applyFill="1" applyBorder="1" applyAlignment="1">
      <alignment wrapText="1"/>
    </xf>
    <xf numFmtId="164" fontId="22" fillId="0" borderId="1" xfId="0" applyFont="1" applyBorder="1"/>
    <xf numFmtId="170" fontId="22" fillId="0" borderId="1" xfId="7" applyNumberFormat="1" applyFont="1" applyFill="1" applyBorder="1" applyAlignment="1">
      <alignment horizontal="right" wrapText="1"/>
    </xf>
    <xf numFmtId="166" fontId="22" fillId="0" borderId="1" xfId="7" applyNumberFormat="1" applyFont="1" applyBorder="1" applyAlignment="1">
      <alignment horizontal="right" wrapText="1"/>
    </xf>
    <xf numFmtId="180" fontId="22" fillId="0" borderId="0" xfId="10" applyNumberFormat="1" applyFont="1" applyBorder="1" applyAlignment="1">
      <alignment vertical="center"/>
    </xf>
    <xf numFmtId="180" fontId="22" fillId="0" borderId="6" xfId="9" applyNumberFormat="1" applyFont="1" applyBorder="1"/>
    <xf numFmtId="1" fontId="35" fillId="0" borderId="0" xfId="0" applyNumberFormat="1" applyFont="1"/>
    <xf numFmtId="180" fontId="22" fillId="0" borderId="5" xfId="10" applyNumberFormat="1" applyFont="1" applyBorder="1" applyAlignment="1">
      <alignment vertical="center"/>
    </xf>
    <xf numFmtId="183" fontId="22" fillId="0" borderId="6" xfId="2" applyNumberFormat="1" applyFont="1" applyBorder="1" applyAlignment="1">
      <alignment vertical="center"/>
    </xf>
    <xf numFmtId="183" fontId="23" fillId="0" borderId="6" xfId="2" applyNumberFormat="1" applyFont="1" applyBorder="1" applyAlignment="1">
      <alignment vertical="center"/>
    </xf>
    <xf numFmtId="180" fontId="23" fillId="0" borderId="5" xfId="10" quotePrefix="1" applyNumberFormat="1" applyFont="1" applyBorder="1" applyAlignment="1">
      <alignment horizontal="left" vertical="center"/>
    </xf>
    <xf numFmtId="180" fontId="22" fillId="0" borderId="5" xfId="9" applyNumberFormat="1" applyFont="1" applyBorder="1"/>
    <xf numFmtId="180" fontId="22" fillId="0" borderId="7" xfId="9" applyNumberFormat="1" applyFont="1" applyBorder="1"/>
    <xf numFmtId="180" fontId="27" fillId="0" borderId="9" xfId="10" applyNumberFormat="1" applyFont="1" applyBorder="1" applyAlignment="1">
      <alignment horizontal="right" vertical="center"/>
    </xf>
    <xf numFmtId="39" fontId="22" fillId="0" borderId="6" xfId="10" applyNumberFormat="1" applyFont="1" applyBorder="1" applyAlignment="1">
      <alignment horizontal="right" vertical="center"/>
    </xf>
    <xf numFmtId="172" fontId="44" fillId="0" borderId="0" xfId="0" applyNumberFormat="1" applyFont="1" applyAlignment="1">
      <alignment horizontal="right"/>
    </xf>
    <xf numFmtId="173" fontId="17" fillId="0" borderId="0" xfId="0" applyNumberFormat="1" applyFont="1" applyAlignment="1">
      <alignment horizontal="right"/>
    </xf>
    <xf numFmtId="167" fontId="5" fillId="0" borderId="0" xfId="0" applyNumberFormat="1" applyFont="1" applyFill="1" applyAlignment="1">
      <alignment horizontal="right"/>
    </xf>
    <xf numFmtId="172" fontId="5" fillId="0" borderId="0" xfId="2" applyNumberFormat="1" applyFont="1" applyAlignment="1">
      <alignment horizontal="right"/>
    </xf>
    <xf numFmtId="9" fontId="5" fillId="0" borderId="0" xfId="2" applyNumberFormat="1" applyFont="1" applyAlignment="1">
      <alignment horizontal="right"/>
    </xf>
    <xf numFmtId="172" fontId="12" fillId="0" borderId="0" xfId="0" applyNumberFormat="1" applyFont="1" applyAlignment="1">
      <alignment horizontal="right"/>
    </xf>
    <xf numFmtId="3" fontId="5" fillId="0" borderId="0" xfId="2" quotePrefix="1" applyNumberFormat="1" applyFont="1" applyAlignment="1">
      <alignment horizontal="left"/>
    </xf>
    <xf numFmtId="164" fontId="5" fillId="0" borderId="1" xfId="0" applyFont="1" applyBorder="1"/>
    <xf numFmtId="164" fontId="10" fillId="0" borderId="0" xfId="0" applyFont="1" applyAlignment="1">
      <alignment vertical="center"/>
    </xf>
    <xf numFmtId="164" fontId="10" fillId="0" borderId="0" xfId="0" applyFont="1" applyAlignment="1">
      <alignment horizontal="right" vertical="center"/>
    </xf>
    <xf numFmtId="184" fontId="12" fillId="0" borderId="0" xfId="0" applyNumberFormat="1" applyFont="1" applyAlignment="1">
      <alignment horizontal="left" vertical="center"/>
    </xf>
    <xf numFmtId="172" fontId="12" fillId="0" borderId="0" xfId="0" quotePrefix="1" applyNumberFormat="1" applyFont="1" applyFill="1" applyAlignment="1">
      <alignment horizontal="left" vertical="center"/>
    </xf>
    <xf numFmtId="164" fontId="10" fillId="0" borderId="0" xfId="0" applyFont="1" applyAlignment="1">
      <alignment horizontal="center" vertical="center"/>
    </xf>
    <xf numFmtId="164" fontId="18" fillId="0" borderId="0" xfId="0" quotePrefix="1" applyFont="1" applyAlignment="1">
      <alignment horizontal="center" vertical="center"/>
    </xf>
    <xf numFmtId="173" fontId="11" fillId="0" borderId="0" xfId="0" applyNumberFormat="1" applyFont="1" applyAlignment="1">
      <alignment horizontal="left" vertical="center"/>
    </xf>
    <xf numFmtId="164" fontId="5" fillId="0" borderId="0" xfId="0" applyFont="1" applyAlignment="1">
      <alignment vertical="center"/>
    </xf>
    <xf numFmtId="164" fontId="5" fillId="0" borderId="0" xfId="0" quotePrefix="1" applyFont="1" applyAlignment="1">
      <alignment horizontal="right" vertical="center"/>
    </xf>
    <xf numFmtId="167" fontId="5" fillId="0" borderId="0" xfId="0" applyNumberFormat="1" applyFont="1" applyFill="1" applyAlignment="1">
      <alignment horizontal="left" vertical="center"/>
    </xf>
    <xf numFmtId="167" fontId="5" fillId="0" borderId="0" xfId="0" applyNumberFormat="1" applyFont="1" applyAlignment="1">
      <alignment horizontal="left" vertical="center"/>
    </xf>
    <xf numFmtId="164" fontId="5" fillId="0" borderId="0" xfId="0" applyFont="1" applyAlignment="1">
      <alignment horizontal="center" vertical="center"/>
    </xf>
    <xf numFmtId="164" fontId="5" fillId="0" borderId="0" xfId="0" applyFont="1" applyAlignment="1">
      <alignment horizontal="right" vertical="center"/>
    </xf>
    <xf numFmtId="1" fontId="5" fillId="0" borderId="0" xfId="0" applyNumberFormat="1" applyFont="1" applyAlignment="1">
      <alignment horizontal="left" vertical="center"/>
    </xf>
    <xf numFmtId="185" fontId="5" fillId="0" borderId="0" xfId="2" applyNumberFormat="1" applyFont="1" applyAlignment="1">
      <alignment horizontal="left" vertical="center"/>
    </xf>
    <xf numFmtId="3" fontId="5" fillId="0" borderId="0" xfId="2" applyNumberFormat="1" applyFont="1" applyAlignment="1">
      <alignment horizontal="left" vertical="center"/>
    </xf>
    <xf numFmtId="9" fontId="5" fillId="0" borderId="0" xfId="2" applyNumberFormat="1" applyFont="1" applyAlignment="1">
      <alignment horizontal="left" vertical="center"/>
    </xf>
    <xf numFmtId="164" fontId="5" fillId="0" borderId="1" xfId="0" applyFont="1" applyBorder="1" applyAlignment="1">
      <alignment horizontal="centerContinuous" vertical="center"/>
    </xf>
    <xf numFmtId="171" fontId="5" fillId="0" borderId="0" xfId="0" applyNumberFormat="1" applyFont="1" applyAlignment="1">
      <alignment vertical="center"/>
    </xf>
    <xf numFmtId="166" fontId="5" fillId="0" borderId="0" xfId="0" applyNumberFormat="1" applyFont="1" applyAlignment="1">
      <alignment horizontal="right" vertical="center"/>
    </xf>
    <xf numFmtId="164" fontId="5" fillId="0" borderId="0" xfId="0" applyFont="1" applyAlignment="1">
      <alignment horizontal="left" vertical="center"/>
    </xf>
    <xf numFmtId="164" fontId="5" fillId="0" borderId="1" xfId="0" applyFont="1" applyBorder="1" applyAlignment="1">
      <alignment vertical="center"/>
    </xf>
    <xf numFmtId="171" fontId="5" fillId="0" borderId="1" xfId="0" applyNumberFormat="1" applyFont="1" applyBorder="1" applyAlignment="1">
      <alignment vertical="center"/>
    </xf>
    <xf numFmtId="164" fontId="5" fillId="0" borderId="0" xfId="0" quotePrefix="1" applyFont="1" applyAlignment="1">
      <alignment horizontal="left" vertical="center"/>
    </xf>
    <xf numFmtId="164" fontId="5" fillId="0" borderId="0" xfId="0" quotePrefix="1" applyFont="1" applyAlignment="1">
      <alignment vertical="center"/>
    </xf>
    <xf numFmtId="9" fontId="5" fillId="0" borderId="0" xfId="0" applyNumberFormat="1" applyFont="1" applyAlignment="1">
      <alignment horizontal="center" vertical="center"/>
    </xf>
    <xf numFmtId="164" fontId="0" fillId="0" borderId="0" xfId="0" applyAlignment="1">
      <alignment vertical="center"/>
    </xf>
    <xf numFmtId="171" fontId="5" fillId="0" borderId="0" xfId="0" applyNumberFormat="1" applyFont="1" applyAlignment="1">
      <alignment horizontal="right" vertical="center"/>
    </xf>
    <xf numFmtId="172" fontId="5" fillId="0" borderId="0" xfId="0" applyNumberFormat="1" applyFont="1" applyAlignment="1">
      <alignment vertical="center"/>
    </xf>
    <xf numFmtId="176" fontId="5" fillId="0" borderId="0" xfId="0" applyNumberFormat="1" applyFont="1" applyAlignment="1">
      <alignment horizontal="right" vertical="center"/>
    </xf>
    <xf numFmtId="3" fontId="5" fillId="0" borderId="0" xfId="0" applyNumberFormat="1" applyFont="1" applyAlignment="1">
      <alignment horizontal="right" vertical="center"/>
    </xf>
    <xf numFmtId="167" fontId="5" fillId="0" borderId="0" xfId="0" applyNumberFormat="1" applyFont="1" applyAlignment="1">
      <alignment horizontal="right" vertical="center"/>
    </xf>
    <xf numFmtId="173" fontId="5" fillId="0" borderId="0" xfId="0" applyNumberFormat="1" applyFont="1" applyAlignment="1">
      <alignment horizontal="right" vertical="center"/>
    </xf>
    <xf numFmtId="2" fontId="5" fillId="0" borderId="0" xfId="0" applyNumberFormat="1" applyFont="1" applyAlignment="1">
      <alignment horizontal="right" vertical="center"/>
    </xf>
    <xf numFmtId="167" fontId="5" fillId="0" borderId="0" xfId="0" applyNumberFormat="1" applyFont="1" applyAlignment="1">
      <alignment vertical="center"/>
    </xf>
    <xf numFmtId="176" fontId="5" fillId="0" borderId="0" xfId="11" applyNumberFormat="1" applyFont="1" applyAlignment="1">
      <alignment vertical="center"/>
    </xf>
    <xf numFmtId="1" fontId="5" fillId="0" borderId="0" xfId="0" applyNumberFormat="1" applyFont="1" applyFill="1" applyAlignment="1">
      <alignment horizontal="left" vertical="center"/>
    </xf>
    <xf numFmtId="171" fontId="5" fillId="31" borderId="27" xfId="16" applyNumberFormat="1" applyFill="1" applyBorder="1" applyAlignment="1" applyProtection="1">
      <alignment vertical="center" wrapText="1"/>
      <protection locked="0"/>
    </xf>
    <xf numFmtId="49" fontId="5" fillId="31" borderId="27" xfId="16" applyNumberFormat="1" applyFont="1" applyFill="1" applyBorder="1" applyAlignment="1" applyProtection="1">
      <alignment horizontal="center" vertical="center" wrapText="1"/>
      <protection locked="0"/>
    </xf>
    <xf numFmtId="180" fontId="5" fillId="31" borderId="27" xfId="16" applyNumberFormat="1" applyFont="1" applyFill="1" applyBorder="1" applyAlignment="1" applyProtection="1">
      <alignment horizontal="left" vertical="center" wrapText="1"/>
      <protection locked="0"/>
    </xf>
    <xf numFmtId="1" fontId="5" fillId="31" borderId="27" xfId="16" applyNumberFormat="1" applyFont="1" applyFill="1" applyBorder="1" applyAlignment="1" applyProtection="1">
      <alignment horizontal="right" vertical="center" wrapText="1"/>
      <protection locked="0"/>
    </xf>
    <xf numFmtId="2" fontId="5" fillId="31" borderId="27" xfId="16" applyNumberFormat="1" applyFont="1" applyFill="1" applyBorder="1" applyAlignment="1" applyProtection="1">
      <alignment horizontal="center" vertical="center" wrapText="1"/>
      <protection locked="0"/>
    </xf>
    <xf numFmtId="171" fontId="5" fillId="31" borderId="39" xfId="16" applyNumberFormat="1" applyFill="1" applyBorder="1" applyAlignment="1" applyProtection="1">
      <alignment vertical="center" wrapText="1"/>
      <protection locked="0"/>
    </xf>
    <xf numFmtId="171" fontId="5" fillId="31" borderId="28" xfId="16" applyNumberFormat="1" applyFill="1" applyBorder="1" applyAlignment="1" applyProtection="1">
      <alignment vertical="center" wrapText="1"/>
      <protection locked="0"/>
    </xf>
    <xf numFmtId="49" fontId="5" fillId="31" borderId="27" xfId="16" applyNumberFormat="1" applyFont="1" applyFill="1" applyBorder="1" applyAlignment="1" applyProtection="1">
      <alignment horizontal="left" vertical="center" wrapText="1"/>
      <protection locked="0"/>
    </xf>
    <xf numFmtId="49" fontId="5" fillId="31" borderId="28" xfId="16" applyNumberFormat="1" applyFont="1" applyFill="1" applyBorder="1" applyAlignment="1" applyProtection="1">
      <alignment horizontal="center" vertical="center" wrapText="1"/>
      <protection locked="0"/>
    </xf>
    <xf numFmtId="49" fontId="5" fillId="31" borderId="48" xfId="16" applyNumberFormat="1" applyFont="1" applyFill="1" applyBorder="1" applyAlignment="1" applyProtection="1">
      <alignment horizontal="center" vertical="center" wrapText="1"/>
      <protection locked="0"/>
    </xf>
    <xf numFmtId="49" fontId="5" fillId="31" borderId="48" xfId="16" applyNumberFormat="1" applyFont="1" applyFill="1" applyBorder="1" applyAlignment="1" applyProtection="1">
      <alignment horizontal="left" vertical="center" wrapText="1"/>
      <protection locked="0"/>
    </xf>
    <xf numFmtId="1" fontId="5" fillId="31" borderId="48" xfId="16" applyNumberFormat="1" applyFont="1" applyFill="1" applyBorder="1" applyAlignment="1" applyProtection="1">
      <alignment horizontal="right" vertical="center" wrapText="1"/>
      <protection locked="0"/>
    </xf>
    <xf numFmtId="49" fontId="5" fillId="31" borderId="69" xfId="16" applyNumberFormat="1" applyFont="1" applyFill="1" applyBorder="1" applyAlignment="1" applyProtection="1">
      <alignment horizontal="center" vertical="center" wrapText="1"/>
      <protection locked="0"/>
    </xf>
    <xf numFmtId="49" fontId="5" fillId="31" borderId="24" xfId="16" applyNumberFormat="1" applyFont="1" applyFill="1" applyBorder="1" applyAlignment="1" applyProtection="1">
      <alignment horizontal="center" vertical="center" wrapText="1"/>
      <protection locked="0"/>
    </xf>
    <xf numFmtId="49" fontId="5" fillId="31" borderId="24" xfId="16" applyNumberFormat="1" applyFont="1" applyFill="1" applyBorder="1" applyAlignment="1" applyProtection="1">
      <alignment horizontal="left" vertical="center" wrapText="1"/>
      <protection locked="0"/>
    </xf>
    <xf numFmtId="1" fontId="5" fillId="31" borderId="24" xfId="16" applyNumberFormat="1" applyFont="1" applyFill="1" applyBorder="1" applyAlignment="1" applyProtection="1">
      <alignment horizontal="right" vertical="center" wrapText="1"/>
      <protection locked="0"/>
    </xf>
    <xf numFmtId="49" fontId="5" fillId="31" borderId="25" xfId="16" applyNumberFormat="1" applyFont="1" applyFill="1" applyBorder="1" applyAlignment="1" applyProtection="1">
      <alignment horizontal="center" vertical="center" wrapText="1"/>
      <protection locked="0"/>
    </xf>
    <xf numFmtId="11" fontId="23" fillId="0" borderId="3" xfId="2" applyNumberFormat="1" applyFont="1" applyBorder="1" applyAlignment="1">
      <alignment wrapText="1"/>
    </xf>
    <xf numFmtId="1" fontId="22" fillId="0" borderId="14" xfId="7" applyNumberFormat="1" applyFont="1" applyBorder="1" applyAlignment="1">
      <alignment wrapText="1"/>
    </xf>
    <xf numFmtId="180" fontId="22" fillId="0" borderId="15" xfId="7" applyNumberFormat="1" applyFont="1" applyBorder="1" applyAlignment="1">
      <alignment wrapText="1"/>
    </xf>
    <xf numFmtId="180" fontId="22" fillId="0" borderId="1" xfId="7" applyNumberFormat="1" applyFont="1" applyBorder="1" applyAlignment="1"/>
    <xf numFmtId="2" fontId="23" fillId="0" borderId="1" xfId="7" applyNumberFormat="1" applyFont="1" applyBorder="1" applyAlignment="1">
      <alignment wrapText="1"/>
    </xf>
    <xf numFmtId="175" fontId="23" fillId="0" borderId="1" xfId="7" applyNumberFormat="1" applyFont="1" applyBorder="1" applyAlignment="1">
      <alignment wrapText="1"/>
    </xf>
    <xf numFmtId="2" fontId="5" fillId="0" borderId="0" xfId="0" applyNumberFormat="1" applyFont="1"/>
    <xf numFmtId="180" fontId="22" fillId="0" borderId="0" xfId="7" applyNumberFormat="1" applyFont="1" applyBorder="1" applyAlignment="1">
      <alignment horizontal="left"/>
    </xf>
    <xf numFmtId="180" fontId="22" fillId="0" borderId="1" xfId="7" applyNumberFormat="1" applyFont="1" applyBorder="1" applyAlignment="1">
      <alignment horizontal="left"/>
    </xf>
    <xf numFmtId="180" fontId="39" fillId="13" borderId="14" xfId="10" applyNumberFormat="1" applyFont="1" applyFill="1" applyBorder="1" applyAlignment="1">
      <alignment horizontal="center" vertical="center"/>
    </xf>
    <xf numFmtId="180" fontId="39" fillId="13" borderId="15" xfId="10" applyNumberFormat="1" applyFont="1" applyFill="1" applyBorder="1" applyAlignment="1">
      <alignment horizontal="center" vertical="center"/>
    </xf>
    <xf numFmtId="183" fontId="23" fillId="18" borderId="3" xfId="2" applyNumberFormat="1" applyFont="1" applyFill="1" applyBorder="1" applyAlignment="1">
      <alignment vertical="center"/>
    </xf>
    <xf numFmtId="183" fontId="23" fillId="18" borderId="4" xfId="10" applyNumberFormat="1" applyFont="1" applyFill="1" applyBorder="1" applyAlignment="1">
      <alignment vertical="center"/>
    </xf>
    <xf numFmtId="180" fontId="23" fillId="18" borderId="2" xfId="10" quotePrefix="1" applyNumberFormat="1" applyFont="1" applyFill="1" applyBorder="1" applyAlignment="1">
      <alignment horizontal="left" vertical="center"/>
    </xf>
    <xf numFmtId="183" fontId="22" fillId="0" borderId="15" xfId="2" applyNumberFormat="1" applyFont="1" applyBorder="1" applyAlignment="1">
      <alignment vertical="center"/>
    </xf>
    <xf numFmtId="5" fontId="22" fillId="0" borderId="5" xfId="10" applyNumberFormat="1" applyFont="1" applyBorder="1" applyAlignment="1">
      <alignment horizontal="left" vertical="center"/>
    </xf>
    <xf numFmtId="180" fontId="39" fillId="13" borderId="13" xfId="10" applyNumberFormat="1" applyFont="1" applyFill="1" applyBorder="1" applyAlignment="1">
      <alignment horizontal="left" vertical="center"/>
    </xf>
    <xf numFmtId="180" fontId="22" fillId="0" borderId="5" xfId="10" quotePrefix="1" applyNumberFormat="1" applyFont="1" applyBorder="1" applyAlignment="1">
      <alignment horizontal="left" vertical="center"/>
    </xf>
    <xf numFmtId="176" fontId="22" fillId="0" borderId="0" xfId="11" applyNumberFormat="1" applyFont="1" applyBorder="1" applyAlignment="1">
      <alignment vertical="center"/>
    </xf>
    <xf numFmtId="176" fontId="22" fillId="0" borderId="0" xfId="10" applyNumberFormat="1" applyFont="1" applyBorder="1" applyAlignment="1">
      <alignment vertical="center"/>
    </xf>
    <xf numFmtId="180" fontId="23" fillId="0" borderId="5" xfId="9" applyNumberFormat="1" applyFont="1" applyBorder="1"/>
    <xf numFmtId="183" fontId="23" fillId="0" borderId="6" xfId="9" applyNumberFormat="1" applyFont="1" applyBorder="1"/>
    <xf numFmtId="180" fontId="23" fillId="0" borderId="5" xfId="10" applyNumberFormat="1" applyFont="1" applyBorder="1" applyAlignment="1">
      <alignment horizontal="left" vertical="center"/>
    </xf>
    <xf numFmtId="180" fontId="23" fillId="0" borderId="5" xfId="10" applyNumberFormat="1" applyFont="1" applyBorder="1" applyAlignment="1">
      <alignment vertical="center"/>
    </xf>
    <xf numFmtId="180" fontId="39" fillId="13" borderId="65" xfId="10" applyNumberFormat="1" applyFont="1" applyFill="1" applyBorder="1" applyAlignment="1">
      <alignment horizontal="center" vertical="center"/>
    </xf>
    <xf numFmtId="183" fontId="22" fillId="0" borderId="43" xfId="2" applyNumberFormat="1" applyFont="1" applyBorder="1" applyAlignment="1">
      <alignment vertical="center"/>
    </xf>
    <xf numFmtId="183" fontId="23" fillId="18" borderId="67" xfId="2" applyNumberFormat="1" applyFont="1" applyFill="1" applyBorder="1" applyAlignment="1">
      <alignment vertical="center"/>
    </xf>
    <xf numFmtId="180" fontId="5" fillId="0" borderId="0" xfId="16" applyFill="1" applyAlignment="1" applyProtection="1">
      <alignment horizontal="center" vertical="center" wrapText="1"/>
      <protection locked="0"/>
    </xf>
    <xf numFmtId="183" fontId="22" fillId="0" borderId="0" xfId="2" applyNumberFormat="1" applyFont="1" applyAlignment="1">
      <alignment vertical="center"/>
    </xf>
    <xf numFmtId="183" fontId="22" fillId="0" borderId="0" xfId="10" applyNumberFormat="1" applyFont="1" applyAlignment="1">
      <alignment vertical="center"/>
    </xf>
    <xf numFmtId="189" fontId="22" fillId="0" borderId="6" xfId="10" applyNumberFormat="1" applyFont="1" applyBorder="1" applyAlignment="1">
      <alignment horizontal="right" vertical="center"/>
    </xf>
    <xf numFmtId="180" fontId="22" fillId="0" borderId="0" xfId="10" applyNumberFormat="1" applyFont="1" applyFill="1"/>
    <xf numFmtId="180" fontId="23" fillId="0" borderId="0" xfId="10" applyNumberFormat="1" applyFont="1" applyAlignment="1">
      <alignment horizontal="left"/>
    </xf>
    <xf numFmtId="180" fontId="22" fillId="0" borderId="1" xfId="9" applyNumberFormat="1" applyFont="1" applyBorder="1"/>
    <xf numFmtId="5" fontId="22" fillId="0" borderId="1" xfId="9" applyNumberFormat="1" applyFont="1" applyBorder="1"/>
    <xf numFmtId="176" fontId="5" fillId="0" borderId="0" xfId="11" applyNumberFormat="1" applyFont="1" applyAlignment="1">
      <alignment horizontal="right"/>
    </xf>
    <xf numFmtId="164" fontId="13" fillId="0" borderId="0" xfId="0" applyFont="1"/>
    <xf numFmtId="164" fontId="0" fillId="0" borderId="0" xfId="0" quotePrefix="1"/>
    <xf numFmtId="164" fontId="5" fillId="0" borderId="0" xfId="0" applyFont="1" applyBorder="1"/>
    <xf numFmtId="44" fontId="5" fillId="0" borderId="0" xfId="2" applyNumberFormat="1" applyFont="1"/>
    <xf numFmtId="180" fontId="5" fillId="21" borderId="24" xfId="32" applyNumberFormat="1" applyFont="1" applyFill="1" applyBorder="1" applyAlignment="1" applyProtection="1">
      <alignment horizontal="center" vertical="center" wrapText="1"/>
      <protection locked="0"/>
    </xf>
    <xf numFmtId="171" fontId="5" fillId="21" borderId="24" xfId="32" applyNumberFormat="1" applyFont="1" applyFill="1" applyBorder="1" applyAlignment="1" applyProtection="1">
      <alignment horizontal="center" vertical="center" wrapText="1"/>
      <protection locked="0"/>
    </xf>
    <xf numFmtId="171" fontId="5" fillId="12" borderId="24" xfId="32" applyNumberFormat="1" applyFont="1" applyFill="1" applyBorder="1" applyAlignment="1" applyProtection="1">
      <alignment horizontal="center" vertical="center" wrapText="1"/>
      <protection locked="0"/>
    </xf>
    <xf numFmtId="180" fontId="5" fillId="32" borderId="24" xfId="32" applyNumberFormat="1" applyFont="1" applyFill="1" applyBorder="1" applyAlignment="1" applyProtection="1">
      <alignment horizontal="center" vertical="center" wrapText="1"/>
      <protection locked="0"/>
    </xf>
    <xf numFmtId="171" fontId="5" fillId="32" borderId="24" xfId="32" applyNumberFormat="1" applyFont="1" applyFill="1" applyBorder="1" applyAlignment="1" applyProtection="1">
      <alignment horizontal="center" vertical="center" wrapText="1"/>
      <protection locked="0"/>
    </xf>
    <xf numFmtId="2" fontId="5" fillId="32" borderId="24" xfId="32" applyNumberFormat="1" applyFont="1" applyFill="1" applyBorder="1" applyAlignment="1" applyProtection="1">
      <alignment horizontal="center" vertical="center" wrapText="1"/>
      <protection locked="0"/>
    </xf>
    <xf numFmtId="180" fontId="5" fillId="20" borderId="24" xfId="32" applyNumberFormat="1" applyFont="1" applyFill="1" applyBorder="1" applyAlignment="1" applyProtection="1">
      <alignment horizontal="center" vertical="center" wrapText="1"/>
      <protection locked="0"/>
    </xf>
    <xf numFmtId="171" fontId="5" fillId="20" borderId="24" xfId="32" applyNumberFormat="1" applyFont="1" applyFill="1" applyBorder="1" applyAlignment="1" applyProtection="1">
      <alignment horizontal="center" vertical="center" wrapText="1"/>
      <protection locked="0"/>
    </xf>
    <xf numFmtId="180" fontId="5" fillId="12" borderId="24" xfId="32" applyNumberFormat="1" applyFont="1" applyFill="1" applyBorder="1" applyAlignment="1" applyProtection="1">
      <alignment horizontal="center" vertical="center" wrapText="1"/>
      <protection locked="0"/>
    </xf>
    <xf numFmtId="2" fontId="5" fillId="12" borderId="24" xfId="32" applyNumberFormat="1" applyFont="1" applyFill="1" applyBorder="1" applyAlignment="1" applyProtection="1">
      <alignment horizontal="center" vertical="center" wrapText="1"/>
      <protection locked="0"/>
    </xf>
    <xf numFmtId="180" fontId="5" fillId="16" borderId="24" xfId="32" applyNumberFormat="1" applyFont="1" applyFill="1" applyBorder="1" applyAlignment="1" applyProtection="1">
      <alignment horizontal="center" vertical="center" wrapText="1"/>
      <protection locked="0"/>
    </xf>
    <xf numFmtId="1" fontId="5" fillId="12" borderId="24" xfId="32" applyNumberFormat="1" applyFont="1" applyFill="1" applyBorder="1" applyAlignment="1" applyProtection="1">
      <alignment horizontal="center" vertical="center" wrapText="1"/>
      <protection locked="0"/>
    </xf>
    <xf numFmtId="180" fontId="5" fillId="9" borderId="27" xfId="32" applyNumberFormat="1" applyFont="1" applyFill="1" applyBorder="1" applyAlignment="1" applyProtection="1">
      <alignment horizontal="left" vertical="center" wrapText="1"/>
      <protection locked="0"/>
    </xf>
    <xf numFmtId="180" fontId="5" fillId="21" borderId="27" xfId="16" applyNumberFormat="1" applyFont="1" applyFill="1" applyBorder="1" applyAlignment="1" applyProtection="1">
      <alignment horizontal="center" vertical="center" wrapText="1"/>
      <protection locked="0"/>
    </xf>
    <xf numFmtId="171" fontId="5" fillId="9" borderId="24" xfId="32" applyNumberFormat="1" applyFont="1" applyFill="1" applyBorder="1" applyAlignment="1" applyProtection="1">
      <alignment horizontal="center" vertical="center" wrapText="1"/>
      <protection locked="0"/>
    </xf>
    <xf numFmtId="1" fontId="5" fillId="9" borderId="27" xfId="16" applyNumberFormat="1" applyFont="1" applyFill="1" applyBorder="1" applyAlignment="1" applyProtection="1">
      <alignment horizontal="center" vertical="center" wrapText="1"/>
      <protection locked="0"/>
    </xf>
    <xf numFmtId="164" fontId="35" fillId="0" borderId="0" xfId="31" applyFont="1" applyBorder="1"/>
    <xf numFmtId="164" fontId="35" fillId="0" borderId="0" xfId="31" applyFont="1"/>
    <xf numFmtId="164" fontId="35" fillId="13" borderId="0" xfId="31" applyFont="1" applyFill="1"/>
    <xf numFmtId="164" fontId="35" fillId="13" borderId="0" xfId="31" applyFont="1" applyFill="1" applyBorder="1"/>
    <xf numFmtId="3" fontId="35" fillId="0" borderId="0" xfId="8" applyNumberFormat="1" applyFont="1" applyBorder="1" applyAlignment="1">
      <alignment horizontal="center"/>
    </xf>
    <xf numFmtId="3" fontId="35" fillId="0" borderId="7" xfId="8" applyNumberFormat="1" applyFont="1" applyBorder="1" applyAlignment="1">
      <alignment horizontal="center"/>
    </xf>
    <xf numFmtId="2" fontId="35" fillId="0" borderId="0" xfId="31" applyNumberFormat="1" applyFont="1"/>
    <xf numFmtId="2" fontId="35" fillId="13" borderId="0" xfId="31" applyNumberFormat="1" applyFont="1" applyFill="1"/>
    <xf numFmtId="3" fontId="35" fillId="0" borderId="8" xfId="8" applyNumberFormat="1" applyFont="1" applyBorder="1" applyAlignment="1">
      <alignment horizontal="center"/>
    </xf>
    <xf numFmtId="3" fontId="35" fillId="0" borderId="71" xfId="8" applyNumberFormat="1" applyFont="1" applyBorder="1" applyAlignment="1">
      <alignment horizontal="center"/>
    </xf>
    <xf numFmtId="2" fontId="35" fillId="13" borderId="0" xfId="8" applyNumberFormat="1" applyFont="1" applyFill="1" applyBorder="1" applyAlignment="1">
      <alignment horizontal="center"/>
    </xf>
    <xf numFmtId="3" fontId="35" fillId="0" borderId="60" xfId="8" applyNumberFormat="1" applyFont="1" applyBorder="1" applyAlignment="1">
      <alignment horizontal="center"/>
    </xf>
    <xf numFmtId="3" fontId="35" fillId="0" borderId="9" xfId="8" applyNumberFormat="1" applyFont="1" applyBorder="1" applyAlignment="1">
      <alignment horizontal="center"/>
    </xf>
    <xf numFmtId="164" fontId="35" fillId="0" borderId="9" xfId="31" applyFont="1" applyBorder="1" applyAlignment="1">
      <alignment horizontal="center"/>
    </xf>
    <xf numFmtId="164" fontId="35" fillId="0" borderId="8" xfId="31" applyFont="1" applyBorder="1"/>
    <xf numFmtId="164" fontId="35" fillId="0" borderId="60" xfId="31" applyFont="1" applyBorder="1"/>
    <xf numFmtId="164" fontId="36" fillId="0" borderId="7" xfId="31" applyFont="1" applyBorder="1"/>
    <xf numFmtId="3" fontId="35" fillId="0" borderId="18" xfId="8" applyNumberFormat="1" applyFont="1" applyBorder="1" applyAlignment="1">
      <alignment horizontal="center"/>
    </xf>
    <xf numFmtId="2" fontId="35" fillId="0" borderId="8" xfId="31" applyNumberFormat="1" applyFont="1" applyBorder="1"/>
    <xf numFmtId="3" fontId="35" fillId="0" borderId="1" xfId="8" applyNumberFormat="1" applyFont="1" applyBorder="1" applyAlignment="1">
      <alignment horizontal="center"/>
    </xf>
    <xf numFmtId="3" fontId="35" fillId="0" borderId="52" xfId="8" applyNumberFormat="1" applyFont="1" applyBorder="1" applyAlignment="1">
      <alignment horizontal="center"/>
    </xf>
    <xf numFmtId="3" fontId="35" fillId="0" borderId="19" xfId="8" applyNumberFormat="1" applyFont="1" applyBorder="1" applyAlignment="1">
      <alignment horizontal="center"/>
    </xf>
    <xf numFmtId="3" fontId="35" fillId="0" borderId="5" xfId="8" applyNumberFormat="1" applyFont="1" applyBorder="1" applyAlignment="1">
      <alignment horizontal="center"/>
    </xf>
    <xf numFmtId="3" fontId="35" fillId="0" borderId="72" xfId="8" applyNumberFormat="1" applyFont="1" applyBorder="1" applyAlignment="1">
      <alignment horizontal="center"/>
    </xf>
    <xf numFmtId="3" fontId="35" fillId="0" borderId="43" xfId="8" applyNumberFormat="1" applyFont="1" applyBorder="1" applyAlignment="1">
      <alignment horizontal="center"/>
    </xf>
    <xf numFmtId="3" fontId="35" fillId="0" borderId="6" xfId="8" applyNumberFormat="1" applyFont="1" applyBorder="1" applyAlignment="1">
      <alignment horizontal="center"/>
    </xf>
    <xf numFmtId="164" fontId="35" fillId="0" borderId="6" xfId="31" applyFont="1" applyFill="1" applyBorder="1" applyAlignment="1">
      <alignment horizontal="center"/>
    </xf>
    <xf numFmtId="3" fontId="35" fillId="0" borderId="0" xfId="8" applyNumberFormat="1" applyFont="1" applyFill="1" applyBorder="1" applyAlignment="1">
      <alignment horizontal="center"/>
    </xf>
    <xf numFmtId="2" fontId="35" fillId="0" borderId="49" xfId="8" applyNumberFormat="1" applyFont="1" applyFill="1" applyBorder="1" applyAlignment="1">
      <alignment horizontal="center"/>
    </xf>
    <xf numFmtId="1" fontId="35" fillId="0" borderId="0" xfId="8" applyNumberFormat="1" applyFont="1" applyFill="1" applyBorder="1" applyAlignment="1">
      <alignment horizontal="center" wrapText="1"/>
    </xf>
    <xf numFmtId="2" fontId="35" fillId="0" borderId="5" xfId="31" applyNumberFormat="1" applyFont="1" applyBorder="1"/>
    <xf numFmtId="3" fontId="35" fillId="33" borderId="5" xfId="8" applyNumberFormat="1" applyFont="1" applyFill="1" applyBorder="1" applyAlignment="1">
      <alignment horizontal="center"/>
    </xf>
    <xf numFmtId="2" fontId="35" fillId="0" borderId="0" xfId="31" applyNumberFormat="1" applyFont="1" applyBorder="1"/>
    <xf numFmtId="2" fontId="35" fillId="13" borderId="0" xfId="31" applyNumberFormat="1" applyFont="1" applyFill="1" applyBorder="1"/>
    <xf numFmtId="3" fontId="35" fillId="33" borderId="0" xfId="8" applyNumberFormat="1" applyFont="1" applyFill="1" applyBorder="1" applyAlignment="1">
      <alignment horizontal="center"/>
    </xf>
    <xf numFmtId="3" fontId="35" fillId="33" borderId="72" xfId="8" applyNumberFormat="1" applyFont="1" applyFill="1" applyBorder="1" applyAlignment="1">
      <alignment horizontal="center"/>
    </xf>
    <xf numFmtId="3" fontId="35" fillId="33" borderId="43" xfId="8" applyNumberFormat="1" applyFont="1" applyFill="1" applyBorder="1" applyAlignment="1">
      <alignment horizontal="center"/>
    </xf>
    <xf numFmtId="3" fontId="35" fillId="33" borderId="6" xfId="8" applyNumberFormat="1" applyFont="1" applyFill="1" applyBorder="1" applyAlignment="1">
      <alignment horizontal="center"/>
    </xf>
    <xf numFmtId="164" fontId="35" fillId="33" borderId="6" xfId="31" applyFont="1" applyFill="1" applyBorder="1" applyAlignment="1">
      <alignment horizontal="center"/>
    </xf>
    <xf numFmtId="2" fontId="35" fillId="33" borderId="0" xfId="8" applyNumberFormat="1" applyFont="1" applyFill="1" applyBorder="1" applyAlignment="1">
      <alignment horizontal="center"/>
    </xf>
    <xf numFmtId="1" fontId="35" fillId="33" borderId="0" xfId="8" applyNumberFormat="1" applyFont="1" applyFill="1" applyBorder="1" applyAlignment="1">
      <alignment horizontal="center" wrapText="1"/>
    </xf>
    <xf numFmtId="2" fontId="35" fillId="33" borderId="5" xfId="31" applyNumberFormat="1" applyFont="1" applyFill="1" applyBorder="1"/>
    <xf numFmtId="164" fontId="35" fillId="12" borderId="21" xfId="31" applyFont="1" applyFill="1" applyBorder="1"/>
    <xf numFmtId="164" fontId="35" fillId="12" borderId="73" xfId="31" applyFont="1" applyFill="1" applyBorder="1"/>
    <xf numFmtId="3" fontId="35" fillId="13" borderId="0" xfId="8" applyNumberFormat="1" applyFont="1" applyFill="1" applyBorder="1" applyAlignment="1">
      <alignment horizontal="center"/>
    </xf>
    <xf numFmtId="164" fontId="35" fillId="12" borderId="22" xfId="31" applyFont="1" applyFill="1" applyBorder="1"/>
    <xf numFmtId="164" fontId="35" fillId="12" borderId="20" xfId="31" applyFont="1" applyFill="1" applyBorder="1"/>
    <xf numFmtId="180" fontId="42" fillId="12" borderId="21" xfId="8" applyFont="1" applyFill="1" applyBorder="1" applyAlignment="1">
      <alignment horizontal="center"/>
    </xf>
    <xf numFmtId="2" fontId="35" fillId="12" borderId="21" xfId="8" applyNumberFormat="1" applyFont="1" applyFill="1" applyBorder="1" applyAlignment="1">
      <alignment horizontal="center"/>
    </xf>
    <xf numFmtId="164" fontId="36" fillId="12" borderId="20" xfId="31" applyFont="1" applyFill="1" applyBorder="1" applyAlignment="1">
      <alignment horizontal="left"/>
    </xf>
    <xf numFmtId="164" fontId="35" fillId="0" borderId="9" xfId="31" applyFont="1" applyBorder="1"/>
    <xf numFmtId="1" fontId="35" fillId="0" borderId="8" xfId="31" applyNumberFormat="1" applyFont="1" applyBorder="1"/>
    <xf numFmtId="164" fontId="36" fillId="0" borderId="7" xfId="31" applyFont="1" applyFill="1" applyBorder="1" applyAlignment="1">
      <alignment horizontal="left"/>
    </xf>
    <xf numFmtId="3" fontId="35" fillId="0" borderId="64" xfId="31" applyNumberFormat="1" applyFont="1" applyBorder="1" applyAlignment="1">
      <alignment horizontal="center"/>
    </xf>
    <xf numFmtId="164" fontId="35" fillId="0" borderId="1" xfId="31" applyFont="1" applyBorder="1"/>
    <xf numFmtId="2" fontId="35" fillId="3" borderId="51" xfId="8" applyNumberFormat="1" applyFont="1" applyFill="1" applyBorder="1" applyAlignment="1">
      <alignment horizontal="center"/>
    </xf>
    <xf numFmtId="1" fontId="35" fillId="0" borderId="52" xfId="8" applyNumberFormat="1" applyFont="1" applyBorder="1" applyAlignment="1"/>
    <xf numFmtId="164" fontId="35" fillId="0" borderId="18" xfId="31" applyFont="1" applyBorder="1"/>
    <xf numFmtId="3" fontId="35" fillId="0" borderId="74" xfId="31" applyNumberFormat="1" applyFont="1" applyBorder="1" applyAlignment="1">
      <alignment horizontal="center"/>
    </xf>
    <xf numFmtId="2" fontId="35" fillId="3" borderId="49" xfId="8" applyNumberFormat="1" applyFont="1" applyFill="1" applyBorder="1" applyAlignment="1">
      <alignment horizontal="center"/>
    </xf>
    <xf numFmtId="1" fontId="35" fillId="0" borderId="43" xfId="8" applyNumberFormat="1" applyFont="1" applyBorder="1" applyAlignment="1"/>
    <xf numFmtId="164" fontId="35" fillId="0" borderId="5" xfId="31" applyFont="1" applyBorder="1"/>
    <xf numFmtId="1" fontId="35" fillId="0" borderId="1" xfId="8" applyNumberFormat="1" applyFont="1" applyBorder="1" applyAlignment="1"/>
    <xf numFmtId="1" fontId="35" fillId="0" borderId="0" xfId="8" applyNumberFormat="1" applyFont="1" applyBorder="1" applyAlignment="1"/>
    <xf numFmtId="2" fontId="35" fillId="3" borderId="49" xfId="31" applyNumberFormat="1" applyFont="1" applyFill="1" applyBorder="1" applyAlignment="1">
      <alignment horizontal="center"/>
    </xf>
    <xf numFmtId="3" fontId="35" fillId="0" borderId="6" xfId="31" applyNumberFormat="1" applyFont="1" applyBorder="1" applyAlignment="1">
      <alignment horizontal="center"/>
    </xf>
    <xf numFmtId="180" fontId="35" fillId="0" borderId="0" xfId="8" applyFont="1" applyBorder="1" applyAlignment="1">
      <alignment horizontal="right"/>
    </xf>
    <xf numFmtId="164" fontId="35" fillId="12" borderId="21" xfId="31" applyFont="1" applyFill="1" applyBorder="1" applyAlignment="1">
      <alignment horizontal="center"/>
    </xf>
    <xf numFmtId="164" fontId="35" fillId="12" borderId="73" xfId="31" applyFont="1" applyFill="1" applyBorder="1" applyAlignment="1">
      <alignment horizontal="center"/>
    </xf>
    <xf numFmtId="164" fontId="35" fillId="12" borderId="0" xfId="31" applyFont="1" applyFill="1" applyBorder="1" applyAlignment="1">
      <alignment horizontal="center"/>
    </xf>
    <xf numFmtId="164" fontId="35" fillId="12" borderId="22" xfId="31" applyFont="1" applyFill="1" applyBorder="1" applyAlignment="1">
      <alignment horizontal="center"/>
    </xf>
    <xf numFmtId="164" fontId="35" fillId="12" borderId="20" xfId="31" applyFont="1" applyFill="1" applyBorder="1" applyAlignment="1">
      <alignment horizontal="center"/>
    </xf>
    <xf numFmtId="164" fontId="36" fillId="12" borderId="22" xfId="31" applyFont="1" applyFill="1" applyBorder="1" applyAlignment="1">
      <alignment horizontal="right"/>
    </xf>
    <xf numFmtId="164" fontId="36" fillId="12" borderId="21" xfId="31" applyFont="1" applyFill="1" applyBorder="1" applyAlignment="1">
      <alignment horizontal="center"/>
    </xf>
    <xf numFmtId="180" fontId="36" fillId="12" borderId="20" xfId="8" applyFont="1" applyFill="1" applyBorder="1" applyAlignment="1"/>
    <xf numFmtId="3" fontId="35" fillId="0" borderId="27" xfId="31" applyNumberFormat="1" applyFont="1" applyBorder="1" applyAlignment="1">
      <alignment horizontal="center"/>
    </xf>
    <xf numFmtId="164" fontId="35" fillId="0" borderId="27" xfId="31" applyFont="1" applyBorder="1"/>
    <xf numFmtId="2" fontId="35" fillId="0" borderId="27" xfId="8" applyNumberFormat="1" applyFont="1" applyBorder="1" applyAlignment="1">
      <alignment horizontal="center"/>
    </xf>
    <xf numFmtId="2" fontId="35" fillId="0" borderId="48" xfId="8" applyNumberFormat="1" applyFont="1" applyBorder="1" applyAlignment="1">
      <alignment horizontal="center"/>
    </xf>
    <xf numFmtId="2" fontId="35" fillId="0" borderId="0" xfId="8" applyNumberFormat="1" applyFont="1" applyBorder="1" applyAlignment="1">
      <alignment horizontal="center"/>
    </xf>
    <xf numFmtId="3" fontId="35" fillId="0" borderId="48" xfId="31" applyNumberFormat="1" applyFont="1" applyBorder="1" applyAlignment="1">
      <alignment horizontal="center"/>
    </xf>
    <xf numFmtId="164" fontId="35" fillId="0" borderId="27" xfId="31" applyFont="1" applyFill="1" applyBorder="1"/>
    <xf numFmtId="180" fontId="35" fillId="0" borderId="0" xfId="8" applyFont="1" applyBorder="1" applyAlignment="1"/>
    <xf numFmtId="180" fontId="35" fillId="0" borderId="0" xfId="8" applyFont="1" applyFill="1" applyBorder="1" applyAlignment="1">
      <alignment horizontal="center" wrapText="1"/>
    </xf>
    <xf numFmtId="2" fontId="35" fillId="0" borderId="57" xfId="8" applyNumberFormat="1" applyFont="1" applyBorder="1" applyAlignment="1">
      <alignment horizontal="center"/>
    </xf>
    <xf numFmtId="164" fontId="35" fillId="0" borderId="27" xfId="31" quotePrefix="1" applyFont="1" applyBorder="1" applyAlignment="1">
      <alignment horizontal="center"/>
    </xf>
    <xf numFmtId="164" fontId="35" fillId="0" borderId="27" xfId="31" applyFont="1" applyBorder="1" applyAlignment="1">
      <alignment horizontal="center"/>
    </xf>
    <xf numFmtId="164" fontId="35" fillId="0" borderId="48" xfId="31" applyFont="1" applyBorder="1" applyAlignment="1">
      <alignment horizontal="center"/>
    </xf>
    <xf numFmtId="164" fontId="35" fillId="0" borderId="0" xfId="31" applyFont="1" applyBorder="1" applyAlignment="1">
      <alignment horizontal="center"/>
    </xf>
    <xf numFmtId="164" fontId="35" fillId="0" borderId="39" xfId="31" applyFont="1" applyBorder="1" applyAlignment="1">
      <alignment horizontal="center"/>
    </xf>
    <xf numFmtId="3" fontId="35" fillId="0" borderId="57" xfId="8" applyNumberFormat="1" applyFont="1" applyBorder="1" applyAlignment="1">
      <alignment horizontal="center"/>
    </xf>
    <xf numFmtId="164" fontId="35" fillId="0" borderId="43" xfId="31" applyFont="1" applyBorder="1"/>
    <xf numFmtId="164" fontId="35" fillId="0" borderId="0" xfId="31" applyFont="1" applyFill="1" applyBorder="1"/>
    <xf numFmtId="164" fontId="35" fillId="0" borderId="59" xfId="31" applyFont="1" applyFill="1" applyBorder="1"/>
    <xf numFmtId="3" fontId="35" fillId="0" borderId="0" xfId="31" applyNumberFormat="1" applyFont="1" applyBorder="1"/>
    <xf numFmtId="164" fontId="35" fillId="0" borderId="40" xfId="31" applyFont="1" applyBorder="1"/>
    <xf numFmtId="2" fontId="35" fillId="0" borderId="40" xfId="8" applyNumberFormat="1" applyFont="1" applyBorder="1" applyAlignment="1">
      <alignment horizontal="center"/>
    </xf>
    <xf numFmtId="2" fontId="35" fillId="0" borderId="40" xfId="31" applyNumberFormat="1" applyFont="1" applyFill="1" applyBorder="1"/>
    <xf numFmtId="164" fontId="35" fillId="0" borderId="48" xfId="31" applyFont="1" applyBorder="1"/>
    <xf numFmtId="2" fontId="35" fillId="0" borderId="27" xfId="31" applyNumberFormat="1" applyFont="1" applyBorder="1"/>
    <xf numFmtId="3" fontId="35" fillId="0" borderId="27" xfId="8" applyNumberFormat="1" applyFont="1" applyBorder="1" applyAlignment="1">
      <alignment horizontal="center"/>
    </xf>
    <xf numFmtId="3" fontId="35" fillId="0" borderId="48" xfId="8" applyNumberFormat="1" applyFont="1" applyBorder="1" applyAlignment="1">
      <alignment horizontal="center"/>
    </xf>
    <xf numFmtId="3" fontId="35" fillId="0" borderId="39" xfId="8" applyNumberFormat="1" applyFont="1" applyBorder="1" applyAlignment="1">
      <alignment horizontal="center"/>
    </xf>
    <xf numFmtId="3" fontId="35" fillId="0" borderId="11" xfId="8" applyNumberFormat="1" applyFont="1" applyBorder="1" applyAlignment="1">
      <alignment horizontal="center"/>
    </xf>
    <xf numFmtId="164" fontId="35" fillId="0" borderId="11" xfId="31" applyFont="1" applyBorder="1" applyAlignment="1">
      <alignment horizontal="center"/>
    </xf>
    <xf numFmtId="164" fontId="35" fillId="0" borderId="11" xfId="31" applyFont="1" applyBorder="1"/>
    <xf numFmtId="1" fontId="35" fillId="0" borderId="0" xfId="8" applyNumberFormat="1" applyFont="1" applyBorder="1" applyAlignment="1">
      <alignment horizontal="center"/>
    </xf>
    <xf numFmtId="164" fontId="35" fillId="0" borderId="49" xfId="31" applyFont="1" applyBorder="1" applyAlignment="1">
      <alignment horizontal="center"/>
    </xf>
    <xf numFmtId="3" fontId="35" fillId="0" borderId="54" xfId="8" applyNumberFormat="1" applyFont="1" applyBorder="1" applyAlignment="1">
      <alignment horizontal="center"/>
    </xf>
    <xf numFmtId="3" fontId="35" fillId="0" borderId="58" xfId="8" applyNumberFormat="1" applyFont="1" applyBorder="1" applyAlignment="1">
      <alignment horizontal="center"/>
    </xf>
    <xf numFmtId="3" fontId="35" fillId="0" borderId="70" xfId="8" applyNumberFormat="1" applyFont="1" applyBorder="1" applyAlignment="1">
      <alignment horizontal="center"/>
    </xf>
    <xf numFmtId="3" fontId="35" fillId="0" borderId="56" xfId="8" applyNumberFormat="1" applyFont="1" applyBorder="1" applyAlignment="1">
      <alignment horizontal="center"/>
    </xf>
    <xf numFmtId="180" fontId="35" fillId="0" borderId="27" xfId="8" applyFont="1" applyBorder="1" applyAlignment="1">
      <alignment horizontal="left" wrapText="1"/>
    </xf>
    <xf numFmtId="3" fontId="35" fillId="0" borderId="0" xfId="8" applyNumberFormat="1" applyFont="1" applyFill="1" applyBorder="1" applyAlignment="1">
      <alignment horizontal="center" wrapText="1"/>
    </xf>
    <xf numFmtId="164" fontId="35" fillId="0" borderId="55" xfId="31" applyFont="1" applyBorder="1" applyAlignment="1">
      <alignment horizontal="center"/>
    </xf>
    <xf numFmtId="2" fontId="35" fillId="0" borderId="49" xfId="8" applyNumberFormat="1" applyFont="1" applyBorder="1" applyAlignment="1">
      <alignment horizontal="center"/>
    </xf>
    <xf numFmtId="3" fontId="35" fillId="0" borderId="49" xfId="8" applyNumberFormat="1" applyFont="1" applyFill="1" applyBorder="1" applyAlignment="1">
      <alignment horizontal="center"/>
    </xf>
    <xf numFmtId="3" fontId="35" fillId="13" borderId="49" xfId="8" applyNumberFormat="1" applyFont="1" applyFill="1" applyBorder="1" applyAlignment="1">
      <alignment horizontal="center"/>
    </xf>
    <xf numFmtId="3" fontId="35" fillId="0" borderId="27" xfId="8" applyNumberFormat="1" applyFont="1" applyBorder="1" applyAlignment="1">
      <alignment horizontal="left" wrapText="1"/>
    </xf>
    <xf numFmtId="164" fontId="35" fillId="0" borderId="51" xfId="31" applyFont="1" applyBorder="1"/>
    <xf numFmtId="164" fontId="35" fillId="0" borderId="48" xfId="31" applyFont="1" applyBorder="1" applyAlignment="1">
      <alignment horizontal="centerContinuous"/>
    </xf>
    <xf numFmtId="164" fontId="35" fillId="0" borderId="39" xfId="31" applyFont="1" applyBorder="1" applyAlignment="1">
      <alignment horizontal="centerContinuous"/>
    </xf>
    <xf numFmtId="164" fontId="35" fillId="0" borderId="0" xfId="31" applyFont="1" applyBorder="1" applyAlignment="1"/>
    <xf numFmtId="164" fontId="35" fillId="0" borderId="1" xfId="31" applyFont="1" applyBorder="1" applyAlignment="1"/>
    <xf numFmtId="164" fontId="35" fillId="0" borderId="51" xfId="31" applyFont="1" applyBorder="1" applyAlignment="1"/>
    <xf numFmtId="164" fontId="35" fillId="0" borderId="53" xfId="31" applyFont="1" applyBorder="1" applyAlignment="1"/>
    <xf numFmtId="164" fontId="35" fillId="0" borderId="52" xfId="31" applyFont="1" applyBorder="1" applyAlignment="1"/>
    <xf numFmtId="164" fontId="35" fillId="0" borderId="11" xfId="31" applyFont="1" applyBorder="1" applyAlignment="1">
      <alignment horizontal="centerContinuous"/>
    </xf>
    <xf numFmtId="164" fontId="35" fillId="0" borderId="51" xfId="31" applyFont="1" applyBorder="1" applyAlignment="1">
      <alignment horizontal="centerContinuous"/>
    </xf>
    <xf numFmtId="164" fontId="35" fillId="0" borderId="39" xfId="31" applyFont="1" applyBorder="1" applyAlignment="1">
      <alignment horizontal="left"/>
    </xf>
    <xf numFmtId="180" fontId="35" fillId="0" borderId="0" xfId="8" quotePrefix="1" applyFont="1" applyBorder="1" applyAlignment="1">
      <alignment horizontal="centerContinuous" wrapText="1"/>
    </xf>
    <xf numFmtId="180" fontId="35" fillId="0" borderId="1" xfId="8" quotePrefix="1" applyFont="1" applyBorder="1" applyAlignment="1">
      <alignment horizontal="centerContinuous" wrapText="1"/>
    </xf>
    <xf numFmtId="180" fontId="35" fillId="0" borderId="0" xfId="8" quotePrefix="1" applyFont="1" applyAlignment="1">
      <alignment horizontal="center" wrapText="1"/>
    </xf>
    <xf numFmtId="180" fontId="35" fillId="0" borderId="27" xfId="8" applyFont="1" applyBorder="1" applyAlignment="1">
      <alignment horizontal="centerContinuous" wrapText="1"/>
    </xf>
    <xf numFmtId="180" fontId="35" fillId="0" borderId="0" xfId="8" applyFont="1" applyAlignment="1">
      <alignment horizontal="center" wrapText="1"/>
    </xf>
    <xf numFmtId="180" fontId="35" fillId="0" borderId="0" xfId="8" applyFont="1" applyBorder="1" applyAlignment="1">
      <alignment horizontal="center" wrapText="1"/>
    </xf>
    <xf numFmtId="180" fontId="35" fillId="0" borderId="39" xfId="8" applyFont="1" applyBorder="1" applyAlignment="1">
      <alignment horizontal="centerContinuous" wrapText="1"/>
    </xf>
    <xf numFmtId="180" fontId="35" fillId="13" borderId="49" xfId="8" quotePrefix="1" applyFont="1" applyFill="1" applyBorder="1" applyAlignment="1"/>
    <xf numFmtId="180" fontId="35" fillId="0" borderId="1" xfId="8" applyFont="1" applyBorder="1" applyAlignment="1">
      <alignment horizontal="centerContinuous"/>
    </xf>
    <xf numFmtId="180" fontId="35" fillId="0" borderId="1" xfId="8" applyFont="1" applyBorder="1" applyAlignment="1">
      <alignment horizontal="center"/>
    </xf>
    <xf numFmtId="180" fontId="35" fillId="0" borderId="52" xfId="8" applyFont="1" applyBorder="1" applyAlignment="1">
      <alignment horizontal="center"/>
    </xf>
    <xf numFmtId="180" fontId="35" fillId="0" borderId="48" xfId="8" applyFont="1" applyBorder="1" applyAlignment="1"/>
    <xf numFmtId="180" fontId="35" fillId="0" borderId="39" xfId="8" applyFont="1" applyBorder="1" applyAlignment="1"/>
    <xf numFmtId="180" fontId="35" fillId="0" borderId="1" xfId="8" applyFont="1" applyBorder="1" applyAlignment="1">
      <alignment horizontal="center" wrapText="1"/>
    </xf>
    <xf numFmtId="180" fontId="35" fillId="0" borderId="51" xfId="8" applyFont="1" applyBorder="1" applyAlignment="1">
      <alignment horizontal="center" wrapText="1"/>
    </xf>
    <xf numFmtId="180" fontId="36" fillId="0" borderId="52" xfId="8" quotePrefix="1" applyFont="1" applyBorder="1" applyAlignment="1">
      <alignment horizontal="left" wrapText="1"/>
    </xf>
    <xf numFmtId="164" fontId="35" fillId="7" borderId="12" xfId="31" applyFont="1" applyFill="1" applyBorder="1" applyAlignment="1">
      <alignment horizontal="centerContinuous"/>
    </xf>
    <xf numFmtId="164" fontId="35" fillId="7" borderId="50" xfId="31" applyFont="1" applyFill="1" applyBorder="1" applyAlignment="1">
      <alignment horizontal="centerContinuous"/>
    </xf>
    <xf numFmtId="164" fontId="35" fillId="0" borderId="0" xfId="31" applyFont="1" applyBorder="1" applyAlignment="1">
      <alignment horizontal="centerContinuous"/>
    </xf>
    <xf numFmtId="164" fontId="35" fillId="23" borderId="12" xfId="31" applyFont="1" applyFill="1" applyBorder="1" applyAlignment="1"/>
    <xf numFmtId="164" fontId="35" fillId="25" borderId="50" xfId="31" applyFont="1" applyFill="1" applyBorder="1" applyAlignment="1">
      <alignment horizontal="center"/>
    </xf>
    <xf numFmtId="164" fontId="35" fillId="23" borderId="40" xfId="31" applyFont="1" applyFill="1" applyBorder="1" applyAlignment="1">
      <alignment horizontal="centerContinuous"/>
    </xf>
    <xf numFmtId="164" fontId="35" fillId="7" borderId="50" xfId="31" applyFont="1" applyFill="1" applyBorder="1" applyAlignment="1">
      <alignment horizontal="center"/>
    </xf>
    <xf numFmtId="164" fontId="35" fillId="7" borderId="41" xfId="31" applyFont="1" applyFill="1" applyBorder="1" applyAlignment="1"/>
    <xf numFmtId="164" fontId="35" fillId="7" borderId="12" xfId="31" applyFont="1" applyFill="1" applyBorder="1" applyAlignment="1"/>
    <xf numFmtId="164" fontId="35" fillId="7" borderId="50" xfId="31" applyFont="1" applyFill="1" applyBorder="1" applyAlignment="1"/>
    <xf numFmtId="164" fontId="35" fillId="23" borderId="43" xfId="31" applyFont="1" applyFill="1" applyBorder="1" applyAlignment="1"/>
    <xf numFmtId="164" fontId="35" fillId="23" borderId="0" xfId="31" applyFont="1" applyFill="1" applyBorder="1" applyAlignment="1"/>
    <xf numFmtId="164" fontId="35" fillId="23" borderId="49" xfId="31" applyFont="1" applyFill="1" applyBorder="1" applyAlignment="1"/>
    <xf numFmtId="164" fontId="35" fillId="7" borderId="11" xfId="31" applyFont="1" applyFill="1" applyBorder="1" applyAlignment="1"/>
    <xf numFmtId="164" fontId="35" fillId="7" borderId="39" xfId="31" applyFont="1" applyFill="1" applyBorder="1" applyAlignment="1"/>
    <xf numFmtId="164" fontId="35" fillId="23" borderId="41" xfId="31" applyFont="1" applyFill="1" applyBorder="1" applyAlignment="1"/>
    <xf numFmtId="164" fontId="35" fillId="23" borderId="50" xfId="31" applyFont="1" applyFill="1" applyBorder="1" applyAlignment="1"/>
    <xf numFmtId="164" fontId="35" fillId="7" borderId="43" xfId="31" applyFont="1" applyFill="1" applyBorder="1" applyAlignment="1"/>
    <xf numFmtId="164" fontId="35" fillId="7" borderId="49" xfId="31" applyFont="1" applyFill="1" applyBorder="1" applyAlignment="1"/>
    <xf numFmtId="164" fontId="35" fillId="23" borderId="0" xfId="31" applyFont="1" applyFill="1" applyAlignment="1"/>
    <xf numFmtId="164" fontId="35" fillId="23" borderId="0" xfId="31" applyFont="1" applyFill="1" applyBorder="1"/>
    <xf numFmtId="164" fontId="35" fillId="23" borderId="12" xfId="31" applyFont="1" applyFill="1" applyBorder="1" applyAlignment="1">
      <alignment horizontal="centerContinuous"/>
    </xf>
    <xf numFmtId="164" fontId="35" fillId="23" borderId="50" xfId="31" applyFont="1" applyFill="1" applyBorder="1" applyAlignment="1">
      <alignment horizontal="center"/>
    </xf>
    <xf numFmtId="164" fontId="35" fillId="7" borderId="0" xfId="31" applyFont="1" applyFill="1" applyBorder="1" applyAlignment="1">
      <alignment horizontal="center"/>
    </xf>
    <xf numFmtId="164" fontId="35" fillId="7" borderId="12" xfId="31" applyFont="1" applyFill="1" applyBorder="1" applyAlignment="1">
      <alignment horizontal="center"/>
    </xf>
    <xf numFmtId="164" fontId="35" fillId="7" borderId="12" xfId="31" applyFont="1" applyFill="1" applyBorder="1" applyAlignment="1">
      <alignment horizontal="left"/>
    </xf>
    <xf numFmtId="164" fontId="35" fillId="23" borderId="41" xfId="31" applyFont="1" applyFill="1" applyBorder="1" applyAlignment="1">
      <alignment horizontal="centerContinuous"/>
    </xf>
    <xf numFmtId="164" fontId="35" fillId="23" borderId="12" xfId="31" applyFont="1" applyFill="1" applyBorder="1" applyAlignment="1">
      <alignment horizontal="left"/>
    </xf>
    <xf numFmtId="164" fontId="35" fillId="13" borderId="49" xfId="31" applyFont="1" applyFill="1" applyBorder="1" applyAlignment="1">
      <alignment horizontal="left"/>
    </xf>
    <xf numFmtId="164" fontId="35" fillId="23" borderId="41" xfId="31" applyFont="1" applyFill="1" applyBorder="1" applyAlignment="1">
      <alignment horizontal="center"/>
    </xf>
    <xf numFmtId="164" fontId="36" fillId="0" borderId="0" xfId="31" applyFont="1" applyBorder="1" applyAlignment="1">
      <alignment wrapText="1"/>
    </xf>
    <xf numFmtId="180" fontId="35" fillId="0" borderId="0" xfId="8" applyFont="1" applyBorder="1" applyAlignment="1">
      <alignment horizontal="left" wrapText="1"/>
    </xf>
    <xf numFmtId="180" fontId="36" fillId="0" borderId="0" xfId="8" quotePrefix="1" applyFont="1" applyAlignment="1">
      <alignment horizontal="left" wrapText="1"/>
    </xf>
    <xf numFmtId="10" fontId="35" fillId="24" borderId="27" xfId="11" applyNumberFormat="1" applyFont="1" applyFill="1" applyBorder="1" applyAlignment="1">
      <alignment horizontal="center"/>
    </xf>
    <xf numFmtId="3" fontId="35" fillId="0" borderId="27" xfId="8" applyNumberFormat="1" applyFont="1" applyFill="1" applyBorder="1" applyAlignment="1">
      <alignment horizontal="center"/>
    </xf>
    <xf numFmtId="9" fontId="35" fillId="24" borderId="27" xfId="11" applyFont="1" applyFill="1" applyBorder="1" applyAlignment="1">
      <alignment horizontal="center"/>
    </xf>
    <xf numFmtId="4" fontId="35" fillId="0" borderId="27" xfId="8" applyNumberFormat="1" applyFont="1" applyBorder="1" applyAlignment="1">
      <alignment horizontal="center"/>
    </xf>
    <xf numFmtId="4" fontId="35" fillId="0" borderId="27" xfId="8" applyNumberFormat="1" applyFont="1" applyFill="1" applyBorder="1" applyAlignment="1">
      <alignment horizontal="center"/>
    </xf>
    <xf numFmtId="4" fontId="35" fillId="0" borderId="27" xfId="31" applyNumberFormat="1" applyFont="1" applyFill="1" applyBorder="1" applyAlignment="1">
      <alignment horizontal="center"/>
    </xf>
    <xf numFmtId="176" fontId="35" fillId="24" borderId="27" xfId="11" applyNumberFormat="1" applyFont="1" applyFill="1" applyBorder="1" applyAlignment="1">
      <alignment horizontal="center"/>
    </xf>
    <xf numFmtId="168" fontId="35" fillId="0" borderId="27" xfId="8" applyNumberFormat="1" applyFont="1" applyFill="1" applyBorder="1" applyAlignment="1">
      <alignment horizontal="center"/>
    </xf>
    <xf numFmtId="164" fontId="36" fillId="13" borderId="0" xfId="31" applyFont="1" applyFill="1"/>
    <xf numFmtId="180" fontId="36" fillId="0" borderId="0" xfId="8" applyFont="1" applyAlignment="1">
      <alignment horizontal="left" wrapText="1"/>
    </xf>
    <xf numFmtId="3" fontId="35" fillId="0" borderId="27" xfId="31" applyNumberFormat="1" applyFont="1" applyFill="1" applyBorder="1" applyAlignment="1">
      <alignment horizontal="center"/>
    </xf>
    <xf numFmtId="164" fontId="35" fillId="0" borderId="0" xfId="31" applyFont="1" applyAlignment="1">
      <alignment horizontal="center"/>
    </xf>
    <xf numFmtId="164" fontId="36" fillId="0" borderId="0" xfId="31" applyFont="1"/>
    <xf numFmtId="164" fontId="36" fillId="0" borderId="0" xfId="0" applyFont="1"/>
    <xf numFmtId="164" fontId="35" fillId="0" borderId="27" xfId="0" applyFont="1" applyBorder="1"/>
    <xf numFmtId="164" fontId="35" fillId="0" borderId="27" xfId="0" applyFont="1" applyBorder="1" applyAlignment="1">
      <alignment horizontal="center"/>
    </xf>
    <xf numFmtId="164" fontId="35" fillId="0" borderId="27" xfId="0" applyFont="1" applyBorder="1" applyAlignment="1">
      <alignment horizontal="left"/>
    </xf>
    <xf numFmtId="1" fontId="35" fillId="0" borderId="27" xfId="0" applyNumberFormat="1" applyFont="1" applyBorder="1" applyAlignment="1">
      <alignment horizontal="center"/>
    </xf>
    <xf numFmtId="176" fontId="35" fillId="0" borderId="27" xfId="11" applyNumberFormat="1" applyFont="1" applyBorder="1" applyAlignment="1">
      <alignment horizontal="center"/>
    </xf>
    <xf numFmtId="166" fontId="35" fillId="0" borderId="27" xfId="11" applyNumberFormat="1" applyFont="1" applyBorder="1" applyAlignment="1">
      <alignment horizontal="center"/>
    </xf>
    <xf numFmtId="164" fontId="35" fillId="0" borderId="0" xfId="0" applyFont="1" applyAlignment="1">
      <alignment horizontal="left"/>
    </xf>
    <xf numFmtId="164" fontId="35" fillId="0" borderId="0" xfId="0" applyFont="1" applyAlignment="1">
      <alignment horizontal="center"/>
    </xf>
    <xf numFmtId="176" fontId="35" fillId="0" borderId="0" xfId="11" applyNumberFormat="1" applyFont="1" applyAlignment="1">
      <alignment horizontal="center"/>
    </xf>
    <xf numFmtId="1" fontId="22" fillId="29" borderId="12" xfId="7" applyNumberFormat="1" applyFont="1" applyFill="1" applyBorder="1" applyAlignment="1">
      <alignment wrapText="1"/>
    </xf>
    <xf numFmtId="180" fontId="22" fillId="27" borderId="0" xfId="7" applyNumberFormat="1" applyFont="1" applyFill="1" applyAlignment="1">
      <alignment horizontal="left" wrapText="1"/>
    </xf>
    <xf numFmtId="180" fontId="5" fillId="0" borderId="27" xfId="32" applyNumberFormat="1" applyFont="1" applyFill="1" applyBorder="1" applyAlignment="1" applyProtection="1">
      <alignment horizontal="left" vertical="center" wrapText="1"/>
      <protection locked="0"/>
    </xf>
    <xf numFmtId="183" fontId="22" fillId="0" borderId="0" xfId="2" applyNumberFormat="1" applyFont="1" applyFill="1" applyAlignment="1">
      <alignment wrapText="1"/>
    </xf>
    <xf numFmtId="43" fontId="22" fillId="0" borderId="0" xfId="1" applyNumberFormat="1" applyFont="1" applyFill="1" applyAlignment="1">
      <alignment wrapText="1"/>
    </xf>
    <xf numFmtId="168" fontId="5" fillId="0" borderId="0" xfId="0" applyNumberFormat="1" applyFont="1" applyAlignment="1">
      <alignment horizontal="right" vertical="center"/>
    </xf>
    <xf numFmtId="2" fontId="22" fillId="0" borderId="0" xfId="0" applyNumberFormat="1" applyFont="1" applyFill="1"/>
    <xf numFmtId="167" fontId="22" fillId="0" borderId="0" xfId="0" applyNumberFormat="1" applyFont="1" applyFill="1"/>
    <xf numFmtId="176" fontId="22" fillId="0" borderId="0" xfId="0" applyNumberFormat="1" applyFont="1" applyFill="1"/>
    <xf numFmtId="167" fontId="22" fillId="0" borderId="0" xfId="0" applyNumberFormat="1" applyFont="1" applyBorder="1" applyAlignment="1">
      <alignment vertical="center"/>
    </xf>
    <xf numFmtId="166" fontId="22" fillId="0" borderId="0" xfId="0" applyNumberFormat="1" applyFont="1" applyBorder="1" applyAlignment="1">
      <alignment vertical="center"/>
    </xf>
    <xf numFmtId="176" fontId="22" fillId="0" borderId="0" xfId="0" applyNumberFormat="1" applyFont="1"/>
    <xf numFmtId="178" fontId="22" fillId="0" borderId="0" xfId="1" applyNumberFormat="1" applyFont="1"/>
    <xf numFmtId="164" fontId="22" fillId="0" borderId="27" xfId="0" applyFont="1" applyBorder="1" applyAlignment="1">
      <alignment horizontal="center"/>
    </xf>
    <xf numFmtId="180" fontId="47" fillId="0" borderId="14" xfId="16" applyNumberFormat="1" applyFont="1" applyFill="1" applyBorder="1" applyAlignment="1" applyProtection="1">
      <alignment vertical="center"/>
      <protection locked="0"/>
    </xf>
    <xf numFmtId="172" fontId="5" fillId="0" borderId="0" xfId="16" applyNumberFormat="1" applyFont="1" applyBorder="1" applyAlignment="1" applyProtection="1">
      <protection locked="0"/>
    </xf>
    <xf numFmtId="171" fontId="5" fillId="9" borderId="27" xfId="16" applyNumberFormat="1" applyFill="1" applyBorder="1" applyAlignment="1" applyProtection="1">
      <alignment vertical="center" wrapText="1"/>
      <protection locked="0"/>
    </xf>
    <xf numFmtId="10" fontId="22" fillId="0" borderId="43" xfId="11" applyNumberFormat="1" applyFont="1" applyBorder="1" applyAlignment="1">
      <alignment vertical="center"/>
    </xf>
    <xf numFmtId="180" fontId="22" fillId="18" borderId="0" xfId="0" applyNumberFormat="1" applyFont="1" applyFill="1"/>
    <xf numFmtId="164" fontId="0" fillId="18" borderId="0" xfId="0" applyFill="1"/>
    <xf numFmtId="167" fontId="22" fillId="18" borderId="0" xfId="0" applyNumberFormat="1" applyFont="1" applyFill="1"/>
    <xf numFmtId="176" fontId="22" fillId="18" borderId="0" xfId="9" applyNumberFormat="1" applyFont="1" applyFill="1"/>
    <xf numFmtId="164" fontId="46" fillId="0" borderId="27" xfId="0" applyFont="1" applyBorder="1" applyAlignment="1">
      <alignment horizontal="center"/>
    </xf>
    <xf numFmtId="164" fontId="35" fillId="0" borderId="5" xfId="31" applyFont="1" applyFill="1" applyBorder="1"/>
    <xf numFmtId="164" fontId="35" fillId="0" borderId="18" xfId="31" applyFont="1" applyFill="1" applyBorder="1"/>
    <xf numFmtId="164" fontId="35" fillId="0" borderId="48" xfId="31" applyFont="1" applyFill="1" applyBorder="1" applyAlignment="1">
      <alignment horizontal="center"/>
    </xf>
    <xf numFmtId="164" fontId="35" fillId="0" borderId="0" xfId="31" applyFont="1" applyFill="1" applyBorder="1" applyAlignment="1">
      <alignment horizontal="center"/>
    </xf>
    <xf numFmtId="164" fontId="35" fillId="0" borderId="0" xfId="31" applyFont="1" applyBorder="1"/>
    <xf numFmtId="3" fontId="35" fillId="0" borderId="0" xfId="8" applyNumberFormat="1" applyFont="1" applyBorder="1" applyAlignment="1">
      <alignment horizontal="center"/>
    </xf>
    <xf numFmtId="164" fontId="35" fillId="0" borderId="0" xfId="31" applyFont="1" applyFill="1"/>
    <xf numFmtId="180" fontId="23" fillId="16" borderId="0" xfId="0" applyNumberFormat="1" applyFont="1" applyFill="1"/>
    <xf numFmtId="180" fontId="22" fillId="16" borderId="0" xfId="0" applyNumberFormat="1" applyFont="1" applyFill="1"/>
    <xf numFmtId="180" fontId="35" fillId="0" borderId="0" xfId="31" applyNumberFormat="1" applyFont="1" applyBorder="1"/>
    <xf numFmtId="2" fontId="22" fillId="3" borderId="0" xfId="9" applyNumberFormat="1" applyFont="1" applyFill="1" applyAlignment="1">
      <alignment vertical="center"/>
    </xf>
    <xf numFmtId="164" fontId="40" fillId="0" borderId="27" xfId="0" applyFont="1" applyFill="1" applyBorder="1" applyAlignment="1">
      <alignment horizontal="center"/>
    </xf>
    <xf numFmtId="164" fontId="40" fillId="0" borderId="27" xfId="0" applyFont="1" applyBorder="1" applyAlignment="1"/>
    <xf numFmtId="164" fontId="35" fillId="0" borderId="1" xfId="31" applyFont="1" applyFill="1" applyBorder="1"/>
    <xf numFmtId="164" fontId="35" fillId="0" borderId="27" xfId="0" applyFont="1" applyFill="1" applyBorder="1" applyAlignment="1">
      <alignment horizontal="center"/>
    </xf>
    <xf numFmtId="180" fontId="22" fillId="0" borderId="0" xfId="9" applyNumberFormat="1" applyFont="1" applyAlignment="1">
      <alignment horizontal="left" vertical="center"/>
    </xf>
    <xf numFmtId="180" fontId="22" fillId="0" borderId="0" xfId="9" applyNumberFormat="1" applyFont="1" applyAlignment="1">
      <alignment vertical="center"/>
    </xf>
    <xf numFmtId="6" fontId="22" fillId="0" borderId="0" xfId="9" applyNumberFormat="1" applyFont="1" applyAlignment="1">
      <alignment vertical="center"/>
    </xf>
    <xf numFmtId="2" fontId="22" fillId="0" borderId="0" xfId="9" applyNumberFormat="1" applyFont="1" applyAlignment="1">
      <alignment vertical="center"/>
    </xf>
    <xf numFmtId="17" fontId="22" fillId="0" borderId="0" xfId="0" applyNumberFormat="1" applyFont="1"/>
    <xf numFmtId="49" fontId="5" fillId="0" borderId="27" xfId="16" applyNumberFormat="1" applyFont="1" applyFill="1" applyBorder="1" applyAlignment="1" applyProtection="1">
      <alignment horizontal="center" vertical="center" wrapText="1"/>
      <protection locked="0"/>
    </xf>
    <xf numFmtId="1" fontId="5" fillId="0" borderId="0" xfId="0" applyNumberFormat="1" applyFont="1" applyAlignment="1">
      <alignment horizontal="right"/>
    </xf>
    <xf numFmtId="180" fontId="5" fillId="0" borderId="53" xfId="32" applyNumberFormat="1" applyFont="1" applyFill="1" applyBorder="1" applyAlignment="1" applyProtection="1">
      <alignment horizontal="center" vertical="center" wrapText="1"/>
      <protection locked="0"/>
    </xf>
    <xf numFmtId="180" fontId="22" fillId="9" borderId="0" xfId="7" applyNumberFormat="1" applyFont="1" applyFill="1" applyAlignment="1">
      <alignment horizontal="left"/>
    </xf>
    <xf numFmtId="180" fontId="22" fillId="28" borderId="0" xfId="7" applyNumberFormat="1" applyFont="1" applyFill="1" applyAlignment="1">
      <alignment horizontal="left"/>
    </xf>
    <xf numFmtId="180" fontId="22" fillId="28" borderId="1" xfId="7" applyNumberFormat="1" applyFont="1" applyFill="1" applyBorder="1" applyAlignment="1">
      <alignment horizontal="left"/>
    </xf>
    <xf numFmtId="180" fontId="22" fillId="29" borderId="12" xfId="7" applyNumberFormat="1" applyFont="1" applyFill="1" applyBorder="1" applyAlignment="1">
      <alignment horizontal="left"/>
    </xf>
    <xf numFmtId="180" fontId="22" fillId="29" borderId="0" xfId="7" applyNumberFormat="1" applyFont="1" applyFill="1" applyBorder="1" applyAlignment="1">
      <alignment horizontal="left"/>
    </xf>
    <xf numFmtId="180" fontId="22" fillId="29" borderId="0" xfId="7" applyNumberFormat="1" applyFont="1" applyFill="1" applyBorder="1" applyAlignment="1"/>
    <xf numFmtId="180" fontId="22" fillId="20" borderId="0" xfId="7" applyNumberFormat="1" applyFont="1" applyFill="1" applyAlignment="1">
      <alignment horizontal="left"/>
    </xf>
    <xf numFmtId="180" fontId="22" fillId="15" borderId="0" xfId="7" applyNumberFormat="1" applyFont="1" applyFill="1" applyAlignment="1">
      <alignment horizontal="left"/>
    </xf>
    <xf numFmtId="180" fontId="22" fillId="0" borderId="0" xfId="9" applyNumberFormat="1" applyFont="1" applyFill="1"/>
    <xf numFmtId="164" fontId="5" fillId="9" borderId="27" xfId="0" applyFont="1" applyFill="1" applyBorder="1" applyAlignment="1">
      <alignment horizontal="center"/>
    </xf>
    <xf numFmtId="169" fontId="22" fillId="0" borderId="0" xfId="9" applyNumberFormat="1" applyFont="1" applyFill="1"/>
    <xf numFmtId="164" fontId="35" fillId="0" borderId="0" xfId="31" applyFont="1" applyBorder="1" applyAlignment="1">
      <alignment horizontal="left"/>
    </xf>
    <xf numFmtId="164" fontId="35" fillId="7" borderId="0" xfId="31" applyFont="1" applyFill="1" applyBorder="1" applyAlignment="1">
      <alignment horizontal="centerContinuous"/>
    </xf>
    <xf numFmtId="9" fontId="35" fillId="0" borderId="0" xfId="11" applyFont="1" applyFill="1" applyBorder="1" applyAlignment="1">
      <alignment horizontal="center"/>
    </xf>
    <xf numFmtId="164" fontId="35" fillId="7" borderId="0" xfId="31" applyFont="1" applyFill="1" applyBorder="1" applyAlignment="1"/>
    <xf numFmtId="164" fontId="35" fillId="25" borderId="12" xfId="31" applyFont="1" applyFill="1" applyBorder="1" applyAlignment="1">
      <alignment horizontal="center"/>
    </xf>
    <xf numFmtId="164" fontId="35" fillId="0" borderId="27" xfId="31" applyFont="1" applyBorder="1" applyAlignment="1">
      <alignment horizontal="left"/>
    </xf>
    <xf numFmtId="2" fontId="35" fillId="0" borderId="0" xfId="31" applyNumberFormat="1" applyFont="1" applyFill="1" applyBorder="1"/>
    <xf numFmtId="167" fontId="35" fillId="0" borderId="0" xfId="31" applyNumberFormat="1" applyFont="1" applyBorder="1"/>
    <xf numFmtId="1" fontId="35" fillId="0" borderId="0" xfId="31" applyNumberFormat="1" applyFont="1" applyBorder="1"/>
    <xf numFmtId="2" fontId="35" fillId="0" borderId="0" xfId="31" applyNumberFormat="1" applyFont="1" applyBorder="1" applyAlignment="1">
      <alignment horizontal="left"/>
    </xf>
    <xf numFmtId="3" fontId="35" fillId="0" borderId="0" xfId="1" applyNumberFormat="1" applyFont="1" applyBorder="1" applyAlignment="1"/>
    <xf numFmtId="176" fontId="6" fillId="0" borderId="0" xfId="11" applyNumberFormat="1" applyFont="1" applyBorder="1"/>
    <xf numFmtId="176" fontId="35" fillId="0" borderId="0" xfId="11" applyNumberFormat="1" applyFont="1" applyFill="1" applyBorder="1" applyAlignment="1">
      <alignment horizontal="center"/>
    </xf>
    <xf numFmtId="180" fontId="35" fillId="0" borderId="43" xfId="8" applyFont="1" applyBorder="1" applyAlignment="1">
      <alignment horizontal="center" wrapText="1"/>
    </xf>
    <xf numFmtId="180" fontId="35" fillId="0" borderId="1" xfId="8" applyFont="1" applyBorder="1" applyAlignment="1">
      <alignment horizontal="centerContinuous" wrapText="1"/>
    </xf>
    <xf numFmtId="164" fontId="35" fillId="0" borderId="43" xfId="31" applyFont="1" applyBorder="1" applyAlignment="1">
      <alignment horizontal="centerContinuous"/>
    </xf>
    <xf numFmtId="3" fontId="35" fillId="0" borderId="42" xfId="8" applyNumberFormat="1" applyFont="1" applyBorder="1" applyAlignment="1">
      <alignment horizontal="center"/>
    </xf>
    <xf numFmtId="164" fontId="35" fillId="0" borderId="43" xfId="31" applyFont="1" applyBorder="1" applyAlignment="1">
      <alignment horizontal="center"/>
    </xf>
    <xf numFmtId="180" fontId="35" fillId="0" borderId="0" xfId="8" applyFont="1" applyBorder="1" applyAlignment="1">
      <alignment horizontal="centerContinuous" wrapText="1"/>
    </xf>
    <xf numFmtId="168" fontId="35" fillId="0" borderId="6" xfId="13" applyNumberFormat="1" applyFont="1" applyFill="1" applyBorder="1" applyAlignment="1">
      <alignment horizontal="right"/>
    </xf>
    <xf numFmtId="168" fontId="35" fillId="0" borderId="6" xfId="0" applyNumberFormat="1" applyFont="1" applyBorder="1"/>
    <xf numFmtId="2" fontId="17" fillId="0" borderId="37" xfId="16" applyNumberFormat="1" applyFont="1" applyFill="1" applyBorder="1" applyAlignment="1" applyProtection="1">
      <alignment horizontal="center" vertical="center" textRotation="90" wrapText="1"/>
      <protection locked="0"/>
    </xf>
    <xf numFmtId="2" fontId="5" fillId="4" borderId="8" xfId="16" applyNumberFormat="1" applyFont="1" applyFill="1" applyBorder="1" applyAlignment="1" applyProtection="1">
      <alignment horizontal="center" vertical="center" wrapText="1"/>
      <protection locked="0"/>
    </xf>
    <xf numFmtId="167" fontId="5" fillId="0" borderId="0" xfId="16" applyNumberFormat="1" applyFill="1" applyAlignment="1" applyProtection="1">
      <alignment vertical="center"/>
      <protection locked="0"/>
    </xf>
    <xf numFmtId="167" fontId="17" fillId="0" borderId="37" xfId="16" applyNumberFormat="1" applyFont="1" applyFill="1" applyBorder="1" applyAlignment="1" applyProtection="1">
      <alignment horizontal="center" vertical="center" textRotation="90" wrapText="1"/>
      <protection locked="0"/>
    </xf>
    <xf numFmtId="167" fontId="5" fillId="4" borderId="8" xfId="16" applyNumberFormat="1" applyFont="1" applyFill="1" applyBorder="1" applyAlignment="1" applyProtection="1">
      <alignment horizontal="center" vertical="center" wrapText="1"/>
      <protection locked="0"/>
    </xf>
    <xf numFmtId="167" fontId="5" fillId="31" borderId="27" xfId="16" applyNumberFormat="1" applyFont="1" applyFill="1" applyBorder="1" applyAlignment="1" applyProtection="1">
      <alignment horizontal="center" vertical="center" wrapText="1"/>
      <protection locked="0"/>
    </xf>
    <xf numFmtId="1" fontId="5" fillId="0" borderId="0" xfId="16" applyNumberFormat="1" applyFill="1" applyAlignment="1" applyProtection="1">
      <alignment vertical="center"/>
      <protection locked="0"/>
    </xf>
    <xf numFmtId="1" fontId="17" fillId="0" borderId="37" xfId="16" applyNumberFormat="1" applyFont="1" applyFill="1" applyBorder="1" applyAlignment="1" applyProtection="1">
      <alignment horizontal="center" vertical="center" textRotation="90" wrapText="1"/>
      <protection locked="0"/>
    </xf>
    <xf numFmtId="1" fontId="5" fillId="4" borderId="8" xfId="16" applyNumberFormat="1" applyFont="1" applyFill="1" applyBorder="1" applyAlignment="1" applyProtection="1">
      <alignment horizontal="center" vertical="center" wrapText="1"/>
      <protection locked="0"/>
    </xf>
    <xf numFmtId="1" fontId="5" fillId="31" borderId="27" xfId="16" applyNumberFormat="1" applyFont="1" applyFill="1" applyBorder="1" applyAlignment="1" applyProtection="1">
      <alignment horizontal="center" vertical="center" wrapText="1"/>
      <protection locked="0"/>
    </xf>
    <xf numFmtId="2" fontId="5" fillId="31" borderId="27" xfId="16" applyNumberFormat="1" applyFont="1" applyFill="1" applyBorder="1" applyAlignment="1" applyProtection="1">
      <alignment vertical="center" wrapText="1"/>
      <protection locked="0"/>
    </xf>
    <xf numFmtId="2" fontId="5" fillId="31" borderId="48" xfId="16" applyNumberFormat="1" applyFont="1" applyFill="1" applyBorder="1" applyAlignment="1" applyProtection="1">
      <alignment horizontal="center" vertical="center" wrapText="1"/>
      <protection locked="0"/>
    </xf>
    <xf numFmtId="2" fontId="5" fillId="31" borderId="24" xfId="16" applyNumberFormat="1" applyFont="1" applyFill="1" applyBorder="1" applyAlignment="1" applyProtection="1">
      <alignment horizontal="center" vertical="center" wrapText="1"/>
      <protection locked="0"/>
    </xf>
    <xf numFmtId="167" fontId="5" fillId="31" borderId="48" xfId="16" applyNumberFormat="1" applyFont="1" applyFill="1" applyBorder="1" applyAlignment="1" applyProtection="1">
      <alignment horizontal="center" vertical="center" wrapText="1"/>
      <protection locked="0"/>
    </xf>
    <xf numFmtId="167" fontId="5" fillId="0" borderId="27" xfId="16" applyNumberFormat="1" applyFont="1" applyFill="1" applyBorder="1" applyAlignment="1" applyProtection="1">
      <alignment horizontal="center" vertical="center" wrapText="1"/>
      <protection locked="0"/>
    </xf>
    <xf numFmtId="167" fontId="5" fillId="31" borderId="24" xfId="16" applyNumberFormat="1" applyFont="1" applyFill="1" applyBorder="1" applyAlignment="1" applyProtection="1">
      <alignment horizontal="center" vertical="center" wrapText="1"/>
      <protection locked="0"/>
    </xf>
    <xf numFmtId="167" fontId="5" fillId="31" borderId="27" xfId="16" applyNumberFormat="1" applyFill="1" applyBorder="1" applyAlignment="1" applyProtection="1">
      <alignment vertical="center" wrapText="1"/>
      <protection locked="0"/>
    </xf>
    <xf numFmtId="167" fontId="5" fillId="0" borderId="0" xfId="16" applyNumberFormat="1" applyFont="1" applyFill="1" applyBorder="1" applyAlignment="1" applyProtection="1">
      <alignment horizontal="center" vertical="center" wrapText="1"/>
      <protection locked="0"/>
    </xf>
    <xf numFmtId="1" fontId="5" fillId="0" borderId="24" xfId="0" applyNumberFormat="1" applyFont="1" applyFill="1" applyBorder="1" applyAlignment="1" applyProtection="1">
      <alignment horizontal="center" vertical="center" wrapText="1"/>
      <protection locked="0"/>
    </xf>
    <xf numFmtId="1" fontId="5" fillId="0" borderId="27" xfId="0" applyNumberFormat="1" applyFont="1" applyFill="1" applyBorder="1" applyAlignment="1" applyProtection="1">
      <alignment horizontal="center" vertical="center" wrapText="1"/>
      <protection locked="0"/>
    </xf>
    <xf numFmtId="1" fontId="5" fillId="0" borderId="53" xfId="0" applyNumberFormat="1" applyFont="1" applyFill="1" applyBorder="1" applyAlignment="1" applyProtection="1">
      <alignment horizontal="center" vertical="center" wrapText="1"/>
      <protection locked="0"/>
    </xf>
    <xf numFmtId="1" fontId="5" fillId="0" borderId="0" xfId="16" applyNumberFormat="1" applyFill="1" applyAlignment="1" applyProtection="1">
      <alignment horizontal="center"/>
      <protection locked="0"/>
    </xf>
    <xf numFmtId="49" fontId="5" fillId="0" borderId="0" xfId="16" applyNumberFormat="1" applyFill="1" applyProtection="1">
      <protection locked="0"/>
    </xf>
    <xf numFmtId="49" fontId="5" fillId="0" borderId="21" xfId="0" applyNumberFormat="1" applyFont="1" applyFill="1" applyBorder="1" applyAlignment="1" applyProtection="1">
      <alignment horizontal="left" vertical="center" wrapText="1"/>
      <protection locked="0"/>
    </xf>
    <xf numFmtId="49" fontId="5" fillId="0" borderId="11" xfId="0" applyNumberFormat="1" applyFont="1" applyFill="1" applyBorder="1" applyAlignment="1" applyProtection="1">
      <alignment horizontal="left" vertical="center" wrapText="1"/>
      <protection locked="0"/>
    </xf>
    <xf numFmtId="49" fontId="17" fillId="4" borderId="8" xfId="16" applyNumberFormat="1" applyFont="1" applyFill="1" applyBorder="1" applyAlignment="1" applyProtection="1">
      <alignment vertical="center"/>
      <protection locked="0"/>
    </xf>
    <xf numFmtId="49" fontId="5" fillId="0" borderId="0" xfId="16" applyNumberFormat="1" applyFill="1" applyAlignment="1" applyProtection="1">
      <alignment horizontal="center"/>
      <protection locked="0"/>
    </xf>
    <xf numFmtId="49" fontId="35" fillId="0" borderId="0" xfId="31" applyNumberFormat="1" applyFont="1" applyBorder="1"/>
    <xf numFmtId="49" fontId="35" fillId="0" borderId="0" xfId="8" applyNumberFormat="1" applyFont="1" applyBorder="1" applyAlignment="1">
      <alignment horizontal="center"/>
    </xf>
    <xf numFmtId="49" fontId="36" fillId="0" borderId="0" xfId="8" applyNumberFormat="1" applyFont="1" applyBorder="1" applyAlignment="1">
      <alignment horizontal="center"/>
    </xf>
    <xf numFmtId="49" fontId="35" fillId="0" borderId="27" xfId="8" applyNumberFormat="1" applyFont="1" applyBorder="1" applyAlignment="1">
      <alignment horizontal="left" wrapText="1"/>
    </xf>
    <xf numFmtId="49" fontId="35" fillId="0" borderId="27" xfId="31" applyNumberFormat="1" applyFont="1" applyBorder="1" applyAlignment="1">
      <alignment horizontal="center"/>
    </xf>
    <xf numFmtId="49" fontId="35" fillId="5" borderId="27" xfId="31" applyNumberFormat="1" applyFont="1" applyFill="1" applyBorder="1" applyAlignment="1">
      <alignment horizontal="center"/>
    </xf>
    <xf numFmtId="49" fontId="35" fillId="5" borderId="48" xfId="31" applyNumberFormat="1" applyFont="1" applyFill="1" applyBorder="1" applyAlignment="1">
      <alignment horizontal="center"/>
    </xf>
    <xf numFmtId="49" fontId="35" fillId="13" borderId="0" xfId="31" quotePrefix="1" applyNumberFormat="1" applyFont="1" applyFill="1" applyBorder="1" applyAlignment="1">
      <alignment horizontal="center"/>
    </xf>
    <xf numFmtId="49" fontId="35" fillId="5" borderId="27" xfId="31" quotePrefix="1" applyNumberFormat="1" applyFont="1" applyFill="1" applyBorder="1" applyAlignment="1">
      <alignment horizontal="center"/>
    </xf>
    <xf numFmtId="49" fontId="35" fillId="5" borderId="11" xfId="31" quotePrefix="1" applyNumberFormat="1" applyFont="1" applyFill="1" applyBorder="1" applyAlignment="1">
      <alignment horizontal="center"/>
    </xf>
    <xf numFmtId="49" fontId="35" fillId="5" borderId="11" xfId="31" applyNumberFormat="1" applyFont="1" applyFill="1" applyBorder="1" applyAlignment="1">
      <alignment horizontal="center"/>
    </xf>
    <xf numFmtId="49" fontId="35" fillId="5" borderId="39" xfId="31" quotePrefix="1" applyNumberFormat="1" applyFont="1" applyFill="1" applyBorder="1" applyAlignment="1">
      <alignment horizontal="center"/>
    </xf>
    <xf numFmtId="49" fontId="35" fillId="5" borderId="0" xfId="31" quotePrefix="1" applyNumberFormat="1" applyFont="1" applyFill="1" applyBorder="1" applyAlignment="1">
      <alignment horizontal="center"/>
    </xf>
    <xf numFmtId="49" fontId="35" fillId="5" borderId="39" xfId="31" applyNumberFormat="1" applyFont="1" applyFill="1" applyBorder="1" applyAlignment="1">
      <alignment horizontal="center"/>
    </xf>
    <xf numFmtId="49" fontId="35" fillId="5" borderId="0" xfId="31" applyNumberFormat="1" applyFont="1" applyFill="1" applyBorder="1" applyAlignment="1">
      <alignment horizontal="center"/>
    </xf>
    <xf numFmtId="49" fontId="35" fillId="0" borderId="49" xfId="31" applyNumberFormat="1" applyFont="1" applyBorder="1" applyAlignment="1">
      <alignment horizontal="center"/>
    </xf>
    <xf numFmtId="49" fontId="35" fillId="0" borderId="42" xfId="31" quotePrefix="1" applyNumberFormat="1" applyFont="1" applyBorder="1" applyAlignment="1">
      <alignment horizontal="center"/>
    </xf>
    <xf numFmtId="49" fontId="35" fillId="0" borderId="0" xfId="31" applyNumberFormat="1" applyFont="1" applyBorder="1" applyAlignment="1">
      <alignment horizontal="left"/>
    </xf>
    <xf numFmtId="49" fontId="22" fillId="0" borderId="0" xfId="6" applyNumberFormat="1" applyFont="1"/>
    <xf numFmtId="49" fontId="22" fillId="0" borderId="0" xfId="6" applyNumberFormat="1" applyFont="1" applyAlignment="1" applyProtection="1">
      <alignment horizontal="left"/>
    </xf>
    <xf numFmtId="49" fontId="22" fillId="0" borderId="0" xfId="6" applyNumberFormat="1" applyFont="1" applyAlignment="1" applyProtection="1">
      <alignment horizontal="right"/>
    </xf>
    <xf numFmtId="49" fontId="22" fillId="21" borderId="0" xfId="6" applyNumberFormat="1" applyFont="1" applyFill="1"/>
    <xf numFmtId="49" fontId="22" fillId="21" borderId="0" xfId="6" applyNumberFormat="1" applyFont="1" applyFill="1" applyAlignment="1" applyProtection="1">
      <alignment horizontal="right"/>
    </xf>
    <xf numFmtId="49" fontId="22" fillId="22" borderId="0" xfId="6" applyNumberFormat="1" applyFont="1" applyFill="1" applyAlignment="1" applyProtection="1">
      <alignment horizontal="left"/>
    </xf>
    <xf numFmtId="49" fontId="22" fillId="22" borderId="0" xfId="6" applyNumberFormat="1" applyFont="1" applyFill="1" applyAlignment="1" applyProtection="1">
      <alignment horizontal="right"/>
    </xf>
    <xf numFmtId="49" fontId="22" fillId="0" borderId="0" xfId="6" applyNumberFormat="1" applyFont="1" applyFill="1" applyAlignment="1" applyProtection="1"/>
    <xf numFmtId="49" fontId="22" fillId="0" borderId="0" xfId="6" applyNumberFormat="1" applyFont="1" applyProtection="1"/>
    <xf numFmtId="1" fontId="22" fillId="0" borderId="0" xfId="9" applyNumberFormat="1" applyFont="1" applyAlignment="1">
      <alignment vertical="center"/>
    </xf>
    <xf numFmtId="9" fontId="22" fillId="0" borderId="0" xfId="9" applyNumberFormat="1" applyFont="1" applyAlignment="1">
      <alignment vertical="center"/>
    </xf>
    <xf numFmtId="1" fontId="17" fillId="0" borderId="36" xfId="16" applyNumberFormat="1" applyFont="1" applyFill="1" applyBorder="1" applyAlignment="1" applyProtection="1">
      <alignment horizontal="center" vertical="center" textRotation="90" wrapText="1"/>
      <protection locked="0"/>
    </xf>
    <xf numFmtId="1" fontId="5" fillId="31" borderId="26" xfId="16" applyNumberFormat="1" applyFont="1" applyFill="1" applyBorder="1" applyAlignment="1" applyProtection="1">
      <alignment horizontal="center" vertical="center" wrapText="1"/>
      <protection locked="0"/>
    </xf>
    <xf numFmtId="1" fontId="5" fillId="4" borderId="7" xfId="16" applyNumberFormat="1" applyFont="1" applyFill="1" applyBorder="1" applyAlignment="1" applyProtection="1">
      <alignment horizontal="center" vertical="center" wrapText="1"/>
      <protection locked="0"/>
    </xf>
    <xf numFmtId="1" fontId="5" fillId="0" borderId="26" xfId="16" applyNumberFormat="1" applyFont="1" applyFill="1" applyBorder="1" applyAlignment="1" applyProtection="1">
      <alignment horizontal="center" vertical="center" wrapText="1"/>
      <protection locked="0"/>
    </xf>
    <xf numFmtId="1" fontId="5" fillId="31" borderId="23" xfId="16" applyNumberFormat="1" applyFont="1" applyFill="1" applyBorder="1" applyAlignment="1" applyProtection="1">
      <alignment horizontal="center" vertical="center" wrapText="1"/>
      <protection locked="0"/>
    </xf>
    <xf numFmtId="2" fontId="22" fillId="0" borderId="0" xfId="9" applyNumberFormat="1" applyFont="1" applyAlignment="1">
      <alignment horizontal="centerContinuous" vertical="center"/>
    </xf>
    <xf numFmtId="2" fontId="22" fillId="0" borderId="0" xfId="9" quotePrefix="1" applyNumberFormat="1" applyFont="1" applyAlignment="1">
      <alignment vertical="center"/>
    </xf>
    <xf numFmtId="180" fontId="22" fillId="0" borderId="0" xfId="9" quotePrefix="1" applyNumberFormat="1" applyFont="1" applyBorder="1" applyAlignment="1">
      <alignment horizontal="center" vertical="center"/>
    </xf>
    <xf numFmtId="8" fontId="22" fillId="0" borderId="0" xfId="9" applyNumberFormat="1" applyFont="1" applyBorder="1" applyAlignment="1">
      <alignment horizontal="center" vertical="center"/>
    </xf>
    <xf numFmtId="188" fontId="22" fillId="0" borderId="0" xfId="9" applyNumberFormat="1" applyFont="1" applyBorder="1" applyAlignment="1">
      <alignment horizontal="center" vertical="center"/>
    </xf>
    <xf numFmtId="180" fontId="22" fillId="0" borderId="0" xfId="9" applyNumberFormat="1" applyFont="1" applyBorder="1" applyAlignment="1">
      <alignment vertical="center"/>
    </xf>
    <xf numFmtId="2" fontId="22" fillId="0" borderId="12" xfId="7" applyNumberFormat="1" applyFont="1" applyFill="1" applyBorder="1" applyAlignment="1">
      <alignment wrapText="1"/>
    </xf>
    <xf numFmtId="1" fontId="17" fillId="0" borderId="13" xfId="16" applyNumberFormat="1" applyFont="1" applyFill="1" applyBorder="1" applyAlignment="1" applyProtection="1">
      <alignment vertical="center"/>
      <protection locked="0"/>
    </xf>
    <xf numFmtId="1" fontId="5" fillId="0" borderId="24" xfId="32" applyNumberFormat="1" applyFont="1" applyFill="1" applyBorder="1" applyAlignment="1" applyProtection="1">
      <alignment horizontal="center" vertical="center" wrapText="1"/>
      <protection locked="0"/>
    </xf>
    <xf numFmtId="1" fontId="5" fillId="0" borderId="14" xfId="16" applyNumberFormat="1" applyFont="1" applyFill="1" applyBorder="1" applyAlignment="1" applyProtection="1">
      <protection locked="0"/>
    </xf>
    <xf numFmtId="1" fontId="17" fillId="0" borderId="32" xfId="16" applyNumberFormat="1" applyFont="1" applyFill="1" applyBorder="1" applyAlignment="1" applyProtection="1">
      <alignment horizontal="center" vertical="center"/>
      <protection locked="0"/>
    </xf>
    <xf numFmtId="1" fontId="5" fillId="4" borderId="11" xfId="16" applyNumberFormat="1" applyFont="1" applyFill="1" applyBorder="1" applyAlignment="1" applyProtection="1">
      <alignment horizontal="left" vertical="center" wrapText="1"/>
      <protection locked="0"/>
    </xf>
    <xf numFmtId="1" fontId="5" fillId="0" borderId="11" xfId="32" applyNumberFormat="1" applyFont="1" applyFill="1" applyBorder="1" applyAlignment="1" applyProtection="1">
      <alignment horizontal="left" vertical="center" wrapText="1"/>
      <protection locked="0"/>
    </xf>
    <xf numFmtId="1" fontId="5" fillId="0" borderId="53" xfId="32" applyNumberFormat="1" applyFont="1" applyFill="1" applyBorder="1" applyAlignment="1" applyProtection="1">
      <alignment horizontal="center" vertical="center" wrapText="1"/>
      <protection locked="0"/>
    </xf>
    <xf numFmtId="1" fontId="5" fillId="17" borderId="0" xfId="16" applyNumberFormat="1" applyFill="1" applyAlignment="1" applyProtection="1">
      <alignment horizontal="center"/>
      <protection locked="0"/>
    </xf>
    <xf numFmtId="49" fontId="23" fillId="0" borderId="0" xfId="8" applyNumberFormat="1" applyFont="1" applyFill="1" applyAlignment="1" applyProtection="1">
      <protection locked="0"/>
    </xf>
    <xf numFmtId="49" fontId="17" fillId="0" borderId="36" xfId="16" applyNumberFormat="1" applyFont="1" applyFill="1" applyBorder="1" applyAlignment="1" applyProtection="1">
      <alignment horizontal="center" vertical="center" wrapText="1"/>
      <protection locked="0"/>
    </xf>
    <xf numFmtId="49" fontId="5" fillId="20" borderId="24" xfId="32" applyNumberFormat="1" applyFont="1" applyFill="1" applyBorder="1" applyAlignment="1" applyProtection="1">
      <alignment horizontal="center" vertical="center" wrapText="1"/>
      <protection locked="0"/>
    </xf>
    <xf numFmtId="49" fontId="5" fillId="32" borderId="24" xfId="32" applyNumberFormat="1" applyFont="1" applyFill="1" applyBorder="1" applyAlignment="1" applyProtection="1">
      <alignment horizontal="center" vertical="center" wrapText="1"/>
      <protection locked="0"/>
    </xf>
    <xf numFmtId="49" fontId="5" fillId="4" borderId="42" xfId="16" applyNumberFormat="1" applyFont="1" applyFill="1" applyBorder="1" applyAlignment="1" applyProtection="1">
      <alignment horizontal="center" vertical="center" wrapText="1"/>
      <protection locked="0"/>
    </xf>
    <xf numFmtId="49" fontId="5" fillId="4" borderId="43" xfId="16" applyNumberFormat="1" applyFont="1" applyFill="1" applyBorder="1" applyAlignment="1" applyProtection="1">
      <alignment horizontal="center" vertical="center" wrapText="1"/>
      <protection locked="0"/>
    </xf>
    <xf numFmtId="49" fontId="5" fillId="17" borderId="43" xfId="16" applyNumberFormat="1" applyFont="1" applyFill="1" applyBorder="1" applyAlignment="1" applyProtection="1">
      <alignment horizontal="center" vertical="center" wrapText="1"/>
      <protection locked="0"/>
    </xf>
    <xf numFmtId="49" fontId="5" fillId="17" borderId="27" xfId="16" applyNumberFormat="1" applyFont="1" applyFill="1" applyBorder="1" applyAlignment="1" applyProtection="1">
      <alignment horizontal="center" vertical="center" wrapText="1"/>
      <protection locked="0"/>
    </xf>
    <xf numFmtId="49" fontId="5" fillId="20" borderId="48" xfId="16" applyNumberFormat="1" applyFont="1" applyFill="1" applyBorder="1" applyAlignment="1" applyProtection="1">
      <alignment horizontal="center" vertical="center" wrapText="1"/>
      <protection locked="0"/>
    </xf>
    <xf numFmtId="49" fontId="5" fillId="17" borderId="11" xfId="16" applyNumberFormat="1" applyFont="1" applyFill="1" applyBorder="1" applyAlignment="1" applyProtection="1">
      <alignment horizontal="center" vertical="center" wrapText="1"/>
      <protection locked="0"/>
    </xf>
    <xf numFmtId="49" fontId="5" fillId="17" borderId="0" xfId="16" applyNumberFormat="1" applyFill="1" applyProtection="1">
      <protection locked="0"/>
    </xf>
    <xf numFmtId="49" fontId="22" fillId="0" borderId="0" xfId="9" applyNumberFormat="1" applyFont="1"/>
    <xf numFmtId="49" fontId="0" fillId="0" borderId="0" xfId="0" applyNumberFormat="1"/>
    <xf numFmtId="49" fontId="5" fillId="0" borderId="14" xfId="16" applyNumberFormat="1" applyFont="1" applyFill="1" applyBorder="1" applyAlignment="1" applyProtection="1">
      <alignment vertical="center"/>
      <protection locked="0"/>
    </xf>
    <xf numFmtId="49" fontId="17" fillId="0" borderId="31" xfId="16" applyNumberFormat="1" applyFont="1" applyFill="1" applyBorder="1" applyAlignment="1" applyProtection="1">
      <alignment horizontal="center" vertical="center" wrapText="1"/>
      <protection locked="0"/>
    </xf>
    <xf numFmtId="49" fontId="5" fillId="0" borderId="24" xfId="32" applyNumberFormat="1" applyFont="1" applyFill="1" applyBorder="1" applyAlignment="1" applyProtection="1">
      <alignment horizontal="center" vertical="center" wrapText="1"/>
      <protection locked="0"/>
    </xf>
    <xf numFmtId="49" fontId="5" fillId="4" borderId="27" xfId="16" applyNumberFormat="1" applyFont="1" applyFill="1" applyBorder="1" applyAlignment="1" applyProtection="1">
      <alignment horizontal="center" vertical="center" wrapText="1"/>
      <protection locked="0"/>
    </xf>
    <xf numFmtId="49" fontId="5" fillId="0" borderId="27" xfId="32" applyNumberFormat="1" applyFont="1" applyFill="1" applyBorder="1" applyAlignment="1" applyProtection="1">
      <alignment horizontal="center" vertical="center" wrapText="1"/>
      <protection locked="0"/>
    </xf>
    <xf numFmtId="49" fontId="5" fillId="0" borderId="27" xfId="0" applyNumberFormat="1" applyFont="1" applyBorder="1" applyAlignment="1">
      <alignment horizontal="center"/>
    </xf>
    <xf numFmtId="49" fontId="5" fillId="0" borderId="53" xfId="32" applyNumberFormat="1" applyFont="1" applyFill="1" applyBorder="1" applyAlignment="1" applyProtection="1">
      <alignment horizontal="center" vertical="center" wrapText="1"/>
      <protection locked="0"/>
    </xf>
    <xf numFmtId="49" fontId="5" fillId="17" borderId="0" xfId="16" applyNumberFormat="1" applyFill="1" applyAlignment="1" applyProtection="1">
      <alignment horizontal="center"/>
      <protection locked="0"/>
    </xf>
    <xf numFmtId="1" fontId="5" fillId="32" borderId="24" xfId="32" applyNumberFormat="1" applyFont="1" applyFill="1" applyBorder="1" applyAlignment="1" applyProtection="1">
      <alignment horizontal="center" vertical="center" wrapText="1"/>
      <protection locked="0"/>
    </xf>
    <xf numFmtId="1" fontId="5" fillId="4" borderId="27" xfId="16" applyNumberFormat="1" applyFont="1" applyFill="1" applyBorder="1" applyAlignment="1" applyProtection="1">
      <alignment horizontal="center" vertical="center" wrapText="1"/>
      <protection locked="0"/>
    </xf>
    <xf numFmtId="1" fontId="5" fillId="21" borderId="24" xfId="32" applyNumberFormat="1" applyFont="1" applyFill="1" applyBorder="1" applyAlignment="1" applyProtection="1">
      <alignment horizontal="center" vertical="center" wrapText="1"/>
      <protection locked="0"/>
    </xf>
    <xf numFmtId="1" fontId="5" fillId="16" borderId="24" xfId="32" applyNumberFormat="1" applyFont="1" applyFill="1" applyBorder="1" applyAlignment="1" applyProtection="1">
      <alignment horizontal="center" vertical="center" wrapText="1"/>
      <protection locked="0"/>
    </xf>
    <xf numFmtId="1" fontId="5" fillId="20" borderId="24" xfId="32" applyNumberFormat="1" applyFont="1" applyFill="1" applyBorder="1" applyAlignment="1" applyProtection="1">
      <alignment horizontal="center" vertical="center" wrapText="1"/>
      <protection locked="0"/>
    </xf>
    <xf numFmtId="1" fontId="5" fillId="4" borderId="42" xfId="16" applyNumberFormat="1" applyFont="1" applyFill="1" applyBorder="1" applyAlignment="1" applyProtection="1">
      <alignment horizontal="center" vertical="center" wrapText="1"/>
      <protection locked="0"/>
    </xf>
    <xf numFmtId="1" fontId="5" fillId="17" borderId="43" xfId="16" applyNumberFormat="1" applyFont="1" applyFill="1" applyBorder="1" applyAlignment="1" applyProtection="1">
      <alignment horizontal="center" vertical="center" wrapText="1"/>
      <protection locked="0"/>
    </xf>
    <xf numFmtId="1" fontId="5" fillId="17" borderId="27" xfId="16" applyNumberFormat="1" applyFont="1" applyFill="1" applyBorder="1" applyAlignment="1" applyProtection="1">
      <alignment horizontal="center" vertical="center" wrapText="1"/>
      <protection locked="0"/>
    </xf>
    <xf numFmtId="1" fontId="5" fillId="21" borderId="27" xfId="16" applyNumberFormat="1" applyFont="1" applyFill="1" applyBorder="1" applyAlignment="1" applyProtection="1">
      <alignment horizontal="center" vertical="center" wrapText="1"/>
      <protection locked="0"/>
    </xf>
    <xf numFmtId="1" fontId="5" fillId="16" borderId="27" xfId="16" applyNumberFormat="1" applyFont="1" applyFill="1" applyBorder="1" applyAlignment="1" applyProtection="1">
      <alignment horizontal="center" vertical="center" wrapText="1"/>
      <protection locked="0"/>
    </xf>
    <xf numFmtId="1" fontId="5" fillId="17" borderId="27" xfId="16" applyNumberFormat="1" applyFill="1" applyBorder="1" applyProtection="1">
      <protection locked="0"/>
    </xf>
    <xf numFmtId="1" fontId="22" fillId="9" borderId="27" xfId="9" applyNumberFormat="1" applyFont="1" applyFill="1" applyBorder="1" applyAlignment="1">
      <alignment horizontal="center"/>
    </xf>
    <xf numFmtId="49" fontId="17" fillId="0" borderId="33" xfId="16" applyNumberFormat="1" applyFont="1" applyFill="1" applyBorder="1" applyAlignment="1" applyProtection="1">
      <alignment horizontal="center" vertical="center"/>
      <protection locked="0"/>
    </xf>
    <xf numFmtId="49" fontId="5" fillId="4" borderId="35" xfId="16" applyNumberFormat="1" applyFont="1" applyFill="1" applyBorder="1" applyAlignment="1" applyProtection="1">
      <alignment horizontal="center" vertical="center" wrapText="1"/>
      <protection locked="0"/>
    </xf>
    <xf numFmtId="49" fontId="5" fillId="0" borderId="35" xfId="32" applyNumberFormat="1" applyFont="1" applyFill="1" applyBorder="1" applyAlignment="1" applyProtection="1">
      <alignment horizontal="center" vertical="center" wrapText="1"/>
      <protection locked="0"/>
    </xf>
    <xf numFmtId="49" fontId="5" fillId="17" borderId="0" xfId="16" applyNumberFormat="1" applyFill="1" applyBorder="1" applyAlignment="1" applyProtection="1">
      <alignment horizontal="right"/>
      <protection locked="0"/>
    </xf>
    <xf numFmtId="180" fontId="22" fillId="15" borderId="0" xfId="7" applyNumberFormat="1" applyFont="1" applyFill="1" applyAlignment="1">
      <alignment horizontal="left" wrapText="1"/>
    </xf>
    <xf numFmtId="49" fontId="22" fillId="9" borderId="0" xfId="7" applyNumberFormat="1" applyFont="1" applyFill="1" applyAlignment="1">
      <alignment horizontal="right" wrapText="1"/>
    </xf>
    <xf numFmtId="49" fontId="22" fillId="28" borderId="0" xfId="7" applyNumberFormat="1" applyFont="1" applyFill="1" applyBorder="1" applyAlignment="1">
      <alignment horizontal="right" wrapText="1"/>
    </xf>
    <xf numFmtId="49" fontId="22" fillId="29" borderId="0" xfId="7" applyNumberFormat="1" applyFont="1" applyFill="1" applyAlignment="1">
      <alignment horizontal="right" wrapText="1"/>
    </xf>
    <xf numFmtId="49" fontId="22" fillId="29" borderId="0" xfId="7" applyNumberFormat="1" applyFont="1" applyFill="1" applyBorder="1" applyAlignment="1">
      <alignment horizontal="right" wrapText="1"/>
    </xf>
    <xf numFmtId="49" fontId="22" fillId="20" borderId="0" xfId="7" applyNumberFormat="1" applyFont="1" applyFill="1" applyBorder="1" applyAlignment="1">
      <alignment horizontal="right" wrapText="1"/>
    </xf>
    <xf numFmtId="49" fontId="22" fillId="15" borderId="0" xfId="7" applyNumberFormat="1" applyFont="1" applyFill="1" applyBorder="1" applyAlignment="1">
      <alignment horizontal="right" wrapText="1"/>
    </xf>
    <xf numFmtId="49" fontId="22" fillId="15" borderId="0" xfId="7" applyNumberFormat="1" applyFont="1" applyFill="1" applyAlignment="1">
      <alignment horizontal="right" wrapText="1"/>
    </xf>
    <xf numFmtId="164" fontId="5" fillId="0" borderId="0" xfId="31" applyFont="1" applyBorder="1" applyAlignment="1">
      <alignment horizontal="center" textRotation="90"/>
    </xf>
    <xf numFmtId="164" fontId="5" fillId="0" borderId="0" xfId="31" applyFont="1" applyBorder="1"/>
    <xf numFmtId="164" fontId="5" fillId="0" borderId="0" xfId="0" applyFont="1" applyFill="1"/>
    <xf numFmtId="2" fontId="5" fillId="3" borderId="49" xfId="8" applyNumberFormat="1" applyFont="1" applyFill="1" applyBorder="1" applyAlignment="1">
      <alignment horizontal="center"/>
    </xf>
    <xf numFmtId="3" fontId="5" fillId="0" borderId="5" xfId="8" applyNumberFormat="1" applyFont="1" applyBorder="1" applyAlignment="1">
      <alignment horizontal="center"/>
    </xf>
    <xf numFmtId="2" fontId="5" fillId="3" borderId="51" xfId="8" applyNumberFormat="1" applyFont="1" applyFill="1" applyBorder="1" applyAlignment="1">
      <alignment horizontal="center"/>
    </xf>
    <xf numFmtId="164" fontId="5" fillId="0" borderId="1" xfId="31" applyFont="1" applyFill="1" applyBorder="1"/>
    <xf numFmtId="164" fontId="5" fillId="0" borderId="0" xfId="31" applyFont="1" applyFill="1" applyBorder="1"/>
    <xf numFmtId="2" fontId="5" fillId="3" borderId="49" xfId="31" applyNumberFormat="1" applyFont="1" applyFill="1" applyBorder="1" applyAlignment="1">
      <alignment horizontal="center"/>
    </xf>
    <xf numFmtId="164" fontId="5" fillId="0" borderId="1" xfId="31" applyFont="1" applyBorder="1"/>
    <xf numFmtId="2" fontId="5" fillId="33" borderId="5" xfId="31" applyNumberFormat="1" applyFont="1" applyFill="1" applyBorder="1"/>
    <xf numFmtId="2" fontId="5" fillId="0" borderId="5" xfId="31" applyNumberFormat="1" applyFont="1" applyBorder="1"/>
    <xf numFmtId="3" fontId="5" fillId="0" borderId="0" xfId="8" applyNumberFormat="1" applyFont="1" applyFill="1" applyBorder="1" applyAlignment="1">
      <alignment horizontal="center"/>
    </xf>
    <xf numFmtId="2" fontId="5" fillId="0" borderId="18" xfId="31" applyNumberFormat="1" applyFont="1" applyBorder="1"/>
    <xf numFmtId="3" fontId="5" fillId="0" borderId="1" xfId="8" applyNumberFormat="1" applyFont="1" applyFill="1" applyBorder="1" applyAlignment="1">
      <alignment horizontal="center"/>
    </xf>
    <xf numFmtId="164" fontId="5" fillId="13" borderId="0" xfId="0" applyFont="1" applyFill="1"/>
    <xf numFmtId="164" fontId="17" fillId="34" borderId="0" xfId="32" applyFont="1" applyFill="1"/>
    <xf numFmtId="164" fontId="5" fillId="34" borderId="0" xfId="0" applyFont="1" applyFill="1"/>
    <xf numFmtId="164" fontId="5" fillId="0" borderId="0" xfId="32" applyFont="1" applyBorder="1" applyAlignment="1">
      <alignment horizontal="center"/>
    </xf>
    <xf numFmtId="164" fontId="5" fillId="13" borderId="0" xfId="31" applyFont="1" applyFill="1" applyBorder="1"/>
    <xf numFmtId="3" fontId="5" fillId="13" borderId="0" xfId="8" applyNumberFormat="1" applyFont="1" applyFill="1" applyBorder="1" applyAlignment="1">
      <alignment horizontal="center"/>
    </xf>
    <xf numFmtId="164" fontId="5" fillId="34" borderId="0" xfId="32" applyFont="1" applyFill="1"/>
    <xf numFmtId="1" fontId="5" fillId="0" borderId="27" xfId="32" applyNumberFormat="1" applyFont="1" applyBorder="1"/>
    <xf numFmtId="1" fontId="5" fillId="0" borderId="0" xfId="32" applyNumberFormat="1" applyFont="1" applyBorder="1"/>
    <xf numFmtId="2" fontId="5" fillId="0" borderId="0" xfId="32" applyNumberFormat="1" applyFont="1" applyFill="1" applyBorder="1"/>
    <xf numFmtId="164" fontId="5" fillId="0" borderId="0" xfId="32" applyFont="1" applyFill="1" applyBorder="1"/>
    <xf numFmtId="164" fontId="41" fillId="0" borderId="0" xfId="32" applyFont="1" applyFill="1"/>
    <xf numFmtId="164" fontId="41" fillId="0" borderId="0" xfId="32" applyFont="1" applyBorder="1"/>
    <xf numFmtId="180" fontId="5" fillId="0" borderId="27" xfId="16" applyNumberFormat="1" applyFill="1" applyBorder="1" applyAlignment="1" applyProtection="1">
      <alignment vertical="center"/>
      <protection locked="0"/>
    </xf>
    <xf numFmtId="1" fontId="5" fillId="0" borderId="30" xfId="16" applyNumberFormat="1" applyFont="1" applyFill="1" applyBorder="1" applyAlignment="1" applyProtection="1">
      <alignment horizontal="center" vertical="center" wrapText="1"/>
      <protection locked="0"/>
    </xf>
    <xf numFmtId="49" fontId="5" fillId="0" borderId="31" xfId="16" applyNumberFormat="1" applyFont="1" applyFill="1" applyBorder="1" applyAlignment="1" applyProtection="1">
      <alignment horizontal="center" vertical="center" wrapText="1"/>
      <protection locked="0"/>
    </xf>
    <xf numFmtId="180" fontId="5" fillId="0" borderId="31" xfId="16" applyNumberFormat="1" applyFont="1" applyFill="1" applyBorder="1" applyAlignment="1" applyProtection="1">
      <alignment horizontal="left" vertical="center" wrapText="1"/>
      <protection locked="0"/>
    </xf>
    <xf numFmtId="2" fontId="5" fillId="0" borderId="31" xfId="16" applyNumberFormat="1" applyFont="1" applyFill="1" applyBorder="1" applyAlignment="1" applyProtection="1">
      <alignment vertical="center" wrapText="1"/>
      <protection locked="0"/>
    </xf>
    <xf numFmtId="167" fontId="5" fillId="0" borderId="14" xfId="16" applyNumberFormat="1" applyFill="1" applyBorder="1" applyAlignment="1" applyProtection="1">
      <alignment vertical="center" wrapText="1"/>
      <protection locked="0"/>
    </xf>
    <xf numFmtId="180" fontId="5" fillId="0" borderId="27" xfId="16" applyNumberFormat="1" applyFont="1" applyFill="1" applyBorder="1" applyAlignment="1" applyProtection="1">
      <alignment horizontal="left" vertical="center" wrapText="1"/>
      <protection locked="0"/>
    </xf>
    <xf numFmtId="2" fontId="5" fillId="0" borderId="27" xfId="16" applyNumberFormat="1" applyFont="1" applyFill="1" applyBorder="1" applyAlignment="1" applyProtection="1">
      <alignment vertical="center" wrapText="1"/>
      <protection locked="0"/>
    </xf>
    <xf numFmtId="167" fontId="5" fillId="0" borderId="27" xfId="16" applyNumberFormat="1" applyFill="1" applyBorder="1" applyAlignment="1" applyProtection="1">
      <alignment vertical="center" wrapText="1"/>
      <protection locked="0"/>
    </xf>
    <xf numFmtId="1" fontId="5" fillId="0" borderId="23" xfId="16" applyNumberFormat="1" applyFont="1" applyFill="1" applyBorder="1" applyAlignment="1" applyProtection="1">
      <alignment horizontal="center" vertical="center" wrapText="1"/>
      <protection locked="0"/>
    </xf>
    <xf numFmtId="49" fontId="5" fillId="0" borderId="24" xfId="16" applyNumberFormat="1" applyFont="1" applyFill="1" applyBorder="1" applyAlignment="1" applyProtection="1">
      <alignment horizontal="center" vertical="center" wrapText="1"/>
      <protection locked="0"/>
    </xf>
    <xf numFmtId="1" fontId="5" fillId="0" borderId="24" xfId="16" applyNumberFormat="1" applyFill="1" applyBorder="1" applyAlignment="1" applyProtection="1">
      <alignment vertical="center"/>
      <protection locked="0"/>
    </xf>
    <xf numFmtId="180" fontId="5" fillId="0" borderId="14" xfId="16" applyNumberFormat="1" applyFill="1" applyBorder="1" applyAlignment="1" applyProtection="1">
      <alignment horizontal="left" vertical="center"/>
      <protection locked="0"/>
    </xf>
    <xf numFmtId="2" fontId="5" fillId="0" borderId="24" xfId="16" applyNumberFormat="1" applyFont="1" applyFill="1" applyBorder="1" applyAlignment="1" applyProtection="1">
      <alignment vertical="center" wrapText="1"/>
      <protection locked="0"/>
    </xf>
    <xf numFmtId="167" fontId="5" fillId="0" borderId="24" xfId="16" applyNumberFormat="1" applyFill="1" applyBorder="1" applyAlignment="1" applyProtection="1">
      <alignment vertical="center" wrapText="1"/>
      <protection locked="0"/>
    </xf>
    <xf numFmtId="1" fontId="5" fillId="0" borderId="27" xfId="16" applyNumberFormat="1" applyFill="1" applyBorder="1" applyAlignment="1" applyProtection="1">
      <alignment vertical="center"/>
      <protection locked="0"/>
    </xf>
    <xf numFmtId="180" fontId="5" fillId="0" borderId="27" xfId="16" applyNumberFormat="1" applyFill="1" applyBorder="1" applyAlignment="1" applyProtection="1">
      <alignment horizontal="left" vertical="center"/>
      <protection locked="0"/>
    </xf>
    <xf numFmtId="167" fontId="5" fillId="0" borderId="0" xfId="16" applyNumberFormat="1" applyFill="1" applyBorder="1" applyAlignment="1" applyProtection="1">
      <alignment vertical="center"/>
      <protection locked="0"/>
    </xf>
    <xf numFmtId="167" fontId="5" fillId="0" borderId="27" xfId="16" applyNumberFormat="1" applyFont="1" applyFill="1" applyBorder="1" applyAlignment="1" applyProtection="1">
      <alignment vertical="center" wrapText="1"/>
      <protection locked="0"/>
    </xf>
    <xf numFmtId="167" fontId="5" fillId="0" borderId="27" xfId="16" applyNumberFormat="1" applyFill="1" applyBorder="1" applyAlignment="1" applyProtection="1">
      <alignment vertical="center"/>
      <protection locked="0"/>
    </xf>
    <xf numFmtId="1" fontId="5" fillId="0" borderId="27" xfId="16" applyNumberFormat="1" applyFill="1" applyBorder="1" applyAlignment="1" applyProtection="1">
      <alignment horizontal="right" vertical="center"/>
      <protection locked="0"/>
    </xf>
    <xf numFmtId="180" fontId="5" fillId="0" borderId="24" xfId="16" applyNumberFormat="1" applyFont="1" applyFill="1" applyBorder="1" applyAlignment="1" applyProtection="1">
      <alignment horizontal="left" vertical="center" wrapText="1"/>
      <protection locked="0"/>
    </xf>
    <xf numFmtId="1" fontId="5" fillId="0" borderId="24" xfId="16" applyNumberFormat="1" applyFill="1" applyBorder="1" applyAlignment="1" applyProtection="1">
      <alignment horizontal="right" vertical="center"/>
      <protection locked="0"/>
    </xf>
    <xf numFmtId="180" fontId="5" fillId="0" borderId="24" xfId="16" applyNumberFormat="1" applyFill="1" applyBorder="1" applyAlignment="1" applyProtection="1">
      <alignment horizontal="left" vertical="center"/>
      <protection locked="0"/>
    </xf>
    <xf numFmtId="180" fontId="5" fillId="0" borderId="39" xfId="0" applyNumberFormat="1" applyFont="1" applyFill="1" applyBorder="1" applyAlignment="1" applyProtection="1">
      <alignment horizontal="center" vertical="center" wrapText="1"/>
      <protection locked="0"/>
    </xf>
    <xf numFmtId="3" fontId="5" fillId="0" borderId="39" xfId="0" applyNumberFormat="1" applyFont="1" applyFill="1" applyBorder="1" applyAlignment="1" applyProtection="1">
      <alignment horizontal="center" vertical="center" wrapText="1"/>
      <protection locked="0"/>
    </xf>
    <xf numFmtId="1" fontId="5" fillId="0" borderId="53" xfId="16" applyNumberFormat="1" applyFont="1" applyFill="1" applyBorder="1" applyAlignment="1" applyProtection="1">
      <alignment horizontal="right" vertical="center" wrapText="1"/>
      <protection locked="0"/>
    </xf>
    <xf numFmtId="180" fontId="5" fillId="0" borderId="53" xfId="16" applyNumberFormat="1" applyFill="1" applyBorder="1" applyAlignment="1" applyProtection="1">
      <alignment vertical="center"/>
      <protection locked="0"/>
    </xf>
    <xf numFmtId="1" fontId="5" fillId="4" borderId="10" xfId="16" applyNumberFormat="1" applyFont="1" applyFill="1" applyBorder="1" applyAlignment="1" applyProtection="1">
      <alignment horizontal="center" vertical="center" wrapText="1"/>
      <protection locked="0"/>
    </xf>
    <xf numFmtId="182" fontId="5" fillId="4" borderId="10" xfId="16" applyNumberFormat="1" applyFont="1" applyFill="1" applyBorder="1" applyAlignment="1" applyProtection="1">
      <alignment horizontal="left" vertical="center" wrapText="1"/>
      <protection locked="0"/>
    </xf>
    <xf numFmtId="3" fontId="5" fillId="0" borderId="75" xfId="0" applyNumberFormat="1" applyFont="1" applyFill="1" applyBorder="1" applyAlignment="1" applyProtection="1">
      <alignment horizontal="center" vertical="center" wrapText="1"/>
      <protection locked="0"/>
    </xf>
    <xf numFmtId="168" fontId="5" fillId="0" borderId="39" xfId="0" applyNumberFormat="1" applyFont="1" applyFill="1" applyBorder="1" applyAlignment="1" applyProtection="1">
      <alignment horizontal="center" vertical="center" wrapText="1"/>
      <protection locked="0"/>
    </xf>
    <xf numFmtId="180" fontId="12" fillId="0" borderId="13" xfId="16" applyNumberFormat="1" applyFont="1" applyFill="1" applyBorder="1" applyAlignment="1" applyProtection="1">
      <alignment vertical="center"/>
      <protection locked="0"/>
    </xf>
    <xf numFmtId="180" fontId="12" fillId="0" borderId="14" xfId="16" applyNumberFormat="1" applyFont="1" applyFill="1" applyBorder="1" applyAlignment="1" applyProtection="1">
      <alignment vertical="center"/>
      <protection locked="0"/>
    </xf>
    <xf numFmtId="180" fontId="12" fillId="0" borderId="15" xfId="16" applyNumberFormat="1" applyFont="1" applyFill="1" applyBorder="1" applyAlignment="1" applyProtection="1">
      <alignment vertical="center"/>
      <protection locked="0"/>
    </xf>
    <xf numFmtId="49" fontId="5" fillId="0" borderId="1" xfId="0" applyNumberFormat="1" applyFont="1" applyFill="1" applyBorder="1" applyAlignment="1" applyProtection="1">
      <alignment horizontal="left" vertical="center" wrapText="1"/>
      <protection locked="0"/>
    </xf>
    <xf numFmtId="180" fontId="5" fillId="0" borderId="53" xfId="0" applyNumberFormat="1" applyFont="1" applyFill="1" applyBorder="1" applyAlignment="1" applyProtection="1">
      <alignment horizontal="left" vertical="center" wrapText="1"/>
      <protection locked="0"/>
    </xf>
    <xf numFmtId="180" fontId="5" fillId="0" borderId="53" xfId="0" applyNumberFormat="1" applyFont="1" applyFill="1" applyBorder="1" applyAlignment="1" applyProtection="1">
      <alignment horizontal="center" vertical="center" wrapText="1"/>
      <protection locked="0"/>
    </xf>
    <xf numFmtId="180" fontId="5" fillId="0" borderId="53" xfId="0" applyNumberFormat="1" applyFont="1" applyFill="1" applyBorder="1" applyAlignment="1" applyProtection="1">
      <alignment vertical="center" wrapText="1"/>
      <protection locked="0"/>
    </xf>
    <xf numFmtId="168" fontId="5" fillId="0" borderId="51" xfId="0" applyNumberFormat="1" applyFont="1" applyFill="1" applyBorder="1" applyAlignment="1" applyProtection="1">
      <alignment horizontal="center" vertical="center" wrapText="1"/>
      <protection locked="0"/>
    </xf>
    <xf numFmtId="182" fontId="5" fillId="0" borderId="53" xfId="0" applyNumberFormat="1" applyFont="1" applyFill="1" applyBorder="1" applyAlignment="1" applyProtection="1">
      <alignment horizontal="center" vertical="center" wrapText="1"/>
      <protection locked="0"/>
    </xf>
    <xf numFmtId="171" fontId="5" fillId="0" borderId="64" xfId="0" applyNumberFormat="1" applyFont="1" applyFill="1" applyBorder="1" applyAlignment="1" applyProtection="1">
      <alignment horizontal="center" vertical="center" wrapText="1"/>
      <protection locked="0"/>
    </xf>
    <xf numFmtId="3" fontId="5" fillId="0" borderId="51" xfId="0" applyNumberFormat="1" applyFont="1" applyFill="1" applyBorder="1" applyAlignment="1" applyProtection="1">
      <alignment horizontal="center" vertical="center" wrapText="1"/>
      <protection locked="0"/>
    </xf>
    <xf numFmtId="180" fontId="12" fillId="0" borderId="2" xfId="16" applyNumberFormat="1" applyFont="1" applyFill="1" applyBorder="1" applyAlignment="1" applyProtection="1">
      <alignment vertical="center"/>
      <protection locked="0"/>
    </xf>
    <xf numFmtId="49" fontId="5" fillId="0" borderId="3" xfId="16" applyNumberFormat="1" applyFont="1" applyFill="1" applyBorder="1" applyAlignment="1" applyProtection="1">
      <protection locked="0"/>
    </xf>
    <xf numFmtId="180" fontId="5" fillId="0" borderId="3" xfId="16" applyNumberFormat="1" applyFont="1" applyFill="1" applyBorder="1" applyAlignment="1" applyProtection="1">
      <alignment horizontal="left" vertical="center" wrapText="1"/>
      <protection locked="0"/>
    </xf>
    <xf numFmtId="180" fontId="12" fillId="0" borderId="3" xfId="16" applyNumberFormat="1" applyFont="1" applyFill="1" applyBorder="1" applyAlignment="1" applyProtection="1">
      <alignment vertical="center"/>
      <protection locked="0"/>
    </xf>
    <xf numFmtId="180" fontId="12" fillId="0" borderId="4" xfId="16" applyNumberFormat="1" applyFont="1" applyFill="1" applyBorder="1" applyAlignment="1" applyProtection="1">
      <alignment vertical="center"/>
      <protection locked="0"/>
    </xf>
    <xf numFmtId="1" fontId="5" fillId="0" borderId="24" xfId="16" applyNumberFormat="1" applyFont="1" applyFill="1" applyBorder="1" applyAlignment="1" applyProtection="1">
      <alignment horizontal="center" vertical="center" wrapText="1"/>
      <protection locked="0"/>
    </xf>
    <xf numFmtId="181" fontId="5" fillId="0" borderId="20" xfId="0" applyNumberFormat="1" applyFont="1" applyFill="1" applyBorder="1" applyAlignment="1" applyProtection="1">
      <alignment horizontal="right" vertical="center" wrapText="1"/>
      <protection locked="0"/>
    </xf>
    <xf numFmtId="181" fontId="5" fillId="0" borderId="76" xfId="0" applyNumberFormat="1" applyFont="1" applyFill="1" applyBorder="1" applyAlignment="1" applyProtection="1">
      <alignment horizontal="right" vertical="center" wrapText="1"/>
      <protection locked="0"/>
    </xf>
    <xf numFmtId="180" fontId="17" fillId="4" borderId="7" xfId="16" applyNumberFormat="1" applyFont="1" applyFill="1" applyBorder="1" applyAlignment="1" applyProtection="1">
      <alignment vertical="center"/>
      <protection locked="0"/>
    </xf>
    <xf numFmtId="181" fontId="5" fillId="0" borderId="18" xfId="0" applyNumberFormat="1" applyFont="1" applyFill="1" applyBorder="1" applyAlignment="1" applyProtection="1">
      <alignment horizontal="right" vertical="center" wrapText="1"/>
      <protection locked="0"/>
    </xf>
    <xf numFmtId="1" fontId="22" fillId="10" borderId="10" xfId="9" applyNumberFormat="1" applyFont="1" applyFill="1" applyBorder="1" applyAlignment="1">
      <alignment vertical="center"/>
    </xf>
    <xf numFmtId="1" fontId="23" fillId="10" borderId="10" xfId="9" applyNumberFormat="1" applyFont="1" applyFill="1" applyBorder="1" applyAlignment="1">
      <alignment horizontal="center" vertical="center"/>
    </xf>
    <xf numFmtId="5" fontId="22" fillId="0" borderId="0" xfId="9" applyNumberFormat="1" applyFont="1" applyAlignment="1">
      <alignment vertical="center"/>
    </xf>
    <xf numFmtId="180" fontId="22" fillId="0" borderId="0" xfId="9" applyFont="1" applyAlignment="1">
      <alignment vertical="center"/>
    </xf>
    <xf numFmtId="5" fontId="22" fillId="0" borderId="0" xfId="9" applyNumberFormat="1" applyFont="1" applyBorder="1" applyAlignment="1">
      <alignment vertical="center"/>
    </xf>
    <xf numFmtId="180" fontId="22" fillId="0" borderId="8" xfId="9" applyNumberFormat="1" applyFont="1" applyBorder="1" applyAlignment="1">
      <alignment vertical="center"/>
    </xf>
    <xf numFmtId="5" fontId="22" fillId="0" borderId="8" xfId="9" applyNumberFormat="1" applyFont="1" applyBorder="1" applyAlignment="1">
      <alignment vertical="center"/>
    </xf>
    <xf numFmtId="180" fontId="22" fillId="0" borderId="8" xfId="9" applyFont="1" applyBorder="1" applyAlignment="1">
      <alignment vertical="center"/>
    </xf>
    <xf numFmtId="171" fontId="22" fillId="0" borderId="0" xfId="9" applyNumberFormat="1" applyFont="1" applyBorder="1" applyAlignment="1">
      <alignment vertical="center"/>
    </xf>
    <xf numFmtId="180" fontId="22" fillId="0" borderId="0" xfId="9" applyFont="1" applyBorder="1" applyAlignment="1">
      <alignment vertical="center"/>
    </xf>
    <xf numFmtId="171" fontId="22" fillId="0" borderId="8" xfId="9" applyNumberFormat="1" applyFont="1" applyBorder="1" applyAlignment="1">
      <alignment vertical="center"/>
    </xf>
    <xf numFmtId="9" fontId="22" fillId="0" borderId="0" xfId="11" applyFont="1" applyAlignment="1">
      <alignment vertical="center"/>
    </xf>
    <xf numFmtId="170" fontId="22" fillId="0" borderId="0" xfId="9" applyNumberFormat="1" applyFont="1" applyAlignment="1">
      <alignment vertical="center"/>
    </xf>
    <xf numFmtId="7" fontId="22" fillId="0" borderId="0" xfId="9" applyNumberFormat="1" applyFont="1" applyAlignment="1">
      <alignment vertical="center"/>
    </xf>
    <xf numFmtId="5" fontId="22" fillId="0" borderId="0" xfId="9" applyNumberFormat="1" applyFont="1" applyFill="1" applyAlignment="1">
      <alignment vertical="center"/>
    </xf>
    <xf numFmtId="167" fontId="22" fillId="0" borderId="43" xfId="0" applyNumberFormat="1" applyFont="1" applyFill="1" applyBorder="1" applyAlignment="1">
      <alignment vertical="center"/>
    </xf>
    <xf numFmtId="180" fontId="32" fillId="8" borderId="13" xfId="0" applyNumberFormat="1" applyFont="1" applyFill="1" applyBorder="1" applyAlignment="1">
      <alignment vertical="center"/>
    </xf>
    <xf numFmtId="180" fontId="33" fillId="8" borderId="14" xfId="0" applyNumberFormat="1" applyFont="1" applyFill="1" applyBorder="1" applyAlignment="1">
      <alignment vertical="center"/>
    </xf>
    <xf numFmtId="180" fontId="33" fillId="8" borderId="65" xfId="0" applyNumberFormat="1" applyFont="1" applyFill="1" applyBorder="1" applyAlignment="1">
      <alignment vertical="center"/>
    </xf>
    <xf numFmtId="180" fontId="32" fillId="8" borderId="14" xfId="0" applyNumberFormat="1" applyFont="1" applyFill="1" applyBorder="1" applyAlignment="1">
      <alignment vertical="center"/>
    </xf>
    <xf numFmtId="180" fontId="33" fillId="8" borderId="15" xfId="0" applyNumberFormat="1" applyFont="1" applyFill="1" applyBorder="1" applyAlignment="1">
      <alignment vertical="center"/>
    </xf>
    <xf numFmtId="180" fontId="22" fillId="0" borderId="5" xfId="0" applyNumberFormat="1" applyFont="1" applyBorder="1" applyAlignment="1">
      <alignment vertical="center"/>
    </xf>
    <xf numFmtId="9" fontId="22" fillId="0" borderId="0" xfId="11" applyFont="1" applyFill="1" applyBorder="1" applyAlignment="1">
      <alignment vertical="center"/>
    </xf>
    <xf numFmtId="180" fontId="22" fillId="0" borderId="0" xfId="0" applyNumberFormat="1" applyFont="1" applyBorder="1" applyAlignment="1">
      <alignment vertical="center"/>
    </xf>
    <xf numFmtId="176" fontId="22" fillId="0" borderId="6" xfId="11" applyNumberFormat="1" applyFont="1" applyBorder="1" applyAlignment="1">
      <alignment vertical="center"/>
    </xf>
    <xf numFmtId="180" fontId="32" fillId="8" borderId="5" xfId="0" applyNumberFormat="1" applyFont="1" applyFill="1" applyBorder="1" applyAlignment="1">
      <alignment vertical="center"/>
    </xf>
    <xf numFmtId="180" fontId="33" fillId="8" borderId="0" xfId="0" applyNumberFormat="1" applyFont="1" applyFill="1" applyBorder="1" applyAlignment="1">
      <alignment vertical="center"/>
    </xf>
    <xf numFmtId="2" fontId="22" fillId="0" borderId="0" xfId="0" applyNumberFormat="1" applyFont="1" applyFill="1" applyBorder="1" applyAlignment="1">
      <alignment vertical="center"/>
    </xf>
    <xf numFmtId="180" fontId="23" fillId="0" borderId="0" xfId="0" applyNumberFormat="1" applyFont="1" applyBorder="1" applyAlignment="1">
      <alignment vertical="center"/>
    </xf>
    <xf numFmtId="170" fontId="22" fillId="0" borderId="0" xfId="0" applyNumberFormat="1" applyFont="1" applyFill="1" applyBorder="1" applyAlignment="1">
      <alignment vertical="center"/>
    </xf>
    <xf numFmtId="180" fontId="22" fillId="0" borderId="0" xfId="0" applyNumberFormat="1" applyFont="1" applyFill="1" applyBorder="1"/>
    <xf numFmtId="3" fontId="22" fillId="0" borderId="6" xfId="0" applyNumberFormat="1" applyFont="1" applyFill="1" applyBorder="1"/>
    <xf numFmtId="176" fontId="22" fillId="0" borderId="0" xfId="11" applyNumberFormat="1" applyFont="1" applyFill="1" applyBorder="1" applyAlignment="1">
      <alignment vertical="center"/>
    </xf>
    <xf numFmtId="9" fontId="22" fillId="0" borderId="6" xfId="11" applyFont="1" applyFill="1" applyBorder="1"/>
    <xf numFmtId="180" fontId="22" fillId="0" borderId="0" xfId="0" applyNumberFormat="1" applyFont="1" applyFill="1" applyBorder="1" applyAlignment="1">
      <alignment vertical="center"/>
    </xf>
    <xf numFmtId="3" fontId="22" fillId="0" borderId="6" xfId="0" applyNumberFormat="1" applyFont="1" applyFill="1" applyBorder="1" applyAlignment="1">
      <alignment vertical="center"/>
    </xf>
    <xf numFmtId="180" fontId="23" fillId="0" borderId="5" xfId="0" applyNumberFormat="1" applyFont="1" applyBorder="1" applyAlignment="1">
      <alignment vertical="center"/>
    </xf>
    <xf numFmtId="180" fontId="32" fillId="8" borderId="0" xfId="0" applyNumberFormat="1" applyFont="1" applyFill="1" applyBorder="1" applyAlignment="1">
      <alignment vertical="center"/>
    </xf>
    <xf numFmtId="9" fontId="22" fillId="0" borderId="6" xfId="11" applyFont="1" applyFill="1" applyBorder="1" applyAlignment="1">
      <alignment vertical="center"/>
    </xf>
    <xf numFmtId="180" fontId="22" fillId="0" borderId="6" xfId="0" applyNumberFormat="1" applyFont="1" applyBorder="1"/>
    <xf numFmtId="3" fontId="22" fillId="0" borderId="6" xfId="7" applyNumberFormat="1" applyFont="1" applyBorder="1" applyAlignment="1"/>
    <xf numFmtId="9" fontId="22" fillId="0" borderId="6" xfId="11" applyFont="1" applyBorder="1" applyAlignment="1"/>
    <xf numFmtId="180" fontId="33" fillId="8" borderId="6" xfId="0" applyNumberFormat="1" applyFont="1" applyFill="1" applyBorder="1" applyAlignment="1">
      <alignment vertical="center"/>
    </xf>
    <xf numFmtId="168" fontId="22" fillId="0" borderId="6" xfId="7" applyNumberFormat="1" applyFont="1" applyBorder="1" applyAlignment="1"/>
    <xf numFmtId="180" fontId="22" fillId="0" borderId="6" xfId="0" applyNumberFormat="1" applyFont="1" applyBorder="1" applyAlignment="1">
      <alignment vertical="center"/>
    </xf>
    <xf numFmtId="9" fontId="22" fillId="0" borderId="6" xfId="11" applyFont="1" applyBorder="1" applyAlignment="1">
      <alignment vertical="center"/>
    </xf>
    <xf numFmtId="180" fontId="22" fillId="0" borderId="0" xfId="0" applyNumberFormat="1" applyFont="1" applyBorder="1" applyAlignment="1">
      <alignment horizontal="right" vertical="center"/>
    </xf>
    <xf numFmtId="166" fontId="22" fillId="0" borderId="6" xfId="11" applyNumberFormat="1" applyFont="1" applyBorder="1" applyAlignment="1">
      <alignment vertical="center"/>
    </xf>
    <xf numFmtId="164" fontId="22" fillId="0" borderId="0" xfId="0" applyFont="1" applyBorder="1" applyAlignment="1">
      <alignment vertical="center"/>
    </xf>
    <xf numFmtId="180" fontId="22" fillId="0" borderId="7" xfId="0" applyNumberFormat="1" applyFont="1" applyBorder="1" applyAlignment="1">
      <alignment vertical="center"/>
    </xf>
    <xf numFmtId="180" fontId="22" fillId="0" borderId="8" xfId="0" applyNumberFormat="1" applyFont="1" applyBorder="1" applyAlignment="1">
      <alignment vertical="center"/>
    </xf>
    <xf numFmtId="180" fontId="22" fillId="0" borderId="60" xfId="0" applyNumberFormat="1" applyFont="1" applyBorder="1" applyAlignment="1">
      <alignment vertical="center"/>
    </xf>
    <xf numFmtId="176" fontId="22" fillId="0" borderId="60" xfId="11" applyNumberFormat="1" applyFont="1" applyBorder="1" applyAlignment="1">
      <alignment vertical="center"/>
    </xf>
    <xf numFmtId="180" fontId="22" fillId="0" borderId="8" xfId="0" applyNumberFormat="1" applyFont="1" applyBorder="1"/>
    <xf numFmtId="180" fontId="22" fillId="0" borderId="9" xfId="0" applyNumberFormat="1" applyFont="1" applyBorder="1"/>
    <xf numFmtId="164" fontId="35" fillId="0" borderId="8" xfId="12" applyFont="1" applyBorder="1"/>
    <xf numFmtId="164" fontId="36" fillId="15" borderId="14" xfId="12" applyFont="1" applyFill="1" applyBorder="1"/>
    <xf numFmtId="180" fontId="22" fillId="0" borderId="5" xfId="0" applyNumberFormat="1" applyFont="1" applyBorder="1"/>
    <xf numFmtId="164" fontId="35" fillId="0" borderId="13" xfId="12" applyFont="1" applyBorder="1"/>
    <xf numFmtId="3" fontId="35" fillId="0" borderId="14" xfId="13" applyNumberFormat="1" applyFont="1" applyFill="1" applyBorder="1" applyAlignment="1">
      <alignment horizontal="right"/>
    </xf>
    <xf numFmtId="4" fontId="35" fillId="0" borderId="15" xfId="13" applyNumberFormat="1" applyFont="1" applyFill="1" applyBorder="1" applyAlignment="1">
      <alignment horizontal="right"/>
    </xf>
    <xf numFmtId="3" fontId="35" fillId="0" borderId="8" xfId="13" applyNumberFormat="1" applyFont="1" applyFill="1" applyBorder="1" applyAlignment="1">
      <alignment horizontal="right"/>
    </xf>
    <xf numFmtId="4" fontId="35" fillId="0" borderId="9" xfId="13" applyNumberFormat="1" applyFont="1" applyFill="1" applyBorder="1" applyAlignment="1">
      <alignment horizontal="right"/>
    </xf>
    <xf numFmtId="164" fontId="35" fillId="0" borderId="18" xfId="12" applyFont="1" applyBorder="1"/>
    <xf numFmtId="3" fontId="35" fillId="0" borderId="1" xfId="13" applyNumberFormat="1" applyFont="1" applyFill="1" applyBorder="1" applyAlignment="1">
      <alignment horizontal="right"/>
    </xf>
    <xf numFmtId="4" fontId="35" fillId="0" borderId="1" xfId="13" applyNumberFormat="1" applyFont="1" applyFill="1" applyBorder="1" applyAlignment="1">
      <alignment horizontal="right"/>
    </xf>
    <xf numFmtId="180" fontId="22" fillId="0" borderId="18" xfId="0" applyNumberFormat="1" applyFont="1" applyBorder="1"/>
    <xf numFmtId="180" fontId="22" fillId="0" borderId="1" xfId="0" applyNumberFormat="1" applyFont="1" applyBorder="1"/>
    <xf numFmtId="180" fontId="22" fillId="0" borderId="19" xfId="0" applyNumberFormat="1" applyFont="1" applyBorder="1"/>
    <xf numFmtId="164" fontId="36" fillId="0" borderId="0" xfId="31" applyFont="1" applyBorder="1"/>
    <xf numFmtId="43" fontId="5" fillId="0" borderId="0" xfId="0" quotePrefix="1" applyNumberFormat="1" applyFont="1" applyFill="1" applyBorder="1" applyAlignment="1">
      <alignment horizontal="left"/>
    </xf>
    <xf numFmtId="166" fontId="5" fillId="0" borderId="27" xfId="32" applyNumberFormat="1" applyFont="1" applyBorder="1"/>
    <xf numFmtId="180" fontId="5" fillId="0" borderId="75" xfId="0" applyNumberFormat="1" applyFont="1" applyFill="1" applyBorder="1" applyAlignment="1" applyProtection="1">
      <alignment horizontal="center" vertical="center" wrapText="1"/>
      <protection locked="0"/>
    </xf>
    <xf numFmtId="1" fontId="5" fillId="0" borderId="0" xfId="0" applyNumberFormat="1" applyFont="1" applyAlignment="1">
      <alignment horizontal="right" vertical="center"/>
    </xf>
    <xf numFmtId="0" fontId="22" fillId="3" borderId="0" xfId="9" applyNumberFormat="1" applyFont="1" applyFill="1"/>
    <xf numFmtId="172" fontId="17" fillId="0" borderId="0" xfId="0" applyNumberFormat="1" applyFont="1" applyAlignment="1">
      <alignment horizontal="right"/>
    </xf>
    <xf numFmtId="177" fontId="22" fillId="0" borderId="0" xfId="7" applyNumberFormat="1" applyFont="1" applyAlignment="1"/>
    <xf numFmtId="164" fontId="41" fillId="0" borderId="0" xfId="0" applyFont="1"/>
    <xf numFmtId="164" fontId="9" fillId="10" borderId="0" xfId="0" applyFont="1" applyFill="1"/>
    <xf numFmtId="164" fontId="17" fillId="34" borderId="0" xfId="0" applyFont="1" applyFill="1"/>
    <xf numFmtId="164" fontId="11" fillId="10" borderId="0" xfId="0" applyFont="1" applyFill="1"/>
    <xf numFmtId="164" fontId="10" fillId="10" borderId="0" xfId="0" applyFont="1" applyFill="1"/>
    <xf numFmtId="164" fontId="9" fillId="0" borderId="0" xfId="0" applyFont="1" applyFill="1"/>
    <xf numFmtId="3" fontId="36" fillId="0" borderId="6" xfId="13" applyNumberFormat="1" applyFont="1" applyFill="1" applyBorder="1" applyAlignment="1">
      <alignment horizontal="right"/>
    </xf>
    <xf numFmtId="180" fontId="22" fillId="0" borderId="7" xfId="0" applyNumberFormat="1" applyFont="1" applyBorder="1"/>
    <xf numFmtId="180" fontId="35" fillId="0" borderId="9" xfId="0" applyNumberFormat="1" applyFont="1" applyBorder="1"/>
    <xf numFmtId="180" fontId="22" fillId="0" borderId="0" xfId="7" applyNumberFormat="1" applyFont="1" applyAlignment="1">
      <alignment horizontal="left" vertical="center" wrapText="1"/>
    </xf>
    <xf numFmtId="164" fontId="17" fillId="35" borderId="0" xfId="0" applyFont="1" applyFill="1"/>
    <xf numFmtId="164" fontId="9" fillId="35" borderId="0" xfId="0" applyFont="1" applyFill="1"/>
    <xf numFmtId="164" fontId="17" fillId="33" borderId="0" xfId="0" applyFont="1" applyFill="1"/>
    <xf numFmtId="167" fontId="22" fillId="0" borderId="0" xfId="10" applyNumberFormat="1" applyFont="1" applyAlignment="1">
      <alignment vertical="center"/>
    </xf>
    <xf numFmtId="43" fontId="5" fillId="31" borderId="27" xfId="1" applyFont="1" applyFill="1" applyBorder="1" applyAlignment="1" applyProtection="1">
      <alignment horizontal="center" vertical="center" wrapText="1"/>
      <protection locked="0"/>
    </xf>
    <xf numFmtId="180" fontId="0" fillId="0" borderId="27" xfId="0" applyNumberFormat="1" applyFill="1" applyBorder="1" applyAlignment="1" applyProtection="1">
      <alignment horizontal="center" vertical="center" wrapText="1"/>
      <protection locked="0"/>
    </xf>
    <xf numFmtId="180" fontId="5" fillId="0" borderId="27" xfId="16" applyNumberFormat="1" applyFill="1" applyBorder="1" applyAlignment="1" applyProtection="1">
      <alignment vertical="center" wrapText="1"/>
      <protection locked="0"/>
    </xf>
    <xf numFmtId="168" fontId="0" fillId="0" borderId="27" xfId="0" applyNumberFormat="1" applyFill="1" applyBorder="1" applyAlignment="1" applyProtection="1">
      <alignment horizontal="center" vertical="center" wrapText="1"/>
      <protection locked="0"/>
    </xf>
    <xf numFmtId="180" fontId="5" fillId="0" borderId="27" xfId="16" applyNumberFormat="1" applyFont="1" applyFill="1" applyBorder="1" applyAlignment="1" applyProtection="1">
      <alignment vertical="center" wrapText="1"/>
      <protection locked="0"/>
    </xf>
    <xf numFmtId="4" fontId="5" fillId="0" borderId="27" xfId="16" applyNumberFormat="1" applyFont="1" applyFill="1" applyBorder="1" applyAlignment="1" applyProtection="1">
      <alignment vertical="center" wrapText="1"/>
      <protection locked="0"/>
    </xf>
    <xf numFmtId="49" fontId="5" fillId="31" borderId="40" xfId="16" applyNumberFormat="1" applyFont="1" applyFill="1" applyBorder="1" applyAlignment="1" applyProtection="1">
      <alignment horizontal="center" vertical="center" wrapText="1"/>
      <protection locked="0"/>
    </xf>
    <xf numFmtId="44" fontId="22" fillId="3" borderId="0" xfId="2" applyFont="1" applyFill="1" applyAlignment="1">
      <alignment vertical="center"/>
    </xf>
    <xf numFmtId="1" fontId="22" fillId="0" borderId="0" xfId="9" applyNumberFormat="1" applyFont="1" applyBorder="1" applyAlignment="1">
      <alignment vertical="center"/>
    </xf>
    <xf numFmtId="170" fontId="22" fillId="0" borderId="0" xfId="9" applyNumberFormat="1" applyFont="1" applyBorder="1" applyAlignment="1">
      <alignment vertical="center"/>
    </xf>
    <xf numFmtId="167" fontId="50" fillId="0" borderId="0" xfId="0" applyNumberFormat="1" applyFont="1" applyAlignment="1">
      <alignment horizontal="right"/>
    </xf>
    <xf numFmtId="0" fontId="51" fillId="36" borderId="0" xfId="59" applyFill="1"/>
    <xf numFmtId="0" fontId="51" fillId="12" borderId="0" xfId="59" applyFill="1"/>
    <xf numFmtId="167" fontId="51" fillId="12" borderId="0" xfId="59" applyNumberFormat="1" applyFill="1"/>
    <xf numFmtId="164" fontId="22" fillId="37" borderId="0" xfId="0" applyFont="1" applyFill="1"/>
    <xf numFmtId="167" fontId="50" fillId="0" borderId="0" xfId="0" applyNumberFormat="1" applyFont="1"/>
    <xf numFmtId="0" fontId="52" fillId="36" borderId="0" xfId="59" applyFont="1" applyFill="1"/>
    <xf numFmtId="4" fontId="50" fillId="0" borderId="0" xfId="0" applyNumberFormat="1" applyFont="1"/>
    <xf numFmtId="164" fontId="5" fillId="36" borderId="0" xfId="0" applyFont="1" applyFill="1" applyAlignment="1">
      <alignment horizontal="right"/>
    </xf>
    <xf numFmtId="164" fontId="5" fillId="36" borderId="8" xfId="0" applyFont="1" applyFill="1" applyBorder="1"/>
    <xf numFmtId="164" fontId="5" fillId="36" borderId="0" xfId="0" applyFont="1" applyFill="1"/>
    <xf numFmtId="164" fontId="17" fillId="36" borderId="21" xfId="0" applyFont="1" applyFill="1" applyBorder="1"/>
    <xf numFmtId="164" fontId="5" fillId="36" borderId="21" xfId="0" applyFont="1" applyFill="1" applyBorder="1" applyAlignment="1">
      <alignment horizontal="right"/>
    </xf>
    <xf numFmtId="164" fontId="5" fillId="36" borderId="12" xfId="0" applyFont="1" applyFill="1" applyBorder="1"/>
    <xf numFmtId="164" fontId="17" fillId="36" borderId="0" xfId="0" applyFont="1" applyFill="1"/>
    <xf numFmtId="164" fontId="5" fillId="36" borderId="0" xfId="0" applyFont="1" applyFill="1" applyAlignment="1">
      <alignment horizontal="left"/>
    </xf>
    <xf numFmtId="164" fontId="17" fillId="36" borderId="12" xfId="0" applyFont="1" applyFill="1" applyBorder="1"/>
    <xf numFmtId="164" fontId="17" fillId="36" borderId="12" xfId="0" applyFont="1" applyFill="1" applyBorder="1" applyAlignment="1">
      <alignment horizontal="right"/>
    </xf>
    <xf numFmtId="164" fontId="5" fillId="36" borderId="1" xfId="0" applyFont="1" applyFill="1" applyBorder="1"/>
    <xf numFmtId="164" fontId="5" fillId="36" borderId="1" xfId="0" applyFont="1" applyFill="1" applyBorder="1" applyAlignment="1">
      <alignment horizontal="right"/>
    </xf>
    <xf numFmtId="164" fontId="17" fillId="36" borderId="11" xfId="0" applyFont="1" applyFill="1" applyBorder="1"/>
    <xf numFmtId="164" fontId="5" fillId="36" borderId="11" xfId="0" applyFont="1" applyFill="1" applyBorder="1" applyAlignment="1">
      <alignment horizontal="right"/>
    </xf>
    <xf numFmtId="164" fontId="5" fillId="0" borderId="0" xfId="0" applyFont="1" applyAlignment="1">
      <alignment horizontal="center"/>
    </xf>
    <xf numFmtId="164" fontId="8" fillId="0" borderId="0" xfId="0" applyFont="1" applyAlignment="1">
      <alignment horizontal="center"/>
    </xf>
    <xf numFmtId="180" fontId="23" fillId="10" borderId="2" xfId="7" applyNumberFormat="1" applyFont="1" applyFill="1" applyBorder="1" applyAlignment="1">
      <alignment horizontal="center" wrapText="1"/>
    </xf>
    <xf numFmtId="180" fontId="23" fillId="10" borderId="3" xfId="7" applyFont="1" applyFill="1" applyBorder="1" applyAlignment="1">
      <alignment horizontal="center" wrapText="1"/>
    </xf>
    <xf numFmtId="180" fontId="23" fillId="10" borderId="14" xfId="7" applyFont="1" applyFill="1" applyBorder="1" applyAlignment="1">
      <alignment horizontal="center" wrapText="1"/>
    </xf>
    <xf numFmtId="180" fontId="23" fillId="10" borderId="4" xfId="7" applyFont="1" applyFill="1" applyBorder="1" applyAlignment="1">
      <alignment horizontal="center" wrapText="1"/>
    </xf>
    <xf numFmtId="180" fontId="23" fillId="10" borderId="5" xfId="7" applyNumberFormat="1" applyFont="1" applyFill="1" applyBorder="1" applyAlignment="1">
      <alignment horizontal="center" wrapText="1"/>
    </xf>
    <xf numFmtId="180" fontId="23" fillId="10" borderId="0" xfId="7" applyFont="1" applyFill="1" applyBorder="1" applyAlignment="1">
      <alignment horizontal="center" wrapText="1"/>
    </xf>
    <xf numFmtId="180" fontId="23" fillId="10" borderId="6" xfId="7" applyFont="1" applyFill="1" applyBorder="1" applyAlignment="1">
      <alignment horizontal="center" wrapText="1"/>
    </xf>
    <xf numFmtId="180" fontId="23" fillId="10" borderId="62" xfId="7" applyNumberFormat="1" applyFont="1" applyFill="1" applyBorder="1" applyAlignment="1">
      <alignment horizontal="center" wrapText="1"/>
    </xf>
    <xf numFmtId="180" fontId="23" fillId="10" borderId="10" xfId="7" applyFont="1" applyFill="1" applyBorder="1" applyAlignment="1">
      <alignment horizontal="center" wrapText="1"/>
    </xf>
    <xf numFmtId="180" fontId="23" fillId="10" borderId="63" xfId="7" applyFont="1" applyFill="1" applyBorder="1" applyAlignment="1">
      <alignment horizontal="center" wrapText="1"/>
    </xf>
    <xf numFmtId="180" fontId="23" fillId="10" borderId="7" xfId="7" applyNumberFormat="1" applyFont="1" applyFill="1" applyBorder="1" applyAlignment="1">
      <alignment horizontal="center" wrapText="1"/>
    </xf>
    <xf numFmtId="180" fontId="23" fillId="10" borderId="8" xfId="7" applyFont="1" applyFill="1" applyBorder="1" applyAlignment="1">
      <alignment horizontal="center" wrapText="1"/>
    </xf>
    <xf numFmtId="180" fontId="23" fillId="10" borderId="9" xfId="7" applyFont="1" applyFill="1" applyBorder="1" applyAlignment="1">
      <alignment horizontal="center" wrapText="1"/>
    </xf>
    <xf numFmtId="180" fontId="17" fillId="0" borderId="2" xfId="16" applyNumberFormat="1" applyFont="1" applyBorder="1" applyAlignment="1" applyProtection="1">
      <alignment horizontal="center" vertical="center" textRotation="90"/>
      <protection locked="0"/>
    </xf>
    <xf numFmtId="180" fontId="17" fillId="0" borderId="67" xfId="16" applyNumberFormat="1" applyFont="1" applyBorder="1" applyAlignment="1" applyProtection="1">
      <alignment horizontal="center" vertical="center" textRotation="90"/>
      <protection locked="0"/>
    </xf>
    <xf numFmtId="164" fontId="35" fillId="25" borderId="12" xfId="31" applyFont="1" applyFill="1" applyBorder="1" applyAlignment="1">
      <alignment horizontal="center"/>
    </xf>
    <xf numFmtId="164" fontId="35" fillId="0" borderId="0" xfId="31" applyFont="1" applyBorder="1" applyAlignment="1">
      <alignment horizontal="center" textRotation="90"/>
    </xf>
    <xf numFmtId="164" fontId="35" fillId="26" borderId="12" xfId="31" applyFont="1" applyFill="1" applyBorder="1" applyAlignment="1">
      <alignment horizontal="center"/>
    </xf>
    <xf numFmtId="164" fontId="5" fillId="0" borderId="1" xfId="0" applyFont="1" applyBorder="1" applyAlignment="1">
      <alignment horizontal="center" vertical="center"/>
    </xf>
    <xf numFmtId="0" fontId="48" fillId="0" borderId="13" xfId="0" applyNumberFormat="1" applyFont="1" applyBorder="1" applyAlignment="1">
      <alignment horizontal="center" vertical="center"/>
    </xf>
    <xf numFmtId="0" fontId="0" fillId="0" borderId="15" xfId="0" applyNumberFormat="1" applyBorder="1" applyAlignment="1"/>
    <xf numFmtId="164" fontId="23" fillId="0" borderId="7" xfId="0" applyFont="1" applyBorder="1" applyAlignment="1"/>
    <xf numFmtId="164" fontId="23" fillId="0" borderId="9" xfId="0" applyFont="1" applyBorder="1" applyAlignment="1"/>
    <xf numFmtId="164" fontId="8" fillId="0" borderId="0" xfId="0" applyFont="1" applyAlignment="1">
      <alignment horizontal="center" vertical="center"/>
    </xf>
    <xf numFmtId="164" fontId="5" fillId="0" borderId="0" xfId="0" applyFont="1" applyAlignment="1">
      <alignment horizontal="center" vertical="center"/>
    </xf>
  </cellXfs>
  <cellStyles count="60">
    <cellStyle name="Comma" xfId="1" builtinId="3"/>
    <cellStyle name="Comma 2" xfId="15" xr:uid="{00000000-0005-0000-0000-000001000000}"/>
    <cellStyle name="Comma 2 2" xfId="41" xr:uid="{00000000-0005-0000-0000-000002000000}"/>
    <cellStyle name="Comma 3" xfId="38" xr:uid="{00000000-0005-0000-0000-000003000000}"/>
    <cellStyle name="Currency" xfId="2" builtinId="4"/>
    <cellStyle name="Currency 2" xfId="39" xr:uid="{00000000-0005-0000-0000-000005000000}"/>
    <cellStyle name="Hyperlink" xfId="3" builtinId="8"/>
    <cellStyle name="Normal" xfId="0" builtinId="0"/>
    <cellStyle name="Normal 10" xfId="35" xr:uid="{00000000-0005-0000-0000-000008000000}"/>
    <cellStyle name="Normal 10 2" xfId="58" xr:uid="{00000000-0005-0000-0000-000009000000}"/>
    <cellStyle name="Normal 11" xfId="37" xr:uid="{00000000-0005-0000-0000-00000A000000}"/>
    <cellStyle name="Normal 12" xfId="22" xr:uid="{00000000-0005-0000-0000-00000B000000}"/>
    <cellStyle name="Normal 12 2" xfId="47" xr:uid="{00000000-0005-0000-0000-00000C000000}"/>
    <cellStyle name="Normal 13" xfId="23" xr:uid="{00000000-0005-0000-0000-00000D000000}"/>
    <cellStyle name="Normal 13 2" xfId="48" xr:uid="{00000000-0005-0000-0000-00000E000000}"/>
    <cellStyle name="Normal 14" xfId="25" xr:uid="{00000000-0005-0000-0000-00000F000000}"/>
    <cellStyle name="Normal 14 2" xfId="50" xr:uid="{00000000-0005-0000-0000-000010000000}"/>
    <cellStyle name="Normal 15" xfId="26" xr:uid="{00000000-0005-0000-0000-000011000000}"/>
    <cellStyle name="Normal 15 2" xfId="51" xr:uid="{00000000-0005-0000-0000-000012000000}"/>
    <cellStyle name="Normal 16" xfId="27" xr:uid="{00000000-0005-0000-0000-000013000000}"/>
    <cellStyle name="Normal 16 2" xfId="52" xr:uid="{00000000-0005-0000-0000-000014000000}"/>
    <cellStyle name="Normal 17" xfId="28" xr:uid="{00000000-0005-0000-0000-000015000000}"/>
    <cellStyle name="Normal 17 2" xfId="53" xr:uid="{00000000-0005-0000-0000-000016000000}"/>
    <cellStyle name="Normal 18" xfId="29" xr:uid="{00000000-0005-0000-0000-000017000000}"/>
    <cellStyle name="Normal 18 2" xfId="54" xr:uid="{00000000-0005-0000-0000-000018000000}"/>
    <cellStyle name="Normal 19" xfId="30" xr:uid="{00000000-0005-0000-0000-000019000000}"/>
    <cellStyle name="Normal 19 2" xfId="55" xr:uid="{00000000-0005-0000-0000-00001A000000}"/>
    <cellStyle name="Normal 2" xfId="12" xr:uid="{00000000-0005-0000-0000-00001B000000}"/>
    <cellStyle name="Normal 2 2" xfId="32" xr:uid="{00000000-0005-0000-0000-00001C000000}"/>
    <cellStyle name="Normal 2 3" xfId="59" xr:uid="{B21D00E2-84A7-4B76-940C-0A747BF2FE56}"/>
    <cellStyle name="Normal 20" xfId="24" xr:uid="{00000000-0005-0000-0000-00001D000000}"/>
    <cellStyle name="Normal 20 2" xfId="34" xr:uid="{00000000-0005-0000-0000-00001E000000}"/>
    <cellStyle name="Normal 20 2 2" xfId="57" xr:uid="{00000000-0005-0000-0000-00001F000000}"/>
    <cellStyle name="Normal 20 3" xfId="49" xr:uid="{00000000-0005-0000-0000-000020000000}"/>
    <cellStyle name="Normal 21" xfId="36" xr:uid="{00000000-0005-0000-0000-000021000000}"/>
    <cellStyle name="Normal 3" xfId="16" xr:uid="{00000000-0005-0000-0000-000022000000}"/>
    <cellStyle name="Normal 4" xfId="18" xr:uid="{00000000-0005-0000-0000-000023000000}"/>
    <cellStyle name="Normal 4 2" xfId="43" xr:uid="{00000000-0005-0000-0000-000024000000}"/>
    <cellStyle name="Normal 5" xfId="31" xr:uid="{00000000-0005-0000-0000-000025000000}"/>
    <cellStyle name="Normal 6" xfId="17" xr:uid="{00000000-0005-0000-0000-000026000000}"/>
    <cellStyle name="Normal 6 2" xfId="42" xr:uid="{00000000-0005-0000-0000-000027000000}"/>
    <cellStyle name="Normal 7" xfId="19" xr:uid="{00000000-0005-0000-0000-000028000000}"/>
    <cellStyle name="Normal 7 2" xfId="44" xr:uid="{00000000-0005-0000-0000-000029000000}"/>
    <cellStyle name="Normal 8" xfId="20" xr:uid="{00000000-0005-0000-0000-00002A000000}"/>
    <cellStyle name="Normal 8 2" xfId="33" xr:uid="{00000000-0005-0000-0000-00002B000000}"/>
    <cellStyle name="Normal 8 2 2" xfId="56" xr:uid="{00000000-0005-0000-0000-00002C000000}"/>
    <cellStyle name="Normal 8 3" xfId="45" xr:uid="{00000000-0005-0000-0000-00002D000000}"/>
    <cellStyle name="Normal 9" xfId="21" xr:uid="{00000000-0005-0000-0000-00002E000000}"/>
    <cellStyle name="Normal 9 2" xfId="46" xr:uid="{00000000-0005-0000-0000-00002F000000}"/>
    <cellStyle name="Normal_R0303T" xfId="4" xr:uid="{00000000-0005-0000-0000-000030000000}"/>
    <cellStyle name="Normal_R9906A" xfId="5" xr:uid="{00000000-0005-0000-0000-000031000000}"/>
    <cellStyle name="Normal_R9906A 2" xfId="14" xr:uid="{00000000-0005-0000-0000-000032000000}"/>
    <cellStyle name="Normal_R9906A_Q" xfId="6" xr:uid="{00000000-0005-0000-0000-000033000000}"/>
    <cellStyle name="Normal_Sheet1" xfId="7" xr:uid="{00000000-0005-0000-0000-000034000000}"/>
    <cellStyle name="Normal_Sheet1 (2)" xfId="8" xr:uid="{00000000-0005-0000-0000-000035000000}"/>
    <cellStyle name="Normal_Sheet1 (2) 2" xfId="13" xr:uid="{00000000-0005-0000-0000-000036000000}"/>
    <cellStyle name="Normal_Sheet1 (3)" xfId="9" xr:uid="{00000000-0005-0000-0000-000037000000}"/>
    <cellStyle name="Normal_Sheet2" xfId="10" xr:uid="{00000000-0005-0000-0000-000038000000}"/>
    <cellStyle name="Percent" xfId="11" builtinId="5"/>
    <cellStyle name="Percent 2" xfId="40" xr:uid="{00000000-0005-0000-0000-00003A000000}"/>
  </cellStyles>
  <dxfs count="9">
    <dxf>
      <font>
        <color theme="2"/>
      </font>
    </dxf>
    <dxf>
      <font>
        <color theme="0" tint="-0.14996795556505021"/>
      </font>
    </dxf>
    <dxf>
      <font>
        <condense val="0"/>
        <extend val="0"/>
        <color indexed="10"/>
      </font>
    </dxf>
    <dxf>
      <font>
        <condense val="0"/>
        <extend val="0"/>
        <color indexed="22"/>
      </font>
    </dxf>
    <dxf>
      <font>
        <color theme="0" tint="-0.14996795556505021"/>
      </font>
    </dxf>
    <dxf>
      <font>
        <color theme="2"/>
      </font>
    </dxf>
    <dxf>
      <font>
        <color theme="0" tint="-0.14996795556505021"/>
      </font>
    </dxf>
    <dxf>
      <font>
        <condense val="0"/>
        <extend val="0"/>
        <color indexed="10"/>
      </font>
    </dxf>
    <dxf>
      <font>
        <condense val="0"/>
        <extend val="0"/>
        <color indexed="22"/>
      </font>
    </dxf>
  </dxfs>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4.4644714038128523E-2"/>
          <c:y val="0.21095052542324438"/>
          <c:w val="0.51885437596160056"/>
          <c:h val="0.71865198613853876"/>
        </c:manualLayout>
      </c:layout>
      <c:pieChart>
        <c:varyColors val="1"/>
        <c:ser>
          <c:idx val="0"/>
          <c:order val="0"/>
          <c:dLbls>
            <c:dLbl>
              <c:idx val="0"/>
              <c:spPr/>
              <c:txPr>
                <a:bodyPr/>
                <a:lstStyle/>
                <a:p>
                  <a:pPr>
                    <a:defRPr>
                      <a:solidFill>
                        <a:schemeClr val="bg1"/>
                      </a:solidFill>
                    </a:defRPr>
                  </a:pPr>
                  <a:endParaRPr lang="en-US"/>
                </a:p>
              </c:txPr>
              <c:showLegendKey val="0"/>
              <c:showVal val="0"/>
              <c:showCatName val="1"/>
              <c:showSerName val="0"/>
              <c:showPercent val="1"/>
              <c:showBubbleSize val="0"/>
              <c:extLst>
                <c:ext xmlns:c16="http://schemas.microsoft.com/office/drawing/2014/chart" uri="{C3380CC4-5D6E-409C-BE32-E72D297353CC}">
                  <c16:uniqueId val="{00000000-113E-46F6-A246-059B5D8FAC82}"/>
                </c:ext>
              </c:extLst>
            </c:dLbl>
            <c:dLbl>
              <c:idx val="2"/>
              <c:spPr/>
              <c:txPr>
                <a:bodyPr/>
                <a:lstStyle/>
                <a:p>
                  <a:pPr>
                    <a:defRPr>
                      <a:solidFill>
                        <a:schemeClr val="bg1"/>
                      </a:solidFill>
                    </a:defRPr>
                  </a:pPr>
                  <a:endParaRPr lang="en-US"/>
                </a:p>
              </c:txPr>
              <c:showLegendKey val="0"/>
              <c:showVal val="0"/>
              <c:showCatName val="1"/>
              <c:showSerName val="0"/>
              <c:showPercent val="1"/>
              <c:showBubbleSize val="0"/>
              <c:extLst>
                <c:ext xmlns:c16="http://schemas.microsoft.com/office/drawing/2014/chart" uri="{C3380CC4-5D6E-409C-BE32-E72D297353CC}">
                  <c16:uniqueId val="{00000001-113E-46F6-A246-059B5D8FAC82}"/>
                </c:ext>
              </c:extLst>
            </c:dLbl>
            <c:dLbl>
              <c:idx val="3"/>
              <c:layout>
                <c:manualLayout>
                  <c:x val="3.0763884150529712E-2"/>
                  <c:y val="2.7601204835588679E-2"/>
                </c:manualLayout>
              </c:layout>
              <c:spPr/>
              <c:txPr>
                <a:bodyPr/>
                <a:lstStyle/>
                <a:p>
                  <a:pPr>
                    <a:defRPr>
                      <a:solidFill>
                        <a:schemeClr val="tx1"/>
                      </a:solidFill>
                    </a:defRPr>
                  </a:pPr>
                  <a:endParaRPr lang="en-US"/>
                </a:p>
              </c:txPr>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113E-46F6-A246-059B5D8FAC82}"/>
                </c:ext>
              </c:extLst>
            </c:dLbl>
            <c:dLbl>
              <c:idx val="4"/>
              <c:layout>
                <c:manualLayout>
                  <c:x val="0.19042909064443331"/>
                  <c:y val="-8.136275589844442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13E-46F6-A246-059B5D8FAC82}"/>
                </c:ext>
              </c:extLst>
            </c:dLbl>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'Operating Summaries'!$Z$4:$Z$12</c:f>
              <c:strCache>
                <c:ptCount val="9"/>
                <c:pt idx="0">
                  <c:v>Condensing Turbine</c:v>
                </c:pt>
                <c:pt idx="1">
                  <c:v>Chiller condenser</c:v>
                </c:pt>
                <c:pt idx="2">
                  <c:v>Hydrolysis cooler</c:v>
                </c:pt>
                <c:pt idx="3">
                  <c:v>Hydrolyzate flash condenser</c:v>
                </c:pt>
                <c:pt idx="4">
                  <c:v>Pre-fermentation cooler</c:v>
                </c:pt>
                <c:pt idx="5">
                  <c:v>EtOH product cooler</c:v>
                </c:pt>
                <c:pt idx="6">
                  <c:v>Molsieve regeneration cooler</c:v>
                </c:pt>
                <c:pt idx="7">
                  <c:v>Enzyme production compressor</c:v>
                </c:pt>
                <c:pt idx="8">
                  <c:v>Beer column condenser</c:v>
                </c:pt>
              </c:strCache>
            </c:strRef>
          </c:cat>
          <c:val>
            <c:numRef>
              <c:f>'Operating Summaries'!$AB$4:$AB$12</c:f>
              <c:numCache>
                <c:formatCode>0.0%</c:formatCode>
                <c:ptCount val="9"/>
                <c:pt idx="0">
                  <c:v>0.51627070390533392</c:v>
                </c:pt>
                <c:pt idx="1">
                  <c:v>0.13628069584599184</c:v>
                </c:pt>
                <c:pt idx="2">
                  <c:v>0.11262998764796196</c:v>
                </c:pt>
                <c:pt idx="3">
                  <c:v>7.2246560496027803E-2</c:v>
                </c:pt>
                <c:pt idx="4">
                  <c:v>6.5793161608161913E-2</c:v>
                </c:pt>
                <c:pt idx="5">
                  <c:v>5.3583392345547327E-2</c:v>
                </c:pt>
                <c:pt idx="6">
                  <c:v>2.6353985559595408E-2</c:v>
                </c:pt>
                <c:pt idx="7">
                  <c:v>1.2082226464819162E-2</c:v>
                </c:pt>
                <c:pt idx="8">
                  <c:v>4.7592861265607599E-3</c:v>
                </c:pt>
              </c:numCache>
            </c:numRef>
          </c:val>
          <c:extLst>
            <c:ext xmlns:c16="http://schemas.microsoft.com/office/drawing/2014/chart" uri="{C3380CC4-5D6E-409C-BE32-E72D297353CC}">
              <c16:uniqueId val="{00000004-113E-46F6-A246-059B5D8FAC82}"/>
            </c:ext>
          </c:extLst>
        </c:ser>
        <c:dLbls>
          <c:showLegendKey val="0"/>
          <c:showVal val="0"/>
          <c:showCatName val="1"/>
          <c:showSerName val="0"/>
          <c:showPercent val="1"/>
          <c:showBubbleSize val="0"/>
          <c:showLeaderLines val="1"/>
        </c:dLbls>
        <c:firstSliceAng val="104"/>
      </c:pieChart>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25119423195648516"/>
          <c:y val="0.14509267503163473"/>
          <c:w val="0.58475527646644065"/>
          <c:h val="0.78657327563246648"/>
        </c:manualLayout>
      </c:layout>
      <c:pieChart>
        <c:varyColors val="1"/>
        <c:ser>
          <c:idx val="0"/>
          <c:order val="0"/>
          <c:dLbls>
            <c:dLbl>
              <c:idx val="0"/>
              <c:layout>
                <c:manualLayout>
                  <c:x val="0.14814488668634357"/>
                  <c:y val="-4.69934527798019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AB2A-47F0-9294-1EB9695030E5}"/>
                </c:ext>
              </c:extLst>
            </c:dLbl>
            <c:dLbl>
              <c:idx val="2"/>
              <c:layout>
                <c:manualLayout>
                  <c:x val="1.0182253327316261E-2"/>
                  <c:y val="-1.635381493740746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B2A-47F0-9294-1EB9695030E5}"/>
                </c:ext>
              </c:extLst>
            </c:dLbl>
            <c:dLbl>
              <c:idx val="3"/>
              <c:spPr/>
              <c:txPr>
                <a:bodyPr/>
                <a:lstStyle/>
                <a:p>
                  <a:pPr>
                    <a:defRPr>
                      <a:solidFill>
                        <a:schemeClr val="bg1"/>
                      </a:solidFill>
                    </a:defRPr>
                  </a:pPr>
                  <a:endParaRPr lang="en-US"/>
                </a:p>
              </c:txPr>
              <c:showLegendKey val="0"/>
              <c:showVal val="0"/>
              <c:showCatName val="1"/>
              <c:showSerName val="0"/>
              <c:showPercent val="1"/>
              <c:showBubbleSize val="0"/>
              <c:extLst>
                <c:ext xmlns:c16="http://schemas.microsoft.com/office/drawing/2014/chart" uri="{C3380CC4-5D6E-409C-BE32-E72D297353CC}">
                  <c16:uniqueId val="{00000002-AB2A-47F0-9294-1EB9695030E5}"/>
                </c:ext>
              </c:extLst>
            </c:dLbl>
            <c:dLbl>
              <c:idx val="4"/>
              <c:layout>
                <c:manualLayout>
                  <c:x val="-6.0481415857187124E-2"/>
                  <c:y val="-7.3653633120437838E-3"/>
                </c:manualLayout>
              </c:layout>
              <c:spPr/>
              <c:txPr>
                <a:bodyPr/>
                <a:lstStyle/>
                <a:p>
                  <a:pPr>
                    <a:defRPr>
                      <a:solidFill>
                        <a:sysClr val="windowText" lastClr="000000"/>
                      </a:solidFill>
                    </a:defRPr>
                  </a:pPr>
                  <a:endParaRPr lang="en-US"/>
                </a:p>
              </c:txPr>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B2A-47F0-9294-1EB9695030E5}"/>
                </c:ext>
              </c:extLst>
            </c:dLbl>
            <c:dLbl>
              <c:idx val="6"/>
              <c:layout>
                <c:manualLayout>
                  <c:x val="-3.4472586169905825E-2"/>
                  <c:y val="8.771142605332853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AB2A-47F0-9294-1EB9695030E5}"/>
                </c:ext>
              </c:extLst>
            </c:dLbl>
            <c:dLbl>
              <c:idx val="7"/>
              <c:layout>
                <c:manualLayout>
                  <c:x val="-5.5016127958335249E-2"/>
                  <c:y val="-1.4010618199900984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AB2A-47F0-9294-1EB9695030E5}"/>
                </c:ext>
              </c:extLst>
            </c:dLbl>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'Operating Summaries'!$G$16:$G$25</c:f>
              <c:strCache>
                <c:ptCount val="10"/>
                <c:pt idx="0">
                  <c:v>  to A100 Feedstock Handling</c:v>
                </c:pt>
                <c:pt idx="1">
                  <c:v>  to A200 Pretreatment</c:v>
                </c:pt>
                <c:pt idx="2">
                  <c:v>  to A300 Hydrolysis &amp; Fermentation</c:v>
                </c:pt>
                <c:pt idx="3">
                  <c:v>  to A400 Enzyme Production</c:v>
                </c:pt>
                <c:pt idx="4">
                  <c:v>  to A500 Recovery</c:v>
                </c:pt>
                <c:pt idx="5">
                  <c:v>  to A600 Wastewater</c:v>
                </c:pt>
                <c:pt idx="6">
                  <c:v>  to A700 Storage</c:v>
                </c:pt>
                <c:pt idx="7">
                  <c:v>  to A800 Boiler/Turbogen</c:v>
                </c:pt>
                <c:pt idx="8">
                  <c:v>  to A900 Utilities</c:v>
                </c:pt>
                <c:pt idx="9">
                  <c:v>Excess electricity to grid</c:v>
                </c:pt>
              </c:strCache>
            </c:strRef>
          </c:cat>
          <c:val>
            <c:numRef>
              <c:f>'Operating Summaries'!$H$16:$H$25</c:f>
              <c:numCache>
                <c:formatCode>#,##0</c:formatCode>
                <c:ptCount val="10"/>
                <c:pt idx="0">
                  <c:v>859.48470299999997</c:v>
                </c:pt>
                <c:pt idx="1">
                  <c:v>5683.1566599999996</c:v>
                </c:pt>
                <c:pt idx="2">
                  <c:v>2600.9367499999998</c:v>
                </c:pt>
                <c:pt idx="3">
                  <c:v>5336.7340599999998</c:v>
                </c:pt>
                <c:pt idx="4">
                  <c:v>2126.2872499999999</c:v>
                </c:pt>
                <c:pt idx="5">
                  <c:v>7351.1827499999999</c:v>
                </c:pt>
                <c:pt idx="6">
                  <c:v>10.875159099999999</c:v>
                </c:pt>
                <c:pt idx="7">
                  <c:v>1368.7529300000001</c:v>
                </c:pt>
                <c:pt idx="8">
                  <c:v>3007.1149799999998</c:v>
                </c:pt>
                <c:pt idx="9">
                  <c:v>12794.672399999999</c:v>
                </c:pt>
              </c:numCache>
            </c:numRef>
          </c:val>
          <c:extLst>
            <c:ext xmlns:c16="http://schemas.microsoft.com/office/drawing/2014/chart" uri="{C3380CC4-5D6E-409C-BE32-E72D297353CC}">
              <c16:uniqueId val="{00000006-AB2A-47F0-9294-1EB9695030E5}"/>
            </c:ext>
          </c:extLst>
        </c:ser>
        <c:dLbls>
          <c:showLegendKey val="0"/>
          <c:showVal val="0"/>
          <c:showCatName val="1"/>
          <c:showSerName val="0"/>
          <c:showPercent val="1"/>
          <c:showBubbleSize val="0"/>
          <c:showLeaderLines val="1"/>
        </c:dLbls>
        <c:firstSliceAng val="84"/>
      </c:pieChart>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pieChart>
        <c:varyColors val="1"/>
        <c:ser>
          <c:idx val="0"/>
          <c:order val="0"/>
          <c:dLbls>
            <c:dLbl>
              <c:idx val="0"/>
              <c:layout>
                <c:manualLayout>
                  <c:x val="3.1671775592579162E-3"/>
                  <c:y val="2.5743008539027092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099E-4E47-9AC6-ECC4AC4B863D}"/>
                </c:ext>
              </c:extLst>
            </c:dLbl>
            <c:dLbl>
              <c:idx val="1"/>
              <c:layout>
                <c:manualLayout>
                  <c:x val="0.14191937006115338"/>
                  <c:y val="-5.598347376389271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99E-4E47-9AC6-ECC4AC4B863D}"/>
                </c:ext>
              </c:extLst>
            </c:dLbl>
            <c:dLbl>
              <c:idx val="2"/>
              <c:layout>
                <c:manualLayout>
                  <c:x val="9.0938080865668285E-3"/>
                  <c:y val="1.131877383251622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099E-4E47-9AC6-ECC4AC4B863D}"/>
                </c:ext>
              </c:extLst>
            </c:dLbl>
            <c:dLbl>
              <c:idx val="3"/>
              <c:layout>
                <c:manualLayout>
                  <c:x val="2.8033466593212215E-2"/>
                  <c:y val="1.080006508620386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99E-4E47-9AC6-ECC4AC4B863D}"/>
                </c:ext>
              </c:extLst>
            </c:dLbl>
            <c:dLbl>
              <c:idx val="4"/>
              <c:layout>
                <c:manualLayout>
                  <c:x val="1.0451325803378963E-2"/>
                  <c:y val="6.0566957432209934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099E-4E47-9AC6-ECC4AC4B863D}"/>
                </c:ext>
              </c:extLst>
            </c:dLbl>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'Cost Breakdown'!$P$2:$P$6</c:f>
              <c:strCache>
                <c:ptCount val="5"/>
                <c:pt idx="0">
                  <c:v> Capital </c:v>
                </c:pt>
                <c:pt idx="1">
                  <c:v> Glucose </c:v>
                </c:pt>
                <c:pt idx="2">
                  <c:v> Other Nutrients </c:v>
                </c:pt>
                <c:pt idx="3">
                  <c:v> Electricity </c:v>
                </c:pt>
                <c:pt idx="4">
                  <c:v> Fixed Costs </c:v>
                </c:pt>
              </c:strCache>
            </c:strRef>
          </c:cat>
          <c:val>
            <c:numRef>
              <c:f>'Cost Breakdown'!$R$2:$R$6</c:f>
              <c:numCache>
                <c:formatCode>0%</c:formatCode>
                <c:ptCount val="5"/>
                <c:pt idx="0">
                  <c:v>0.1872091911537235</c:v>
                </c:pt>
                <c:pt idx="1">
                  <c:v>0.61750943864166818</c:v>
                </c:pt>
                <c:pt idx="2">
                  <c:v>5.3339123226247238E-2</c:v>
                </c:pt>
                <c:pt idx="3">
                  <c:v>0.10211676442373326</c:v>
                </c:pt>
                <c:pt idx="4">
                  <c:v>3.9825482554627881E-2</c:v>
                </c:pt>
              </c:numCache>
            </c:numRef>
          </c:val>
          <c:extLst>
            <c:ext xmlns:c16="http://schemas.microsoft.com/office/drawing/2014/chart" uri="{C3380CC4-5D6E-409C-BE32-E72D297353CC}">
              <c16:uniqueId val="{00000005-099E-4E47-9AC6-ECC4AC4B863D}"/>
            </c:ext>
          </c:extLst>
        </c:ser>
        <c:dLbls>
          <c:showLegendKey val="0"/>
          <c:showVal val="0"/>
          <c:showCatName val="1"/>
          <c:showSerName val="0"/>
          <c:showPercent val="1"/>
          <c:showBubbleSize val="0"/>
          <c:showLeaderLines val="1"/>
        </c:dLbls>
        <c:firstSliceAng val="84"/>
      </c:pieChart>
    </c:plotArea>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955626536718393E-2"/>
          <c:y val="0.14703693087615802"/>
          <c:w val="0.93118807400852865"/>
          <c:h val="0.76834724353246064"/>
        </c:manualLayout>
      </c:layout>
      <c:barChart>
        <c:barDir val="bar"/>
        <c:grouping val="stacked"/>
        <c:varyColors val="0"/>
        <c:ser>
          <c:idx val="0"/>
          <c:order val="0"/>
          <c:tx>
            <c:strRef>
              <c:f>'Cost Breakdown'!$C$2</c:f>
              <c:strCache>
                <c:ptCount val="1"/>
                <c:pt idx="0">
                  <c:v> Capital Recovery Charge </c:v>
                </c:pt>
              </c:strCache>
            </c:strRef>
          </c:tx>
          <c:spPr>
            <a:pattFill prst="wdUpDiag">
              <a:fgClr>
                <a:srgbClr val="9999FF"/>
              </a:fgClr>
              <a:bgClr>
                <a:srgbClr val="FFFFFF"/>
              </a:bgClr>
            </a:pattFill>
            <a:ln w="12700">
              <a:solidFill>
                <a:srgbClr val="000000"/>
              </a:solidFill>
              <a:prstDash val="solid"/>
            </a:ln>
          </c:spPr>
          <c:invertIfNegative val="0"/>
          <c:cat>
            <c:strRef>
              <c:f>'Cost Breakdown'!$B$15:$B$23</c:f>
              <c:strCache>
                <c:ptCount val="9"/>
                <c:pt idx="0">
                  <c:v> Feedstock + Handling </c:v>
                </c:pt>
                <c:pt idx="1">
                  <c:v> Pretreatment &amp; Conditioning </c:v>
                </c:pt>
                <c:pt idx="2">
                  <c:v> Enzymatic Hydrolysis &amp; Fermentation </c:v>
                </c:pt>
                <c:pt idx="3">
                  <c:v> Cellulase Enzyme </c:v>
                </c:pt>
                <c:pt idx="4">
                  <c:v> Distillation and Solids Recovery </c:v>
                </c:pt>
                <c:pt idx="5">
                  <c:v> Wastewater Treatment </c:v>
                </c:pt>
                <c:pt idx="6">
                  <c:v> Storage </c:v>
                </c:pt>
                <c:pt idx="7">
                  <c:v> Boiler/Turbogenerator </c:v>
                </c:pt>
                <c:pt idx="8">
                  <c:v> Utilities </c:v>
                </c:pt>
              </c:strCache>
            </c:strRef>
          </c:cat>
          <c:val>
            <c:numRef>
              <c:f>'Cost Breakdown'!$C$15:$C$23</c:f>
              <c:numCache>
                <c:formatCode>0.0%</c:formatCode>
                <c:ptCount val="9"/>
                <c:pt idx="0">
                  <c:v>0</c:v>
                </c:pt>
                <c:pt idx="1">
                  <c:v>5.3644283852909168E-2</c:v>
                </c:pt>
                <c:pt idx="2">
                  <c:v>5.0898571043609696E-2</c:v>
                </c:pt>
                <c:pt idx="3">
                  <c:v>3.0499323561141784E-2</c:v>
                </c:pt>
                <c:pt idx="4">
                  <c:v>3.6327533372830664E-2</c:v>
                </c:pt>
                <c:pt idx="5">
                  <c:v>8.0138540404734046E-2</c:v>
                </c:pt>
                <c:pt idx="6">
                  <c:v>8.0627067195335744E-3</c:v>
                </c:pt>
                <c:pt idx="7">
                  <c:v>0.10711946828599785</c:v>
                </c:pt>
                <c:pt idx="8">
                  <c:v>1.0938275715151305E-2</c:v>
                </c:pt>
              </c:numCache>
            </c:numRef>
          </c:val>
          <c:extLst>
            <c:ext xmlns:c16="http://schemas.microsoft.com/office/drawing/2014/chart" uri="{C3380CC4-5D6E-409C-BE32-E72D297353CC}">
              <c16:uniqueId val="{00000000-0A55-4BF4-8963-1F863C82D5CC}"/>
            </c:ext>
          </c:extLst>
        </c:ser>
        <c:ser>
          <c:idx val="2"/>
          <c:order val="1"/>
          <c:tx>
            <c:strRef>
              <c:f>'Cost Breakdown'!$D$2</c:f>
              <c:strCache>
                <c:ptCount val="1"/>
                <c:pt idx="0">
                  <c:v> Raw Materials &amp; Waste </c:v>
                </c:pt>
              </c:strCache>
            </c:strRef>
          </c:tx>
          <c:spPr>
            <a:solidFill>
              <a:srgbClr val="993366"/>
            </a:solidFill>
            <a:ln w="12700">
              <a:solidFill>
                <a:srgbClr val="000000"/>
              </a:solidFill>
              <a:prstDash val="solid"/>
            </a:ln>
          </c:spPr>
          <c:invertIfNegative val="0"/>
          <c:cat>
            <c:strRef>
              <c:f>'Cost Breakdown'!$B$15:$B$23</c:f>
              <c:strCache>
                <c:ptCount val="9"/>
                <c:pt idx="0">
                  <c:v> Feedstock + Handling </c:v>
                </c:pt>
                <c:pt idx="1">
                  <c:v> Pretreatment &amp; Conditioning </c:v>
                </c:pt>
                <c:pt idx="2">
                  <c:v> Enzymatic Hydrolysis &amp; Fermentation </c:v>
                </c:pt>
                <c:pt idx="3">
                  <c:v> Cellulase Enzyme </c:v>
                </c:pt>
                <c:pt idx="4">
                  <c:v> Distillation and Solids Recovery </c:v>
                </c:pt>
                <c:pt idx="5">
                  <c:v> Wastewater Treatment </c:v>
                </c:pt>
                <c:pt idx="6">
                  <c:v> Storage </c:v>
                </c:pt>
                <c:pt idx="7">
                  <c:v> Boiler/Turbogenerator </c:v>
                </c:pt>
                <c:pt idx="8">
                  <c:v> Utilities </c:v>
                </c:pt>
              </c:strCache>
            </c:strRef>
          </c:cat>
          <c:val>
            <c:numRef>
              <c:f>'Cost Breakdown'!$D$15:$D$23</c:f>
              <c:numCache>
                <c:formatCode>0.0%</c:formatCode>
                <c:ptCount val="9"/>
                <c:pt idx="0">
                  <c:v>0.35700814374582651</c:v>
                </c:pt>
                <c:pt idx="1">
                  <c:v>4.652467436180615E-2</c:v>
                </c:pt>
                <c:pt idx="2">
                  <c:v>1.8485326457598854E-2</c:v>
                </c:pt>
                <c:pt idx="3">
                  <c:v>0.10929178862877241</c:v>
                </c:pt>
                <c:pt idx="4">
                  <c:v>0</c:v>
                </c:pt>
                <c:pt idx="5">
                  <c:v>2.4135084035761655E-2</c:v>
                </c:pt>
                <c:pt idx="6">
                  <c:v>0</c:v>
                </c:pt>
                <c:pt idx="7">
                  <c:v>2.5939137111151346E-2</c:v>
                </c:pt>
                <c:pt idx="8">
                  <c:v>3.2179226351796084E-3</c:v>
                </c:pt>
              </c:numCache>
            </c:numRef>
          </c:val>
          <c:extLst>
            <c:ext xmlns:c16="http://schemas.microsoft.com/office/drawing/2014/chart" uri="{C3380CC4-5D6E-409C-BE32-E72D297353CC}">
              <c16:uniqueId val="{00000001-0A55-4BF4-8963-1F863C82D5CC}"/>
            </c:ext>
          </c:extLst>
        </c:ser>
        <c:ser>
          <c:idx val="3"/>
          <c:order val="2"/>
          <c:tx>
            <c:strRef>
              <c:f>'Cost Breakdown'!$E$2</c:f>
              <c:strCache>
                <c:ptCount val="1"/>
                <c:pt idx="0">
                  <c:v> Process Electricity </c:v>
                </c:pt>
              </c:strCache>
            </c:strRef>
          </c:tx>
          <c:spPr>
            <a:solidFill>
              <a:srgbClr val="FFFFFF"/>
            </a:solidFill>
            <a:ln w="12700">
              <a:solidFill>
                <a:srgbClr val="000000"/>
              </a:solidFill>
              <a:prstDash val="solid"/>
            </a:ln>
          </c:spPr>
          <c:invertIfNegative val="0"/>
          <c:cat>
            <c:strRef>
              <c:f>'Cost Breakdown'!$B$15:$B$23</c:f>
              <c:strCache>
                <c:ptCount val="9"/>
                <c:pt idx="0">
                  <c:v> Feedstock + Handling </c:v>
                </c:pt>
                <c:pt idx="1">
                  <c:v> Pretreatment &amp; Conditioning </c:v>
                </c:pt>
                <c:pt idx="2">
                  <c:v> Enzymatic Hydrolysis &amp; Fermentation </c:v>
                </c:pt>
                <c:pt idx="3">
                  <c:v> Cellulase Enzyme </c:v>
                </c:pt>
                <c:pt idx="4">
                  <c:v> Distillation and Solids Recovery </c:v>
                </c:pt>
                <c:pt idx="5">
                  <c:v> Wastewater Treatment </c:v>
                </c:pt>
                <c:pt idx="6">
                  <c:v> Storage </c:v>
                </c:pt>
                <c:pt idx="7">
                  <c:v> Boiler/Turbogenerator </c:v>
                </c:pt>
                <c:pt idx="8">
                  <c:v> Utilities </c:v>
                </c:pt>
              </c:strCache>
            </c:strRef>
          </c:cat>
          <c:val>
            <c:numRef>
              <c:f>'Cost Breakdown'!$E$15:$E$23</c:f>
              <c:numCache>
                <c:formatCode>0.0%</c:formatCode>
                <c:ptCount val="9"/>
                <c:pt idx="0">
                  <c:v>0</c:v>
                </c:pt>
                <c:pt idx="1">
                  <c:v>1.7716345955323586E-2</c:v>
                </c:pt>
                <c:pt idx="2">
                  <c:v>8.1080107460762794E-3</c:v>
                </c:pt>
                <c:pt idx="3">
                  <c:v>1.6636428051328544E-2</c:v>
                </c:pt>
                <c:pt idx="4">
                  <c:v>6.6283656733463368E-3</c:v>
                </c:pt>
                <c:pt idx="5">
                  <c:v>2.2916154625202086E-2</c:v>
                </c:pt>
                <c:pt idx="6">
                  <c:v>3.3901595972331597E-5</c:v>
                </c:pt>
                <c:pt idx="7">
                  <c:v>4.2668717204151141E-3</c:v>
                </c:pt>
                <c:pt idx="8">
                  <c:v>9.3742074168189429E-3</c:v>
                </c:pt>
              </c:numCache>
            </c:numRef>
          </c:val>
          <c:extLst>
            <c:ext xmlns:c16="http://schemas.microsoft.com/office/drawing/2014/chart" uri="{C3380CC4-5D6E-409C-BE32-E72D297353CC}">
              <c16:uniqueId val="{00000002-0A55-4BF4-8963-1F863C82D5CC}"/>
            </c:ext>
          </c:extLst>
        </c:ser>
        <c:ser>
          <c:idx val="4"/>
          <c:order val="3"/>
          <c:tx>
            <c:strRef>
              <c:f>'Cost Breakdown'!$F$2</c:f>
              <c:strCache>
                <c:ptCount val="1"/>
                <c:pt idx="0">
                  <c:v> Grid Electricity </c:v>
                </c:pt>
              </c:strCache>
            </c:strRef>
          </c:tx>
          <c:spPr>
            <a:pattFill prst="zigZag">
              <a:fgClr>
                <a:srgbClr val="000000"/>
              </a:fgClr>
              <a:bgClr>
                <a:srgbClr val="FFFFFF"/>
              </a:bgClr>
            </a:pattFill>
            <a:ln w="12700">
              <a:solidFill>
                <a:srgbClr val="000000"/>
              </a:solidFill>
              <a:prstDash val="solid"/>
            </a:ln>
          </c:spPr>
          <c:invertIfNegative val="0"/>
          <c:cat>
            <c:strRef>
              <c:f>'Cost Breakdown'!$B$15:$B$23</c:f>
              <c:strCache>
                <c:ptCount val="9"/>
                <c:pt idx="0">
                  <c:v> Feedstock + Handling </c:v>
                </c:pt>
                <c:pt idx="1">
                  <c:v> Pretreatment &amp; Conditioning </c:v>
                </c:pt>
                <c:pt idx="2">
                  <c:v> Enzymatic Hydrolysis &amp; Fermentation </c:v>
                </c:pt>
                <c:pt idx="3">
                  <c:v> Cellulase Enzyme </c:v>
                </c:pt>
                <c:pt idx="4">
                  <c:v> Distillation and Solids Recovery </c:v>
                </c:pt>
                <c:pt idx="5">
                  <c:v> Wastewater Treatment </c:v>
                </c:pt>
                <c:pt idx="6">
                  <c:v> Storage </c:v>
                </c:pt>
                <c:pt idx="7">
                  <c:v> Boiler/Turbogenerator </c:v>
                </c:pt>
                <c:pt idx="8">
                  <c:v> Utilities </c:v>
                </c:pt>
              </c:strCache>
            </c:strRef>
          </c:cat>
          <c:val>
            <c:numRef>
              <c:f>'Cost Breakdown'!$F$15:$F$23</c:f>
              <c:numCache>
                <c:formatCode>0.0%</c:formatCode>
                <c:ptCount val="9"/>
                <c:pt idx="0">
                  <c:v>0</c:v>
                </c:pt>
                <c:pt idx="1">
                  <c:v>0</c:v>
                </c:pt>
                <c:pt idx="2">
                  <c:v>0</c:v>
                </c:pt>
                <c:pt idx="3">
                  <c:v>0</c:v>
                </c:pt>
                <c:pt idx="4">
                  <c:v>0</c:v>
                </c:pt>
                <c:pt idx="5">
                  <c:v>0</c:v>
                </c:pt>
                <c:pt idx="6">
                  <c:v>0</c:v>
                </c:pt>
                <c:pt idx="7">
                  <c:v>-4.256468450391597E-2</c:v>
                </c:pt>
                <c:pt idx="8">
                  <c:v>0</c:v>
                </c:pt>
              </c:numCache>
            </c:numRef>
          </c:val>
          <c:extLst>
            <c:ext xmlns:c16="http://schemas.microsoft.com/office/drawing/2014/chart" uri="{C3380CC4-5D6E-409C-BE32-E72D297353CC}">
              <c16:uniqueId val="{00000003-0A55-4BF4-8963-1F863C82D5CC}"/>
            </c:ext>
          </c:extLst>
        </c:ser>
        <c:ser>
          <c:idx val="5"/>
          <c:order val="4"/>
          <c:tx>
            <c:strRef>
              <c:f>'Cost Breakdown'!$G$2</c:f>
              <c:strCache>
                <c:ptCount val="1"/>
                <c:pt idx="0">
                  <c:v> Total Plant Electricity </c:v>
                </c:pt>
              </c:strCache>
            </c:strRef>
          </c:tx>
          <c:spPr>
            <a:pattFill prst="lgCheck">
              <a:fgClr>
                <a:srgbClr val="000000"/>
              </a:fgClr>
              <a:bgClr>
                <a:srgbClr val="FFFFFF"/>
              </a:bgClr>
            </a:pattFill>
            <a:ln w="12700">
              <a:solidFill>
                <a:srgbClr val="000000"/>
              </a:solidFill>
              <a:prstDash val="solid"/>
            </a:ln>
          </c:spPr>
          <c:invertIfNegative val="0"/>
          <c:cat>
            <c:strRef>
              <c:f>'Cost Breakdown'!$B$15:$B$23</c:f>
              <c:strCache>
                <c:ptCount val="9"/>
                <c:pt idx="0">
                  <c:v> Feedstock + Handling </c:v>
                </c:pt>
                <c:pt idx="1">
                  <c:v> Pretreatment &amp; Conditioning </c:v>
                </c:pt>
                <c:pt idx="2">
                  <c:v> Enzymatic Hydrolysis &amp; Fermentation </c:v>
                </c:pt>
                <c:pt idx="3">
                  <c:v> Cellulase Enzyme </c:v>
                </c:pt>
                <c:pt idx="4">
                  <c:v> Distillation and Solids Recovery </c:v>
                </c:pt>
                <c:pt idx="5">
                  <c:v> Wastewater Treatment </c:v>
                </c:pt>
                <c:pt idx="6">
                  <c:v> Storage </c:v>
                </c:pt>
                <c:pt idx="7">
                  <c:v> Boiler/Turbogenerator </c:v>
                </c:pt>
                <c:pt idx="8">
                  <c:v> Utilities </c:v>
                </c:pt>
              </c:strCache>
            </c:strRef>
          </c:cat>
          <c:val>
            <c:numRef>
              <c:f>'Cost Breakdown'!$G$15:$G$23</c:f>
              <c:numCache>
                <c:formatCode>0.0%</c:formatCode>
                <c:ptCount val="9"/>
                <c:pt idx="0">
                  <c:v>0</c:v>
                </c:pt>
                <c:pt idx="1">
                  <c:v>0</c:v>
                </c:pt>
                <c:pt idx="2">
                  <c:v>0</c:v>
                </c:pt>
                <c:pt idx="3">
                  <c:v>0</c:v>
                </c:pt>
                <c:pt idx="4">
                  <c:v>0</c:v>
                </c:pt>
                <c:pt idx="5">
                  <c:v>0</c:v>
                </c:pt>
                <c:pt idx="6">
                  <c:v>0</c:v>
                </c:pt>
                <c:pt idx="7">
                  <c:v>-8.5680285784483196E-2</c:v>
                </c:pt>
                <c:pt idx="8">
                  <c:v>0</c:v>
                </c:pt>
              </c:numCache>
            </c:numRef>
          </c:val>
          <c:extLst>
            <c:ext xmlns:c16="http://schemas.microsoft.com/office/drawing/2014/chart" uri="{C3380CC4-5D6E-409C-BE32-E72D297353CC}">
              <c16:uniqueId val="{00000004-0A55-4BF4-8963-1F863C82D5CC}"/>
            </c:ext>
          </c:extLst>
        </c:ser>
        <c:ser>
          <c:idx val="6"/>
          <c:order val="5"/>
          <c:tx>
            <c:strRef>
              <c:f>'Cost Breakdown'!$H$2</c:f>
              <c:strCache>
                <c:ptCount val="1"/>
                <c:pt idx="0">
                  <c:v> Fixed Costs </c:v>
                </c:pt>
              </c:strCache>
            </c:strRef>
          </c:tx>
          <c:spPr>
            <a:gradFill rotWithShape="0">
              <a:gsLst>
                <a:gs pos="0">
                  <a:srgbClr val="CC99FF"/>
                </a:gs>
                <a:gs pos="100000">
                  <a:srgbClr val="000000"/>
                </a:gs>
              </a:gsLst>
              <a:lin ang="2700000" scaled="1"/>
            </a:gradFill>
            <a:ln w="12700">
              <a:solidFill>
                <a:srgbClr val="000000"/>
              </a:solidFill>
              <a:prstDash val="solid"/>
            </a:ln>
          </c:spPr>
          <c:invertIfNegative val="0"/>
          <c:cat>
            <c:strRef>
              <c:f>'Cost Breakdown'!$B$15:$B$23</c:f>
              <c:strCache>
                <c:ptCount val="9"/>
                <c:pt idx="0">
                  <c:v> Feedstock + Handling </c:v>
                </c:pt>
                <c:pt idx="1">
                  <c:v> Pretreatment &amp; Conditioning </c:v>
                </c:pt>
                <c:pt idx="2">
                  <c:v> Enzymatic Hydrolysis &amp; Fermentation </c:v>
                </c:pt>
                <c:pt idx="3">
                  <c:v> Cellulase Enzyme </c:v>
                </c:pt>
                <c:pt idx="4">
                  <c:v> Distillation and Solids Recovery </c:v>
                </c:pt>
                <c:pt idx="5">
                  <c:v> Wastewater Treatment </c:v>
                </c:pt>
                <c:pt idx="6">
                  <c:v> Storage </c:v>
                </c:pt>
                <c:pt idx="7">
                  <c:v> Boiler/Turbogenerator </c:v>
                </c:pt>
                <c:pt idx="8">
                  <c:v> Utilities </c:v>
                </c:pt>
              </c:strCache>
            </c:strRef>
          </c:cat>
          <c:val>
            <c:numRef>
              <c:f>'Cost Breakdown'!$H$15:$H$23</c:f>
              <c:numCache>
                <c:formatCode>0.0%</c:formatCode>
                <c:ptCount val="9"/>
                <c:pt idx="0">
                  <c:v>0</c:v>
                </c:pt>
                <c:pt idx="1">
                  <c:v>1.1411883559633915E-2</c:v>
                </c:pt>
                <c:pt idx="2">
                  <c:v>1.0827781161066398E-2</c:v>
                </c:pt>
                <c:pt idx="3">
                  <c:v>6.4881978866882387E-3</c:v>
                </c:pt>
                <c:pt idx="4">
                  <c:v>7.7280476331119206E-3</c:v>
                </c:pt>
                <c:pt idx="5">
                  <c:v>1.7048073458217058E-2</c:v>
                </c:pt>
                <c:pt idx="6">
                  <c:v>1.7151998992303685E-3</c:v>
                </c:pt>
                <c:pt idx="7">
                  <c:v>2.2787794173962338E-2</c:v>
                </c:pt>
                <c:pt idx="8">
                  <c:v>2.3269269312411306E-3</c:v>
                </c:pt>
              </c:numCache>
            </c:numRef>
          </c:val>
          <c:extLst>
            <c:ext xmlns:c16="http://schemas.microsoft.com/office/drawing/2014/chart" uri="{C3380CC4-5D6E-409C-BE32-E72D297353CC}">
              <c16:uniqueId val="{00000005-0A55-4BF4-8963-1F863C82D5CC}"/>
            </c:ext>
          </c:extLst>
        </c:ser>
        <c:dLbls>
          <c:showLegendKey val="0"/>
          <c:showVal val="0"/>
          <c:showCatName val="0"/>
          <c:showSerName val="0"/>
          <c:showPercent val="0"/>
          <c:showBubbleSize val="0"/>
        </c:dLbls>
        <c:gapWidth val="150"/>
        <c:overlap val="100"/>
        <c:axId val="137634944"/>
        <c:axId val="137636480"/>
      </c:barChart>
      <c:catAx>
        <c:axId val="137634944"/>
        <c:scaling>
          <c:orientation val="maxMin"/>
        </c:scaling>
        <c:delete val="0"/>
        <c:axPos val="l"/>
        <c:numFmt formatCode="General" sourceLinked="1"/>
        <c:majorTickMark val="out"/>
        <c:minorTickMark val="none"/>
        <c:tickLblPos val="low"/>
        <c:spPr>
          <a:ln w="3175">
            <a:solidFill>
              <a:srgbClr val="000000"/>
            </a:solidFill>
            <a:prstDash val="solid"/>
          </a:ln>
        </c:spPr>
        <c:txPr>
          <a:bodyPr/>
          <a:lstStyle/>
          <a:p>
            <a:pPr>
              <a:defRPr sz="1100" baseline="0">
                <a:latin typeface="Calibri" pitchFamily="34" charset="0"/>
              </a:defRPr>
            </a:pPr>
            <a:endParaRPr lang="en-US"/>
          </a:p>
        </c:txPr>
        <c:crossAx val="137636480"/>
        <c:crosses val="autoZero"/>
        <c:auto val="1"/>
        <c:lblAlgn val="ctr"/>
        <c:lblOffset val="100"/>
        <c:tickMarkSkip val="1"/>
        <c:noMultiLvlLbl val="0"/>
      </c:catAx>
      <c:valAx>
        <c:axId val="137636480"/>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Calibri" pitchFamily="34" charset="0"/>
                <a:ea typeface="Arial"/>
                <a:cs typeface="Arial"/>
              </a:defRPr>
            </a:pPr>
            <a:endParaRPr lang="en-US"/>
          </a:p>
        </c:txPr>
        <c:crossAx val="137634944"/>
        <c:crosses val="max"/>
        <c:crossBetween val="between"/>
      </c:valAx>
      <c:spPr>
        <a:noFill/>
        <a:ln w="3175">
          <a:noFill/>
          <a:prstDash val="solid"/>
        </a:ln>
      </c:spPr>
    </c:plotArea>
    <c:legend>
      <c:legendPos val="t"/>
      <c:layout>
        <c:manualLayout>
          <c:xMode val="edge"/>
          <c:yMode val="edge"/>
          <c:x val="0.13272407214158469"/>
          <c:y val="5.4366116441017156E-3"/>
          <c:w val="0.84887075862509143"/>
          <c:h val="0.12561758473980902"/>
        </c:manualLayout>
      </c:layout>
      <c:overlay val="0"/>
      <c:spPr>
        <a:noFill/>
        <a:ln w="3175">
          <a:solidFill>
            <a:srgbClr val="000000"/>
          </a:solidFill>
          <a:prstDash val="solid"/>
        </a:ln>
      </c:spPr>
      <c:txPr>
        <a:bodyPr/>
        <a:lstStyle/>
        <a:p>
          <a:pPr>
            <a:defRPr sz="1100" b="0" i="0" u="none" strike="noStrike" baseline="0">
              <a:solidFill>
                <a:srgbClr val="000000"/>
              </a:solidFill>
              <a:latin typeface="Calibri" pitchFamily="34" charset="0"/>
              <a:ea typeface="Arial"/>
              <a:cs typeface="Arial"/>
            </a:defRPr>
          </a:pPr>
          <a:endParaRPr lang="en-US"/>
        </a:p>
      </c:txPr>
    </c:legend>
    <c:plotVisOnly val="1"/>
    <c:dispBlanksAs val="gap"/>
    <c:showDLblsOverMax val="0"/>
  </c:chart>
  <c:spPr>
    <a:solidFill>
      <a:schemeClr val="bg1"/>
    </a:solidFill>
    <a:ln w="9525">
      <a:noFill/>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955626536718393E-2"/>
          <c:y val="0.14703693087615813"/>
          <c:w val="0.93118807400852865"/>
          <c:h val="0.76834724353246064"/>
        </c:manualLayout>
      </c:layout>
      <c:barChart>
        <c:barDir val="bar"/>
        <c:grouping val="stacked"/>
        <c:varyColors val="0"/>
        <c:ser>
          <c:idx val="0"/>
          <c:order val="0"/>
          <c:tx>
            <c:strRef>
              <c:f>'Cost Breakdown'!$C$2</c:f>
              <c:strCache>
                <c:ptCount val="1"/>
                <c:pt idx="0">
                  <c:v> Capital Recovery Charge </c:v>
                </c:pt>
              </c:strCache>
            </c:strRef>
          </c:tx>
          <c:spPr>
            <a:pattFill prst="wdUpDiag">
              <a:fgClr>
                <a:srgbClr val="9999FF"/>
              </a:fgClr>
              <a:bgClr>
                <a:srgbClr val="FFFFFF"/>
              </a:bgClr>
            </a:pattFill>
            <a:ln w="12700">
              <a:solidFill>
                <a:srgbClr val="000000"/>
              </a:solidFill>
              <a:prstDash val="solid"/>
            </a:ln>
          </c:spPr>
          <c:invertIfNegative val="0"/>
          <c:cat>
            <c:strRef>
              <c:f>'Cost Breakdown'!$B$3:$B$11</c:f>
              <c:strCache>
                <c:ptCount val="9"/>
                <c:pt idx="0">
                  <c:v> Feedstock + Handling: 90.2¢ </c:v>
                </c:pt>
                <c:pt idx="1">
                  <c:v> Pretreatment / Conditioning: 32.7¢ </c:v>
                </c:pt>
                <c:pt idx="2">
                  <c:v> Enzymatic Hydrolysis and Fermentation: 22.3¢ </c:v>
                </c:pt>
                <c:pt idx="3">
                  <c:v> Cellulase Enzyme: 41.2¢ </c:v>
                </c:pt>
                <c:pt idx="4">
                  <c:v> Distillation and Solids Recovery: 12.8¢ </c:v>
                </c:pt>
                <c:pt idx="5">
                  <c:v> Wastewater Treatment: 36.5¢ </c:v>
                </c:pt>
                <c:pt idx="6">
                  <c:v> Storage: 2.5¢ </c:v>
                </c:pt>
                <c:pt idx="7">
                  <c:v> Boiler/Turbogenerator: (Net) 8.1¢ </c:v>
                </c:pt>
                <c:pt idx="8">
                  <c:v> Utilities: 6.5¢ </c:v>
                </c:pt>
              </c:strCache>
            </c:strRef>
          </c:cat>
          <c:val>
            <c:numRef>
              <c:f>'Cost Breakdown'!$C$3:$C$11</c:f>
              <c:numCache>
                <c:formatCode>"$"#,##0.000</c:formatCode>
                <c:ptCount val="9"/>
                <c:pt idx="0">
                  <c:v>0</c:v>
                </c:pt>
                <c:pt idx="1">
                  <c:v>0.1355713440293575</c:v>
                </c:pt>
                <c:pt idx="2">
                  <c:v>0.12863230133664449</c:v>
                </c:pt>
                <c:pt idx="3">
                  <c:v>7.7078748940107383E-2</c:v>
                </c:pt>
                <c:pt idx="4">
                  <c:v>9.1807964817465032E-2</c:v>
                </c:pt>
                <c:pt idx="5">
                  <c:v>0.20252837489658421</c:v>
                </c:pt>
                <c:pt idx="6">
                  <c:v>2.0376299355190676E-2</c:v>
                </c:pt>
                <c:pt idx="7">
                  <c:v>0.27071533524545893</c:v>
                </c:pt>
                <c:pt idx="8">
                  <c:v>2.764351825690976E-2</c:v>
                </c:pt>
              </c:numCache>
            </c:numRef>
          </c:val>
          <c:extLst>
            <c:ext xmlns:c16="http://schemas.microsoft.com/office/drawing/2014/chart" uri="{C3380CC4-5D6E-409C-BE32-E72D297353CC}">
              <c16:uniqueId val="{00000000-B712-4501-A85B-B63C39DE02F4}"/>
            </c:ext>
          </c:extLst>
        </c:ser>
        <c:ser>
          <c:idx val="2"/>
          <c:order val="1"/>
          <c:tx>
            <c:strRef>
              <c:f>'Cost Breakdown'!$D$2</c:f>
              <c:strCache>
                <c:ptCount val="1"/>
                <c:pt idx="0">
                  <c:v> Raw Materials &amp; Waste </c:v>
                </c:pt>
              </c:strCache>
            </c:strRef>
          </c:tx>
          <c:spPr>
            <a:solidFill>
              <a:srgbClr val="993366"/>
            </a:solidFill>
            <a:ln w="12700">
              <a:solidFill>
                <a:srgbClr val="000000"/>
              </a:solidFill>
              <a:prstDash val="solid"/>
            </a:ln>
          </c:spPr>
          <c:invertIfNegative val="0"/>
          <c:cat>
            <c:strRef>
              <c:f>'Cost Breakdown'!$B$3:$B$11</c:f>
              <c:strCache>
                <c:ptCount val="9"/>
                <c:pt idx="0">
                  <c:v> Feedstock + Handling: 90.2¢ </c:v>
                </c:pt>
                <c:pt idx="1">
                  <c:v> Pretreatment / Conditioning: 32.7¢ </c:v>
                </c:pt>
                <c:pt idx="2">
                  <c:v> Enzymatic Hydrolysis and Fermentation: 22.3¢ </c:v>
                </c:pt>
                <c:pt idx="3">
                  <c:v> Cellulase Enzyme: 41.2¢ </c:v>
                </c:pt>
                <c:pt idx="4">
                  <c:v> Distillation and Solids Recovery: 12.8¢ </c:v>
                </c:pt>
                <c:pt idx="5">
                  <c:v> Wastewater Treatment: 36.5¢ </c:v>
                </c:pt>
                <c:pt idx="6">
                  <c:v> Storage: 2.5¢ </c:v>
                </c:pt>
                <c:pt idx="7">
                  <c:v> Boiler/Turbogenerator: (Net) 8.1¢ </c:v>
                </c:pt>
                <c:pt idx="8">
                  <c:v> Utilities: 6.5¢ </c:v>
                </c:pt>
              </c:strCache>
            </c:strRef>
          </c:cat>
          <c:val>
            <c:numRef>
              <c:f>'Cost Breakdown'!$D$3:$D$11</c:f>
              <c:numCache>
                <c:formatCode>"$"#,##0.000</c:formatCode>
                <c:ptCount val="9"/>
                <c:pt idx="0">
                  <c:v>0.9022410292540981</c:v>
                </c:pt>
                <c:pt idx="1">
                  <c:v>0.11757846653434623</c:v>
                </c:pt>
                <c:pt idx="2">
                  <c:v>4.6716637313114442E-2</c:v>
                </c:pt>
                <c:pt idx="3">
                  <c:v>0.27620528435802016</c:v>
                </c:pt>
                <c:pt idx="4">
                  <c:v>0</c:v>
                </c:pt>
                <c:pt idx="5">
                  <c:v>6.0994863683174201E-2</c:v>
                </c:pt>
                <c:pt idx="6">
                  <c:v>0</c:v>
                </c:pt>
                <c:pt idx="7">
                  <c:v>6.555411739232056E-2</c:v>
                </c:pt>
                <c:pt idx="8">
                  <c:v>8.1324246555326656E-3</c:v>
                </c:pt>
              </c:numCache>
            </c:numRef>
          </c:val>
          <c:extLst>
            <c:ext xmlns:c16="http://schemas.microsoft.com/office/drawing/2014/chart" uri="{C3380CC4-5D6E-409C-BE32-E72D297353CC}">
              <c16:uniqueId val="{00000001-B712-4501-A85B-B63C39DE02F4}"/>
            </c:ext>
          </c:extLst>
        </c:ser>
        <c:ser>
          <c:idx val="3"/>
          <c:order val="2"/>
          <c:tx>
            <c:strRef>
              <c:f>'Cost Breakdown'!$E$2</c:f>
              <c:strCache>
                <c:ptCount val="1"/>
                <c:pt idx="0">
                  <c:v> Process Electricity </c:v>
                </c:pt>
              </c:strCache>
            </c:strRef>
          </c:tx>
          <c:spPr>
            <a:solidFill>
              <a:srgbClr val="FFFFFF"/>
            </a:solidFill>
            <a:ln w="12700">
              <a:solidFill>
                <a:srgbClr val="000000"/>
              </a:solidFill>
              <a:prstDash val="solid"/>
            </a:ln>
          </c:spPr>
          <c:invertIfNegative val="0"/>
          <c:cat>
            <c:strRef>
              <c:f>'Cost Breakdown'!$B$3:$B$11</c:f>
              <c:strCache>
                <c:ptCount val="9"/>
                <c:pt idx="0">
                  <c:v> Feedstock + Handling: 90.2¢ </c:v>
                </c:pt>
                <c:pt idx="1">
                  <c:v> Pretreatment / Conditioning: 32.7¢ </c:v>
                </c:pt>
                <c:pt idx="2">
                  <c:v> Enzymatic Hydrolysis and Fermentation: 22.3¢ </c:v>
                </c:pt>
                <c:pt idx="3">
                  <c:v> Cellulase Enzyme: 41.2¢ </c:v>
                </c:pt>
                <c:pt idx="4">
                  <c:v> Distillation and Solids Recovery: 12.8¢ </c:v>
                </c:pt>
                <c:pt idx="5">
                  <c:v> Wastewater Treatment: 36.5¢ </c:v>
                </c:pt>
                <c:pt idx="6">
                  <c:v> Storage: 2.5¢ </c:v>
                </c:pt>
                <c:pt idx="7">
                  <c:v> Boiler/Turbogenerator: (Net) 8.1¢ </c:v>
                </c:pt>
                <c:pt idx="8">
                  <c:v> Utilities: 6.5¢ </c:v>
                </c:pt>
              </c:strCache>
            </c:strRef>
          </c:cat>
          <c:val>
            <c:numRef>
              <c:f>'Cost Breakdown'!$E$3:$E$11</c:f>
              <c:numCache>
                <c:formatCode>"$"#,##0.000</c:formatCode>
                <c:ptCount val="9"/>
                <c:pt idx="0">
                  <c:v>0</c:v>
                </c:pt>
                <c:pt idx="1">
                  <c:v>4.4773248143977921E-2</c:v>
                </c:pt>
                <c:pt idx="2">
                  <c:v>2.0490792966200141E-2</c:v>
                </c:pt>
                <c:pt idx="3">
                  <c:v>4.2044049221546323E-2</c:v>
                </c:pt>
                <c:pt idx="4">
                  <c:v>1.6751392292188975E-2</c:v>
                </c:pt>
                <c:pt idx="5">
                  <c:v>5.7914350968723792E-2</c:v>
                </c:pt>
                <c:pt idx="6">
                  <c:v>8.5677067538296516E-5</c:v>
                </c:pt>
                <c:pt idx="7">
                  <c:v>1.0783358307544325E-2</c:v>
                </c:pt>
                <c:pt idx="8">
                  <c:v>2.369076083097333E-2</c:v>
                </c:pt>
              </c:numCache>
            </c:numRef>
          </c:val>
          <c:extLst>
            <c:ext xmlns:c16="http://schemas.microsoft.com/office/drawing/2014/chart" uri="{C3380CC4-5D6E-409C-BE32-E72D297353CC}">
              <c16:uniqueId val="{00000002-B712-4501-A85B-B63C39DE02F4}"/>
            </c:ext>
          </c:extLst>
        </c:ser>
        <c:ser>
          <c:idx val="4"/>
          <c:order val="3"/>
          <c:tx>
            <c:strRef>
              <c:f>'Cost Breakdown'!$F$2</c:f>
              <c:strCache>
                <c:ptCount val="1"/>
                <c:pt idx="0">
                  <c:v> Grid Electricity </c:v>
                </c:pt>
              </c:strCache>
            </c:strRef>
          </c:tx>
          <c:spPr>
            <a:pattFill prst="zigZag">
              <a:fgClr>
                <a:srgbClr val="000000"/>
              </a:fgClr>
              <a:bgClr>
                <a:srgbClr val="FFFFFF"/>
              </a:bgClr>
            </a:pattFill>
            <a:ln w="12700">
              <a:solidFill>
                <a:srgbClr val="000000"/>
              </a:solidFill>
              <a:prstDash val="solid"/>
            </a:ln>
          </c:spPr>
          <c:invertIfNegative val="0"/>
          <c:cat>
            <c:strRef>
              <c:f>'Cost Breakdown'!$B$3:$B$11</c:f>
              <c:strCache>
                <c:ptCount val="9"/>
                <c:pt idx="0">
                  <c:v> Feedstock + Handling: 90.2¢ </c:v>
                </c:pt>
                <c:pt idx="1">
                  <c:v> Pretreatment / Conditioning: 32.7¢ </c:v>
                </c:pt>
                <c:pt idx="2">
                  <c:v> Enzymatic Hydrolysis and Fermentation: 22.3¢ </c:v>
                </c:pt>
                <c:pt idx="3">
                  <c:v> Cellulase Enzyme: 41.2¢ </c:v>
                </c:pt>
                <c:pt idx="4">
                  <c:v> Distillation and Solids Recovery: 12.8¢ </c:v>
                </c:pt>
                <c:pt idx="5">
                  <c:v> Wastewater Treatment: 36.5¢ </c:v>
                </c:pt>
                <c:pt idx="6">
                  <c:v> Storage: 2.5¢ </c:v>
                </c:pt>
                <c:pt idx="7">
                  <c:v> Boiler/Turbogenerator: (Net) 8.1¢ </c:v>
                </c:pt>
                <c:pt idx="8">
                  <c:v> Utilities: 6.5¢ </c:v>
                </c:pt>
              </c:strCache>
            </c:strRef>
          </c:cat>
          <c:val>
            <c:numRef>
              <c:f>'Cost Breakdown'!$F$3:$F$11</c:f>
              <c:numCache>
                <c:formatCode>"$"#,##0.000</c:formatCode>
                <c:ptCount val="9"/>
                <c:pt idx="0">
                  <c:v>0</c:v>
                </c:pt>
                <c:pt idx="1">
                  <c:v>0</c:v>
                </c:pt>
                <c:pt idx="2">
                  <c:v>0</c:v>
                </c:pt>
                <c:pt idx="3">
                  <c:v>0</c:v>
                </c:pt>
                <c:pt idx="4">
                  <c:v>0</c:v>
                </c:pt>
                <c:pt idx="5">
                  <c:v>0</c:v>
                </c:pt>
                <c:pt idx="6">
                  <c:v>0</c:v>
                </c:pt>
                <c:pt idx="7">
                  <c:v>-0.10757066870729626</c:v>
                </c:pt>
                <c:pt idx="8">
                  <c:v>0</c:v>
                </c:pt>
              </c:numCache>
            </c:numRef>
          </c:val>
          <c:extLst>
            <c:ext xmlns:c16="http://schemas.microsoft.com/office/drawing/2014/chart" uri="{C3380CC4-5D6E-409C-BE32-E72D297353CC}">
              <c16:uniqueId val="{00000003-B712-4501-A85B-B63C39DE02F4}"/>
            </c:ext>
          </c:extLst>
        </c:ser>
        <c:ser>
          <c:idx val="5"/>
          <c:order val="4"/>
          <c:tx>
            <c:strRef>
              <c:f>'Cost Breakdown'!$G$2</c:f>
              <c:strCache>
                <c:ptCount val="1"/>
                <c:pt idx="0">
                  <c:v> Total Plant Electricity </c:v>
                </c:pt>
              </c:strCache>
            </c:strRef>
          </c:tx>
          <c:spPr>
            <a:pattFill prst="lgCheck">
              <a:fgClr>
                <a:srgbClr val="000000"/>
              </a:fgClr>
              <a:bgClr>
                <a:srgbClr val="FFFFFF"/>
              </a:bgClr>
            </a:pattFill>
            <a:ln w="12700">
              <a:solidFill>
                <a:srgbClr val="000000"/>
              </a:solidFill>
              <a:prstDash val="solid"/>
            </a:ln>
          </c:spPr>
          <c:invertIfNegative val="0"/>
          <c:cat>
            <c:strRef>
              <c:f>'Cost Breakdown'!$B$3:$B$11</c:f>
              <c:strCache>
                <c:ptCount val="9"/>
                <c:pt idx="0">
                  <c:v> Feedstock + Handling: 90.2¢ </c:v>
                </c:pt>
                <c:pt idx="1">
                  <c:v> Pretreatment / Conditioning: 32.7¢ </c:v>
                </c:pt>
                <c:pt idx="2">
                  <c:v> Enzymatic Hydrolysis and Fermentation: 22.3¢ </c:v>
                </c:pt>
                <c:pt idx="3">
                  <c:v> Cellulase Enzyme: 41.2¢ </c:v>
                </c:pt>
                <c:pt idx="4">
                  <c:v> Distillation and Solids Recovery: 12.8¢ </c:v>
                </c:pt>
                <c:pt idx="5">
                  <c:v> Wastewater Treatment: 36.5¢ </c:v>
                </c:pt>
                <c:pt idx="6">
                  <c:v> Storage: 2.5¢ </c:v>
                </c:pt>
                <c:pt idx="7">
                  <c:v> Boiler/Turbogenerator: (Net) 8.1¢ </c:v>
                </c:pt>
                <c:pt idx="8">
                  <c:v> Utilities: 6.5¢ </c:v>
                </c:pt>
              </c:strCache>
            </c:strRef>
          </c:cat>
          <c:val>
            <c:numRef>
              <c:f>'Cost Breakdown'!$G$3:$G$11</c:f>
              <c:numCache>
                <c:formatCode>"$"#,##0.000</c:formatCode>
                <c:ptCount val="9"/>
                <c:pt idx="0">
                  <c:v>0</c:v>
                </c:pt>
                <c:pt idx="1">
                  <c:v>0</c:v>
                </c:pt>
                <c:pt idx="2">
                  <c:v>0</c:v>
                </c:pt>
                <c:pt idx="3">
                  <c:v>0</c:v>
                </c:pt>
                <c:pt idx="4">
                  <c:v>0</c:v>
                </c:pt>
                <c:pt idx="5">
                  <c:v>0</c:v>
                </c:pt>
                <c:pt idx="6">
                  <c:v>0</c:v>
                </c:pt>
                <c:pt idx="7">
                  <c:v>-0.21653362979869306</c:v>
                </c:pt>
                <c:pt idx="8">
                  <c:v>0</c:v>
                </c:pt>
              </c:numCache>
            </c:numRef>
          </c:val>
          <c:extLst>
            <c:ext xmlns:c16="http://schemas.microsoft.com/office/drawing/2014/chart" uri="{C3380CC4-5D6E-409C-BE32-E72D297353CC}">
              <c16:uniqueId val="{00000004-B712-4501-A85B-B63C39DE02F4}"/>
            </c:ext>
          </c:extLst>
        </c:ser>
        <c:ser>
          <c:idx val="6"/>
          <c:order val="5"/>
          <c:tx>
            <c:strRef>
              <c:f>'Cost Breakdown'!$H$2</c:f>
              <c:strCache>
                <c:ptCount val="1"/>
                <c:pt idx="0">
                  <c:v> Fixed Costs </c:v>
                </c:pt>
              </c:strCache>
            </c:strRef>
          </c:tx>
          <c:spPr>
            <a:gradFill rotWithShape="0">
              <a:gsLst>
                <a:gs pos="0">
                  <a:srgbClr val="CC99FF"/>
                </a:gs>
                <a:gs pos="100000">
                  <a:srgbClr val="000000"/>
                </a:gs>
              </a:gsLst>
              <a:lin ang="2700000" scaled="1"/>
            </a:gradFill>
            <a:ln w="12700">
              <a:solidFill>
                <a:srgbClr val="000000"/>
              </a:solidFill>
              <a:prstDash val="solid"/>
            </a:ln>
          </c:spPr>
          <c:invertIfNegative val="0"/>
          <c:cat>
            <c:strRef>
              <c:f>'Cost Breakdown'!$B$3:$B$11</c:f>
              <c:strCache>
                <c:ptCount val="9"/>
                <c:pt idx="0">
                  <c:v> Feedstock + Handling: 90.2¢ </c:v>
                </c:pt>
                <c:pt idx="1">
                  <c:v> Pretreatment / Conditioning: 32.7¢ </c:v>
                </c:pt>
                <c:pt idx="2">
                  <c:v> Enzymatic Hydrolysis and Fermentation: 22.3¢ </c:v>
                </c:pt>
                <c:pt idx="3">
                  <c:v> Cellulase Enzyme: 41.2¢ </c:v>
                </c:pt>
                <c:pt idx="4">
                  <c:v> Distillation and Solids Recovery: 12.8¢ </c:v>
                </c:pt>
                <c:pt idx="5">
                  <c:v> Wastewater Treatment: 36.5¢ </c:v>
                </c:pt>
                <c:pt idx="6">
                  <c:v> Storage: 2.5¢ </c:v>
                </c:pt>
                <c:pt idx="7">
                  <c:v> Boiler/Turbogenerator: (Net) 8.1¢ </c:v>
                </c:pt>
                <c:pt idx="8">
                  <c:v> Utilities: 6.5¢ </c:v>
                </c:pt>
              </c:strCache>
            </c:strRef>
          </c:cat>
          <c:val>
            <c:numRef>
              <c:f>'Cost Breakdown'!$H$3:$H$11</c:f>
              <c:numCache>
                <c:formatCode>"$"#,##0.000</c:formatCode>
                <c:ptCount val="9"/>
                <c:pt idx="0">
                  <c:v>0</c:v>
                </c:pt>
                <c:pt idx="1">
                  <c:v>2.884043333169032E-2</c:v>
                </c:pt>
                <c:pt idx="2">
                  <c:v>2.7364273309837865E-2</c:v>
                </c:pt>
                <c:pt idx="3">
                  <c:v>1.6397156316572944E-2</c:v>
                </c:pt>
                <c:pt idx="4">
                  <c:v>1.9530539492644574E-2</c:v>
                </c:pt>
                <c:pt idx="5">
                  <c:v>4.3084371080039381E-2</c:v>
                </c:pt>
                <c:pt idx="6">
                  <c:v>4.3347014614879466E-3</c:v>
                </c:pt>
                <c:pt idx="7">
                  <c:v>5.758995482350722E-2</c:v>
                </c:pt>
                <c:pt idx="8">
                  <c:v>5.8806752345033041E-3</c:v>
                </c:pt>
              </c:numCache>
            </c:numRef>
          </c:val>
          <c:extLst>
            <c:ext xmlns:c16="http://schemas.microsoft.com/office/drawing/2014/chart" uri="{C3380CC4-5D6E-409C-BE32-E72D297353CC}">
              <c16:uniqueId val="{00000005-B712-4501-A85B-B63C39DE02F4}"/>
            </c:ext>
          </c:extLst>
        </c:ser>
        <c:dLbls>
          <c:showLegendKey val="0"/>
          <c:showVal val="0"/>
          <c:showCatName val="0"/>
          <c:showSerName val="0"/>
          <c:showPercent val="0"/>
          <c:showBubbleSize val="0"/>
        </c:dLbls>
        <c:gapWidth val="150"/>
        <c:overlap val="100"/>
        <c:axId val="137677824"/>
        <c:axId val="137679616"/>
      </c:barChart>
      <c:catAx>
        <c:axId val="137677824"/>
        <c:scaling>
          <c:orientation val="maxMin"/>
        </c:scaling>
        <c:delete val="0"/>
        <c:axPos val="l"/>
        <c:numFmt formatCode="General" sourceLinked="1"/>
        <c:majorTickMark val="out"/>
        <c:minorTickMark val="none"/>
        <c:tickLblPos val="low"/>
        <c:spPr>
          <a:ln w="3175">
            <a:solidFill>
              <a:srgbClr val="000000"/>
            </a:solidFill>
            <a:prstDash val="solid"/>
          </a:ln>
        </c:spPr>
        <c:txPr>
          <a:bodyPr/>
          <a:lstStyle/>
          <a:p>
            <a:pPr>
              <a:defRPr sz="1100" baseline="0">
                <a:latin typeface="Calibri" pitchFamily="34" charset="0"/>
              </a:defRPr>
            </a:pPr>
            <a:endParaRPr lang="en-US"/>
          </a:p>
        </c:txPr>
        <c:crossAx val="137679616"/>
        <c:crosses val="autoZero"/>
        <c:auto val="1"/>
        <c:lblAlgn val="ctr"/>
        <c:lblOffset val="100"/>
        <c:tickMarkSkip val="1"/>
        <c:noMultiLvlLbl val="0"/>
      </c:catAx>
      <c:valAx>
        <c:axId val="137679616"/>
        <c:scaling>
          <c:orientation val="minMax"/>
        </c:scaling>
        <c:delete val="0"/>
        <c:axPos val="b"/>
        <c:numFmt formatCode="&quot;$&quot;#,##0.00" sourceLinked="0"/>
        <c:majorTickMark val="in"/>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Calibri" pitchFamily="34" charset="0"/>
                <a:ea typeface="Arial"/>
                <a:cs typeface="Arial"/>
              </a:defRPr>
            </a:pPr>
            <a:endParaRPr lang="en-US"/>
          </a:p>
        </c:txPr>
        <c:crossAx val="137677824"/>
        <c:crosses val="max"/>
        <c:crossBetween val="between"/>
      </c:valAx>
      <c:spPr>
        <a:noFill/>
        <a:ln w="3175">
          <a:noFill/>
          <a:prstDash val="solid"/>
        </a:ln>
      </c:spPr>
    </c:plotArea>
    <c:legend>
      <c:legendPos val="t"/>
      <c:layout>
        <c:manualLayout>
          <c:xMode val="edge"/>
          <c:yMode val="edge"/>
          <c:x val="0.13272407214158469"/>
          <c:y val="5.4366116441017199E-3"/>
          <c:w val="0.84887075862509176"/>
          <c:h val="0.12561758473980902"/>
        </c:manualLayout>
      </c:layout>
      <c:overlay val="0"/>
      <c:spPr>
        <a:noFill/>
        <a:ln w="3175">
          <a:solidFill>
            <a:srgbClr val="000000"/>
          </a:solidFill>
          <a:prstDash val="solid"/>
        </a:ln>
      </c:spPr>
      <c:txPr>
        <a:bodyPr/>
        <a:lstStyle/>
        <a:p>
          <a:pPr>
            <a:defRPr sz="1100" b="0" i="0" u="none" strike="noStrike" baseline="0">
              <a:solidFill>
                <a:srgbClr val="000000"/>
              </a:solidFill>
              <a:latin typeface="Calibri" pitchFamily="34" charset="0"/>
              <a:ea typeface="Arial"/>
              <a:cs typeface="Arial"/>
            </a:defRPr>
          </a:pPr>
          <a:endParaRPr lang="en-US"/>
        </a:p>
      </c:txPr>
    </c:legend>
    <c:plotVisOnly val="1"/>
    <c:dispBlanksAs val="gap"/>
    <c:showDLblsOverMax val="0"/>
  </c:chart>
  <c:spPr>
    <a:solidFill>
      <a:schemeClr val="bg1"/>
    </a:solidFill>
    <a:ln w="9525">
      <a:noFill/>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3228021895336776E-2"/>
          <c:y val="0.12554720502318997"/>
          <c:w val="0.54349359438530986"/>
          <c:h val="0.56443390285496042"/>
        </c:manualLayout>
      </c:layout>
      <c:pieChart>
        <c:varyColors val="1"/>
        <c:ser>
          <c:idx val="0"/>
          <c:order val="0"/>
          <c:dLbls>
            <c:dLbl>
              <c:idx val="0"/>
              <c:layout>
                <c:manualLayout>
                  <c:x val="0.1281390273861672"/>
                  <c:y val="-0.18669737211044829"/>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99C-4607-98D7-7F9AE155C30B}"/>
                </c:ext>
              </c:extLst>
            </c:dLbl>
            <c:dLbl>
              <c:idx val="1"/>
              <c:layout>
                <c:manualLayout>
                  <c:x val="0.11507551086817602"/>
                  <c:y val="5.9776328309224094E-2"/>
                </c:manualLayout>
              </c:layout>
              <c:tx>
                <c:rich>
                  <a:bodyPr/>
                  <a:lstStyle/>
                  <a:p>
                    <a:r>
                      <a:rPr lang="en-US" b="1"/>
                      <a:t>Enzyme 15.7%</a:t>
                    </a:r>
                  </a:p>
                </c:rich>
              </c:tx>
              <c:showLegendKey val="0"/>
              <c:showVal val="1"/>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099C-4607-98D7-7F9AE155C30B}"/>
                </c:ext>
              </c:extLst>
            </c:dLbl>
            <c:dLbl>
              <c:idx val="2"/>
              <c:layout>
                <c:manualLayout>
                  <c:x val="6.0975234078202996E-2"/>
                  <c:y val="0.14632706813574747"/>
                </c:manualLayout>
              </c:layout>
              <c:tx>
                <c:rich>
                  <a:bodyPr/>
                  <a:lstStyle/>
                  <a:p>
                    <a:r>
                      <a:rPr lang="en-US"/>
                      <a:t>WWT</a:t>
                    </a:r>
                  </a:p>
                  <a:p>
                    <a:r>
                      <a:rPr lang="en-US"/>
                      <a:t>15.6%</a:t>
                    </a:r>
                  </a:p>
                </c:rich>
              </c:tx>
              <c:showLegendKey val="0"/>
              <c:showVal val="1"/>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099C-4607-98D7-7F9AE155C30B}"/>
                </c:ext>
              </c:extLst>
            </c:dLbl>
            <c:dLbl>
              <c:idx val="3"/>
              <c:layout>
                <c:manualLayout>
                  <c:x val="-0.13183552082510819"/>
                  <c:y val="0.14828265556122558"/>
                </c:manualLayout>
              </c:layout>
              <c:tx>
                <c:rich>
                  <a:bodyPr/>
                  <a:lstStyle/>
                  <a:p>
                    <a:r>
                      <a:rPr lang="en-US"/>
                      <a:t>Pre-treatment 13.4%</a:t>
                    </a:r>
                  </a:p>
                </c:rich>
              </c:tx>
              <c:showLegendKey val="0"/>
              <c:showVal val="1"/>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99C-4607-98D7-7F9AE155C30B}"/>
                </c:ext>
              </c:extLst>
            </c:dLbl>
            <c:dLbl>
              <c:idx val="4"/>
              <c:layout>
                <c:manualLayout>
                  <c:x val="3.1648491960272911E-2"/>
                  <c:y val="6.9184696921641906E-3"/>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99C-4607-98D7-7F9AE155C30B}"/>
                </c:ext>
              </c:extLst>
            </c:dLbl>
            <c:dLbl>
              <c:idx val="5"/>
              <c:layout>
                <c:manualLayout>
                  <c:x val="4.9233879205980692E-2"/>
                  <c:y val="1.5690665637023041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99C-4607-98D7-7F9AE155C30B}"/>
                </c:ext>
              </c:extLst>
            </c:dLbl>
            <c:dLbl>
              <c:idx val="6"/>
              <c:layout>
                <c:manualLayout>
                  <c:x val="6.3619911456952019E-2"/>
                  <c:y val="3.2707549034479387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99C-4607-98D7-7F9AE155C30B}"/>
                </c:ext>
              </c:extLst>
            </c:dLbl>
            <c:dLbl>
              <c:idx val="7"/>
              <c:layout>
                <c:manualLayout>
                  <c:x val="2.4671026424466443E-2"/>
                  <c:y val="9.8288309407908933E-2"/>
                </c:manualLayout>
              </c:layout>
              <c:tx>
                <c:rich>
                  <a:bodyPr/>
                  <a:lstStyle/>
                  <a:p>
                    <a:r>
                      <a:rPr lang="en-US" b="1"/>
                      <a:t>Boiler/</a:t>
                    </a:r>
                  </a:p>
                  <a:p>
                    <a:r>
                      <a:rPr lang="en-US" b="1"/>
                      <a:t>Generator, 2.0% (Net)</a:t>
                    </a:r>
                  </a:p>
                </c:rich>
              </c:tx>
              <c:showLegendKey val="0"/>
              <c:showVal val="1"/>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099C-4607-98D7-7F9AE155C30B}"/>
                </c:ext>
              </c:extLst>
            </c:dLbl>
            <c:dLbl>
              <c:idx val="8"/>
              <c:layout>
                <c:manualLayout>
                  <c:x val="-0.17621822819716956"/>
                  <c:y val="0.15067528993201595"/>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99C-4607-98D7-7F9AE155C30B}"/>
                </c:ext>
              </c:extLst>
            </c:dLbl>
            <c:spPr>
              <a:noFill/>
              <a:ln>
                <a:noFill/>
              </a:ln>
              <a:effectLst/>
            </c:spPr>
            <c:txPr>
              <a:bodyPr/>
              <a:lstStyle/>
              <a:p>
                <a:pPr>
                  <a:defRPr sz="1600" b="1"/>
                </a:pPr>
                <a:endParaRPr lang="en-US"/>
              </a:p>
            </c:txPr>
            <c:showLegendKey val="0"/>
            <c:showVal val="1"/>
            <c:showCatName val="1"/>
            <c:showSerName val="0"/>
            <c:showPercent val="0"/>
            <c:showBubbleSize val="0"/>
            <c:showLeaderLines val="1"/>
            <c:extLst>
              <c:ext xmlns:c15="http://schemas.microsoft.com/office/drawing/2012/chart" uri="{CE6537A1-D6FC-4f65-9D91-7224C49458BB}"/>
            </c:extLst>
          </c:dLbls>
          <c:cat>
            <c:strRef>
              <c:f>'Cost Breakdown'!$B$58:$B$66</c:f>
              <c:strCache>
                <c:ptCount val="9"/>
                <c:pt idx="0">
                  <c:v> Feedstock </c:v>
                </c:pt>
                <c:pt idx="1">
                  <c:v> Enzyme </c:v>
                </c:pt>
                <c:pt idx="2">
                  <c:v> Wastewater Treatment </c:v>
                </c:pt>
                <c:pt idx="3">
                  <c:v> Pre-treatment </c:v>
                </c:pt>
                <c:pt idx="4">
                  <c:v> Enz. Hydr. &amp; Ferm. </c:v>
                </c:pt>
                <c:pt idx="5">
                  <c:v> Recovery </c:v>
                </c:pt>
                <c:pt idx="6">
                  <c:v> Utilities </c:v>
                </c:pt>
                <c:pt idx="7">
                  <c:v> Boiler/Generator </c:v>
                </c:pt>
                <c:pt idx="8">
                  <c:v> Storage </c:v>
                </c:pt>
              </c:strCache>
            </c:strRef>
          </c:cat>
          <c:val>
            <c:numRef>
              <c:f>'Cost Breakdown'!$C$58:$C$66</c:f>
              <c:numCache>
                <c:formatCode>0.0%</c:formatCode>
                <c:ptCount val="9"/>
                <c:pt idx="0">
                  <c:v>0.35700814374582651</c:v>
                </c:pt>
                <c:pt idx="1">
                  <c:v>0.16291573812793098</c:v>
                </c:pt>
                <c:pt idx="2">
                  <c:v>0.14423785252391486</c:v>
                </c:pt>
                <c:pt idx="3">
                  <c:v>0.1292971877296728</c:v>
                </c:pt>
                <c:pt idx="4">
                  <c:v>8.8319689408351221E-2</c:v>
                </c:pt>
                <c:pt idx="5">
                  <c:v>5.0683946679288917E-2</c:v>
                </c:pt>
                <c:pt idx="6">
                  <c:v>2.5857332698390984E-2</c:v>
                </c:pt>
                <c:pt idx="7">
                  <c:v>3.1868301003127493E-2</c:v>
                </c:pt>
                <c:pt idx="8">
                  <c:v>9.8118082147362739E-3</c:v>
                </c:pt>
              </c:numCache>
            </c:numRef>
          </c:val>
          <c:extLst>
            <c:ext xmlns:c16="http://schemas.microsoft.com/office/drawing/2014/chart" uri="{C3380CC4-5D6E-409C-BE32-E72D297353CC}">
              <c16:uniqueId val="{00000009-099C-4607-98D7-7F9AE155C30B}"/>
            </c:ext>
          </c:extLst>
        </c:ser>
        <c:dLbls>
          <c:showLegendKey val="0"/>
          <c:showVal val="0"/>
          <c:showCatName val="0"/>
          <c:showSerName val="0"/>
          <c:showPercent val="0"/>
          <c:showBubbleSize val="0"/>
          <c:showLeaderLines val="1"/>
        </c:dLbls>
        <c:firstSliceAng val="138"/>
      </c:pieChart>
    </c:plotArea>
    <c:plotVisOnly val="1"/>
    <c:dispBlanksAs val="gap"/>
    <c:showDLblsOverMax val="0"/>
  </c:chart>
  <c:spPr>
    <a:ln>
      <a:noFill/>
    </a:ln>
  </c:spPr>
  <c:printSettings>
    <c:headerFooter/>
    <c:pageMargins b="0.75000000000000211" l="0.70000000000000062" r="0.70000000000000062" t="0.750000000000002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Chemical Engineering Plant Cost Index</a:t>
            </a:r>
          </a:p>
        </c:rich>
      </c:tx>
      <c:layout>
        <c:manualLayout>
          <c:xMode val="edge"/>
          <c:yMode val="edge"/>
          <c:x val="0.30955993930198838"/>
          <c:y val="2.8520499108734367E-2"/>
        </c:manualLayout>
      </c:layout>
      <c:overlay val="0"/>
      <c:spPr>
        <a:noFill/>
        <a:ln w="25400">
          <a:noFill/>
        </a:ln>
      </c:spPr>
    </c:title>
    <c:autoTitleDeleted val="0"/>
    <c:plotArea>
      <c:layout>
        <c:manualLayout>
          <c:layoutTarget val="inner"/>
          <c:xMode val="edge"/>
          <c:yMode val="edge"/>
          <c:x val="0.10925644916540229"/>
          <c:y val="7.8431509078913719E-2"/>
          <c:w val="0.86039453717755165"/>
          <c:h val="0.84313872259834965"/>
        </c:manualLayout>
      </c:layout>
      <c:scatterChart>
        <c:scatterStyle val="lineMarker"/>
        <c:varyColors val="0"/>
        <c:ser>
          <c:idx val="0"/>
          <c:order val="0"/>
          <c:tx>
            <c:v>Actual index</c:v>
          </c:tx>
          <c:spPr>
            <a:ln w="12700">
              <a:solidFill>
                <a:srgbClr val="000080"/>
              </a:solidFill>
              <a:prstDash val="solid"/>
            </a:ln>
          </c:spPr>
          <c:marker>
            <c:symbol val="diamond"/>
            <c:size val="5"/>
            <c:spPr>
              <a:solidFill>
                <a:srgbClr val="000080"/>
              </a:solidFill>
              <a:ln>
                <a:solidFill>
                  <a:srgbClr val="000080"/>
                </a:solidFill>
                <a:prstDash val="solid"/>
              </a:ln>
            </c:spPr>
          </c:marker>
          <c:xVal>
            <c:numRef>
              <c:f>INDICES!$B$15:$B$40</c:f>
              <c:numCache>
                <c:formatCode>General_)</c:formatCode>
                <c:ptCount val="26"/>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formatCode="General">
                  <c:v>2009</c:v>
                </c:pt>
                <c:pt idx="20" formatCode="General">
                  <c:v>2010</c:v>
                </c:pt>
                <c:pt idx="21" formatCode="General">
                  <c:v>2011</c:v>
                </c:pt>
                <c:pt idx="22" formatCode="General">
                  <c:v>2012</c:v>
                </c:pt>
                <c:pt idx="23" formatCode="General">
                  <c:v>2013</c:v>
                </c:pt>
                <c:pt idx="24" formatCode="General">
                  <c:v>2014</c:v>
                </c:pt>
                <c:pt idx="25" formatCode="General">
                  <c:v>2015</c:v>
                </c:pt>
              </c:numCache>
            </c:numRef>
          </c:xVal>
          <c:yVal>
            <c:numRef>
              <c:f>INDICES!$C$15:$C$40</c:f>
              <c:numCache>
                <c:formatCode>0.0</c:formatCode>
                <c:ptCount val="26"/>
                <c:pt idx="0">
                  <c:v>357.6</c:v>
                </c:pt>
                <c:pt idx="1">
                  <c:v>361.3</c:v>
                </c:pt>
                <c:pt idx="2">
                  <c:v>358.2</c:v>
                </c:pt>
                <c:pt idx="3">
                  <c:v>359.2</c:v>
                </c:pt>
                <c:pt idx="4">
                  <c:v>368.1</c:v>
                </c:pt>
                <c:pt idx="5">
                  <c:v>381.1</c:v>
                </c:pt>
                <c:pt idx="6">
                  <c:v>381.7</c:v>
                </c:pt>
                <c:pt idx="7">
                  <c:v>386.5</c:v>
                </c:pt>
                <c:pt idx="8">
                  <c:v>389.5</c:v>
                </c:pt>
                <c:pt idx="9">
                  <c:v>390.6</c:v>
                </c:pt>
                <c:pt idx="10">
                  <c:v>394.1</c:v>
                </c:pt>
                <c:pt idx="11">
                  <c:v>394.3</c:v>
                </c:pt>
                <c:pt idx="12">
                  <c:v>395.6</c:v>
                </c:pt>
                <c:pt idx="13">
                  <c:v>402</c:v>
                </c:pt>
                <c:pt idx="14">
                  <c:v>444.2</c:v>
                </c:pt>
                <c:pt idx="15">
                  <c:v>468.2</c:v>
                </c:pt>
                <c:pt idx="16">
                  <c:v>499.6</c:v>
                </c:pt>
                <c:pt idx="17">
                  <c:v>525.4</c:v>
                </c:pt>
                <c:pt idx="18">
                  <c:v>575.4</c:v>
                </c:pt>
                <c:pt idx="19" formatCode="General">
                  <c:v>521.9</c:v>
                </c:pt>
                <c:pt idx="20" formatCode="General">
                  <c:v>550.79999999999995</c:v>
                </c:pt>
                <c:pt idx="21" formatCode="General">
                  <c:v>585.70000000000005</c:v>
                </c:pt>
                <c:pt idx="22" formatCode="General">
                  <c:v>584.6</c:v>
                </c:pt>
                <c:pt idx="23" formatCode="General">
                  <c:v>567.29999999999995</c:v>
                </c:pt>
                <c:pt idx="24" formatCode="General">
                  <c:v>576.1</c:v>
                </c:pt>
                <c:pt idx="25" formatCode="General">
                  <c:v>556.79999999999995</c:v>
                </c:pt>
              </c:numCache>
            </c:numRef>
          </c:yVal>
          <c:smooth val="0"/>
          <c:extLst>
            <c:ext xmlns:c16="http://schemas.microsoft.com/office/drawing/2014/chart" uri="{C3380CC4-5D6E-409C-BE32-E72D297353CC}">
              <c16:uniqueId val="{00000000-A65A-42D3-A098-FE45492071C6}"/>
            </c:ext>
          </c:extLst>
        </c:ser>
        <c:ser>
          <c:idx val="1"/>
          <c:order val="1"/>
          <c:tx>
            <c:v>From Regression</c:v>
          </c:tx>
          <c:spPr>
            <a:ln w="12700">
              <a:solidFill>
                <a:srgbClr val="FF00FF"/>
              </a:solidFill>
              <a:prstDash val="sysDash"/>
            </a:ln>
          </c:spPr>
          <c:marker>
            <c:symbol val="diamond"/>
            <c:size val="5"/>
            <c:spPr>
              <a:solidFill>
                <a:srgbClr val="FFFFFF"/>
              </a:solidFill>
              <a:ln>
                <a:solidFill>
                  <a:srgbClr val="FF00FF"/>
                </a:solidFill>
                <a:prstDash val="solid"/>
              </a:ln>
            </c:spPr>
          </c:marker>
          <c:xVal>
            <c:numRef>
              <c:f>INDICES!$B$15:$B$40</c:f>
              <c:numCache>
                <c:formatCode>General_)</c:formatCode>
                <c:ptCount val="26"/>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formatCode="General">
                  <c:v>2009</c:v>
                </c:pt>
                <c:pt idx="20" formatCode="General">
                  <c:v>2010</c:v>
                </c:pt>
                <c:pt idx="21" formatCode="General">
                  <c:v>2011</c:v>
                </c:pt>
                <c:pt idx="22" formatCode="General">
                  <c:v>2012</c:v>
                </c:pt>
                <c:pt idx="23" formatCode="General">
                  <c:v>2013</c:v>
                </c:pt>
                <c:pt idx="24" formatCode="General">
                  <c:v>2014</c:v>
                </c:pt>
                <c:pt idx="25" formatCode="General">
                  <c:v>2015</c:v>
                </c:pt>
              </c:numCache>
            </c:numRef>
          </c:xVal>
          <c:yVal>
            <c:numRef>
              <c:f>INDICES!$D$15:$D$40</c:f>
              <c:numCache>
                <c:formatCode>0.0</c:formatCode>
                <c:ptCount val="26"/>
                <c:pt idx="0">
                  <c:v>370.11071428571449</c:v>
                </c:pt>
                <c:pt idx="1">
                  <c:v>372.35357142857174</c:v>
                </c:pt>
                <c:pt idx="2">
                  <c:v>374.59642857142899</c:v>
                </c:pt>
                <c:pt idx="3">
                  <c:v>376.83928571428623</c:v>
                </c:pt>
                <c:pt idx="4">
                  <c:v>379.08214285714348</c:v>
                </c:pt>
                <c:pt idx="5">
                  <c:v>381.32500000000073</c:v>
                </c:pt>
                <c:pt idx="6">
                  <c:v>383.56785714285797</c:v>
                </c:pt>
                <c:pt idx="7">
                  <c:v>385.81071428571522</c:v>
                </c:pt>
                <c:pt idx="8">
                  <c:v>388.05357142857247</c:v>
                </c:pt>
                <c:pt idx="9">
                  <c:v>390.29642857142881</c:v>
                </c:pt>
                <c:pt idx="10">
                  <c:v>392.53928571428605</c:v>
                </c:pt>
                <c:pt idx="11">
                  <c:v>394.7821428571433</c:v>
                </c:pt>
                <c:pt idx="12">
                  <c:v>397.02500000000055</c:v>
                </c:pt>
                <c:pt idx="13">
                  <c:v>399.26785714285779</c:v>
                </c:pt>
                <c:pt idx="14">
                  <c:v>401.51071428571504</c:v>
                </c:pt>
                <c:pt idx="15">
                  <c:v>403.75357142857229</c:v>
                </c:pt>
                <c:pt idx="16">
                  <c:v>405.99642857142953</c:v>
                </c:pt>
              </c:numCache>
            </c:numRef>
          </c:yVal>
          <c:smooth val="0"/>
          <c:extLst>
            <c:ext xmlns:c16="http://schemas.microsoft.com/office/drawing/2014/chart" uri="{C3380CC4-5D6E-409C-BE32-E72D297353CC}">
              <c16:uniqueId val="{00000001-A65A-42D3-A098-FE45492071C6}"/>
            </c:ext>
          </c:extLst>
        </c:ser>
        <c:ser>
          <c:idx val="2"/>
          <c:order val="2"/>
          <c:tx>
            <c:v>"Used in Calculations"</c:v>
          </c:tx>
          <c:spPr>
            <a:ln w="28575">
              <a:noFill/>
            </a:ln>
          </c:spPr>
          <c:marker>
            <c:symbol val="diamond"/>
            <c:size val="5"/>
            <c:spPr>
              <a:noFill/>
              <a:ln>
                <a:solidFill>
                  <a:srgbClr val="000080"/>
                </a:solidFill>
                <a:prstDash val="solid"/>
              </a:ln>
            </c:spPr>
          </c:marker>
          <c:xVal>
            <c:numRef>
              <c:f>INDICES!$B$15:$B$40</c:f>
              <c:numCache>
                <c:formatCode>General_)</c:formatCode>
                <c:ptCount val="26"/>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formatCode="General">
                  <c:v>2009</c:v>
                </c:pt>
                <c:pt idx="20" formatCode="General">
                  <c:v>2010</c:v>
                </c:pt>
                <c:pt idx="21" formatCode="General">
                  <c:v>2011</c:v>
                </c:pt>
                <c:pt idx="22" formatCode="General">
                  <c:v>2012</c:v>
                </c:pt>
                <c:pt idx="23" formatCode="General">
                  <c:v>2013</c:v>
                </c:pt>
                <c:pt idx="24" formatCode="General">
                  <c:v>2014</c:v>
                </c:pt>
                <c:pt idx="25" formatCode="General">
                  <c:v>2015</c:v>
                </c:pt>
              </c:numCache>
            </c:numRef>
          </c:xVal>
          <c:yVal>
            <c:numRef>
              <c:f>INDICES!$E$15:$E$40</c:f>
              <c:numCache>
                <c:formatCode>0.0</c:formatCode>
                <c:ptCount val="26"/>
                <c:pt idx="0">
                  <c:v>357.6</c:v>
                </c:pt>
                <c:pt idx="1">
                  <c:v>361.3</c:v>
                </c:pt>
                <c:pt idx="2">
                  <c:v>358.2</c:v>
                </c:pt>
                <c:pt idx="3">
                  <c:v>359.2</c:v>
                </c:pt>
                <c:pt idx="4">
                  <c:v>368.1</c:v>
                </c:pt>
                <c:pt idx="5">
                  <c:v>381.1</c:v>
                </c:pt>
                <c:pt idx="6">
                  <c:v>381.7</c:v>
                </c:pt>
                <c:pt idx="7">
                  <c:v>386.5</c:v>
                </c:pt>
                <c:pt idx="8">
                  <c:v>389.5</c:v>
                </c:pt>
                <c:pt idx="9">
                  <c:v>390.6</c:v>
                </c:pt>
                <c:pt idx="10">
                  <c:v>394.1</c:v>
                </c:pt>
                <c:pt idx="11">
                  <c:v>394.3</c:v>
                </c:pt>
                <c:pt idx="12">
                  <c:v>395.6</c:v>
                </c:pt>
                <c:pt idx="13">
                  <c:v>402</c:v>
                </c:pt>
                <c:pt idx="14">
                  <c:v>444.2</c:v>
                </c:pt>
                <c:pt idx="15">
                  <c:v>468.2</c:v>
                </c:pt>
                <c:pt idx="16">
                  <c:v>499.6</c:v>
                </c:pt>
                <c:pt idx="17">
                  <c:v>525.4</c:v>
                </c:pt>
                <c:pt idx="18">
                  <c:v>575.4</c:v>
                </c:pt>
                <c:pt idx="19" formatCode="General">
                  <c:v>521.9</c:v>
                </c:pt>
                <c:pt idx="20" formatCode="General">
                  <c:v>550.79999999999995</c:v>
                </c:pt>
                <c:pt idx="21" formatCode="General">
                  <c:v>585.70000000000005</c:v>
                </c:pt>
                <c:pt idx="22" formatCode="General">
                  <c:v>584.6</c:v>
                </c:pt>
                <c:pt idx="23" formatCode="General">
                  <c:v>567.29999999999995</c:v>
                </c:pt>
                <c:pt idx="24" formatCode="General">
                  <c:v>576.1</c:v>
                </c:pt>
                <c:pt idx="25">
                  <c:v>556.79999999999995</c:v>
                </c:pt>
              </c:numCache>
            </c:numRef>
          </c:yVal>
          <c:smooth val="0"/>
          <c:extLst>
            <c:ext xmlns:c16="http://schemas.microsoft.com/office/drawing/2014/chart" uri="{C3380CC4-5D6E-409C-BE32-E72D297353CC}">
              <c16:uniqueId val="{00000002-A65A-42D3-A098-FE45492071C6}"/>
            </c:ext>
          </c:extLst>
        </c:ser>
        <c:dLbls>
          <c:showLegendKey val="0"/>
          <c:showVal val="0"/>
          <c:showCatName val="0"/>
          <c:showSerName val="0"/>
          <c:showPercent val="0"/>
          <c:showBubbleSize val="0"/>
        </c:dLbls>
        <c:axId val="156621056"/>
        <c:axId val="156857088"/>
      </c:scatterChart>
      <c:valAx>
        <c:axId val="156621056"/>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Year</a:t>
                </a:r>
              </a:p>
            </c:rich>
          </c:tx>
          <c:layout>
            <c:manualLayout>
              <c:xMode val="edge"/>
              <c:yMode val="edge"/>
              <c:x val="0.51745068285280726"/>
              <c:y val="0.95543840442404593"/>
            </c:manualLayout>
          </c:layout>
          <c:overlay val="0"/>
          <c:spPr>
            <a:noFill/>
            <a:ln w="25400">
              <a:noFill/>
            </a:ln>
          </c:spPr>
        </c:title>
        <c:numFmt formatCode="General_)"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56857088"/>
        <c:crosses val="autoZero"/>
        <c:crossBetween val="midCat"/>
      </c:valAx>
      <c:valAx>
        <c:axId val="156857088"/>
        <c:scaling>
          <c:orientation val="minMax"/>
          <c:min val="350"/>
        </c:scaling>
        <c:delete val="0"/>
        <c:axPos val="l"/>
        <c:title>
          <c:tx>
            <c:rich>
              <a:bodyPr/>
              <a:lstStyle/>
              <a:p>
                <a:pPr>
                  <a:defRPr sz="800" b="1" i="0" u="none" strike="noStrike" baseline="0">
                    <a:solidFill>
                      <a:srgbClr val="000000"/>
                    </a:solidFill>
                    <a:latin typeface="Arial"/>
                    <a:ea typeface="Arial"/>
                    <a:cs typeface="Arial"/>
                  </a:defRPr>
                </a:pPr>
                <a:r>
                  <a:rPr lang="en-US"/>
                  <a:t>Index</a:t>
                </a:r>
              </a:p>
            </c:rich>
          </c:tx>
          <c:layout>
            <c:manualLayout>
              <c:xMode val="edge"/>
              <c:yMode val="edge"/>
              <c:x val="2.1244309559939892E-2"/>
              <c:y val="0.46880645266936088"/>
            </c:manualLayout>
          </c:layout>
          <c:overlay val="0"/>
          <c:spPr>
            <a:noFill/>
            <a:ln w="25400">
              <a:noFill/>
            </a:ln>
          </c:spPr>
        </c:title>
        <c:numFmt formatCode="0.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56621056"/>
        <c:crosses val="autoZero"/>
        <c:crossBetween val="midCat"/>
      </c:valAx>
      <c:spPr>
        <a:solidFill>
          <a:srgbClr val="FFFFFF"/>
        </a:solidFill>
        <a:ln w="12700">
          <a:solidFill>
            <a:srgbClr val="000000"/>
          </a:solidFill>
          <a:prstDash val="solid"/>
        </a:ln>
      </c:spPr>
    </c:plotArea>
    <c:legend>
      <c:legendPos val="r"/>
      <c:layout>
        <c:manualLayout>
          <c:xMode val="edge"/>
          <c:yMode val="edge"/>
          <c:x val="0.65402124430964248"/>
          <c:y val="0.75401200518384404"/>
          <c:w val="0.23672230652504594"/>
          <c:h val="0.10338699641154703"/>
        </c:manualLayout>
      </c:layout>
      <c:overlay val="0"/>
      <c:spPr>
        <a:solidFill>
          <a:srgbClr val="FFFFFF"/>
        </a:solidFill>
        <a:ln w="3175">
          <a:solidFill>
            <a:srgbClr val="000000"/>
          </a:solidFill>
          <a:prstDash val="solid"/>
        </a:ln>
        <a:effectLst>
          <a:outerShdw dist="35921" dir="2700000" algn="br">
            <a:srgbClr val="000000"/>
          </a:outerShdw>
        </a:effectLst>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1465" r="0.75000000000001465" t="1" header="0.5" footer="0.5"/>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Labor Index
Earnings of Chemical Production Workers</a:t>
            </a:r>
          </a:p>
        </c:rich>
      </c:tx>
      <c:layout>
        <c:manualLayout>
          <c:xMode val="edge"/>
          <c:yMode val="edge"/>
          <c:x val="0.30349013657056145"/>
          <c:y val="7.5414781297143546E-3"/>
        </c:manualLayout>
      </c:layout>
      <c:overlay val="0"/>
      <c:spPr>
        <a:noFill/>
        <a:ln w="25400">
          <a:noFill/>
        </a:ln>
      </c:spPr>
    </c:title>
    <c:autoTitleDeleted val="0"/>
    <c:plotArea>
      <c:layout>
        <c:manualLayout>
          <c:layoutTarget val="inner"/>
          <c:xMode val="edge"/>
          <c:yMode val="edge"/>
          <c:x val="0.12594840667678694"/>
          <c:y val="0.10407255148319622"/>
          <c:w val="0.82701062215483712"/>
          <c:h val="0.78431488074278255"/>
        </c:manualLayout>
      </c:layout>
      <c:scatterChart>
        <c:scatterStyle val="lineMarker"/>
        <c:varyColors val="0"/>
        <c:ser>
          <c:idx val="0"/>
          <c:order val="0"/>
          <c:tx>
            <c:v>Calculated Index</c:v>
          </c:tx>
          <c:spPr>
            <a:ln w="12700">
              <a:solidFill>
                <a:srgbClr val="FF00FF"/>
              </a:solidFill>
              <a:prstDash val="lgDash"/>
            </a:ln>
          </c:spPr>
          <c:marker>
            <c:symbol val="square"/>
            <c:size val="5"/>
            <c:spPr>
              <a:solidFill>
                <a:srgbClr val="FFFFFF"/>
              </a:solidFill>
              <a:ln>
                <a:solidFill>
                  <a:srgbClr val="FF00FF"/>
                </a:solidFill>
                <a:prstDash val="solid"/>
              </a:ln>
            </c:spPr>
          </c:marker>
          <c:xVal>
            <c:numRef>
              <c:f>INDICES!$B$109:$B$140</c:f>
              <c:numCache>
                <c:formatCode>General_)</c:formatCode>
                <c:ptCount val="32"/>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formatCode="General">
                  <c:v>2011</c:v>
                </c:pt>
              </c:numCache>
            </c:numRef>
          </c:xVal>
          <c:yVal>
            <c:numRef>
              <c:f>INDICES!$D$109:$D$140</c:f>
              <c:numCache>
                <c:formatCode>#,##0.00</c:formatCode>
                <c:ptCount val="32"/>
                <c:pt idx="0">
                  <c:v>8.3132500000000391</c:v>
                </c:pt>
                <c:pt idx="1">
                  <c:v>8.7540000000000191</c:v>
                </c:pt>
                <c:pt idx="2">
                  <c:v>9.1947499999999991</c:v>
                </c:pt>
                <c:pt idx="3">
                  <c:v>9.6355000000000928</c:v>
                </c:pt>
                <c:pt idx="4">
                  <c:v>10.076250000000073</c:v>
                </c:pt>
                <c:pt idx="5">
                  <c:v>10.517000000000053</c:v>
                </c:pt>
                <c:pt idx="6">
                  <c:v>10.957750000000033</c:v>
                </c:pt>
                <c:pt idx="7">
                  <c:v>11.398500000000013</c:v>
                </c:pt>
                <c:pt idx="8">
                  <c:v>11.839249999999993</c:v>
                </c:pt>
                <c:pt idx="9">
                  <c:v>12.280000000000086</c:v>
                </c:pt>
                <c:pt idx="10">
                  <c:v>12.720750000000066</c:v>
                </c:pt>
                <c:pt idx="11">
                  <c:v>13.161500000000046</c:v>
                </c:pt>
                <c:pt idx="12">
                  <c:v>13.602250000000026</c:v>
                </c:pt>
                <c:pt idx="13">
                  <c:v>14.043000000000006</c:v>
                </c:pt>
                <c:pt idx="14">
                  <c:v>14.483749999999986</c:v>
                </c:pt>
                <c:pt idx="15">
                  <c:v>14.92450000000008</c:v>
                </c:pt>
                <c:pt idx="16">
                  <c:v>15.36525000000006</c:v>
                </c:pt>
                <c:pt idx="17">
                  <c:v>15.80600000000004</c:v>
                </c:pt>
                <c:pt idx="18">
                  <c:v>16.24675000000002</c:v>
                </c:pt>
                <c:pt idx="19">
                  <c:v>16.6875</c:v>
                </c:pt>
                <c:pt idx="20">
                  <c:v>17.128250000000094</c:v>
                </c:pt>
                <c:pt idx="21">
                  <c:v>17.569000000000074</c:v>
                </c:pt>
                <c:pt idx="22">
                  <c:v>18.009750000000054</c:v>
                </c:pt>
                <c:pt idx="23">
                  <c:v>18.450500000000034</c:v>
                </c:pt>
                <c:pt idx="24">
                  <c:v>18.891250000000014</c:v>
                </c:pt>
                <c:pt idx="25">
                  <c:v>19.331999999999994</c:v>
                </c:pt>
                <c:pt idx="26">
                  <c:v>19.772750000000087</c:v>
                </c:pt>
                <c:pt idx="27">
                  <c:v>1998.1231626673775</c:v>
                </c:pt>
                <c:pt idx="28">
                  <c:v>1999.1186712715889</c:v>
                </c:pt>
                <c:pt idx="29">
                  <c:v>2000.1141798758003</c:v>
                </c:pt>
                <c:pt idx="30">
                  <c:v>2001.1096884800115</c:v>
                </c:pt>
                <c:pt idx="31" formatCode="General">
                  <c:v>0</c:v>
                </c:pt>
              </c:numCache>
            </c:numRef>
          </c:yVal>
          <c:smooth val="0"/>
          <c:extLst>
            <c:ext xmlns:c16="http://schemas.microsoft.com/office/drawing/2014/chart" uri="{C3380CC4-5D6E-409C-BE32-E72D297353CC}">
              <c16:uniqueId val="{00000000-CA74-4CBF-AFB1-1C09ED450E72}"/>
            </c:ext>
          </c:extLst>
        </c:ser>
        <c:ser>
          <c:idx val="1"/>
          <c:order val="1"/>
          <c:tx>
            <c:v>Bureau of Labor Statistics</c:v>
          </c:tx>
          <c:spPr>
            <a:ln w="12700">
              <a:solidFill>
                <a:srgbClr val="000080"/>
              </a:solidFill>
              <a:prstDash val="solid"/>
            </a:ln>
          </c:spPr>
          <c:marker>
            <c:symbol val="square"/>
            <c:size val="5"/>
            <c:spPr>
              <a:solidFill>
                <a:srgbClr val="000080"/>
              </a:solidFill>
              <a:ln>
                <a:solidFill>
                  <a:srgbClr val="000080"/>
                </a:solidFill>
                <a:prstDash val="solid"/>
              </a:ln>
            </c:spPr>
          </c:marker>
          <c:xVal>
            <c:numRef>
              <c:f>INDICES!$B$109:$B$140</c:f>
              <c:numCache>
                <c:formatCode>General_)</c:formatCode>
                <c:ptCount val="32"/>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formatCode="General">
                  <c:v>2011</c:v>
                </c:pt>
              </c:numCache>
            </c:numRef>
          </c:xVal>
          <c:yVal>
            <c:numRef>
              <c:f>INDICES!$C$109:$C$140</c:f>
              <c:numCache>
                <c:formatCode>#,##0.00</c:formatCode>
                <c:ptCount val="32"/>
                <c:pt idx="10">
                  <c:v>12.85</c:v>
                </c:pt>
                <c:pt idx="11">
                  <c:v>13.3</c:v>
                </c:pt>
                <c:pt idx="12">
                  <c:v>13.7</c:v>
                </c:pt>
                <c:pt idx="13">
                  <c:v>13.97</c:v>
                </c:pt>
                <c:pt idx="14">
                  <c:v>14.33</c:v>
                </c:pt>
                <c:pt idx="15">
                  <c:v>14.86</c:v>
                </c:pt>
                <c:pt idx="16">
                  <c:v>15.37</c:v>
                </c:pt>
                <c:pt idx="17">
                  <c:v>15.78</c:v>
                </c:pt>
                <c:pt idx="18">
                  <c:v>16.23</c:v>
                </c:pt>
                <c:pt idx="19">
                  <c:v>16.399999999999999</c:v>
                </c:pt>
                <c:pt idx="20">
                  <c:v>17.09</c:v>
                </c:pt>
                <c:pt idx="21">
                  <c:v>17.57</c:v>
                </c:pt>
                <c:pt idx="22">
                  <c:v>17.97</c:v>
                </c:pt>
                <c:pt idx="23">
                  <c:v>18.5</c:v>
                </c:pt>
                <c:pt idx="24">
                  <c:v>19.170000000000002</c:v>
                </c:pt>
                <c:pt idx="25">
                  <c:v>19.670000000000002</c:v>
                </c:pt>
                <c:pt idx="26">
                  <c:v>19.600000000000001</c:v>
                </c:pt>
                <c:pt idx="27">
                  <c:v>19.55</c:v>
                </c:pt>
                <c:pt idx="28">
                  <c:v>19.5</c:v>
                </c:pt>
                <c:pt idx="29">
                  <c:v>20.3</c:v>
                </c:pt>
                <c:pt idx="30">
                  <c:v>21.07</c:v>
                </c:pt>
                <c:pt idx="31" formatCode="General">
                  <c:v>21.46</c:v>
                </c:pt>
              </c:numCache>
            </c:numRef>
          </c:yVal>
          <c:smooth val="0"/>
          <c:extLst>
            <c:ext xmlns:c16="http://schemas.microsoft.com/office/drawing/2014/chart" uri="{C3380CC4-5D6E-409C-BE32-E72D297353CC}">
              <c16:uniqueId val="{00000001-CA74-4CBF-AFB1-1C09ED450E72}"/>
            </c:ext>
          </c:extLst>
        </c:ser>
        <c:dLbls>
          <c:showLegendKey val="0"/>
          <c:showVal val="0"/>
          <c:showCatName val="0"/>
          <c:showSerName val="0"/>
          <c:showPercent val="0"/>
          <c:showBubbleSize val="0"/>
        </c:dLbls>
        <c:axId val="157533696"/>
        <c:axId val="157535616"/>
      </c:scatterChart>
      <c:valAx>
        <c:axId val="157533696"/>
        <c:scaling>
          <c:orientation val="minMax"/>
        </c:scaling>
        <c:delete val="0"/>
        <c:axPos val="b"/>
        <c:numFmt formatCode="General_)"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57535616"/>
        <c:crosses val="autoZero"/>
        <c:crossBetween val="midCat"/>
      </c:valAx>
      <c:valAx>
        <c:axId val="157535616"/>
        <c:scaling>
          <c:orientation val="minMax"/>
          <c:min val="5"/>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57533696"/>
        <c:crosses val="autoZero"/>
        <c:crossBetween val="midCat"/>
      </c:valAx>
      <c:spPr>
        <a:solidFill>
          <a:srgbClr val="FFFFFF"/>
        </a:solidFill>
        <a:ln w="12700">
          <a:solidFill>
            <a:srgbClr val="000000"/>
          </a:solidFill>
          <a:prstDash val="solid"/>
        </a:ln>
      </c:spPr>
    </c:plotArea>
    <c:legend>
      <c:legendPos val="r"/>
      <c:layout>
        <c:manualLayout>
          <c:xMode val="edge"/>
          <c:yMode val="edge"/>
          <c:x val="0.61760242792109465"/>
          <c:y val="0.75414892143013046"/>
          <c:w val="0.27769347496206281"/>
          <c:h val="8.4464713404036607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Industrial Inorganic Chemical Index
From SRI Chemical Economics Handbook (2004)</a:t>
            </a:r>
          </a:p>
        </c:rich>
      </c:tx>
      <c:layout>
        <c:manualLayout>
          <c:xMode val="edge"/>
          <c:yMode val="edge"/>
          <c:x val="0.26858877086499877"/>
          <c:y val="2.7149321266968351E-2"/>
        </c:manualLayout>
      </c:layout>
      <c:overlay val="0"/>
      <c:spPr>
        <a:noFill/>
        <a:ln w="25400">
          <a:noFill/>
        </a:ln>
      </c:spPr>
    </c:title>
    <c:autoTitleDeleted val="0"/>
    <c:plotArea>
      <c:layout>
        <c:manualLayout>
          <c:layoutTarget val="inner"/>
          <c:xMode val="edge"/>
          <c:yMode val="edge"/>
          <c:x val="9.8634294385448101E-2"/>
          <c:y val="0.10558084933076645"/>
          <c:w val="0.83004552352056082"/>
          <c:h val="0.80995594415173711"/>
        </c:manualLayout>
      </c:layout>
      <c:scatterChart>
        <c:scatterStyle val="lineMarker"/>
        <c:varyColors val="0"/>
        <c:ser>
          <c:idx val="0"/>
          <c:order val="0"/>
          <c:tx>
            <c:v>Calculated Index</c:v>
          </c:tx>
          <c:spPr>
            <a:ln w="12700">
              <a:solidFill>
                <a:srgbClr val="FF00FF"/>
              </a:solidFill>
              <a:prstDash val="lgDash"/>
            </a:ln>
          </c:spPr>
          <c:marker>
            <c:symbol val="square"/>
            <c:size val="5"/>
            <c:spPr>
              <a:solidFill>
                <a:srgbClr val="FFFFFF"/>
              </a:solidFill>
              <a:ln>
                <a:solidFill>
                  <a:srgbClr val="FF00FF"/>
                </a:solidFill>
                <a:prstDash val="solid"/>
              </a:ln>
            </c:spPr>
          </c:marker>
          <c:xVal>
            <c:numRef>
              <c:f>INDICES!$B$57:$B$88</c:f>
              <c:numCache>
                <c:formatCode>General_)</c:formatCode>
                <c:ptCount val="32"/>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formatCode="General">
                  <c:v>2011</c:v>
                </c:pt>
              </c:numCache>
            </c:numRef>
          </c:xVal>
          <c:yVal>
            <c:numRef>
              <c:f>INDICES!$D$57:$D$88</c:f>
              <c:numCache>
                <c:formatCode>0.0</c:formatCode>
                <c:ptCount val="32"/>
                <c:pt idx="0">
                  <c:v>89.934666666666089</c:v>
                </c:pt>
                <c:pt idx="1">
                  <c:v>93.136362318840838</c:v>
                </c:pt>
                <c:pt idx="2">
                  <c:v>96.338057971014678</c:v>
                </c:pt>
                <c:pt idx="3">
                  <c:v>99.539753623188517</c:v>
                </c:pt>
                <c:pt idx="4">
                  <c:v>102.74144927536236</c:v>
                </c:pt>
                <c:pt idx="5">
                  <c:v>105.9431449275362</c:v>
                </c:pt>
                <c:pt idx="6">
                  <c:v>109.14484057971003</c:v>
                </c:pt>
                <c:pt idx="7">
                  <c:v>112.34653623188387</c:v>
                </c:pt>
                <c:pt idx="8">
                  <c:v>115.54823188405771</c:v>
                </c:pt>
                <c:pt idx="9">
                  <c:v>118.74992753623155</c:v>
                </c:pt>
                <c:pt idx="10">
                  <c:v>121.95162318840539</c:v>
                </c:pt>
                <c:pt idx="11">
                  <c:v>125.15331884057923</c:v>
                </c:pt>
                <c:pt idx="12">
                  <c:v>128.35501449275307</c:v>
                </c:pt>
                <c:pt idx="13">
                  <c:v>131.55671014492782</c:v>
                </c:pt>
                <c:pt idx="14">
                  <c:v>134.75840579710166</c:v>
                </c:pt>
                <c:pt idx="15">
                  <c:v>137.9601014492755</c:v>
                </c:pt>
                <c:pt idx="16">
                  <c:v>141.16179710144934</c:v>
                </c:pt>
                <c:pt idx="17">
                  <c:v>144.36349275362318</c:v>
                </c:pt>
                <c:pt idx="18">
                  <c:v>147.56518840579702</c:v>
                </c:pt>
                <c:pt idx="19">
                  <c:v>150.76688405797086</c:v>
                </c:pt>
                <c:pt idx="20">
                  <c:v>153.9685797101447</c:v>
                </c:pt>
                <c:pt idx="21">
                  <c:v>157.17027536231853</c:v>
                </c:pt>
                <c:pt idx="22">
                  <c:v>160.37197101449237</c:v>
                </c:pt>
                <c:pt idx="23">
                  <c:v>163.57366666666621</c:v>
                </c:pt>
                <c:pt idx="24">
                  <c:v>166.77536231884005</c:v>
                </c:pt>
                <c:pt idx="25">
                  <c:v>169.9770579710148</c:v>
                </c:pt>
                <c:pt idx="26">
                  <c:v>173.17875362318864</c:v>
                </c:pt>
                <c:pt idx="27">
                  <c:v>176.38044927536248</c:v>
                </c:pt>
                <c:pt idx="28">
                  <c:v>179.58214492753632</c:v>
                </c:pt>
                <c:pt idx="29">
                  <c:v>182.78384057971016</c:v>
                </c:pt>
                <c:pt idx="30">
                  <c:v>185.985536231884</c:v>
                </c:pt>
                <c:pt idx="31">
                  <c:v>189.18723188405784</c:v>
                </c:pt>
              </c:numCache>
            </c:numRef>
          </c:yVal>
          <c:smooth val="0"/>
          <c:extLst>
            <c:ext xmlns:c16="http://schemas.microsoft.com/office/drawing/2014/chart" uri="{C3380CC4-5D6E-409C-BE32-E72D297353CC}">
              <c16:uniqueId val="{00000000-C4CA-4D3E-A4D2-BB3F54FDDE63}"/>
            </c:ext>
          </c:extLst>
        </c:ser>
        <c:ser>
          <c:idx val="2"/>
          <c:order val="1"/>
          <c:tx>
            <c:v>US Producer Price Index</c:v>
          </c:tx>
          <c:spPr>
            <a:ln w="12700">
              <a:solidFill>
                <a:srgbClr val="000080"/>
              </a:solidFill>
              <a:prstDash val="solid"/>
            </a:ln>
          </c:spPr>
          <c:marker>
            <c:symbol val="square"/>
            <c:size val="5"/>
            <c:spPr>
              <a:solidFill>
                <a:srgbClr val="000080"/>
              </a:solidFill>
              <a:ln>
                <a:solidFill>
                  <a:srgbClr val="000080"/>
                </a:solidFill>
                <a:prstDash val="solid"/>
              </a:ln>
            </c:spPr>
          </c:marker>
          <c:xVal>
            <c:numRef>
              <c:f>INDICES!$B$57:$B$88</c:f>
              <c:numCache>
                <c:formatCode>General_)</c:formatCode>
                <c:ptCount val="32"/>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formatCode="General">
                  <c:v>2011</c:v>
                </c:pt>
              </c:numCache>
            </c:numRef>
          </c:xVal>
          <c:yVal>
            <c:numRef>
              <c:f>INDICES!$C$57:$C$88</c:f>
              <c:numCache>
                <c:formatCode>0.0</c:formatCode>
                <c:ptCount val="32"/>
                <c:pt idx="0">
                  <c:v>89</c:v>
                </c:pt>
                <c:pt idx="1">
                  <c:v>98.4</c:v>
                </c:pt>
                <c:pt idx="2">
                  <c:v>100</c:v>
                </c:pt>
                <c:pt idx="3">
                  <c:v>100.3</c:v>
                </c:pt>
                <c:pt idx="4">
                  <c:v>102.9</c:v>
                </c:pt>
                <c:pt idx="5">
                  <c:v>103.7</c:v>
                </c:pt>
                <c:pt idx="6">
                  <c:v>102.6</c:v>
                </c:pt>
                <c:pt idx="7">
                  <c:v>106.4</c:v>
                </c:pt>
                <c:pt idx="8">
                  <c:v>116.3</c:v>
                </c:pt>
                <c:pt idx="9">
                  <c:v>123</c:v>
                </c:pt>
                <c:pt idx="10">
                  <c:v>123.6</c:v>
                </c:pt>
                <c:pt idx="11">
                  <c:v>125.6</c:v>
                </c:pt>
                <c:pt idx="12">
                  <c:v>125.9</c:v>
                </c:pt>
                <c:pt idx="13">
                  <c:v>128.19999999999999</c:v>
                </c:pt>
                <c:pt idx="14">
                  <c:v>132.1</c:v>
                </c:pt>
                <c:pt idx="15">
                  <c:v>139.5</c:v>
                </c:pt>
                <c:pt idx="16">
                  <c:v>142.1</c:v>
                </c:pt>
                <c:pt idx="17">
                  <c:v>147.1</c:v>
                </c:pt>
                <c:pt idx="18">
                  <c:v>148.69999999999999</c:v>
                </c:pt>
                <c:pt idx="19">
                  <c:v>149.69999999999999</c:v>
                </c:pt>
                <c:pt idx="20">
                  <c:v>156.69999999999999</c:v>
                </c:pt>
                <c:pt idx="21">
                  <c:v>158.4</c:v>
                </c:pt>
                <c:pt idx="22">
                  <c:v>157.30000000000001</c:v>
                </c:pt>
                <c:pt idx="23">
                  <c:v>164.6</c:v>
                </c:pt>
                <c:pt idx="24">
                  <c:v>172.8</c:v>
                </c:pt>
                <c:pt idx="25">
                  <c:v>187.3</c:v>
                </c:pt>
                <c:pt idx="26">
                  <c:v>196.8</c:v>
                </c:pt>
                <c:pt idx="27">
                  <c:v>203.3</c:v>
                </c:pt>
                <c:pt idx="28">
                  <c:v>228.2</c:v>
                </c:pt>
                <c:pt idx="29">
                  <c:v>224.7</c:v>
                </c:pt>
                <c:pt idx="30">
                  <c:v>233.7</c:v>
                </c:pt>
                <c:pt idx="31" formatCode="General">
                  <c:v>249.3</c:v>
                </c:pt>
              </c:numCache>
            </c:numRef>
          </c:yVal>
          <c:smooth val="0"/>
          <c:extLst>
            <c:ext xmlns:c16="http://schemas.microsoft.com/office/drawing/2014/chart" uri="{C3380CC4-5D6E-409C-BE32-E72D297353CC}">
              <c16:uniqueId val="{00000001-C4CA-4D3E-A4D2-BB3F54FDDE63}"/>
            </c:ext>
          </c:extLst>
        </c:ser>
        <c:dLbls>
          <c:showLegendKey val="0"/>
          <c:showVal val="0"/>
          <c:showCatName val="0"/>
          <c:showSerName val="0"/>
          <c:showPercent val="0"/>
          <c:showBubbleSize val="0"/>
        </c:dLbls>
        <c:axId val="158023680"/>
        <c:axId val="158025600"/>
      </c:scatterChart>
      <c:valAx>
        <c:axId val="158023680"/>
        <c:scaling>
          <c:orientation val="minMax"/>
        </c:scaling>
        <c:delete val="0"/>
        <c:axPos val="b"/>
        <c:numFmt formatCode="General_)"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58025600"/>
        <c:crosses val="autoZero"/>
        <c:crossBetween val="midCat"/>
      </c:valAx>
      <c:valAx>
        <c:axId val="158025600"/>
        <c:scaling>
          <c:orientation val="minMax"/>
          <c:min val="85"/>
        </c:scaling>
        <c:delete val="0"/>
        <c:axPos val="l"/>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58023680"/>
        <c:crosses val="autoZero"/>
        <c:crossBetween val="midCat"/>
        <c:majorUnit val="5"/>
        <c:minorUnit val="3.61892349726776"/>
      </c:valAx>
      <c:spPr>
        <a:solidFill>
          <a:srgbClr val="FFFFFF"/>
        </a:solidFill>
        <a:ln w="12700">
          <a:solidFill>
            <a:srgbClr val="000000"/>
          </a:solidFill>
          <a:prstDash val="solid"/>
        </a:ln>
      </c:spPr>
    </c:plotArea>
    <c:legend>
      <c:legendPos val="r"/>
      <c:layout>
        <c:manualLayout>
          <c:xMode val="edge"/>
          <c:yMode val="edge"/>
          <c:x val="0.27010622154779967"/>
          <c:y val="0.34137821007669739"/>
          <c:w val="0.25493171471927167"/>
          <c:h val="5.8823687763011834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Chemical Engineering Plant Cost Index</a:t>
            </a:r>
          </a:p>
        </c:rich>
      </c:tx>
      <c:layout>
        <c:manualLayout>
          <c:xMode val="edge"/>
          <c:yMode val="edge"/>
          <c:x val="0.30955993930198838"/>
          <c:y val="2.8520499108734367E-2"/>
        </c:manualLayout>
      </c:layout>
      <c:overlay val="0"/>
      <c:spPr>
        <a:noFill/>
        <a:ln w="25400">
          <a:noFill/>
        </a:ln>
      </c:spPr>
    </c:title>
    <c:autoTitleDeleted val="0"/>
    <c:plotArea>
      <c:layout>
        <c:manualLayout>
          <c:layoutTarget val="inner"/>
          <c:xMode val="edge"/>
          <c:yMode val="edge"/>
          <c:x val="9.5599393019727266E-2"/>
          <c:y val="7.8431509078913719E-2"/>
          <c:w val="0.87708649468892264"/>
          <c:h val="0.84313872259834965"/>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INDICES!$B$15:$B$40</c:f>
              <c:numCache>
                <c:formatCode>General_)</c:formatCode>
                <c:ptCount val="26"/>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formatCode="General">
                  <c:v>2009</c:v>
                </c:pt>
                <c:pt idx="20" formatCode="General">
                  <c:v>2010</c:v>
                </c:pt>
                <c:pt idx="21" formatCode="General">
                  <c:v>2011</c:v>
                </c:pt>
                <c:pt idx="22" formatCode="General">
                  <c:v>2012</c:v>
                </c:pt>
                <c:pt idx="23" formatCode="General">
                  <c:v>2013</c:v>
                </c:pt>
                <c:pt idx="24" formatCode="General">
                  <c:v>2014</c:v>
                </c:pt>
                <c:pt idx="25" formatCode="General">
                  <c:v>2015</c:v>
                </c:pt>
              </c:numCache>
            </c:numRef>
          </c:xVal>
          <c:yVal>
            <c:numRef>
              <c:f>INDICES!$C$15:$C$40</c:f>
              <c:numCache>
                <c:formatCode>0.0</c:formatCode>
                <c:ptCount val="26"/>
                <c:pt idx="0">
                  <c:v>357.6</c:v>
                </c:pt>
                <c:pt idx="1">
                  <c:v>361.3</c:v>
                </c:pt>
                <c:pt idx="2">
                  <c:v>358.2</c:v>
                </c:pt>
                <c:pt idx="3">
                  <c:v>359.2</c:v>
                </c:pt>
                <c:pt idx="4">
                  <c:v>368.1</c:v>
                </c:pt>
                <c:pt idx="5">
                  <c:v>381.1</c:v>
                </c:pt>
                <c:pt idx="6">
                  <c:v>381.7</c:v>
                </c:pt>
                <c:pt idx="7">
                  <c:v>386.5</c:v>
                </c:pt>
                <c:pt idx="8">
                  <c:v>389.5</c:v>
                </c:pt>
                <c:pt idx="9">
                  <c:v>390.6</c:v>
                </c:pt>
                <c:pt idx="10">
                  <c:v>394.1</c:v>
                </c:pt>
                <c:pt idx="11">
                  <c:v>394.3</c:v>
                </c:pt>
                <c:pt idx="12">
                  <c:v>395.6</c:v>
                </c:pt>
                <c:pt idx="13">
                  <c:v>402</c:v>
                </c:pt>
                <c:pt idx="14">
                  <c:v>444.2</c:v>
                </c:pt>
                <c:pt idx="15">
                  <c:v>468.2</c:v>
                </c:pt>
                <c:pt idx="16">
                  <c:v>499.6</c:v>
                </c:pt>
                <c:pt idx="17">
                  <c:v>525.4</c:v>
                </c:pt>
                <c:pt idx="18">
                  <c:v>575.4</c:v>
                </c:pt>
                <c:pt idx="19" formatCode="General">
                  <c:v>521.9</c:v>
                </c:pt>
                <c:pt idx="20" formatCode="General">
                  <c:v>550.79999999999995</c:v>
                </c:pt>
                <c:pt idx="21" formatCode="General">
                  <c:v>585.70000000000005</c:v>
                </c:pt>
                <c:pt idx="22" formatCode="General">
                  <c:v>584.6</c:v>
                </c:pt>
                <c:pt idx="23" formatCode="General">
                  <c:v>567.29999999999995</c:v>
                </c:pt>
                <c:pt idx="24" formatCode="General">
                  <c:v>576.1</c:v>
                </c:pt>
                <c:pt idx="25" formatCode="General">
                  <c:v>556.79999999999995</c:v>
                </c:pt>
              </c:numCache>
            </c:numRef>
          </c:yVal>
          <c:smooth val="0"/>
          <c:extLst>
            <c:ext xmlns:c16="http://schemas.microsoft.com/office/drawing/2014/chart" uri="{C3380CC4-5D6E-409C-BE32-E72D297353CC}">
              <c16:uniqueId val="{00000000-162B-4A73-A6A6-EE2F7465A869}"/>
            </c:ext>
          </c:extLst>
        </c:ser>
        <c:dLbls>
          <c:showLegendKey val="0"/>
          <c:showVal val="0"/>
          <c:showCatName val="0"/>
          <c:showSerName val="0"/>
          <c:showPercent val="0"/>
          <c:showBubbleSize val="0"/>
        </c:dLbls>
        <c:axId val="158664192"/>
        <c:axId val="158699520"/>
      </c:scatterChart>
      <c:valAx>
        <c:axId val="158664192"/>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Year</a:t>
                </a:r>
              </a:p>
            </c:rich>
          </c:tx>
          <c:layout>
            <c:manualLayout>
              <c:xMode val="edge"/>
              <c:yMode val="edge"/>
              <c:x val="0.51289833080424851"/>
              <c:y val="0.95543840442404593"/>
            </c:manualLayout>
          </c:layout>
          <c:overlay val="0"/>
          <c:spPr>
            <a:noFill/>
            <a:ln w="25400">
              <a:noFill/>
            </a:ln>
          </c:spPr>
        </c:title>
        <c:numFmt formatCode="General_)"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58699520"/>
        <c:crosses val="autoZero"/>
        <c:crossBetween val="midCat"/>
      </c:valAx>
      <c:valAx>
        <c:axId val="158699520"/>
        <c:scaling>
          <c:orientation val="minMax"/>
          <c:min val="350"/>
        </c:scaling>
        <c:delete val="0"/>
        <c:axPos val="l"/>
        <c:title>
          <c:tx>
            <c:rich>
              <a:bodyPr/>
              <a:lstStyle/>
              <a:p>
                <a:pPr>
                  <a:defRPr sz="800" b="1" i="0" u="none" strike="noStrike" baseline="0">
                    <a:solidFill>
                      <a:srgbClr val="000000"/>
                    </a:solidFill>
                    <a:latin typeface="Arial"/>
                    <a:ea typeface="Arial"/>
                    <a:cs typeface="Arial"/>
                  </a:defRPr>
                </a:pPr>
                <a:r>
                  <a:rPr lang="en-US"/>
                  <a:t>Index</a:t>
                </a:r>
              </a:p>
            </c:rich>
          </c:tx>
          <c:layout>
            <c:manualLayout>
              <c:xMode val="edge"/>
              <c:yMode val="edge"/>
              <c:x val="2.1244309559939892E-2"/>
              <c:y val="0.46880645266936088"/>
            </c:manualLayout>
          </c:layout>
          <c:overlay val="0"/>
          <c:spPr>
            <a:noFill/>
            <a:ln w="25400">
              <a:noFill/>
            </a:ln>
          </c:spPr>
        </c:title>
        <c:numFmt formatCode="0.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58664192"/>
        <c:crosses val="autoZero"/>
        <c:crossBetween val="midCat"/>
      </c:valAx>
      <c:spPr>
        <a:solidFill>
          <a:srgbClr val="FFFFFF"/>
        </a:solid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1465" r="0.75000000000001465" t="1" header="0.5" footer="0.5"/>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Labor Index
Earnings of Chemical Production Workers</a:t>
            </a:r>
          </a:p>
        </c:rich>
      </c:tx>
      <c:layout>
        <c:manualLayout>
          <c:xMode val="edge"/>
          <c:yMode val="edge"/>
          <c:x val="0.30349013657056145"/>
          <c:y val="7.5414781297143546E-3"/>
        </c:manualLayout>
      </c:layout>
      <c:overlay val="0"/>
      <c:spPr>
        <a:noFill/>
        <a:ln w="25400">
          <a:noFill/>
        </a:ln>
      </c:spPr>
    </c:title>
    <c:autoTitleDeleted val="0"/>
    <c:plotArea>
      <c:layout>
        <c:manualLayout>
          <c:layoutTarget val="inner"/>
          <c:xMode val="edge"/>
          <c:yMode val="edge"/>
          <c:x val="0.12999494183107227"/>
          <c:y val="0.10206149570670182"/>
          <c:w val="0.83004552352056082"/>
          <c:h val="0.78431488074278255"/>
        </c:manualLayout>
      </c:layout>
      <c:scatterChart>
        <c:scatterStyle val="lineMarker"/>
        <c:varyColors val="0"/>
        <c:ser>
          <c:idx val="0"/>
          <c:order val="0"/>
          <c:tx>
            <c:v>Calculated Index</c:v>
          </c:tx>
          <c:spPr>
            <a:ln w="12700">
              <a:solidFill>
                <a:srgbClr val="FF00FF"/>
              </a:solidFill>
              <a:prstDash val="lgDash"/>
            </a:ln>
          </c:spPr>
          <c:marker>
            <c:symbol val="square"/>
            <c:size val="5"/>
            <c:spPr>
              <a:solidFill>
                <a:srgbClr val="FFFFFF"/>
              </a:solidFill>
              <a:ln>
                <a:solidFill>
                  <a:srgbClr val="FF00FF"/>
                </a:solidFill>
                <a:prstDash val="solid"/>
              </a:ln>
            </c:spPr>
          </c:marker>
          <c:xVal>
            <c:numLit>
              <c:formatCode>General</c:formatCode>
              <c:ptCount val="32"/>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numLit>
          </c:xVal>
          <c:yVal>
            <c:numLit>
              <c:formatCode>General</c:formatCode>
              <c:ptCount val="32"/>
              <c:pt idx="0">
                <c:v>8.3168333333334203</c:v>
              </c:pt>
              <c:pt idx="1">
                <c:v>8.7573333333333494</c:v>
              </c:pt>
              <c:pt idx="2">
                <c:v>9.1978333333333921</c:v>
              </c:pt>
              <c:pt idx="3">
                <c:v>9.6383333333334189</c:v>
              </c:pt>
              <c:pt idx="4">
                <c:v>10.078833333333364</c:v>
              </c:pt>
              <c:pt idx="5">
                <c:v>10.519333333333407</c:v>
              </c:pt>
              <c:pt idx="6">
                <c:v>10.959833333333426</c:v>
              </c:pt>
              <c:pt idx="7">
                <c:v>11.400333333333379</c:v>
              </c:pt>
              <c:pt idx="8">
                <c:v>11.840833333333421</c:v>
              </c:pt>
              <c:pt idx="9">
                <c:v>12.281333333333349</c:v>
              </c:pt>
              <c:pt idx="10">
                <c:v>12.721833333333393</c:v>
              </c:pt>
              <c:pt idx="11">
                <c:v>13.162333333333436</c:v>
              </c:pt>
              <c:pt idx="12">
                <c:v>13.60283333333337</c:v>
              </c:pt>
              <c:pt idx="13">
                <c:v>14.043333333333408</c:v>
              </c:pt>
              <c:pt idx="14">
                <c:v>14.483833333333354</c:v>
              </c:pt>
              <c:pt idx="15">
                <c:v>14.924333333333378</c:v>
              </c:pt>
              <c:pt idx="16">
                <c:v>15.364833333333422</c:v>
              </c:pt>
              <c:pt idx="17">
                <c:v>15.805333333333374</c:v>
              </c:pt>
              <c:pt idx="18">
                <c:v>16.245833333330683</c:v>
              </c:pt>
              <c:pt idx="19">
                <c:v>16.686333333330673</c:v>
              </c:pt>
              <c:pt idx="20">
                <c:v>17.126833333333089</c:v>
              </c:pt>
              <c:pt idx="21">
                <c:v>17.567333333330801</c:v>
              </c:pt>
              <c:pt idx="22">
                <c:v>18.007833333333089</c:v>
              </c:pt>
              <c:pt idx="23">
                <c:v>18.448333333329405</c:v>
              </c:pt>
              <c:pt idx="24">
                <c:v>18.888833333332489</c:v>
              </c:pt>
              <c:pt idx="25">
                <c:v>19.329333333332489</c:v>
              </c:pt>
              <c:pt idx="26">
                <c:v>19.769833333332489</c:v>
              </c:pt>
              <c:pt idx="27">
                <c:v>20.210333333332589</c:v>
              </c:pt>
              <c:pt idx="28">
                <c:v>20.650833333333289</c:v>
              </c:pt>
              <c:pt idx="29">
                <c:v>21.091333333332589</c:v>
              </c:pt>
              <c:pt idx="30">
                <c:v>21.531833333333289</c:v>
              </c:pt>
              <c:pt idx="31">
                <c:v>21.972333333329811</c:v>
              </c:pt>
            </c:numLit>
          </c:yVal>
          <c:smooth val="0"/>
          <c:extLst>
            <c:ext xmlns:c16="http://schemas.microsoft.com/office/drawing/2014/chart" uri="{C3380CC4-5D6E-409C-BE32-E72D297353CC}">
              <c16:uniqueId val="{00000000-AE43-483C-B5DC-BE4C3A2350C4}"/>
            </c:ext>
          </c:extLst>
        </c:ser>
        <c:ser>
          <c:idx val="1"/>
          <c:order val="1"/>
          <c:tx>
            <c:v>Bureau of Labor Statistics</c:v>
          </c:tx>
          <c:spPr>
            <a:ln w="12700">
              <a:solidFill>
                <a:srgbClr val="000080"/>
              </a:solidFill>
              <a:prstDash val="solid"/>
            </a:ln>
          </c:spPr>
          <c:marker>
            <c:symbol val="square"/>
            <c:size val="5"/>
            <c:spPr>
              <a:solidFill>
                <a:srgbClr val="000080"/>
              </a:solidFill>
              <a:ln>
                <a:solidFill>
                  <a:srgbClr val="000080"/>
                </a:solidFill>
                <a:prstDash val="solid"/>
              </a:ln>
            </c:spPr>
          </c:marker>
          <c:xVal>
            <c:numLit>
              <c:formatCode>General</c:formatCode>
              <c:ptCount val="32"/>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numLit>
          </c:xVal>
          <c:yVal>
            <c:numLit>
              <c:formatCode>General</c:formatCode>
              <c:ptCount val="32"/>
              <c:pt idx="10">
                <c:v>12.850000000000026</c:v>
              </c:pt>
              <c:pt idx="11">
                <c:v>13.3</c:v>
              </c:pt>
              <c:pt idx="12">
                <c:v>13.7</c:v>
              </c:pt>
              <c:pt idx="13">
                <c:v>13.97</c:v>
              </c:pt>
              <c:pt idx="14">
                <c:v>14.33</c:v>
              </c:pt>
              <c:pt idx="15">
                <c:v>14.860000000000024</c:v>
              </c:pt>
              <c:pt idx="16">
                <c:v>15.370000000000006</c:v>
              </c:pt>
              <c:pt idx="17">
                <c:v>15.78</c:v>
              </c:pt>
              <c:pt idx="18">
                <c:v>16.23</c:v>
              </c:pt>
              <c:pt idx="19">
                <c:v>16.399999999999999</c:v>
              </c:pt>
              <c:pt idx="20">
                <c:v>17.09</c:v>
              </c:pt>
              <c:pt idx="21">
                <c:v>17.57</c:v>
              </c:pt>
              <c:pt idx="22">
                <c:v>17.97</c:v>
              </c:pt>
              <c:pt idx="23">
                <c:v>18.5</c:v>
              </c:pt>
              <c:pt idx="24">
                <c:v>19.16</c:v>
              </c:pt>
            </c:numLit>
          </c:yVal>
          <c:smooth val="0"/>
          <c:extLst>
            <c:ext xmlns:c16="http://schemas.microsoft.com/office/drawing/2014/chart" uri="{C3380CC4-5D6E-409C-BE32-E72D297353CC}">
              <c16:uniqueId val="{00000001-AE43-483C-B5DC-BE4C3A2350C4}"/>
            </c:ext>
          </c:extLst>
        </c:ser>
        <c:dLbls>
          <c:showLegendKey val="0"/>
          <c:showVal val="0"/>
          <c:showCatName val="0"/>
          <c:showSerName val="0"/>
          <c:showPercent val="0"/>
          <c:showBubbleSize val="0"/>
        </c:dLbls>
        <c:axId val="159089024"/>
        <c:axId val="159090944"/>
      </c:scatterChart>
      <c:valAx>
        <c:axId val="159089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59090944"/>
        <c:crosses val="autoZero"/>
        <c:crossBetween val="midCat"/>
      </c:valAx>
      <c:valAx>
        <c:axId val="159090944"/>
        <c:scaling>
          <c:orientation val="minMax"/>
          <c:min val="5"/>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59089024"/>
        <c:crosses val="autoZero"/>
        <c:crossBetween val="midCat"/>
      </c:valAx>
      <c:spPr>
        <a:solidFill>
          <a:srgbClr val="FFFFFF"/>
        </a:solidFill>
        <a:ln w="12700">
          <a:solidFill>
            <a:srgbClr val="000000"/>
          </a:solidFill>
          <a:prstDash val="solid"/>
        </a:ln>
      </c:spPr>
    </c:plotArea>
    <c:legend>
      <c:legendPos val="r"/>
      <c:layout>
        <c:manualLayout>
          <c:xMode val="edge"/>
          <c:yMode val="edge"/>
          <c:x val="0.61911987860401474"/>
          <c:y val="0.75414892143013046"/>
          <c:w val="0.27769347496206198"/>
          <c:h val="8.4464713404036607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Industrial Inorganic Chemical Index
From SRI Chemical Economics Handbook (2004)</a:t>
            </a:r>
          </a:p>
        </c:rich>
      </c:tx>
      <c:layout>
        <c:manualLayout>
          <c:xMode val="edge"/>
          <c:yMode val="edge"/>
          <c:x val="0.26858877086499877"/>
          <c:y val="2.7149321266968351E-2"/>
        </c:manualLayout>
      </c:layout>
      <c:overlay val="0"/>
      <c:spPr>
        <a:noFill/>
        <a:ln w="25400">
          <a:noFill/>
        </a:ln>
      </c:spPr>
    </c:title>
    <c:autoTitleDeleted val="0"/>
    <c:plotArea>
      <c:layout>
        <c:manualLayout>
          <c:layoutTarget val="inner"/>
          <c:xMode val="edge"/>
          <c:yMode val="edge"/>
          <c:x val="8.4977238239757211E-2"/>
          <c:y val="0.10558084933076645"/>
          <c:w val="0.84673748103186641"/>
          <c:h val="0.80995594415173711"/>
        </c:manualLayout>
      </c:layout>
      <c:scatterChart>
        <c:scatterStyle val="lineMarker"/>
        <c:varyColors val="0"/>
        <c:ser>
          <c:idx val="0"/>
          <c:order val="0"/>
          <c:tx>
            <c:v>Calculated Index</c:v>
          </c:tx>
          <c:spPr>
            <a:ln w="12700">
              <a:solidFill>
                <a:srgbClr val="FF00FF"/>
              </a:solidFill>
              <a:prstDash val="lgDash"/>
            </a:ln>
          </c:spPr>
          <c:marker>
            <c:symbol val="square"/>
            <c:size val="5"/>
            <c:spPr>
              <a:solidFill>
                <a:srgbClr val="FFFFFF"/>
              </a:solidFill>
              <a:ln>
                <a:solidFill>
                  <a:srgbClr val="FF00FF"/>
                </a:solidFill>
                <a:prstDash val="solid"/>
              </a:ln>
            </c:spPr>
          </c:marker>
          <c:xVal>
            <c:numLit>
              <c:formatCode>General</c:formatCode>
              <c:ptCount val="32"/>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numLit>
          </c:xVal>
          <c:yVal>
            <c:numLit>
              <c:formatCode>General</c:formatCode>
              <c:ptCount val="32"/>
              <c:pt idx="0">
                <c:v>89.934666666669727</c:v>
              </c:pt>
              <c:pt idx="1">
                <c:v>93.136362318837158</c:v>
              </c:pt>
              <c:pt idx="2">
                <c:v>96.338057971014678</c:v>
              </c:pt>
              <c:pt idx="3">
                <c:v>99.539753623188517</c:v>
              </c:pt>
              <c:pt idx="4">
                <c:v>102.74144927537242</c:v>
              </c:pt>
              <c:pt idx="5">
                <c:v>105.94314492753622</c:v>
              </c:pt>
              <c:pt idx="6">
                <c:v>109.14484057971003</c:v>
              </c:pt>
              <c:pt idx="7">
                <c:v>112.34653623188385</c:v>
              </c:pt>
              <c:pt idx="8">
                <c:v>115.54823188405771</c:v>
              </c:pt>
              <c:pt idx="9">
                <c:v>118.74992753623155</c:v>
              </c:pt>
              <c:pt idx="10">
                <c:v>121.95162318841378</c:v>
              </c:pt>
              <c:pt idx="11">
                <c:v>125.15331884057007</c:v>
              </c:pt>
              <c:pt idx="12">
                <c:v>128.35501449275401</c:v>
              </c:pt>
              <c:pt idx="13">
                <c:v>131.55671014492782</c:v>
              </c:pt>
              <c:pt idx="14">
                <c:v>134.75840579710155</c:v>
              </c:pt>
              <c:pt idx="15">
                <c:v>137.96010144927561</c:v>
              </c:pt>
              <c:pt idx="16">
                <c:v>141.16179710144934</c:v>
              </c:pt>
              <c:pt idx="17">
                <c:v>144.36349275362647</c:v>
              </c:pt>
              <c:pt idx="18">
                <c:v>147.56518840579704</c:v>
              </c:pt>
              <c:pt idx="19">
                <c:v>150.76688405797086</c:v>
              </c:pt>
              <c:pt idx="20">
                <c:v>153.9685797101447</c:v>
              </c:pt>
              <c:pt idx="21">
                <c:v>157.17027536231672</c:v>
              </c:pt>
              <c:pt idx="22">
                <c:v>160.37197101449237</c:v>
              </c:pt>
              <c:pt idx="23">
                <c:v>163.57366666666312</c:v>
              </c:pt>
              <c:pt idx="24">
                <c:v>166.77536231883997</c:v>
              </c:pt>
              <c:pt idx="25">
                <c:v>169.9770579710148</c:v>
              </c:pt>
              <c:pt idx="26">
                <c:v>173.17875362316494</c:v>
              </c:pt>
              <c:pt idx="27">
                <c:v>176.38044927536887</c:v>
              </c:pt>
              <c:pt idx="28">
                <c:v>179.58214492754001</c:v>
              </c:pt>
              <c:pt idx="29">
                <c:v>182.78384057971016</c:v>
              </c:pt>
              <c:pt idx="30">
                <c:v>185.985536231884</c:v>
              </c:pt>
              <c:pt idx="31">
                <c:v>189.18723188405784</c:v>
              </c:pt>
            </c:numLit>
          </c:yVal>
          <c:smooth val="0"/>
          <c:extLst>
            <c:ext xmlns:c16="http://schemas.microsoft.com/office/drawing/2014/chart" uri="{C3380CC4-5D6E-409C-BE32-E72D297353CC}">
              <c16:uniqueId val="{00000000-DFC6-48CE-B7EC-61558E7FC41D}"/>
            </c:ext>
          </c:extLst>
        </c:ser>
        <c:ser>
          <c:idx val="2"/>
          <c:order val="1"/>
          <c:tx>
            <c:v>US Producer Price Index</c:v>
          </c:tx>
          <c:spPr>
            <a:ln w="12700">
              <a:solidFill>
                <a:srgbClr val="000080"/>
              </a:solidFill>
              <a:prstDash val="solid"/>
            </a:ln>
          </c:spPr>
          <c:marker>
            <c:symbol val="square"/>
            <c:size val="5"/>
            <c:spPr>
              <a:solidFill>
                <a:srgbClr val="000080"/>
              </a:solidFill>
              <a:ln>
                <a:solidFill>
                  <a:srgbClr val="000080"/>
                </a:solidFill>
                <a:prstDash val="solid"/>
              </a:ln>
            </c:spPr>
          </c:marker>
          <c:xVal>
            <c:numLit>
              <c:formatCode>General</c:formatCode>
              <c:ptCount val="32"/>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numLit>
          </c:xVal>
          <c:yVal>
            <c:numLit>
              <c:formatCode>General</c:formatCode>
              <c:ptCount val="32"/>
              <c:pt idx="0">
                <c:v>89</c:v>
              </c:pt>
              <c:pt idx="1">
                <c:v>98.4</c:v>
              </c:pt>
              <c:pt idx="2">
                <c:v>100</c:v>
              </c:pt>
              <c:pt idx="3">
                <c:v>100.3</c:v>
              </c:pt>
              <c:pt idx="4">
                <c:v>102.9</c:v>
              </c:pt>
              <c:pt idx="5">
                <c:v>103.7</c:v>
              </c:pt>
              <c:pt idx="6">
                <c:v>102.6</c:v>
              </c:pt>
              <c:pt idx="7">
                <c:v>106.4</c:v>
              </c:pt>
              <c:pt idx="8">
                <c:v>116.3</c:v>
              </c:pt>
              <c:pt idx="9">
                <c:v>123</c:v>
              </c:pt>
              <c:pt idx="10">
                <c:v>123.6</c:v>
              </c:pt>
              <c:pt idx="11">
                <c:v>125.6</c:v>
              </c:pt>
              <c:pt idx="12">
                <c:v>125.9</c:v>
              </c:pt>
              <c:pt idx="13">
                <c:v>128.19999999999999</c:v>
              </c:pt>
              <c:pt idx="14">
                <c:v>132.1</c:v>
              </c:pt>
              <c:pt idx="15">
                <c:v>139.5</c:v>
              </c:pt>
              <c:pt idx="16">
                <c:v>142.1</c:v>
              </c:pt>
              <c:pt idx="17">
                <c:v>147.1</c:v>
              </c:pt>
              <c:pt idx="18">
                <c:v>148.69999999999999</c:v>
              </c:pt>
              <c:pt idx="19">
                <c:v>149.69999999999999</c:v>
              </c:pt>
              <c:pt idx="20">
                <c:v>156.69999999999999</c:v>
              </c:pt>
              <c:pt idx="21">
                <c:v>158.4</c:v>
              </c:pt>
              <c:pt idx="22">
                <c:v>157.30000000000001</c:v>
              </c:pt>
              <c:pt idx="23">
                <c:v>164.6</c:v>
              </c:pt>
            </c:numLit>
          </c:yVal>
          <c:smooth val="0"/>
          <c:extLst>
            <c:ext xmlns:c16="http://schemas.microsoft.com/office/drawing/2014/chart" uri="{C3380CC4-5D6E-409C-BE32-E72D297353CC}">
              <c16:uniqueId val="{00000001-DFC6-48CE-B7EC-61558E7FC41D}"/>
            </c:ext>
          </c:extLst>
        </c:ser>
        <c:dLbls>
          <c:showLegendKey val="0"/>
          <c:showVal val="0"/>
          <c:showCatName val="0"/>
          <c:showSerName val="0"/>
          <c:showPercent val="0"/>
          <c:showBubbleSize val="0"/>
        </c:dLbls>
        <c:axId val="159648384"/>
        <c:axId val="160203520"/>
      </c:scatterChart>
      <c:valAx>
        <c:axId val="159648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0203520"/>
        <c:crosses val="autoZero"/>
        <c:crossBetween val="midCat"/>
      </c:valAx>
      <c:valAx>
        <c:axId val="160203520"/>
        <c:scaling>
          <c:orientation val="minMax"/>
          <c:min val="85"/>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59648384"/>
        <c:crosses val="autoZero"/>
        <c:crossBetween val="midCat"/>
        <c:majorUnit val="5"/>
        <c:minorUnit val="3.61892349726776"/>
      </c:valAx>
      <c:spPr>
        <a:solidFill>
          <a:srgbClr val="FFFFFF"/>
        </a:solidFill>
        <a:ln w="12700">
          <a:solidFill>
            <a:srgbClr val="000000"/>
          </a:solidFill>
          <a:prstDash val="solid"/>
        </a:ln>
      </c:spPr>
    </c:plotArea>
    <c:legend>
      <c:legendPos val="r"/>
      <c:layout>
        <c:manualLayout>
          <c:xMode val="edge"/>
          <c:yMode val="edge"/>
          <c:x val="0.62974203338400092"/>
          <c:y val="0.45399761681373529"/>
          <c:w val="0.25493171471927034"/>
          <c:h val="5.8823687763011834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c:printSettings>
</c:chartSpace>
</file>

<file path=xl/ctrlProps/ctrlProp1.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45720</xdr:colOff>
          <xdr:row>13</xdr:row>
          <xdr:rowOff>0</xdr:rowOff>
        </xdr:from>
        <xdr:to>
          <xdr:col>1</xdr:col>
          <xdr:colOff>68580</xdr:colOff>
          <xdr:row>14</xdr:row>
          <xdr:rowOff>152400</xdr:rowOff>
        </xdr:to>
        <xdr:sp macro="" textlink="">
          <xdr:nvSpPr>
            <xdr:cNvPr id="163841" name="cmd_UpdateFileName" hidden="1">
              <a:extLst>
                <a:ext uri="{63B3BB69-23CF-44E3-9099-C40C66FF867C}">
                  <a14:compatExt spid="_x0000_s163841"/>
                </a:ext>
                <a:ext uri="{FF2B5EF4-FFF2-40B4-BE49-F238E27FC236}">
                  <a16:creationId xmlns:a16="http://schemas.microsoft.com/office/drawing/2014/main" id="{00000000-0008-0000-0000-0000018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0</xdr:colOff>
      <xdr:row>215</xdr:row>
      <xdr:rowOff>0</xdr:rowOff>
    </xdr:from>
    <xdr:to>
      <xdr:col>3</xdr:col>
      <xdr:colOff>95249</xdr:colOff>
      <xdr:row>216</xdr:row>
      <xdr:rowOff>33338</xdr:rowOff>
    </xdr:to>
    <xdr:sp macro="" textlink="">
      <xdr:nvSpPr>
        <xdr:cNvPr id="2" name="Text Box 2">
          <a:extLst>
            <a:ext uri="{FF2B5EF4-FFF2-40B4-BE49-F238E27FC236}">
              <a16:creationId xmlns:a16="http://schemas.microsoft.com/office/drawing/2014/main" id="{00000000-0008-0000-0400-000002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 name="Text Box 2">
          <a:extLst>
            <a:ext uri="{FF2B5EF4-FFF2-40B4-BE49-F238E27FC236}">
              <a16:creationId xmlns:a16="http://schemas.microsoft.com/office/drawing/2014/main" id="{00000000-0008-0000-0400-000003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 name="Text Box 2">
          <a:extLst>
            <a:ext uri="{FF2B5EF4-FFF2-40B4-BE49-F238E27FC236}">
              <a16:creationId xmlns:a16="http://schemas.microsoft.com/office/drawing/2014/main" id="{00000000-0008-0000-0400-000004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 name="Text Box 2">
          <a:extLst>
            <a:ext uri="{FF2B5EF4-FFF2-40B4-BE49-F238E27FC236}">
              <a16:creationId xmlns:a16="http://schemas.microsoft.com/office/drawing/2014/main" id="{00000000-0008-0000-0400-000005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 name="Text Box 2">
          <a:extLst>
            <a:ext uri="{FF2B5EF4-FFF2-40B4-BE49-F238E27FC236}">
              <a16:creationId xmlns:a16="http://schemas.microsoft.com/office/drawing/2014/main" id="{00000000-0008-0000-0400-000006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 name="Text Box 2">
          <a:extLst>
            <a:ext uri="{FF2B5EF4-FFF2-40B4-BE49-F238E27FC236}">
              <a16:creationId xmlns:a16="http://schemas.microsoft.com/office/drawing/2014/main" id="{00000000-0008-0000-0400-000007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 name="Text Box 2">
          <a:extLst>
            <a:ext uri="{FF2B5EF4-FFF2-40B4-BE49-F238E27FC236}">
              <a16:creationId xmlns:a16="http://schemas.microsoft.com/office/drawing/2014/main" id="{00000000-0008-0000-0400-000008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 name="Text Box 2">
          <a:extLst>
            <a:ext uri="{FF2B5EF4-FFF2-40B4-BE49-F238E27FC236}">
              <a16:creationId xmlns:a16="http://schemas.microsoft.com/office/drawing/2014/main" id="{00000000-0008-0000-0400-000009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 name="Text Box 2">
          <a:extLst>
            <a:ext uri="{FF2B5EF4-FFF2-40B4-BE49-F238E27FC236}">
              <a16:creationId xmlns:a16="http://schemas.microsoft.com/office/drawing/2014/main" id="{00000000-0008-0000-0400-00000A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 name="Text Box 2">
          <a:extLst>
            <a:ext uri="{FF2B5EF4-FFF2-40B4-BE49-F238E27FC236}">
              <a16:creationId xmlns:a16="http://schemas.microsoft.com/office/drawing/2014/main" id="{00000000-0008-0000-0400-00000B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 name="Text Box 2">
          <a:extLst>
            <a:ext uri="{FF2B5EF4-FFF2-40B4-BE49-F238E27FC236}">
              <a16:creationId xmlns:a16="http://schemas.microsoft.com/office/drawing/2014/main" id="{00000000-0008-0000-0400-00000C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 name="Text Box 2">
          <a:extLst>
            <a:ext uri="{FF2B5EF4-FFF2-40B4-BE49-F238E27FC236}">
              <a16:creationId xmlns:a16="http://schemas.microsoft.com/office/drawing/2014/main" id="{00000000-0008-0000-0400-00000D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 name="Text Box 2">
          <a:extLst>
            <a:ext uri="{FF2B5EF4-FFF2-40B4-BE49-F238E27FC236}">
              <a16:creationId xmlns:a16="http://schemas.microsoft.com/office/drawing/2014/main" id="{00000000-0008-0000-0400-00000E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 name="Text Box 2">
          <a:extLst>
            <a:ext uri="{FF2B5EF4-FFF2-40B4-BE49-F238E27FC236}">
              <a16:creationId xmlns:a16="http://schemas.microsoft.com/office/drawing/2014/main" id="{00000000-0008-0000-0400-00000F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 name="Text Box 2">
          <a:extLst>
            <a:ext uri="{FF2B5EF4-FFF2-40B4-BE49-F238E27FC236}">
              <a16:creationId xmlns:a16="http://schemas.microsoft.com/office/drawing/2014/main" id="{00000000-0008-0000-0400-000010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 name="Text Box 2">
          <a:extLst>
            <a:ext uri="{FF2B5EF4-FFF2-40B4-BE49-F238E27FC236}">
              <a16:creationId xmlns:a16="http://schemas.microsoft.com/office/drawing/2014/main" id="{00000000-0008-0000-0400-000011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8" name="Text Box 2">
          <a:extLst>
            <a:ext uri="{FF2B5EF4-FFF2-40B4-BE49-F238E27FC236}">
              <a16:creationId xmlns:a16="http://schemas.microsoft.com/office/drawing/2014/main" id="{00000000-0008-0000-0400-000012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9" name="Text Box 2">
          <a:extLst>
            <a:ext uri="{FF2B5EF4-FFF2-40B4-BE49-F238E27FC236}">
              <a16:creationId xmlns:a16="http://schemas.microsoft.com/office/drawing/2014/main" id="{00000000-0008-0000-0400-000013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0" name="Text Box 2">
          <a:extLst>
            <a:ext uri="{FF2B5EF4-FFF2-40B4-BE49-F238E27FC236}">
              <a16:creationId xmlns:a16="http://schemas.microsoft.com/office/drawing/2014/main" id="{00000000-0008-0000-0400-000014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1" name="Text Box 2">
          <a:extLst>
            <a:ext uri="{FF2B5EF4-FFF2-40B4-BE49-F238E27FC236}">
              <a16:creationId xmlns:a16="http://schemas.microsoft.com/office/drawing/2014/main" id="{00000000-0008-0000-0400-000015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2" name="Text Box 2">
          <a:extLst>
            <a:ext uri="{FF2B5EF4-FFF2-40B4-BE49-F238E27FC236}">
              <a16:creationId xmlns:a16="http://schemas.microsoft.com/office/drawing/2014/main" id="{00000000-0008-0000-0400-000016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3" name="Text Box 2">
          <a:extLst>
            <a:ext uri="{FF2B5EF4-FFF2-40B4-BE49-F238E27FC236}">
              <a16:creationId xmlns:a16="http://schemas.microsoft.com/office/drawing/2014/main" id="{00000000-0008-0000-0400-000017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4" name="Text Box 2">
          <a:extLst>
            <a:ext uri="{FF2B5EF4-FFF2-40B4-BE49-F238E27FC236}">
              <a16:creationId xmlns:a16="http://schemas.microsoft.com/office/drawing/2014/main" id="{00000000-0008-0000-0400-000018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5" name="Text Box 2">
          <a:extLst>
            <a:ext uri="{FF2B5EF4-FFF2-40B4-BE49-F238E27FC236}">
              <a16:creationId xmlns:a16="http://schemas.microsoft.com/office/drawing/2014/main" id="{00000000-0008-0000-0400-000019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6" name="Text Box 2">
          <a:extLst>
            <a:ext uri="{FF2B5EF4-FFF2-40B4-BE49-F238E27FC236}">
              <a16:creationId xmlns:a16="http://schemas.microsoft.com/office/drawing/2014/main" id="{00000000-0008-0000-0400-00001A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7" name="Text Box 2">
          <a:extLst>
            <a:ext uri="{FF2B5EF4-FFF2-40B4-BE49-F238E27FC236}">
              <a16:creationId xmlns:a16="http://schemas.microsoft.com/office/drawing/2014/main" id="{00000000-0008-0000-0400-00001B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8" name="Text Box 2">
          <a:extLst>
            <a:ext uri="{FF2B5EF4-FFF2-40B4-BE49-F238E27FC236}">
              <a16:creationId xmlns:a16="http://schemas.microsoft.com/office/drawing/2014/main" id="{00000000-0008-0000-0400-00001C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9" name="Text Box 2">
          <a:extLst>
            <a:ext uri="{FF2B5EF4-FFF2-40B4-BE49-F238E27FC236}">
              <a16:creationId xmlns:a16="http://schemas.microsoft.com/office/drawing/2014/main" id="{00000000-0008-0000-0400-00001D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0" name="Text Box 2">
          <a:extLst>
            <a:ext uri="{FF2B5EF4-FFF2-40B4-BE49-F238E27FC236}">
              <a16:creationId xmlns:a16="http://schemas.microsoft.com/office/drawing/2014/main" id="{00000000-0008-0000-0400-00001E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1" name="Text Box 2">
          <a:extLst>
            <a:ext uri="{FF2B5EF4-FFF2-40B4-BE49-F238E27FC236}">
              <a16:creationId xmlns:a16="http://schemas.microsoft.com/office/drawing/2014/main" id="{00000000-0008-0000-0400-00001F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2" name="Text Box 2">
          <a:extLst>
            <a:ext uri="{FF2B5EF4-FFF2-40B4-BE49-F238E27FC236}">
              <a16:creationId xmlns:a16="http://schemas.microsoft.com/office/drawing/2014/main" id="{00000000-0008-0000-0400-000020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3" name="Text Box 2">
          <a:extLst>
            <a:ext uri="{FF2B5EF4-FFF2-40B4-BE49-F238E27FC236}">
              <a16:creationId xmlns:a16="http://schemas.microsoft.com/office/drawing/2014/main" id="{00000000-0008-0000-0400-000021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4" name="Text Box 2">
          <a:extLst>
            <a:ext uri="{FF2B5EF4-FFF2-40B4-BE49-F238E27FC236}">
              <a16:creationId xmlns:a16="http://schemas.microsoft.com/office/drawing/2014/main" id="{00000000-0008-0000-0400-000022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5" name="Text Box 2">
          <a:extLst>
            <a:ext uri="{FF2B5EF4-FFF2-40B4-BE49-F238E27FC236}">
              <a16:creationId xmlns:a16="http://schemas.microsoft.com/office/drawing/2014/main" id="{00000000-0008-0000-0400-000023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6" name="Text Box 2">
          <a:extLst>
            <a:ext uri="{FF2B5EF4-FFF2-40B4-BE49-F238E27FC236}">
              <a16:creationId xmlns:a16="http://schemas.microsoft.com/office/drawing/2014/main" id="{00000000-0008-0000-0400-000024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7" name="Text Box 2">
          <a:extLst>
            <a:ext uri="{FF2B5EF4-FFF2-40B4-BE49-F238E27FC236}">
              <a16:creationId xmlns:a16="http://schemas.microsoft.com/office/drawing/2014/main" id="{00000000-0008-0000-0400-000025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8" name="Text Box 2">
          <a:extLst>
            <a:ext uri="{FF2B5EF4-FFF2-40B4-BE49-F238E27FC236}">
              <a16:creationId xmlns:a16="http://schemas.microsoft.com/office/drawing/2014/main" id="{00000000-0008-0000-0400-000026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9" name="Text Box 2">
          <a:extLst>
            <a:ext uri="{FF2B5EF4-FFF2-40B4-BE49-F238E27FC236}">
              <a16:creationId xmlns:a16="http://schemas.microsoft.com/office/drawing/2014/main" id="{00000000-0008-0000-0400-000027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40" name="Text Box 2">
          <a:extLst>
            <a:ext uri="{FF2B5EF4-FFF2-40B4-BE49-F238E27FC236}">
              <a16:creationId xmlns:a16="http://schemas.microsoft.com/office/drawing/2014/main" id="{00000000-0008-0000-0400-000028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41" name="Text Box 2">
          <a:extLst>
            <a:ext uri="{FF2B5EF4-FFF2-40B4-BE49-F238E27FC236}">
              <a16:creationId xmlns:a16="http://schemas.microsoft.com/office/drawing/2014/main" id="{00000000-0008-0000-0400-000029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42" name="Text Box 2">
          <a:extLst>
            <a:ext uri="{FF2B5EF4-FFF2-40B4-BE49-F238E27FC236}">
              <a16:creationId xmlns:a16="http://schemas.microsoft.com/office/drawing/2014/main" id="{00000000-0008-0000-0400-00002A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43" name="Text Box 2">
          <a:extLst>
            <a:ext uri="{FF2B5EF4-FFF2-40B4-BE49-F238E27FC236}">
              <a16:creationId xmlns:a16="http://schemas.microsoft.com/office/drawing/2014/main" id="{00000000-0008-0000-0400-00002B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44" name="Text Box 2">
          <a:extLst>
            <a:ext uri="{FF2B5EF4-FFF2-40B4-BE49-F238E27FC236}">
              <a16:creationId xmlns:a16="http://schemas.microsoft.com/office/drawing/2014/main" id="{00000000-0008-0000-0400-00002C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45" name="Text Box 2">
          <a:extLst>
            <a:ext uri="{FF2B5EF4-FFF2-40B4-BE49-F238E27FC236}">
              <a16:creationId xmlns:a16="http://schemas.microsoft.com/office/drawing/2014/main" id="{00000000-0008-0000-0400-00002D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46" name="Text Box 2">
          <a:extLst>
            <a:ext uri="{FF2B5EF4-FFF2-40B4-BE49-F238E27FC236}">
              <a16:creationId xmlns:a16="http://schemas.microsoft.com/office/drawing/2014/main" id="{00000000-0008-0000-0400-00002E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47" name="Text Box 2">
          <a:extLst>
            <a:ext uri="{FF2B5EF4-FFF2-40B4-BE49-F238E27FC236}">
              <a16:creationId xmlns:a16="http://schemas.microsoft.com/office/drawing/2014/main" id="{00000000-0008-0000-0400-00002F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48" name="Text Box 2">
          <a:extLst>
            <a:ext uri="{FF2B5EF4-FFF2-40B4-BE49-F238E27FC236}">
              <a16:creationId xmlns:a16="http://schemas.microsoft.com/office/drawing/2014/main" id="{00000000-0008-0000-0400-000030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49" name="Text Box 2">
          <a:extLst>
            <a:ext uri="{FF2B5EF4-FFF2-40B4-BE49-F238E27FC236}">
              <a16:creationId xmlns:a16="http://schemas.microsoft.com/office/drawing/2014/main" id="{00000000-0008-0000-0400-000031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0" name="Text Box 2">
          <a:extLst>
            <a:ext uri="{FF2B5EF4-FFF2-40B4-BE49-F238E27FC236}">
              <a16:creationId xmlns:a16="http://schemas.microsoft.com/office/drawing/2014/main" id="{00000000-0008-0000-0400-000032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1" name="Text Box 2">
          <a:extLst>
            <a:ext uri="{FF2B5EF4-FFF2-40B4-BE49-F238E27FC236}">
              <a16:creationId xmlns:a16="http://schemas.microsoft.com/office/drawing/2014/main" id="{00000000-0008-0000-0400-000033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2" name="Text Box 2">
          <a:extLst>
            <a:ext uri="{FF2B5EF4-FFF2-40B4-BE49-F238E27FC236}">
              <a16:creationId xmlns:a16="http://schemas.microsoft.com/office/drawing/2014/main" id="{00000000-0008-0000-0400-000034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3" name="Text Box 2">
          <a:extLst>
            <a:ext uri="{FF2B5EF4-FFF2-40B4-BE49-F238E27FC236}">
              <a16:creationId xmlns:a16="http://schemas.microsoft.com/office/drawing/2014/main" id="{00000000-0008-0000-0400-000035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4" name="Text Box 2">
          <a:extLst>
            <a:ext uri="{FF2B5EF4-FFF2-40B4-BE49-F238E27FC236}">
              <a16:creationId xmlns:a16="http://schemas.microsoft.com/office/drawing/2014/main" id="{00000000-0008-0000-0400-000036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5" name="Text Box 2">
          <a:extLst>
            <a:ext uri="{FF2B5EF4-FFF2-40B4-BE49-F238E27FC236}">
              <a16:creationId xmlns:a16="http://schemas.microsoft.com/office/drawing/2014/main" id="{00000000-0008-0000-0400-000037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6" name="Text Box 2">
          <a:extLst>
            <a:ext uri="{FF2B5EF4-FFF2-40B4-BE49-F238E27FC236}">
              <a16:creationId xmlns:a16="http://schemas.microsoft.com/office/drawing/2014/main" id="{00000000-0008-0000-0400-000038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7" name="Text Box 2">
          <a:extLst>
            <a:ext uri="{FF2B5EF4-FFF2-40B4-BE49-F238E27FC236}">
              <a16:creationId xmlns:a16="http://schemas.microsoft.com/office/drawing/2014/main" id="{00000000-0008-0000-0400-000039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8" name="Text Box 2">
          <a:extLst>
            <a:ext uri="{FF2B5EF4-FFF2-40B4-BE49-F238E27FC236}">
              <a16:creationId xmlns:a16="http://schemas.microsoft.com/office/drawing/2014/main" id="{00000000-0008-0000-0400-00003A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9" name="Text Box 2">
          <a:extLst>
            <a:ext uri="{FF2B5EF4-FFF2-40B4-BE49-F238E27FC236}">
              <a16:creationId xmlns:a16="http://schemas.microsoft.com/office/drawing/2014/main" id="{00000000-0008-0000-0400-00003B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0" name="Text Box 2">
          <a:extLst>
            <a:ext uri="{FF2B5EF4-FFF2-40B4-BE49-F238E27FC236}">
              <a16:creationId xmlns:a16="http://schemas.microsoft.com/office/drawing/2014/main" id="{00000000-0008-0000-0400-00003C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1" name="Text Box 2">
          <a:extLst>
            <a:ext uri="{FF2B5EF4-FFF2-40B4-BE49-F238E27FC236}">
              <a16:creationId xmlns:a16="http://schemas.microsoft.com/office/drawing/2014/main" id="{00000000-0008-0000-0400-00003D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2" name="Text Box 2">
          <a:extLst>
            <a:ext uri="{FF2B5EF4-FFF2-40B4-BE49-F238E27FC236}">
              <a16:creationId xmlns:a16="http://schemas.microsoft.com/office/drawing/2014/main" id="{00000000-0008-0000-0400-00003E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3" name="Text Box 2">
          <a:extLst>
            <a:ext uri="{FF2B5EF4-FFF2-40B4-BE49-F238E27FC236}">
              <a16:creationId xmlns:a16="http://schemas.microsoft.com/office/drawing/2014/main" id="{00000000-0008-0000-0400-00003F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4" name="Text Box 2">
          <a:extLst>
            <a:ext uri="{FF2B5EF4-FFF2-40B4-BE49-F238E27FC236}">
              <a16:creationId xmlns:a16="http://schemas.microsoft.com/office/drawing/2014/main" id="{00000000-0008-0000-0400-000040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5" name="Text Box 2">
          <a:extLst>
            <a:ext uri="{FF2B5EF4-FFF2-40B4-BE49-F238E27FC236}">
              <a16:creationId xmlns:a16="http://schemas.microsoft.com/office/drawing/2014/main" id="{00000000-0008-0000-0400-000041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6" name="Text Box 2">
          <a:extLst>
            <a:ext uri="{FF2B5EF4-FFF2-40B4-BE49-F238E27FC236}">
              <a16:creationId xmlns:a16="http://schemas.microsoft.com/office/drawing/2014/main" id="{00000000-0008-0000-0400-000042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7" name="Text Box 2">
          <a:extLst>
            <a:ext uri="{FF2B5EF4-FFF2-40B4-BE49-F238E27FC236}">
              <a16:creationId xmlns:a16="http://schemas.microsoft.com/office/drawing/2014/main" id="{00000000-0008-0000-0400-000043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8" name="Text Box 2">
          <a:extLst>
            <a:ext uri="{FF2B5EF4-FFF2-40B4-BE49-F238E27FC236}">
              <a16:creationId xmlns:a16="http://schemas.microsoft.com/office/drawing/2014/main" id="{00000000-0008-0000-0400-000044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9" name="Text Box 2">
          <a:extLst>
            <a:ext uri="{FF2B5EF4-FFF2-40B4-BE49-F238E27FC236}">
              <a16:creationId xmlns:a16="http://schemas.microsoft.com/office/drawing/2014/main" id="{00000000-0008-0000-0400-000045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0" name="Text Box 2">
          <a:extLst>
            <a:ext uri="{FF2B5EF4-FFF2-40B4-BE49-F238E27FC236}">
              <a16:creationId xmlns:a16="http://schemas.microsoft.com/office/drawing/2014/main" id="{00000000-0008-0000-0400-000046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1" name="Text Box 2">
          <a:extLst>
            <a:ext uri="{FF2B5EF4-FFF2-40B4-BE49-F238E27FC236}">
              <a16:creationId xmlns:a16="http://schemas.microsoft.com/office/drawing/2014/main" id="{00000000-0008-0000-0400-000047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2" name="Text Box 2">
          <a:extLst>
            <a:ext uri="{FF2B5EF4-FFF2-40B4-BE49-F238E27FC236}">
              <a16:creationId xmlns:a16="http://schemas.microsoft.com/office/drawing/2014/main" id="{00000000-0008-0000-0400-000048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3" name="Text Box 2">
          <a:extLst>
            <a:ext uri="{FF2B5EF4-FFF2-40B4-BE49-F238E27FC236}">
              <a16:creationId xmlns:a16="http://schemas.microsoft.com/office/drawing/2014/main" id="{00000000-0008-0000-0400-000049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4" name="Text Box 2">
          <a:extLst>
            <a:ext uri="{FF2B5EF4-FFF2-40B4-BE49-F238E27FC236}">
              <a16:creationId xmlns:a16="http://schemas.microsoft.com/office/drawing/2014/main" id="{00000000-0008-0000-0400-00004A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5" name="Text Box 2">
          <a:extLst>
            <a:ext uri="{FF2B5EF4-FFF2-40B4-BE49-F238E27FC236}">
              <a16:creationId xmlns:a16="http://schemas.microsoft.com/office/drawing/2014/main" id="{00000000-0008-0000-0400-00004B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6" name="Text Box 2">
          <a:extLst>
            <a:ext uri="{FF2B5EF4-FFF2-40B4-BE49-F238E27FC236}">
              <a16:creationId xmlns:a16="http://schemas.microsoft.com/office/drawing/2014/main" id="{00000000-0008-0000-0400-00004C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7" name="Text Box 2">
          <a:extLst>
            <a:ext uri="{FF2B5EF4-FFF2-40B4-BE49-F238E27FC236}">
              <a16:creationId xmlns:a16="http://schemas.microsoft.com/office/drawing/2014/main" id="{00000000-0008-0000-0400-00004D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8" name="Text Box 2">
          <a:extLst>
            <a:ext uri="{FF2B5EF4-FFF2-40B4-BE49-F238E27FC236}">
              <a16:creationId xmlns:a16="http://schemas.microsoft.com/office/drawing/2014/main" id="{00000000-0008-0000-0400-00004E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9" name="Text Box 2">
          <a:extLst>
            <a:ext uri="{FF2B5EF4-FFF2-40B4-BE49-F238E27FC236}">
              <a16:creationId xmlns:a16="http://schemas.microsoft.com/office/drawing/2014/main" id="{00000000-0008-0000-0400-00004F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0" name="Text Box 2">
          <a:extLst>
            <a:ext uri="{FF2B5EF4-FFF2-40B4-BE49-F238E27FC236}">
              <a16:creationId xmlns:a16="http://schemas.microsoft.com/office/drawing/2014/main" id="{00000000-0008-0000-0400-000050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1" name="Text Box 2">
          <a:extLst>
            <a:ext uri="{FF2B5EF4-FFF2-40B4-BE49-F238E27FC236}">
              <a16:creationId xmlns:a16="http://schemas.microsoft.com/office/drawing/2014/main" id="{00000000-0008-0000-0400-000051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2" name="Text Box 2">
          <a:extLst>
            <a:ext uri="{FF2B5EF4-FFF2-40B4-BE49-F238E27FC236}">
              <a16:creationId xmlns:a16="http://schemas.microsoft.com/office/drawing/2014/main" id="{00000000-0008-0000-0400-000052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3" name="Text Box 2">
          <a:extLst>
            <a:ext uri="{FF2B5EF4-FFF2-40B4-BE49-F238E27FC236}">
              <a16:creationId xmlns:a16="http://schemas.microsoft.com/office/drawing/2014/main" id="{00000000-0008-0000-0400-000053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4" name="Text Box 2">
          <a:extLst>
            <a:ext uri="{FF2B5EF4-FFF2-40B4-BE49-F238E27FC236}">
              <a16:creationId xmlns:a16="http://schemas.microsoft.com/office/drawing/2014/main" id="{00000000-0008-0000-0400-000054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5" name="Text Box 2">
          <a:extLst>
            <a:ext uri="{FF2B5EF4-FFF2-40B4-BE49-F238E27FC236}">
              <a16:creationId xmlns:a16="http://schemas.microsoft.com/office/drawing/2014/main" id="{00000000-0008-0000-0400-000055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6" name="Text Box 2">
          <a:extLst>
            <a:ext uri="{FF2B5EF4-FFF2-40B4-BE49-F238E27FC236}">
              <a16:creationId xmlns:a16="http://schemas.microsoft.com/office/drawing/2014/main" id="{00000000-0008-0000-0400-000056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7" name="Text Box 2">
          <a:extLst>
            <a:ext uri="{FF2B5EF4-FFF2-40B4-BE49-F238E27FC236}">
              <a16:creationId xmlns:a16="http://schemas.microsoft.com/office/drawing/2014/main" id="{00000000-0008-0000-0400-000057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8" name="Text Box 2">
          <a:extLst>
            <a:ext uri="{FF2B5EF4-FFF2-40B4-BE49-F238E27FC236}">
              <a16:creationId xmlns:a16="http://schemas.microsoft.com/office/drawing/2014/main" id="{00000000-0008-0000-0400-000058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9" name="Text Box 2">
          <a:extLst>
            <a:ext uri="{FF2B5EF4-FFF2-40B4-BE49-F238E27FC236}">
              <a16:creationId xmlns:a16="http://schemas.microsoft.com/office/drawing/2014/main" id="{00000000-0008-0000-0400-000059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0" name="Text Box 2">
          <a:extLst>
            <a:ext uri="{FF2B5EF4-FFF2-40B4-BE49-F238E27FC236}">
              <a16:creationId xmlns:a16="http://schemas.microsoft.com/office/drawing/2014/main" id="{00000000-0008-0000-0400-00005A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1" name="Text Box 2">
          <a:extLst>
            <a:ext uri="{FF2B5EF4-FFF2-40B4-BE49-F238E27FC236}">
              <a16:creationId xmlns:a16="http://schemas.microsoft.com/office/drawing/2014/main" id="{00000000-0008-0000-0400-00005B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2" name="Text Box 2">
          <a:extLst>
            <a:ext uri="{FF2B5EF4-FFF2-40B4-BE49-F238E27FC236}">
              <a16:creationId xmlns:a16="http://schemas.microsoft.com/office/drawing/2014/main" id="{00000000-0008-0000-0400-00005C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3" name="Text Box 2">
          <a:extLst>
            <a:ext uri="{FF2B5EF4-FFF2-40B4-BE49-F238E27FC236}">
              <a16:creationId xmlns:a16="http://schemas.microsoft.com/office/drawing/2014/main" id="{00000000-0008-0000-0400-00005D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4" name="Text Box 2">
          <a:extLst>
            <a:ext uri="{FF2B5EF4-FFF2-40B4-BE49-F238E27FC236}">
              <a16:creationId xmlns:a16="http://schemas.microsoft.com/office/drawing/2014/main" id="{00000000-0008-0000-0400-00005E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5" name="Text Box 2">
          <a:extLst>
            <a:ext uri="{FF2B5EF4-FFF2-40B4-BE49-F238E27FC236}">
              <a16:creationId xmlns:a16="http://schemas.microsoft.com/office/drawing/2014/main" id="{00000000-0008-0000-0400-00005F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6" name="Text Box 2">
          <a:extLst>
            <a:ext uri="{FF2B5EF4-FFF2-40B4-BE49-F238E27FC236}">
              <a16:creationId xmlns:a16="http://schemas.microsoft.com/office/drawing/2014/main" id="{00000000-0008-0000-0400-000060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7" name="Text Box 2">
          <a:extLst>
            <a:ext uri="{FF2B5EF4-FFF2-40B4-BE49-F238E27FC236}">
              <a16:creationId xmlns:a16="http://schemas.microsoft.com/office/drawing/2014/main" id="{00000000-0008-0000-0400-000061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8" name="Text Box 2">
          <a:extLst>
            <a:ext uri="{FF2B5EF4-FFF2-40B4-BE49-F238E27FC236}">
              <a16:creationId xmlns:a16="http://schemas.microsoft.com/office/drawing/2014/main" id="{00000000-0008-0000-0400-000062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9" name="Text Box 2">
          <a:extLst>
            <a:ext uri="{FF2B5EF4-FFF2-40B4-BE49-F238E27FC236}">
              <a16:creationId xmlns:a16="http://schemas.microsoft.com/office/drawing/2014/main" id="{00000000-0008-0000-0400-000063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0" name="Text Box 2">
          <a:extLst>
            <a:ext uri="{FF2B5EF4-FFF2-40B4-BE49-F238E27FC236}">
              <a16:creationId xmlns:a16="http://schemas.microsoft.com/office/drawing/2014/main" id="{00000000-0008-0000-0400-000064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1" name="Text Box 2">
          <a:extLst>
            <a:ext uri="{FF2B5EF4-FFF2-40B4-BE49-F238E27FC236}">
              <a16:creationId xmlns:a16="http://schemas.microsoft.com/office/drawing/2014/main" id="{00000000-0008-0000-0400-000065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2" name="Text Box 2">
          <a:extLst>
            <a:ext uri="{FF2B5EF4-FFF2-40B4-BE49-F238E27FC236}">
              <a16:creationId xmlns:a16="http://schemas.microsoft.com/office/drawing/2014/main" id="{00000000-0008-0000-0400-000066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3" name="Text Box 2">
          <a:extLst>
            <a:ext uri="{FF2B5EF4-FFF2-40B4-BE49-F238E27FC236}">
              <a16:creationId xmlns:a16="http://schemas.microsoft.com/office/drawing/2014/main" id="{00000000-0008-0000-0400-000067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4" name="Text Box 2">
          <a:extLst>
            <a:ext uri="{FF2B5EF4-FFF2-40B4-BE49-F238E27FC236}">
              <a16:creationId xmlns:a16="http://schemas.microsoft.com/office/drawing/2014/main" id="{00000000-0008-0000-0400-000068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5" name="Text Box 2">
          <a:extLst>
            <a:ext uri="{FF2B5EF4-FFF2-40B4-BE49-F238E27FC236}">
              <a16:creationId xmlns:a16="http://schemas.microsoft.com/office/drawing/2014/main" id="{00000000-0008-0000-0400-000069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6" name="Text Box 2">
          <a:extLst>
            <a:ext uri="{FF2B5EF4-FFF2-40B4-BE49-F238E27FC236}">
              <a16:creationId xmlns:a16="http://schemas.microsoft.com/office/drawing/2014/main" id="{00000000-0008-0000-0400-00006A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7" name="Text Box 2">
          <a:extLst>
            <a:ext uri="{FF2B5EF4-FFF2-40B4-BE49-F238E27FC236}">
              <a16:creationId xmlns:a16="http://schemas.microsoft.com/office/drawing/2014/main" id="{00000000-0008-0000-0400-00006B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8" name="Text Box 2">
          <a:extLst>
            <a:ext uri="{FF2B5EF4-FFF2-40B4-BE49-F238E27FC236}">
              <a16:creationId xmlns:a16="http://schemas.microsoft.com/office/drawing/2014/main" id="{00000000-0008-0000-0400-00006C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9" name="Text Box 2">
          <a:extLst>
            <a:ext uri="{FF2B5EF4-FFF2-40B4-BE49-F238E27FC236}">
              <a16:creationId xmlns:a16="http://schemas.microsoft.com/office/drawing/2014/main" id="{00000000-0008-0000-0400-00006D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0" name="Text Box 2">
          <a:extLst>
            <a:ext uri="{FF2B5EF4-FFF2-40B4-BE49-F238E27FC236}">
              <a16:creationId xmlns:a16="http://schemas.microsoft.com/office/drawing/2014/main" id="{00000000-0008-0000-0400-00006E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1" name="Text Box 2">
          <a:extLst>
            <a:ext uri="{FF2B5EF4-FFF2-40B4-BE49-F238E27FC236}">
              <a16:creationId xmlns:a16="http://schemas.microsoft.com/office/drawing/2014/main" id="{00000000-0008-0000-0400-00006F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2" name="Text Box 2">
          <a:extLst>
            <a:ext uri="{FF2B5EF4-FFF2-40B4-BE49-F238E27FC236}">
              <a16:creationId xmlns:a16="http://schemas.microsoft.com/office/drawing/2014/main" id="{00000000-0008-0000-0400-000070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3" name="Text Box 2">
          <a:extLst>
            <a:ext uri="{FF2B5EF4-FFF2-40B4-BE49-F238E27FC236}">
              <a16:creationId xmlns:a16="http://schemas.microsoft.com/office/drawing/2014/main" id="{00000000-0008-0000-0400-000071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4" name="Text Box 2">
          <a:extLst>
            <a:ext uri="{FF2B5EF4-FFF2-40B4-BE49-F238E27FC236}">
              <a16:creationId xmlns:a16="http://schemas.microsoft.com/office/drawing/2014/main" id="{00000000-0008-0000-0400-000072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5" name="Text Box 2">
          <a:extLst>
            <a:ext uri="{FF2B5EF4-FFF2-40B4-BE49-F238E27FC236}">
              <a16:creationId xmlns:a16="http://schemas.microsoft.com/office/drawing/2014/main" id="{00000000-0008-0000-0400-000073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6" name="Text Box 2">
          <a:extLst>
            <a:ext uri="{FF2B5EF4-FFF2-40B4-BE49-F238E27FC236}">
              <a16:creationId xmlns:a16="http://schemas.microsoft.com/office/drawing/2014/main" id="{00000000-0008-0000-0400-000074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7" name="Text Box 2">
          <a:extLst>
            <a:ext uri="{FF2B5EF4-FFF2-40B4-BE49-F238E27FC236}">
              <a16:creationId xmlns:a16="http://schemas.microsoft.com/office/drawing/2014/main" id="{00000000-0008-0000-0400-000075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8" name="Text Box 2">
          <a:extLst>
            <a:ext uri="{FF2B5EF4-FFF2-40B4-BE49-F238E27FC236}">
              <a16:creationId xmlns:a16="http://schemas.microsoft.com/office/drawing/2014/main" id="{00000000-0008-0000-0400-000076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9" name="Text Box 2">
          <a:extLst>
            <a:ext uri="{FF2B5EF4-FFF2-40B4-BE49-F238E27FC236}">
              <a16:creationId xmlns:a16="http://schemas.microsoft.com/office/drawing/2014/main" id="{00000000-0008-0000-0400-000077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0" name="Text Box 2">
          <a:extLst>
            <a:ext uri="{FF2B5EF4-FFF2-40B4-BE49-F238E27FC236}">
              <a16:creationId xmlns:a16="http://schemas.microsoft.com/office/drawing/2014/main" id="{00000000-0008-0000-0400-000078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1" name="Text Box 2">
          <a:extLst>
            <a:ext uri="{FF2B5EF4-FFF2-40B4-BE49-F238E27FC236}">
              <a16:creationId xmlns:a16="http://schemas.microsoft.com/office/drawing/2014/main" id="{00000000-0008-0000-0400-000079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2" name="Text Box 2">
          <a:extLst>
            <a:ext uri="{FF2B5EF4-FFF2-40B4-BE49-F238E27FC236}">
              <a16:creationId xmlns:a16="http://schemas.microsoft.com/office/drawing/2014/main" id="{00000000-0008-0000-0400-00007A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3" name="Text Box 2">
          <a:extLst>
            <a:ext uri="{FF2B5EF4-FFF2-40B4-BE49-F238E27FC236}">
              <a16:creationId xmlns:a16="http://schemas.microsoft.com/office/drawing/2014/main" id="{00000000-0008-0000-0400-00007B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4" name="Text Box 2">
          <a:extLst>
            <a:ext uri="{FF2B5EF4-FFF2-40B4-BE49-F238E27FC236}">
              <a16:creationId xmlns:a16="http://schemas.microsoft.com/office/drawing/2014/main" id="{00000000-0008-0000-0400-00007C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5" name="Text Box 2">
          <a:extLst>
            <a:ext uri="{FF2B5EF4-FFF2-40B4-BE49-F238E27FC236}">
              <a16:creationId xmlns:a16="http://schemas.microsoft.com/office/drawing/2014/main" id="{00000000-0008-0000-0400-00007D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6" name="Text Box 2">
          <a:extLst>
            <a:ext uri="{FF2B5EF4-FFF2-40B4-BE49-F238E27FC236}">
              <a16:creationId xmlns:a16="http://schemas.microsoft.com/office/drawing/2014/main" id="{00000000-0008-0000-0400-00007E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7" name="Text Box 2">
          <a:extLst>
            <a:ext uri="{FF2B5EF4-FFF2-40B4-BE49-F238E27FC236}">
              <a16:creationId xmlns:a16="http://schemas.microsoft.com/office/drawing/2014/main" id="{00000000-0008-0000-0400-00007F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8" name="Text Box 2">
          <a:extLst>
            <a:ext uri="{FF2B5EF4-FFF2-40B4-BE49-F238E27FC236}">
              <a16:creationId xmlns:a16="http://schemas.microsoft.com/office/drawing/2014/main" id="{00000000-0008-0000-0400-000080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9" name="Text Box 2">
          <a:extLst>
            <a:ext uri="{FF2B5EF4-FFF2-40B4-BE49-F238E27FC236}">
              <a16:creationId xmlns:a16="http://schemas.microsoft.com/office/drawing/2014/main" id="{00000000-0008-0000-0400-000081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0" name="Text Box 2">
          <a:extLst>
            <a:ext uri="{FF2B5EF4-FFF2-40B4-BE49-F238E27FC236}">
              <a16:creationId xmlns:a16="http://schemas.microsoft.com/office/drawing/2014/main" id="{00000000-0008-0000-0400-000082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1" name="Text Box 2">
          <a:extLst>
            <a:ext uri="{FF2B5EF4-FFF2-40B4-BE49-F238E27FC236}">
              <a16:creationId xmlns:a16="http://schemas.microsoft.com/office/drawing/2014/main" id="{00000000-0008-0000-0400-000083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2" name="Text Box 2">
          <a:extLst>
            <a:ext uri="{FF2B5EF4-FFF2-40B4-BE49-F238E27FC236}">
              <a16:creationId xmlns:a16="http://schemas.microsoft.com/office/drawing/2014/main" id="{00000000-0008-0000-0400-000084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3" name="Text Box 2">
          <a:extLst>
            <a:ext uri="{FF2B5EF4-FFF2-40B4-BE49-F238E27FC236}">
              <a16:creationId xmlns:a16="http://schemas.microsoft.com/office/drawing/2014/main" id="{00000000-0008-0000-0400-000085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4" name="Text Box 2">
          <a:extLst>
            <a:ext uri="{FF2B5EF4-FFF2-40B4-BE49-F238E27FC236}">
              <a16:creationId xmlns:a16="http://schemas.microsoft.com/office/drawing/2014/main" id="{00000000-0008-0000-0400-000086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5" name="Text Box 2">
          <a:extLst>
            <a:ext uri="{FF2B5EF4-FFF2-40B4-BE49-F238E27FC236}">
              <a16:creationId xmlns:a16="http://schemas.microsoft.com/office/drawing/2014/main" id="{00000000-0008-0000-0400-000087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6" name="Text Box 2">
          <a:extLst>
            <a:ext uri="{FF2B5EF4-FFF2-40B4-BE49-F238E27FC236}">
              <a16:creationId xmlns:a16="http://schemas.microsoft.com/office/drawing/2014/main" id="{00000000-0008-0000-0400-000088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7" name="Text Box 2">
          <a:extLst>
            <a:ext uri="{FF2B5EF4-FFF2-40B4-BE49-F238E27FC236}">
              <a16:creationId xmlns:a16="http://schemas.microsoft.com/office/drawing/2014/main" id="{00000000-0008-0000-0400-000089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8" name="Text Box 2">
          <a:extLst>
            <a:ext uri="{FF2B5EF4-FFF2-40B4-BE49-F238E27FC236}">
              <a16:creationId xmlns:a16="http://schemas.microsoft.com/office/drawing/2014/main" id="{00000000-0008-0000-0400-00008A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9" name="Text Box 2">
          <a:extLst>
            <a:ext uri="{FF2B5EF4-FFF2-40B4-BE49-F238E27FC236}">
              <a16:creationId xmlns:a16="http://schemas.microsoft.com/office/drawing/2014/main" id="{00000000-0008-0000-0400-00008B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0" name="Text Box 2">
          <a:extLst>
            <a:ext uri="{FF2B5EF4-FFF2-40B4-BE49-F238E27FC236}">
              <a16:creationId xmlns:a16="http://schemas.microsoft.com/office/drawing/2014/main" id="{00000000-0008-0000-0400-00008C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1" name="Text Box 2">
          <a:extLst>
            <a:ext uri="{FF2B5EF4-FFF2-40B4-BE49-F238E27FC236}">
              <a16:creationId xmlns:a16="http://schemas.microsoft.com/office/drawing/2014/main" id="{00000000-0008-0000-0400-00008D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2" name="Text Box 2">
          <a:extLst>
            <a:ext uri="{FF2B5EF4-FFF2-40B4-BE49-F238E27FC236}">
              <a16:creationId xmlns:a16="http://schemas.microsoft.com/office/drawing/2014/main" id="{00000000-0008-0000-0400-00008E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3" name="Text Box 2">
          <a:extLst>
            <a:ext uri="{FF2B5EF4-FFF2-40B4-BE49-F238E27FC236}">
              <a16:creationId xmlns:a16="http://schemas.microsoft.com/office/drawing/2014/main" id="{00000000-0008-0000-0400-00008F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4" name="Text Box 2">
          <a:extLst>
            <a:ext uri="{FF2B5EF4-FFF2-40B4-BE49-F238E27FC236}">
              <a16:creationId xmlns:a16="http://schemas.microsoft.com/office/drawing/2014/main" id="{00000000-0008-0000-0400-000090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5" name="Text Box 2">
          <a:extLst>
            <a:ext uri="{FF2B5EF4-FFF2-40B4-BE49-F238E27FC236}">
              <a16:creationId xmlns:a16="http://schemas.microsoft.com/office/drawing/2014/main" id="{00000000-0008-0000-0400-000091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6" name="Text Box 2">
          <a:extLst>
            <a:ext uri="{FF2B5EF4-FFF2-40B4-BE49-F238E27FC236}">
              <a16:creationId xmlns:a16="http://schemas.microsoft.com/office/drawing/2014/main" id="{00000000-0008-0000-0400-000092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7" name="Text Box 2">
          <a:extLst>
            <a:ext uri="{FF2B5EF4-FFF2-40B4-BE49-F238E27FC236}">
              <a16:creationId xmlns:a16="http://schemas.microsoft.com/office/drawing/2014/main" id="{00000000-0008-0000-0400-000093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8" name="Text Box 2">
          <a:extLst>
            <a:ext uri="{FF2B5EF4-FFF2-40B4-BE49-F238E27FC236}">
              <a16:creationId xmlns:a16="http://schemas.microsoft.com/office/drawing/2014/main" id="{00000000-0008-0000-0400-000094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9" name="Text Box 2">
          <a:extLst>
            <a:ext uri="{FF2B5EF4-FFF2-40B4-BE49-F238E27FC236}">
              <a16:creationId xmlns:a16="http://schemas.microsoft.com/office/drawing/2014/main" id="{00000000-0008-0000-0400-000095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0" name="Text Box 2">
          <a:extLst>
            <a:ext uri="{FF2B5EF4-FFF2-40B4-BE49-F238E27FC236}">
              <a16:creationId xmlns:a16="http://schemas.microsoft.com/office/drawing/2014/main" id="{00000000-0008-0000-0400-000096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1" name="Text Box 2">
          <a:extLst>
            <a:ext uri="{FF2B5EF4-FFF2-40B4-BE49-F238E27FC236}">
              <a16:creationId xmlns:a16="http://schemas.microsoft.com/office/drawing/2014/main" id="{00000000-0008-0000-0400-000097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2" name="Text Box 2">
          <a:extLst>
            <a:ext uri="{FF2B5EF4-FFF2-40B4-BE49-F238E27FC236}">
              <a16:creationId xmlns:a16="http://schemas.microsoft.com/office/drawing/2014/main" id="{00000000-0008-0000-0400-000098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3" name="Text Box 2">
          <a:extLst>
            <a:ext uri="{FF2B5EF4-FFF2-40B4-BE49-F238E27FC236}">
              <a16:creationId xmlns:a16="http://schemas.microsoft.com/office/drawing/2014/main" id="{00000000-0008-0000-0400-000099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4" name="Text Box 2">
          <a:extLst>
            <a:ext uri="{FF2B5EF4-FFF2-40B4-BE49-F238E27FC236}">
              <a16:creationId xmlns:a16="http://schemas.microsoft.com/office/drawing/2014/main" id="{00000000-0008-0000-0400-00009A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5" name="Text Box 2">
          <a:extLst>
            <a:ext uri="{FF2B5EF4-FFF2-40B4-BE49-F238E27FC236}">
              <a16:creationId xmlns:a16="http://schemas.microsoft.com/office/drawing/2014/main" id="{00000000-0008-0000-0400-00009B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6" name="Text Box 2">
          <a:extLst>
            <a:ext uri="{FF2B5EF4-FFF2-40B4-BE49-F238E27FC236}">
              <a16:creationId xmlns:a16="http://schemas.microsoft.com/office/drawing/2014/main" id="{00000000-0008-0000-0400-00009C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7" name="Text Box 2">
          <a:extLst>
            <a:ext uri="{FF2B5EF4-FFF2-40B4-BE49-F238E27FC236}">
              <a16:creationId xmlns:a16="http://schemas.microsoft.com/office/drawing/2014/main" id="{00000000-0008-0000-0400-00009D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8" name="Text Box 2">
          <a:extLst>
            <a:ext uri="{FF2B5EF4-FFF2-40B4-BE49-F238E27FC236}">
              <a16:creationId xmlns:a16="http://schemas.microsoft.com/office/drawing/2014/main" id="{00000000-0008-0000-0400-00009E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9" name="Text Box 2">
          <a:extLst>
            <a:ext uri="{FF2B5EF4-FFF2-40B4-BE49-F238E27FC236}">
              <a16:creationId xmlns:a16="http://schemas.microsoft.com/office/drawing/2014/main" id="{00000000-0008-0000-0400-00009F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0" name="Text Box 2">
          <a:extLst>
            <a:ext uri="{FF2B5EF4-FFF2-40B4-BE49-F238E27FC236}">
              <a16:creationId xmlns:a16="http://schemas.microsoft.com/office/drawing/2014/main" id="{00000000-0008-0000-0400-0000A0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1" name="Text Box 2">
          <a:extLst>
            <a:ext uri="{FF2B5EF4-FFF2-40B4-BE49-F238E27FC236}">
              <a16:creationId xmlns:a16="http://schemas.microsoft.com/office/drawing/2014/main" id="{00000000-0008-0000-0400-0000A1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2" name="Text Box 2">
          <a:extLst>
            <a:ext uri="{FF2B5EF4-FFF2-40B4-BE49-F238E27FC236}">
              <a16:creationId xmlns:a16="http://schemas.microsoft.com/office/drawing/2014/main" id="{00000000-0008-0000-0400-0000A2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3" name="Text Box 2">
          <a:extLst>
            <a:ext uri="{FF2B5EF4-FFF2-40B4-BE49-F238E27FC236}">
              <a16:creationId xmlns:a16="http://schemas.microsoft.com/office/drawing/2014/main" id="{00000000-0008-0000-0400-0000A3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4" name="Text Box 2">
          <a:extLst>
            <a:ext uri="{FF2B5EF4-FFF2-40B4-BE49-F238E27FC236}">
              <a16:creationId xmlns:a16="http://schemas.microsoft.com/office/drawing/2014/main" id="{00000000-0008-0000-0400-0000A4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5" name="Text Box 2">
          <a:extLst>
            <a:ext uri="{FF2B5EF4-FFF2-40B4-BE49-F238E27FC236}">
              <a16:creationId xmlns:a16="http://schemas.microsoft.com/office/drawing/2014/main" id="{00000000-0008-0000-0400-0000A5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6" name="Text Box 2">
          <a:extLst>
            <a:ext uri="{FF2B5EF4-FFF2-40B4-BE49-F238E27FC236}">
              <a16:creationId xmlns:a16="http://schemas.microsoft.com/office/drawing/2014/main" id="{00000000-0008-0000-0400-0000A6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7" name="Text Box 2">
          <a:extLst>
            <a:ext uri="{FF2B5EF4-FFF2-40B4-BE49-F238E27FC236}">
              <a16:creationId xmlns:a16="http://schemas.microsoft.com/office/drawing/2014/main" id="{00000000-0008-0000-0400-0000A7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8" name="Text Box 2">
          <a:extLst>
            <a:ext uri="{FF2B5EF4-FFF2-40B4-BE49-F238E27FC236}">
              <a16:creationId xmlns:a16="http://schemas.microsoft.com/office/drawing/2014/main" id="{00000000-0008-0000-0400-0000A8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9" name="Text Box 2">
          <a:extLst>
            <a:ext uri="{FF2B5EF4-FFF2-40B4-BE49-F238E27FC236}">
              <a16:creationId xmlns:a16="http://schemas.microsoft.com/office/drawing/2014/main" id="{00000000-0008-0000-0400-0000A9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0" name="Text Box 2">
          <a:extLst>
            <a:ext uri="{FF2B5EF4-FFF2-40B4-BE49-F238E27FC236}">
              <a16:creationId xmlns:a16="http://schemas.microsoft.com/office/drawing/2014/main" id="{00000000-0008-0000-0400-0000AA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1" name="Text Box 2">
          <a:extLst>
            <a:ext uri="{FF2B5EF4-FFF2-40B4-BE49-F238E27FC236}">
              <a16:creationId xmlns:a16="http://schemas.microsoft.com/office/drawing/2014/main" id="{00000000-0008-0000-0400-0000AB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2" name="Text Box 2">
          <a:extLst>
            <a:ext uri="{FF2B5EF4-FFF2-40B4-BE49-F238E27FC236}">
              <a16:creationId xmlns:a16="http://schemas.microsoft.com/office/drawing/2014/main" id="{00000000-0008-0000-0400-0000AC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3" name="Text Box 2">
          <a:extLst>
            <a:ext uri="{FF2B5EF4-FFF2-40B4-BE49-F238E27FC236}">
              <a16:creationId xmlns:a16="http://schemas.microsoft.com/office/drawing/2014/main" id="{00000000-0008-0000-0400-0000AD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4" name="Text Box 2">
          <a:extLst>
            <a:ext uri="{FF2B5EF4-FFF2-40B4-BE49-F238E27FC236}">
              <a16:creationId xmlns:a16="http://schemas.microsoft.com/office/drawing/2014/main" id="{00000000-0008-0000-0400-0000AE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5" name="Text Box 2">
          <a:extLst>
            <a:ext uri="{FF2B5EF4-FFF2-40B4-BE49-F238E27FC236}">
              <a16:creationId xmlns:a16="http://schemas.microsoft.com/office/drawing/2014/main" id="{00000000-0008-0000-0400-0000AF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6" name="Text Box 2">
          <a:extLst>
            <a:ext uri="{FF2B5EF4-FFF2-40B4-BE49-F238E27FC236}">
              <a16:creationId xmlns:a16="http://schemas.microsoft.com/office/drawing/2014/main" id="{00000000-0008-0000-0400-0000B0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7" name="Text Box 2">
          <a:extLst>
            <a:ext uri="{FF2B5EF4-FFF2-40B4-BE49-F238E27FC236}">
              <a16:creationId xmlns:a16="http://schemas.microsoft.com/office/drawing/2014/main" id="{00000000-0008-0000-0400-0000B1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8" name="Text Box 2">
          <a:extLst>
            <a:ext uri="{FF2B5EF4-FFF2-40B4-BE49-F238E27FC236}">
              <a16:creationId xmlns:a16="http://schemas.microsoft.com/office/drawing/2014/main" id="{00000000-0008-0000-0400-0000B2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9" name="Text Box 2">
          <a:extLst>
            <a:ext uri="{FF2B5EF4-FFF2-40B4-BE49-F238E27FC236}">
              <a16:creationId xmlns:a16="http://schemas.microsoft.com/office/drawing/2014/main" id="{00000000-0008-0000-0400-0000B3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80" name="Text Box 2">
          <a:extLst>
            <a:ext uri="{FF2B5EF4-FFF2-40B4-BE49-F238E27FC236}">
              <a16:creationId xmlns:a16="http://schemas.microsoft.com/office/drawing/2014/main" id="{00000000-0008-0000-0400-0000B4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81" name="Text Box 2">
          <a:extLst>
            <a:ext uri="{FF2B5EF4-FFF2-40B4-BE49-F238E27FC236}">
              <a16:creationId xmlns:a16="http://schemas.microsoft.com/office/drawing/2014/main" id="{00000000-0008-0000-0400-0000B5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82" name="Text Box 2">
          <a:extLst>
            <a:ext uri="{FF2B5EF4-FFF2-40B4-BE49-F238E27FC236}">
              <a16:creationId xmlns:a16="http://schemas.microsoft.com/office/drawing/2014/main" id="{00000000-0008-0000-0400-0000B6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83" name="Text Box 2">
          <a:extLst>
            <a:ext uri="{FF2B5EF4-FFF2-40B4-BE49-F238E27FC236}">
              <a16:creationId xmlns:a16="http://schemas.microsoft.com/office/drawing/2014/main" id="{00000000-0008-0000-0400-0000B7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84" name="Text Box 2">
          <a:extLst>
            <a:ext uri="{FF2B5EF4-FFF2-40B4-BE49-F238E27FC236}">
              <a16:creationId xmlns:a16="http://schemas.microsoft.com/office/drawing/2014/main" id="{00000000-0008-0000-0400-0000B8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85" name="Text Box 2">
          <a:extLst>
            <a:ext uri="{FF2B5EF4-FFF2-40B4-BE49-F238E27FC236}">
              <a16:creationId xmlns:a16="http://schemas.microsoft.com/office/drawing/2014/main" id="{00000000-0008-0000-0400-0000B9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86" name="Text Box 2">
          <a:extLst>
            <a:ext uri="{FF2B5EF4-FFF2-40B4-BE49-F238E27FC236}">
              <a16:creationId xmlns:a16="http://schemas.microsoft.com/office/drawing/2014/main" id="{00000000-0008-0000-0400-0000BA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87" name="Text Box 2">
          <a:extLst>
            <a:ext uri="{FF2B5EF4-FFF2-40B4-BE49-F238E27FC236}">
              <a16:creationId xmlns:a16="http://schemas.microsoft.com/office/drawing/2014/main" id="{00000000-0008-0000-0400-0000BB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88" name="Text Box 2">
          <a:extLst>
            <a:ext uri="{FF2B5EF4-FFF2-40B4-BE49-F238E27FC236}">
              <a16:creationId xmlns:a16="http://schemas.microsoft.com/office/drawing/2014/main" id="{00000000-0008-0000-0400-0000BC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89" name="Text Box 2">
          <a:extLst>
            <a:ext uri="{FF2B5EF4-FFF2-40B4-BE49-F238E27FC236}">
              <a16:creationId xmlns:a16="http://schemas.microsoft.com/office/drawing/2014/main" id="{00000000-0008-0000-0400-0000BD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90" name="Text Box 2">
          <a:extLst>
            <a:ext uri="{FF2B5EF4-FFF2-40B4-BE49-F238E27FC236}">
              <a16:creationId xmlns:a16="http://schemas.microsoft.com/office/drawing/2014/main" id="{00000000-0008-0000-0400-0000BE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91" name="Text Box 2">
          <a:extLst>
            <a:ext uri="{FF2B5EF4-FFF2-40B4-BE49-F238E27FC236}">
              <a16:creationId xmlns:a16="http://schemas.microsoft.com/office/drawing/2014/main" id="{00000000-0008-0000-0400-0000BF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92" name="Text Box 2">
          <a:extLst>
            <a:ext uri="{FF2B5EF4-FFF2-40B4-BE49-F238E27FC236}">
              <a16:creationId xmlns:a16="http://schemas.microsoft.com/office/drawing/2014/main" id="{00000000-0008-0000-0400-0000C0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93" name="Text Box 2">
          <a:extLst>
            <a:ext uri="{FF2B5EF4-FFF2-40B4-BE49-F238E27FC236}">
              <a16:creationId xmlns:a16="http://schemas.microsoft.com/office/drawing/2014/main" id="{00000000-0008-0000-0400-0000C1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94" name="Text Box 2">
          <a:extLst>
            <a:ext uri="{FF2B5EF4-FFF2-40B4-BE49-F238E27FC236}">
              <a16:creationId xmlns:a16="http://schemas.microsoft.com/office/drawing/2014/main" id="{00000000-0008-0000-0400-0000C2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95" name="Text Box 2">
          <a:extLst>
            <a:ext uri="{FF2B5EF4-FFF2-40B4-BE49-F238E27FC236}">
              <a16:creationId xmlns:a16="http://schemas.microsoft.com/office/drawing/2014/main" id="{00000000-0008-0000-0400-0000C3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96" name="Text Box 2">
          <a:extLst>
            <a:ext uri="{FF2B5EF4-FFF2-40B4-BE49-F238E27FC236}">
              <a16:creationId xmlns:a16="http://schemas.microsoft.com/office/drawing/2014/main" id="{00000000-0008-0000-0400-0000C4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97" name="Text Box 2">
          <a:extLst>
            <a:ext uri="{FF2B5EF4-FFF2-40B4-BE49-F238E27FC236}">
              <a16:creationId xmlns:a16="http://schemas.microsoft.com/office/drawing/2014/main" id="{00000000-0008-0000-0400-0000C5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98" name="Text Box 2">
          <a:extLst>
            <a:ext uri="{FF2B5EF4-FFF2-40B4-BE49-F238E27FC236}">
              <a16:creationId xmlns:a16="http://schemas.microsoft.com/office/drawing/2014/main" id="{00000000-0008-0000-0400-0000C6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99" name="Text Box 2">
          <a:extLst>
            <a:ext uri="{FF2B5EF4-FFF2-40B4-BE49-F238E27FC236}">
              <a16:creationId xmlns:a16="http://schemas.microsoft.com/office/drawing/2014/main" id="{00000000-0008-0000-0400-0000C7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00" name="Text Box 2">
          <a:extLst>
            <a:ext uri="{FF2B5EF4-FFF2-40B4-BE49-F238E27FC236}">
              <a16:creationId xmlns:a16="http://schemas.microsoft.com/office/drawing/2014/main" id="{00000000-0008-0000-0400-0000C8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01" name="Text Box 2">
          <a:extLst>
            <a:ext uri="{FF2B5EF4-FFF2-40B4-BE49-F238E27FC236}">
              <a16:creationId xmlns:a16="http://schemas.microsoft.com/office/drawing/2014/main" id="{00000000-0008-0000-0400-0000C9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02" name="Text Box 2">
          <a:extLst>
            <a:ext uri="{FF2B5EF4-FFF2-40B4-BE49-F238E27FC236}">
              <a16:creationId xmlns:a16="http://schemas.microsoft.com/office/drawing/2014/main" id="{00000000-0008-0000-0400-0000CA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03" name="Text Box 2">
          <a:extLst>
            <a:ext uri="{FF2B5EF4-FFF2-40B4-BE49-F238E27FC236}">
              <a16:creationId xmlns:a16="http://schemas.microsoft.com/office/drawing/2014/main" id="{00000000-0008-0000-0400-0000CB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04" name="Text Box 2">
          <a:extLst>
            <a:ext uri="{FF2B5EF4-FFF2-40B4-BE49-F238E27FC236}">
              <a16:creationId xmlns:a16="http://schemas.microsoft.com/office/drawing/2014/main" id="{00000000-0008-0000-0400-0000CC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05" name="Text Box 2">
          <a:extLst>
            <a:ext uri="{FF2B5EF4-FFF2-40B4-BE49-F238E27FC236}">
              <a16:creationId xmlns:a16="http://schemas.microsoft.com/office/drawing/2014/main" id="{00000000-0008-0000-0400-0000CD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06" name="Text Box 2">
          <a:extLst>
            <a:ext uri="{FF2B5EF4-FFF2-40B4-BE49-F238E27FC236}">
              <a16:creationId xmlns:a16="http://schemas.microsoft.com/office/drawing/2014/main" id="{00000000-0008-0000-0400-0000CE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07" name="Text Box 2">
          <a:extLst>
            <a:ext uri="{FF2B5EF4-FFF2-40B4-BE49-F238E27FC236}">
              <a16:creationId xmlns:a16="http://schemas.microsoft.com/office/drawing/2014/main" id="{00000000-0008-0000-0400-0000CF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08" name="Text Box 2">
          <a:extLst>
            <a:ext uri="{FF2B5EF4-FFF2-40B4-BE49-F238E27FC236}">
              <a16:creationId xmlns:a16="http://schemas.microsoft.com/office/drawing/2014/main" id="{00000000-0008-0000-0400-0000D0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09" name="Text Box 2">
          <a:extLst>
            <a:ext uri="{FF2B5EF4-FFF2-40B4-BE49-F238E27FC236}">
              <a16:creationId xmlns:a16="http://schemas.microsoft.com/office/drawing/2014/main" id="{00000000-0008-0000-0400-0000D1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10" name="Text Box 2">
          <a:extLst>
            <a:ext uri="{FF2B5EF4-FFF2-40B4-BE49-F238E27FC236}">
              <a16:creationId xmlns:a16="http://schemas.microsoft.com/office/drawing/2014/main" id="{00000000-0008-0000-0400-0000D2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11" name="Text Box 2">
          <a:extLst>
            <a:ext uri="{FF2B5EF4-FFF2-40B4-BE49-F238E27FC236}">
              <a16:creationId xmlns:a16="http://schemas.microsoft.com/office/drawing/2014/main" id="{00000000-0008-0000-0400-0000D3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12" name="Text Box 2">
          <a:extLst>
            <a:ext uri="{FF2B5EF4-FFF2-40B4-BE49-F238E27FC236}">
              <a16:creationId xmlns:a16="http://schemas.microsoft.com/office/drawing/2014/main" id="{00000000-0008-0000-0400-0000D4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13" name="Text Box 2">
          <a:extLst>
            <a:ext uri="{FF2B5EF4-FFF2-40B4-BE49-F238E27FC236}">
              <a16:creationId xmlns:a16="http://schemas.microsoft.com/office/drawing/2014/main" id="{00000000-0008-0000-0400-0000D5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14" name="Text Box 2">
          <a:extLst>
            <a:ext uri="{FF2B5EF4-FFF2-40B4-BE49-F238E27FC236}">
              <a16:creationId xmlns:a16="http://schemas.microsoft.com/office/drawing/2014/main" id="{00000000-0008-0000-0400-0000D6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15" name="Text Box 2">
          <a:extLst>
            <a:ext uri="{FF2B5EF4-FFF2-40B4-BE49-F238E27FC236}">
              <a16:creationId xmlns:a16="http://schemas.microsoft.com/office/drawing/2014/main" id="{00000000-0008-0000-0400-0000D7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16" name="Text Box 2">
          <a:extLst>
            <a:ext uri="{FF2B5EF4-FFF2-40B4-BE49-F238E27FC236}">
              <a16:creationId xmlns:a16="http://schemas.microsoft.com/office/drawing/2014/main" id="{00000000-0008-0000-0400-0000D8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17" name="Text Box 2">
          <a:extLst>
            <a:ext uri="{FF2B5EF4-FFF2-40B4-BE49-F238E27FC236}">
              <a16:creationId xmlns:a16="http://schemas.microsoft.com/office/drawing/2014/main" id="{00000000-0008-0000-0400-0000D9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18" name="Text Box 2">
          <a:extLst>
            <a:ext uri="{FF2B5EF4-FFF2-40B4-BE49-F238E27FC236}">
              <a16:creationId xmlns:a16="http://schemas.microsoft.com/office/drawing/2014/main" id="{00000000-0008-0000-0400-0000DA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19" name="Text Box 2">
          <a:extLst>
            <a:ext uri="{FF2B5EF4-FFF2-40B4-BE49-F238E27FC236}">
              <a16:creationId xmlns:a16="http://schemas.microsoft.com/office/drawing/2014/main" id="{00000000-0008-0000-0400-0000DB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20" name="Text Box 2">
          <a:extLst>
            <a:ext uri="{FF2B5EF4-FFF2-40B4-BE49-F238E27FC236}">
              <a16:creationId xmlns:a16="http://schemas.microsoft.com/office/drawing/2014/main" id="{00000000-0008-0000-0400-0000DC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21" name="Text Box 2">
          <a:extLst>
            <a:ext uri="{FF2B5EF4-FFF2-40B4-BE49-F238E27FC236}">
              <a16:creationId xmlns:a16="http://schemas.microsoft.com/office/drawing/2014/main" id="{00000000-0008-0000-0400-0000DD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22" name="Text Box 2">
          <a:extLst>
            <a:ext uri="{FF2B5EF4-FFF2-40B4-BE49-F238E27FC236}">
              <a16:creationId xmlns:a16="http://schemas.microsoft.com/office/drawing/2014/main" id="{00000000-0008-0000-0400-0000DE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23" name="Text Box 2">
          <a:extLst>
            <a:ext uri="{FF2B5EF4-FFF2-40B4-BE49-F238E27FC236}">
              <a16:creationId xmlns:a16="http://schemas.microsoft.com/office/drawing/2014/main" id="{00000000-0008-0000-0400-0000DF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24" name="Text Box 2">
          <a:extLst>
            <a:ext uri="{FF2B5EF4-FFF2-40B4-BE49-F238E27FC236}">
              <a16:creationId xmlns:a16="http://schemas.microsoft.com/office/drawing/2014/main" id="{00000000-0008-0000-0400-0000E0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25" name="Text Box 2">
          <a:extLst>
            <a:ext uri="{FF2B5EF4-FFF2-40B4-BE49-F238E27FC236}">
              <a16:creationId xmlns:a16="http://schemas.microsoft.com/office/drawing/2014/main" id="{00000000-0008-0000-0400-0000E1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26" name="Text Box 2">
          <a:extLst>
            <a:ext uri="{FF2B5EF4-FFF2-40B4-BE49-F238E27FC236}">
              <a16:creationId xmlns:a16="http://schemas.microsoft.com/office/drawing/2014/main" id="{00000000-0008-0000-0400-0000E2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27" name="Text Box 2">
          <a:extLst>
            <a:ext uri="{FF2B5EF4-FFF2-40B4-BE49-F238E27FC236}">
              <a16:creationId xmlns:a16="http://schemas.microsoft.com/office/drawing/2014/main" id="{00000000-0008-0000-0400-0000E3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28" name="Text Box 2">
          <a:extLst>
            <a:ext uri="{FF2B5EF4-FFF2-40B4-BE49-F238E27FC236}">
              <a16:creationId xmlns:a16="http://schemas.microsoft.com/office/drawing/2014/main" id="{00000000-0008-0000-0400-0000E4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29" name="Text Box 2">
          <a:extLst>
            <a:ext uri="{FF2B5EF4-FFF2-40B4-BE49-F238E27FC236}">
              <a16:creationId xmlns:a16="http://schemas.microsoft.com/office/drawing/2014/main" id="{00000000-0008-0000-0400-0000E5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30" name="Text Box 2">
          <a:extLst>
            <a:ext uri="{FF2B5EF4-FFF2-40B4-BE49-F238E27FC236}">
              <a16:creationId xmlns:a16="http://schemas.microsoft.com/office/drawing/2014/main" id="{00000000-0008-0000-0400-0000E6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31" name="Text Box 2">
          <a:extLst>
            <a:ext uri="{FF2B5EF4-FFF2-40B4-BE49-F238E27FC236}">
              <a16:creationId xmlns:a16="http://schemas.microsoft.com/office/drawing/2014/main" id="{00000000-0008-0000-0400-0000E7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32" name="Text Box 2">
          <a:extLst>
            <a:ext uri="{FF2B5EF4-FFF2-40B4-BE49-F238E27FC236}">
              <a16:creationId xmlns:a16="http://schemas.microsoft.com/office/drawing/2014/main" id="{00000000-0008-0000-0400-0000E8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33" name="Text Box 2">
          <a:extLst>
            <a:ext uri="{FF2B5EF4-FFF2-40B4-BE49-F238E27FC236}">
              <a16:creationId xmlns:a16="http://schemas.microsoft.com/office/drawing/2014/main" id="{00000000-0008-0000-0400-0000E9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34" name="Text Box 2">
          <a:extLst>
            <a:ext uri="{FF2B5EF4-FFF2-40B4-BE49-F238E27FC236}">
              <a16:creationId xmlns:a16="http://schemas.microsoft.com/office/drawing/2014/main" id="{00000000-0008-0000-0400-0000EA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35" name="Text Box 2">
          <a:extLst>
            <a:ext uri="{FF2B5EF4-FFF2-40B4-BE49-F238E27FC236}">
              <a16:creationId xmlns:a16="http://schemas.microsoft.com/office/drawing/2014/main" id="{00000000-0008-0000-0400-0000EB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36" name="Text Box 2">
          <a:extLst>
            <a:ext uri="{FF2B5EF4-FFF2-40B4-BE49-F238E27FC236}">
              <a16:creationId xmlns:a16="http://schemas.microsoft.com/office/drawing/2014/main" id="{00000000-0008-0000-0400-0000EC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37" name="Text Box 2">
          <a:extLst>
            <a:ext uri="{FF2B5EF4-FFF2-40B4-BE49-F238E27FC236}">
              <a16:creationId xmlns:a16="http://schemas.microsoft.com/office/drawing/2014/main" id="{00000000-0008-0000-0400-0000ED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38" name="Text Box 2">
          <a:extLst>
            <a:ext uri="{FF2B5EF4-FFF2-40B4-BE49-F238E27FC236}">
              <a16:creationId xmlns:a16="http://schemas.microsoft.com/office/drawing/2014/main" id="{00000000-0008-0000-0400-0000EE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39" name="Text Box 2">
          <a:extLst>
            <a:ext uri="{FF2B5EF4-FFF2-40B4-BE49-F238E27FC236}">
              <a16:creationId xmlns:a16="http://schemas.microsoft.com/office/drawing/2014/main" id="{00000000-0008-0000-0400-0000EF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40" name="Text Box 2">
          <a:extLst>
            <a:ext uri="{FF2B5EF4-FFF2-40B4-BE49-F238E27FC236}">
              <a16:creationId xmlns:a16="http://schemas.microsoft.com/office/drawing/2014/main" id="{00000000-0008-0000-0400-0000F0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41" name="Text Box 2">
          <a:extLst>
            <a:ext uri="{FF2B5EF4-FFF2-40B4-BE49-F238E27FC236}">
              <a16:creationId xmlns:a16="http://schemas.microsoft.com/office/drawing/2014/main" id="{00000000-0008-0000-0400-0000F1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42" name="Text Box 2">
          <a:extLst>
            <a:ext uri="{FF2B5EF4-FFF2-40B4-BE49-F238E27FC236}">
              <a16:creationId xmlns:a16="http://schemas.microsoft.com/office/drawing/2014/main" id="{00000000-0008-0000-0400-0000F2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43" name="Text Box 2">
          <a:extLst>
            <a:ext uri="{FF2B5EF4-FFF2-40B4-BE49-F238E27FC236}">
              <a16:creationId xmlns:a16="http://schemas.microsoft.com/office/drawing/2014/main" id="{00000000-0008-0000-0400-0000F3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244" name="Text Box 2">
          <a:extLst>
            <a:ext uri="{FF2B5EF4-FFF2-40B4-BE49-F238E27FC236}">
              <a16:creationId xmlns:a16="http://schemas.microsoft.com/office/drawing/2014/main" id="{00000000-0008-0000-0400-0000F400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45" name="Text Box 2">
          <a:extLst>
            <a:ext uri="{FF2B5EF4-FFF2-40B4-BE49-F238E27FC236}">
              <a16:creationId xmlns:a16="http://schemas.microsoft.com/office/drawing/2014/main" id="{00000000-0008-0000-0400-0000F5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46" name="Text Box 2">
          <a:extLst>
            <a:ext uri="{FF2B5EF4-FFF2-40B4-BE49-F238E27FC236}">
              <a16:creationId xmlns:a16="http://schemas.microsoft.com/office/drawing/2014/main" id="{00000000-0008-0000-0400-0000F6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47" name="Text Box 2">
          <a:extLst>
            <a:ext uri="{FF2B5EF4-FFF2-40B4-BE49-F238E27FC236}">
              <a16:creationId xmlns:a16="http://schemas.microsoft.com/office/drawing/2014/main" id="{00000000-0008-0000-0400-0000F7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48" name="Text Box 2">
          <a:extLst>
            <a:ext uri="{FF2B5EF4-FFF2-40B4-BE49-F238E27FC236}">
              <a16:creationId xmlns:a16="http://schemas.microsoft.com/office/drawing/2014/main" id="{00000000-0008-0000-0400-0000F8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49" name="Text Box 2">
          <a:extLst>
            <a:ext uri="{FF2B5EF4-FFF2-40B4-BE49-F238E27FC236}">
              <a16:creationId xmlns:a16="http://schemas.microsoft.com/office/drawing/2014/main" id="{00000000-0008-0000-0400-0000F9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50" name="Text Box 2">
          <a:extLst>
            <a:ext uri="{FF2B5EF4-FFF2-40B4-BE49-F238E27FC236}">
              <a16:creationId xmlns:a16="http://schemas.microsoft.com/office/drawing/2014/main" id="{00000000-0008-0000-0400-0000FA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51" name="Text Box 2">
          <a:extLst>
            <a:ext uri="{FF2B5EF4-FFF2-40B4-BE49-F238E27FC236}">
              <a16:creationId xmlns:a16="http://schemas.microsoft.com/office/drawing/2014/main" id="{00000000-0008-0000-0400-0000FB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52" name="Text Box 2">
          <a:extLst>
            <a:ext uri="{FF2B5EF4-FFF2-40B4-BE49-F238E27FC236}">
              <a16:creationId xmlns:a16="http://schemas.microsoft.com/office/drawing/2014/main" id="{00000000-0008-0000-0400-0000FC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53" name="Text Box 2">
          <a:extLst>
            <a:ext uri="{FF2B5EF4-FFF2-40B4-BE49-F238E27FC236}">
              <a16:creationId xmlns:a16="http://schemas.microsoft.com/office/drawing/2014/main" id="{00000000-0008-0000-0400-0000FD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54" name="Text Box 2">
          <a:extLst>
            <a:ext uri="{FF2B5EF4-FFF2-40B4-BE49-F238E27FC236}">
              <a16:creationId xmlns:a16="http://schemas.microsoft.com/office/drawing/2014/main" id="{00000000-0008-0000-0400-0000FE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55" name="Text Box 2">
          <a:extLst>
            <a:ext uri="{FF2B5EF4-FFF2-40B4-BE49-F238E27FC236}">
              <a16:creationId xmlns:a16="http://schemas.microsoft.com/office/drawing/2014/main" id="{00000000-0008-0000-0400-0000FF00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56" name="Text Box 2">
          <a:extLst>
            <a:ext uri="{FF2B5EF4-FFF2-40B4-BE49-F238E27FC236}">
              <a16:creationId xmlns:a16="http://schemas.microsoft.com/office/drawing/2014/main" id="{00000000-0008-0000-0400-000000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57" name="Text Box 2">
          <a:extLst>
            <a:ext uri="{FF2B5EF4-FFF2-40B4-BE49-F238E27FC236}">
              <a16:creationId xmlns:a16="http://schemas.microsoft.com/office/drawing/2014/main" id="{00000000-0008-0000-0400-000001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58" name="Text Box 2">
          <a:extLst>
            <a:ext uri="{FF2B5EF4-FFF2-40B4-BE49-F238E27FC236}">
              <a16:creationId xmlns:a16="http://schemas.microsoft.com/office/drawing/2014/main" id="{00000000-0008-0000-0400-000002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59" name="Text Box 2">
          <a:extLst>
            <a:ext uri="{FF2B5EF4-FFF2-40B4-BE49-F238E27FC236}">
              <a16:creationId xmlns:a16="http://schemas.microsoft.com/office/drawing/2014/main" id="{00000000-0008-0000-0400-000003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60" name="Text Box 2">
          <a:extLst>
            <a:ext uri="{FF2B5EF4-FFF2-40B4-BE49-F238E27FC236}">
              <a16:creationId xmlns:a16="http://schemas.microsoft.com/office/drawing/2014/main" id="{00000000-0008-0000-0400-000004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61" name="Text Box 2">
          <a:extLst>
            <a:ext uri="{FF2B5EF4-FFF2-40B4-BE49-F238E27FC236}">
              <a16:creationId xmlns:a16="http://schemas.microsoft.com/office/drawing/2014/main" id="{00000000-0008-0000-0400-000005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62" name="Text Box 2">
          <a:extLst>
            <a:ext uri="{FF2B5EF4-FFF2-40B4-BE49-F238E27FC236}">
              <a16:creationId xmlns:a16="http://schemas.microsoft.com/office/drawing/2014/main" id="{00000000-0008-0000-0400-000006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63" name="Text Box 2">
          <a:extLst>
            <a:ext uri="{FF2B5EF4-FFF2-40B4-BE49-F238E27FC236}">
              <a16:creationId xmlns:a16="http://schemas.microsoft.com/office/drawing/2014/main" id="{00000000-0008-0000-0400-000007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64" name="Text Box 2">
          <a:extLst>
            <a:ext uri="{FF2B5EF4-FFF2-40B4-BE49-F238E27FC236}">
              <a16:creationId xmlns:a16="http://schemas.microsoft.com/office/drawing/2014/main" id="{00000000-0008-0000-0400-000008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65" name="Text Box 2">
          <a:extLst>
            <a:ext uri="{FF2B5EF4-FFF2-40B4-BE49-F238E27FC236}">
              <a16:creationId xmlns:a16="http://schemas.microsoft.com/office/drawing/2014/main" id="{00000000-0008-0000-0400-000009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66" name="Text Box 2">
          <a:extLst>
            <a:ext uri="{FF2B5EF4-FFF2-40B4-BE49-F238E27FC236}">
              <a16:creationId xmlns:a16="http://schemas.microsoft.com/office/drawing/2014/main" id="{00000000-0008-0000-0400-00000A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67" name="Text Box 2">
          <a:extLst>
            <a:ext uri="{FF2B5EF4-FFF2-40B4-BE49-F238E27FC236}">
              <a16:creationId xmlns:a16="http://schemas.microsoft.com/office/drawing/2014/main" id="{00000000-0008-0000-0400-00000B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68" name="Text Box 2">
          <a:extLst>
            <a:ext uri="{FF2B5EF4-FFF2-40B4-BE49-F238E27FC236}">
              <a16:creationId xmlns:a16="http://schemas.microsoft.com/office/drawing/2014/main" id="{00000000-0008-0000-0400-00000C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69" name="Text Box 2">
          <a:extLst>
            <a:ext uri="{FF2B5EF4-FFF2-40B4-BE49-F238E27FC236}">
              <a16:creationId xmlns:a16="http://schemas.microsoft.com/office/drawing/2014/main" id="{00000000-0008-0000-0400-00000D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70" name="Text Box 2">
          <a:extLst>
            <a:ext uri="{FF2B5EF4-FFF2-40B4-BE49-F238E27FC236}">
              <a16:creationId xmlns:a16="http://schemas.microsoft.com/office/drawing/2014/main" id="{00000000-0008-0000-0400-00000E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71" name="Text Box 2">
          <a:extLst>
            <a:ext uri="{FF2B5EF4-FFF2-40B4-BE49-F238E27FC236}">
              <a16:creationId xmlns:a16="http://schemas.microsoft.com/office/drawing/2014/main" id="{00000000-0008-0000-0400-00000F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72" name="Text Box 2">
          <a:extLst>
            <a:ext uri="{FF2B5EF4-FFF2-40B4-BE49-F238E27FC236}">
              <a16:creationId xmlns:a16="http://schemas.microsoft.com/office/drawing/2014/main" id="{00000000-0008-0000-0400-000010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73" name="Text Box 2">
          <a:extLst>
            <a:ext uri="{FF2B5EF4-FFF2-40B4-BE49-F238E27FC236}">
              <a16:creationId xmlns:a16="http://schemas.microsoft.com/office/drawing/2014/main" id="{00000000-0008-0000-0400-000011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74" name="Text Box 2">
          <a:extLst>
            <a:ext uri="{FF2B5EF4-FFF2-40B4-BE49-F238E27FC236}">
              <a16:creationId xmlns:a16="http://schemas.microsoft.com/office/drawing/2014/main" id="{00000000-0008-0000-0400-000012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75" name="Text Box 2">
          <a:extLst>
            <a:ext uri="{FF2B5EF4-FFF2-40B4-BE49-F238E27FC236}">
              <a16:creationId xmlns:a16="http://schemas.microsoft.com/office/drawing/2014/main" id="{00000000-0008-0000-0400-000013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76" name="Text Box 2">
          <a:extLst>
            <a:ext uri="{FF2B5EF4-FFF2-40B4-BE49-F238E27FC236}">
              <a16:creationId xmlns:a16="http://schemas.microsoft.com/office/drawing/2014/main" id="{00000000-0008-0000-0400-000014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77" name="Text Box 2">
          <a:extLst>
            <a:ext uri="{FF2B5EF4-FFF2-40B4-BE49-F238E27FC236}">
              <a16:creationId xmlns:a16="http://schemas.microsoft.com/office/drawing/2014/main" id="{00000000-0008-0000-0400-000015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78" name="Text Box 2">
          <a:extLst>
            <a:ext uri="{FF2B5EF4-FFF2-40B4-BE49-F238E27FC236}">
              <a16:creationId xmlns:a16="http://schemas.microsoft.com/office/drawing/2014/main" id="{00000000-0008-0000-0400-000016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79" name="Text Box 2">
          <a:extLst>
            <a:ext uri="{FF2B5EF4-FFF2-40B4-BE49-F238E27FC236}">
              <a16:creationId xmlns:a16="http://schemas.microsoft.com/office/drawing/2014/main" id="{00000000-0008-0000-0400-000017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80" name="Text Box 2">
          <a:extLst>
            <a:ext uri="{FF2B5EF4-FFF2-40B4-BE49-F238E27FC236}">
              <a16:creationId xmlns:a16="http://schemas.microsoft.com/office/drawing/2014/main" id="{00000000-0008-0000-0400-000018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81" name="Text Box 2">
          <a:extLst>
            <a:ext uri="{FF2B5EF4-FFF2-40B4-BE49-F238E27FC236}">
              <a16:creationId xmlns:a16="http://schemas.microsoft.com/office/drawing/2014/main" id="{00000000-0008-0000-0400-000019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82" name="Text Box 2">
          <a:extLst>
            <a:ext uri="{FF2B5EF4-FFF2-40B4-BE49-F238E27FC236}">
              <a16:creationId xmlns:a16="http://schemas.microsoft.com/office/drawing/2014/main" id="{00000000-0008-0000-0400-00001A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83" name="Text Box 2">
          <a:extLst>
            <a:ext uri="{FF2B5EF4-FFF2-40B4-BE49-F238E27FC236}">
              <a16:creationId xmlns:a16="http://schemas.microsoft.com/office/drawing/2014/main" id="{00000000-0008-0000-0400-00001B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84" name="Text Box 2">
          <a:extLst>
            <a:ext uri="{FF2B5EF4-FFF2-40B4-BE49-F238E27FC236}">
              <a16:creationId xmlns:a16="http://schemas.microsoft.com/office/drawing/2014/main" id="{00000000-0008-0000-0400-00001C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85" name="Text Box 2">
          <a:extLst>
            <a:ext uri="{FF2B5EF4-FFF2-40B4-BE49-F238E27FC236}">
              <a16:creationId xmlns:a16="http://schemas.microsoft.com/office/drawing/2014/main" id="{00000000-0008-0000-0400-00001D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86" name="Text Box 2">
          <a:extLst>
            <a:ext uri="{FF2B5EF4-FFF2-40B4-BE49-F238E27FC236}">
              <a16:creationId xmlns:a16="http://schemas.microsoft.com/office/drawing/2014/main" id="{00000000-0008-0000-0400-00001E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87" name="Text Box 2">
          <a:extLst>
            <a:ext uri="{FF2B5EF4-FFF2-40B4-BE49-F238E27FC236}">
              <a16:creationId xmlns:a16="http://schemas.microsoft.com/office/drawing/2014/main" id="{00000000-0008-0000-0400-00001F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88" name="Text Box 2">
          <a:extLst>
            <a:ext uri="{FF2B5EF4-FFF2-40B4-BE49-F238E27FC236}">
              <a16:creationId xmlns:a16="http://schemas.microsoft.com/office/drawing/2014/main" id="{00000000-0008-0000-0400-000020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89" name="Text Box 2">
          <a:extLst>
            <a:ext uri="{FF2B5EF4-FFF2-40B4-BE49-F238E27FC236}">
              <a16:creationId xmlns:a16="http://schemas.microsoft.com/office/drawing/2014/main" id="{00000000-0008-0000-0400-000021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90" name="Text Box 2">
          <a:extLst>
            <a:ext uri="{FF2B5EF4-FFF2-40B4-BE49-F238E27FC236}">
              <a16:creationId xmlns:a16="http://schemas.microsoft.com/office/drawing/2014/main" id="{00000000-0008-0000-0400-000022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91" name="Text Box 2">
          <a:extLst>
            <a:ext uri="{FF2B5EF4-FFF2-40B4-BE49-F238E27FC236}">
              <a16:creationId xmlns:a16="http://schemas.microsoft.com/office/drawing/2014/main" id="{00000000-0008-0000-0400-000023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92" name="Text Box 2">
          <a:extLst>
            <a:ext uri="{FF2B5EF4-FFF2-40B4-BE49-F238E27FC236}">
              <a16:creationId xmlns:a16="http://schemas.microsoft.com/office/drawing/2014/main" id="{00000000-0008-0000-0400-000024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93" name="Text Box 2">
          <a:extLst>
            <a:ext uri="{FF2B5EF4-FFF2-40B4-BE49-F238E27FC236}">
              <a16:creationId xmlns:a16="http://schemas.microsoft.com/office/drawing/2014/main" id="{00000000-0008-0000-0400-000025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94" name="Text Box 2">
          <a:extLst>
            <a:ext uri="{FF2B5EF4-FFF2-40B4-BE49-F238E27FC236}">
              <a16:creationId xmlns:a16="http://schemas.microsoft.com/office/drawing/2014/main" id="{00000000-0008-0000-0400-000026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95" name="Text Box 2">
          <a:extLst>
            <a:ext uri="{FF2B5EF4-FFF2-40B4-BE49-F238E27FC236}">
              <a16:creationId xmlns:a16="http://schemas.microsoft.com/office/drawing/2014/main" id="{00000000-0008-0000-0400-000027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96" name="Text Box 2">
          <a:extLst>
            <a:ext uri="{FF2B5EF4-FFF2-40B4-BE49-F238E27FC236}">
              <a16:creationId xmlns:a16="http://schemas.microsoft.com/office/drawing/2014/main" id="{00000000-0008-0000-0400-000028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97" name="Text Box 2">
          <a:extLst>
            <a:ext uri="{FF2B5EF4-FFF2-40B4-BE49-F238E27FC236}">
              <a16:creationId xmlns:a16="http://schemas.microsoft.com/office/drawing/2014/main" id="{00000000-0008-0000-0400-000029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98" name="Text Box 2">
          <a:extLst>
            <a:ext uri="{FF2B5EF4-FFF2-40B4-BE49-F238E27FC236}">
              <a16:creationId xmlns:a16="http://schemas.microsoft.com/office/drawing/2014/main" id="{00000000-0008-0000-0400-00002A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299" name="Text Box 2">
          <a:extLst>
            <a:ext uri="{FF2B5EF4-FFF2-40B4-BE49-F238E27FC236}">
              <a16:creationId xmlns:a16="http://schemas.microsoft.com/office/drawing/2014/main" id="{00000000-0008-0000-0400-00002B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00" name="Text Box 2">
          <a:extLst>
            <a:ext uri="{FF2B5EF4-FFF2-40B4-BE49-F238E27FC236}">
              <a16:creationId xmlns:a16="http://schemas.microsoft.com/office/drawing/2014/main" id="{00000000-0008-0000-0400-00002C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01" name="Text Box 2">
          <a:extLst>
            <a:ext uri="{FF2B5EF4-FFF2-40B4-BE49-F238E27FC236}">
              <a16:creationId xmlns:a16="http://schemas.microsoft.com/office/drawing/2014/main" id="{00000000-0008-0000-0400-00002D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02" name="Text Box 2">
          <a:extLst>
            <a:ext uri="{FF2B5EF4-FFF2-40B4-BE49-F238E27FC236}">
              <a16:creationId xmlns:a16="http://schemas.microsoft.com/office/drawing/2014/main" id="{00000000-0008-0000-0400-00002E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03" name="Text Box 2">
          <a:extLst>
            <a:ext uri="{FF2B5EF4-FFF2-40B4-BE49-F238E27FC236}">
              <a16:creationId xmlns:a16="http://schemas.microsoft.com/office/drawing/2014/main" id="{00000000-0008-0000-0400-00002F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04" name="Text Box 2">
          <a:extLst>
            <a:ext uri="{FF2B5EF4-FFF2-40B4-BE49-F238E27FC236}">
              <a16:creationId xmlns:a16="http://schemas.microsoft.com/office/drawing/2014/main" id="{00000000-0008-0000-0400-000030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05" name="Text Box 2">
          <a:extLst>
            <a:ext uri="{FF2B5EF4-FFF2-40B4-BE49-F238E27FC236}">
              <a16:creationId xmlns:a16="http://schemas.microsoft.com/office/drawing/2014/main" id="{00000000-0008-0000-0400-000031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06" name="Text Box 2">
          <a:extLst>
            <a:ext uri="{FF2B5EF4-FFF2-40B4-BE49-F238E27FC236}">
              <a16:creationId xmlns:a16="http://schemas.microsoft.com/office/drawing/2014/main" id="{00000000-0008-0000-0400-000032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07" name="Text Box 2">
          <a:extLst>
            <a:ext uri="{FF2B5EF4-FFF2-40B4-BE49-F238E27FC236}">
              <a16:creationId xmlns:a16="http://schemas.microsoft.com/office/drawing/2014/main" id="{00000000-0008-0000-0400-000033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08" name="Text Box 2">
          <a:extLst>
            <a:ext uri="{FF2B5EF4-FFF2-40B4-BE49-F238E27FC236}">
              <a16:creationId xmlns:a16="http://schemas.microsoft.com/office/drawing/2014/main" id="{00000000-0008-0000-0400-000034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09" name="Text Box 2">
          <a:extLst>
            <a:ext uri="{FF2B5EF4-FFF2-40B4-BE49-F238E27FC236}">
              <a16:creationId xmlns:a16="http://schemas.microsoft.com/office/drawing/2014/main" id="{00000000-0008-0000-0400-000035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10" name="Text Box 2">
          <a:extLst>
            <a:ext uri="{FF2B5EF4-FFF2-40B4-BE49-F238E27FC236}">
              <a16:creationId xmlns:a16="http://schemas.microsoft.com/office/drawing/2014/main" id="{00000000-0008-0000-0400-000036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11" name="Text Box 2">
          <a:extLst>
            <a:ext uri="{FF2B5EF4-FFF2-40B4-BE49-F238E27FC236}">
              <a16:creationId xmlns:a16="http://schemas.microsoft.com/office/drawing/2014/main" id="{00000000-0008-0000-0400-000037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12" name="Text Box 2">
          <a:extLst>
            <a:ext uri="{FF2B5EF4-FFF2-40B4-BE49-F238E27FC236}">
              <a16:creationId xmlns:a16="http://schemas.microsoft.com/office/drawing/2014/main" id="{00000000-0008-0000-0400-000038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13" name="Text Box 2">
          <a:extLst>
            <a:ext uri="{FF2B5EF4-FFF2-40B4-BE49-F238E27FC236}">
              <a16:creationId xmlns:a16="http://schemas.microsoft.com/office/drawing/2014/main" id="{00000000-0008-0000-0400-000039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14" name="Text Box 2">
          <a:extLst>
            <a:ext uri="{FF2B5EF4-FFF2-40B4-BE49-F238E27FC236}">
              <a16:creationId xmlns:a16="http://schemas.microsoft.com/office/drawing/2014/main" id="{00000000-0008-0000-0400-00003A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15" name="Text Box 2">
          <a:extLst>
            <a:ext uri="{FF2B5EF4-FFF2-40B4-BE49-F238E27FC236}">
              <a16:creationId xmlns:a16="http://schemas.microsoft.com/office/drawing/2014/main" id="{00000000-0008-0000-0400-00003B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16" name="Text Box 2">
          <a:extLst>
            <a:ext uri="{FF2B5EF4-FFF2-40B4-BE49-F238E27FC236}">
              <a16:creationId xmlns:a16="http://schemas.microsoft.com/office/drawing/2014/main" id="{00000000-0008-0000-0400-00003C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17" name="Text Box 2">
          <a:extLst>
            <a:ext uri="{FF2B5EF4-FFF2-40B4-BE49-F238E27FC236}">
              <a16:creationId xmlns:a16="http://schemas.microsoft.com/office/drawing/2014/main" id="{00000000-0008-0000-0400-00003D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18" name="Text Box 2">
          <a:extLst>
            <a:ext uri="{FF2B5EF4-FFF2-40B4-BE49-F238E27FC236}">
              <a16:creationId xmlns:a16="http://schemas.microsoft.com/office/drawing/2014/main" id="{00000000-0008-0000-0400-00003E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19" name="Text Box 2">
          <a:extLst>
            <a:ext uri="{FF2B5EF4-FFF2-40B4-BE49-F238E27FC236}">
              <a16:creationId xmlns:a16="http://schemas.microsoft.com/office/drawing/2014/main" id="{00000000-0008-0000-0400-00003F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20" name="Text Box 2">
          <a:extLst>
            <a:ext uri="{FF2B5EF4-FFF2-40B4-BE49-F238E27FC236}">
              <a16:creationId xmlns:a16="http://schemas.microsoft.com/office/drawing/2014/main" id="{00000000-0008-0000-0400-000040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21" name="Text Box 2">
          <a:extLst>
            <a:ext uri="{FF2B5EF4-FFF2-40B4-BE49-F238E27FC236}">
              <a16:creationId xmlns:a16="http://schemas.microsoft.com/office/drawing/2014/main" id="{00000000-0008-0000-0400-000041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22" name="Text Box 2">
          <a:extLst>
            <a:ext uri="{FF2B5EF4-FFF2-40B4-BE49-F238E27FC236}">
              <a16:creationId xmlns:a16="http://schemas.microsoft.com/office/drawing/2014/main" id="{00000000-0008-0000-0400-000042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23" name="Text Box 2">
          <a:extLst>
            <a:ext uri="{FF2B5EF4-FFF2-40B4-BE49-F238E27FC236}">
              <a16:creationId xmlns:a16="http://schemas.microsoft.com/office/drawing/2014/main" id="{00000000-0008-0000-0400-000043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24" name="Text Box 2">
          <a:extLst>
            <a:ext uri="{FF2B5EF4-FFF2-40B4-BE49-F238E27FC236}">
              <a16:creationId xmlns:a16="http://schemas.microsoft.com/office/drawing/2014/main" id="{00000000-0008-0000-0400-000044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25" name="Text Box 2">
          <a:extLst>
            <a:ext uri="{FF2B5EF4-FFF2-40B4-BE49-F238E27FC236}">
              <a16:creationId xmlns:a16="http://schemas.microsoft.com/office/drawing/2014/main" id="{00000000-0008-0000-0400-000045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26" name="Text Box 2">
          <a:extLst>
            <a:ext uri="{FF2B5EF4-FFF2-40B4-BE49-F238E27FC236}">
              <a16:creationId xmlns:a16="http://schemas.microsoft.com/office/drawing/2014/main" id="{00000000-0008-0000-0400-000046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27" name="Text Box 2">
          <a:extLst>
            <a:ext uri="{FF2B5EF4-FFF2-40B4-BE49-F238E27FC236}">
              <a16:creationId xmlns:a16="http://schemas.microsoft.com/office/drawing/2014/main" id="{00000000-0008-0000-0400-000047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28" name="Text Box 2">
          <a:extLst>
            <a:ext uri="{FF2B5EF4-FFF2-40B4-BE49-F238E27FC236}">
              <a16:creationId xmlns:a16="http://schemas.microsoft.com/office/drawing/2014/main" id="{00000000-0008-0000-0400-000048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29" name="Text Box 2">
          <a:extLst>
            <a:ext uri="{FF2B5EF4-FFF2-40B4-BE49-F238E27FC236}">
              <a16:creationId xmlns:a16="http://schemas.microsoft.com/office/drawing/2014/main" id="{00000000-0008-0000-0400-000049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30" name="Text Box 2">
          <a:extLst>
            <a:ext uri="{FF2B5EF4-FFF2-40B4-BE49-F238E27FC236}">
              <a16:creationId xmlns:a16="http://schemas.microsoft.com/office/drawing/2014/main" id="{00000000-0008-0000-0400-00004A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31" name="Text Box 2">
          <a:extLst>
            <a:ext uri="{FF2B5EF4-FFF2-40B4-BE49-F238E27FC236}">
              <a16:creationId xmlns:a16="http://schemas.microsoft.com/office/drawing/2014/main" id="{00000000-0008-0000-0400-00004B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32" name="Text Box 2">
          <a:extLst>
            <a:ext uri="{FF2B5EF4-FFF2-40B4-BE49-F238E27FC236}">
              <a16:creationId xmlns:a16="http://schemas.microsoft.com/office/drawing/2014/main" id="{00000000-0008-0000-0400-00004C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34" name="Text Box 2">
          <a:extLst>
            <a:ext uri="{FF2B5EF4-FFF2-40B4-BE49-F238E27FC236}">
              <a16:creationId xmlns:a16="http://schemas.microsoft.com/office/drawing/2014/main" id="{00000000-0008-0000-0400-00004E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35" name="Text Box 2">
          <a:extLst>
            <a:ext uri="{FF2B5EF4-FFF2-40B4-BE49-F238E27FC236}">
              <a16:creationId xmlns:a16="http://schemas.microsoft.com/office/drawing/2014/main" id="{00000000-0008-0000-0400-00004F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36" name="Text Box 2">
          <a:extLst>
            <a:ext uri="{FF2B5EF4-FFF2-40B4-BE49-F238E27FC236}">
              <a16:creationId xmlns:a16="http://schemas.microsoft.com/office/drawing/2014/main" id="{00000000-0008-0000-0400-000050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37" name="Text Box 2">
          <a:extLst>
            <a:ext uri="{FF2B5EF4-FFF2-40B4-BE49-F238E27FC236}">
              <a16:creationId xmlns:a16="http://schemas.microsoft.com/office/drawing/2014/main" id="{00000000-0008-0000-0400-000051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38" name="Text Box 2">
          <a:extLst>
            <a:ext uri="{FF2B5EF4-FFF2-40B4-BE49-F238E27FC236}">
              <a16:creationId xmlns:a16="http://schemas.microsoft.com/office/drawing/2014/main" id="{00000000-0008-0000-0400-000052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39" name="Text Box 2">
          <a:extLst>
            <a:ext uri="{FF2B5EF4-FFF2-40B4-BE49-F238E27FC236}">
              <a16:creationId xmlns:a16="http://schemas.microsoft.com/office/drawing/2014/main" id="{00000000-0008-0000-0400-000053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40" name="Text Box 2">
          <a:extLst>
            <a:ext uri="{FF2B5EF4-FFF2-40B4-BE49-F238E27FC236}">
              <a16:creationId xmlns:a16="http://schemas.microsoft.com/office/drawing/2014/main" id="{00000000-0008-0000-0400-000054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41" name="Text Box 2">
          <a:extLst>
            <a:ext uri="{FF2B5EF4-FFF2-40B4-BE49-F238E27FC236}">
              <a16:creationId xmlns:a16="http://schemas.microsoft.com/office/drawing/2014/main" id="{00000000-0008-0000-0400-000055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42" name="Text Box 2">
          <a:extLst>
            <a:ext uri="{FF2B5EF4-FFF2-40B4-BE49-F238E27FC236}">
              <a16:creationId xmlns:a16="http://schemas.microsoft.com/office/drawing/2014/main" id="{00000000-0008-0000-0400-000056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43" name="Text Box 2">
          <a:extLst>
            <a:ext uri="{FF2B5EF4-FFF2-40B4-BE49-F238E27FC236}">
              <a16:creationId xmlns:a16="http://schemas.microsoft.com/office/drawing/2014/main" id="{00000000-0008-0000-0400-000057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44" name="Text Box 2">
          <a:extLst>
            <a:ext uri="{FF2B5EF4-FFF2-40B4-BE49-F238E27FC236}">
              <a16:creationId xmlns:a16="http://schemas.microsoft.com/office/drawing/2014/main" id="{00000000-0008-0000-0400-000058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45" name="Text Box 2">
          <a:extLst>
            <a:ext uri="{FF2B5EF4-FFF2-40B4-BE49-F238E27FC236}">
              <a16:creationId xmlns:a16="http://schemas.microsoft.com/office/drawing/2014/main" id="{00000000-0008-0000-0400-000059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46" name="Text Box 2">
          <a:extLst>
            <a:ext uri="{FF2B5EF4-FFF2-40B4-BE49-F238E27FC236}">
              <a16:creationId xmlns:a16="http://schemas.microsoft.com/office/drawing/2014/main" id="{00000000-0008-0000-0400-00005A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47" name="Text Box 2">
          <a:extLst>
            <a:ext uri="{FF2B5EF4-FFF2-40B4-BE49-F238E27FC236}">
              <a16:creationId xmlns:a16="http://schemas.microsoft.com/office/drawing/2014/main" id="{00000000-0008-0000-0400-00005B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48" name="Text Box 2">
          <a:extLst>
            <a:ext uri="{FF2B5EF4-FFF2-40B4-BE49-F238E27FC236}">
              <a16:creationId xmlns:a16="http://schemas.microsoft.com/office/drawing/2014/main" id="{00000000-0008-0000-0400-00005C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49" name="Text Box 2">
          <a:extLst>
            <a:ext uri="{FF2B5EF4-FFF2-40B4-BE49-F238E27FC236}">
              <a16:creationId xmlns:a16="http://schemas.microsoft.com/office/drawing/2014/main" id="{00000000-0008-0000-0400-00005D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50" name="Text Box 2">
          <a:extLst>
            <a:ext uri="{FF2B5EF4-FFF2-40B4-BE49-F238E27FC236}">
              <a16:creationId xmlns:a16="http://schemas.microsoft.com/office/drawing/2014/main" id="{00000000-0008-0000-0400-00005E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51" name="Text Box 2">
          <a:extLst>
            <a:ext uri="{FF2B5EF4-FFF2-40B4-BE49-F238E27FC236}">
              <a16:creationId xmlns:a16="http://schemas.microsoft.com/office/drawing/2014/main" id="{00000000-0008-0000-0400-00005F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52" name="Text Box 2">
          <a:extLst>
            <a:ext uri="{FF2B5EF4-FFF2-40B4-BE49-F238E27FC236}">
              <a16:creationId xmlns:a16="http://schemas.microsoft.com/office/drawing/2014/main" id="{00000000-0008-0000-0400-000060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53" name="Text Box 2">
          <a:extLst>
            <a:ext uri="{FF2B5EF4-FFF2-40B4-BE49-F238E27FC236}">
              <a16:creationId xmlns:a16="http://schemas.microsoft.com/office/drawing/2014/main" id="{00000000-0008-0000-0400-000061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54" name="Text Box 2">
          <a:extLst>
            <a:ext uri="{FF2B5EF4-FFF2-40B4-BE49-F238E27FC236}">
              <a16:creationId xmlns:a16="http://schemas.microsoft.com/office/drawing/2014/main" id="{00000000-0008-0000-0400-000062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55" name="Text Box 2">
          <a:extLst>
            <a:ext uri="{FF2B5EF4-FFF2-40B4-BE49-F238E27FC236}">
              <a16:creationId xmlns:a16="http://schemas.microsoft.com/office/drawing/2014/main" id="{00000000-0008-0000-0400-000063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56" name="Text Box 2">
          <a:extLst>
            <a:ext uri="{FF2B5EF4-FFF2-40B4-BE49-F238E27FC236}">
              <a16:creationId xmlns:a16="http://schemas.microsoft.com/office/drawing/2014/main" id="{00000000-0008-0000-0400-000064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57" name="Text Box 2">
          <a:extLst>
            <a:ext uri="{FF2B5EF4-FFF2-40B4-BE49-F238E27FC236}">
              <a16:creationId xmlns:a16="http://schemas.microsoft.com/office/drawing/2014/main" id="{00000000-0008-0000-0400-000065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58" name="Text Box 2">
          <a:extLst>
            <a:ext uri="{FF2B5EF4-FFF2-40B4-BE49-F238E27FC236}">
              <a16:creationId xmlns:a16="http://schemas.microsoft.com/office/drawing/2014/main" id="{00000000-0008-0000-0400-000066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59" name="Text Box 2">
          <a:extLst>
            <a:ext uri="{FF2B5EF4-FFF2-40B4-BE49-F238E27FC236}">
              <a16:creationId xmlns:a16="http://schemas.microsoft.com/office/drawing/2014/main" id="{00000000-0008-0000-0400-000067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60" name="Text Box 2">
          <a:extLst>
            <a:ext uri="{FF2B5EF4-FFF2-40B4-BE49-F238E27FC236}">
              <a16:creationId xmlns:a16="http://schemas.microsoft.com/office/drawing/2014/main" id="{00000000-0008-0000-0400-000068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61" name="Text Box 2">
          <a:extLst>
            <a:ext uri="{FF2B5EF4-FFF2-40B4-BE49-F238E27FC236}">
              <a16:creationId xmlns:a16="http://schemas.microsoft.com/office/drawing/2014/main" id="{00000000-0008-0000-0400-000069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62" name="Text Box 2">
          <a:extLst>
            <a:ext uri="{FF2B5EF4-FFF2-40B4-BE49-F238E27FC236}">
              <a16:creationId xmlns:a16="http://schemas.microsoft.com/office/drawing/2014/main" id="{00000000-0008-0000-0400-00006A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63" name="Text Box 2">
          <a:extLst>
            <a:ext uri="{FF2B5EF4-FFF2-40B4-BE49-F238E27FC236}">
              <a16:creationId xmlns:a16="http://schemas.microsoft.com/office/drawing/2014/main" id="{00000000-0008-0000-0400-00006B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64" name="Text Box 2">
          <a:extLst>
            <a:ext uri="{FF2B5EF4-FFF2-40B4-BE49-F238E27FC236}">
              <a16:creationId xmlns:a16="http://schemas.microsoft.com/office/drawing/2014/main" id="{00000000-0008-0000-0400-00006C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65" name="Text Box 2">
          <a:extLst>
            <a:ext uri="{FF2B5EF4-FFF2-40B4-BE49-F238E27FC236}">
              <a16:creationId xmlns:a16="http://schemas.microsoft.com/office/drawing/2014/main" id="{00000000-0008-0000-0400-00006D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66" name="Text Box 2">
          <a:extLst>
            <a:ext uri="{FF2B5EF4-FFF2-40B4-BE49-F238E27FC236}">
              <a16:creationId xmlns:a16="http://schemas.microsoft.com/office/drawing/2014/main" id="{00000000-0008-0000-0400-00006E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67" name="Text Box 2">
          <a:extLst>
            <a:ext uri="{FF2B5EF4-FFF2-40B4-BE49-F238E27FC236}">
              <a16:creationId xmlns:a16="http://schemas.microsoft.com/office/drawing/2014/main" id="{00000000-0008-0000-0400-00006F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68" name="Text Box 2">
          <a:extLst>
            <a:ext uri="{FF2B5EF4-FFF2-40B4-BE49-F238E27FC236}">
              <a16:creationId xmlns:a16="http://schemas.microsoft.com/office/drawing/2014/main" id="{00000000-0008-0000-0400-000070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69" name="Text Box 2">
          <a:extLst>
            <a:ext uri="{FF2B5EF4-FFF2-40B4-BE49-F238E27FC236}">
              <a16:creationId xmlns:a16="http://schemas.microsoft.com/office/drawing/2014/main" id="{00000000-0008-0000-0400-000071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70" name="Text Box 2">
          <a:extLst>
            <a:ext uri="{FF2B5EF4-FFF2-40B4-BE49-F238E27FC236}">
              <a16:creationId xmlns:a16="http://schemas.microsoft.com/office/drawing/2014/main" id="{00000000-0008-0000-0400-000072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71" name="Text Box 2">
          <a:extLst>
            <a:ext uri="{FF2B5EF4-FFF2-40B4-BE49-F238E27FC236}">
              <a16:creationId xmlns:a16="http://schemas.microsoft.com/office/drawing/2014/main" id="{00000000-0008-0000-0400-000073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72" name="Text Box 2">
          <a:extLst>
            <a:ext uri="{FF2B5EF4-FFF2-40B4-BE49-F238E27FC236}">
              <a16:creationId xmlns:a16="http://schemas.microsoft.com/office/drawing/2014/main" id="{00000000-0008-0000-0400-000074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73" name="Text Box 2">
          <a:extLst>
            <a:ext uri="{FF2B5EF4-FFF2-40B4-BE49-F238E27FC236}">
              <a16:creationId xmlns:a16="http://schemas.microsoft.com/office/drawing/2014/main" id="{00000000-0008-0000-0400-000075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74" name="Text Box 2">
          <a:extLst>
            <a:ext uri="{FF2B5EF4-FFF2-40B4-BE49-F238E27FC236}">
              <a16:creationId xmlns:a16="http://schemas.microsoft.com/office/drawing/2014/main" id="{00000000-0008-0000-0400-000076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75" name="Text Box 2">
          <a:extLst>
            <a:ext uri="{FF2B5EF4-FFF2-40B4-BE49-F238E27FC236}">
              <a16:creationId xmlns:a16="http://schemas.microsoft.com/office/drawing/2014/main" id="{00000000-0008-0000-0400-000077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76" name="Text Box 2">
          <a:extLst>
            <a:ext uri="{FF2B5EF4-FFF2-40B4-BE49-F238E27FC236}">
              <a16:creationId xmlns:a16="http://schemas.microsoft.com/office/drawing/2014/main" id="{00000000-0008-0000-0400-000078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77" name="Text Box 2">
          <a:extLst>
            <a:ext uri="{FF2B5EF4-FFF2-40B4-BE49-F238E27FC236}">
              <a16:creationId xmlns:a16="http://schemas.microsoft.com/office/drawing/2014/main" id="{00000000-0008-0000-0400-000079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78" name="Text Box 2">
          <a:extLst>
            <a:ext uri="{FF2B5EF4-FFF2-40B4-BE49-F238E27FC236}">
              <a16:creationId xmlns:a16="http://schemas.microsoft.com/office/drawing/2014/main" id="{00000000-0008-0000-0400-00007A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79" name="Text Box 2">
          <a:extLst>
            <a:ext uri="{FF2B5EF4-FFF2-40B4-BE49-F238E27FC236}">
              <a16:creationId xmlns:a16="http://schemas.microsoft.com/office/drawing/2014/main" id="{00000000-0008-0000-0400-00007B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80" name="Text Box 2">
          <a:extLst>
            <a:ext uri="{FF2B5EF4-FFF2-40B4-BE49-F238E27FC236}">
              <a16:creationId xmlns:a16="http://schemas.microsoft.com/office/drawing/2014/main" id="{00000000-0008-0000-0400-00007C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81" name="Text Box 2">
          <a:extLst>
            <a:ext uri="{FF2B5EF4-FFF2-40B4-BE49-F238E27FC236}">
              <a16:creationId xmlns:a16="http://schemas.microsoft.com/office/drawing/2014/main" id="{00000000-0008-0000-0400-00007D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82" name="Text Box 2">
          <a:extLst>
            <a:ext uri="{FF2B5EF4-FFF2-40B4-BE49-F238E27FC236}">
              <a16:creationId xmlns:a16="http://schemas.microsoft.com/office/drawing/2014/main" id="{00000000-0008-0000-0400-00007E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83" name="Text Box 2">
          <a:extLst>
            <a:ext uri="{FF2B5EF4-FFF2-40B4-BE49-F238E27FC236}">
              <a16:creationId xmlns:a16="http://schemas.microsoft.com/office/drawing/2014/main" id="{00000000-0008-0000-0400-00007F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84" name="Text Box 2">
          <a:extLst>
            <a:ext uri="{FF2B5EF4-FFF2-40B4-BE49-F238E27FC236}">
              <a16:creationId xmlns:a16="http://schemas.microsoft.com/office/drawing/2014/main" id="{00000000-0008-0000-0400-000080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85" name="Text Box 2">
          <a:extLst>
            <a:ext uri="{FF2B5EF4-FFF2-40B4-BE49-F238E27FC236}">
              <a16:creationId xmlns:a16="http://schemas.microsoft.com/office/drawing/2014/main" id="{00000000-0008-0000-0400-000081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86" name="Text Box 2">
          <a:extLst>
            <a:ext uri="{FF2B5EF4-FFF2-40B4-BE49-F238E27FC236}">
              <a16:creationId xmlns:a16="http://schemas.microsoft.com/office/drawing/2014/main" id="{00000000-0008-0000-0400-000082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87" name="Text Box 2">
          <a:extLst>
            <a:ext uri="{FF2B5EF4-FFF2-40B4-BE49-F238E27FC236}">
              <a16:creationId xmlns:a16="http://schemas.microsoft.com/office/drawing/2014/main" id="{00000000-0008-0000-0400-000083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88" name="Text Box 2">
          <a:extLst>
            <a:ext uri="{FF2B5EF4-FFF2-40B4-BE49-F238E27FC236}">
              <a16:creationId xmlns:a16="http://schemas.microsoft.com/office/drawing/2014/main" id="{00000000-0008-0000-0400-000084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89" name="Text Box 2">
          <a:extLst>
            <a:ext uri="{FF2B5EF4-FFF2-40B4-BE49-F238E27FC236}">
              <a16:creationId xmlns:a16="http://schemas.microsoft.com/office/drawing/2014/main" id="{00000000-0008-0000-0400-000085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390" name="Text Box 2">
          <a:extLst>
            <a:ext uri="{FF2B5EF4-FFF2-40B4-BE49-F238E27FC236}">
              <a16:creationId xmlns:a16="http://schemas.microsoft.com/office/drawing/2014/main" id="{00000000-0008-0000-0400-00008601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91" name="Text Box 2">
          <a:extLst>
            <a:ext uri="{FF2B5EF4-FFF2-40B4-BE49-F238E27FC236}">
              <a16:creationId xmlns:a16="http://schemas.microsoft.com/office/drawing/2014/main" id="{00000000-0008-0000-0400-000087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92" name="Text Box 2">
          <a:extLst>
            <a:ext uri="{FF2B5EF4-FFF2-40B4-BE49-F238E27FC236}">
              <a16:creationId xmlns:a16="http://schemas.microsoft.com/office/drawing/2014/main" id="{00000000-0008-0000-0400-000088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93" name="Text Box 2">
          <a:extLst>
            <a:ext uri="{FF2B5EF4-FFF2-40B4-BE49-F238E27FC236}">
              <a16:creationId xmlns:a16="http://schemas.microsoft.com/office/drawing/2014/main" id="{00000000-0008-0000-0400-000089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94" name="Text Box 2">
          <a:extLst>
            <a:ext uri="{FF2B5EF4-FFF2-40B4-BE49-F238E27FC236}">
              <a16:creationId xmlns:a16="http://schemas.microsoft.com/office/drawing/2014/main" id="{00000000-0008-0000-0400-00008A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95" name="Text Box 2">
          <a:extLst>
            <a:ext uri="{FF2B5EF4-FFF2-40B4-BE49-F238E27FC236}">
              <a16:creationId xmlns:a16="http://schemas.microsoft.com/office/drawing/2014/main" id="{00000000-0008-0000-0400-00008B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96" name="Text Box 2">
          <a:extLst>
            <a:ext uri="{FF2B5EF4-FFF2-40B4-BE49-F238E27FC236}">
              <a16:creationId xmlns:a16="http://schemas.microsoft.com/office/drawing/2014/main" id="{00000000-0008-0000-0400-00008C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97" name="Text Box 2">
          <a:extLst>
            <a:ext uri="{FF2B5EF4-FFF2-40B4-BE49-F238E27FC236}">
              <a16:creationId xmlns:a16="http://schemas.microsoft.com/office/drawing/2014/main" id="{00000000-0008-0000-0400-00008D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98" name="Text Box 2">
          <a:extLst>
            <a:ext uri="{FF2B5EF4-FFF2-40B4-BE49-F238E27FC236}">
              <a16:creationId xmlns:a16="http://schemas.microsoft.com/office/drawing/2014/main" id="{00000000-0008-0000-0400-00008E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399" name="Text Box 2">
          <a:extLst>
            <a:ext uri="{FF2B5EF4-FFF2-40B4-BE49-F238E27FC236}">
              <a16:creationId xmlns:a16="http://schemas.microsoft.com/office/drawing/2014/main" id="{00000000-0008-0000-0400-00008F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00" name="Text Box 2">
          <a:extLst>
            <a:ext uri="{FF2B5EF4-FFF2-40B4-BE49-F238E27FC236}">
              <a16:creationId xmlns:a16="http://schemas.microsoft.com/office/drawing/2014/main" id="{00000000-0008-0000-0400-000090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01" name="Text Box 2">
          <a:extLst>
            <a:ext uri="{FF2B5EF4-FFF2-40B4-BE49-F238E27FC236}">
              <a16:creationId xmlns:a16="http://schemas.microsoft.com/office/drawing/2014/main" id="{00000000-0008-0000-0400-000091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02" name="Text Box 2">
          <a:extLst>
            <a:ext uri="{FF2B5EF4-FFF2-40B4-BE49-F238E27FC236}">
              <a16:creationId xmlns:a16="http://schemas.microsoft.com/office/drawing/2014/main" id="{00000000-0008-0000-0400-000092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03" name="Text Box 2">
          <a:extLst>
            <a:ext uri="{FF2B5EF4-FFF2-40B4-BE49-F238E27FC236}">
              <a16:creationId xmlns:a16="http://schemas.microsoft.com/office/drawing/2014/main" id="{00000000-0008-0000-0400-000093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04" name="Text Box 2">
          <a:extLst>
            <a:ext uri="{FF2B5EF4-FFF2-40B4-BE49-F238E27FC236}">
              <a16:creationId xmlns:a16="http://schemas.microsoft.com/office/drawing/2014/main" id="{00000000-0008-0000-0400-000094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05" name="Text Box 2">
          <a:extLst>
            <a:ext uri="{FF2B5EF4-FFF2-40B4-BE49-F238E27FC236}">
              <a16:creationId xmlns:a16="http://schemas.microsoft.com/office/drawing/2014/main" id="{00000000-0008-0000-0400-000095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06" name="Text Box 2">
          <a:extLst>
            <a:ext uri="{FF2B5EF4-FFF2-40B4-BE49-F238E27FC236}">
              <a16:creationId xmlns:a16="http://schemas.microsoft.com/office/drawing/2014/main" id="{00000000-0008-0000-0400-000096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07" name="Text Box 2">
          <a:extLst>
            <a:ext uri="{FF2B5EF4-FFF2-40B4-BE49-F238E27FC236}">
              <a16:creationId xmlns:a16="http://schemas.microsoft.com/office/drawing/2014/main" id="{00000000-0008-0000-0400-000097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08" name="Text Box 2">
          <a:extLst>
            <a:ext uri="{FF2B5EF4-FFF2-40B4-BE49-F238E27FC236}">
              <a16:creationId xmlns:a16="http://schemas.microsoft.com/office/drawing/2014/main" id="{00000000-0008-0000-0400-000098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09" name="Text Box 2">
          <a:extLst>
            <a:ext uri="{FF2B5EF4-FFF2-40B4-BE49-F238E27FC236}">
              <a16:creationId xmlns:a16="http://schemas.microsoft.com/office/drawing/2014/main" id="{00000000-0008-0000-0400-000099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10" name="Text Box 2">
          <a:extLst>
            <a:ext uri="{FF2B5EF4-FFF2-40B4-BE49-F238E27FC236}">
              <a16:creationId xmlns:a16="http://schemas.microsoft.com/office/drawing/2014/main" id="{00000000-0008-0000-0400-00009A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11" name="Text Box 2">
          <a:extLst>
            <a:ext uri="{FF2B5EF4-FFF2-40B4-BE49-F238E27FC236}">
              <a16:creationId xmlns:a16="http://schemas.microsoft.com/office/drawing/2014/main" id="{00000000-0008-0000-0400-00009B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12" name="Text Box 2">
          <a:extLst>
            <a:ext uri="{FF2B5EF4-FFF2-40B4-BE49-F238E27FC236}">
              <a16:creationId xmlns:a16="http://schemas.microsoft.com/office/drawing/2014/main" id="{00000000-0008-0000-0400-00009C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13" name="Text Box 2">
          <a:extLst>
            <a:ext uri="{FF2B5EF4-FFF2-40B4-BE49-F238E27FC236}">
              <a16:creationId xmlns:a16="http://schemas.microsoft.com/office/drawing/2014/main" id="{00000000-0008-0000-0400-00009D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14" name="Text Box 2">
          <a:extLst>
            <a:ext uri="{FF2B5EF4-FFF2-40B4-BE49-F238E27FC236}">
              <a16:creationId xmlns:a16="http://schemas.microsoft.com/office/drawing/2014/main" id="{00000000-0008-0000-0400-00009E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15" name="Text Box 2">
          <a:extLst>
            <a:ext uri="{FF2B5EF4-FFF2-40B4-BE49-F238E27FC236}">
              <a16:creationId xmlns:a16="http://schemas.microsoft.com/office/drawing/2014/main" id="{00000000-0008-0000-0400-00009F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16" name="Text Box 2">
          <a:extLst>
            <a:ext uri="{FF2B5EF4-FFF2-40B4-BE49-F238E27FC236}">
              <a16:creationId xmlns:a16="http://schemas.microsoft.com/office/drawing/2014/main" id="{00000000-0008-0000-0400-0000A0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17" name="Text Box 2">
          <a:extLst>
            <a:ext uri="{FF2B5EF4-FFF2-40B4-BE49-F238E27FC236}">
              <a16:creationId xmlns:a16="http://schemas.microsoft.com/office/drawing/2014/main" id="{00000000-0008-0000-0400-0000A1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18" name="Text Box 2">
          <a:extLst>
            <a:ext uri="{FF2B5EF4-FFF2-40B4-BE49-F238E27FC236}">
              <a16:creationId xmlns:a16="http://schemas.microsoft.com/office/drawing/2014/main" id="{00000000-0008-0000-0400-0000A2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19" name="Text Box 2">
          <a:extLst>
            <a:ext uri="{FF2B5EF4-FFF2-40B4-BE49-F238E27FC236}">
              <a16:creationId xmlns:a16="http://schemas.microsoft.com/office/drawing/2014/main" id="{00000000-0008-0000-0400-0000A3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20" name="Text Box 2">
          <a:extLst>
            <a:ext uri="{FF2B5EF4-FFF2-40B4-BE49-F238E27FC236}">
              <a16:creationId xmlns:a16="http://schemas.microsoft.com/office/drawing/2014/main" id="{00000000-0008-0000-0400-0000A4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21" name="Text Box 2">
          <a:extLst>
            <a:ext uri="{FF2B5EF4-FFF2-40B4-BE49-F238E27FC236}">
              <a16:creationId xmlns:a16="http://schemas.microsoft.com/office/drawing/2014/main" id="{00000000-0008-0000-0400-0000A5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22" name="Text Box 2">
          <a:extLst>
            <a:ext uri="{FF2B5EF4-FFF2-40B4-BE49-F238E27FC236}">
              <a16:creationId xmlns:a16="http://schemas.microsoft.com/office/drawing/2014/main" id="{00000000-0008-0000-0400-0000A6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23" name="Text Box 2">
          <a:extLst>
            <a:ext uri="{FF2B5EF4-FFF2-40B4-BE49-F238E27FC236}">
              <a16:creationId xmlns:a16="http://schemas.microsoft.com/office/drawing/2014/main" id="{00000000-0008-0000-0400-0000A7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24" name="Text Box 2">
          <a:extLst>
            <a:ext uri="{FF2B5EF4-FFF2-40B4-BE49-F238E27FC236}">
              <a16:creationId xmlns:a16="http://schemas.microsoft.com/office/drawing/2014/main" id="{00000000-0008-0000-0400-0000A8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25" name="Text Box 2">
          <a:extLst>
            <a:ext uri="{FF2B5EF4-FFF2-40B4-BE49-F238E27FC236}">
              <a16:creationId xmlns:a16="http://schemas.microsoft.com/office/drawing/2014/main" id="{00000000-0008-0000-0400-0000A9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26" name="Text Box 2">
          <a:extLst>
            <a:ext uri="{FF2B5EF4-FFF2-40B4-BE49-F238E27FC236}">
              <a16:creationId xmlns:a16="http://schemas.microsoft.com/office/drawing/2014/main" id="{00000000-0008-0000-0400-0000AA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27" name="Text Box 2">
          <a:extLst>
            <a:ext uri="{FF2B5EF4-FFF2-40B4-BE49-F238E27FC236}">
              <a16:creationId xmlns:a16="http://schemas.microsoft.com/office/drawing/2014/main" id="{00000000-0008-0000-0400-0000AB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28" name="Text Box 2">
          <a:extLst>
            <a:ext uri="{FF2B5EF4-FFF2-40B4-BE49-F238E27FC236}">
              <a16:creationId xmlns:a16="http://schemas.microsoft.com/office/drawing/2014/main" id="{00000000-0008-0000-0400-0000AC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29" name="Text Box 2">
          <a:extLst>
            <a:ext uri="{FF2B5EF4-FFF2-40B4-BE49-F238E27FC236}">
              <a16:creationId xmlns:a16="http://schemas.microsoft.com/office/drawing/2014/main" id="{00000000-0008-0000-0400-0000AD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30" name="Text Box 2">
          <a:extLst>
            <a:ext uri="{FF2B5EF4-FFF2-40B4-BE49-F238E27FC236}">
              <a16:creationId xmlns:a16="http://schemas.microsoft.com/office/drawing/2014/main" id="{00000000-0008-0000-0400-0000AE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31" name="Text Box 2">
          <a:extLst>
            <a:ext uri="{FF2B5EF4-FFF2-40B4-BE49-F238E27FC236}">
              <a16:creationId xmlns:a16="http://schemas.microsoft.com/office/drawing/2014/main" id="{00000000-0008-0000-0400-0000AF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32" name="Text Box 2">
          <a:extLst>
            <a:ext uri="{FF2B5EF4-FFF2-40B4-BE49-F238E27FC236}">
              <a16:creationId xmlns:a16="http://schemas.microsoft.com/office/drawing/2014/main" id="{00000000-0008-0000-0400-0000B0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33" name="Text Box 2">
          <a:extLst>
            <a:ext uri="{FF2B5EF4-FFF2-40B4-BE49-F238E27FC236}">
              <a16:creationId xmlns:a16="http://schemas.microsoft.com/office/drawing/2014/main" id="{00000000-0008-0000-0400-0000B1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34" name="Text Box 2">
          <a:extLst>
            <a:ext uri="{FF2B5EF4-FFF2-40B4-BE49-F238E27FC236}">
              <a16:creationId xmlns:a16="http://schemas.microsoft.com/office/drawing/2014/main" id="{00000000-0008-0000-0400-0000B2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35" name="Text Box 2">
          <a:extLst>
            <a:ext uri="{FF2B5EF4-FFF2-40B4-BE49-F238E27FC236}">
              <a16:creationId xmlns:a16="http://schemas.microsoft.com/office/drawing/2014/main" id="{00000000-0008-0000-0400-0000B3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36" name="Text Box 2">
          <a:extLst>
            <a:ext uri="{FF2B5EF4-FFF2-40B4-BE49-F238E27FC236}">
              <a16:creationId xmlns:a16="http://schemas.microsoft.com/office/drawing/2014/main" id="{00000000-0008-0000-0400-0000B4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37" name="Text Box 2">
          <a:extLst>
            <a:ext uri="{FF2B5EF4-FFF2-40B4-BE49-F238E27FC236}">
              <a16:creationId xmlns:a16="http://schemas.microsoft.com/office/drawing/2014/main" id="{00000000-0008-0000-0400-0000B5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38" name="Text Box 2">
          <a:extLst>
            <a:ext uri="{FF2B5EF4-FFF2-40B4-BE49-F238E27FC236}">
              <a16:creationId xmlns:a16="http://schemas.microsoft.com/office/drawing/2014/main" id="{00000000-0008-0000-0400-0000B6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39" name="Text Box 2">
          <a:extLst>
            <a:ext uri="{FF2B5EF4-FFF2-40B4-BE49-F238E27FC236}">
              <a16:creationId xmlns:a16="http://schemas.microsoft.com/office/drawing/2014/main" id="{00000000-0008-0000-0400-0000B7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40" name="Text Box 2">
          <a:extLst>
            <a:ext uri="{FF2B5EF4-FFF2-40B4-BE49-F238E27FC236}">
              <a16:creationId xmlns:a16="http://schemas.microsoft.com/office/drawing/2014/main" id="{00000000-0008-0000-0400-0000B8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41" name="Text Box 2">
          <a:extLst>
            <a:ext uri="{FF2B5EF4-FFF2-40B4-BE49-F238E27FC236}">
              <a16:creationId xmlns:a16="http://schemas.microsoft.com/office/drawing/2014/main" id="{00000000-0008-0000-0400-0000B9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42" name="Text Box 2">
          <a:extLst>
            <a:ext uri="{FF2B5EF4-FFF2-40B4-BE49-F238E27FC236}">
              <a16:creationId xmlns:a16="http://schemas.microsoft.com/office/drawing/2014/main" id="{00000000-0008-0000-0400-0000BA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43" name="Text Box 2">
          <a:extLst>
            <a:ext uri="{FF2B5EF4-FFF2-40B4-BE49-F238E27FC236}">
              <a16:creationId xmlns:a16="http://schemas.microsoft.com/office/drawing/2014/main" id="{00000000-0008-0000-0400-0000BB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44" name="Text Box 2">
          <a:extLst>
            <a:ext uri="{FF2B5EF4-FFF2-40B4-BE49-F238E27FC236}">
              <a16:creationId xmlns:a16="http://schemas.microsoft.com/office/drawing/2014/main" id="{00000000-0008-0000-0400-0000BC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45" name="Text Box 2">
          <a:extLst>
            <a:ext uri="{FF2B5EF4-FFF2-40B4-BE49-F238E27FC236}">
              <a16:creationId xmlns:a16="http://schemas.microsoft.com/office/drawing/2014/main" id="{00000000-0008-0000-0400-0000BD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46" name="Text Box 2">
          <a:extLst>
            <a:ext uri="{FF2B5EF4-FFF2-40B4-BE49-F238E27FC236}">
              <a16:creationId xmlns:a16="http://schemas.microsoft.com/office/drawing/2014/main" id="{00000000-0008-0000-0400-0000BE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47" name="Text Box 2">
          <a:extLst>
            <a:ext uri="{FF2B5EF4-FFF2-40B4-BE49-F238E27FC236}">
              <a16:creationId xmlns:a16="http://schemas.microsoft.com/office/drawing/2014/main" id="{00000000-0008-0000-0400-0000BF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48" name="Text Box 2">
          <a:extLst>
            <a:ext uri="{FF2B5EF4-FFF2-40B4-BE49-F238E27FC236}">
              <a16:creationId xmlns:a16="http://schemas.microsoft.com/office/drawing/2014/main" id="{00000000-0008-0000-0400-0000C0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49" name="Text Box 2">
          <a:extLst>
            <a:ext uri="{FF2B5EF4-FFF2-40B4-BE49-F238E27FC236}">
              <a16:creationId xmlns:a16="http://schemas.microsoft.com/office/drawing/2014/main" id="{00000000-0008-0000-0400-0000C1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50" name="Text Box 2">
          <a:extLst>
            <a:ext uri="{FF2B5EF4-FFF2-40B4-BE49-F238E27FC236}">
              <a16:creationId xmlns:a16="http://schemas.microsoft.com/office/drawing/2014/main" id="{00000000-0008-0000-0400-0000C2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51" name="Text Box 2">
          <a:extLst>
            <a:ext uri="{FF2B5EF4-FFF2-40B4-BE49-F238E27FC236}">
              <a16:creationId xmlns:a16="http://schemas.microsoft.com/office/drawing/2014/main" id="{00000000-0008-0000-0400-0000C3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52" name="Text Box 2">
          <a:extLst>
            <a:ext uri="{FF2B5EF4-FFF2-40B4-BE49-F238E27FC236}">
              <a16:creationId xmlns:a16="http://schemas.microsoft.com/office/drawing/2014/main" id="{00000000-0008-0000-0400-0000C4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53" name="Text Box 2">
          <a:extLst>
            <a:ext uri="{FF2B5EF4-FFF2-40B4-BE49-F238E27FC236}">
              <a16:creationId xmlns:a16="http://schemas.microsoft.com/office/drawing/2014/main" id="{00000000-0008-0000-0400-0000C5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54" name="Text Box 2">
          <a:extLst>
            <a:ext uri="{FF2B5EF4-FFF2-40B4-BE49-F238E27FC236}">
              <a16:creationId xmlns:a16="http://schemas.microsoft.com/office/drawing/2014/main" id="{00000000-0008-0000-0400-0000C6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55" name="Text Box 2">
          <a:extLst>
            <a:ext uri="{FF2B5EF4-FFF2-40B4-BE49-F238E27FC236}">
              <a16:creationId xmlns:a16="http://schemas.microsoft.com/office/drawing/2014/main" id="{00000000-0008-0000-0400-0000C7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56" name="Text Box 2">
          <a:extLst>
            <a:ext uri="{FF2B5EF4-FFF2-40B4-BE49-F238E27FC236}">
              <a16:creationId xmlns:a16="http://schemas.microsoft.com/office/drawing/2014/main" id="{00000000-0008-0000-0400-0000C8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57" name="Text Box 2">
          <a:extLst>
            <a:ext uri="{FF2B5EF4-FFF2-40B4-BE49-F238E27FC236}">
              <a16:creationId xmlns:a16="http://schemas.microsoft.com/office/drawing/2014/main" id="{00000000-0008-0000-0400-0000C9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58" name="Text Box 2">
          <a:extLst>
            <a:ext uri="{FF2B5EF4-FFF2-40B4-BE49-F238E27FC236}">
              <a16:creationId xmlns:a16="http://schemas.microsoft.com/office/drawing/2014/main" id="{00000000-0008-0000-0400-0000CA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59" name="Text Box 2">
          <a:extLst>
            <a:ext uri="{FF2B5EF4-FFF2-40B4-BE49-F238E27FC236}">
              <a16:creationId xmlns:a16="http://schemas.microsoft.com/office/drawing/2014/main" id="{00000000-0008-0000-0400-0000CB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60" name="Text Box 2">
          <a:extLst>
            <a:ext uri="{FF2B5EF4-FFF2-40B4-BE49-F238E27FC236}">
              <a16:creationId xmlns:a16="http://schemas.microsoft.com/office/drawing/2014/main" id="{00000000-0008-0000-0400-0000CC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61" name="Text Box 2">
          <a:extLst>
            <a:ext uri="{FF2B5EF4-FFF2-40B4-BE49-F238E27FC236}">
              <a16:creationId xmlns:a16="http://schemas.microsoft.com/office/drawing/2014/main" id="{00000000-0008-0000-0400-0000CD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62" name="Text Box 2">
          <a:extLst>
            <a:ext uri="{FF2B5EF4-FFF2-40B4-BE49-F238E27FC236}">
              <a16:creationId xmlns:a16="http://schemas.microsoft.com/office/drawing/2014/main" id="{00000000-0008-0000-0400-0000CE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63" name="Text Box 2">
          <a:extLst>
            <a:ext uri="{FF2B5EF4-FFF2-40B4-BE49-F238E27FC236}">
              <a16:creationId xmlns:a16="http://schemas.microsoft.com/office/drawing/2014/main" id="{00000000-0008-0000-0400-0000CF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64" name="Text Box 2">
          <a:extLst>
            <a:ext uri="{FF2B5EF4-FFF2-40B4-BE49-F238E27FC236}">
              <a16:creationId xmlns:a16="http://schemas.microsoft.com/office/drawing/2014/main" id="{00000000-0008-0000-0400-0000D0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65" name="Text Box 2">
          <a:extLst>
            <a:ext uri="{FF2B5EF4-FFF2-40B4-BE49-F238E27FC236}">
              <a16:creationId xmlns:a16="http://schemas.microsoft.com/office/drawing/2014/main" id="{00000000-0008-0000-0400-0000D1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66" name="Text Box 2">
          <a:extLst>
            <a:ext uri="{FF2B5EF4-FFF2-40B4-BE49-F238E27FC236}">
              <a16:creationId xmlns:a16="http://schemas.microsoft.com/office/drawing/2014/main" id="{00000000-0008-0000-0400-0000D2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67" name="Text Box 2">
          <a:extLst>
            <a:ext uri="{FF2B5EF4-FFF2-40B4-BE49-F238E27FC236}">
              <a16:creationId xmlns:a16="http://schemas.microsoft.com/office/drawing/2014/main" id="{00000000-0008-0000-0400-0000D3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68" name="Text Box 2">
          <a:extLst>
            <a:ext uri="{FF2B5EF4-FFF2-40B4-BE49-F238E27FC236}">
              <a16:creationId xmlns:a16="http://schemas.microsoft.com/office/drawing/2014/main" id="{00000000-0008-0000-0400-0000D4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69" name="Text Box 2">
          <a:extLst>
            <a:ext uri="{FF2B5EF4-FFF2-40B4-BE49-F238E27FC236}">
              <a16:creationId xmlns:a16="http://schemas.microsoft.com/office/drawing/2014/main" id="{00000000-0008-0000-0400-0000D5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70" name="Text Box 2">
          <a:extLst>
            <a:ext uri="{FF2B5EF4-FFF2-40B4-BE49-F238E27FC236}">
              <a16:creationId xmlns:a16="http://schemas.microsoft.com/office/drawing/2014/main" id="{00000000-0008-0000-0400-0000D6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71" name="Text Box 2">
          <a:extLst>
            <a:ext uri="{FF2B5EF4-FFF2-40B4-BE49-F238E27FC236}">
              <a16:creationId xmlns:a16="http://schemas.microsoft.com/office/drawing/2014/main" id="{00000000-0008-0000-0400-0000D7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72" name="Text Box 2">
          <a:extLst>
            <a:ext uri="{FF2B5EF4-FFF2-40B4-BE49-F238E27FC236}">
              <a16:creationId xmlns:a16="http://schemas.microsoft.com/office/drawing/2014/main" id="{00000000-0008-0000-0400-0000D8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73" name="Text Box 2">
          <a:extLst>
            <a:ext uri="{FF2B5EF4-FFF2-40B4-BE49-F238E27FC236}">
              <a16:creationId xmlns:a16="http://schemas.microsoft.com/office/drawing/2014/main" id="{00000000-0008-0000-0400-0000D9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74" name="Text Box 2">
          <a:extLst>
            <a:ext uri="{FF2B5EF4-FFF2-40B4-BE49-F238E27FC236}">
              <a16:creationId xmlns:a16="http://schemas.microsoft.com/office/drawing/2014/main" id="{00000000-0008-0000-0400-0000DA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75" name="Text Box 2">
          <a:extLst>
            <a:ext uri="{FF2B5EF4-FFF2-40B4-BE49-F238E27FC236}">
              <a16:creationId xmlns:a16="http://schemas.microsoft.com/office/drawing/2014/main" id="{00000000-0008-0000-0400-0000DB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76" name="Text Box 2">
          <a:extLst>
            <a:ext uri="{FF2B5EF4-FFF2-40B4-BE49-F238E27FC236}">
              <a16:creationId xmlns:a16="http://schemas.microsoft.com/office/drawing/2014/main" id="{00000000-0008-0000-0400-0000DC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77" name="Text Box 2">
          <a:extLst>
            <a:ext uri="{FF2B5EF4-FFF2-40B4-BE49-F238E27FC236}">
              <a16:creationId xmlns:a16="http://schemas.microsoft.com/office/drawing/2014/main" id="{00000000-0008-0000-0400-0000DD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78" name="Text Box 2">
          <a:extLst>
            <a:ext uri="{FF2B5EF4-FFF2-40B4-BE49-F238E27FC236}">
              <a16:creationId xmlns:a16="http://schemas.microsoft.com/office/drawing/2014/main" id="{00000000-0008-0000-0400-0000DE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79" name="Text Box 2">
          <a:extLst>
            <a:ext uri="{FF2B5EF4-FFF2-40B4-BE49-F238E27FC236}">
              <a16:creationId xmlns:a16="http://schemas.microsoft.com/office/drawing/2014/main" id="{00000000-0008-0000-0400-0000DF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80" name="Text Box 2">
          <a:extLst>
            <a:ext uri="{FF2B5EF4-FFF2-40B4-BE49-F238E27FC236}">
              <a16:creationId xmlns:a16="http://schemas.microsoft.com/office/drawing/2014/main" id="{00000000-0008-0000-0400-0000E0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81" name="Text Box 2">
          <a:extLst>
            <a:ext uri="{FF2B5EF4-FFF2-40B4-BE49-F238E27FC236}">
              <a16:creationId xmlns:a16="http://schemas.microsoft.com/office/drawing/2014/main" id="{00000000-0008-0000-0400-0000E1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82" name="Text Box 2">
          <a:extLst>
            <a:ext uri="{FF2B5EF4-FFF2-40B4-BE49-F238E27FC236}">
              <a16:creationId xmlns:a16="http://schemas.microsoft.com/office/drawing/2014/main" id="{00000000-0008-0000-0400-0000E2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83" name="Text Box 2">
          <a:extLst>
            <a:ext uri="{FF2B5EF4-FFF2-40B4-BE49-F238E27FC236}">
              <a16:creationId xmlns:a16="http://schemas.microsoft.com/office/drawing/2014/main" id="{00000000-0008-0000-0400-0000E3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84" name="Text Box 2">
          <a:extLst>
            <a:ext uri="{FF2B5EF4-FFF2-40B4-BE49-F238E27FC236}">
              <a16:creationId xmlns:a16="http://schemas.microsoft.com/office/drawing/2014/main" id="{00000000-0008-0000-0400-0000E4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85" name="Text Box 2">
          <a:extLst>
            <a:ext uri="{FF2B5EF4-FFF2-40B4-BE49-F238E27FC236}">
              <a16:creationId xmlns:a16="http://schemas.microsoft.com/office/drawing/2014/main" id="{00000000-0008-0000-0400-0000E5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86" name="Text Box 2">
          <a:extLst>
            <a:ext uri="{FF2B5EF4-FFF2-40B4-BE49-F238E27FC236}">
              <a16:creationId xmlns:a16="http://schemas.microsoft.com/office/drawing/2014/main" id="{00000000-0008-0000-0400-0000E6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87" name="Text Box 2">
          <a:extLst>
            <a:ext uri="{FF2B5EF4-FFF2-40B4-BE49-F238E27FC236}">
              <a16:creationId xmlns:a16="http://schemas.microsoft.com/office/drawing/2014/main" id="{00000000-0008-0000-0400-0000E7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88" name="Text Box 2">
          <a:extLst>
            <a:ext uri="{FF2B5EF4-FFF2-40B4-BE49-F238E27FC236}">
              <a16:creationId xmlns:a16="http://schemas.microsoft.com/office/drawing/2014/main" id="{00000000-0008-0000-0400-0000E8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89" name="Text Box 2">
          <a:extLst>
            <a:ext uri="{FF2B5EF4-FFF2-40B4-BE49-F238E27FC236}">
              <a16:creationId xmlns:a16="http://schemas.microsoft.com/office/drawing/2014/main" id="{00000000-0008-0000-0400-0000E9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90" name="Text Box 2">
          <a:extLst>
            <a:ext uri="{FF2B5EF4-FFF2-40B4-BE49-F238E27FC236}">
              <a16:creationId xmlns:a16="http://schemas.microsoft.com/office/drawing/2014/main" id="{00000000-0008-0000-0400-0000EA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91" name="Text Box 2">
          <a:extLst>
            <a:ext uri="{FF2B5EF4-FFF2-40B4-BE49-F238E27FC236}">
              <a16:creationId xmlns:a16="http://schemas.microsoft.com/office/drawing/2014/main" id="{00000000-0008-0000-0400-0000EB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92" name="Text Box 2">
          <a:extLst>
            <a:ext uri="{FF2B5EF4-FFF2-40B4-BE49-F238E27FC236}">
              <a16:creationId xmlns:a16="http://schemas.microsoft.com/office/drawing/2014/main" id="{00000000-0008-0000-0400-0000EC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93" name="Text Box 2">
          <a:extLst>
            <a:ext uri="{FF2B5EF4-FFF2-40B4-BE49-F238E27FC236}">
              <a16:creationId xmlns:a16="http://schemas.microsoft.com/office/drawing/2014/main" id="{00000000-0008-0000-0400-0000ED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94" name="Text Box 2">
          <a:extLst>
            <a:ext uri="{FF2B5EF4-FFF2-40B4-BE49-F238E27FC236}">
              <a16:creationId xmlns:a16="http://schemas.microsoft.com/office/drawing/2014/main" id="{00000000-0008-0000-0400-0000EE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95" name="Text Box 2">
          <a:extLst>
            <a:ext uri="{FF2B5EF4-FFF2-40B4-BE49-F238E27FC236}">
              <a16:creationId xmlns:a16="http://schemas.microsoft.com/office/drawing/2014/main" id="{00000000-0008-0000-0400-0000EF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96" name="Text Box 2">
          <a:extLst>
            <a:ext uri="{FF2B5EF4-FFF2-40B4-BE49-F238E27FC236}">
              <a16:creationId xmlns:a16="http://schemas.microsoft.com/office/drawing/2014/main" id="{00000000-0008-0000-0400-0000F0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97" name="Text Box 2">
          <a:extLst>
            <a:ext uri="{FF2B5EF4-FFF2-40B4-BE49-F238E27FC236}">
              <a16:creationId xmlns:a16="http://schemas.microsoft.com/office/drawing/2014/main" id="{00000000-0008-0000-0400-0000F1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98" name="Text Box 2">
          <a:extLst>
            <a:ext uri="{FF2B5EF4-FFF2-40B4-BE49-F238E27FC236}">
              <a16:creationId xmlns:a16="http://schemas.microsoft.com/office/drawing/2014/main" id="{00000000-0008-0000-0400-0000F2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499" name="Text Box 2">
          <a:extLst>
            <a:ext uri="{FF2B5EF4-FFF2-40B4-BE49-F238E27FC236}">
              <a16:creationId xmlns:a16="http://schemas.microsoft.com/office/drawing/2014/main" id="{00000000-0008-0000-0400-0000F3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00" name="Text Box 2">
          <a:extLst>
            <a:ext uri="{FF2B5EF4-FFF2-40B4-BE49-F238E27FC236}">
              <a16:creationId xmlns:a16="http://schemas.microsoft.com/office/drawing/2014/main" id="{00000000-0008-0000-0400-0000F4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01" name="Text Box 2">
          <a:extLst>
            <a:ext uri="{FF2B5EF4-FFF2-40B4-BE49-F238E27FC236}">
              <a16:creationId xmlns:a16="http://schemas.microsoft.com/office/drawing/2014/main" id="{00000000-0008-0000-0400-0000F5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02" name="Text Box 2">
          <a:extLst>
            <a:ext uri="{FF2B5EF4-FFF2-40B4-BE49-F238E27FC236}">
              <a16:creationId xmlns:a16="http://schemas.microsoft.com/office/drawing/2014/main" id="{00000000-0008-0000-0400-0000F6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03" name="Text Box 2">
          <a:extLst>
            <a:ext uri="{FF2B5EF4-FFF2-40B4-BE49-F238E27FC236}">
              <a16:creationId xmlns:a16="http://schemas.microsoft.com/office/drawing/2014/main" id="{00000000-0008-0000-0400-0000F7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04" name="Text Box 2">
          <a:extLst>
            <a:ext uri="{FF2B5EF4-FFF2-40B4-BE49-F238E27FC236}">
              <a16:creationId xmlns:a16="http://schemas.microsoft.com/office/drawing/2014/main" id="{00000000-0008-0000-0400-0000F8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05" name="Text Box 2">
          <a:extLst>
            <a:ext uri="{FF2B5EF4-FFF2-40B4-BE49-F238E27FC236}">
              <a16:creationId xmlns:a16="http://schemas.microsoft.com/office/drawing/2014/main" id="{00000000-0008-0000-0400-0000F9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06" name="Text Box 2">
          <a:extLst>
            <a:ext uri="{FF2B5EF4-FFF2-40B4-BE49-F238E27FC236}">
              <a16:creationId xmlns:a16="http://schemas.microsoft.com/office/drawing/2014/main" id="{00000000-0008-0000-0400-0000FA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07" name="Text Box 2">
          <a:extLst>
            <a:ext uri="{FF2B5EF4-FFF2-40B4-BE49-F238E27FC236}">
              <a16:creationId xmlns:a16="http://schemas.microsoft.com/office/drawing/2014/main" id="{00000000-0008-0000-0400-0000FB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08" name="Text Box 2">
          <a:extLst>
            <a:ext uri="{FF2B5EF4-FFF2-40B4-BE49-F238E27FC236}">
              <a16:creationId xmlns:a16="http://schemas.microsoft.com/office/drawing/2014/main" id="{00000000-0008-0000-0400-0000FC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09" name="Text Box 2">
          <a:extLst>
            <a:ext uri="{FF2B5EF4-FFF2-40B4-BE49-F238E27FC236}">
              <a16:creationId xmlns:a16="http://schemas.microsoft.com/office/drawing/2014/main" id="{00000000-0008-0000-0400-0000FD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10" name="Text Box 2">
          <a:extLst>
            <a:ext uri="{FF2B5EF4-FFF2-40B4-BE49-F238E27FC236}">
              <a16:creationId xmlns:a16="http://schemas.microsoft.com/office/drawing/2014/main" id="{00000000-0008-0000-0400-0000FE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11" name="Text Box 2">
          <a:extLst>
            <a:ext uri="{FF2B5EF4-FFF2-40B4-BE49-F238E27FC236}">
              <a16:creationId xmlns:a16="http://schemas.microsoft.com/office/drawing/2014/main" id="{00000000-0008-0000-0400-0000FF01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12" name="Text Box 2">
          <a:extLst>
            <a:ext uri="{FF2B5EF4-FFF2-40B4-BE49-F238E27FC236}">
              <a16:creationId xmlns:a16="http://schemas.microsoft.com/office/drawing/2014/main" id="{00000000-0008-0000-0400-000000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13" name="Text Box 2">
          <a:extLst>
            <a:ext uri="{FF2B5EF4-FFF2-40B4-BE49-F238E27FC236}">
              <a16:creationId xmlns:a16="http://schemas.microsoft.com/office/drawing/2014/main" id="{00000000-0008-0000-0400-000001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14" name="Text Box 2">
          <a:extLst>
            <a:ext uri="{FF2B5EF4-FFF2-40B4-BE49-F238E27FC236}">
              <a16:creationId xmlns:a16="http://schemas.microsoft.com/office/drawing/2014/main" id="{00000000-0008-0000-0400-000002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15" name="Text Box 2">
          <a:extLst>
            <a:ext uri="{FF2B5EF4-FFF2-40B4-BE49-F238E27FC236}">
              <a16:creationId xmlns:a16="http://schemas.microsoft.com/office/drawing/2014/main" id="{00000000-0008-0000-0400-000003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16" name="Text Box 2">
          <a:extLst>
            <a:ext uri="{FF2B5EF4-FFF2-40B4-BE49-F238E27FC236}">
              <a16:creationId xmlns:a16="http://schemas.microsoft.com/office/drawing/2014/main" id="{00000000-0008-0000-0400-000004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17" name="Text Box 2">
          <a:extLst>
            <a:ext uri="{FF2B5EF4-FFF2-40B4-BE49-F238E27FC236}">
              <a16:creationId xmlns:a16="http://schemas.microsoft.com/office/drawing/2014/main" id="{00000000-0008-0000-0400-000005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18" name="Text Box 2">
          <a:extLst>
            <a:ext uri="{FF2B5EF4-FFF2-40B4-BE49-F238E27FC236}">
              <a16:creationId xmlns:a16="http://schemas.microsoft.com/office/drawing/2014/main" id="{00000000-0008-0000-0400-000006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19" name="Text Box 2">
          <a:extLst>
            <a:ext uri="{FF2B5EF4-FFF2-40B4-BE49-F238E27FC236}">
              <a16:creationId xmlns:a16="http://schemas.microsoft.com/office/drawing/2014/main" id="{00000000-0008-0000-0400-000007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20" name="Text Box 2">
          <a:extLst>
            <a:ext uri="{FF2B5EF4-FFF2-40B4-BE49-F238E27FC236}">
              <a16:creationId xmlns:a16="http://schemas.microsoft.com/office/drawing/2014/main" id="{00000000-0008-0000-0400-000008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21" name="Text Box 2">
          <a:extLst>
            <a:ext uri="{FF2B5EF4-FFF2-40B4-BE49-F238E27FC236}">
              <a16:creationId xmlns:a16="http://schemas.microsoft.com/office/drawing/2014/main" id="{00000000-0008-0000-0400-000009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22" name="Text Box 2">
          <a:extLst>
            <a:ext uri="{FF2B5EF4-FFF2-40B4-BE49-F238E27FC236}">
              <a16:creationId xmlns:a16="http://schemas.microsoft.com/office/drawing/2014/main" id="{00000000-0008-0000-0400-00000A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23" name="Text Box 2">
          <a:extLst>
            <a:ext uri="{FF2B5EF4-FFF2-40B4-BE49-F238E27FC236}">
              <a16:creationId xmlns:a16="http://schemas.microsoft.com/office/drawing/2014/main" id="{00000000-0008-0000-0400-00000B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24" name="Text Box 2">
          <a:extLst>
            <a:ext uri="{FF2B5EF4-FFF2-40B4-BE49-F238E27FC236}">
              <a16:creationId xmlns:a16="http://schemas.microsoft.com/office/drawing/2014/main" id="{00000000-0008-0000-0400-00000C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25" name="Text Box 2">
          <a:extLst>
            <a:ext uri="{FF2B5EF4-FFF2-40B4-BE49-F238E27FC236}">
              <a16:creationId xmlns:a16="http://schemas.microsoft.com/office/drawing/2014/main" id="{00000000-0008-0000-0400-00000D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26" name="Text Box 2">
          <a:extLst>
            <a:ext uri="{FF2B5EF4-FFF2-40B4-BE49-F238E27FC236}">
              <a16:creationId xmlns:a16="http://schemas.microsoft.com/office/drawing/2014/main" id="{00000000-0008-0000-0400-00000E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27" name="Text Box 2">
          <a:extLst>
            <a:ext uri="{FF2B5EF4-FFF2-40B4-BE49-F238E27FC236}">
              <a16:creationId xmlns:a16="http://schemas.microsoft.com/office/drawing/2014/main" id="{00000000-0008-0000-0400-00000F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28" name="Text Box 2">
          <a:extLst>
            <a:ext uri="{FF2B5EF4-FFF2-40B4-BE49-F238E27FC236}">
              <a16:creationId xmlns:a16="http://schemas.microsoft.com/office/drawing/2014/main" id="{00000000-0008-0000-0400-000010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29" name="Text Box 2">
          <a:extLst>
            <a:ext uri="{FF2B5EF4-FFF2-40B4-BE49-F238E27FC236}">
              <a16:creationId xmlns:a16="http://schemas.microsoft.com/office/drawing/2014/main" id="{00000000-0008-0000-0400-000011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30" name="Text Box 2">
          <a:extLst>
            <a:ext uri="{FF2B5EF4-FFF2-40B4-BE49-F238E27FC236}">
              <a16:creationId xmlns:a16="http://schemas.microsoft.com/office/drawing/2014/main" id="{00000000-0008-0000-0400-000012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31" name="Text Box 2">
          <a:extLst>
            <a:ext uri="{FF2B5EF4-FFF2-40B4-BE49-F238E27FC236}">
              <a16:creationId xmlns:a16="http://schemas.microsoft.com/office/drawing/2014/main" id="{00000000-0008-0000-0400-000013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32" name="Text Box 2">
          <a:extLst>
            <a:ext uri="{FF2B5EF4-FFF2-40B4-BE49-F238E27FC236}">
              <a16:creationId xmlns:a16="http://schemas.microsoft.com/office/drawing/2014/main" id="{00000000-0008-0000-0400-000014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33" name="Text Box 2">
          <a:extLst>
            <a:ext uri="{FF2B5EF4-FFF2-40B4-BE49-F238E27FC236}">
              <a16:creationId xmlns:a16="http://schemas.microsoft.com/office/drawing/2014/main" id="{00000000-0008-0000-0400-000015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34" name="Text Box 2">
          <a:extLst>
            <a:ext uri="{FF2B5EF4-FFF2-40B4-BE49-F238E27FC236}">
              <a16:creationId xmlns:a16="http://schemas.microsoft.com/office/drawing/2014/main" id="{00000000-0008-0000-0400-000016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35" name="Text Box 2">
          <a:extLst>
            <a:ext uri="{FF2B5EF4-FFF2-40B4-BE49-F238E27FC236}">
              <a16:creationId xmlns:a16="http://schemas.microsoft.com/office/drawing/2014/main" id="{00000000-0008-0000-0400-000017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36" name="Text Box 2">
          <a:extLst>
            <a:ext uri="{FF2B5EF4-FFF2-40B4-BE49-F238E27FC236}">
              <a16:creationId xmlns:a16="http://schemas.microsoft.com/office/drawing/2014/main" id="{00000000-0008-0000-0400-000018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37" name="Text Box 2">
          <a:extLst>
            <a:ext uri="{FF2B5EF4-FFF2-40B4-BE49-F238E27FC236}">
              <a16:creationId xmlns:a16="http://schemas.microsoft.com/office/drawing/2014/main" id="{00000000-0008-0000-0400-000019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38" name="Text Box 2">
          <a:extLst>
            <a:ext uri="{FF2B5EF4-FFF2-40B4-BE49-F238E27FC236}">
              <a16:creationId xmlns:a16="http://schemas.microsoft.com/office/drawing/2014/main" id="{00000000-0008-0000-0400-00001A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39" name="Text Box 2">
          <a:extLst>
            <a:ext uri="{FF2B5EF4-FFF2-40B4-BE49-F238E27FC236}">
              <a16:creationId xmlns:a16="http://schemas.microsoft.com/office/drawing/2014/main" id="{00000000-0008-0000-0400-00001B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40" name="Text Box 2">
          <a:extLst>
            <a:ext uri="{FF2B5EF4-FFF2-40B4-BE49-F238E27FC236}">
              <a16:creationId xmlns:a16="http://schemas.microsoft.com/office/drawing/2014/main" id="{00000000-0008-0000-0400-00001C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41" name="Text Box 2">
          <a:extLst>
            <a:ext uri="{FF2B5EF4-FFF2-40B4-BE49-F238E27FC236}">
              <a16:creationId xmlns:a16="http://schemas.microsoft.com/office/drawing/2014/main" id="{00000000-0008-0000-0400-00001D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42" name="Text Box 2">
          <a:extLst>
            <a:ext uri="{FF2B5EF4-FFF2-40B4-BE49-F238E27FC236}">
              <a16:creationId xmlns:a16="http://schemas.microsoft.com/office/drawing/2014/main" id="{00000000-0008-0000-0400-00001E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43" name="Text Box 2">
          <a:extLst>
            <a:ext uri="{FF2B5EF4-FFF2-40B4-BE49-F238E27FC236}">
              <a16:creationId xmlns:a16="http://schemas.microsoft.com/office/drawing/2014/main" id="{00000000-0008-0000-0400-00001F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44" name="Text Box 2">
          <a:extLst>
            <a:ext uri="{FF2B5EF4-FFF2-40B4-BE49-F238E27FC236}">
              <a16:creationId xmlns:a16="http://schemas.microsoft.com/office/drawing/2014/main" id="{00000000-0008-0000-0400-000020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45" name="Text Box 2">
          <a:extLst>
            <a:ext uri="{FF2B5EF4-FFF2-40B4-BE49-F238E27FC236}">
              <a16:creationId xmlns:a16="http://schemas.microsoft.com/office/drawing/2014/main" id="{00000000-0008-0000-0400-000021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46" name="Text Box 2">
          <a:extLst>
            <a:ext uri="{FF2B5EF4-FFF2-40B4-BE49-F238E27FC236}">
              <a16:creationId xmlns:a16="http://schemas.microsoft.com/office/drawing/2014/main" id="{00000000-0008-0000-0400-000022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47" name="Text Box 2">
          <a:extLst>
            <a:ext uri="{FF2B5EF4-FFF2-40B4-BE49-F238E27FC236}">
              <a16:creationId xmlns:a16="http://schemas.microsoft.com/office/drawing/2014/main" id="{00000000-0008-0000-0400-000023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48" name="Text Box 2">
          <a:extLst>
            <a:ext uri="{FF2B5EF4-FFF2-40B4-BE49-F238E27FC236}">
              <a16:creationId xmlns:a16="http://schemas.microsoft.com/office/drawing/2014/main" id="{00000000-0008-0000-0400-000024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49" name="Text Box 2">
          <a:extLst>
            <a:ext uri="{FF2B5EF4-FFF2-40B4-BE49-F238E27FC236}">
              <a16:creationId xmlns:a16="http://schemas.microsoft.com/office/drawing/2014/main" id="{00000000-0008-0000-0400-000025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50" name="Text Box 2">
          <a:extLst>
            <a:ext uri="{FF2B5EF4-FFF2-40B4-BE49-F238E27FC236}">
              <a16:creationId xmlns:a16="http://schemas.microsoft.com/office/drawing/2014/main" id="{00000000-0008-0000-0400-000026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51" name="Text Box 2">
          <a:extLst>
            <a:ext uri="{FF2B5EF4-FFF2-40B4-BE49-F238E27FC236}">
              <a16:creationId xmlns:a16="http://schemas.microsoft.com/office/drawing/2014/main" id="{00000000-0008-0000-0400-000027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52" name="Text Box 2">
          <a:extLst>
            <a:ext uri="{FF2B5EF4-FFF2-40B4-BE49-F238E27FC236}">
              <a16:creationId xmlns:a16="http://schemas.microsoft.com/office/drawing/2014/main" id="{00000000-0008-0000-0400-000028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53" name="Text Box 2">
          <a:extLst>
            <a:ext uri="{FF2B5EF4-FFF2-40B4-BE49-F238E27FC236}">
              <a16:creationId xmlns:a16="http://schemas.microsoft.com/office/drawing/2014/main" id="{00000000-0008-0000-0400-000029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54" name="Text Box 2">
          <a:extLst>
            <a:ext uri="{FF2B5EF4-FFF2-40B4-BE49-F238E27FC236}">
              <a16:creationId xmlns:a16="http://schemas.microsoft.com/office/drawing/2014/main" id="{00000000-0008-0000-0400-00002A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55" name="Text Box 2">
          <a:extLst>
            <a:ext uri="{FF2B5EF4-FFF2-40B4-BE49-F238E27FC236}">
              <a16:creationId xmlns:a16="http://schemas.microsoft.com/office/drawing/2014/main" id="{00000000-0008-0000-0400-00002B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56" name="Text Box 2">
          <a:extLst>
            <a:ext uri="{FF2B5EF4-FFF2-40B4-BE49-F238E27FC236}">
              <a16:creationId xmlns:a16="http://schemas.microsoft.com/office/drawing/2014/main" id="{00000000-0008-0000-0400-00002C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57" name="Text Box 2">
          <a:extLst>
            <a:ext uri="{FF2B5EF4-FFF2-40B4-BE49-F238E27FC236}">
              <a16:creationId xmlns:a16="http://schemas.microsoft.com/office/drawing/2014/main" id="{00000000-0008-0000-0400-00002D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58" name="Text Box 2">
          <a:extLst>
            <a:ext uri="{FF2B5EF4-FFF2-40B4-BE49-F238E27FC236}">
              <a16:creationId xmlns:a16="http://schemas.microsoft.com/office/drawing/2014/main" id="{00000000-0008-0000-0400-00002E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59" name="Text Box 2">
          <a:extLst>
            <a:ext uri="{FF2B5EF4-FFF2-40B4-BE49-F238E27FC236}">
              <a16:creationId xmlns:a16="http://schemas.microsoft.com/office/drawing/2014/main" id="{00000000-0008-0000-0400-00002F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60" name="Text Box 2">
          <a:extLst>
            <a:ext uri="{FF2B5EF4-FFF2-40B4-BE49-F238E27FC236}">
              <a16:creationId xmlns:a16="http://schemas.microsoft.com/office/drawing/2014/main" id="{00000000-0008-0000-0400-000030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61" name="Text Box 2">
          <a:extLst>
            <a:ext uri="{FF2B5EF4-FFF2-40B4-BE49-F238E27FC236}">
              <a16:creationId xmlns:a16="http://schemas.microsoft.com/office/drawing/2014/main" id="{00000000-0008-0000-0400-000031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62" name="Text Box 2">
          <a:extLst>
            <a:ext uri="{FF2B5EF4-FFF2-40B4-BE49-F238E27FC236}">
              <a16:creationId xmlns:a16="http://schemas.microsoft.com/office/drawing/2014/main" id="{00000000-0008-0000-0400-000032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63" name="Text Box 2">
          <a:extLst>
            <a:ext uri="{FF2B5EF4-FFF2-40B4-BE49-F238E27FC236}">
              <a16:creationId xmlns:a16="http://schemas.microsoft.com/office/drawing/2014/main" id="{00000000-0008-0000-0400-000033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64" name="Text Box 2">
          <a:extLst>
            <a:ext uri="{FF2B5EF4-FFF2-40B4-BE49-F238E27FC236}">
              <a16:creationId xmlns:a16="http://schemas.microsoft.com/office/drawing/2014/main" id="{00000000-0008-0000-0400-000034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65" name="Text Box 2">
          <a:extLst>
            <a:ext uri="{FF2B5EF4-FFF2-40B4-BE49-F238E27FC236}">
              <a16:creationId xmlns:a16="http://schemas.microsoft.com/office/drawing/2014/main" id="{00000000-0008-0000-0400-000035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66" name="Text Box 2">
          <a:extLst>
            <a:ext uri="{FF2B5EF4-FFF2-40B4-BE49-F238E27FC236}">
              <a16:creationId xmlns:a16="http://schemas.microsoft.com/office/drawing/2014/main" id="{00000000-0008-0000-0400-000036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67" name="Text Box 2">
          <a:extLst>
            <a:ext uri="{FF2B5EF4-FFF2-40B4-BE49-F238E27FC236}">
              <a16:creationId xmlns:a16="http://schemas.microsoft.com/office/drawing/2014/main" id="{00000000-0008-0000-0400-000037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68" name="Text Box 2">
          <a:extLst>
            <a:ext uri="{FF2B5EF4-FFF2-40B4-BE49-F238E27FC236}">
              <a16:creationId xmlns:a16="http://schemas.microsoft.com/office/drawing/2014/main" id="{00000000-0008-0000-0400-000038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69" name="Text Box 2">
          <a:extLst>
            <a:ext uri="{FF2B5EF4-FFF2-40B4-BE49-F238E27FC236}">
              <a16:creationId xmlns:a16="http://schemas.microsoft.com/office/drawing/2014/main" id="{00000000-0008-0000-0400-000039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70" name="Text Box 2">
          <a:extLst>
            <a:ext uri="{FF2B5EF4-FFF2-40B4-BE49-F238E27FC236}">
              <a16:creationId xmlns:a16="http://schemas.microsoft.com/office/drawing/2014/main" id="{00000000-0008-0000-0400-00003A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71" name="Text Box 2">
          <a:extLst>
            <a:ext uri="{FF2B5EF4-FFF2-40B4-BE49-F238E27FC236}">
              <a16:creationId xmlns:a16="http://schemas.microsoft.com/office/drawing/2014/main" id="{00000000-0008-0000-0400-00003B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72" name="Text Box 2">
          <a:extLst>
            <a:ext uri="{FF2B5EF4-FFF2-40B4-BE49-F238E27FC236}">
              <a16:creationId xmlns:a16="http://schemas.microsoft.com/office/drawing/2014/main" id="{00000000-0008-0000-0400-00003C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73" name="Text Box 2">
          <a:extLst>
            <a:ext uri="{FF2B5EF4-FFF2-40B4-BE49-F238E27FC236}">
              <a16:creationId xmlns:a16="http://schemas.microsoft.com/office/drawing/2014/main" id="{00000000-0008-0000-0400-00003D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74" name="Text Box 2">
          <a:extLst>
            <a:ext uri="{FF2B5EF4-FFF2-40B4-BE49-F238E27FC236}">
              <a16:creationId xmlns:a16="http://schemas.microsoft.com/office/drawing/2014/main" id="{00000000-0008-0000-0400-00003E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75" name="Text Box 2">
          <a:extLst>
            <a:ext uri="{FF2B5EF4-FFF2-40B4-BE49-F238E27FC236}">
              <a16:creationId xmlns:a16="http://schemas.microsoft.com/office/drawing/2014/main" id="{00000000-0008-0000-0400-00003F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576" name="Text Box 2">
          <a:extLst>
            <a:ext uri="{FF2B5EF4-FFF2-40B4-BE49-F238E27FC236}">
              <a16:creationId xmlns:a16="http://schemas.microsoft.com/office/drawing/2014/main" id="{00000000-0008-0000-0400-000040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77" name="Text Box 2">
          <a:extLst>
            <a:ext uri="{FF2B5EF4-FFF2-40B4-BE49-F238E27FC236}">
              <a16:creationId xmlns:a16="http://schemas.microsoft.com/office/drawing/2014/main" id="{00000000-0008-0000-0400-000041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78" name="Text Box 2">
          <a:extLst>
            <a:ext uri="{FF2B5EF4-FFF2-40B4-BE49-F238E27FC236}">
              <a16:creationId xmlns:a16="http://schemas.microsoft.com/office/drawing/2014/main" id="{00000000-0008-0000-0400-000042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79" name="Text Box 2">
          <a:extLst>
            <a:ext uri="{FF2B5EF4-FFF2-40B4-BE49-F238E27FC236}">
              <a16:creationId xmlns:a16="http://schemas.microsoft.com/office/drawing/2014/main" id="{00000000-0008-0000-0400-000043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80" name="Text Box 2">
          <a:extLst>
            <a:ext uri="{FF2B5EF4-FFF2-40B4-BE49-F238E27FC236}">
              <a16:creationId xmlns:a16="http://schemas.microsoft.com/office/drawing/2014/main" id="{00000000-0008-0000-0400-000044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81" name="Text Box 2">
          <a:extLst>
            <a:ext uri="{FF2B5EF4-FFF2-40B4-BE49-F238E27FC236}">
              <a16:creationId xmlns:a16="http://schemas.microsoft.com/office/drawing/2014/main" id="{00000000-0008-0000-0400-000045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82" name="Text Box 2">
          <a:extLst>
            <a:ext uri="{FF2B5EF4-FFF2-40B4-BE49-F238E27FC236}">
              <a16:creationId xmlns:a16="http://schemas.microsoft.com/office/drawing/2014/main" id="{00000000-0008-0000-0400-000046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83" name="Text Box 2">
          <a:extLst>
            <a:ext uri="{FF2B5EF4-FFF2-40B4-BE49-F238E27FC236}">
              <a16:creationId xmlns:a16="http://schemas.microsoft.com/office/drawing/2014/main" id="{00000000-0008-0000-0400-000047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84" name="Text Box 2">
          <a:extLst>
            <a:ext uri="{FF2B5EF4-FFF2-40B4-BE49-F238E27FC236}">
              <a16:creationId xmlns:a16="http://schemas.microsoft.com/office/drawing/2014/main" id="{00000000-0008-0000-0400-000048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85" name="Text Box 2">
          <a:extLst>
            <a:ext uri="{FF2B5EF4-FFF2-40B4-BE49-F238E27FC236}">
              <a16:creationId xmlns:a16="http://schemas.microsoft.com/office/drawing/2014/main" id="{00000000-0008-0000-0400-000049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86" name="Text Box 2">
          <a:extLst>
            <a:ext uri="{FF2B5EF4-FFF2-40B4-BE49-F238E27FC236}">
              <a16:creationId xmlns:a16="http://schemas.microsoft.com/office/drawing/2014/main" id="{00000000-0008-0000-0400-00004A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87" name="Text Box 2">
          <a:extLst>
            <a:ext uri="{FF2B5EF4-FFF2-40B4-BE49-F238E27FC236}">
              <a16:creationId xmlns:a16="http://schemas.microsoft.com/office/drawing/2014/main" id="{00000000-0008-0000-0400-00004B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88" name="Text Box 2">
          <a:extLst>
            <a:ext uri="{FF2B5EF4-FFF2-40B4-BE49-F238E27FC236}">
              <a16:creationId xmlns:a16="http://schemas.microsoft.com/office/drawing/2014/main" id="{00000000-0008-0000-0400-00004C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89" name="Text Box 2">
          <a:extLst>
            <a:ext uri="{FF2B5EF4-FFF2-40B4-BE49-F238E27FC236}">
              <a16:creationId xmlns:a16="http://schemas.microsoft.com/office/drawing/2014/main" id="{00000000-0008-0000-0400-00004D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90" name="Text Box 2">
          <a:extLst>
            <a:ext uri="{FF2B5EF4-FFF2-40B4-BE49-F238E27FC236}">
              <a16:creationId xmlns:a16="http://schemas.microsoft.com/office/drawing/2014/main" id="{00000000-0008-0000-0400-00004E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91" name="Text Box 2">
          <a:extLst>
            <a:ext uri="{FF2B5EF4-FFF2-40B4-BE49-F238E27FC236}">
              <a16:creationId xmlns:a16="http://schemas.microsoft.com/office/drawing/2014/main" id="{00000000-0008-0000-0400-00004F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92" name="Text Box 2">
          <a:extLst>
            <a:ext uri="{FF2B5EF4-FFF2-40B4-BE49-F238E27FC236}">
              <a16:creationId xmlns:a16="http://schemas.microsoft.com/office/drawing/2014/main" id="{00000000-0008-0000-0400-000050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93" name="Text Box 2">
          <a:extLst>
            <a:ext uri="{FF2B5EF4-FFF2-40B4-BE49-F238E27FC236}">
              <a16:creationId xmlns:a16="http://schemas.microsoft.com/office/drawing/2014/main" id="{00000000-0008-0000-0400-000051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94" name="Text Box 2">
          <a:extLst>
            <a:ext uri="{FF2B5EF4-FFF2-40B4-BE49-F238E27FC236}">
              <a16:creationId xmlns:a16="http://schemas.microsoft.com/office/drawing/2014/main" id="{00000000-0008-0000-0400-000052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95" name="Text Box 2">
          <a:extLst>
            <a:ext uri="{FF2B5EF4-FFF2-40B4-BE49-F238E27FC236}">
              <a16:creationId xmlns:a16="http://schemas.microsoft.com/office/drawing/2014/main" id="{00000000-0008-0000-0400-000053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96" name="Text Box 2">
          <a:extLst>
            <a:ext uri="{FF2B5EF4-FFF2-40B4-BE49-F238E27FC236}">
              <a16:creationId xmlns:a16="http://schemas.microsoft.com/office/drawing/2014/main" id="{00000000-0008-0000-0400-000054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97" name="Text Box 2">
          <a:extLst>
            <a:ext uri="{FF2B5EF4-FFF2-40B4-BE49-F238E27FC236}">
              <a16:creationId xmlns:a16="http://schemas.microsoft.com/office/drawing/2014/main" id="{00000000-0008-0000-0400-000055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98" name="Text Box 2">
          <a:extLst>
            <a:ext uri="{FF2B5EF4-FFF2-40B4-BE49-F238E27FC236}">
              <a16:creationId xmlns:a16="http://schemas.microsoft.com/office/drawing/2014/main" id="{00000000-0008-0000-0400-000056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599" name="Text Box 2">
          <a:extLst>
            <a:ext uri="{FF2B5EF4-FFF2-40B4-BE49-F238E27FC236}">
              <a16:creationId xmlns:a16="http://schemas.microsoft.com/office/drawing/2014/main" id="{00000000-0008-0000-0400-000057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00" name="Text Box 2">
          <a:extLst>
            <a:ext uri="{FF2B5EF4-FFF2-40B4-BE49-F238E27FC236}">
              <a16:creationId xmlns:a16="http://schemas.microsoft.com/office/drawing/2014/main" id="{00000000-0008-0000-0400-000058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01" name="Text Box 2">
          <a:extLst>
            <a:ext uri="{FF2B5EF4-FFF2-40B4-BE49-F238E27FC236}">
              <a16:creationId xmlns:a16="http://schemas.microsoft.com/office/drawing/2014/main" id="{00000000-0008-0000-0400-000059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02" name="Text Box 2">
          <a:extLst>
            <a:ext uri="{FF2B5EF4-FFF2-40B4-BE49-F238E27FC236}">
              <a16:creationId xmlns:a16="http://schemas.microsoft.com/office/drawing/2014/main" id="{00000000-0008-0000-0400-00005A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03" name="Text Box 2">
          <a:extLst>
            <a:ext uri="{FF2B5EF4-FFF2-40B4-BE49-F238E27FC236}">
              <a16:creationId xmlns:a16="http://schemas.microsoft.com/office/drawing/2014/main" id="{00000000-0008-0000-0400-00005B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04" name="Text Box 2">
          <a:extLst>
            <a:ext uri="{FF2B5EF4-FFF2-40B4-BE49-F238E27FC236}">
              <a16:creationId xmlns:a16="http://schemas.microsoft.com/office/drawing/2014/main" id="{00000000-0008-0000-0400-00005C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05" name="Text Box 2">
          <a:extLst>
            <a:ext uri="{FF2B5EF4-FFF2-40B4-BE49-F238E27FC236}">
              <a16:creationId xmlns:a16="http://schemas.microsoft.com/office/drawing/2014/main" id="{00000000-0008-0000-0400-00005D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06" name="Text Box 2">
          <a:extLst>
            <a:ext uri="{FF2B5EF4-FFF2-40B4-BE49-F238E27FC236}">
              <a16:creationId xmlns:a16="http://schemas.microsoft.com/office/drawing/2014/main" id="{00000000-0008-0000-0400-00005E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07" name="Text Box 2">
          <a:extLst>
            <a:ext uri="{FF2B5EF4-FFF2-40B4-BE49-F238E27FC236}">
              <a16:creationId xmlns:a16="http://schemas.microsoft.com/office/drawing/2014/main" id="{00000000-0008-0000-0400-00005F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08" name="Text Box 2">
          <a:extLst>
            <a:ext uri="{FF2B5EF4-FFF2-40B4-BE49-F238E27FC236}">
              <a16:creationId xmlns:a16="http://schemas.microsoft.com/office/drawing/2014/main" id="{00000000-0008-0000-0400-000060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09" name="Text Box 2">
          <a:extLst>
            <a:ext uri="{FF2B5EF4-FFF2-40B4-BE49-F238E27FC236}">
              <a16:creationId xmlns:a16="http://schemas.microsoft.com/office/drawing/2014/main" id="{00000000-0008-0000-0400-000061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10" name="Text Box 2">
          <a:extLst>
            <a:ext uri="{FF2B5EF4-FFF2-40B4-BE49-F238E27FC236}">
              <a16:creationId xmlns:a16="http://schemas.microsoft.com/office/drawing/2014/main" id="{00000000-0008-0000-0400-000062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11" name="Text Box 2">
          <a:extLst>
            <a:ext uri="{FF2B5EF4-FFF2-40B4-BE49-F238E27FC236}">
              <a16:creationId xmlns:a16="http://schemas.microsoft.com/office/drawing/2014/main" id="{00000000-0008-0000-0400-000063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12" name="Text Box 2">
          <a:extLst>
            <a:ext uri="{FF2B5EF4-FFF2-40B4-BE49-F238E27FC236}">
              <a16:creationId xmlns:a16="http://schemas.microsoft.com/office/drawing/2014/main" id="{00000000-0008-0000-0400-000064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13" name="Text Box 2">
          <a:extLst>
            <a:ext uri="{FF2B5EF4-FFF2-40B4-BE49-F238E27FC236}">
              <a16:creationId xmlns:a16="http://schemas.microsoft.com/office/drawing/2014/main" id="{00000000-0008-0000-0400-000065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14" name="Text Box 2">
          <a:extLst>
            <a:ext uri="{FF2B5EF4-FFF2-40B4-BE49-F238E27FC236}">
              <a16:creationId xmlns:a16="http://schemas.microsoft.com/office/drawing/2014/main" id="{00000000-0008-0000-0400-000066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15" name="Text Box 2">
          <a:extLst>
            <a:ext uri="{FF2B5EF4-FFF2-40B4-BE49-F238E27FC236}">
              <a16:creationId xmlns:a16="http://schemas.microsoft.com/office/drawing/2014/main" id="{00000000-0008-0000-0400-000067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16" name="Text Box 2">
          <a:extLst>
            <a:ext uri="{FF2B5EF4-FFF2-40B4-BE49-F238E27FC236}">
              <a16:creationId xmlns:a16="http://schemas.microsoft.com/office/drawing/2014/main" id="{00000000-0008-0000-0400-000068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17" name="Text Box 2">
          <a:extLst>
            <a:ext uri="{FF2B5EF4-FFF2-40B4-BE49-F238E27FC236}">
              <a16:creationId xmlns:a16="http://schemas.microsoft.com/office/drawing/2014/main" id="{00000000-0008-0000-0400-000069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18" name="Text Box 2">
          <a:extLst>
            <a:ext uri="{FF2B5EF4-FFF2-40B4-BE49-F238E27FC236}">
              <a16:creationId xmlns:a16="http://schemas.microsoft.com/office/drawing/2014/main" id="{00000000-0008-0000-0400-00006A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19" name="Text Box 2">
          <a:extLst>
            <a:ext uri="{FF2B5EF4-FFF2-40B4-BE49-F238E27FC236}">
              <a16:creationId xmlns:a16="http://schemas.microsoft.com/office/drawing/2014/main" id="{00000000-0008-0000-0400-00006B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20" name="Text Box 2">
          <a:extLst>
            <a:ext uri="{FF2B5EF4-FFF2-40B4-BE49-F238E27FC236}">
              <a16:creationId xmlns:a16="http://schemas.microsoft.com/office/drawing/2014/main" id="{00000000-0008-0000-0400-00006C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21" name="Text Box 2">
          <a:extLst>
            <a:ext uri="{FF2B5EF4-FFF2-40B4-BE49-F238E27FC236}">
              <a16:creationId xmlns:a16="http://schemas.microsoft.com/office/drawing/2014/main" id="{00000000-0008-0000-0400-00006D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22" name="Text Box 2">
          <a:extLst>
            <a:ext uri="{FF2B5EF4-FFF2-40B4-BE49-F238E27FC236}">
              <a16:creationId xmlns:a16="http://schemas.microsoft.com/office/drawing/2014/main" id="{00000000-0008-0000-0400-00006E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23" name="Text Box 2">
          <a:extLst>
            <a:ext uri="{FF2B5EF4-FFF2-40B4-BE49-F238E27FC236}">
              <a16:creationId xmlns:a16="http://schemas.microsoft.com/office/drawing/2014/main" id="{00000000-0008-0000-0400-00006F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24" name="Text Box 2">
          <a:extLst>
            <a:ext uri="{FF2B5EF4-FFF2-40B4-BE49-F238E27FC236}">
              <a16:creationId xmlns:a16="http://schemas.microsoft.com/office/drawing/2014/main" id="{00000000-0008-0000-0400-000070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25" name="Text Box 2">
          <a:extLst>
            <a:ext uri="{FF2B5EF4-FFF2-40B4-BE49-F238E27FC236}">
              <a16:creationId xmlns:a16="http://schemas.microsoft.com/office/drawing/2014/main" id="{00000000-0008-0000-0400-000071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26" name="Text Box 2">
          <a:extLst>
            <a:ext uri="{FF2B5EF4-FFF2-40B4-BE49-F238E27FC236}">
              <a16:creationId xmlns:a16="http://schemas.microsoft.com/office/drawing/2014/main" id="{00000000-0008-0000-0400-000072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27" name="Text Box 2">
          <a:extLst>
            <a:ext uri="{FF2B5EF4-FFF2-40B4-BE49-F238E27FC236}">
              <a16:creationId xmlns:a16="http://schemas.microsoft.com/office/drawing/2014/main" id="{00000000-0008-0000-0400-000073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28" name="Text Box 2">
          <a:extLst>
            <a:ext uri="{FF2B5EF4-FFF2-40B4-BE49-F238E27FC236}">
              <a16:creationId xmlns:a16="http://schemas.microsoft.com/office/drawing/2014/main" id="{00000000-0008-0000-0400-000074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29" name="Text Box 2">
          <a:extLst>
            <a:ext uri="{FF2B5EF4-FFF2-40B4-BE49-F238E27FC236}">
              <a16:creationId xmlns:a16="http://schemas.microsoft.com/office/drawing/2014/main" id="{00000000-0008-0000-0400-000075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30" name="Text Box 2">
          <a:extLst>
            <a:ext uri="{FF2B5EF4-FFF2-40B4-BE49-F238E27FC236}">
              <a16:creationId xmlns:a16="http://schemas.microsoft.com/office/drawing/2014/main" id="{00000000-0008-0000-0400-000076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31" name="Text Box 2">
          <a:extLst>
            <a:ext uri="{FF2B5EF4-FFF2-40B4-BE49-F238E27FC236}">
              <a16:creationId xmlns:a16="http://schemas.microsoft.com/office/drawing/2014/main" id="{00000000-0008-0000-0400-000077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32" name="Text Box 2">
          <a:extLst>
            <a:ext uri="{FF2B5EF4-FFF2-40B4-BE49-F238E27FC236}">
              <a16:creationId xmlns:a16="http://schemas.microsoft.com/office/drawing/2014/main" id="{00000000-0008-0000-0400-000078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33" name="Text Box 2">
          <a:extLst>
            <a:ext uri="{FF2B5EF4-FFF2-40B4-BE49-F238E27FC236}">
              <a16:creationId xmlns:a16="http://schemas.microsoft.com/office/drawing/2014/main" id="{00000000-0008-0000-0400-000079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34" name="Text Box 2">
          <a:extLst>
            <a:ext uri="{FF2B5EF4-FFF2-40B4-BE49-F238E27FC236}">
              <a16:creationId xmlns:a16="http://schemas.microsoft.com/office/drawing/2014/main" id="{00000000-0008-0000-0400-00007A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35" name="Text Box 2">
          <a:extLst>
            <a:ext uri="{FF2B5EF4-FFF2-40B4-BE49-F238E27FC236}">
              <a16:creationId xmlns:a16="http://schemas.microsoft.com/office/drawing/2014/main" id="{00000000-0008-0000-0400-00007B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36" name="Text Box 2">
          <a:extLst>
            <a:ext uri="{FF2B5EF4-FFF2-40B4-BE49-F238E27FC236}">
              <a16:creationId xmlns:a16="http://schemas.microsoft.com/office/drawing/2014/main" id="{00000000-0008-0000-0400-00007C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37" name="Text Box 2">
          <a:extLst>
            <a:ext uri="{FF2B5EF4-FFF2-40B4-BE49-F238E27FC236}">
              <a16:creationId xmlns:a16="http://schemas.microsoft.com/office/drawing/2014/main" id="{00000000-0008-0000-0400-00007D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38" name="Text Box 2">
          <a:extLst>
            <a:ext uri="{FF2B5EF4-FFF2-40B4-BE49-F238E27FC236}">
              <a16:creationId xmlns:a16="http://schemas.microsoft.com/office/drawing/2014/main" id="{00000000-0008-0000-0400-00007E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39" name="Text Box 2">
          <a:extLst>
            <a:ext uri="{FF2B5EF4-FFF2-40B4-BE49-F238E27FC236}">
              <a16:creationId xmlns:a16="http://schemas.microsoft.com/office/drawing/2014/main" id="{00000000-0008-0000-0400-00007F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40" name="Text Box 2">
          <a:extLst>
            <a:ext uri="{FF2B5EF4-FFF2-40B4-BE49-F238E27FC236}">
              <a16:creationId xmlns:a16="http://schemas.microsoft.com/office/drawing/2014/main" id="{00000000-0008-0000-0400-000080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41" name="Text Box 2">
          <a:extLst>
            <a:ext uri="{FF2B5EF4-FFF2-40B4-BE49-F238E27FC236}">
              <a16:creationId xmlns:a16="http://schemas.microsoft.com/office/drawing/2014/main" id="{00000000-0008-0000-0400-000081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42" name="Text Box 2">
          <a:extLst>
            <a:ext uri="{FF2B5EF4-FFF2-40B4-BE49-F238E27FC236}">
              <a16:creationId xmlns:a16="http://schemas.microsoft.com/office/drawing/2014/main" id="{00000000-0008-0000-0400-000082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43" name="Text Box 2">
          <a:extLst>
            <a:ext uri="{FF2B5EF4-FFF2-40B4-BE49-F238E27FC236}">
              <a16:creationId xmlns:a16="http://schemas.microsoft.com/office/drawing/2014/main" id="{00000000-0008-0000-0400-000083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44" name="Text Box 2">
          <a:extLst>
            <a:ext uri="{FF2B5EF4-FFF2-40B4-BE49-F238E27FC236}">
              <a16:creationId xmlns:a16="http://schemas.microsoft.com/office/drawing/2014/main" id="{00000000-0008-0000-0400-000084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45" name="Text Box 2">
          <a:extLst>
            <a:ext uri="{FF2B5EF4-FFF2-40B4-BE49-F238E27FC236}">
              <a16:creationId xmlns:a16="http://schemas.microsoft.com/office/drawing/2014/main" id="{00000000-0008-0000-0400-000085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46" name="Text Box 2">
          <a:extLst>
            <a:ext uri="{FF2B5EF4-FFF2-40B4-BE49-F238E27FC236}">
              <a16:creationId xmlns:a16="http://schemas.microsoft.com/office/drawing/2014/main" id="{00000000-0008-0000-0400-000086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47" name="Text Box 2">
          <a:extLst>
            <a:ext uri="{FF2B5EF4-FFF2-40B4-BE49-F238E27FC236}">
              <a16:creationId xmlns:a16="http://schemas.microsoft.com/office/drawing/2014/main" id="{00000000-0008-0000-0400-000087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48" name="Text Box 2">
          <a:extLst>
            <a:ext uri="{FF2B5EF4-FFF2-40B4-BE49-F238E27FC236}">
              <a16:creationId xmlns:a16="http://schemas.microsoft.com/office/drawing/2014/main" id="{00000000-0008-0000-0400-000088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49" name="Text Box 2">
          <a:extLst>
            <a:ext uri="{FF2B5EF4-FFF2-40B4-BE49-F238E27FC236}">
              <a16:creationId xmlns:a16="http://schemas.microsoft.com/office/drawing/2014/main" id="{00000000-0008-0000-0400-000089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50" name="Text Box 2">
          <a:extLst>
            <a:ext uri="{FF2B5EF4-FFF2-40B4-BE49-F238E27FC236}">
              <a16:creationId xmlns:a16="http://schemas.microsoft.com/office/drawing/2014/main" id="{00000000-0008-0000-0400-00008A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51" name="Text Box 2">
          <a:extLst>
            <a:ext uri="{FF2B5EF4-FFF2-40B4-BE49-F238E27FC236}">
              <a16:creationId xmlns:a16="http://schemas.microsoft.com/office/drawing/2014/main" id="{00000000-0008-0000-0400-00008B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52" name="Text Box 2">
          <a:extLst>
            <a:ext uri="{FF2B5EF4-FFF2-40B4-BE49-F238E27FC236}">
              <a16:creationId xmlns:a16="http://schemas.microsoft.com/office/drawing/2014/main" id="{00000000-0008-0000-0400-00008C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53" name="Text Box 2">
          <a:extLst>
            <a:ext uri="{FF2B5EF4-FFF2-40B4-BE49-F238E27FC236}">
              <a16:creationId xmlns:a16="http://schemas.microsoft.com/office/drawing/2014/main" id="{00000000-0008-0000-0400-00008D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54" name="Text Box 2">
          <a:extLst>
            <a:ext uri="{FF2B5EF4-FFF2-40B4-BE49-F238E27FC236}">
              <a16:creationId xmlns:a16="http://schemas.microsoft.com/office/drawing/2014/main" id="{00000000-0008-0000-0400-00008E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55" name="Text Box 2">
          <a:extLst>
            <a:ext uri="{FF2B5EF4-FFF2-40B4-BE49-F238E27FC236}">
              <a16:creationId xmlns:a16="http://schemas.microsoft.com/office/drawing/2014/main" id="{00000000-0008-0000-0400-00008F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56" name="Text Box 2">
          <a:extLst>
            <a:ext uri="{FF2B5EF4-FFF2-40B4-BE49-F238E27FC236}">
              <a16:creationId xmlns:a16="http://schemas.microsoft.com/office/drawing/2014/main" id="{00000000-0008-0000-0400-000090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57" name="Text Box 2">
          <a:extLst>
            <a:ext uri="{FF2B5EF4-FFF2-40B4-BE49-F238E27FC236}">
              <a16:creationId xmlns:a16="http://schemas.microsoft.com/office/drawing/2014/main" id="{00000000-0008-0000-0400-000091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58" name="Text Box 2">
          <a:extLst>
            <a:ext uri="{FF2B5EF4-FFF2-40B4-BE49-F238E27FC236}">
              <a16:creationId xmlns:a16="http://schemas.microsoft.com/office/drawing/2014/main" id="{00000000-0008-0000-0400-000092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59" name="Text Box 2">
          <a:extLst>
            <a:ext uri="{FF2B5EF4-FFF2-40B4-BE49-F238E27FC236}">
              <a16:creationId xmlns:a16="http://schemas.microsoft.com/office/drawing/2014/main" id="{00000000-0008-0000-0400-000093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60" name="Text Box 2">
          <a:extLst>
            <a:ext uri="{FF2B5EF4-FFF2-40B4-BE49-F238E27FC236}">
              <a16:creationId xmlns:a16="http://schemas.microsoft.com/office/drawing/2014/main" id="{00000000-0008-0000-0400-000094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61" name="Text Box 2">
          <a:extLst>
            <a:ext uri="{FF2B5EF4-FFF2-40B4-BE49-F238E27FC236}">
              <a16:creationId xmlns:a16="http://schemas.microsoft.com/office/drawing/2014/main" id="{00000000-0008-0000-0400-000095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62" name="Text Box 2">
          <a:extLst>
            <a:ext uri="{FF2B5EF4-FFF2-40B4-BE49-F238E27FC236}">
              <a16:creationId xmlns:a16="http://schemas.microsoft.com/office/drawing/2014/main" id="{00000000-0008-0000-0400-000096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63" name="Text Box 2">
          <a:extLst>
            <a:ext uri="{FF2B5EF4-FFF2-40B4-BE49-F238E27FC236}">
              <a16:creationId xmlns:a16="http://schemas.microsoft.com/office/drawing/2014/main" id="{00000000-0008-0000-0400-000097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664" name="Text Box 2">
          <a:extLst>
            <a:ext uri="{FF2B5EF4-FFF2-40B4-BE49-F238E27FC236}">
              <a16:creationId xmlns:a16="http://schemas.microsoft.com/office/drawing/2014/main" id="{00000000-0008-0000-0400-000098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65" name="Text Box 2">
          <a:extLst>
            <a:ext uri="{FF2B5EF4-FFF2-40B4-BE49-F238E27FC236}">
              <a16:creationId xmlns:a16="http://schemas.microsoft.com/office/drawing/2014/main" id="{00000000-0008-0000-0400-000099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66" name="Text Box 2">
          <a:extLst>
            <a:ext uri="{FF2B5EF4-FFF2-40B4-BE49-F238E27FC236}">
              <a16:creationId xmlns:a16="http://schemas.microsoft.com/office/drawing/2014/main" id="{00000000-0008-0000-0400-00009A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67" name="Text Box 2">
          <a:extLst>
            <a:ext uri="{FF2B5EF4-FFF2-40B4-BE49-F238E27FC236}">
              <a16:creationId xmlns:a16="http://schemas.microsoft.com/office/drawing/2014/main" id="{00000000-0008-0000-0400-00009B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68" name="Text Box 2">
          <a:extLst>
            <a:ext uri="{FF2B5EF4-FFF2-40B4-BE49-F238E27FC236}">
              <a16:creationId xmlns:a16="http://schemas.microsoft.com/office/drawing/2014/main" id="{00000000-0008-0000-0400-00009C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69" name="Text Box 2">
          <a:extLst>
            <a:ext uri="{FF2B5EF4-FFF2-40B4-BE49-F238E27FC236}">
              <a16:creationId xmlns:a16="http://schemas.microsoft.com/office/drawing/2014/main" id="{00000000-0008-0000-0400-00009D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70" name="Text Box 2">
          <a:extLst>
            <a:ext uri="{FF2B5EF4-FFF2-40B4-BE49-F238E27FC236}">
              <a16:creationId xmlns:a16="http://schemas.microsoft.com/office/drawing/2014/main" id="{00000000-0008-0000-0400-00009E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71" name="Text Box 2">
          <a:extLst>
            <a:ext uri="{FF2B5EF4-FFF2-40B4-BE49-F238E27FC236}">
              <a16:creationId xmlns:a16="http://schemas.microsoft.com/office/drawing/2014/main" id="{00000000-0008-0000-0400-00009F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72" name="Text Box 2">
          <a:extLst>
            <a:ext uri="{FF2B5EF4-FFF2-40B4-BE49-F238E27FC236}">
              <a16:creationId xmlns:a16="http://schemas.microsoft.com/office/drawing/2014/main" id="{00000000-0008-0000-0400-0000A0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73" name="Text Box 2">
          <a:extLst>
            <a:ext uri="{FF2B5EF4-FFF2-40B4-BE49-F238E27FC236}">
              <a16:creationId xmlns:a16="http://schemas.microsoft.com/office/drawing/2014/main" id="{00000000-0008-0000-0400-0000A1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74" name="Text Box 2">
          <a:extLst>
            <a:ext uri="{FF2B5EF4-FFF2-40B4-BE49-F238E27FC236}">
              <a16:creationId xmlns:a16="http://schemas.microsoft.com/office/drawing/2014/main" id="{00000000-0008-0000-0400-0000A2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75" name="Text Box 2">
          <a:extLst>
            <a:ext uri="{FF2B5EF4-FFF2-40B4-BE49-F238E27FC236}">
              <a16:creationId xmlns:a16="http://schemas.microsoft.com/office/drawing/2014/main" id="{00000000-0008-0000-0400-0000A3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76" name="Text Box 2">
          <a:extLst>
            <a:ext uri="{FF2B5EF4-FFF2-40B4-BE49-F238E27FC236}">
              <a16:creationId xmlns:a16="http://schemas.microsoft.com/office/drawing/2014/main" id="{00000000-0008-0000-0400-0000A4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77" name="Text Box 2">
          <a:extLst>
            <a:ext uri="{FF2B5EF4-FFF2-40B4-BE49-F238E27FC236}">
              <a16:creationId xmlns:a16="http://schemas.microsoft.com/office/drawing/2014/main" id="{00000000-0008-0000-0400-0000A5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78" name="Text Box 2">
          <a:extLst>
            <a:ext uri="{FF2B5EF4-FFF2-40B4-BE49-F238E27FC236}">
              <a16:creationId xmlns:a16="http://schemas.microsoft.com/office/drawing/2014/main" id="{00000000-0008-0000-0400-0000A6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79" name="Text Box 2">
          <a:extLst>
            <a:ext uri="{FF2B5EF4-FFF2-40B4-BE49-F238E27FC236}">
              <a16:creationId xmlns:a16="http://schemas.microsoft.com/office/drawing/2014/main" id="{00000000-0008-0000-0400-0000A7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80" name="Text Box 2">
          <a:extLst>
            <a:ext uri="{FF2B5EF4-FFF2-40B4-BE49-F238E27FC236}">
              <a16:creationId xmlns:a16="http://schemas.microsoft.com/office/drawing/2014/main" id="{00000000-0008-0000-0400-0000A8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81" name="Text Box 2">
          <a:extLst>
            <a:ext uri="{FF2B5EF4-FFF2-40B4-BE49-F238E27FC236}">
              <a16:creationId xmlns:a16="http://schemas.microsoft.com/office/drawing/2014/main" id="{00000000-0008-0000-0400-0000A9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82" name="Text Box 2">
          <a:extLst>
            <a:ext uri="{FF2B5EF4-FFF2-40B4-BE49-F238E27FC236}">
              <a16:creationId xmlns:a16="http://schemas.microsoft.com/office/drawing/2014/main" id="{00000000-0008-0000-0400-0000AA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83" name="Text Box 2">
          <a:extLst>
            <a:ext uri="{FF2B5EF4-FFF2-40B4-BE49-F238E27FC236}">
              <a16:creationId xmlns:a16="http://schemas.microsoft.com/office/drawing/2014/main" id="{00000000-0008-0000-0400-0000AB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84" name="Text Box 2">
          <a:extLst>
            <a:ext uri="{FF2B5EF4-FFF2-40B4-BE49-F238E27FC236}">
              <a16:creationId xmlns:a16="http://schemas.microsoft.com/office/drawing/2014/main" id="{00000000-0008-0000-0400-0000AC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85" name="Text Box 2">
          <a:extLst>
            <a:ext uri="{FF2B5EF4-FFF2-40B4-BE49-F238E27FC236}">
              <a16:creationId xmlns:a16="http://schemas.microsoft.com/office/drawing/2014/main" id="{00000000-0008-0000-0400-0000AD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86" name="Text Box 2">
          <a:extLst>
            <a:ext uri="{FF2B5EF4-FFF2-40B4-BE49-F238E27FC236}">
              <a16:creationId xmlns:a16="http://schemas.microsoft.com/office/drawing/2014/main" id="{00000000-0008-0000-0400-0000AE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87" name="Text Box 2">
          <a:extLst>
            <a:ext uri="{FF2B5EF4-FFF2-40B4-BE49-F238E27FC236}">
              <a16:creationId xmlns:a16="http://schemas.microsoft.com/office/drawing/2014/main" id="{00000000-0008-0000-0400-0000AF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88" name="Text Box 2">
          <a:extLst>
            <a:ext uri="{FF2B5EF4-FFF2-40B4-BE49-F238E27FC236}">
              <a16:creationId xmlns:a16="http://schemas.microsoft.com/office/drawing/2014/main" id="{00000000-0008-0000-0400-0000B0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89" name="Text Box 2">
          <a:extLst>
            <a:ext uri="{FF2B5EF4-FFF2-40B4-BE49-F238E27FC236}">
              <a16:creationId xmlns:a16="http://schemas.microsoft.com/office/drawing/2014/main" id="{00000000-0008-0000-0400-0000B1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90" name="Text Box 2">
          <a:extLst>
            <a:ext uri="{FF2B5EF4-FFF2-40B4-BE49-F238E27FC236}">
              <a16:creationId xmlns:a16="http://schemas.microsoft.com/office/drawing/2014/main" id="{00000000-0008-0000-0400-0000B2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91" name="Text Box 2">
          <a:extLst>
            <a:ext uri="{FF2B5EF4-FFF2-40B4-BE49-F238E27FC236}">
              <a16:creationId xmlns:a16="http://schemas.microsoft.com/office/drawing/2014/main" id="{00000000-0008-0000-0400-0000B3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92" name="Text Box 2">
          <a:extLst>
            <a:ext uri="{FF2B5EF4-FFF2-40B4-BE49-F238E27FC236}">
              <a16:creationId xmlns:a16="http://schemas.microsoft.com/office/drawing/2014/main" id="{00000000-0008-0000-0400-0000B4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693" name="Text Box 2">
          <a:extLst>
            <a:ext uri="{FF2B5EF4-FFF2-40B4-BE49-F238E27FC236}">
              <a16:creationId xmlns:a16="http://schemas.microsoft.com/office/drawing/2014/main" id="{00000000-0008-0000-0400-0000B502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94" name="Text Box 2">
          <a:extLst>
            <a:ext uri="{FF2B5EF4-FFF2-40B4-BE49-F238E27FC236}">
              <a16:creationId xmlns:a16="http://schemas.microsoft.com/office/drawing/2014/main" id="{00000000-0008-0000-0400-0000B6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95" name="Text Box 2">
          <a:extLst>
            <a:ext uri="{FF2B5EF4-FFF2-40B4-BE49-F238E27FC236}">
              <a16:creationId xmlns:a16="http://schemas.microsoft.com/office/drawing/2014/main" id="{00000000-0008-0000-0400-0000B7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96" name="Text Box 2">
          <a:extLst>
            <a:ext uri="{FF2B5EF4-FFF2-40B4-BE49-F238E27FC236}">
              <a16:creationId xmlns:a16="http://schemas.microsoft.com/office/drawing/2014/main" id="{00000000-0008-0000-0400-0000B8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97" name="Text Box 2">
          <a:extLst>
            <a:ext uri="{FF2B5EF4-FFF2-40B4-BE49-F238E27FC236}">
              <a16:creationId xmlns:a16="http://schemas.microsoft.com/office/drawing/2014/main" id="{00000000-0008-0000-0400-0000B9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98" name="Text Box 2">
          <a:extLst>
            <a:ext uri="{FF2B5EF4-FFF2-40B4-BE49-F238E27FC236}">
              <a16:creationId xmlns:a16="http://schemas.microsoft.com/office/drawing/2014/main" id="{00000000-0008-0000-0400-0000BA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699" name="Text Box 2">
          <a:extLst>
            <a:ext uri="{FF2B5EF4-FFF2-40B4-BE49-F238E27FC236}">
              <a16:creationId xmlns:a16="http://schemas.microsoft.com/office/drawing/2014/main" id="{00000000-0008-0000-0400-0000BB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00" name="Text Box 2">
          <a:extLst>
            <a:ext uri="{FF2B5EF4-FFF2-40B4-BE49-F238E27FC236}">
              <a16:creationId xmlns:a16="http://schemas.microsoft.com/office/drawing/2014/main" id="{00000000-0008-0000-0400-0000BC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01" name="Text Box 2">
          <a:extLst>
            <a:ext uri="{FF2B5EF4-FFF2-40B4-BE49-F238E27FC236}">
              <a16:creationId xmlns:a16="http://schemas.microsoft.com/office/drawing/2014/main" id="{00000000-0008-0000-0400-0000BD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02" name="Text Box 2">
          <a:extLst>
            <a:ext uri="{FF2B5EF4-FFF2-40B4-BE49-F238E27FC236}">
              <a16:creationId xmlns:a16="http://schemas.microsoft.com/office/drawing/2014/main" id="{00000000-0008-0000-0400-0000BE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03" name="Text Box 2">
          <a:extLst>
            <a:ext uri="{FF2B5EF4-FFF2-40B4-BE49-F238E27FC236}">
              <a16:creationId xmlns:a16="http://schemas.microsoft.com/office/drawing/2014/main" id="{00000000-0008-0000-0400-0000BF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04" name="Text Box 2">
          <a:extLst>
            <a:ext uri="{FF2B5EF4-FFF2-40B4-BE49-F238E27FC236}">
              <a16:creationId xmlns:a16="http://schemas.microsoft.com/office/drawing/2014/main" id="{00000000-0008-0000-0400-0000C0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05" name="Text Box 2">
          <a:extLst>
            <a:ext uri="{FF2B5EF4-FFF2-40B4-BE49-F238E27FC236}">
              <a16:creationId xmlns:a16="http://schemas.microsoft.com/office/drawing/2014/main" id="{00000000-0008-0000-0400-0000C1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06" name="Text Box 2">
          <a:extLst>
            <a:ext uri="{FF2B5EF4-FFF2-40B4-BE49-F238E27FC236}">
              <a16:creationId xmlns:a16="http://schemas.microsoft.com/office/drawing/2014/main" id="{00000000-0008-0000-0400-0000C2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07" name="Text Box 2">
          <a:extLst>
            <a:ext uri="{FF2B5EF4-FFF2-40B4-BE49-F238E27FC236}">
              <a16:creationId xmlns:a16="http://schemas.microsoft.com/office/drawing/2014/main" id="{00000000-0008-0000-0400-0000C3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08" name="Text Box 2">
          <a:extLst>
            <a:ext uri="{FF2B5EF4-FFF2-40B4-BE49-F238E27FC236}">
              <a16:creationId xmlns:a16="http://schemas.microsoft.com/office/drawing/2014/main" id="{00000000-0008-0000-0400-0000C4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09" name="Text Box 2">
          <a:extLst>
            <a:ext uri="{FF2B5EF4-FFF2-40B4-BE49-F238E27FC236}">
              <a16:creationId xmlns:a16="http://schemas.microsoft.com/office/drawing/2014/main" id="{00000000-0008-0000-0400-0000C5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10" name="Text Box 2">
          <a:extLst>
            <a:ext uri="{FF2B5EF4-FFF2-40B4-BE49-F238E27FC236}">
              <a16:creationId xmlns:a16="http://schemas.microsoft.com/office/drawing/2014/main" id="{00000000-0008-0000-0400-0000C6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11" name="Text Box 2">
          <a:extLst>
            <a:ext uri="{FF2B5EF4-FFF2-40B4-BE49-F238E27FC236}">
              <a16:creationId xmlns:a16="http://schemas.microsoft.com/office/drawing/2014/main" id="{00000000-0008-0000-0400-0000C7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12" name="Text Box 2">
          <a:extLst>
            <a:ext uri="{FF2B5EF4-FFF2-40B4-BE49-F238E27FC236}">
              <a16:creationId xmlns:a16="http://schemas.microsoft.com/office/drawing/2014/main" id="{00000000-0008-0000-0400-0000C8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13" name="Text Box 2">
          <a:extLst>
            <a:ext uri="{FF2B5EF4-FFF2-40B4-BE49-F238E27FC236}">
              <a16:creationId xmlns:a16="http://schemas.microsoft.com/office/drawing/2014/main" id="{00000000-0008-0000-0400-0000C9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14" name="Text Box 2">
          <a:extLst>
            <a:ext uri="{FF2B5EF4-FFF2-40B4-BE49-F238E27FC236}">
              <a16:creationId xmlns:a16="http://schemas.microsoft.com/office/drawing/2014/main" id="{00000000-0008-0000-0400-0000CA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15" name="Text Box 2">
          <a:extLst>
            <a:ext uri="{FF2B5EF4-FFF2-40B4-BE49-F238E27FC236}">
              <a16:creationId xmlns:a16="http://schemas.microsoft.com/office/drawing/2014/main" id="{00000000-0008-0000-0400-0000CB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16" name="Text Box 2">
          <a:extLst>
            <a:ext uri="{FF2B5EF4-FFF2-40B4-BE49-F238E27FC236}">
              <a16:creationId xmlns:a16="http://schemas.microsoft.com/office/drawing/2014/main" id="{00000000-0008-0000-0400-0000CC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17" name="Text Box 2">
          <a:extLst>
            <a:ext uri="{FF2B5EF4-FFF2-40B4-BE49-F238E27FC236}">
              <a16:creationId xmlns:a16="http://schemas.microsoft.com/office/drawing/2014/main" id="{00000000-0008-0000-0400-0000CD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18" name="Text Box 2">
          <a:extLst>
            <a:ext uri="{FF2B5EF4-FFF2-40B4-BE49-F238E27FC236}">
              <a16:creationId xmlns:a16="http://schemas.microsoft.com/office/drawing/2014/main" id="{00000000-0008-0000-0400-0000CE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19" name="Text Box 2">
          <a:extLst>
            <a:ext uri="{FF2B5EF4-FFF2-40B4-BE49-F238E27FC236}">
              <a16:creationId xmlns:a16="http://schemas.microsoft.com/office/drawing/2014/main" id="{00000000-0008-0000-0400-0000CF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20" name="Text Box 2">
          <a:extLst>
            <a:ext uri="{FF2B5EF4-FFF2-40B4-BE49-F238E27FC236}">
              <a16:creationId xmlns:a16="http://schemas.microsoft.com/office/drawing/2014/main" id="{00000000-0008-0000-0400-0000D0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21" name="Text Box 2">
          <a:extLst>
            <a:ext uri="{FF2B5EF4-FFF2-40B4-BE49-F238E27FC236}">
              <a16:creationId xmlns:a16="http://schemas.microsoft.com/office/drawing/2014/main" id="{00000000-0008-0000-0400-0000D1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22" name="Text Box 2">
          <a:extLst>
            <a:ext uri="{FF2B5EF4-FFF2-40B4-BE49-F238E27FC236}">
              <a16:creationId xmlns:a16="http://schemas.microsoft.com/office/drawing/2014/main" id="{00000000-0008-0000-0400-0000D2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23" name="Text Box 2">
          <a:extLst>
            <a:ext uri="{FF2B5EF4-FFF2-40B4-BE49-F238E27FC236}">
              <a16:creationId xmlns:a16="http://schemas.microsoft.com/office/drawing/2014/main" id="{00000000-0008-0000-0400-0000D3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24" name="Text Box 2">
          <a:extLst>
            <a:ext uri="{FF2B5EF4-FFF2-40B4-BE49-F238E27FC236}">
              <a16:creationId xmlns:a16="http://schemas.microsoft.com/office/drawing/2014/main" id="{00000000-0008-0000-0400-0000D4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25" name="Text Box 2">
          <a:extLst>
            <a:ext uri="{FF2B5EF4-FFF2-40B4-BE49-F238E27FC236}">
              <a16:creationId xmlns:a16="http://schemas.microsoft.com/office/drawing/2014/main" id="{00000000-0008-0000-0400-0000D5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26" name="Text Box 2">
          <a:extLst>
            <a:ext uri="{FF2B5EF4-FFF2-40B4-BE49-F238E27FC236}">
              <a16:creationId xmlns:a16="http://schemas.microsoft.com/office/drawing/2014/main" id="{00000000-0008-0000-0400-0000D6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27" name="Text Box 2">
          <a:extLst>
            <a:ext uri="{FF2B5EF4-FFF2-40B4-BE49-F238E27FC236}">
              <a16:creationId xmlns:a16="http://schemas.microsoft.com/office/drawing/2014/main" id="{00000000-0008-0000-0400-0000D7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28" name="Text Box 2">
          <a:extLst>
            <a:ext uri="{FF2B5EF4-FFF2-40B4-BE49-F238E27FC236}">
              <a16:creationId xmlns:a16="http://schemas.microsoft.com/office/drawing/2014/main" id="{00000000-0008-0000-0400-0000D8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29" name="Text Box 2">
          <a:extLst>
            <a:ext uri="{FF2B5EF4-FFF2-40B4-BE49-F238E27FC236}">
              <a16:creationId xmlns:a16="http://schemas.microsoft.com/office/drawing/2014/main" id="{00000000-0008-0000-0400-0000D9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30" name="Text Box 2">
          <a:extLst>
            <a:ext uri="{FF2B5EF4-FFF2-40B4-BE49-F238E27FC236}">
              <a16:creationId xmlns:a16="http://schemas.microsoft.com/office/drawing/2014/main" id="{00000000-0008-0000-0400-0000DA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31" name="Text Box 2">
          <a:extLst>
            <a:ext uri="{FF2B5EF4-FFF2-40B4-BE49-F238E27FC236}">
              <a16:creationId xmlns:a16="http://schemas.microsoft.com/office/drawing/2014/main" id="{00000000-0008-0000-0400-0000DB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32" name="Text Box 2">
          <a:extLst>
            <a:ext uri="{FF2B5EF4-FFF2-40B4-BE49-F238E27FC236}">
              <a16:creationId xmlns:a16="http://schemas.microsoft.com/office/drawing/2014/main" id="{00000000-0008-0000-0400-0000DC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33" name="Text Box 2">
          <a:extLst>
            <a:ext uri="{FF2B5EF4-FFF2-40B4-BE49-F238E27FC236}">
              <a16:creationId xmlns:a16="http://schemas.microsoft.com/office/drawing/2014/main" id="{00000000-0008-0000-0400-0000DD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34" name="Text Box 2">
          <a:extLst>
            <a:ext uri="{FF2B5EF4-FFF2-40B4-BE49-F238E27FC236}">
              <a16:creationId xmlns:a16="http://schemas.microsoft.com/office/drawing/2014/main" id="{00000000-0008-0000-0400-0000DE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35" name="Text Box 2">
          <a:extLst>
            <a:ext uri="{FF2B5EF4-FFF2-40B4-BE49-F238E27FC236}">
              <a16:creationId xmlns:a16="http://schemas.microsoft.com/office/drawing/2014/main" id="{00000000-0008-0000-0400-0000DF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36" name="Text Box 2">
          <a:extLst>
            <a:ext uri="{FF2B5EF4-FFF2-40B4-BE49-F238E27FC236}">
              <a16:creationId xmlns:a16="http://schemas.microsoft.com/office/drawing/2014/main" id="{00000000-0008-0000-0400-0000E0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37" name="Text Box 2">
          <a:extLst>
            <a:ext uri="{FF2B5EF4-FFF2-40B4-BE49-F238E27FC236}">
              <a16:creationId xmlns:a16="http://schemas.microsoft.com/office/drawing/2014/main" id="{00000000-0008-0000-0400-0000E1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38" name="Text Box 2">
          <a:extLst>
            <a:ext uri="{FF2B5EF4-FFF2-40B4-BE49-F238E27FC236}">
              <a16:creationId xmlns:a16="http://schemas.microsoft.com/office/drawing/2014/main" id="{00000000-0008-0000-0400-0000E2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39" name="Text Box 2">
          <a:extLst>
            <a:ext uri="{FF2B5EF4-FFF2-40B4-BE49-F238E27FC236}">
              <a16:creationId xmlns:a16="http://schemas.microsoft.com/office/drawing/2014/main" id="{00000000-0008-0000-0400-0000E3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40" name="Text Box 2">
          <a:extLst>
            <a:ext uri="{FF2B5EF4-FFF2-40B4-BE49-F238E27FC236}">
              <a16:creationId xmlns:a16="http://schemas.microsoft.com/office/drawing/2014/main" id="{00000000-0008-0000-0400-0000E4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41" name="Text Box 2">
          <a:extLst>
            <a:ext uri="{FF2B5EF4-FFF2-40B4-BE49-F238E27FC236}">
              <a16:creationId xmlns:a16="http://schemas.microsoft.com/office/drawing/2014/main" id="{00000000-0008-0000-0400-0000E5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42" name="Text Box 2">
          <a:extLst>
            <a:ext uri="{FF2B5EF4-FFF2-40B4-BE49-F238E27FC236}">
              <a16:creationId xmlns:a16="http://schemas.microsoft.com/office/drawing/2014/main" id="{00000000-0008-0000-0400-0000E6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43" name="Text Box 2">
          <a:extLst>
            <a:ext uri="{FF2B5EF4-FFF2-40B4-BE49-F238E27FC236}">
              <a16:creationId xmlns:a16="http://schemas.microsoft.com/office/drawing/2014/main" id="{00000000-0008-0000-0400-0000E7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44" name="Text Box 2">
          <a:extLst>
            <a:ext uri="{FF2B5EF4-FFF2-40B4-BE49-F238E27FC236}">
              <a16:creationId xmlns:a16="http://schemas.microsoft.com/office/drawing/2014/main" id="{00000000-0008-0000-0400-0000E8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45" name="Text Box 2">
          <a:extLst>
            <a:ext uri="{FF2B5EF4-FFF2-40B4-BE49-F238E27FC236}">
              <a16:creationId xmlns:a16="http://schemas.microsoft.com/office/drawing/2014/main" id="{00000000-0008-0000-0400-0000E9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46" name="Text Box 2">
          <a:extLst>
            <a:ext uri="{FF2B5EF4-FFF2-40B4-BE49-F238E27FC236}">
              <a16:creationId xmlns:a16="http://schemas.microsoft.com/office/drawing/2014/main" id="{00000000-0008-0000-0400-0000EA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47" name="Text Box 2">
          <a:extLst>
            <a:ext uri="{FF2B5EF4-FFF2-40B4-BE49-F238E27FC236}">
              <a16:creationId xmlns:a16="http://schemas.microsoft.com/office/drawing/2014/main" id="{00000000-0008-0000-0400-0000EB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48" name="Text Box 2">
          <a:extLst>
            <a:ext uri="{FF2B5EF4-FFF2-40B4-BE49-F238E27FC236}">
              <a16:creationId xmlns:a16="http://schemas.microsoft.com/office/drawing/2014/main" id="{00000000-0008-0000-0400-0000EC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49" name="Text Box 2">
          <a:extLst>
            <a:ext uri="{FF2B5EF4-FFF2-40B4-BE49-F238E27FC236}">
              <a16:creationId xmlns:a16="http://schemas.microsoft.com/office/drawing/2014/main" id="{00000000-0008-0000-0400-0000ED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750" name="Text Box 2">
          <a:extLst>
            <a:ext uri="{FF2B5EF4-FFF2-40B4-BE49-F238E27FC236}">
              <a16:creationId xmlns:a16="http://schemas.microsoft.com/office/drawing/2014/main" id="{00000000-0008-0000-0400-0000EE02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51" name="Text Box 2">
          <a:extLst>
            <a:ext uri="{FF2B5EF4-FFF2-40B4-BE49-F238E27FC236}">
              <a16:creationId xmlns:a16="http://schemas.microsoft.com/office/drawing/2014/main" id="{00000000-0008-0000-0400-0000EF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52" name="Text Box 2">
          <a:extLst>
            <a:ext uri="{FF2B5EF4-FFF2-40B4-BE49-F238E27FC236}">
              <a16:creationId xmlns:a16="http://schemas.microsoft.com/office/drawing/2014/main" id="{00000000-0008-0000-0400-0000F0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53" name="Text Box 2">
          <a:extLst>
            <a:ext uri="{FF2B5EF4-FFF2-40B4-BE49-F238E27FC236}">
              <a16:creationId xmlns:a16="http://schemas.microsoft.com/office/drawing/2014/main" id="{00000000-0008-0000-0400-0000F1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54" name="Text Box 2">
          <a:extLst>
            <a:ext uri="{FF2B5EF4-FFF2-40B4-BE49-F238E27FC236}">
              <a16:creationId xmlns:a16="http://schemas.microsoft.com/office/drawing/2014/main" id="{00000000-0008-0000-0400-0000F2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55" name="Text Box 2">
          <a:extLst>
            <a:ext uri="{FF2B5EF4-FFF2-40B4-BE49-F238E27FC236}">
              <a16:creationId xmlns:a16="http://schemas.microsoft.com/office/drawing/2014/main" id="{00000000-0008-0000-0400-0000F3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56" name="Text Box 2">
          <a:extLst>
            <a:ext uri="{FF2B5EF4-FFF2-40B4-BE49-F238E27FC236}">
              <a16:creationId xmlns:a16="http://schemas.microsoft.com/office/drawing/2014/main" id="{00000000-0008-0000-0400-0000F4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57" name="Text Box 2">
          <a:extLst>
            <a:ext uri="{FF2B5EF4-FFF2-40B4-BE49-F238E27FC236}">
              <a16:creationId xmlns:a16="http://schemas.microsoft.com/office/drawing/2014/main" id="{00000000-0008-0000-0400-0000F5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58" name="Text Box 2">
          <a:extLst>
            <a:ext uri="{FF2B5EF4-FFF2-40B4-BE49-F238E27FC236}">
              <a16:creationId xmlns:a16="http://schemas.microsoft.com/office/drawing/2014/main" id="{00000000-0008-0000-0400-0000F6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59" name="Text Box 2">
          <a:extLst>
            <a:ext uri="{FF2B5EF4-FFF2-40B4-BE49-F238E27FC236}">
              <a16:creationId xmlns:a16="http://schemas.microsoft.com/office/drawing/2014/main" id="{00000000-0008-0000-0400-0000F7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60" name="Text Box 2">
          <a:extLst>
            <a:ext uri="{FF2B5EF4-FFF2-40B4-BE49-F238E27FC236}">
              <a16:creationId xmlns:a16="http://schemas.microsoft.com/office/drawing/2014/main" id="{00000000-0008-0000-0400-0000F8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61" name="Text Box 2">
          <a:extLst>
            <a:ext uri="{FF2B5EF4-FFF2-40B4-BE49-F238E27FC236}">
              <a16:creationId xmlns:a16="http://schemas.microsoft.com/office/drawing/2014/main" id="{00000000-0008-0000-0400-0000F9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62" name="Text Box 2">
          <a:extLst>
            <a:ext uri="{FF2B5EF4-FFF2-40B4-BE49-F238E27FC236}">
              <a16:creationId xmlns:a16="http://schemas.microsoft.com/office/drawing/2014/main" id="{00000000-0008-0000-0400-0000FA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63" name="Text Box 2">
          <a:extLst>
            <a:ext uri="{FF2B5EF4-FFF2-40B4-BE49-F238E27FC236}">
              <a16:creationId xmlns:a16="http://schemas.microsoft.com/office/drawing/2014/main" id="{00000000-0008-0000-0400-0000FB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64" name="Text Box 2">
          <a:extLst>
            <a:ext uri="{FF2B5EF4-FFF2-40B4-BE49-F238E27FC236}">
              <a16:creationId xmlns:a16="http://schemas.microsoft.com/office/drawing/2014/main" id="{00000000-0008-0000-0400-0000FC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65" name="Text Box 2">
          <a:extLst>
            <a:ext uri="{FF2B5EF4-FFF2-40B4-BE49-F238E27FC236}">
              <a16:creationId xmlns:a16="http://schemas.microsoft.com/office/drawing/2014/main" id="{00000000-0008-0000-0400-0000FD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66" name="Text Box 2">
          <a:extLst>
            <a:ext uri="{FF2B5EF4-FFF2-40B4-BE49-F238E27FC236}">
              <a16:creationId xmlns:a16="http://schemas.microsoft.com/office/drawing/2014/main" id="{00000000-0008-0000-0400-0000FE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67" name="Text Box 2">
          <a:extLst>
            <a:ext uri="{FF2B5EF4-FFF2-40B4-BE49-F238E27FC236}">
              <a16:creationId xmlns:a16="http://schemas.microsoft.com/office/drawing/2014/main" id="{00000000-0008-0000-0400-0000FF02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68" name="Text Box 2">
          <a:extLst>
            <a:ext uri="{FF2B5EF4-FFF2-40B4-BE49-F238E27FC236}">
              <a16:creationId xmlns:a16="http://schemas.microsoft.com/office/drawing/2014/main" id="{00000000-0008-0000-0400-000000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69" name="Text Box 2">
          <a:extLst>
            <a:ext uri="{FF2B5EF4-FFF2-40B4-BE49-F238E27FC236}">
              <a16:creationId xmlns:a16="http://schemas.microsoft.com/office/drawing/2014/main" id="{00000000-0008-0000-0400-000001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70" name="Text Box 2">
          <a:extLst>
            <a:ext uri="{FF2B5EF4-FFF2-40B4-BE49-F238E27FC236}">
              <a16:creationId xmlns:a16="http://schemas.microsoft.com/office/drawing/2014/main" id="{00000000-0008-0000-0400-000002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71" name="Text Box 2">
          <a:extLst>
            <a:ext uri="{FF2B5EF4-FFF2-40B4-BE49-F238E27FC236}">
              <a16:creationId xmlns:a16="http://schemas.microsoft.com/office/drawing/2014/main" id="{00000000-0008-0000-0400-000003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72" name="Text Box 2">
          <a:extLst>
            <a:ext uri="{FF2B5EF4-FFF2-40B4-BE49-F238E27FC236}">
              <a16:creationId xmlns:a16="http://schemas.microsoft.com/office/drawing/2014/main" id="{00000000-0008-0000-0400-000004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73" name="Text Box 2">
          <a:extLst>
            <a:ext uri="{FF2B5EF4-FFF2-40B4-BE49-F238E27FC236}">
              <a16:creationId xmlns:a16="http://schemas.microsoft.com/office/drawing/2014/main" id="{00000000-0008-0000-0400-000005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74" name="Text Box 2">
          <a:extLst>
            <a:ext uri="{FF2B5EF4-FFF2-40B4-BE49-F238E27FC236}">
              <a16:creationId xmlns:a16="http://schemas.microsoft.com/office/drawing/2014/main" id="{00000000-0008-0000-0400-000006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75" name="Text Box 2">
          <a:extLst>
            <a:ext uri="{FF2B5EF4-FFF2-40B4-BE49-F238E27FC236}">
              <a16:creationId xmlns:a16="http://schemas.microsoft.com/office/drawing/2014/main" id="{00000000-0008-0000-0400-000007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76" name="Text Box 2">
          <a:extLst>
            <a:ext uri="{FF2B5EF4-FFF2-40B4-BE49-F238E27FC236}">
              <a16:creationId xmlns:a16="http://schemas.microsoft.com/office/drawing/2014/main" id="{00000000-0008-0000-0400-000008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77" name="Text Box 2">
          <a:extLst>
            <a:ext uri="{FF2B5EF4-FFF2-40B4-BE49-F238E27FC236}">
              <a16:creationId xmlns:a16="http://schemas.microsoft.com/office/drawing/2014/main" id="{00000000-0008-0000-0400-000009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78" name="Text Box 2">
          <a:extLst>
            <a:ext uri="{FF2B5EF4-FFF2-40B4-BE49-F238E27FC236}">
              <a16:creationId xmlns:a16="http://schemas.microsoft.com/office/drawing/2014/main" id="{00000000-0008-0000-0400-00000A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79" name="Text Box 2">
          <a:extLst>
            <a:ext uri="{FF2B5EF4-FFF2-40B4-BE49-F238E27FC236}">
              <a16:creationId xmlns:a16="http://schemas.microsoft.com/office/drawing/2014/main" id="{00000000-0008-0000-0400-00000B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80" name="Text Box 2">
          <a:extLst>
            <a:ext uri="{FF2B5EF4-FFF2-40B4-BE49-F238E27FC236}">
              <a16:creationId xmlns:a16="http://schemas.microsoft.com/office/drawing/2014/main" id="{00000000-0008-0000-0400-00000C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81" name="Text Box 2">
          <a:extLst>
            <a:ext uri="{FF2B5EF4-FFF2-40B4-BE49-F238E27FC236}">
              <a16:creationId xmlns:a16="http://schemas.microsoft.com/office/drawing/2014/main" id="{00000000-0008-0000-0400-00000D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82" name="Text Box 2">
          <a:extLst>
            <a:ext uri="{FF2B5EF4-FFF2-40B4-BE49-F238E27FC236}">
              <a16:creationId xmlns:a16="http://schemas.microsoft.com/office/drawing/2014/main" id="{00000000-0008-0000-0400-00000E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83" name="Text Box 2">
          <a:extLst>
            <a:ext uri="{FF2B5EF4-FFF2-40B4-BE49-F238E27FC236}">
              <a16:creationId xmlns:a16="http://schemas.microsoft.com/office/drawing/2014/main" id="{00000000-0008-0000-0400-00000F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84" name="Text Box 2">
          <a:extLst>
            <a:ext uri="{FF2B5EF4-FFF2-40B4-BE49-F238E27FC236}">
              <a16:creationId xmlns:a16="http://schemas.microsoft.com/office/drawing/2014/main" id="{00000000-0008-0000-0400-000010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85" name="Text Box 2">
          <a:extLst>
            <a:ext uri="{FF2B5EF4-FFF2-40B4-BE49-F238E27FC236}">
              <a16:creationId xmlns:a16="http://schemas.microsoft.com/office/drawing/2014/main" id="{00000000-0008-0000-0400-000011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86" name="Text Box 2">
          <a:extLst>
            <a:ext uri="{FF2B5EF4-FFF2-40B4-BE49-F238E27FC236}">
              <a16:creationId xmlns:a16="http://schemas.microsoft.com/office/drawing/2014/main" id="{00000000-0008-0000-0400-000012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87" name="Text Box 2">
          <a:extLst>
            <a:ext uri="{FF2B5EF4-FFF2-40B4-BE49-F238E27FC236}">
              <a16:creationId xmlns:a16="http://schemas.microsoft.com/office/drawing/2014/main" id="{00000000-0008-0000-0400-000013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88" name="Text Box 2">
          <a:extLst>
            <a:ext uri="{FF2B5EF4-FFF2-40B4-BE49-F238E27FC236}">
              <a16:creationId xmlns:a16="http://schemas.microsoft.com/office/drawing/2014/main" id="{00000000-0008-0000-0400-000014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89" name="Text Box 2">
          <a:extLst>
            <a:ext uri="{FF2B5EF4-FFF2-40B4-BE49-F238E27FC236}">
              <a16:creationId xmlns:a16="http://schemas.microsoft.com/office/drawing/2014/main" id="{00000000-0008-0000-0400-000015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90" name="Text Box 2">
          <a:extLst>
            <a:ext uri="{FF2B5EF4-FFF2-40B4-BE49-F238E27FC236}">
              <a16:creationId xmlns:a16="http://schemas.microsoft.com/office/drawing/2014/main" id="{00000000-0008-0000-0400-000016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91" name="Text Box 2">
          <a:extLst>
            <a:ext uri="{FF2B5EF4-FFF2-40B4-BE49-F238E27FC236}">
              <a16:creationId xmlns:a16="http://schemas.microsoft.com/office/drawing/2014/main" id="{00000000-0008-0000-0400-000017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92" name="Text Box 2">
          <a:extLst>
            <a:ext uri="{FF2B5EF4-FFF2-40B4-BE49-F238E27FC236}">
              <a16:creationId xmlns:a16="http://schemas.microsoft.com/office/drawing/2014/main" id="{00000000-0008-0000-0400-000018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93" name="Text Box 2">
          <a:extLst>
            <a:ext uri="{FF2B5EF4-FFF2-40B4-BE49-F238E27FC236}">
              <a16:creationId xmlns:a16="http://schemas.microsoft.com/office/drawing/2014/main" id="{00000000-0008-0000-0400-000019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94" name="Text Box 2">
          <a:extLst>
            <a:ext uri="{FF2B5EF4-FFF2-40B4-BE49-F238E27FC236}">
              <a16:creationId xmlns:a16="http://schemas.microsoft.com/office/drawing/2014/main" id="{00000000-0008-0000-0400-00001A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95" name="Text Box 2">
          <a:extLst>
            <a:ext uri="{FF2B5EF4-FFF2-40B4-BE49-F238E27FC236}">
              <a16:creationId xmlns:a16="http://schemas.microsoft.com/office/drawing/2014/main" id="{00000000-0008-0000-0400-00001B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96" name="Text Box 2">
          <a:extLst>
            <a:ext uri="{FF2B5EF4-FFF2-40B4-BE49-F238E27FC236}">
              <a16:creationId xmlns:a16="http://schemas.microsoft.com/office/drawing/2014/main" id="{00000000-0008-0000-0400-00001C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97" name="Text Box 2">
          <a:extLst>
            <a:ext uri="{FF2B5EF4-FFF2-40B4-BE49-F238E27FC236}">
              <a16:creationId xmlns:a16="http://schemas.microsoft.com/office/drawing/2014/main" id="{00000000-0008-0000-0400-00001D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98" name="Text Box 2">
          <a:extLst>
            <a:ext uri="{FF2B5EF4-FFF2-40B4-BE49-F238E27FC236}">
              <a16:creationId xmlns:a16="http://schemas.microsoft.com/office/drawing/2014/main" id="{00000000-0008-0000-0400-00001E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799" name="Text Box 2">
          <a:extLst>
            <a:ext uri="{FF2B5EF4-FFF2-40B4-BE49-F238E27FC236}">
              <a16:creationId xmlns:a16="http://schemas.microsoft.com/office/drawing/2014/main" id="{00000000-0008-0000-0400-00001F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00" name="Text Box 2">
          <a:extLst>
            <a:ext uri="{FF2B5EF4-FFF2-40B4-BE49-F238E27FC236}">
              <a16:creationId xmlns:a16="http://schemas.microsoft.com/office/drawing/2014/main" id="{00000000-0008-0000-0400-000020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01" name="Text Box 2">
          <a:extLst>
            <a:ext uri="{FF2B5EF4-FFF2-40B4-BE49-F238E27FC236}">
              <a16:creationId xmlns:a16="http://schemas.microsoft.com/office/drawing/2014/main" id="{00000000-0008-0000-0400-000021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02" name="Text Box 2">
          <a:extLst>
            <a:ext uri="{FF2B5EF4-FFF2-40B4-BE49-F238E27FC236}">
              <a16:creationId xmlns:a16="http://schemas.microsoft.com/office/drawing/2014/main" id="{00000000-0008-0000-0400-000022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03" name="Text Box 2">
          <a:extLst>
            <a:ext uri="{FF2B5EF4-FFF2-40B4-BE49-F238E27FC236}">
              <a16:creationId xmlns:a16="http://schemas.microsoft.com/office/drawing/2014/main" id="{00000000-0008-0000-0400-000023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04" name="Text Box 2">
          <a:extLst>
            <a:ext uri="{FF2B5EF4-FFF2-40B4-BE49-F238E27FC236}">
              <a16:creationId xmlns:a16="http://schemas.microsoft.com/office/drawing/2014/main" id="{00000000-0008-0000-0400-000024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05" name="Text Box 2">
          <a:extLst>
            <a:ext uri="{FF2B5EF4-FFF2-40B4-BE49-F238E27FC236}">
              <a16:creationId xmlns:a16="http://schemas.microsoft.com/office/drawing/2014/main" id="{00000000-0008-0000-0400-000025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06" name="Text Box 2">
          <a:extLst>
            <a:ext uri="{FF2B5EF4-FFF2-40B4-BE49-F238E27FC236}">
              <a16:creationId xmlns:a16="http://schemas.microsoft.com/office/drawing/2014/main" id="{00000000-0008-0000-0400-000026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07" name="Text Box 2">
          <a:extLst>
            <a:ext uri="{FF2B5EF4-FFF2-40B4-BE49-F238E27FC236}">
              <a16:creationId xmlns:a16="http://schemas.microsoft.com/office/drawing/2014/main" id="{00000000-0008-0000-0400-000027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08" name="Text Box 2">
          <a:extLst>
            <a:ext uri="{FF2B5EF4-FFF2-40B4-BE49-F238E27FC236}">
              <a16:creationId xmlns:a16="http://schemas.microsoft.com/office/drawing/2014/main" id="{00000000-0008-0000-0400-000028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09" name="Text Box 2">
          <a:extLst>
            <a:ext uri="{FF2B5EF4-FFF2-40B4-BE49-F238E27FC236}">
              <a16:creationId xmlns:a16="http://schemas.microsoft.com/office/drawing/2014/main" id="{00000000-0008-0000-0400-000029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10" name="Text Box 2">
          <a:extLst>
            <a:ext uri="{FF2B5EF4-FFF2-40B4-BE49-F238E27FC236}">
              <a16:creationId xmlns:a16="http://schemas.microsoft.com/office/drawing/2014/main" id="{00000000-0008-0000-0400-00002A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11" name="Text Box 2">
          <a:extLst>
            <a:ext uri="{FF2B5EF4-FFF2-40B4-BE49-F238E27FC236}">
              <a16:creationId xmlns:a16="http://schemas.microsoft.com/office/drawing/2014/main" id="{00000000-0008-0000-0400-00002B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12" name="Text Box 2">
          <a:extLst>
            <a:ext uri="{FF2B5EF4-FFF2-40B4-BE49-F238E27FC236}">
              <a16:creationId xmlns:a16="http://schemas.microsoft.com/office/drawing/2014/main" id="{00000000-0008-0000-0400-00002C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13" name="Text Box 2">
          <a:extLst>
            <a:ext uri="{FF2B5EF4-FFF2-40B4-BE49-F238E27FC236}">
              <a16:creationId xmlns:a16="http://schemas.microsoft.com/office/drawing/2014/main" id="{00000000-0008-0000-0400-00002D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14" name="Text Box 2">
          <a:extLst>
            <a:ext uri="{FF2B5EF4-FFF2-40B4-BE49-F238E27FC236}">
              <a16:creationId xmlns:a16="http://schemas.microsoft.com/office/drawing/2014/main" id="{00000000-0008-0000-0400-00002E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15" name="Text Box 2">
          <a:extLst>
            <a:ext uri="{FF2B5EF4-FFF2-40B4-BE49-F238E27FC236}">
              <a16:creationId xmlns:a16="http://schemas.microsoft.com/office/drawing/2014/main" id="{00000000-0008-0000-0400-00002F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16" name="Text Box 2">
          <a:extLst>
            <a:ext uri="{FF2B5EF4-FFF2-40B4-BE49-F238E27FC236}">
              <a16:creationId xmlns:a16="http://schemas.microsoft.com/office/drawing/2014/main" id="{00000000-0008-0000-0400-000030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17" name="Text Box 2">
          <a:extLst>
            <a:ext uri="{FF2B5EF4-FFF2-40B4-BE49-F238E27FC236}">
              <a16:creationId xmlns:a16="http://schemas.microsoft.com/office/drawing/2014/main" id="{00000000-0008-0000-0400-000031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18" name="Text Box 2">
          <a:extLst>
            <a:ext uri="{FF2B5EF4-FFF2-40B4-BE49-F238E27FC236}">
              <a16:creationId xmlns:a16="http://schemas.microsoft.com/office/drawing/2014/main" id="{00000000-0008-0000-0400-000032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19" name="Text Box 2">
          <a:extLst>
            <a:ext uri="{FF2B5EF4-FFF2-40B4-BE49-F238E27FC236}">
              <a16:creationId xmlns:a16="http://schemas.microsoft.com/office/drawing/2014/main" id="{00000000-0008-0000-0400-000033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20" name="Text Box 2">
          <a:extLst>
            <a:ext uri="{FF2B5EF4-FFF2-40B4-BE49-F238E27FC236}">
              <a16:creationId xmlns:a16="http://schemas.microsoft.com/office/drawing/2014/main" id="{00000000-0008-0000-0400-000034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21" name="Text Box 2">
          <a:extLst>
            <a:ext uri="{FF2B5EF4-FFF2-40B4-BE49-F238E27FC236}">
              <a16:creationId xmlns:a16="http://schemas.microsoft.com/office/drawing/2014/main" id="{00000000-0008-0000-0400-000035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22" name="Text Box 2">
          <a:extLst>
            <a:ext uri="{FF2B5EF4-FFF2-40B4-BE49-F238E27FC236}">
              <a16:creationId xmlns:a16="http://schemas.microsoft.com/office/drawing/2014/main" id="{00000000-0008-0000-0400-000036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23" name="Text Box 2">
          <a:extLst>
            <a:ext uri="{FF2B5EF4-FFF2-40B4-BE49-F238E27FC236}">
              <a16:creationId xmlns:a16="http://schemas.microsoft.com/office/drawing/2014/main" id="{00000000-0008-0000-0400-000037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24" name="Text Box 2">
          <a:extLst>
            <a:ext uri="{FF2B5EF4-FFF2-40B4-BE49-F238E27FC236}">
              <a16:creationId xmlns:a16="http://schemas.microsoft.com/office/drawing/2014/main" id="{00000000-0008-0000-0400-000038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25" name="Text Box 2">
          <a:extLst>
            <a:ext uri="{FF2B5EF4-FFF2-40B4-BE49-F238E27FC236}">
              <a16:creationId xmlns:a16="http://schemas.microsoft.com/office/drawing/2014/main" id="{00000000-0008-0000-0400-000039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26" name="Text Box 2">
          <a:extLst>
            <a:ext uri="{FF2B5EF4-FFF2-40B4-BE49-F238E27FC236}">
              <a16:creationId xmlns:a16="http://schemas.microsoft.com/office/drawing/2014/main" id="{00000000-0008-0000-0400-00003A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27" name="Text Box 2">
          <a:extLst>
            <a:ext uri="{FF2B5EF4-FFF2-40B4-BE49-F238E27FC236}">
              <a16:creationId xmlns:a16="http://schemas.microsoft.com/office/drawing/2014/main" id="{00000000-0008-0000-0400-00003B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28" name="Text Box 2">
          <a:extLst>
            <a:ext uri="{FF2B5EF4-FFF2-40B4-BE49-F238E27FC236}">
              <a16:creationId xmlns:a16="http://schemas.microsoft.com/office/drawing/2014/main" id="{00000000-0008-0000-0400-00003C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29" name="Text Box 2">
          <a:extLst>
            <a:ext uri="{FF2B5EF4-FFF2-40B4-BE49-F238E27FC236}">
              <a16:creationId xmlns:a16="http://schemas.microsoft.com/office/drawing/2014/main" id="{00000000-0008-0000-0400-00003D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30" name="Text Box 2">
          <a:extLst>
            <a:ext uri="{FF2B5EF4-FFF2-40B4-BE49-F238E27FC236}">
              <a16:creationId xmlns:a16="http://schemas.microsoft.com/office/drawing/2014/main" id="{00000000-0008-0000-0400-00003E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31" name="Text Box 2">
          <a:extLst>
            <a:ext uri="{FF2B5EF4-FFF2-40B4-BE49-F238E27FC236}">
              <a16:creationId xmlns:a16="http://schemas.microsoft.com/office/drawing/2014/main" id="{00000000-0008-0000-0400-00003F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32" name="Text Box 2">
          <a:extLst>
            <a:ext uri="{FF2B5EF4-FFF2-40B4-BE49-F238E27FC236}">
              <a16:creationId xmlns:a16="http://schemas.microsoft.com/office/drawing/2014/main" id="{00000000-0008-0000-0400-000040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33" name="Text Box 2">
          <a:extLst>
            <a:ext uri="{FF2B5EF4-FFF2-40B4-BE49-F238E27FC236}">
              <a16:creationId xmlns:a16="http://schemas.microsoft.com/office/drawing/2014/main" id="{00000000-0008-0000-0400-000041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34" name="Text Box 2">
          <a:extLst>
            <a:ext uri="{FF2B5EF4-FFF2-40B4-BE49-F238E27FC236}">
              <a16:creationId xmlns:a16="http://schemas.microsoft.com/office/drawing/2014/main" id="{00000000-0008-0000-0400-000042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35" name="Text Box 2">
          <a:extLst>
            <a:ext uri="{FF2B5EF4-FFF2-40B4-BE49-F238E27FC236}">
              <a16:creationId xmlns:a16="http://schemas.microsoft.com/office/drawing/2014/main" id="{00000000-0008-0000-0400-000043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36" name="Text Box 2">
          <a:extLst>
            <a:ext uri="{FF2B5EF4-FFF2-40B4-BE49-F238E27FC236}">
              <a16:creationId xmlns:a16="http://schemas.microsoft.com/office/drawing/2014/main" id="{00000000-0008-0000-0400-000044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37" name="Text Box 2">
          <a:extLst>
            <a:ext uri="{FF2B5EF4-FFF2-40B4-BE49-F238E27FC236}">
              <a16:creationId xmlns:a16="http://schemas.microsoft.com/office/drawing/2014/main" id="{00000000-0008-0000-0400-000045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38" name="Text Box 2">
          <a:extLst>
            <a:ext uri="{FF2B5EF4-FFF2-40B4-BE49-F238E27FC236}">
              <a16:creationId xmlns:a16="http://schemas.microsoft.com/office/drawing/2014/main" id="{00000000-0008-0000-0400-000046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39" name="Text Box 2">
          <a:extLst>
            <a:ext uri="{FF2B5EF4-FFF2-40B4-BE49-F238E27FC236}">
              <a16:creationId xmlns:a16="http://schemas.microsoft.com/office/drawing/2014/main" id="{00000000-0008-0000-0400-000047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40" name="Text Box 2">
          <a:extLst>
            <a:ext uri="{FF2B5EF4-FFF2-40B4-BE49-F238E27FC236}">
              <a16:creationId xmlns:a16="http://schemas.microsoft.com/office/drawing/2014/main" id="{00000000-0008-0000-0400-000048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41" name="Text Box 2">
          <a:extLst>
            <a:ext uri="{FF2B5EF4-FFF2-40B4-BE49-F238E27FC236}">
              <a16:creationId xmlns:a16="http://schemas.microsoft.com/office/drawing/2014/main" id="{00000000-0008-0000-0400-000049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42" name="Text Box 2">
          <a:extLst>
            <a:ext uri="{FF2B5EF4-FFF2-40B4-BE49-F238E27FC236}">
              <a16:creationId xmlns:a16="http://schemas.microsoft.com/office/drawing/2014/main" id="{00000000-0008-0000-0400-00004A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43" name="Text Box 2">
          <a:extLst>
            <a:ext uri="{FF2B5EF4-FFF2-40B4-BE49-F238E27FC236}">
              <a16:creationId xmlns:a16="http://schemas.microsoft.com/office/drawing/2014/main" id="{00000000-0008-0000-0400-00004B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44" name="Text Box 2">
          <a:extLst>
            <a:ext uri="{FF2B5EF4-FFF2-40B4-BE49-F238E27FC236}">
              <a16:creationId xmlns:a16="http://schemas.microsoft.com/office/drawing/2014/main" id="{00000000-0008-0000-0400-00004C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45" name="Text Box 2">
          <a:extLst>
            <a:ext uri="{FF2B5EF4-FFF2-40B4-BE49-F238E27FC236}">
              <a16:creationId xmlns:a16="http://schemas.microsoft.com/office/drawing/2014/main" id="{00000000-0008-0000-0400-00004D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46" name="Text Box 2">
          <a:extLst>
            <a:ext uri="{FF2B5EF4-FFF2-40B4-BE49-F238E27FC236}">
              <a16:creationId xmlns:a16="http://schemas.microsoft.com/office/drawing/2014/main" id="{00000000-0008-0000-0400-00004E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47" name="Text Box 2">
          <a:extLst>
            <a:ext uri="{FF2B5EF4-FFF2-40B4-BE49-F238E27FC236}">
              <a16:creationId xmlns:a16="http://schemas.microsoft.com/office/drawing/2014/main" id="{00000000-0008-0000-0400-00004F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48" name="Text Box 2">
          <a:extLst>
            <a:ext uri="{FF2B5EF4-FFF2-40B4-BE49-F238E27FC236}">
              <a16:creationId xmlns:a16="http://schemas.microsoft.com/office/drawing/2014/main" id="{00000000-0008-0000-0400-000050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49" name="Text Box 2">
          <a:extLst>
            <a:ext uri="{FF2B5EF4-FFF2-40B4-BE49-F238E27FC236}">
              <a16:creationId xmlns:a16="http://schemas.microsoft.com/office/drawing/2014/main" id="{00000000-0008-0000-0400-000051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50" name="Text Box 2">
          <a:extLst>
            <a:ext uri="{FF2B5EF4-FFF2-40B4-BE49-F238E27FC236}">
              <a16:creationId xmlns:a16="http://schemas.microsoft.com/office/drawing/2014/main" id="{00000000-0008-0000-0400-000052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51" name="Text Box 2">
          <a:extLst>
            <a:ext uri="{FF2B5EF4-FFF2-40B4-BE49-F238E27FC236}">
              <a16:creationId xmlns:a16="http://schemas.microsoft.com/office/drawing/2014/main" id="{00000000-0008-0000-0400-000053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52" name="Text Box 2">
          <a:extLst>
            <a:ext uri="{FF2B5EF4-FFF2-40B4-BE49-F238E27FC236}">
              <a16:creationId xmlns:a16="http://schemas.microsoft.com/office/drawing/2014/main" id="{00000000-0008-0000-0400-000054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53" name="Text Box 2">
          <a:extLst>
            <a:ext uri="{FF2B5EF4-FFF2-40B4-BE49-F238E27FC236}">
              <a16:creationId xmlns:a16="http://schemas.microsoft.com/office/drawing/2014/main" id="{00000000-0008-0000-0400-000055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54" name="Text Box 2">
          <a:extLst>
            <a:ext uri="{FF2B5EF4-FFF2-40B4-BE49-F238E27FC236}">
              <a16:creationId xmlns:a16="http://schemas.microsoft.com/office/drawing/2014/main" id="{00000000-0008-0000-0400-000056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55" name="Text Box 2">
          <a:extLst>
            <a:ext uri="{FF2B5EF4-FFF2-40B4-BE49-F238E27FC236}">
              <a16:creationId xmlns:a16="http://schemas.microsoft.com/office/drawing/2014/main" id="{00000000-0008-0000-0400-000057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56" name="Text Box 2">
          <a:extLst>
            <a:ext uri="{FF2B5EF4-FFF2-40B4-BE49-F238E27FC236}">
              <a16:creationId xmlns:a16="http://schemas.microsoft.com/office/drawing/2014/main" id="{00000000-0008-0000-0400-000058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57" name="Text Box 2">
          <a:extLst>
            <a:ext uri="{FF2B5EF4-FFF2-40B4-BE49-F238E27FC236}">
              <a16:creationId xmlns:a16="http://schemas.microsoft.com/office/drawing/2014/main" id="{00000000-0008-0000-0400-000059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58" name="Text Box 2">
          <a:extLst>
            <a:ext uri="{FF2B5EF4-FFF2-40B4-BE49-F238E27FC236}">
              <a16:creationId xmlns:a16="http://schemas.microsoft.com/office/drawing/2014/main" id="{00000000-0008-0000-0400-00005A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59" name="Text Box 2">
          <a:extLst>
            <a:ext uri="{FF2B5EF4-FFF2-40B4-BE49-F238E27FC236}">
              <a16:creationId xmlns:a16="http://schemas.microsoft.com/office/drawing/2014/main" id="{00000000-0008-0000-0400-00005B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60" name="Text Box 2">
          <a:extLst>
            <a:ext uri="{FF2B5EF4-FFF2-40B4-BE49-F238E27FC236}">
              <a16:creationId xmlns:a16="http://schemas.microsoft.com/office/drawing/2014/main" id="{00000000-0008-0000-0400-00005C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61" name="Text Box 2">
          <a:extLst>
            <a:ext uri="{FF2B5EF4-FFF2-40B4-BE49-F238E27FC236}">
              <a16:creationId xmlns:a16="http://schemas.microsoft.com/office/drawing/2014/main" id="{00000000-0008-0000-0400-00005D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62" name="Text Box 2">
          <a:extLst>
            <a:ext uri="{FF2B5EF4-FFF2-40B4-BE49-F238E27FC236}">
              <a16:creationId xmlns:a16="http://schemas.microsoft.com/office/drawing/2014/main" id="{00000000-0008-0000-0400-00005E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63" name="Text Box 2">
          <a:extLst>
            <a:ext uri="{FF2B5EF4-FFF2-40B4-BE49-F238E27FC236}">
              <a16:creationId xmlns:a16="http://schemas.microsoft.com/office/drawing/2014/main" id="{00000000-0008-0000-0400-00005F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64" name="Text Box 2">
          <a:extLst>
            <a:ext uri="{FF2B5EF4-FFF2-40B4-BE49-F238E27FC236}">
              <a16:creationId xmlns:a16="http://schemas.microsoft.com/office/drawing/2014/main" id="{00000000-0008-0000-0400-000060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65" name="Text Box 2">
          <a:extLst>
            <a:ext uri="{FF2B5EF4-FFF2-40B4-BE49-F238E27FC236}">
              <a16:creationId xmlns:a16="http://schemas.microsoft.com/office/drawing/2014/main" id="{00000000-0008-0000-0400-000061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66" name="Text Box 2">
          <a:extLst>
            <a:ext uri="{FF2B5EF4-FFF2-40B4-BE49-F238E27FC236}">
              <a16:creationId xmlns:a16="http://schemas.microsoft.com/office/drawing/2014/main" id="{00000000-0008-0000-0400-000062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67" name="Text Box 2">
          <a:extLst>
            <a:ext uri="{FF2B5EF4-FFF2-40B4-BE49-F238E27FC236}">
              <a16:creationId xmlns:a16="http://schemas.microsoft.com/office/drawing/2014/main" id="{00000000-0008-0000-0400-000063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68" name="Text Box 2">
          <a:extLst>
            <a:ext uri="{FF2B5EF4-FFF2-40B4-BE49-F238E27FC236}">
              <a16:creationId xmlns:a16="http://schemas.microsoft.com/office/drawing/2014/main" id="{00000000-0008-0000-0400-000064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69" name="Text Box 2">
          <a:extLst>
            <a:ext uri="{FF2B5EF4-FFF2-40B4-BE49-F238E27FC236}">
              <a16:creationId xmlns:a16="http://schemas.microsoft.com/office/drawing/2014/main" id="{00000000-0008-0000-0400-000065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70" name="Text Box 2">
          <a:extLst>
            <a:ext uri="{FF2B5EF4-FFF2-40B4-BE49-F238E27FC236}">
              <a16:creationId xmlns:a16="http://schemas.microsoft.com/office/drawing/2014/main" id="{00000000-0008-0000-0400-000066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71" name="Text Box 2">
          <a:extLst>
            <a:ext uri="{FF2B5EF4-FFF2-40B4-BE49-F238E27FC236}">
              <a16:creationId xmlns:a16="http://schemas.microsoft.com/office/drawing/2014/main" id="{00000000-0008-0000-0400-000067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72" name="Text Box 2">
          <a:extLst>
            <a:ext uri="{FF2B5EF4-FFF2-40B4-BE49-F238E27FC236}">
              <a16:creationId xmlns:a16="http://schemas.microsoft.com/office/drawing/2014/main" id="{00000000-0008-0000-0400-000068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73" name="Text Box 2">
          <a:extLst>
            <a:ext uri="{FF2B5EF4-FFF2-40B4-BE49-F238E27FC236}">
              <a16:creationId xmlns:a16="http://schemas.microsoft.com/office/drawing/2014/main" id="{00000000-0008-0000-0400-000069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74" name="Text Box 2">
          <a:extLst>
            <a:ext uri="{FF2B5EF4-FFF2-40B4-BE49-F238E27FC236}">
              <a16:creationId xmlns:a16="http://schemas.microsoft.com/office/drawing/2014/main" id="{00000000-0008-0000-0400-00006A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75" name="Text Box 2">
          <a:extLst>
            <a:ext uri="{FF2B5EF4-FFF2-40B4-BE49-F238E27FC236}">
              <a16:creationId xmlns:a16="http://schemas.microsoft.com/office/drawing/2014/main" id="{00000000-0008-0000-0400-00006B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76" name="Text Box 2">
          <a:extLst>
            <a:ext uri="{FF2B5EF4-FFF2-40B4-BE49-F238E27FC236}">
              <a16:creationId xmlns:a16="http://schemas.microsoft.com/office/drawing/2014/main" id="{00000000-0008-0000-0400-00006C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77" name="Text Box 2">
          <a:extLst>
            <a:ext uri="{FF2B5EF4-FFF2-40B4-BE49-F238E27FC236}">
              <a16:creationId xmlns:a16="http://schemas.microsoft.com/office/drawing/2014/main" id="{00000000-0008-0000-0400-00006D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78" name="Text Box 2">
          <a:extLst>
            <a:ext uri="{FF2B5EF4-FFF2-40B4-BE49-F238E27FC236}">
              <a16:creationId xmlns:a16="http://schemas.microsoft.com/office/drawing/2014/main" id="{00000000-0008-0000-0400-00006E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79" name="Text Box 2">
          <a:extLst>
            <a:ext uri="{FF2B5EF4-FFF2-40B4-BE49-F238E27FC236}">
              <a16:creationId xmlns:a16="http://schemas.microsoft.com/office/drawing/2014/main" id="{00000000-0008-0000-0400-00006F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80" name="Text Box 2">
          <a:extLst>
            <a:ext uri="{FF2B5EF4-FFF2-40B4-BE49-F238E27FC236}">
              <a16:creationId xmlns:a16="http://schemas.microsoft.com/office/drawing/2014/main" id="{00000000-0008-0000-0400-000070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81" name="Text Box 2">
          <a:extLst>
            <a:ext uri="{FF2B5EF4-FFF2-40B4-BE49-F238E27FC236}">
              <a16:creationId xmlns:a16="http://schemas.microsoft.com/office/drawing/2014/main" id="{00000000-0008-0000-0400-000071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82" name="Text Box 2">
          <a:extLst>
            <a:ext uri="{FF2B5EF4-FFF2-40B4-BE49-F238E27FC236}">
              <a16:creationId xmlns:a16="http://schemas.microsoft.com/office/drawing/2014/main" id="{00000000-0008-0000-0400-000072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83" name="Text Box 2">
          <a:extLst>
            <a:ext uri="{FF2B5EF4-FFF2-40B4-BE49-F238E27FC236}">
              <a16:creationId xmlns:a16="http://schemas.microsoft.com/office/drawing/2014/main" id="{00000000-0008-0000-0400-000073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84" name="Text Box 2">
          <a:extLst>
            <a:ext uri="{FF2B5EF4-FFF2-40B4-BE49-F238E27FC236}">
              <a16:creationId xmlns:a16="http://schemas.microsoft.com/office/drawing/2014/main" id="{00000000-0008-0000-0400-000074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85" name="Text Box 2">
          <a:extLst>
            <a:ext uri="{FF2B5EF4-FFF2-40B4-BE49-F238E27FC236}">
              <a16:creationId xmlns:a16="http://schemas.microsoft.com/office/drawing/2014/main" id="{00000000-0008-0000-0400-000075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86" name="Text Box 2">
          <a:extLst>
            <a:ext uri="{FF2B5EF4-FFF2-40B4-BE49-F238E27FC236}">
              <a16:creationId xmlns:a16="http://schemas.microsoft.com/office/drawing/2014/main" id="{00000000-0008-0000-0400-000076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87" name="Text Box 2">
          <a:extLst>
            <a:ext uri="{FF2B5EF4-FFF2-40B4-BE49-F238E27FC236}">
              <a16:creationId xmlns:a16="http://schemas.microsoft.com/office/drawing/2014/main" id="{00000000-0008-0000-0400-000077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88" name="Text Box 2">
          <a:extLst>
            <a:ext uri="{FF2B5EF4-FFF2-40B4-BE49-F238E27FC236}">
              <a16:creationId xmlns:a16="http://schemas.microsoft.com/office/drawing/2014/main" id="{00000000-0008-0000-0400-000078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89" name="Text Box 2">
          <a:extLst>
            <a:ext uri="{FF2B5EF4-FFF2-40B4-BE49-F238E27FC236}">
              <a16:creationId xmlns:a16="http://schemas.microsoft.com/office/drawing/2014/main" id="{00000000-0008-0000-0400-000079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90" name="Text Box 2">
          <a:extLst>
            <a:ext uri="{FF2B5EF4-FFF2-40B4-BE49-F238E27FC236}">
              <a16:creationId xmlns:a16="http://schemas.microsoft.com/office/drawing/2014/main" id="{00000000-0008-0000-0400-00007A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91" name="Text Box 2">
          <a:extLst>
            <a:ext uri="{FF2B5EF4-FFF2-40B4-BE49-F238E27FC236}">
              <a16:creationId xmlns:a16="http://schemas.microsoft.com/office/drawing/2014/main" id="{00000000-0008-0000-0400-00007B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92" name="Text Box 2">
          <a:extLst>
            <a:ext uri="{FF2B5EF4-FFF2-40B4-BE49-F238E27FC236}">
              <a16:creationId xmlns:a16="http://schemas.microsoft.com/office/drawing/2014/main" id="{00000000-0008-0000-0400-00007C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93" name="Text Box 2">
          <a:extLst>
            <a:ext uri="{FF2B5EF4-FFF2-40B4-BE49-F238E27FC236}">
              <a16:creationId xmlns:a16="http://schemas.microsoft.com/office/drawing/2014/main" id="{00000000-0008-0000-0400-00007D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94" name="Text Box 2">
          <a:extLst>
            <a:ext uri="{FF2B5EF4-FFF2-40B4-BE49-F238E27FC236}">
              <a16:creationId xmlns:a16="http://schemas.microsoft.com/office/drawing/2014/main" id="{00000000-0008-0000-0400-00007E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95" name="Text Box 2">
          <a:extLst>
            <a:ext uri="{FF2B5EF4-FFF2-40B4-BE49-F238E27FC236}">
              <a16:creationId xmlns:a16="http://schemas.microsoft.com/office/drawing/2014/main" id="{00000000-0008-0000-0400-00007F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96" name="Text Box 2">
          <a:extLst>
            <a:ext uri="{FF2B5EF4-FFF2-40B4-BE49-F238E27FC236}">
              <a16:creationId xmlns:a16="http://schemas.microsoft.com/office/drawing/2014/main" id="{00000000-0008-0000-0400-000080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97" name="Text Box 2">
          <a:extLst>
            <a:ext uri="{FF2B5EF4-FFF2-40B4-BE49-F238E27FC236}">
              <a16:creationId xmlns:a16="http://schemas.microsoft.com/office/drawing/2014/main" id="{00000000-0008-0000-0400-000081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98" name="Text Box 2">
          <a:extLst>
            <a:ext uri="{FF2B5EF4-FFF2-40B4-BE49-F238E27FC236}">
              <a16:creationId xmlns:a16="http://schemas.microsoft.com/office/drawing/2014/main" id="{00000000-0008-0000-0400-000082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899" name="Text Box 2">
          <a:extLst>
            <a:ext uri="{FF2B5EF4-FFF2-40B4-BE49-F238E27FC236}">
              <a16:creationId xmlns:a16="http://schemas.microsoft.com/office/drawing/2014/main" id="{00000000-0008-0000-0400-000083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00" name="Text Box 2">
          <a:extLst>
            <a:ext uri="{FF2B5EF4-FFF2-40B4-BE49-F238E27FC236}">
              <a16:creationId xmlns:a16="http://schemas.microsoft.com/office/drawing/2014/main" id="{00000000-0008-0000-0400-000084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01" name="Text Box 2">
          <a:extLst>
            <a:ext uri="{FF2B5EF4-FFF2-40B4-BE49-F238E27FC236}">
              <a16:creationId xmlns:a16="http://schemas.microsoft.com/office/drawing/2014/main" id="{00000000-0008-0000-0400-000085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02" name="Text Box 2">
          <a:extLst>
            <a:ext uri="{FF2B5EF4-FFF2-40B4-BE49-F238E27FC236}">
              <a16:creationId xmlns:a16="http://schemas.microsoft.com/office/drawing/2014/main" id="{00000000-0008-0000-0400-000086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03" name="Text Box 2">
          <a:extLst>
            <a:ext uri="{FF2B5EF4-FFF2-40B4-BE49-F238E27FC236}">
              <a16:creationId xmlns:a16="http://schemas.microsoft.com/office/drawing/2014/main" id="{00000000-0008-0000-0400-000087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04" name="Text Box 2">
          <a:extLst>
            <a:ext uri="{FF2B5EF4-FFF2-40B4-BE49-F238E27FC236}">
              <a16:creationId xmlns:a16="http://schemas.microsoft.com/office/drawing/2014/main" id="{00000000-0008-0000-0400-000088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05" name="Text Box 2">
          <a:extLst>
            <a:ext uri="{FF2B5EF4-FFF2-40B4-BE49-F238E27FC236}">
              <a16:creationId xmlns:a16="http://schemas.microsoft.com/office/drawing/2014/main" id="{00000000-0008-0000-0400-000089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06" name="Text Box 2">
          <a:extLst>
            <a:ext uri="{FF2B5EF4-FFF2-40B4-BE49-F238E27FC236}">
              <a16:creationId xmlns:a16="http://schemas.microsoft.com/office/drawing/2014/main" id="{00000000-0008-0000-0400-00008A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07" name="Text Box 2">
          <a:extLst>
            <a:ext uri="{FF2B5EF4-FFF2-40B4-BE49-F238E27FC236}">
              <a16:creationId xmlns:a16="http://schemas.microsoft.com/office/drawing/2014/main" id="{00000000-0008-0000-0400-00008B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08" name="Text Box 2">
          <a:extLst>
            <a:ext uri="{FF2B5EF4-FFF2-40B4-BE49-F238E27FC236}">
              <a16:creationId xmlns:a16="http://schemas.microsoft.com/office/drawing/2014/main" id="{00000000-0008-0000-0400-00008C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09" name="Text Box 2">
          <a:extLst>
            <a:ext uri="{FF2B5EF4-FFF2-40B4-BE49-F238E27FC236}">
              <a16:creationId xmlns:a16="http://schemas.microsoft.com/office/drawing/2014/main" id="{00000000-0008-0000-0400-00008D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10" name="Text Box 2">
          <a:extLst>
            <a:ext uri="{FF2B5EF4-FFF2-40B4-BE49-F238E27FC236}">
              <a16:creationId xmlns:a16="http://schemas.microsoft.com/office/drawing/2014/main" id="{00000000-0008-0000-0400-00008E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11" name="Text Box 2">
          <a:extLst>
            <a:ext uri="{FF2B5EF4-FFF2-40B4-BE49-F238E27FC236}">
              <a16:creationId xmlns:a16="http://schemas.microsoft.com/office/drawing/2014/main" id="{00000000-0008-0000-0400-00008F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12" name="Text Box 2">
          <a:extLst>
            <a:ext uri="{FF2B5EF4-FFF2-40B4-BE49-F238E27FC236}">
              <a16:creationId xmlns:a16="http://schemas.microsoft.com/office/drawing/2014/main" id="{00000000-0008-0000-0400-000090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13" name="Text Box 2">
          <a:extLst>
            <a:ext uri="{FF2B5EF4-FFF2-40B4-BE49-F238E27FC236}">
              <a16:creationId xmlns:a16="http://schemas.microsoft.com/office/drawing/2014/main" id="{00000000-0008-0000-0400-000091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14" name="Text Box 2">
          <a:extLst>
            <a:ext uri="{FF2B5EF4-FFF2-40B4-BE49-F238E27FC236}">
              <a16:creationId xmlns:a16="http://schemas.microsoft.com/office/drawing/2014/main" id="{00000000-0008-0000-0400-000092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15" name="Text Box 2">
          <a:extLst>
            <a:ext uri="{FF2B5EF4-FFF2-40B4-BE49-F238E27FC236}">
              <a16:creationId xmlns:a16="http://schemas.microsoft.com/office/drawing/2014/main" id="{00000000-0008-0000-0400-000093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16" name="Text Box 2">
          <a:extLst>
            <a:ext uri="{FF2B5EF4-FFF2-40B4-BE49-F238E27FC236}">
              <a16:creationId xmlns:a16="http://schemas.microsoft.com/office/drawing/2014/main" id="{00000000-0008-0000-0400-000094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17" name="Text Box 2">
          <a:extLst>
            <a:ext uri="{FF2B5EF4-FFF2-40B4-BE49-F238E27FC236}">
              <a16:creationId xmlns:a16="http://schemas.microsoft.com/office/drawing/2014/main" id="{00000000-0008-0000-0400-000095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18" name="Text Box 2">
          <a:extLst>
            <a:ext uri="{FF2B5EF4-FFF2-40B4-BE49-F238E27FC236}">
              <a16:creationId xmlns:a16="http://schemas.microsoft.com/office/drawing/2014/main" id="{00000000-0008-0000-0400-000096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19" name="Text Box 2">
          <a:extLst>
            <a:ext uri="{FF2B5EF4-FFF2-40B4-BE49-F238E27FC236}">
              <a16:creationId xmlns:a16="http://schemas.microsoft.com/office/drawing/2014/main" id="{00000000-0008-0000-0400-000097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20" name="Text Box 2">
          <a:extLst>
            <a:ext uri="{FF2B5EF4-FFF2-40B4-BE49-F238E27FC236}">
              <a16:creationId xmlns:a16="http://schemas.microsoft.com/office/drawing/2014/main" id="{00000000-0008-0000-0400-000098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21" name="Text Box 2">
          <a:extLst>
            <a:ext uri="{FF2B5EF4-FFF2-40B4-BE49-F238E27FC236}">
              <a16:creationId xmlns:a16="http://schemas.microsoft.com/office/drawing/2014/main" id="{00000000-0008-0000-0400-000099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22" name="Text Box 2">
          <a:extLst>
            <a:ext uri="{FF2B5EF4-FFF2-40B4-BE49-F238E27FC236}">
              <a16:creationId xmlns:a16="http://schemas.microsoft.com/office/drawing/2014/main" id="{00000000-0008-0000-0400-00009A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23" name="Text Box 2">
          <a:extLst>
            <a:ext uri="{FF2B5EF4-FFF2-40B4-BE49-F238E27FC236}">
              <a16:creationId xmlns:a16="http://schemas.microsoft.com/office/drawing/2014/main" id="{00000000-0008-0000-0400-00009B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24" name="Text Box 2">
          <a:extLst>
            <a:ext uri="{FF2B5EF4-FFF2-40B4-BE49-F238E27FC236}">
              <a16:creationId xmlns:a16="http://schemas.microsoft.com/office/drawing/2014/main" id="{00000000-0008-0000-0400-00009C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25" name="Text Box 2">
          <a:extLst>
            <a:ext uri="{FF2B5EF4-FFF2-40B4-BE49-F238E27FC236}">
              <a16:creationId xmlns:a16="http://schemas.microsoft.com/office/drawing/2014/main" id="{00000000-0008-0000-0400-00009D03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26" name="Text Box 2">
          <a:extLst>
            <a:ext uri="{FF2B5EF4-FFF2-40B4-BE49-F238E27FC236}">
              <a16:creationId xmlns:a16="http://schemas.microsoft.com/office/drawing/2014/main" id="{00000000-0008-0000-0400-00009E03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27" name="Text Box 2">
          <a:extLst>
            <a:ext uri="{FF2B5EF4-FFF2-40B4-BE49-F238E27FC236}">
              <a16:creationId xmlns:a16="http://schemas.microsoft.com/office/drawing/2014/main" id="{00000000-0008-0000-0400-00009F03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28" name="Text Box 2">
          <a:extLst>
            <a:ext uri="{FF2B5EF4-FFF2-40B4-BE49-F238E27FC236}">
              <a16:creationId xmlns:a16="http://schemas.microsoft.com/office/drawing/2014/main" id="{00000000-0008-0000-0400-0000A003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29" name="Text Box 2">
          <a:extLst>
            <a:ext uri="{FF2B5EF4-FFF2-40B4-BE49-F238E27FC236}">
              <a16:creationId xmlns:a16="http://schemas.microsoft.com/office/drawing/2014/main" id="{00000000-0008-0000-0400-0000A103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30" name="Text Box 2">
          <a:extLst>
            <a:ext uri="{FF2B5EF4-FFF2-40B4-BE49-F238E27FC236}">
              <a16:creationId xmlns:a16="http://schemas.microsoft.com/office/drawing/2014/main" id="{00000000-0008-0000-0400-0000A203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31" name="Text Box 2">
          <a:extLst>
            <a:ext uri="{FF2B5EF4-FFF2-40B4-BE49-F238E27FC236}">
              <a16:creationId xmlns:a16="http://schemas.microsoft.com/office/drawing/2014/main" id="{00000000-0008-0000-0400-0000A303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32" name="Text Box 2">
          <a:extLst>
            <a:ext uri="{FF2B5EF4-FFF2-40B4-BE49-F238E27FC236}">
              <a16:creationId xmlns:a16="http://schemas.microsoft.com/office/drawing/2014/main" id="{00000000-0008-0000-0400-0000A403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33" name="Text Box 2">
          <a:extLst>
            <a:ext uri="{FF2B5EF4-FFF2-40B4-BE49-F238E27FC236}">
              <a16:creationId xmlns:a16="http://schemas.microsoft.com/office/drawing/2014/main" id="{00000000-0008-0000-0400-0000A503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34" name="Text Box 2">
          <a:extLst>
            <a:ext uri="{FF2B5EF4-FFF2-40B4-BE49-F238E27FC236}">
              <a16:creationId xmlns:a16="http://schemas.microsoft.com/office/drawing/2014/main" id="{00000000-0008-0000-0400-0000A603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35" name="Text Box 2">
          <a:extLst>
            <a:ext uri="{FF2B5EF4-FFF2-40B4-BE49-F238E27FC236}">
              <a16:creationId xmlns:a16="http://schemas.microsoft.com/office/drawing/2014/main" id="{00000000-0008-0000-0400-0000A703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936" name="Text Box 2">
          <a:extLst>
            <a:ext uri="{FF2B5EF4-FFF2-40B4-BE49-F238E27FC236}">
              <a16:creationId xmlns:a16="http://schemas.microsoft.com/office/drawing/2014/main" id="{00000000-0008-0000-0400-0000A803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37" name="Text Box 2">
          <a:extLst>
            <a:ext uri="{FF2B5EF4-FFF2-40B4-BE49-F238E27FC236}">
              <a16:creationId xmlns:a16="http://schemas.microsoft.com/office/drawing/2014/main" id="{00000000-0008-0000-0400-0000A9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38" name="Text Box 2">
          <a:extLst>
            <a:ext uri="{FF2B5EF4-FFF2-40B4-BE49-F238E27FC236}">
              <a16:creationId xmlns:a16="http://schemas.microsoft.com/office/drawing/2014/main" id="{00000000-0008-0000-0400-0000AA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39" name="Text Box 2">
          <a:extLst>
            <a:ext uri="{FF2B5EF4-FFF2-40B4-BE49-F238E27FC236}">
              <a16:creationId xmlns:a16="http://schemas.microsoft.com/office/drawing/2014/main" id="{00000000-0008-0000-0400-0000AB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40" name="Text Box 2">
          <a:extLst>
            <a:ext uri="{FF2B5EF4-FFF2-40B4-BE49-F238E27FC236}">
              <a16:creationId xmlns:a16="http://schemas.microsoft.com/office/drawing/2014/main" id="{00000000-0008-0000-0400-0000AC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41" name="Text Box 2">
          <a:extLst>
            <a:ext uri="{FF2B5EF4-FFF2-40B4-BE49-F238E27FC236}">
              <a16:creationId xmlns:a16="http://schemas.microsoft.com/office/drawing/2014/main" id="{00000000-0008-0000-0400-0000AD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42" name="Text Box 2">
          <a:extLst>
            <a:ext uri="{FF2B5EF4-FFF2-40B4-BE49-F238E27FC236}">
              <a16:creationId xmlns:a16="http://schemas.microsoft.com/office/drawing/2014/main" id="{00000000-0008-0000-0400-0000AE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43" name="Text Box 2">
          <a:extLst>
            <a:ext uri="{FF2B5EF4-FFF2-40B4-BE49-F238E27FC236}">
              <a16:creationId xmlns:a16="http://schemas.microsoft.com/office/drawing/2014/main" id="{00000000-0008-0000-0400-0000AF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44" name="Text Box 2">
          <a:extLst>
            <a:ext uri="{FF2B5EF4-FFF2-40B4-BE49-F238E27FC236}">
              <a16:creationId xmlns:a16="http://schemas.microsoft.com/office/drawing/2014/main" id="{00000000-0008-0000-0400-0000B0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45" name="Text Box 2">
          <a:extLst>
            <a:ext uri="{FF2B5EF4-FFF2-40B4-BE49-F238E27FC236}">
              <a16:creationId xmlns:a16="http://schemas.microsoft.com/office/drawing/2014/main" id="{00000000-0008-0000-0400-0000B1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46" name="Text Box 2">
          <a:extLst>
            <a:ext uri="{FF2B5EF4-FFF2-40B4-BE49-F238E27FC236}">
              <a16:creationId xmlns:a16="http://schemas.microsoft.com/office/drawing/2014/main" id="{00000000-0008-0000-0400-0000B2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47" name="Text Box 2">
          <a:extLst>
            <a:ext uri="{FF2B5EF4-FFF2-40B4-BE49-F238E27FC236}">
              <a16:creationId xmlns:a16="http://schemas.microsoft.com/office/drawing/2014/main" id="{00000000-0008-0000-0400-0000B3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48" name="Text Box 2">
          <a:extLst>
            <a:ext uri="{FF2B5EF4-FFF2-40B4-BE49-F238E27FC236}">
              <a16:creationId xmlns:a16="http://schemas.microsoft.com/office/drawing/2014/main" id="{00000000-0008-0000-0400-0000B4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49" name="Text Box 2">
          <a:extLst>
            <a:ext uri="{FF2B5EF4-FFF2-40B4-BE49-F238E27FC236}">
              <a16:creationId xmlns:a16="http://schemas.microsoft.com/office/drawing/2014/main" id="{00000000-0008-0000-0400-0000B5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50" name="Text Box 2">
          <a:extLst>
            <a:ext uri="{FF2B5EF4-FFF2-40B4-BE49-F238E27FC236}">
              <a16:creationId xmlns:a16="http://schemas.microsoft.com/office/drawing/2014/main" id="{00000000-0008-0000-0400-0000B6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51" name="Text Box 2">
          <a:extLst>
            <a:ext uri="{FF2B5EF4-FFF2-40B4-BE49-F238E27FC236}">
              <a16:creationId xmlns:a16="http://schemas.microsoft.com/office/drawing/2014/main" id="{00000000-0008-0000-0400-0000B7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52" name="Text Box 2">
          <a:extLst>
            <a:ext uri="{FF2B5EF4-FFF2-40B4-BE49-F238E27FC236}">
              <a16:creationId xmlns:a16="http://schemas.microsoft.com/office/drawing/2014/main" id="{00000000-0008-0000-0400-0000B8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53" name="Text Box 2">
          <a:extLst>
            <a:ext uri="{FF2B5EF4-FFF2-40B4-BE49-F238E27FC236}">
              <a16:creationId xmlns:a16="http://schemas.microsoft.com/office/drawing/2014/main" id="{00000000-0008-0000-0400-0000B9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54" name="Text Box 2">
          <a:extLst>
            <a:ext uri="{FF2B5EF4-FFF2-40B4-BE49-F238E27FC236}">
              <a16:creationId xmlns:a16="http://schemas.microsoft.com/office/drawing/2014/main" id="{00000000-0008-0000-0400-0000BA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55" name="Text Box 2">
          <a:extLst>
            <a:ext uri="{FF2B5EF4-FFF2-40B4-BE49-F238E27FC236}">
              <a16:creationId xmlns:a16="http://schemas.microsoft.com/office/drawing/2014/main" id="{00000000-0008-0000-0400-0000BB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56" name="Text Box 2">
          <a:extLst>
            <a:ext uri="{FF2B5EF4-FFF2-40B4-BE49-F238E27FC236}">
              <a16:creationId xmlns:a16="http://schemas.microsoft.com/office/drawing/2014/main" id="{00000000-0008-0000-0400-0000BC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57" name="Text Box 2">
          <a:extLst>
            <a:ext uri="{FF2B5EF4-FFF2-40B4-BE49-F238E27FC236}">
              <a16:creationId xmlns:a16="http://schemas.microsoft.com/office/drawing/2014/main" id="{00000000-0008-0000-0400-0000BD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58" name="Text Box 2">
          <a:extLst>
            <a:ext uri="{FF2B5EF4-FFF2-40B4-BE49-F238E27FC236}">
              <a16:creationId xmlns:a16="http://schemas.microsoft.com/office/drawing/2014/main" id="{00000000-0008-0000-0400-0000BE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59" name="Text Box 2">
          <a:extLst>
            <a:ext uri="{FF2B5EF4-FFF2-40B4-BE49-F238E27FC236}">
              <a16:creationId xmlns:a16="http://schemas.microsoft.com/office/drawing/2014/main" id="{00000000-0008-0000-0400-0000BF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60" name="Text Box 2">
          <a:extLst>
            <a:ext uri="{FF2B5EF4-FFF2-40B4-BE49-F238E27FC236}">
              <a16:creationId xmlns:a16="http://schemas.microsoft.com/office/drawing/2014/main" id="{00000000-0008-0000-0400-0000C0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61" name="Text Box 2">
          <a:extLst>
            <a:ext uri="{FF2B5EF4-FFF2-40B4-BE49-F238E27FC236}">
              <a16:creationId xmlns:a16="http://schemas.microsoft.com/office/drawing/2014/main" id="{00000000-0008-0000-0400-0000C1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62" name="Text Box 2">
          <a:extLst>
            <a:ext uri="{FF2B5EF4-FFF2-40B4-BE49-F238E27FC236}">
              <a16:creationId xmlns:a16="http://schemas.microsoft.com/office/drawing/2014/main" id="{00000000-0008-0000-0400-0000C2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63" name="Text Box 2">
          <a:extLst>
            <a:ext uri="{FF2B5EF4-FFF2-40B4-BE49-F238E27FC236}">
              <a16:creationId xmlns:a16="http://schemas.microsoft.com/office/drawing/2014/main" id="{00000000-0008-0000-0400-0000C3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64" name="Text Box 2">
          <a:extLst>
            <a:ext uri="{FF2B5EF4-FFF2-40B4-BE49-F238E27FC236}">
              <a16:creationId xmlns:a16="http://schemas.microsoft.com/office/drawing/2014/main" id="{00000000-0008-0000-0400-0000C4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65" name="Text Box 2">
          <a:extLst>
            <a:ext uri="{FF2B5EF4-FFF2-40B4-BE49-F238E27FC236}">
              <a16:creationId xmlns:a16="http://schemas.microsoft.com/office/drawing/2014/main" id="{00000000-0008-0000-0400-0000C5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66" name="Text Box 2">
          <a:extLst>
            <a:ext uri="{FF2B5EF4-FFF2-40B4-BE49-F238E27FC236}">
              <a16:creationId xmlns:a16="http://schemas.microsoft.com/office/drawing/2014/main" id="{00000000-0008-0000-0400-0000C6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67" name="Text Box 2">
          <a:extLst>
            <a:ext uri="{FF2B5EF4-FFF2-40B4-BE49-F238E27FC236}">
              <a16:creationId xmlns:a16="http://schemas.microsoft.com/office/drawing/2014/main" id="{00000000-0008-0000-0400-0000C7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68" name="Text Box 2">
          <a:extLst>
            <a:ext uri="{FF2B5EF4-FFF2-40B4-BE49-F238E27FC236}">
              <a16:creationId xmlns:a16="http://schemas.microsoft.com/office/drawing/2014/main" id="{00000000-0008-0000-0400-0000C8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69" name="Text Box 2">
          <a:extLst>
            <a:ext uri="{FF2B5EF4-FFF2-40B4-BE49-F238E27FC236}">
              <a16:creationId xmlns:a16="http://schemas.microsoft.com/office/drawing/2014/main" id="{00000000-0008-0000-0400-0000C9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70" name="Text Box 2">
          <a:extLst>
            <a:ext uri="{FF2B5EF4-FFF2-40B4-BE49-F238E27FC236}">
              <a16:creationId xmlns:a16="http://schemas.microsoft.com/office/drawing/2014/main" id="{00000000-0008-0000-0400-0000CA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71" name="Text Box 2">
          <a:extLst>
            <a:ext uri="{FF2B5EF4-FFF2-40B4-BE49-F238E27FC236}">
              <a16:creationId xmlns:a16="http://schemas.microsoft.com/office/drawing/2014/main" id="{00000000-0008-0000-0400-0000CB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72" name="Text Box 2">
          <a:extLst>
            <a:ext uri="{FF2B5EF4-FFF2-40B4-BE49-F238E27FC236}">
              <a16:creationId xmlns:a16="http://schemas.microsoft.com/office/drawing/2014/main" id="{00000000-0008-0000-0400-0000CC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73" name="Text Box 2">
          <a:extLst>
            <a:ext uri="{FF2B5EF4-FFF2-40B4-BE49-F238E27FC236}">
              <a16:creationId xmlns:a16="http://schemas.microsoft.com/office/drawing/2014/main" id="{00000000-0008-0000-0400-0000CD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74" name="Text Box 2">
          <a:extLst>
            <a:ext uri="{FF2B5EF4-FFF2-40B4-BE49-F238E27FC236}">
              <a16:creationId xmlns:a16="http://schemas.microsoft.com/office/drawing/2014/main" id="{00000000-0008-0000-0400-0000CE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75" name="Text Box 2">
          <a:extLst>
            <a:ext uri="{FF2B5EF4-FFF2-40B4-BE49-F238E27FC236}">
              <a16:creationId xmlns:a16="http://schemas.microsoft.com/office/drawing/2014/main" id="{00000000-0008-0000-0400-0000CF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76" name="Text Box 2">
          <a:extLst>
            <a:ext uri="{FF2B5EF4-FFF2-40B4-BE49-F238E27FC236}">
              <a16:creationId xmlns:a16="http://schemas.microsoft.com/office/drawing/2014/main" id="{00000000-0008-0000-0400-0000D0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77" name="Text Box 2">
          <a:extLst>
            <a:ext uri="{FF2B5EF4-FFF2-40B4-BE49-F238E27FC236}">
              <a16:creationId xmlns:a16="http://schemas.microsoft.com/office/drawing/2014/main" id="{00000000-0008-0000-0400-0000D1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78" name="Text Box 2">
          <a:extLst>
            <a:ext uri="{FF2B5EF4-FFF2-40B4-BE49-F238E27FC236}">
              <a16:creationId xmlns:a16="http://schemas.microsoft.com/office/drawing/2014/main" id="{00000000-0008-0000-0400-0000D2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79" name="Text Box 2">
          <a:extLst>
            <a:ext uri="{FF2B5EF4-FFF2-40B4-BE49-F238E27FC236}">
              <a16:creationId xmlns:a16="http://schemas.microsoft.com/office/drawing/2014/main" id="{00000000-0008-0000-0400-0000D3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80" name="Text Box 2">
          <a:extLst>
            <a:ext uri="{FF2B5EF4-FFF2-40B4-BE49-F238E27FC236}">
              <a16:creationId xmlns:a16="http://schemas.microsoft.com/office/drawing/2014/main" id="{00000000-0008-0000-0400-0000D4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81" name="Text Box 2">
          <a:extLst>
            <a:ext uri="{FF2B5EF4-FFF2-40B4-BE49-F238E27FC236}">
              <a16:creationId xmlns:a16="http://schemas.microsoft.com/office/drawing/2014/main" id="{00000000-0008-0000-0400-0000D5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82" name="Text Box 2">
          <a:extLst>
            <a:ext uri="{FF2B5EF4-FFF2-40B4-BE49-F238E27FC236}">
              <a16:creationId xmlns:a16="http://schemas.microsoft.com/office/drawing/2014/main" id="{00000000-0008-0000-0400-0000D6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83" name="Text Box 2">
          <a:extLst>
            <a:ext uri="{FF2B5EF4-FFF2-40B4-BE49-F238E27FC236}">
              <a16:creationId xmlns:a16="http://schemas.microsoft.com/office/drawing/2014/main" id="{00000000-0008-0000-0400-0000D7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84" name="Text Box 2">
          <a:extLst>
            <a:ext uri="{FF2B5EF4-FFF2-40B4-BE49-F238E27FC236}">
              <a16:creationId xmlns:a16="http://schemas.microsoft.com/office/drawing/2014/main" id="{00000000-0008-0000-0400-0000D8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85" name="Text Box 2">
          <a:extLst>
            <a:ext uri="{FF2B5EF4-FFF2-40B4-BE49-F238E27FC236}">
              <a16:creationId xmlns:a16="http://schemas.microsoft.com/office/drawing/2014/main" id="{00000000-0008-0000-0400-0000D9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86" name="Text Box 2">
          <a:extLst>
            <a:ext uri="{FF2B5EF4-FFF2-40B4-BE49-F238E27FC236}">
              <a16:creationId xmlns:a16="http://schemas.microsoft.com/office/drawing/2014/main" id="{00000000-0008-0000-0400-0000DA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87" name="Text Box 2">
          <a:extLst>
            <a:ext uri="{FF2B5EF4-FFF2-40B4-BE49-F238E27FC236}">
              <a16:creationId xmlns:a16="http://schemas.microsoft.com/office/drawing/2014/main" id="{00000000-0008-0000-0400-0000DB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88" name="Text Box 2">
          <a:extLst>
            <a:ext uri="{FF2B5EF4-FFF2-40B4-BE49-F238E27FC236}">
              <a16:creationId xmlns:a16="http://schemas.microsoft.com/office/drawing/2014/main" id="{00000000-0008-0000-0400-0000DC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89" name="Text Box 2">
          <a:extLst>
            <a:ext uri="{FF2B5EF4-FFF2-40B4-BE49-F238E27FC236}">
              <a16:creationId xmlns:a16="http://schemas.microsoft.com/office/drawing/2014/main" id="{00000000-0008-0000-0400-0000DD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90" name="Text Box 2">
          <a:extLst>
            <a:ext uri="{FF2B5EF4-FFF2-40B4-BE49-F238E27FC236}">
              <a16:creationId xmlns:a16="http://schemas.microsoft.com/office/drawing/2014/main" id="{00000000-0008-0000-0400-0000DE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91" name="Text Box 2">
          <a:extLst>
            <a:ext uri="{FF2B5EF4-FFF2-40B4-BE49-F238E27FC236}">
              <a16:creationId xmlns:a16="http://schemas.microsoft.com/office/drawing/2014/main" id="{00000000-0008-0000-0400-0000DF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92" name="Text Box 2">
          <a:extLst>
            <a:ext uri="{FF2B5EF4-FFF2-40B4-BE49-F238E27FC236}">
              <a16:creationId xmlns:a16="http://schemas.microsoft.com/office/drawing/2014/main" id="{00000000-0008-0000-0400-0000E0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93" name="Text Box 2">
          <a:extLst>
            <a:ext uri="{FF2B5EF4-FFF2-40B4-BE49-F238E27FC236}">
              <a16:creationId xmlns:a16="http://schemas.microsoft.com/office/drawing/2014/main" id="{00000000-0008-0000-0400-0000E1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94" name="Text Box 2">
          <a:extLst>
            <a:ext uri="{FF2B5EF4-FFF2-40B4-BE49-F238E27FC236}">
              <a16:creationId xmlns:a16="http://schemas.microsoft.com/office/drawing/2014/main" id="{00000000-0008-0000-0400-0000E2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95" name="Text Box 2">
          <a:extLst>
            <a:ext uri="{FF2B5EF4-FFF2-40B4-BE49-F238E27FC236}">
              <a16:creationId xmlns:a16="http://schemas.microsoft.com/office/drawing/2014/main" id="{00000000-0008-0000-0400-0000E3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96" name="Text Box 2">
          <a:extLst>
            <a:ext uri="{FF2B5EF4-FFF2-40B4-BE49-F238E27FC236}">
              <a16:creationId xmlns:a16="http://schemas.microsoft.com/office/drawing/2014/main" id="{00000000-0008-0000-0400-0000E4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97" name="Text Box 2">
          <a:extLst>
            <a:ext uri="{FF2B5EF4-FFF2-40B4-BE49-F238E27FC236}">
              <a16:creationId xmlns:a16="http://schemas.microsoft.com/office/drawing/2014/main" id="{00000000-0008-0000-0400-0000E5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98" name="Text Box 2">
          <a:extLst>
            <a:ext uri="{FF2B5EF4-FFF2-40B4-BE49-F238E27FC236}">
              <a16:creationId xmlns:a16="http://schemas.microsoft.com/office/drawing/2014/main" id="{00000000-0008-0000-0400-0000E6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999" name="Text Box 2">
          <a:extLst>
            <a:ext uri="{FF2B5EF4-FFF2-40B4-BE49-F238E27FC236}">
              <a16:creationId xmlns:a16="http://schemas.microsoft.com/office/drawing/2014/main" id="{00000000-0008-0000-0400-0000E7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00" name="Text Box 2">
          <a:extLst>
            <a:ext uri="{FF2B5EF4-FFF2-40B4-BE49-F238E27FC236}">
              <a16:creationId xmlns:a16="http://schemas.microsoft.com/office/drawing/2014/main" id="{00000000-0008-0000-0400-0000E8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01" name="Text Box 2">
          <a:extLst>
            <a:ext uri="{FF2B5EF4-FFF2-40B4-BE49-F238E27FC236}">
              <a16:creationId xmlns:a16="http://schemas.microsoft.com/office/drawing/2014/main" id="{00000000-0008-0000-0400-0000E9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02" name="Text Box 2">
          <a:extLst>
            <a:ext uri="{FF2B5EF4-FFF2-40B4-BE49-F238E27FC236}">
              <a16:creationId xmlns:a16="http://schemas.microsoft.com/office/drawing/2014/main" id="{00000000-0008-0000-0400-0000EA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03" name="Text Box 2">
          <a:extLst>
            <a:ext uri="{FF2B5EF4-FFF2-40B4-BE49-F238E27FC236}">
              <a16:creationId xmlns:a16="http://schemas.microsoft.com/office/drawing/2014/main" id="{00000000-0008-0000-0400-0000EB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04" name="Text Box 2">
          <a:extLst>
            <a:ext uri="{FF2B5EF4-FFF2-40B4-BE49-F238E27FC236}">
              <a16:creationId xmlns:a16="http://schemas.microsoft.com/office/drawing/2014/main" id="{00000000-0008-0000-0400-0000EC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05" name="Text Box 2">
          <a:extLst>
            <a:ext uri="{FF2B5EF4-FFF2-40B4-BE49-F238E27FC236}">
              <a16:creationId xmlns:a16="http://schemas.microsoft.com/office/drawing/2014/main" id="{00000000-0008-0000-0400-0000ED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06" name="Text Box 2">
          <a:extLst>
            <a:ext uri="{FF2B5EF4-FFF2-40B4-BE49-F238E27FC236}">
              <a16:creationId xmlns:a16="http://schemas.microsoft.com/office/drawing/2014/main" id="{00000000-0008-0000-0400-0000EE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07" name="Text Box 2">
          <a:extLst>
            <a:ext uri="{FF2B5EF4-FFF2-40B4-BE49-F238E27FC236}">
              <a16:creationId xmlns:a16="http://schemas.microsoft.com/office/drawing/2014/main" id="{00000000-0008-0000-0400-0000EF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08" name="Text Box 2">
          <a:extLst>
            <a:ext uri="{FF2B5EF4-FFF2-40B4-BE49-F238E27FC236}">
              <a16:creationId xmlns:a16="http://schemas.microsoft.com/office/drawing/2014/main" id="{00000000-0008-0000-0400-0000F0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09" name="Text Box 2">
          <a:extLst>
            <a:ext uri="{FF2B5EF4-FFF2-40B4-BE49-F238E27FC236}">
              <a16:creationId xmlns:a16="http://schemas.microsoft.com/office/drawing/2014/main" id="{00000000-0008-0000-0400-0000F1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10" name="Text Box 2">
          <a:extLst>
            <a:ext uri="{FF2B5EF4-FFF2-40B4-BE49-F238E27FC236}">
              <a16:creationId xmlns:a16="http://schemas.microsoft.com/office/drawing/2014/main" id="{00000000-0008-0000-0400-0000F2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11" name="Text Box 2">
          <a:extLst>
            <a:ext uri="{FF2B5EF4-FFF2-40B4-BE49-F238E27FC236}">
              <a16:creationId xmlns:a16="http://schemas.microsoft.com/office/drawing/2014/main" id="{00000000-0008-0000-0400-0000F3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12" name="Text Box 2">
          <a:extLst>
            <a:ext uri="{FF2B5EF4-FFF2-40B4-BE49-F238E27FC236}">
              <a16:creationId xmlns:a16="http://schemas.microsoft.com/office/drawing/2014/main" id="{00000000-0008-0000-0400-0000F4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13" name="Text Box 2">
          <a:extLst>
            <a:ext uri="{FF2B5EF4-FFF2-40B4-BE49-F238E27FC236}">
              <a16:creationId xmlns:a16="http://schemas.microsoft.com/office/drawing/2014/main" id="{00000000-0008-0000-0400-0000F5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14" name="Text Box 2">
          <a:extLst>
            <a:ext uri="{FF2B5EF4-FFF2-40B4-BE49-F238E27FC236}">
              <a16:creationId xmlns:a16="http://schemas.microsoft.com/office/drawing/2014/main" id="{00000000-0008-0000-0400-0000F6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15" name="Text Box 2">
          <a:extLst>
            <a:ext uri="{FF2B5EF4-FFF2-40B4-BE49-F238E27FC236}">
              <a16:creationId xmlns:a16="http://schemas.microsoft.com/office/drawing/2014/main" id="{00000000-0008-0000-0400-0000F7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16" name="Text Box 2">
          <a:extLst>
            <a:ext uri="{FF2B5EF4-FFF2-40B4-BE49-F238E27FC236}">
              <a16:creationId xmlns:a16="http://schemas.microsoft.com/office/drawing/2014/main" id="{00000000-0008-0000-0400-0000F8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17" name="Text Box 2">
          <a:extLst>
            <a:ext uri="{FF2B5EF4-FFF2-40B4-BE49-F238E27FC236}">
              <a16:creationId xmlns:a16="http://schemas.microsoft.com/office/drawing/2014/main" id="{00000000-0008-0000-0400-0000F9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18" name="Text Box 2">
          <a:extLst>
            <a:ext uri="{FF2B5EF4-FFF2-40B4-BE49-F238E27FC236}">
              <a16:creationId xmlns:a16="http://schemas.microsoft.com/office/drawing/2014/main" id="{00000000-0008-0000-0400-0000FA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19" name="Text Box 2">
          <a:extLst>
            <a:ext uri="{FF2B5EF4-FFF2-40B4-BE49-F238E27FC236}">
              <a16:creationId xmlns:a16="http://schemas.microsoft.com/office/drawing/2014/main" id="{00000000-0008-0000-0400-0000FB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20" name="Text Box 2">
          <a:extLst>
            <a:ext uri="{FF2B5EF4-FFF2-40B4-BE49-F238E27FC236}">
              <a16:creationId xmlns:a16="http://schemas.microsoft.com/office/drawing/2014/main" id="{00000000-0008-0000-0400-0000FC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21" name="Text Box 2">
          <a:extLst>
            <a:ext uri="{FF2B5EF4-FFF2-40B4-BE49-F238E27FC236}">
              <a16:creationId xmlns:a16="http://schemas.microsoft.com/office/drawing/2014/main" id="{00000000-0008-0000-0400-0000FD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22" name="Text Box 2">
          <a:extLst>
            <a:ext uri="{FF2B5EF4-FFF2-40B4-BE49-F238E27FC236}">
              <a16:creationId xmlns:a16="http://schemas.microsoft.com/office/drawing/2014/main" id="{00000000-0008-0000-0400-0000FE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23" name="Text Box 2">
          <a:extLst>
            <a:ext uri="{FF2B5EF4-FFF2-40B4-BE49-F238E27FC236}">
              <a16:creationId xmlns:a16="http://schemas.microsoft.com/office/drawing/2014/main" id="{00000000-0008-0000-0400-0000FF03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024" name="Text Box 2">
          <a:extLst>
            <a:ext uri="{FF2B5EF4-FFF2-40B4-BE49-F238E27FC236}">
              <a16:creationId xmlns:a16="http://schemas.microsoft.com/office/drawing/2014/main" id="{00000000-0008-0000-0400-00000004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25" name="Text Box 2">
          <a:extLst>
            <a:ext uri="{FF2B5EF4-FFF2-40B4-BE49-F238E27FC236}">
              <a16:creationId xmlns:a16="http://schemas.microsoft.com/office/drawing/2014/main" id="{00000000-0008-0000-0400-000001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26" name="Text Box 2">
          <a:extLst>
            <a:ext uri="{FF2B5EF4-FFF2-40B4-BE49-F238E27FC236}">
              <a16:creationId xmlns:a16="http://schemas.microsoft.com/office/drawing/2014/main" id="{00000000-0008-0000-0400-000002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27" name="Text Box 2">
          <a:extLst>
            <a:ext uri="{FF2B5EF4-FFF2-40B4-BE49-F238E27FC236}">
              <a16:creationId xmlns:a16="http://schemas.microsoft.com/office/drawing/2014/main" id="{00000000-0008-0000-0400-000003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28" name="Text Box 2">
          <a:extLst>
            <a:ext uri="{FF2B5EF4-FFF2-40B4-BE49-F238E27FC236}">
              <a16:creationId xmlns:a16="http://schemas.microsoft.com/office/drawing/2014/main" id="{00000000-0008-0000-0400-000004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29" name="Text Box 2">
          <a:extLst>
            <a:ext uri="{FF2B5EF4-FFF2-40B4-BE49-F238E27FC236}">
              <a16:creationId xmlns:a16="http://schemas.microsoft.com/office/drawing/2014/main" id="{00000000-0008-0000-0400-000005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30" name="Text Box 2">
          <a:extLst>
            <a:ext uri="{FF2B5EF4-FFF2-40B4-BE49-F238E27FC236}">
              <a16:creationId xmlns:a16="http://schemas.microsoft.com/office/drawing/2014/main" id="{00000000-0008-0000-0400-000006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31" name="Text Box 2">
          <a:extLst>
            <a:ext uri="{FF2B5EF4-FFF2-40B4-BE49-F238E27FC236}">
              <a16:creationId xmlns:a16="http://schemas.microsoft.com/office/drawing/2014/main" id="{00000000-0008-0000-0400-000007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32" name="Text Box 2">
          <a:extLst>
            <a:ext uri="{FF2B5EF4-FFF2-40B4-BE49-F238E27FC236}">
              <a16:creationId xmlns:a16="http://schemas.microsoft.com/office/drawing/2014/main" id="{00000000-0008-0000-0400-000008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33" name="Text Box 2">
          <a:extLst>
            <a:ext uri="{FF2B5EF4-FFF2-40B4-BE49-F238E27FC236}">
              <a16:creationId xmlns:a16="http://schemas.microsoft.com/office/drawing/2014/main" id="{00000000-0008-0000-0400-000009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34" name="Text Box 2">
          <a:extLst>
            <a:ext uri="{FF2B5EF4-FFF2-40B4-BE49-F238E27FC236}">
              <a16:creationId xmlns:a16="http://schemas.microsoft.com/office/drawing/2014/main" id="{00000000-0008-0000-0400-00000A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35" name="Text Box 2">
          <a:extLst>
            <a:ext uri="{FF2B5EF4-FFF2-40B4-BE49-F238E27FC236}">
              <a16:creationId xmlns:a16="http://schemas.microsoft.com/office/drawing/2014/main" id="{00000000-0008-0000-0400-00000B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36" name="Text Box 2">
          <a:extLst>
            <a:ext uri="{FF2B5EF4-FFF2-40B4-BE49-F238E27FC236}">
              <a16:creationId xmlns:a16="http://schemas.microsoft.com/office/drawing/2014/main" id="{00000000-0008-0000-0400-00000C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37" name="Text Box 2">
          <a:extLst>
            <a:ext uri="{FF2B5EF4-FFF2-40B4-BE49-F238E27FC236}">
              <a16:creationId xmlns:a16="http://schemas.microsoft.com/office/drawing/2014/main" id="{00000000-0008-0000-0400-00000D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38" name="Text Box 2">
          <a:extLst>
            <a:ext uri="{FF2B5EF4-FFF2-40B4-BE49-F238E27FC236}">
              <a16:creationId xmlns:a16="http://schemas.microsoft.com/office/drawing/2014/main" id="{00000000-0008-0000-0400-00000E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39" name="Text Box 2">
          <a:extLst>
            <a:ext uri="{FF2B5EF4-FFF2-40B4-BE49-F238E27FC236}">
              <a16:creationId xmlns:a16="http://schemas.microsoft.com/office/drawing/2014/main" id="{00000000-0008-0000-0400-00000F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40" name="Text Box 2">
          <a:extLst>
            <a:ext uri="{FF2B5EF4-FFF2-40B4-BE49-F238E27FC236}">
              <a16:creationId xmlns:a16="http://schemas.microsoft.com/office/drawing/2014/main" id="{00000000-0008-0000-0400-000010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41" name="Text Box 2">
          <a:extLst>
            <a:ext uri="{FF2B5EF4-FFF2-40B4-BE49-F238E27FC236}">
              <a16:creationId xmlns:a16="http://schemas.microsoft.com/office/drawing/2014/main" id="{00000000-0008-0000-0400-000011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42" name="Text Box 2">
          <a:extLst>
            <a:ext uri="{FF2B5EF4-FFF2-40B4-BE49-F238E27FC236}">
              <a16:creationId xmlns:a16="http://schemas.microsoft.com/office/drawing/2014/main" id="{00000000-0008-0000-0400-000012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43" name="Text Box 2">
          <a:extLst>
            <a:ext uri="{FF2B5EF4-FFF2-40B4-BE49-F238E27FC236}">
              <a16:creationId xmlns:a16="http://schemas.microsoft.com/office/drawing/2014/main" id="{00000000-0008-0000-0400-000013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44" name="Text Box 2">
          <a:extLst>
            <a:ext uri="{FF2B5EF4-FFF2-40B4-BE49-F238E27FC236}">
              <a16:creationId xmlns:a16="http://schemas.microsoft.com/office/drawing/2014/main" id="{00000000-0008-0000-0400-000014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45" name="Text Box 2">
          <a:extLst>
            <a:ext uri="{FF2B5EF4-FFF2-40B4-BE49-F238E27FC236}">
              <a16:creationId xmlns:a16="http://schemas.microsoft.com/office/drawing/2014/main" id="{00000000-0008-0000-0400-000015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46" name="Text Box 2">
          <a:extLst>
            <a:ext uri="{FF2B5EF4-FFF2-40B4-BE49-F238E27FC236}">
              <a16:creationId xmlns:a16="http://schemas.microsoft.com/office/drawing/2014/main" id="{00000000-0008-0000-0400-000016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47" name="Text Box 2">
          <a:extLst>
            <a:ext uri="{FF2B5EF4-FFF2-40B4-BE49-F238E27FC236}">
              <a16:creationId xmlns:a16="http://schemas.microsoft.com/office/drawing/2014/main" id="{00000000-0008-0000-0400-000017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48" name="Text Box 2">
          <a:extLst>
            <a:ext uri="{FF2B5EF4-FFF2-40B4-BE49-F238E27FC236}">
              <a16:creationId xmlns:a16="http://schemas.microsoft.com/office/drawing/2014/main" id="{00000000-0008-0000-0400-000018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49" name="Text Box 2">
          <a:extLst>
            <a:ext uri="{FF2B5EF4-FFF2-40B4-BE49-F238E27FC236}">
              <a16:creationId xmlns:a16="http://schemas.microsoft.com/office/drawing/2014/main" id="{00000000-0008-0000-0400-000019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50" name="Text Box 2">
          <a:extLst>
            <a:ext uri="{FF2B5EF4-FFF2-40B4-BE49-F238E27FC236}">
              <a16:creationId xmlns:a16="http://schemas.microsoft.com/office/drawing/2014/main" id="{00000000-0008-0000-0400-00001A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51" name="Text Box 2">
          <a:extLst>
            <a:ext uri="{FF2B5EF4-FFF2-40B4-BE49-F238E27FC236}">
              <a16:creationId xmlns:a16="http://schemas.microsoft.com/office/drawing/2014/main" id="{00000000-0008-0000-0400-00001B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52" name="Text Box 2">
          <a:extLst>
            <a:ext uri="{FF2B5EF4-FFF2-40B4-BE49-F238E27FC236}">
              <a16:creationId xmlns:a16="http://schemas.microsoft.com/office/drawing/2014/main" id="{00000000-0008-0000-0400-00001C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53" name="Text Box 2">
          <a:extLst>
            <a:ext uri="{FF2B5EF4-FFF2-40B4-BE49-F238E27FC236}">
              <a16:creationId xmlns:a16="http://schemas.microsoft.com/office/drawing/2014/main" id="{00000000-0008-0000-0400-00001D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54" name="Text Box 2">
          <a:extLst>
            <a:ext uri="{FF2B5EF4-FFF2-40B4-BE49-F238E27FC236}">
              <a16:creationId xmlns:a16="http://schemas.microsoft.com/office/drawing/2014/main" id="{00000000-0008-0000-0400-00001E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55" name="Text Box 2">
          <a:extLst>
            <a:ext uri="{FF2B5EF4-FFF2-40B4-BE49-F238E27FC236}">
              <a16:creationId xmlns:a16="http://schemas.microsoft.com/office/drawing/2014/main" id="{00000000-0008-0000-0400-00001F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56" name="Text Box 2">
          <a:extLst>
            <a:ext uri="{FF2B5EF4-FFF2-40B4-BE49-F238E27FC236}">
              <a16:creationId xmlns:a16="http://schemas.microsoft.com/office/drawing/2014/main" id="{00000000-0008-0000-0400-000020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57" name="Text Box 2">
          <a:extLst>
            <a:ext uri="{FF2B5EF4-FFF2-40B4-BE49-F238E27FC236}">
              <a16:creationId xmlns:a16="http://schemas.microsoft.com/office/drawing/2014/main" id="{00000000-0008-0000-0400-000021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58" name="Text Box 2">
          <a:extLst>
            <a:ext uri="{FF2B5EF4-FFF2-40B4-BE49-F238E27FC236}">
              <a16:creationId xmlns:a16="http://schemas.microsoft.com/office/drawing/2014/main" id="{00000000-0008-0000-0400-000022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59" name="Text Box 2">
          <a:extLst>
            <a:ext uri="{FF2B5EF4-FFF2-40B4-BE49-F238E27FC236}">
              <a16:creationId xmlns:a16="http://schemas.microsoft.com/office/drawing/2014/main" id="{00000000-0008-0000-0400-000023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60" name="Text Box 2">
          <a:extLst>
            <a:ext uri="{FF2B5EF4-FFF2-40B4-BE49-F238E27FC236}">
              <a16:creationId xmlns:a16="http://schemas.microsoft.com/office/drawing/2014/main" id="{00000000-0008-0000-0400-000024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61" name="Text Box 2">
          <a:extLst>
            <a:ext uri="{FF2B5EF4-FFF2-40B4-BE49-F238E27FC236}">
              <a16:creationId xmlns:a16="http://schemas.microsoft.com/office/drawing/2014/main" id="{00000000-0008-0000-0400-000025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62" name="Text Box 2">
          <a:extLst>
            <a:ext uri="{FF2B5EF4-FFF2-40B4-BE49-F238E27FC236}">
              <a16:creationId xmlns:a16="http://schemas.microsoft.com/office/drawing/2014/main" id="{00000000-0008-0000-0400-000026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63" name="Text Box 2">
          <a:extLst>
            <a:ext uri="{FF2B5EF4-FFF2-40B4-BE49-F238E27FC236}">
              <a16:creationId xmlns:a16="http://schemas.microsoft.com/office/drawing/2014/main" id="{00000000-0008-0000-0400-000027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64" name="Text Box 2">
          <a:extLst>
            <a:ext uri="{FF2B5EF4-FFF2-40B4-BE49-F238E27FC236}">
              <a16:creationId xmlns:a16="http://schemas.microsoft.com/office/drawing/2014/main" id="{00000000-0008-0000-0400-000028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65" name="Text Box 2">
          <a:extLst>
            <a:ext uri="{FF2B5EF4-FFF2-40B4-BE49-F238E27FC236}">
              <a16:creationId xmlns:a16="http://schemas.microsoft.com/office/drawing/2014/main" id="{00000000-0008-0000-0400-000029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66" name="Text Box 2">
          <a:extLst>
            <a:ext uri="{FF2B5EF4-FFF2-40B4-BE49-F238E27FC236}">
              <a16:creationId xmlns:a16="http://schemas.microsoft.com/office/drawing/2014/main" id="{00000000-0008-0000-0400-00002A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67" name="Text Box 2">
          <a:extLst>
            <a:ext uri="{FF2B5EF4-FFF2-40B4-BE49-F238E27FC236}">
              <a16:creationId xmlns:a16="http://schemas.microsoft.com/office/drawing/2014/main" id="{00000000-0008-0000-0400-00002B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68" name="Text Box 2">
          <a:extLst>
            <a:ext uri="{FF2B5EF4-FFF2-40B4-BE49-F238E27FC236}">
              <a16:creationId xmlns:a16="http://schemas.microsoft.com/office/drawing/2014/main" id="{00000000-0008-0000-0400-00002C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69" name="Text Box 2">
          <a:extLst>
            <a:ext uri="{FF2B5EF4-FFF2-40B4-BE49-F238E27FC236}">
              <a16:creationId xmlns:a16="http://schemas.microsoft.com/office/drawing/2014/main" id="{00000000-0008-0000-0400-00002D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70" name="Text Box 2">
          <a:extLst>
            <a:ext uri="{FF2B5EF4-FFF2-40B4-BE49-F238E27FC236}">
              <a16:creationId xmlns:a16="http://schemas.microsoft.com/office/drawing/2014/main" id="{00000000-0008-0000-0400-00002E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71" name="Text Box 2">
          <a:extLst>
            <a:ext uri="{FF2B5EF4-FFF2-40B4-BE49-F238E27FC236}">
              <a16:creationId xmlns:a16="http://schemas.microsoft.com/office/drawing/2014/main" id="{00000000-0008-0000-0400-00002F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72" name="Text Box 2">
          <a:extLst>
            <a:ext uri="{FF2B5EF4-FFF2-40B4-BE49-F238E27FC236}">
              <a16:creationId xmlns:a16="http://schemas.microsoft.com/office/drawing/2014/main" id="{00000000-0008-0000-0400-000030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73" name="Text Box 2">
          <a:extLst>
            <a:ext uri="{FF2B5EF4-FFF2-40B4-BE49-F238E27FC236}">
              <a16:creationId xmlns:a16="http://schemas.microsoft.com/office/drawing/2014/main" id="{00000000-0008-0000-0400-000031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74" name="Text Box 2">
          <a:extLst>
            <a:ext uri="{FF2B5EF4-FFF2-40B4-BE49-F238E27FC236}">
              <a16:creationId xmlns:a16="http://schemas.microsoft.com/office/drawing/2014/main" id="{00000000-0008-0000-0400-000032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75" name="Text Box 2">
          <a:extLst>
            <a:ext uri="{FF2B5EF4-FFF2-40B4-BE49-F238E27FC236}">
              <a16:creationId xmlns:a16="http://schemas.microsoft.com/office/drawing/2014/main" id="{00000000-0008-0000-0400-000033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76" name="Text Box 2">
          <a:extLst>
            <a:ext uri="{FF2B5EF4-FFF2-40B4-BE49-F238E27FC236}">
              <a16:creationId xmlns:a16="http://schemas.microsoft.com/office/drawing/2014/main" id="{00000000-0008-0000-0400-000034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77" name="Text Box 2">
          <a:extLst>
            <a:ext uri="{FF2B5EF4-FFF2-40B4-BE49-F238E27FC236}">
              <a16:creationId xmlns:a16="http://schemas.microsoft.com/office/drawing/2014/main" id="{00000000-0008-0000-0400-000035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78" name="Text Box 2">
          <a:extLst>
            <a:ext uri="{FF2B5EF4-FFF2-40B4-BE49-F238E27FC236}">
              <a16:creationId xmlns:a16="http://schemas.microsoft.com/office/drawing/2014/main" id="{00000000-0008-0000-0400-000036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79" name="Text Box 2">
          <a:extLst>
            <a:ext uri="{FF2B5EF4-FFF2-40B4-BE49-F238E27FC236}">
              <a16:creationId xmlns:a16="http://schemas.microsoft.com/office/drawing/2014/main" id="{00000000-0008-0000-0400-000037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80" name="Text Box 2">
          <a:extLst>
            <a:ext uri="{FF2B5EF4-FFF2-40B4-BE49-F238E27FC236}">
              <a16:creationId xmlns:a16="http://schemas.microsoft.com/office/drawing/2014/main" id="{00000000-0008-0000-0400-000038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81" name="Text Box 2">
          <a:extLst>
            <a:ext uri="{FF2B5EF4-FFF2-40B4-BE49-F238E27FC236}">
              <a16:creationId xmlns:a16="http://schemas.microsoft.com/office/drawing/2014/main" id="{00000000-0008-0000-0400-000039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082" name="Text Box 2">
          <a:extLst>
            <a:ext uri="{FF2B5EF4-FFF2-40B4-BE49-F238E27FC236}">
              <a16:creationId xmlns:a16="http://schemas.microsoft.com/office/drawing/2014/main" id="{00000000-0008-0000-0400-00003A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83" name="Text Box 2">
          <a:extLst>
            <a:ext uri="{FF2B5EF4-FFF2-40B4-BE49-F238E27FC236}">
              <a16:creationId xmlns:a16="http://schemas.microsoft.com/office/drawing/2014/main" id="{00000000-0008-0000-0400-00003B04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84" name="Text Box 2">
          <a:extLst>
            <a:ext uri="{FF2B5EF4-FFF2-40B4-BE49-F238E27FC236}">
              <a16:creationId xmlns:a16="http://schemas.microsoft.com/office/drawing/2014/main" id="{00000000-0008-0000-0400-00003C04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85" name="Text Box 2">
          <a:extLst>
            <a:ext uri="{FF2B5EF4-FFF2-40B4-BE49-F238E27FC236}">
              <a16:creationId xmlns:a16="http://schemas.microsoft.com/office/drawing/2014/main" id="{00000000-0008-0000-0400-00003D04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86" name="Text Box 2">
          <a:extLst>
            <a:ext uri="{FF2B5EF4-FFF2-40B4-BE49-F238E27FC236}">
              <a16:creationId xmlns:a16="http://schemas.microsoft.com/office/drawing/2014/main" id="{00000000-0008-0000-0400-00003E04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87" name="Text Box 2">
          <a:extLst>
            <a:ext uri="{FF2B5EF4-FFF2-40B4-BE49-F238E27FC236}">
              <a16:creationId xmlns:a16="http://schemas.microsoft.com/office/drawing/2014/main" id="{00000000-0008-0000-0400-00003F04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88" name="Text Box 2">
          <a:extLst>
            <a:ext uri="{FF2B5EF4-FFF2-40B4-BE49-F238E27FC236}">
              <a16:creationId xmlns:a16="http://schemas.microsoft.com/office/drawing/2014/main" id="{00000000-0008-0000-0400-00004004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89" name="Text Box 2">
          <a:extLst>
            <a:ext uri="{FF2B5EF4-FFF2-40B4-BE49-F238E27FC236}">
              <a16:creationId xmlns:a16="http://schemas.microsoft.com/office/drawing/2014/main" id="{00000000-0008-0000-0400-00004104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90" name="Text Box 2">
          <a:extLst>
            <a:ext uri="{FF2B5EF4-FFF2-40B4-BE49-F238E27FC236}">
              <a16:creationId xmlns:a16="http://schemas.microsoft.com/office/drawing/2014/main" id="{00000000-0008-0000-0400-00004204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91" name="Text Box 2">
          <a:extLst>
            <a:ext uri="{FF2B5EF4-FFF2-40B4-BE49-F238E27FC236}">
              <a16:creationId xmlns:a16="http://schemas.microsoft.com/office/drawing/2014/main" id="{00000000-0008-0000-0400-00004304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120650</xdr:rowOff>
    </xdr:to>
    <xdr:sp macro="" textlink="">
      <xdr:nvSpPr>
        <xdr:cNvPr id="1092" name="Text Box 2">
          <a:extLst>
            <a:ext uri="{FF2B5EF4-FFF2-40B4-BE49-F238E27FC236}">
              <a16:creationId xmlns:a16="http://schemas.microsoft.com/office/drawing/2014/main" id="{00000000-0008-0000-0400-000044040000}"/>
            </a:ext>
          </a:extLst>
        </xdr:cNvPr>
        <xdr:cNvSpPr txBox="1">
          <a:spLocks noChangeArrowheads="1"/>
        </xdr:cNvSpPr>
      </xdr:nvSpPr>
      <xdr:spPr bwMode="auto">
        <a:xfrm>
          <a:off x="3943350" y="50453925"/>
          <a:ext cx="95250" cy="70485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93" name="Text Box 2">
          <a:extLst>
            <a:ext uri="{FF2B5EF4-FFF2-40B4-BE49-F238E27FC236}">
              <a16:creationId xmlns:a16="http://schemas.microsoft.com/office/drawing/2014/main" id="{00000000-0008-0000-0400-00004504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130174</xdr:rowOff>
    </xdr:to>
    <xdr:sp macro="" textlink="">
      <xdr:nvSpPr>
        <xdr:cNvPr id="1094" name="Text Box 2">
          <a:extLst>
            <a:ext uri="{FF2B5EF4-FFF2-40B4-BE49-F238E27FC236}">
              <a16:creationId xmlns:a16="http://schemas.microsoft.com/office/drawing/2014/main" id="{00000000-0008-0000-0400-000046040000}"/>
            </a:ext>
          </a:extLst>
        </xdr:cNvPr>
        <xdr:cNvSpPr txBox="1">
          <a:spLocks noChangeArrowheads="1"/>
        </xdr:cNvSpPr>
      </xdr:nvSpPr>
      <xdr:spPr bwMode="auto">
        <a:xfrm>
          <a:off x="3943350" y="50453925"/>
          <a:ext cx="95250" cy="7143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130174</xdr:rowOff>
    </xdr:to>
    <xdr:sp macro="" textlink="">
      <xdr:nvSpPr>
        <xdr:cNvPr id="1095" name="Text Box 2">
          <a:extLst>
            <a:ext uri="{FF2B5EF4-FFF2-40B4-BE49-F238E27FC236}">
              <a16:creationId xmlns:a16="http://schemas.microsoft.com/office/drawing/2014/main" id="{00000000-0008-0000-0400-000047040000}"/>
            </a:ext>
          </a:extLst>
        </xdr:cNvPr>
        <xdr:cNvSpPr txBox="1">
          <a:spLocks noChangeArrowheads="1"/>
        </xdr:cNvSpPr>
      </xdr:nvSpPr>
      <xdr:spPr bwMode="auto">
        <a:xfrm>
          <a:off x="3943350" y="50453925"/>
          <a:ext cx="95250" cy="7143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96" name="Text Box 2">
          <a:extLst>
            <a:ext uri="{FF2B5EF4-FFF2-40B4-BE49-F238E27FC236}">
              <a16:creationId xmlns:a16="http://schemas.microsoft.com/office/drawing/2014/main" id="{00000000-0008-0000-0400-00004804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97" name="Text Box 2">
          <a:extLst>
            <a:ext uri="{FF2B5EF4-FFF2-40B4-BE49-F238E27FC236}">
              <a16:creationId xmlns:a16="http://schemas.microsoft.com/office/drawing/2014/main" id="{00000000-0008-0000-0400-00004904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98" name="Text Box 2">
          <a:extLst>
            <a:ext uri="{FF2B5EF4-FFF2-40B4-BE49-F238E27FC236}">
              <a16:creationId xmlns:a16="http://schemas.microsoft.com/office/drawing/2014/main" id="{00000000-0008-0000-0400-00004A04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099" name="Text Box 2">
          <a:extLst>
            <a:ext uri="{FF2B5EF4-FFF2-40B4-BE49-F238E27FC236}">
              <a16:creationId xmlns:a16="http://schemas.microsoft.com/office/drawing/2014/main" id="{00000000-0008-0000-0400-00004B04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100" name="Text Box 2">
          <a:extLst>
            <a:ext uri="{FF2B5EF4-FFF2-40B4-BE49-F238E27FC236}">
              <a16:creationId xmlns:a16="http://schemas.microsoft.com/office/drawing/2014/main" id="{00000000-0008-0000-0400-00004C04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120650</xdr:rowOff>
    </xdr:to>
    <xdr:sp macro="" textlink="">
      <xdr:nvSpPr>
        <xdr:cNvPr id="1101" name="Text Box 2">
          <a:extLst>
            <a:ext uri="{FF2B5EF4-FFF2-40B4-BE49-F238E27FC236}">
              <a16:creationId xmlns:a16="http://schemas.microsoft.com/office/drawing/2014/main" id="{00000000-0008-0000-0400-00004D040000}"/>
            </a:ext>
          </a:extLst>
        </xdr:cNvPr>
        <xdr:cNvSpPr txBox="1">
          <a:spLocks noChangeArrowheads="1"/>
        </xdr:cNvSpPr>
      </xdr:nvSpPr>
      <xdr:spPr bwMode="auto">
        <a:xfrm>
          <a:off x="3943350" y="50453925"/>
          <a:ext cx="95250" cy="70485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120650</xdr:rowOff>
    </xdr:to>
    <xdr:sp macro="" textlink="">
      <xdr:nvSpPr>
        <xdr:cNvPr id="1102" name="Text Box 2">
          <a:extLst>
            <a:ext uri="{FF2B5EF4-FFF2-40B4-BE49-F238E27FC236}">
              <a16:creationId xmlns:a16="http://schemas.microsoft.com/office/drawing/2014/main" id="{00000000-0008-0000-0400-00004E040000}"/>
            </a:ext>
          </a:extLst>
        </xdr:cNvPr>
        <xdr:cNvSpPr txBox="1">
          <a:spLocks noChangeArrowheads="1"/>
        </xdr:cNvSpPr>
      </xdr:nvSpPr>
      <xdr:spPr bwMode="auto">
        <a:xfrm>
          <a:off x="3943350" y="50453925"/>
          <a:ext cx="95250" cy="70485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130174</xdr:rowOff>
    </xdr:to>
    <xdr:sp macro="" textlink="">
      <xdr:nvSpPr>
        <xdr:cNvPr id="1103" name="Text Box 2">
          <a:extLst>
            <a:ext uri="{FF2B5EF4-FFF2-40B4-BE49-F238E27FC236}">
              <a16:creationId xmlns:a16="http://schemas.microsoft.com/office/drawing/2014/main" id="{00000000-0008-0000-0400-00004F040000}"/>
            </a:ext>
          </a:extLst>
        </xdr:cNvPr>
        <xdr:cNvSpPr txBox="1">
          <a:spLocks noChangeArrowheads="1"/>
        </xdr:cNvSpPr>
      </xdr:nvSpPr>
      <xdr:spPr bwMode="auto">
        <a:xfrm>
          <a:off x="3943350" y="50453925"/>
          <a:ext cx="95250" cy="7143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130174</xdr:rowOff>
    </xdr:to>
    <xdr:sp macro="" textlink="">
      <xdr:nvSpPr>
        <xdr:cNvPr id="1104" name="Text Box 2">
          <a:extLst>
            <a:ext uri="{FF2B5EF4-FFF2-40B4-BE49-F238E27FC236}">
              <a16:creationId xmlns:a16="http://schemas.microsoft.com/office/drawing/2014/main" id="{00000000-0008-0000-0400-000050040000}"/>
            </a:ext>
          </a:extLst>
        </xdr:cNvPr>
        <xdr:cNvSpPr txBox="1">
          <a:spLocks noChangeArrowheads="1"/>
        </xdr:cNvSpPr>
      </xdr:nvSpPr>
      <xdr:spPr bwMode="auto">
        <a:xfrm>
          <a:off x="3943350" y="50453925"/>
          <a:ext cx="95250" cy="7143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101600</xdr:rowOff>
    </xdr:to>
    <xdr:sp macro="" textlink="">
      <xdr:nvSpPr>
        <xdr:cNvPr id="1105" name="Text Box 2">
          <a:extLst>
            <a:ext uri="{FF2B5EF4-FFF2-40B4-BE49-F238E27FC236}">
              <a16:creationId xmlns:a16="http://schemas.microsoft.com/office/drawing/2014/main" id="{00000000-0008-0000-0400-000051040000}"/>
            </a:ext>
          </a:extLst>
        </xdr:cNvPr>
        <xdr:cNvSpPr txBox="1">
          <a:spLocks noChangeArrowheads="1"/>
        </xdr:cNvSpPr>
      </xdr:nvSpPr>
      <xdr:spPr bwMode="auto">
        <a:xfrm>
          <a:off x="3943350" y="50453925"/>
          <a:ext cx="95250" cy="2952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101600</xdr:rowOff>
    </xdr:to>
    <xdr:sp macro="" textlink="">
      <xdr:nvSpPr>
        <xdr:cNvPr id="1106" name="Text Box 2">
          <a:extLst>
            <a:ext uri="{FF2B5EF4-FFF2-40B4-BE49-F238E27FC236}">
              <a16:creationId xmlns:a16="http://schemas.microsoft.com/office/drawing/2014/main" id="{00000000-0008-0000-0400-000052040000}"/>
            </a:ext>
          </a:extLst>
        </xdr:cNvPr>
        <xdr:cNvSpPr txBox="1">
          <a:spLocks noChangeArrowheads="1"/>
        </xdr:cNvSpPr>
      </xdr:nvSpPr>
      <xdr:spPr bwMode="auto">
        <a:xfrm>
          <a:off x="3943350" y="50453925"/>
          <a:ext cx="95250" cy="2952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130174</xdr:rowOff>
    </xdr:to>
    <xdr:sp macro="" textlink="">
      <xdr:nvSpPr>
        <xdr:cNvPr id="1107" name="Text Box 2">
          <a:extLst>
            <a:ext uri="{FF2B5EF4-FFF2-40B4-BE49-F238E27FC236}">
              <a16:creationId xmlns:a16="http://schemas.microsoft.com/office/drawing/2014/main" id="{00000000-0008-0000-0400-000053040000}"/>
            </a:ext>
          </a:extLst>
        </xdr:cNvPr>
        <xdr:cNvSpPr txBox="1">
          <a:spLocks noChangeArrowheads="1"/>
        </xdr:cNvSpPr>
      </xdr:nvSpPr>
      <xdr:spPr bwMode="auto">
        <a:xfrm>
          <a:off x="3943350" y="50453925"/>
          <a:ext cx="95250" cy="7143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130174</xdr:rowOff>
    </xdr:to>
    <xdr:sp macro="" textlink="">
      <xdr:nvSpPr>
        <xdr:cNvPr id="1108" name="Text Box 2">
          <a:extLst>
            <a:ext uri="{FF2B5EF4-FFF2-40B4-BE49-F238E27FC236}">
              <a16:creationId xmlns:a16="http://schemas.microsoft.com/office/drawing/2014/main" id="{00000000-0008-0000-0400-000054040000}"/>
            </a:ext>
          </a:extLst>
        </xdr:cNvPr>
        <xdr:cNvSpPr txBox="1">
          <a:spLocks noChangeArrowheads="1"/>
        </xdr:cNvSpPr>
      </xdr:nvSpPr>
      <xdr:spPr bwMode="auto">
        <a:xfrm>
          <a:off x="3943350" y="50453925"/>
          <a:ext cx="95250" cy="7143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130174</xdr:rowOff>
    </xdr:to>
    <xdr:sp macro="" textlink="">
      <xdr:nvSpPr>
        <xdr:cNvPr id="1109" name="Text Box 2">
          <a:extLst>
            <a:ext uri="{FF2B5EF4-FFF2-40B4-BE49-F238E27FC236}">
              <a16:creationId xmlns:a16="http://schemas.microsoft.com/office/drawing/2014/main" id="{00000000-0008-0000-0400-000055040000}"/>
            </a:ext>
          </a:extLst>
        </xdr:cNvPr>
        <xdr:cNvSpPr txBox="1">
          <a:spLocks noChangeArrowheads="1"/>
        </xdr:cNvSpPr>
      </xdr:nvSpPr>
      <xdr:spPr bwMode="auto">
        <a:xfrm>
          <a:off x="3943350" y="50453925"/>
          <a:ext cx="95250" cy="7143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130174</xdr:rowOff>
    </xdr:to>
    <xdr:sp macro="" textlink="">
      <xdr:nvSpPr>
        <xdr:cNvPr id="1110" name="Text Box 2">
          <a:extLst>
            <a:ext uri="{FF2B5EF4-FFF2-40B4-BE49-F238E27FC236}">
              <a16:creationId xmlns:a16="http://schemas.microsoft.com/office/drawing/2014/main" id="{00000000-0008-0000-0400-000056040000}"/>
            </a:ext>
          </a:extLst>
        </xdr:cNvPr>
        <xdr:cNvSpPr txBox="1">
          <a:spLocks noChangeArrowheads="1"/>
        </xdr:cNvSpPr>
      </xdr:nvSpPr>
      <xdr:spPr bwMode="auto">
        <a:xfrm>
          <a:off x="3943350" y="50453925"/>
          <a:ext cx="95250" cy="7143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11" name="Text Box 2">
          <a:extLst>
            <a:ext uri="{FF2B5EF4-FFF2-40B4-BE49-F238E27FC236}">
              <a16:creationId xmlns:a16="http://schemas.microsoft.com/office/drawing/2014/main" id="{00000000-0008-0000-0400-000057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12" name="Text Box 2">
          <a:extLst>
            <a:ext uri="{FF2B5EF4-FFF2-40B4-BE49-F238E27FC236}">
              <a16:creationId xmlns:a16="http://schemas.microsoft.com/office/drawing/2014/main" id="{00000000-0008-0000-0400-000058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13" name="Text Box 2">
          <a:extLst>
            <a:ext uri="{FF2B5EF4-FFF2-40B4-BE49-F238E27FC236}">
              <a16:creationId xmlns:a16="http://schemas.microsoft.com/office/drawing/2014/main" id="{00000000-0008-0000-0400-000059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14" name="Text Box 2">
          <a:extLst>
            <a:ext uri="{FF2B5EF4-FFF2-40B4-BE49-F238E27FC236}">
              <a16:creationId xmlns:a16="http://schemas.microsoft.com/office/drawing/2014/main" id="{00000000-0008-0000-0400-00005A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15" name="Text Box 2">
          <a:extLst>
            <a:ext uri="{FF2B5EF4-FFF2-40B4-BE49-F238E27FC236}">
              <a16:creationId xmlns:a16="http://schemas.microsoft.com/office/drawing/2014/main" id="{00000000-0008-0000-0400-00005B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16" name="Text Box 2">
          <a:extLst>
            <a:ext uri="{FF2B5EF4-FFF2-40B4-BE49-F238E27FC236}">
              <a16:creationId xmlns:a16="http://schemas.microsoft.com/office/drawing/2014/main" id="{00000000-0008-0000-0400-00005C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17" name="Text Box 2">
          <a:extLst>
            <a:ext uri="{FF2B5EF4-FFF2-40B4-BE49-F238E27FC236}">
              <a16:creationId xmlns:a16="http://schemas.microsoft.com/office/drawing/2014/main" id="{00000000-0008-0000-0400-00005D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18" name="Text Box 2">
          <a:extLst>
            <a:ext uri="{FF2B5EF4-FFF2-40B4-BE49-F238E27FC236}">
              <a16:creationId xmlns:a16="http://schemas.microsoft.com/office/drawing/2014/main" id="{00000000-0008-0000-0400-00005E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19" name="Text Box 2">
          <a:extLst>
            <a:ext uri="{FF2B5EF4-FFF2-40B4-BE49-F238E27FC236}">
              <a16:creationId xmlns:a16="http://schemas.microsoft.com/office/drawing/2014/main" id="{00000000-0008-0000-0400-00005F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20" name="Text Box 2">
          <a:extLst>
            <a:ext uri="{FF2B5EF4-FFF2-40B4-BE49-F238E27FC236}">
              <a16:creationId xmlns:a16="http://schemas.microsoft.com/office/drawing/2014/main" id="{00000000-0008-0000-0400-000060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21" name="Text Box 2">
          <a:extLst>
            <a:ext uri="{FF2B5EF4-FFF2-40B4-BE49-F238E27FC236}">
              <a16:creationId xmlns:a16="http://schemas.microsoft.com/office/drawing/2014/main" id="{00000000-0008-0000-0400-000061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22" name="Text Box 2">
          <a:extLst>
            <a:ext uri="{FF2B5EF4-FFF2-40B4-BE49-F238E27FC236}">
              <a16:creationId xmlns:a16="http://schemas.microsoft.com/office/drawing/2014/main" id="{00000000-0008-0000-0400-000062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23" name="Text Box 2">
          <a:extLst>
            <a:ext uri="{FF2B5EF4-FFF2-40B4-BE49-F238E27FC236}">
              <a16:creationId xmlns:a16="http://schemas.microsoft.com/office/drawing/2014/main" id="{00000000-0008-0000-0400-000063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24" name="Text Box 2">
          <a:extLst>
            <a:ext uri="{FF2B5EF4-FFF2-40B4-BE49-F238E27FC236}">
              <a16:creationId xmlns:a16="http://schemas.microsoft.com/office/drawing/2014/main" id="{00000000-0008-0000-0400-000064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25" name="Text Box 2">
          <a:extLst>
            <a:ext uri="{FF2B5EF4-FFF2-40B4-BE49-F238E27FC236}">
              <a16:creationId xmlns:a16="http://schemas.microsoft.com/office/drawing/2014/main" id="{00000000-0008-0000-0400-000065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26" name="Text Box 2">
          <a:extLst>
            <a:ext uri="{FF2B5EF4-FFF2-40B4-BE49-F238E27FC236}">
              <a16:creationId xmlns:a16="http://schemas.microsoft.com/office/drawing/2014/main" id="{00000000-0008-0000-0400-000066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27" name="Text Box 2">
          <a:extLst>
            <a:ext uri="{FF2B5EF4-FFF2-40B4-BE49-F238E27FC236}">
              <a16:creationId xmlns:a16="http://schemas.microsoft.com/office/drawing/2014/main" id="{00000000-0008-0000-0400-000067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28" name="Text Box 2">
          <a:extLst>
            <a:ext uri="{FF2B5EF4-FFF2-40B4-BE49-F238E27FC236}">
              <a16:creationId xmlns:a16="http://schemas.microsoft.com/office/drawing/2014/main" id="{00000000-0008-0000-0400-000068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29" name="Text Box 2">
          <a:extLst>
            <a:ext uri="{FF2B5EF4-FFF2-40B4-BE49-F238E27FC236}">
              <a16:creationId xmlns:a16="http://schemas.microsoft.com/office/drawing/2014/main" id="{00000000-0008-0000-0400-000069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30" name="Text Box 2">
          <a:extLst>
            <a:ext uri="{FF2B5EF4-FFF2-40B4-BE49-F238E27FC236}">
              <a16:creationId xmlns:a16="http://schemas.microsoft.com/office/drawing/2014/main" id="{00000000-0008-0000-0400-00006A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31" name="Text Box 2">
          <a:extLst>
            <a:ext uri="{FF2B5EF4-FFF2-40B4-BE49-F238E27FC236}">
              <a16:creationId xmlns:a16="http://schemas.microsoft.com/office/drawing/2014/main" id="{00000000-0008-0000-0400-00006B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32" name="Text Box 2">
          <a:extLst>
            <a:ext uri="{FF2B5EF4-FFF2-40B4-BE49-F238E27FC236}">
              <a16:creationId xmlns:a16="http://schemas.microsoft.com/office/drawing/2014/main" id="{00000000-0008-0000-0400-00006C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33" name="Text Box 2">
          <a:extLst>
            <a:ext uri="{FF2B5EF4-FFF2-40B4-BE49-F238E27FC236}">
              <a16:creationId xmlns:a16="http://schemas.microsoft.com/office/drawing/2014/main" id="{00000000-0008-0000-0400-00006D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34" name="Text Box 2">
          <a:extLst>
            <a:ext uri="{FF2B5EF4-FFF2-40B4-BE49-F238E27FC236}">
              <a16:creationId xmlns:a16="http://schemas.microsoft.com/office/drawing/2014/main" id="{00000000-0008-0000-0400-00006E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35" name="Text Box 2">
          <a:extLst>
            <a:ext uri="{FF2B5EF4-FFF2-40B4-BE49-F238E27FC236}">
              <a16:creationId xmlns:a16="http://schemas.microsoft.com/office/drawing/2014/main" id="{00000000-0008-0000-0400-00006F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36" name="Text Box 2">
          <a:extLst>
            <a:ext uri="{FF2B5EF4-FFF2-40B4-BE49-F238E27FC236}">
              <a16:creationId xmlns:a16="http://schemas.microsoft.com/office/drawing/2014/main" id="{00000000-0008-0000-0400-000070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37" name="Text Box 2">
          <a:extLst>
            <a:ext uri="{FF2B5EF4-FFF2-40B4-BE49-F238E27FC236}">
              <a16:creationId xmlns:a16="http://schemas.microsoft.com/office/drawing/2014/main" id="{00000000-0008-0000-0400-000071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38" name="Text Box 2">
          <a:extLst>
            <a:ext uri="{FF2B5EF4-FFF2-40B4-BE49-F238E27FC236}">
              <a16:creationId xmlns:a16="http://schemas.microsoft.com/office/drawing/2014/main" id="{00000000-0008-0000-0400-000072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39" name="Text Box 2">
          <a:extLst>
            <a:ext uri="{FF2B5EF4-FFF2-40B4-BE49-F238E27FC236}">
              <a16:creationId xmlns:a16="http://schemas.microsoft.com/office/drawing/2014/main" id="{00000000-0008-0000-0400-000073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40" name="Text Box 2">
          <a:extLst>
            <a:ext uri="{FF2B5EF4-FFF2-40B4-BE49-F238E27FC236}">
              <a16:creationId xmlns:a16="http://schemas.microsoft.com/office/drawing/2014/main" id="{00000000-0008-0000-0400-000074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41" name="Text Box 2">
          <a:extLst>
            <a:ext uri="{FF2B5EF4-FFF2-40B4-BE49-F238E27FC236}">
              <a16:creationId xmlns:a16="http://schemas.microsoft.com/office/drawing/2014/main" id="{00000000-0008-0000-0400-000075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42" name="Text Box 2">
          <a:extLst>
            <a:ext uri="{FF2B5EF4-FFF2-40B4-BE49-F238E27FC236}">
              <a16:creationId xmlns:a16="http://schemas.microsoft.com/office/drawing/2014/main" id="{00000000-0008-0000-0400-000076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43" name="Text Box 2">
          <a:extLst>
            <a:ext uri="{FF2B5EF4-FFF2-40B4-BE49-F238E27FC236}">
              <a16:creationId xmlns:a16="http://schemas.microsoft.com/office/drawing/2014/main" id="{00000000-0008-0000-0400-000077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44" name="Text Box 2">
          <a:extLst>
            <a:ext uri="{FF2B5EF4-FFF2-40B4-BE49-F238E27FC236}">
              <a16:creationId xmlns:a16="http://schemas.microsoft.com/office/drawing/2014/main" id="{00000000-0008-0000-0400-000078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45" name="Text Box 2">
          <a:extLst>
            <a:ext uri="{FF2B5EF4-FFF2-40B4-BE49-F238E27FC236}">
              <a16:creationId xmlns:a16="http://schemas.microsoft.com/office/drawing/2014/main" id="{00000000-0008-0000-0400-000079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46" name="Text Box 2">
          <a:extLst>
            <a:ext uri="{FF2B5EF4-FFF2-40B4-BE49-F238E27FC236}">
              <a16:creationId xmlns:a16="http://schemas.microsoft.com/office/drawing/2014/main" id="{00000000-0008-0000-0400-00007A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47" name="Text Box 2">
          <a:extLst>
            <a:ext uri="{FF2B5EF4-FFF2-40B4-BE49-F238E27FC236}">
              <a16:creationId xmlns:a16="http://schemas.microsoft.com/office/drawing/2014/main" id="{00000000-0008-0000-0400-00007B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48" name="Text Box 2">
          <a:extLst>
            <a:ext uri="{FF2B5EF4-FFF2-40B4-BE49-F238E27FC236}">
              <a16:creationId xmlns:a16="http://schemas.microsoft.com/office/drawing/2014/main" id="{00000000-0008-0000-0400-00007C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49" name="Text Box 2">
          <a:extLst>
            <a:ext uri="{FF2B5EF4-FFF2-40B4-BE49-F238E27FC236}">
              <a16:creationId xmlns:a16="http://schemas.microsoft.com/office/drawing/2014/main" id="{00000000-0008-0000-0400-00007D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50" name="Text Box 2">
          <a:extLst>
            <a:ext uri="{FF2B5EF4-FFF2-40B4-BE49-F238E27FC236}">
              <a16:creationId xmlns:a16="http://schemas.microsoft.com/office/drawing/2014/main" id="{00000000-0008-0000-0400-00007E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51" name="Text Box 2">
          <a:extLst>
            <a:ext uri="{FF2B5EF4-FFF2-40B4-BE49-F238E27FC236}">
              <a16:creationId xmlns:a16="http://schemas.microsoft.com/office/drawing/2014/main" id="{00000000-0008-0000-0400-00007F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52" name="Text Box 2">
          <a:extLst>
            <a:ext uri="{FF2B5EF4-FFF2-40B4-BE49-F238E27FC236}">
              <a16:creationId xmlns:a16="http://schemas.microsoft.com/office/drawing/2014/main" id="{00000000-0008-0000-0400-000080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53" name="Text Box 2">
          <a:extLst>
            <a:ext uri="{FF2B5EF4-FFF2-40B4-BE49-F238E27FC236}">
              <a16:creationId xmlns:a16="http://schemas.microsoft.com/office/drawing/2014/main" id="{00000000-0008-0000-0400-000081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54" name="Text Box 2">
          <a:extLst>
            <a:ext uri="{FF2B5EF4-FFF2-40B4-BE49-F238E27FC236}">
              <a16:creationId xmlns:a16="http://schemas.microsoft.com/office/drawing/2014/main" id="{00000000-0008-0000-0400-000082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55" name="Text Box 2">
          <a:extLst>
            <a:ext uri="{FF2B5EF4-FFF2-40B4-BE49-F238E27FC236}">
              <a16:creationId xmlns:a16="http://schemas.microsoft.com/office/drawing/2014/main" id="{00000000-0008-0000-0400-000083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56" name="Text Box 2">
          <a:extLst>
            <a:ext uri="{FF2B5EF4-FFF2-40B4-BE49-F238E27FC236}">
              <a16:creationId xmlns:a16="http://schemas.microsoft.com/office/drawing/2014/main" id="{00000000-0008-0000-0400-000084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57" name="Text Box 2">
          <a:extLst>
            <a:ext uri="{FF2B5EF4-FFF2-40B4-BE49-F238E27FC236}">
              <a16:creationId xmlns:a16="http://schemas.microsoft.com/office/drawing/2014/main" id="{00000000-0008-0000-0400-000085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58" name="Text Box 2">
          <a:extLst>
            <a:ext uri="{FF2B5EF4-FFF2-40B4-BE49-F238E27FC236}">
              <a16:creationId xmlns:a16="http://schemas.microsoft.com/office/drawing/2014/main" id="{00000000-0008-0000-0400-000086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59" name="Text Box 2">
          <a:extLst>
            <a:ext uri="{FF2B5EF4-FFF2-40B4-BE49-F238E27FC236}">
              <a16:creationId xmlns:a16="http://schemas.microsoft.com/office/drawing/2014/main" id="{00000000-0008-0000-0400-000087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60" name="Text Box 2">
          <a:extLst>
            <a:ext uri="{FF2B5EF4-FFF2-40B4-BE49-F238E27FC236}">
              <a16:creationId xmlns:a16="http://schemas.microsoft.com/office/drawing/2014/main" id="{00000000-0008-0000-0400-000088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61" name="Text Box 2">
          <a:extLst>
            <a:ext uri="{FF2B5EF4-FFF2-40B4-BE49-F238E27FC236}">
              <a16:creationId xmlns:a16="http://schemas.microsoft.com/office/drawing/2014/main" id="{00000000-0008-0000-0400-000089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62" name="Text Box 2">
          <a:extLst>
            <a:ext uri="{FF2B5EF4-FFF2-40B4-BE49-F238E27FC236}">
              <a16:creationId xmlns:a16="http://schemas.microsoft.com/office/drawing/2014/main" id="{00000000-0008-0000-0400-00008A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63" name="Text Box 2">
          <a:extLst>
            <a:ext uri="{FF2B5EF4-FFF2-40B4-BE49-F238E27FC236}">
              <a16:creationId xmlns:a16="http://schemas.microsoft.com/office/drawing/2014/main" id="{00000000-0008-0000-0400-00008B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64" name="Text Box 2">
          <a:extLst>
            <a:ext uri="{FF2B5EF4-FFF2-40B4-BE49-F238E27FC236}">
              <a16:creationId xmlns:a16="http://schemas.microsoft.com/office/drawing/2014/main" id="{00000000-0008-0000-0400-00008C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65" name="Text Box 2">
          <a:extLst>
            <a:ext uri="{FF2B5EF4-FFF2-40B4-BE49-F238E27FC236}">
              <a16:creationId xmlns:a16="http://schemas.microsoft.com/office/drawing/2014/main" id="{00000000-0008-0000-0400-00008D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66" name="Text Box 2">
          <a:extLst>
            <a:ext uri="{FF2B5EF4-FFF2-40B4-BE49-F238E27FC236}">
              <a16:creationId xmlns:a16="http://schemas.microsoft.com/office/drawing/2014/main" id="{00000000-0008-0000-0400-00008E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67" name="Text Box 2">
          <a:extLst>
            <a:ext uri="{FF2B5EF4-FFF2-40B4-BE49-F238E27FC236}">
              <a16:creationId xmlns:a16="http://schemas.microsoft.com/office/drawing/2014/main" id="{00000000-0008-0000-0400-00008F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68" name="Text Box 2">
          <a:extLst>
            <a:ext uri="{FF2B5EF4-FFF2-40B4-BE49-F238E27FC236}">
              <a16:creationId xmlns:a16="http://schemas.microsoft.com/office/drawing/2014/main" id="{00000000-0008-0000-0400-000090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69" name="Text Box 2">
          <a:extLst>
            <a:ext uri="{FF2B5EF4-FFF2-40B4-BE49-F238E27FC236}">
              <a16:creationId xmlns:a16="http://schemas.microsoft.com/office/drawing/2014/main" id="{00000000-0008-0000-0400-000091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70" name="Text Box 2">
          <a:extLst>
            <a:ext uri="{FF2B5EF4-FFF2-40B4-BE49-F238E27FC236}">
              <a16:creationId xmlns:a16="http://schemas.microsoft.com/office/drawing/2014/main" id="{00000000-0008-0000-0400-000092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71" name="Text Box 2">
          <a:extLst>
            <a:ext uri="{FF2B5EF4-FFF2-40B4-BE49-F238E27FC236}">
              <a16:creationId xmlns:a16="http://schemas.microsoft.com/office/drawing/2014/main" id="{00000000-0008-0000-0400-000093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72" name="Text Box 2">
          <a:extLst>
            <a:ext uri="{FF2B5EF4-FFF2-40B4-BE49-F238E27FC236}">
              <a16:creationId xmlns:a16="http://schemas.microsoft.com/office/drawing/2014/main" id="{00000000-0008-0000-0400-000094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73" name="Text Box 2">
          <a:extLst>
            <a:ext uri="{FF2B5EF4-FFF2-40B4-BE49-F238E27FC236}">
              <a16:creationId xmlns:a16="http://schemas.microsoft.com/office/drawing/2014/main" id="{00000000-0008-0000-0400-000095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74" name="Text Box 2">
          <a:extLst>
            <a:ext uri="{FF2B5EF4-FFF2-40B4-BE49-F238E27FC236}">
              <a16:creationId xmlns:a16="http://schemas.microsoft.com/office/drawing/2014/main" id="{00000000-0008-0000-0400-000096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75" name="Text Box 2">
          <a:extLst>
            <a:ext uri="{FF2B5EF4-FFF2-40B4-BE49-F238E27FC236}">
              <a16:creationId xmlns:a16="http://schemas.microsoft.com/office/drawing/2014/main" id="{00000000-0008-0000-0400-000097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76" name="Text Box 2">
          <a:extLst>
            <a:ext uri="{FF2B5EF4-FFF2-40B4-BE49-F238E27FC236}">
              <a16:creationId xmlns:a16="http://schemas.microsoft.com/office/drawing/2014/main" id="{00000000-0008-0000-0400-000098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77" name="Text Box 2">
          <a:extLst>
            <a:ext uri="{FF2B5EF4-FFF2-40B4-BE49-F238E27FC236}">
              <a16:creationId xmlns:a16="http://schemas.microsoft.com/office/drawing/2014/main" id="{00000000-0008-0000-0400-000099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78" name="Text Box 2">
          <a:extLst>
            <a:ext uri="{FF2B5EF4-FFF2-40B4-BE49-F238E27FC236}">
              <a16:creationId xmlns:a16="http://schemas.microsoft.com/office/drawing/2014/main" id="{00000000-0008-0000-0400-00009A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79" name="Text Box 2">
          <a:extLst>
            <a:ext uri="{FF2B5EF4-FFF2-40B4-BE49-F238E27FC236}">
              <a16:creationId xmlns:a16="http://schemas.microsoft.com/office/drawing/2014/main" id="{00000000-0008-0000-0400-00009B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80" name="Text Box 2">
          <a:extLst>
            <a:ext uri="{FF2B5EF4-FFF2-40B4-BE49-F238E27FC236}">
              <a16:creationId xmlns:a16="http://schemas.microsoft.com/office/drawing/2014/main" id="{00000000-0008-0000-0400-00009C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81" name="Text Box 2">
          <a:extLst>
            <a:ext uri="{FF2B5EF4-FFF2-40B4-BE49-F238E27FC236}">
              <a16:creationId xmlns:a16="http://schemas.microsoft.com/office/drawing/2014/main" id="{00000000-0008-0000-0400-00009D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82" name="Text Box 2">
          <a:extLst>
            <a:ext uri="{FF2B5EF4-FFF2-40B4-BE49-F238E27FC236}">
              <a16:creationId xmlns:a16="http://schemas.microsoft.com/office/drawing/2014/main" id="{00000000-0008-0000-0400-00009E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83" name="Text Box 2">
          <a:extLst>
            <a:ext uri="{FF2B5EF4-FFF2-40B4-BE49-F238E27FC236}">
              <a16:creationId xmlns:a16="http://schemas.microsoft.com/office/drawing/2014/main" id="{00000000-0008-0000-0400-00009F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84" name="Text Box 2">
          <a:extLst>
            <a:ext uri="{FF2B5EF4-FFF2-40B4-BE49-F238E27FC236}">
              <a16:creationId xmlns:a16="http://schemas.microsoft.com/office/drawing/2014/main" id="{00000000-0008-0000-0400-0000A0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85" name="Text Box 2">
          <a:extLst>
            <a:ext uri="{FF2B5EF4-FFF2-40B4-BE49-F238E27FC236}">
              <a16:creationId xmlns:a16="http://schemas.microsoft.com/office/drawing/2014/main" id="{00000000-0008-0000-0400-0000A1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86" name="Text Box 2">
          <a:extLst>
            <a:ext uri="{FF2B5EF4-FFF2-40B4-BE49-F238E27FC236}">
              <a16:creationId xmlns:a16="http://schemas.microsoft.com/office/drawing/2014/main" id="{00000000-0008-0000-0400-0000A2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87" name="Text Box 2">
          <a:extLst>
            <a:ext uri="{FF2B5EF4-FFF2-40B4-BE49-F238E27FC236}">
              <a16:creationId xmlns:a16="http://schemas.microsoft.com/office/drawing/2014/main" id="{00000000-0008-0000-0400-0000A3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88" name="Text Box 2">
          <a:extLst>
            <a:ext uri="{FF2B5EF4-FFF2-40B4-BE49-F238E27FC236}">
              <a16:creationId xmlns:a16="http://schemas.microsoft.com/office/drawing/2014/main" id="{00000000-0008-0000-0400-0000A4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89" name="Text Box 2">
          <a:extLst>
            <a:ext uri="{FF2B5EF4-FFF2-40B4-BE49-F238E27FC236}">
              <a16:creationId xmlns:a16="http://schemas.microsoft.com/office/drawing/2014/main" id="{00000000-0008-0000-0400-0000A5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90" name="Text Box 2">
          <a:extLst>
            <a:ext uri="{FF2B5EF4-FFF2-40B4-BE49-F238E27FC236}">
              <a16:creationId xmlns:a16="http://schemas.microsoft.com/office/drawing/2014/main" id="{00000000-0008-0000-0400-0000A6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91" name="Text Box 2">
          <a:extLst>
            <a:ext uri="{FF2B5EF4-FFF2-40B4-BE49-F238E27FC236}">
              <a16:creationId xmlns:a16="http://schemas.microsoft.com/office/drawing/2014/main" id="{00000000-0008-0000-0400-0000A7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92" name="Text Box 2">
          <a:extLst>
            <a:ext uri="{FF2B5EF4-FFF2-40B4-BE49-F238E27FC236}">
              <a16:creationId xmlns:a16="http://schemas.microsoft.com/office/drawing/2014/main" id="{00000000-0008-0000-0400-0000A8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93" name="Text Box 2">
          <a:extLst>
            <a:ext uri="{FF2B5EF4-FFF2-40B4-BE49-F238E27FC236}">
              <a16:creationId xmlns:a16="http://schemas.microsoft.com/office/drawing/2014/main" id="{00000000-0008-0000-0400-0000A9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94" name="Text Box 2">
          <a:extLst>
            <a:ext uri="{FF2B5EF4-FFF2-40B4-BE49-F238E27FC236}">
              <a16:creationId xmlns:a16="http://schemas.microsoft.com/office/drawing/2014/main" id="{00000000-0008-0000-0400-0000AA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95" name="Text Box 2">
          <a:extLst>
            <a:ext uri="{FF2B5EF4-FFF2-40B4-BE49-F238E27FC236}">
              <a16:creationId xmlns:a16="http://schemas.microsoft.com/office/drawing/2014/main" id="{00000000-0008-0000-0400-0000AB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96" name="Text Box 2">
          <a:extLst>
            <a:ext uri="{FF2B5EF4-FFF2-40B4-BE49-F238E27FC236}">
              <a16:creationId xmlns:a16="http://schemas.microsoft.com/office/drawing/2014/main" id="{00000000-0008-0000-0400-0000AC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97" name="Text Box 2">
          <a:extLst>
            <a:ext uri="{FF2B5EF4-FFF2-40B4-BE49-F238E27FC236}">
              <a16:creationId xmlns:a16="http://schemas.microsoft.com/office/drawing/2014/main" id="{00000000-0008-0000-0400-0000AD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98" name="Text Box 2">
          <a:extLst>
            <a:ext uri="{FF2B5EF4-FFF2-40B4-BE49-F238E27FC236}">
              <a16:creationId xmlns:a16="http://schemas.microsoft.com/office/drawing/2014/main" id="{00000000-0008-0000-0400-0000AE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199" name="Text Box 2">
          <a:extLst>
            <a:ext uri="{FF2B5EF4-FFF2-40B4-BE49-F238E27FC236}">
              <a16:creationId xmlns:a16="http://schemas.microsoft.com/office/drawing/2014/main" id="{00000000-0008-0000-0400-0000AF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00" name="Text Box 2">
          <a:extLst>
            <a:ext uri="{FF2B5EF4-FFF2-40B4-BE49-F238E27FC236}">
              <a16:creationId xmlns:a16="http://schemas.microsoft.com/office/drawing/2014/main" id="{00000000-0008-0000-0400-0000B0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01" name="Text Box 2">
          <a:extLst>
            <a:ext uri="{FF2B5EF4-FFF2-40B4-BE49-F238E27FC236}">
              <a16:creationId xmlns:a16="http://schemas.microsoft.com/office/drawing/2014/main" id="{00000000-0008-0000-0400-0000B1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02" name="Text Box 2">
          <a:extLst>
            <a:ext uri="{FF2B5EF4-FFF2-40B4-BE49-F238E27FC236}">
              <a16:creationId xmlns:a16="http://schemas.microsoft.com/office/drawing/2014/main" id="{00000000-0008-0000-0400-0000B2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03" name="Text Box 2">
          <a:extLst>
            <a:ext uri="{FF2B5EF4-FFF2-40B4-BE49-F238E27FC236}">
              <a16:creationId xmlns:a16="http://schemas.microsoft.com/office/drawing/2014/main" id="{00000000-0008-0000-0400-0000B3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04" name="Text Box 2">
          <a:extLst>
            <a:ext uri="{FF2B5EF4-FFF2-40B4-BE49-F238E27FC236}">
              <a16:creationId xmlns:a16="http://schemas.microsoft.com/office/drawing/2014/main" id="{00000000-0008-0000-0400-0000B4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05" name="Text Box 2">
          <a:extLst>
            <a:ext uri="{FF2B5EF4-FFF2-40B4-BE49-F238E27FC236}">
              <a16:creationId xmlns:a16="http://schemas.microsoft.com/office/drawing/2014/main" id="{00000000-0008-0000-0400-0000B5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06" name="Text Box 2">
          <a:extLst>
            <a:ext uri="{FF2B5EF4-FFF2-40B4-BE49-F238E27FC236}">
              <a16:creationId xmlns:a16="http://schemas.microsoft.com/office/drawing/2014/main" id="{00000000-0008-0000-0400-0000B6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07" name="Text Box 2">
          <a:extLst>
            <a:ext uri="{FF2B5EF4-FFF2-40B4-BE49-F238E27FC236}">
              <a16:creationId xmlns:a16="http://schemas.microsoft.com/office/drawing/2014/main" id="{00000000-0008-0000-0400-0000B7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08" name="Text Box 2">
          <a:extLst>
            <a:ext uri="{FF2B5EF4-FFF2-40B4-BE49-F238E27FC236}">
              <a16:creationId xmlns:a16="http://schemas.microsoft.com/office/drawing/2014/main" id="{00000000-0008-0000-0400-0000B8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09" name="Text Box 2">
          <a:extLst>
            <a:ext uri="{FF2B5EF4-FFF2-40B4-BE49-F238E27FC236}">
              <a16:creationId xmlns:a16="http://schemas.microsoft.com/office/drawing/2014/main" id="{00000000-0008-0000-0400-0000B9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10" name="Text Box 2">
          <a:extLst>
            <a:ext uri="{FF2B5EF4-FFF2-40B4-BE49-F238E27FC236}">
              <a16:creationId xmlns:a16="http://schemas.microsoft.com/office/drawing/2014/main" id="{00000000-0008-0000-0400-0000BA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11" name="Text Box 2">
          <a:extLst>
            <a:ext uri="{FF2B5EF4-FFF2-40B4-BE49-F238E27FC236}">
              <a16:creationId xmlns:a16="http://schemas.microsoft.com/office/drawing/2014/main" id="{00000000-0008-0000-0400-0000BB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12" name="Text Box 2">
          <a:extLst>
            <a:ext uri="{FF2B5EF4-FFF2-40B4-BE49-F238E27FC236}">
              <a16:creationId xmlns:a16="http://schemas.microsoft.com/office/drawing/2014/main" id="{00000000-0008-0000-0400-0000BC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13" name="Text Box 2">
          <a:extLst>
            <a:ext uri="{FF2B5EF4-FFF2-40B4-BE49-F238E27FC236}">
              <a16:creationId xmlns:a16="http://schemas.microsoft.com/office/drawing/2014/main" id="{00000000-0008-0000-0400-0000BD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14" name="Text Box 2">
          <a:extLst>
            <a:ext uri="{FF2B5EF4-FFF2-40B4-BE49-F238E27FC236}">
              <a16:creationId xmlns:a16="http://schemas.microsoft.com/office/drawing/2014/main" id="{00000000-0008-0000-0400-0000BE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15" name="Text Box 2">
          <a:extLst>
            <a:ext uri="{FF2B5EF4-FFF2-40B4-BE49-F238E27FC236}">
              <a16:creationId xmlns:a16="http://schemas.microsoft.com/office/drawing/2014/main" id="{00000000-0008-0000-0400-0000BF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16" name="Text Box 2">
          <a:extLst>
            <a:ext uri="{FF2B5EF4-FFF2-40B4-BE49-F238E27FC236}">
              <a16:creationId xmlns:a16="http://schemas.microsoft.com/office/drawing/2014/main" id="{00000000-0008-0000-0400-0000C0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17" name="Text Box 2">
          <a:extLst>
            <a:ext uri="{FF2B5EF4-FFF2-40B4-BE49-F238E27FC236}">
              <a16:creationId xmlns:a16="http://schemas.microsoft.com/office/drawing/2014/main" id="{00000000-0008-0000-0400-0000C1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18" name="Text Box 2">
          <a:extLst>
            <a:ext uri="{FF2B5EF4-FFF2-40B4-BE49-F238E27FC236}">
              <a16:creationId xmlns:a16="http://schemas.microsoft.com/office/drawing/2014/main" id="{00000000-0008-0000-0400-0000C2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19" name="Text Box 2">
          <a:extLst>
            <a:ext uri="{FF2B5EF4-FFF2-40B4-BE49-F238E27FC236}">
              <a16:creationId xmlns:a16="http://schemas.microsoft.com/office/drawing/2014/main" id="{00000000-0008-0000-0400-0000C3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20" name="Text Box 2">
          <a:extLst>
            <a:ext uri="{FF2B5EF4-FFF2-40B4-BE49-F238E27FC236}">
              <a16:creationId xmlns:a16="http://schemas.microsoft.com/office/drawing/2014/main" id="{00000000-0008-0000-0400-0000C4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21" name="Text Box 2">
          <a:extLst>
            <a:ext uri="{FF2B5EF4-FFF2-40B4-BE49-F238E27FC236}">
              <a16:creationId xmlns:a16="http://schemas.microsoft.com/office/drawing/2014/main" id="{00000000-0008-0000-0400-0000C5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22" name="Text Box 2">
          <a:extLst>
            <a:ext uri="{FF2B5EF4-FFF2-40B4-BE49-F238E27FC236}">
              <a16:creationId xmlns:a16="http://schemas.microsoft.com/office/drawing/2014/main" id="{00000000-0008-0000-0400-0000C6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23" name="Text Box 2">
          <a:extLst>
            <a:ext uri="{FF2B5EF4-FFF2-40B4-BE49-F238E27FC236}">
              <a16:creationId xmlns:a16="http://schemas.microsoft.com/office/drawing/2014/main" id="{00000000-0008-0000-0400-0000C7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24" name="Text Box 2">
          <a:extLst>
            <a:ext uri="{FF2B5EF4-FFF2-40B4-BE49-F238E27FC236}">
              <a16:creationId xmlns:a16="http://schemas.microsoft.com/office/drawing/2014/main" id="{00000000-0008-0000-0400-0000C8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25" name="Text Box 2">
          <a:extLst>
            <a:ext uri="{FF2B5EF4-FFF2-40B4-BE49-F238E27FC236}">
              <a16:creationId xmlns:a16="http://schemas.microsoft.com/office/drawing/2014/main" id="{00000000-0008-0000-0400-0000C9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26" name="Text Box 2">
          <a:extLst>
            <a:ext uri="{FF2B5EF4-FFF2-40B4-BE49-F238E27FC236}">
              <a16:creationId xmlns:a16="http://schemas.microsoft.com/office/drawing/2014/main" id="{00000000-0008-0000-0400-0000CA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27" name="Text Box 2">
          <a:extLst>
            <a:ext uri="{FF2B5EF4-FFF2-40B4-BE49-F238E27FC236}">
              <a16:creationId xmlns:a16="http://schemas.microsoft.com/office/drawing/2014/main" id="{00000000-0008-0000-0400-0000CB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28" name="Text Box 2">
          <a:extLst>
            <a:ext uri="{FF2B5EF4-FFF2-40B4-BE49-F238E27FC236}">
              <a16:creationId xmlns:a16="http://schemas.microsoft.com/office/drawing/2014/main" id="{00000000-0008-0000-0400-0000CC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29" name="Text Box 2">
          <a:extLst>
            <a:ext uri="{FF2B5EF4-FFF2-40B4-BE49-F238E27FC236}">
              <a16:creationId xmlns:a16="http://schemas.microsoft.com/office/drawing/2014/main" id="{00000000-0008-0000-0400-0000CD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30" name="Text Box 2">
          <a:extLst>
            <a:ext uri="{FF2B5EF4-FFF2-40B4-BE49-F238E27FC236}">
              <a16:creationId xmlns:a16="http://schemas.microsoft.com/office/drawing/2014/main" id="{00000000-0008-0000-0400-0000CE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31" name="Text Box 2">
          <a:extLst>
            <a:ext uri="{FF2B5EF4-FFF2-40B4-BE49-F238E27FC236}">
              <a16:creationId xmlns:a16="http://schemas.microsoft.com/office/drawing/2014/main" id="{00000000-0008-0000-0400-0000CF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32" name="Text Box 2">
          <a:extLst>
            <a:ext uri="{FF2B5EF4-FFF2-40B4-BE49-F238E27FC236}">
              <a16:creationId xmlns:a16="http://schemas.microsoft.com/office/drawing/2014/main" id="{00000000-0008-0000-0400-0000D0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33" name="Text Box 2">
          <a:extLst>
            <a:ext uri="{FF2B5EF4-FFF2-40B4-BE49-F238E27FC236}">
              <a16:creationId xmlns:a16="http://schemas.microsoft.com/office/drawing/2014/main" id="{00000000-0008-0000-0400-0000D1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34" name="Text Box 2">
          <a:extLst>
            <a:ext uri="{FF2B5EF4-FFF2-40B4-BE49-F238E27FC236}">
              <a16:creationId xmlns:a16="http://schemas.microsoft.com/office/drawing/2014/main" id="{00000000-0008-0000-0400-0000D2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35" name="Text Box 2">
          <a:extLst>
            <a:ext uri="{FF2B5EF4-FFF2-40B4-BE49-F238E27FC236}">
              <a16:creationId xmlns:a16="http://schemas.microsoft.com/office/drawing/2014/main" id="{00000000-0008-0000-0400-0000D3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36" name="Text Box 2">
          <a:extLst>
            <a:ext uri="{FF2B5EF4-FFF2-40B4-BE49-F238E27FC236}">
              <a16:creationId xmlns:a16="http://schemas.microsoft.com/office/drawing/2014/main" id="{00000000-0008-0000-0400-0000D4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37" name="Text Box 2">
          <a:extLst>
            <a:ext uri="{FF2B5EF4-FFF2-40B4-BE49-F238E27FC236}">
              <a16:creationId xmlns:a16="http://schemas.microsoft.com/office/drawing/2014/main" id="{00000000-0008-0000-0400-0000D5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38" name="Text Box 2">
          <a:extLst>
            <a:ext uri="{FF2B5EF4-FFF2-40B4-BE49-F238E27FC236}">
              <a16:creationId xmlns:a16="http://schemas.microsoft.com/office/drawing/2014/main" id="{00000000-0008-0000-0400-0000D6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39" name="Text Box 2">
          <a:extLst>
            <a:ext uri="{FF2B5EF4-FFF2-40B4-BE49-F238E27FC236}">
              <a16:creationId xmlns:a16="http://schemas.microsoft.com/office/drawing/2014/main" id="{00000000-0008-0000-0400-0000D7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40" name="Text Box 2">
          <a:extLst>
            <a:ext uri="{FF2B5EF4-FFF2-40B4-BE49-F238E27FC236}">
              <a16:creationId xmlns:a16="http://schemas.microsoft.com/office/drawing/2014/main" id="{00000000-0008-0000-0400-0000D8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41" name="Text Box 2">
          <a:extLst>
            <a:ext uri="{FF2B5EF4-FFF2-40B4-BE49-F238E27FC236}">
              <a16:creationId xmlns:a16="http://schemas.microsoft.com/office/drawing/2014/main" id="{00000000-0008-0000-0400-0000D9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42" name="Text Box 2">
          <a:extLst>
            <a:ext uri="{FF2B5EF4-FFF2-40B4-BE49-F238E27FC236}">
              <a16:creationId xmlns:a16="http://schemas.microsoft.com/office/drawing/2014/main" id="{00000000-0008-0000-0400-0000DA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43" name="Text Box 2">
          <a:extLst>
            <a:ext uri="{FF2B5EF4-FFF2-40B4-BE49-F238E27FC236}">
              <a16:creationId xmlns:a16="http://schemas.microsoft.com/office/drawing/2014/main" id="{00000000-0008-0000-0400-0000DB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44" name="Text Box 2">
          <a:extLst>
            <a:ext uri="{FF2B5EF4-FFF2-40B4-BE49-F238E27FC236}">
              <a16:creationId xmlns:a16="http://schemas.microsoft.com/office/drawing/2014/main" id="{00000000-0008-0000-0400-0000DC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45" name="Text Box 2">
          <a:extLst>
            <a:ext uri="{FF2B5EF4-FFF2-40B4-BE49-F238E27FC236}">
              <a16:creationId xmlns:a16="http://schemas.microsoft.com/office/drawing/2014/main" id="{00000000-0008-0000-0400-0000DD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46" name="Text Box 2">
          <a:extLst>
            <a:ext uri="{FF2B5EF4-FFF2-40B4-BE49-F238E27FC236}">
              <a16:creationId xmlns:a16="http://schemas.microsoft.com/office/drawing/2014/main" id="{00000000-0008-0000-0400-0000DE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47" name="Text Box 2">
          <a:extLst>
            <a:ext uri="{FF2B5EF4-FFF2-40B4-BE49-F238E27FC236}">
              <a16:creationId xmlns:a16="http://schemas.microsoft.com/office/drawing/2014/main" id="{00000000-0008-0000-0400-0000DF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48" name="Text Box 2">
          <a:extLst>
            <a:ext uri="{FF2B5EF4-FFF2-40B4-BE49-F238E27FC236}">
              <a16:creationId xmlns:a16="http://schemas.microsoft.com/office/drawing/2014/main" id="{00000000-0008-0000-0400-0000E0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49" name="Text Box 2">
          <a:extLst>
            <a:ext uri="{FF2B5EF4-FFF2-40B4-BE49-F238E27FC236}">
              <a16:creationId xmlns:a16="http://schemas.microsoft.com/office/drawing/2014/main" id="{00000000-0008-0000-0400-0000E1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50" name="Text Box 2">
          <a:extLst>
            <a:ext uri="{FF2B5EF4-FFF2-40B4-BE49-F238E27FC236}">
              <a16:creationId xmlns:a16="http://schemas.microsoft.com/office/drawing/2014/main" id="{00000000-0008-0000-0400-0000E2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51" name="Text Box 2">
          <a:extLst>
            <a:ext uri="{FF2B5EF4-FFF2-40B4-BE49-F238E27FC236}">
              <a16:creationId xmlns:a16="http://schemas.microsoft.com/office/drawing/2014/main" id="{00000000-0008-0000-0400-0000E3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52" name="Text Box 2">
          <a:extLst>
            <a:ext uri="{FF2B5EF4-FFF2-40B4-BE49-F238E27FC236}">
              <a16:creationId xmlns:a16="http://schemas.microsoft.com/office/drawing/2014/main" id="{00000000-0008-0000-0400-0000E4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53" name="Text Box 2">
          <a:extLst>
            <a:ext uri="{FF2B5EF4-FFF2-40B4-BE49-F238E27FC236}">
              <a16:creationId xmlns:a16="http://schemas.microsoft.com/office/drawing/2014/main" id="{00000000-0008-0000-0400-0000E5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54" name="Text Box 2">
          <a:extLst>
            <a:ext uri="{FF2B5EF4-FFF2-40B4-BE49-F238E27FC236}">
              <a16:creationId xmlns:a16="http://schemas.microsoft.com/office/drawing/2014/main" id="{00000000-0008-0000-0400-0000E6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55" name="Text Box 2">
          <a:extLst>
            <a:ext uri="{FF2B5EF4-FFF2-40B4-BE49-F238E27FC236}">
              <a16:creationId xmlns:a16="http://schemas.microsoft.com/office/drawing/2014/main" id="{00000000-0008-0000-0400-0000E7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56" name="Text Box 2">
          <a:extLst>
            <a:ext uri="{FF2B5EF4-FFF2-40B4-BE49-F238E27FC236}">
              <a16:creationId xmlns:a16="http://schemas.microsoft.com/office/drawing/2014/main" id="{00000000-0008-0000-0400-0000E8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57" name="Text Box 2">
          <a:extLst>
            <a:ext uri="{FF2B5EF4-FFF2-40B4-BE49-F238E27FC236}">
              <a16:creationId xmlns:a16="http://schemas.microsoft.com/office/drawing/2014/main" id="{00000000-0008-0000-0400-0000E9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58" name="Text Box 2">
          <a:extLst>
            <a:ext uri="{FF2B5EF4-FFF2-40B4-BE49-F238E27FC236}">
              <a16:creationId xmlns:a16="http://schemas.microsoft.com/office/drawing/2014/main" id="{00000000-0008-0000-0400-0000EA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59" name="Text Box 2">
          <a:extLst>
            <a:ext uri="{FF2B5EF4-FFF2-40B4-BE49-F238E27FC236}">
              <a16:creationId xmlns:a16="http://schemas.microsoft.com/office/drawing/2014/main" id="{00000000-0008-0000-0400-0000EB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60" name="Text Box 2">
          <a:extLst>
            <a:ext uri="{FF2B5EF4-FFF2-40B4-BE49-F238E27FC236}">
              <a16:creationId xmlns:a16="http://schemas.microsoft.com/office/drawing/2014/main" id="{00000000-0008-0000-0400-0000EC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61" name="Text Box 2">
          <a:extLst>
            <a:ext uri="{FF2B5EF4-FFF2-40B4-BE49-F238E27FC236}">
              <a16:creationId xmlns:a16="http://schemas.microsoft.com/office/drawing/2014/main" id="{00000000-0008-0000-0400-0000ED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62" name="Text Box 2">
          <a:extLst>
            <a:ext uri="{FF2B5EF4-FFF2-40B4-BE49-F238E27FC236}">
              <a16:creationId xmlns:a16="http://schemas.microsoft.com/office/drawing/2014/main" id="{00000000-0008-0000-0400-0000EE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63" name="Text Box 2">
          <a:extLst>
            <a:ext uri="{FF2B5EF4-FFF2-40B4-BE49-F238E27FC236}">
              <a16:creationId xmlns:a16="http://schemas.microsoft.com/office/drawing/2014/main" id="{00000000-0008-0000-0400-0000EF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64" name="Text Box 2">
          <a:extLst>
            <a:ext uri="{FF2B5EF4-FFF2-40B4-BE49-F238E27FC236}">
              <a16:creationId xmlns:a16="http://schemas.microsoft.com/office/drawing/2014/main" id="{00000000-0008-0000-0400-0000F0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65" name="Text Box 2">
          <a:extLst>
            <a:ext uri="{FF2B5EF4-FFF2-40B4-BE49-F238E27FC236}">
              <a16:creationId xmlns:a16="http://schemas.microsoft.com/office/drawing/2014/main" id="{00000000-0008-0000-0400-0000F1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66" name="Text Box 2">
          <a:extLst>
            <a:ext uri="{FF2B5EF4-FFF2-40B4-BE49-F238E27FC236}">
              <a16:creationId xmlns:a16="http://schemas.microsoft.com/office/drawing/2014/main" id="{00000000-0008-0000-0400-0000F2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67" name="Text Box 2">
          <a:extLst>
            <a:ext uri="{FF2B5EF4-FFF2-40B4-BE49-F238E27FC236}">
              <a16:creationId xmlns:a16="http://schemas.microsoft.com/office/drawing/2014/main" id="{00000000-0008-0000-0400-0000F3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68" name="Text Box 2">
          <a:extLst>
            <a:ext uri="{FF2B5EF4-FFF2-40B4-BE49-F238E27FC236}">
              <a16:creationId xmlns:a16="http://schemas.microsoft.com/office/drawing/2014/main" id="{00000000-0008-0000-0400-0000F4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69" name="Text Box 2">
          <a:extLst>
            <a:ext uri="{FF2B5EF4-FFF2-40B4-BE49-F238E27FC236}">
              <a16:creationId xmlns:a16="http://schemas.microsoft.com/office/drawing/2014/main" id="{00000000-0008-0000-0400-0000F5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70" name="Text Box 2">
          <a:extLst>
            <a:ext uri="{FF2B5EF4-FFF2-40B4-BE49-F238E27FC236}">
              <a16:creationId xmlns:a16="http://schemas.microsoft.com/office/drawing/2014/main" id="{00000000-0008-0000-0400-0000F6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71" name="Text Box 2">
          <a:extLst>
            <a:ext uri="{FF2B5EF4-FFF2-40B4-BE49-F238E27FC236}">
              <a16:creationId xmlns:a16="http://schemas.microsoft.com/office/drawing/2014/main" id="{00000000-0008-0000-0400-0000F7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72" name="Text Box 2">
          <a:extLst>
            <a:ext uri="{FF2B5EF4-FFF2-40B4-BE49-F238E27FC236}">
              <a16:creationId xmlns:a16="http://schemas.microsoft.com/office/drawing/2014/main" id="{00000000-0008-0000-0400-0000F8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73" name="Text Box 2">
          <a:extLst>
            <a:ext uri="{FF2B5EF4-FFF2-40B4-BE49-F238E27FC236}">
              <a16:creationId xmlns:a16="http://schemas.microsoft.com/office/drawing/2014/main" id="{00000000-0008-0000-0400-0000F9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74" name="Text Box 2">
          <a:extLst>
            <a:ext uri="{FF2B5EF4-FFF2-40B4-BE49-F238E27FC236}">
              <a16:creationId xmlns:a16="http://schemas.microsoft.com/office/drawing/2014/main" id="{00000000-0008-0000-0400-0000FA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75" name="Text Box 2">
          <a:extLst>
            <a:ext uri="{FF2B5EF4-FFF2-40B4-BE49-F238E27FC236}">
              <a16:creationId xmlns:a16="http://schemas.microsoft.com/office/drawing/2014/main" id="{00000000-0008-0000-0400-0000FB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76" name="Text Box 2">
          <a:extLst>
            <a:ext uri="{FF2B5EF4-FFF2-40B4-BE49-F238E27FC236}">
              <a16:creationId xmlns:a16="http://schemas.microsoft.com/office/drawing/2014/main" id="{00000000-0008-0000-0400-0000FC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77" name="Text Box 2">
          <a:extLst>
            <a:ext uri="{FF2B5EF4-FFF2-40B4-BE49-F238E27FC236}">
              <a16:creationId xmlns:a16="http://schemas.microsoft.com/office/drawing/2014/main" id="{00000000-0008-0000-0400-0000FD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78" name="Text Box 2">
          <a:extLst>
            <a:ext uri="{FF2B5EF4-FFF2-40B4-BE49-F238E27FC236}">
              <a16:creationId xmlns:a16="http://schemas.microsoft.com/office/drawing/2014/main" id="{00000000-0008-0000-0400-0000FE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79" name="Text Box 2">
          <a:extLst>
            <a:ext uri="{FF2B5EF4-FFF2-40B4-BE49-F238E27FC236}">
              <a16:creationId xmlns:a16="http://schemas.microsoft.com/office/drawing/2014/main" id="{00000000-0008-0000-0400-0000FF04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80" name="Text Box 2">
          <a:extLst>
            <a:ext uri="{FF2B5EF4-FFF2-40B4-BE49-F238E27FC236}">
              <a16:creationId xmlns:a16="http://schemas.microsoft.com/office/drawing/2014/main" id="{00000000-0008-0000-0400-000000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81" name="Text Box 2">
          <a:extLst>
            <a:ext uri="{FF2B5EF4-FFF2-40B4-BE49-F238E27FC236}">
              <a16:creationId xmlns:a16="http://schemas.microsoft.com/office/drawing/2014/main" id="{00000000-0008-0000-0400-000001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82" name="Text Box 2">
          <a:extLst>
            <a:ext uri="{FF2B5EF4-FFF2-40B4-BE49-F238E27FC236}">
              <a16:creationId xmlns:a16="http://schemas.microsoft.com/office/drawing/2014/main" id="{00000000-0008-0000-0400-000002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83" name="Text Box 2">
          <a:extLst>
            <a:ext uri="{FF2B5EF4-FFF2-40B4-BE49-F238E27FC236}">
              <a16:creationId xmlns:a16="http://schemas.microsoft.com/office/drawing/2014/main" id="{00000000-0008-0000-0400-000003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84" name="Text Box 2">
          <a:extLst>
            <a:ext uri="{FF2B5EF4-FFF2-40B4-BE49-F238E27FC236}">
              <a16:creationId xmlns:a16="http://schemas.microsoft.com/office/drawing/2014/main" id="{00000000-0008-0000-0400-000004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285" name="Text Box 2">
          <a:extLst>
            <a:ext uri="{FF2B5EF4-FFF2-40B4-BE49-F238E27FC236}">
              <a16:creationId xmlns:a16="http://schemas.microsoft.com/office/drawing/2014/main" id="{00000000-0008-0000-0400-000005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286" name="Text Box 2">
          <a:extLst>
            <a:ext uri="{FF2B5EF4-FFF2-40B4-BE49-F238E27FC236}">
              <a16:creationId xmlns:a16="http://schemas.microsoft.com/office/drawing/2014/main" id="{00000000-0008-0000-0400-000006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287" name="Text Box 2">
          <a:extLst>
            <a:ext uri="{FF2B5EF4-FFF2-40B4-BE49-F238E27FC236}">
              <a16:creationId xmlns:a16="http://schemas.microsoft.com/office/drawing/2014/main" id="{00000000-0008-0000-0400-000007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288" name="Text Box 2">
          <a:extLst>
            <a:ext uri="{FF2B5EF4-FFF2-40B4-BE49-F238E27FC236}">
              <a16:creationId xmlns:a16="http://schemas.microsoft.com/office/drawing/2014/main" id="{00000000-0008-0000-0400-000008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289" name="Text Box 2">
          <a:extLst>
            <a:ext uri="{FF2B5EF4-FFF2-40B4-BE49-F238E27FC236}">
              <a16:creationId xmlns:a16="http://schemas.microsoft.com/office/drawing/2014/main" id="{00000000-0008-0000-0400-000009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290" name="Text Box 2">
          <a:extLst>
            <a:ext uri="{FF2B5EF4-FFF2-40B4-BE49-F238E27FC236}">
              <a16:creationId xmlns:a16="http://schemas.microsoft.com/office/drawing/2014/main" id="{00000000-0008-0000-0400-00000A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291" name="Text Box 2">
          <a:extLst>
            <a:ext uri="{FF2B5EF4-FFF2-40B4-BE49-F238E27FC236}">
              <a16:creationId xmlns:a16="http://schemas.microsoft.com/office/drawing/2014/main" id="{00000000-0008-0000-0400-00000B05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292" name="Text Box 2">
          <a:extLst>
            <a:ext uri="{FF2B5EF4-FFF2-40B4-BE49-F238E27FC236}">
              <a16:creationId xmlns:a16="http://schemas.microsoft.com/office/drawing/2014/main" id="{00000000-0008-0000-0400-00000C05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293" name="Text Box 2">
          <a:extLst>
            <a:ext uri="{FF2B5EF4-FFF2-40B4-BE49-F238E27FC236}">
              <a16:creationId xmlns:a16="http://schemas.microsoft.com/office/drawing/2014/main" id="{00000000-0008-0000-0400-00000D05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294" name="Text Box 2">
          <a:extLst>
            <a:ext uri="{FF2B5EF4-FFF2-40B4-BE49-F238E27FC236}">
              <a16:creationId xmlns:a16="http://schemas.microsoft.com/office/drawing/2014/main" id="{00000000-0008-0000-0400-00000E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295" name="Text Box 2">
          <a:extLst>
            <a:ext uri="{FF2B5EF4-FFF2-40B4-BE49-F238E27FC236}">
              <a16:creationId xmlns:a16="http://schemas.microsoft.com/office/drawing/2014/main" id="{00000000-0008-0000-0400-00000F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296" name="Text Box 2">
          <a:extLst>
            <a:ext uri="{FF2B5EF4-FFF2-40B4-BE49-F238E27FC236}">
              <a16:creationId xmlns:a16="http://schemas.microsoft.com/office/drawing/2014/main" id="{00000000-0008-0000-0400-000010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97" name="Text Box 2">
          <a:extLst>
            <a:ext uri="{FF2B5EF4-FFF2-40B4-BE49-F238E27FC236}">
              <a16:creationId xmlns:a16="http://schemas.microsoft.com/office/drawing/2014/main" id="{00000000-0008-0000-0400-000011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98" name="Text Box 2">
          <a:extLst>
            <a:ext uri="{FF2B5EF4-FFF2-40B4-BE49-F238E27FC236}">
              <a16:creationId xmlns:a16="http://schemas.microsoft.com/office/drawing/2014/main" id="{00000000-0008-0000-0400-000012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299" name="Text Box 2">
          <a:extLst>
            <a:ext uri="{FF2B5EF4-FFF2-40B4-BE49-F238E27FC236}">
              <a16:creationId xmlns:a16="http://schemas.microsoft.com/office/drawing/2014/main" id="{00000000-0008-0000-0400-000013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00" name="Text Box 2">
          <a:extLst>
            <a:ext uri="{FF2B5EF4-FFF2-40B4-BE49-F238E27FC236}">
              <a16:creationId xmlns:a16="http://schemas.microsoft.com/office/drawing/2014/main" id="{00000000-0008-0000-0400-000014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01" name="Text Box 2">
          <a:extLst>
            <a:ext uri="{FF2B5EF4-FFF2-40B4-BE49-F238E27FC236}">
              <a16:creationId xmlns:a16="http://schemas.microsoft.com/office/drawing/2014/main" id="{00000000-0008-0000-0400-000015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02" name="Text Box 2">
          <a:extLst>
            <a:ext uri="{FF2B5EF4-FFF2-40B4-BE49-F238E27FC236}">
              <a16:creationId xmlns:a16="http://schemas.microsoft.com/office/drawing/2014/main" id="{00000000-0008-0000-0400-000016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03" name="Text Box 2">
          <a:extLst>
            <a:ext uri="{FF2B5EF4-FFF2-40B4-BE49-F238E27FC236}">
              <a16:creationId xmlns:a16="http://schemas.microsoft.com/office/drawing/2014/main" id="{00000000-0008-0000-0400-000017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04" name="Text Box 2">
          <a:extLst>
            <a:ext uri="{FF2B5EF4-FFF2-40B4-BE49-F238E27FC236}">
              <a16:creationId xmlns:a16="http://schemas.microsoft.com/office/drawing/2014/main" id="{00000000-0008-0000-0400-000018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05" name="Text Box 2">
          <a:extLst>
            <a:ext uri="{FF2B5EF4-FFF2-40B4-BE49-F238E27FC236}">
              <a16:creationId xmlns:a16="http://schemas.microsoft.com/office/drawing/2014/main" id="{00000000-0008-0000-0400-000019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06" name="Text Box 2">
          <a:extLst>
            <a:ext uri="{FF2B5EF4-FFF2-40B4-BE49-F238E27FC236}">
              <a16:creationId xmlns:a16="http://schemas.microsoft.com/office/drawing/2014/main" id="{00000000-0008-0000-0400-00001A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07" name="Text Box 2">
          <a:extLst>
            <a:ext uri="{FF2B5EF4-FFF2-40B4-BE49-F238E27FC236}">
              <a16:creationId xmlns:a16="http://schemas.microsoft.com/office/drawing/2014/main" id="{00000000-0008-0000-0400-00001B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08" name="Text Box 2">
          <a:extLst>
            <a:ext uri="{FF2B5EF4-FFF2-40B4-BE49-F238E27FC236}">
              <a16:creationId xmlns:a16="http://schemas.microsoft.com/office/drawing/2014/main" id="{00000000-0008-0000-0400-00001C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09" name="Text Box 2">
          <a:extLst>
            <a:ext uri="{FF2B5EF4-FFF2-40B4-BE49-F238E27FC236}">
              <a16:creationId xmlns:a16="http://schemas.microsoft.com/office/drawing/2014/main" id="{00000000-0008-0000-0400-00001D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10" name="Text Box 2">
          <a:extLst>
            <a:ext uri="{FF2B5EF4-FFF2-40B4-BE49-F238E27FC236}">
              <a16:creationId xmlns:a16="http://schemas.microsoft.com/office/drawing/2014/main" id="{00000000-0008-0000-0400-00001E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11" name="Text Box 2">
          <a:extLst>
            <a:ext uri="{FF2B5EF4-FFF2-40B4-BE49-F238E27FC236}">
              <a16:creationId xmlns:a16="http://schemas.microsoft.com/office/drawing/2014/main" id="{00000000-0008-0000-0400-00001F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12" name="Text Box 2">
          <a:extLst>
            <a:ext uri="{FF2B5EF4-FFF2-40B4-BE49-F238E27FC236}">
              <a16:creationId xmlns:a16="http://schemas.microsoft.com/office/drawing/2014/main" id="{00000000-0008-0000-0400-000020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13" name="Text Box 2">
          <a:extLst>
            <a:ext uri="{FF2B5EF4-FFF2-40B4-BE49-F238E27FC236}">
              <a16:creationId xmlns:a16="http://schemas.microsoft.com/office/drawing/2014/main" id="{00000000-0008-0000-0400-000021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14" name="Text Box 2">
          <a:extLst>
            <a:ext uri="{FF2B5EF4-FFF2-40B4-BE49-F238E27FC236}">
              <a16:creationId xmlns:a16="http://schemas.microsoft.com/office/drawing/2014/main" id="{00000000-0008-0000-0400-000022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15" name="Text Box 2">
          <a:extLst>
            <a:ext uri="{FF2B5EF4-FFF2-40B4-BE49-F238E27FC236}">
              <a16:creationId xmlns:a16="http://schemas.microsoft.com/office/drawing/2014/main" id="{00000000-0008-0000-0400-000023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16" name="Text Box 2">
          <a:extLst>
            <a:ext uri="{FF2B5EF4-FFF2-40B4-BE49-F238E27FC236}">
              <a16:creationId xmlns:a16="http://schemas.microsoft.com/office/drawing/2014/main" id="{00000000-0008-0000-0400-000024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17" name="Text Box 2">
          <a:extLst>
            <a:ext uri="{FF2B5EF4-FFF2-40B4-BE49-F238E27FC236}">
              <a16:creationId xmlns:a16="http://schemas.microsoft.com/office/drawing/2014/main" id="{00000000-0008-0000-0400-000025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18" name="Text Box 2">
          <a:extLst>
            <a:ext uri="{FF2B5EF4-FFF2-40B4-BE49-F238E27FC236}">
              <a16:creationId xmlns:a16="http://schemas.microsoft.com/office/drawing/2014/main" id="{00000000-0008-0000-0400-000026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19" name="Text Box 2">
          <a:extLst>
            <a:ext uri="{FF2B5EF4-FFF2-40B4-BE49-F238E27FC236}">
              <a16:creationId xmlns:a16="http://schemas.microsoft.com/office/drawing/2014/main" id="{00000000-0008-0000-0400-000027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20" name="Text Box 2">
          <a:extLst>
            <a:ext uri="{FF2B5EF4-FFF2-40B4-BE49-F238E27FC236}">
              <a16:creationId xmlns:a16="http://schemas.microsoft.com/office/drawing/2014/main" id="{00000000-0008-0000-0400-000028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21" name="Text Box 2">
          <a:extLst>
            <a:ext uri="{FF2B5EF4-FFF2-40B4-BE49-F238E27FC236}">
              <a16:creationId xmlns:a16="http://schemas.microsoft.com/office/drawing/2014/main" id="{00000000-0008-0000-0400-000029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22" name="Text Box 2">
          <a:extLst>
            <a:ext uri="{FF2B5EF4-FFF2-40B4-BE49-F238E27FC236}">
              <a16:creationId xmlns:a16="http://schemas.microsoft.com/office/drawing/2014/main" id="{00000000-0008-0000-0400-00002A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23" name="Text Box 2">
          <a:extLst>
            <a:ext uri="{FF2B5EF4-FFF2-40B4-BE49-F238E27FC236}">
              <a16:creationId xmlns:a16="http://schemas.microsoft.com/office/drawing/2014/main" id="{00000000-0008-0000-0400-00002B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24" name="Text Box 2">
          <a:extLst>
            <a:ext uri="{FF2B5EF4-FFF2-40B4-BE49-F238E27FC236}">
              <a16:creationId xmlns:a16="http://schemas.microsoft.com/office/drawing/2014/main" id="{00000000-0008-0000-0400-00002C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25" name="Text Box 2">
          <a:extLst>
            <a:ext uri="{FF2B5EF4-FFF2-40B4-BE49-F238E27FC236}">
              <a16:creationId xmlns:a16="http://schemas.microsoft.com/office/drawing/2014/main" id="{00000000-0008-0000-0400-00002D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26" name="Text Box 2">
          <a:extLst>
            <a:ext uri="{FF2B5EF4-FFF2-40B4-BE49-F238E27FC236}">
              <a16:creationId xmlns:a16="http://schemas.microsoft.com/office/drawing/2014/main" id="{00000000-0008-0000-0400-00002E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27" name="Text Box 2">
          <a:extLst>
            <a:ext uri="{FF2B5EF4-FFF2-40B4-BE49-F238E27FC236}">
              <a16:creationId xmlns:a16="http://schemas.microsoft.com/office/drawing/2014/main" id="{00000000-0008-0000-0400-00002F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28" name="Text Box 2">
          <a:extLst>
            <a:ext uri="{FF2B5EF4-FFF2-40B4-BE49-F238E27FC236}">
              <a16:creationId xmlns:a16="http://schemas.microsoft.com/office/drawing/2014/main" id="{00000000-0008-0000-0400-000030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29" name="Text Box 2">
          <a:extLst>
            <a:ext uri="{FF2B5EF4-FFF2-40B4-BE49-F238E27FC236}">
              <a16:creationId xmlns:a16="http://schemas.microsoft.com/office/drawing/2014/main" id="{00000000-0008-0000-0400-000031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30" name="Text Box 2">
          <a:extLst>
            <a:ext uri="{FF2B5EF4-FFF2-40B4-BE49-F238E27FC236}">
              <a16:creationId xmlns:a16="http://schemas.microsoft.com/office/drawing/2014/main" id="{00000000-0008-0000-0400-000032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31" name="Text Box 2">
          <a:extLst>
            <a:ext uri="{FF2B5EF4-FFF2-40B4-BE49-F238E27FC236}">
              <a16:creationId xmlns:a16="http://schemas.microsoft.com/office/drawing/2014/main" id="{00000000-0008-0000-0400-000033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32" name="Text Box 2">
          <a:extLst>
            <a:ext uri="{FF2B5EF4-FFF2-40B4-BE49-F238E27FC236}">
              <a16:creationId xmlns:a16="http://schemas.microsoft.com/office/drawing/2014/main" id="{00000000-0008-0000-0400-000034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33" name="Text Box 2">
          <a:extLst>
            <a:ext uri="{FF2B5EF4-FFF2-40B4-BE49-F238E27FC236}">
              <a16:creationId xmlns:a16="http://schemas.microsoft.com/office/drawing/2014/main" id="{00000000-0008-0000-0400-000035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34" name="Text Box 2">
          <a:extLst>
            <a:ext uri="{FF2B5EF4-FFF2-40B4-BE49-F238E27FC236}">
              <a16:creationId xmlns:a16="http://schemas.microsoft.com/office/drawing/2014/main" id="{00000000-0008-0000-0400-000036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35" name="Text Box 2">
          <a:extLst>
            <a:ext uri="{FF2B5EF4-FFF2-40B4-BE49-F238E27FC236}">
              <a16:creationId xmlns:a16="http://schemas.microsoft.com/office/drawing/2014/main" id="{00000000-0008-0000-0400-000037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36" name="Text Box 2">
          <a:extLst>
            <a:ext uri="{FF2B5EF4-FFF2-40B4-BE49-F238E27FC236}">
              <a16:creationId xmlns:a16="http://schemas.microsoft.com/office/drawing/2014/main" id="{00000000-0008-0000-0400-000038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37" name="Text Box 2">
          <a:extLst>
            <a:ext uri="{FF2B5EF4-FFF2-40B4-BE49-F238E27FC236}">
              <a16:creationId xmlns:a16="http://schemas.microsoft.com/office/drawing/2014/main" id="{00000000-0008-0000-0400-000039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38" name="Text Box 2">
          <a:extLst>
            <a:ext uri="{FF2B5EF4-FFF2-40B4-BE49-F238E27FC236}">
              <a16:creationId xmlns:a16="http://schemas.microsoft.com/office/drawing/2014/main" id="{00000000-0008-0000-0400-00003A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39" name="Text Box 2">
          <a:extLst>
            <a:ext uri="{FF2B5EF4-FFF2-40B4-BE49-F238E27FC236}">
              <a16:creationId xmlns:a16="http://schemas.microsoft.com/office/drawing/2014/main" id="{00000000-0008-0000-0400-00003B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40" name="Text Box 2">
          <a:extLst>
            <a:ext uri="{FF2B5EF4-FFF2-40B4-BE49-F238E27FC236}">
              <a16:creationId xmlns:a16="http://schemas.microsoft.com/office/drawing/2014/main" id="{00000000-0008-0000-0400-00003C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41" name="Text Box 2">
          <a:extLst>
            <a:ext uri="{FF2B5EF4-FFF2-40B4-BE49-F238E27FC236}">
              <a16:creationId xmlns:a16="http://schemas.microsoft.com/office/drawing/2014/main" id="{00000000-0008-0000-0400-00003D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42" name="Text Box 2">
          <a:extLst>
            <a:ext uri="{FF2B5EF4-FFF2-40B4-BE49-F238E27FC236}">
              <a16:creationId xmlns:a16="http://schemas.microsoft.com/office/drawing/2014/main" id="{00000000-0008-0000-0400-00003E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43" name="Text Box 2">
          <a:extLst>
            <a:ext uri="{FF2B5EF4-FFF2-40B4-BE49-F238E27FC236}">
              <a16:creationId xmlns:a16="http://schemas.microsoft.com/office/drawing/2014/main" id="{00000000-0008-0000-0400-00003F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44" name="Text Box 2">
          <a:extLst>
            <a:ext uri="{FF2B5EF4-FFF2-40B4-BE49-F238E27FC236}">
              <a16:creationId xmlns:a16="http://schemas.microsoft.com/office/drawing/2014/main" id="{00000000-0008-0000-0400-000040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45" name="Text Box 2">
          <a:extLst>
            <a:ext uri="{FF2B5EF4-FFF2-40B4-BE49-F238E27FC236}">
              <a16:creationId xmlns:a16="http://schemas.microsoft.com/office/drawing/2014/main" id="{00000000-0008-0000-0400-000041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46" name="Text Box 2">
          <a:extLst>
            <a:ext uri="{FF2B5EF4-FFF2-40B4-BE49-F238E27FC236}">
              <a16:creationId xmlns:a16="http://schemas.microsoft.com/office/drawing/2014/main" id="{00000000-0008-0000-0400-000042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47" name="Text Box 2">
          <a:extLst>
            <a:ext uri="{FF2B5EF4-FFF2-40B4-BE49-F238E27FC236}">
              <a16:creationId xmlns:a16="http://schemas.microsoft.com/office/drawing/2014/main" id="{00000000-0008-0000-0400-000043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48" name="Text Box 2">
          <a:extLst>
            <a:ext uri="{FF2B5EF4-FFF2-40B4-BE49-F238E27FC236}">
              <a16:creationId xmlns:a16="http://schemas.microsoft.com/office/drawing/2014/main" id="{00000000-0008-0000-0400-000044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49" name="Text Box 2">
          <a:extLst>
            <a:ext uri="{FF2B5EF4-FFF2-40B4-BE49-F238E27FC236}">
              <a16:creationId xmlns:a16="http://schemas.microsoft.com/office/drawing/2014/main" id="{00000000-0008-0000-0400-000045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50" name="Text Box 2">
          <a:extLst>
            <a:ext uri="{FF2B5EF4-FFF2-40B4-BE49-F238E27FC236}">
              <a16:creationId xmlns:a16="http://schemas.microsoft.com/office/drawing/2014/main" id="{00000000-0008-0000-0400-000046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51" name="Text Box 2">
          <a:extLst>
            <a:ext uri="{FF2B5EF4-FFF2-40B4-BE49-F238E27FC236}">
              <a16:creationId xmlns:a16="http://schemas.microsoft.com/office/drawing/2014/main" id="{00000000-0008-0000-0400-000047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52" name="Text Box 2">
          <a:extLst>
            <a:ext uri="{FF2B5EF4-FFF2-40B4-BE49-F238E27FC236}">
              <a16:creationId xmlns:a16="http://schemas.microsoft.com/office/drawing/2014/main" id="{00000000-0008-0000-0400-000048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53" name="Text Box 2">
          <a:extLst>
            <a:ext uri="{FF2B5EF4-FFF2-40B4-BE49-F238E27FC236}">
              <a16:creationId xmlns:a16="http://schemas.microsoft.com/office/drawing/2014/main" id="{00000000-0008-0000-0400-000049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54" name="Text Box 2">
          <a:extLst>
            <a:ext uri="{FF2B5EF4-FFF2-40B4-BE49-F238E27FC236}">
              <a16:creationId xmlns:a16="http://schemas.microsoft.com/office/drawing/2014/main" id="{00000000-0008-0000-0400-00004A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55" name="Text Box 2">
          <a:extLst>
            <a:ext uri="{FF2B5EF4-FFF2-40B4-BE49-F238E27FC236}">
              <a16:creationId xmlns:a16="http://schemas.microsoft.com/office/drawing/2014/main" id="{00000000-0008-0000-0400-00004B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56" name="Text Box 2">
          <a:extLst>
            <a:ext uri="{FF2B5EF4-FFF2-40B4-BE49-F238E27FC236}">
              <a16:creationId xmlns:a16="http://schemas.microsoft.com/office/drawing/2014/main" id="{00000000-0008-0000-0400-00004C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57" name="Text Box 2">
          <a:extLst>
            <a:ext uri="{FF2B5EF4-FFF2-40B4-BE49-F238E27FC236}">
              <a16:creationId xmlns:a16="http://schemas.microsoft.com/office/drawing/2014/main" id="{00000000-0008-0000-0400-00004D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58" name="Text Box 2">
          <a:extLst>
            <a:ext uri="{FF2B5EF4-FFF2-40B4-BE49-F238E27FC236}">
              <a16:creationId xmlns:a16="http://schemas.microsoft.com/office/drawing/2014/main" id="{00000000-0008-0000-0400-00004E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59" name="Text Box 2">
          <a:extLst>
            <a:ext uri="{FF2B5EF4-FFF2-40B4-BE49-F238E27FC236}">
              <a16:creationId xmlns:a16="http://schemas.microsoft.com/office/drawing/2014/main" id="{00000000-0008-0000-0400-00004F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60" name="Text Box 2">
          <a:extLst>
            <a:ext uri="{FF2B5EF4-FFF2-40B4-BE49-F238E27FC236}">
              <a16:creationId xmlns:a16="http://schemas.microsoft.com/office/drawing/2014/main" id="{00000000-0008-0000-0400-000050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61" name="Text Box 2">
          <a:extLst>
            <a:ext uri="{FF2B5EF4-FFF2-40B4-BE49-F238E27FC236}">
              <a16:creationId xmlns:a16="http://schemas.microsoft.com/office/drawing/2014/main" id="{00000000-0008-0000-0400-000051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62" name="Text Box 2">
          <a:extLst>
            <a:ext uri="{FF2B5EF4-FFF2-40B4-BE49-F238E27FC236}">
              <a16:creationId xmlns:a16="http://schemas.microsoft.com/office/drawing/2014/main" id="{00000000-0008-0000-0400-000052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63" name="Text Box 2">
          <a:extLst>
            <a:ext uri="{FF2B5EF4-FFF2-40B4-BE49-F238E27FC236}">
              <a16:creationId xmlns:a16="http://schemas.microsoft.com/office/drawing/2014/main" id="{00000000-0008-0000-0400-000053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64" name="Text Box 2">
          <a:extLst>
            <a:ext uri="{FF2B5EF4-FFF2-40B4-BE49-F238E27FC236}">
              <a16:creationId xmlns:a16="http://schemas.microsoft.com/office/drawing/2014/main" id="{00000000-0008-0000-0400-000054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65" name="Text Box 2">
          <a:extLst>
            <a:ext uri="{FF2B5EF4-FFF2-40B4-BE49-F238E27FC236}">
              <a16:creationId xmlns:a16="http://schemas.microsoft.com/office/drawing/2014/main" id="{00000000-0008-0000-0400-000055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66" name="Text Box 2">
          <a:extLst>
            <a:ext uri="{FF2B5EF4-FFF2-40B4-BE49-F238E27FC236}">
              <a16:creationId xmlns:a16="http://schemas.microsoft.com/office/drawing/2014/main" id="{00000000-0008-0000-0400-000056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67" name="Text Box 2">
          <a:extLst>
            <a:ext uri="{FF2B5EF4-FFF2-40B4-BE49-F238E27FC236}">
              <a16:creationId xmlns:a16="http://schemas.microsoft.com/office/drawing/2014/main" id="{00000000-0008-0000-0400-000057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68" name="Text Box 2">
          <a:extLst>
            <a:ext uri="{FF2B5EF4-FFF2-40B4-BE49-F238E27FC236}">
              <a16:creationId xmlns:a16="http://schemas.microsoft.com/office/drawing/2014/main" id="{00000000-0008-0000-0400-000058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69" name="Text Box 2">
          <a:extLst>
            <a:ext uri="{FF2B5EF4-FFF2-40B4-BE49-F238E27FC236}">
              <a16:creationId xmlns:a16="http://schemas.microsoft.com/office/drawing/2014/main" id="{00000000-0008-0000-0400-000059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70" name="Text Box 2">
          <a:extLst>
            <a:ext uri="{FF2B5EF4-FFF2-40B4-BE49-F238E27FC236}">
              <a16:creationId xmlns:a16="http://schemas.microsoft.com/office/drawing/2014/main" id="{00000000-0008-0000-0400-00005A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71" name="Text Box 2">
          <a:extLst>
            <a:ext uri="{FF2B5EF4-FFF2-40B4-BE49-F238E27FC236}">
              <a16:creationId xmlns:a16="http://schemas.microsoft.com/office/drawing/2014/main" id="{00000000-0008-0000-0400-00005B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72" name="Text Box 2">
          <a:extLst>
            <a:ext uri="{FF2B5EF4-FFF2-40B4-BE49-F238E27FC236}">
              <a16:creationId xmlns:a16="http://schemas.microsoft.com/office/drawing/2014/main" id="{00000000-0008-0000-0400-00005C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73" name="Text Box 2">
          <a:extLst>
            <a:ext uri="{FF2B5EF4-FFF2-40B4-BE49-F238E27FC236}">
              <a16:creationId xmlns:a16="http://schemas.microsoft.com/office/drawing/2014/main" id="{00000000-0008-0000-0400-00005D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74" name="Text Box 2">
          <a:extLst>
            <a:ext uri="{FF2B5EF4-FFF2-40B4-BE49-F238E27FC236}">
              <a16:creationId xmlns:a16="http://schemas.microsoft.com/office/drawing/2014/main" id="{00000000-0008-0000-0400-00005E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75" name="Text Box 2">
          <a:extLst>
            <a:ext uri="{FF2B5EF4-FFF2-40B4-BE49-F238E27FC236}">
              <a16:creationId xmlns:a16="http://schemas.microsoft.com/office/drawing/2014/main" id="{00000000-0008-0000-0400-00005F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76" name="Text Box 2">
          <a:extLst>
            <a:ext uri="{FF2B5EF4-FFF2-40B4-BE49-F238E27FC236}">
              <a16:creationId xmlns:a16="http://schemas.microsoft.com/office/drawing/2014/main" id="{00000000-0008-0000-0400-000060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77" name="Text Box 2">
          <a:extLst>
            <a:ext uri="{FF2B5EF4-FFF2-40B4-BE49-F238E27FC236}">
              <a16:creationId xmlns:a16="http://schemas.microsoft.com/office/drawing/2014/main" id="{00000000-0008-0000-0400-000061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78" name="Text Box 2">
          <a:extLst>
            <a:ext uri="{FF2B5EF4-FFF2-40B4-BE49-F238E27FC236}">
              <a16:creationId xmlns:a16="http://schemas.microsoft.com/office/drawing/2014/main" id="{00000000-0008-0000-0400-000062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79" name="Text Box 2">
          <a:extLst>
            <a:ext uri="{FF2B5EF4-FFF2-40B4-BE49-F238E27FC236}">
              <a16:creationId xmlns:a16="http://schemas.microsoft.com/office/drawing/2014/main" id="{00000000-0008-0000-0400-000063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80" name="Text Box 2">
          <a:extLst>
            <a:ext uri="{FF2B5EF4-FFF2-40B4-BE49-F238E27FC236}">
              <a16:creationId xmlns:a16="http://schemas.microsoft.com/office/drawing/2014/main" id="{00000000-0008-0000-0400-000064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81" name="Text Box 2">
          <a:extLst>
            <a:ext uri="{FF2B5EF4-FFF2-40B4-BE49-F238E27FC236}">
              <a16:creationId xmlns:a16="http://schemas.microsoft.com/office/drawing/2014/main" id="{00000000-0008-0000-0400-000065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82" name="Text Box 2">
          <a:extLst>
            <a:ext uri="{FF2B5EF4-FFF2-40B4-BE49-F238E27FC236}">
              <a16:creationId xmlns:a16="http://schemas.microsoft.com/office/drawing/2014/main" id="{00000000-0008-0000-0400-000066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83" name="Text Box 2">
          <a:extLst>
            <a:ext uri="{FF2B5EF4-FFF2-40B4-BE49-F238E27FC236}">
              <a16:creationId xmlns:a16="http://schemas.microsoft.com/office/drawing/2014/main" id="{00000000-0008-0000-0400-000067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215</xdr:row>
      <xdr:rowOff>158750</xdr:rowOff>
    </xdr:to>
    <xdr:sp macro="" textlink="">
      <xdr:nvSpPr>
        <xdr:cNvPr id="1384" name="Text Box 2">
          <a:extLst>
            <a:ext uri="{FF2B5EF4-FFF2-40B4-BE49-F238E27FC236}">
              <a16:creationId xmlns:a16="http://schemas.microsoft.com/office/drawing/2014/main" id="{00000000-0008-0000-0400-000068050000}"/>
            </a:ext>
          </a:extLst>
        </xdr:cNvPr>
        <xdr:cNvSpPr txBox="1">
          <a:spLocks noChangeArrowheads="1"/>
        </xdr:cNvSpPr>
      </xdr:nvSpPr>
      <xdr:spPr bwMode="auto">
        <a:xfrm>
          <a:off x="3943350" y="50453925"/>
          <a:ext cx="95250" cy="16192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86" name="Text Box 2">
          <a:extLst>
            <a:ext uri="{FF2B5EF4-FFF2-40B4-BE49-F238E27FC236}">
              <a16:creationId xmlns:a16="http://schemas.microsoft.com/office/drawing/2014/main" id="{00000000-0008-0000-0400-00006A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87" name="Text Box 2">
          <a:extLst>
            <a:ext uri="{FF2B5EF4-FFF2-40B4-BE49-F238E27FC236}">
              <a16:creationId xmlns:a16="http://schemas.microsoft.com/office/drawing/2014/main" id="{00000000-0008-0000-0400-00006B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88" name="Text Box 2">
          <a:extLst>
            <a:ext uri="{FF2B5EF4-FFF2-40B4-BE49-F238E27FC236}">
              <a16:creationId xmlns:a16="http://schemas.microsoft.com/office/drawing/2014/main" id="{00000000-0008-0000-0400-00006C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89" name="Text Box 2">
          <a:extLst>
            <a:ext uri="{FF2B5EF4-FFF2-40B4-BE49-F238E27FC236}">
              <a16:creationId xmlns:a16="http://schemas.microsoft.com/office/drawing/2014/main" id="{00000000-0008-0000-0400-00006D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90" name="Text Box 2">
          <a:extLst>
            <a:ext uri="{FF2B5EF4-FFF2-40B4-BE49-F238E27FC236}">
              <a16:creationId xmlns:a16="http://schemas.microsoft.com/office/drawing/2014/main" id="{00000000-0008-0000-0400-00006E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91" name="Text Box 2">
          <a:extLst>
            <a:ext uri="{FF2B5EF4-FFF2-40B4-BE49-F238E27FC236}">
              <a16:creationId xmlns:a16="http://schemas.microsoft.com/office/drawing/2014/main" id="{00000000-0008-0000-0400-00006F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92" name="Text Box 2">
          <a:extLst>
            <a:ext uri="{FF2B5EF4-FFF2-40B4-BE49-F238E27FC236}">
              <a16:creationId xmlns:a16="http://schemas.microsoft.com/office/drawing/2014/main" id="{00000000-0008-0000-0400-000070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93" name="Text Box 2">
          <a:extLst>
            <a:ext uri="{FF2B5EF4-FFF2-40B4-BE49-F238E27FC236}">
              <a16:creationId xmlns:a16="http://schemas.microsoft.com/office/drawing/2014/main" id="{00000000-0008-0000-0400-000071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94" name="Text Box 2">
          <a:extLst>
            <a:ext uri="{FF2B5EF4-FFF2-40B4-BE49-F238E27FC236}">
              <a16:creationId xmlns:a16="http://schemas.microsoft.com/office/drawing/2014/main" id="{00000000-0008-0000-0400-000072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95" name="Text Box 2">
          <a:extLst>
            <a:ext uri="{FF2B5EF4-FFF2-40B4-BE49-F238E27FC236}">
              <a16:creationId xmlns:a16="http://schemas.microsoft.com/office/drawing/2014/main" id="{00000000-0008-0000-0400-000073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96" name="Text Box 2">
          <a:extLst>
            <a:ext uri="{FF2B5EF4-FFF2-40B4-BE49-F238E27FC236}">
              <a16:creationId xmlns:a16="http://schemas.microsoft.com/office/drawing/2014/main" id="{00000000-0008-0000-0400-000074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97" name="Text Box 2">
          <a:extLst>
            <a:ext uri="{FF2B5EF4-FFF2-40B4-BE49-F238E27FC236}">
              <a16:creationId xmlns:a16="http://schemas.microsoft.com/office/drawing/2014/main" id="{00000000-0008-0000-0400-000075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98" name="Text Box 2">
          <a:extLst>
            <a:ext uri="{FF2B5EF4-FFF2-40B4-BE49-F238E27FC236}">
              <a16:creationId xmlns:a16="http://schemas.microsoft.com/office/drawing/2014/main" id="{00000000-0008-0000-0400-000076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399" name="Text Box 2">
          <a:extLst>
            <a:ext uri="{FF2B5EF4-FFF2-40B4-BE49-F238E27FC236}">
              <a16:creationId xmlns:a16="http://schemas.microsoft.com/office/drawing/2014/main" id="{00000000-0008-0000-0400-000077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00" name="Text Box 2">
          <a:extLst>
            <a:ext uri="{FF2B5EF4-FFF2-40B4-BE49-F238E27FC236}">
              <a16:creationId xmlns:a16="http://schemas.microsoft.com/office/drawing/2014/main" id="{00000000-0008-0000-0400-000078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01" name="Text Box 2">
          <a:extLst>
            <a:ext uri="{FF2B5EF4-FFF2-40B4-BE49-F238E27FC236}">
              <a16:creationId xmlns:a16="http://schemas.microsoft.com/office/drawing/2014/main" id="{00000000-0008-0000-0400-000079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02" name="Text Box 2">
          <a:extLst>
            <a:ext uri="{FF2B5EF4-FFF2-40B4-BE49-F238E27FC236}">
              <a16:creationId xmlns:a16="http://schemas.microsoft.com/office/drawing/2014/main" id="{00000000-0008-0000-0400-00007A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03" name="Text Box 2">
          <a:extLst>
            <a:ext uri="{FF2B5EF4-FFF2-40B4-BE49-F238E27FC236}">
              <a16:creationId xmlns:a16="http://schemas.microsoft.com/office/drawing/2014/main" id="{00000000-0008-0000-0400-00007B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04" name="Text Box 2">
          <a:extLst>
            <a:ext uri="{FF2B5EF4-FFF2-40B4-BE49-F238E27FC236}">
              <a16:creationId xmlns:a16="http://schemas.microsoft.com/office/drawing/2014/main" id="{00000000-0008-0000-0400-00007C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05" name="Text Box 2">
          <a:extLst>
            <a:ext uri="{FF2B5EF4-FFF2-40B4-BE49-F238E27FC236}">
              <a16:creationId xmlns:a16="http://schemas.microsoft.com/office/drawing/2014/main" id="{00000000-0008-0000-0400-00007D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06" name="Text Box 2">
          <a:extLst>
            <a:ext uri="{FF2B5EF4-FFF2-40B4-BE49-F238E27FC236}">
              <a16:creationId xmlns:a16="http://schemas.microsoft.com/office/drawing/2014/main" id="{00000000-0008-0000-0400-00007E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07" name="Text Box 2">
          <a:extLst>
            <a:ext uri="{FF2B5EF4-FFF2-40B4-BE49-F238E27FC236}">
              <a16:creationId xmlns:a16="http://schemas.microsoft.com/office/drawing/2014/main" id="{00000000-0008-0000-0400-00007F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08" name="Text Box 2">
          <a:extLst>
            <a:ext uri="{FF2B5EF4-FFF2-40B4-BE49-F238E27FC236}">
              <a16:creationId xmlns:a16="http://schemas.microsoft.com/office/drawing/2014/main" id="{00000000-0008-0000-0400-000080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09" name="Text Box 2">
          <a:extLst>
            <a:ext uri="{FF2B5EF4-FFF2-40B4-BE49-F238E27FC236}">
              <a16:creationId xmlns:a16="http://schemas.microsoft.com/office/drawing/2014/main" id="{00000000-0008-0000-0400-000081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10" name="Text Box 2">
          <a:extLst>
            <a:ext uri="{FF2B5EF4-FFF2-40B4-BE49-F238E27FC236}">
              <a16:creationId xmlns:a16="http://schemas.microsoft.com/office/drawing/2014/main" id="{00000000-0008-0000-0400-000082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11" name="Text Box 2">
          <a:extLst>
            <a:ext uri="{FF2B5EF4-FFF2-40B4-BE49-F238E27FC236}">
              <a16:creationId xmlns:a16="http://schemas.microsoft.com/office/drawing/2014/main" id="{00000000-0008-0000-0400-000083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12" name="Text Box 2">
          <a:extLst>
            <a:ext uri="{FF2B5EF4-FFF2-40B4-BE49-F238E27FC236}">
              <a16:creationId xmlns:a16="http://schemas.microsoft.com/office/drawing/2014/main" id="{00000000-0008-0000-0400-000084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13" name="Text Box 2">
          <a:extLst>
            <a:ext uri="{FF2B5EF4-FFF2-40B4-BE49-F238E27FC236}">
              <a16:creationId xmlns:a16="http://schemas.microsoft.com/office/drawing/2014/main" id="{00000000-0008-0000-0400-000085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14" name="Text Box 2">
          <a:extLst>
            <a:ext uri="{FF2B5EF4-FFF2-40B4-BE49-F238E27FC236}">
              <a16:creationId xmlns:a16="http://schemas.microsoft.com/office/drawing/2014/main" id="{00000000-0008-0000-0400-000086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184150</xdr:rowOff>
    </xdr:to>
    <xdr:sp macro="" textlink="">
      <xdr:nvSpPr>
        <xdr:cNvPr id="1415" name="Text Box 2">
          <a:extLst>
            <a:ext uri="{FF2B5EF4-FFF2-40B4-BE49-F238E27FC236}">
              <a16:creationId xmlns:a16="http://schemas.microsoft.com/office/drawing/2014/main" id="{00000000-0008-0000-0400-000087050000}"/>
            </a:ext>
          </a:extLst>
        </xdr:cNvPr>
        <xdr:cNvSpPr txBox="1">
          <a:spLocks noChangeArrowheads="1"/>
        </xdr:cNvSpPr>
      </xdr:nvSpPr>
      <xdr:spPr bwMode="auto">
        <a:xfrm>
          <a:off x="3943350" y="50453925"/>
          <a:ext cx="95250" cy="3810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184150</xdr:rowOff>
    </xdr:to>
    <xdr:sp macro="" textlink="">
      <xdr:nvSpPr>
        <xdr:cNvPr id="1416" name="Text Box 2">
          <a:extLst>
            <a:ext uri="{FF2B5EF4-FFF2-40B4-BE49-F238E27FC236}">
              <a16:creationId xmlns:a16="http://schemas.microsoft.com/office/drawing/2014/main" id="{00000000-0008-0000-0400-000088050000}"/>
            </a:ext>
          </a:extLst>
        </xdr:cNvPr>
        <xdr:cNvSpPr txBox="1">
          <a:spLocks noChangeArrowheads="1"/>
        </xdr:cNvSpPr>
      </xdr:nvSpPr>
      <xdr:spPr bwMode="auto">
        <a:xfrm>
          <a:off x="3943350" y="50453925"/>
          <a:ext cx="95250" cy="3810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184150</xdr:rowOff>
    </xdr:to>
    <xdr:sp macro="" textlink="">
      <xdr:nvSpPr>
        <xdr:cNvPr id="1417" name="Text Box 2">
          <a:extLst>
            <a:ext uri="{FF2B5EF4-FFF2-40B4-BE49-F238E27FC236}">
              <a16:creationId xmlns:a16="http://schemas.microsoft.com/office/drawing/2014/main" id="{00000000-0008-0000-0400-000089050000}"/>
            </a:ext>
          </a:extLst>
        </xdr:cNvPr>
        <xdr:cNvSpPr txBox="1">
          <a:spLocks noChangeArrowheads="1"/>
        </xdr:cNvSpPr>
      </xdr:nvSpPr>
      <xdr:spPr bwMode="auto">
        <a:xfrm>
          <a:off x="3943350" y="50453925"/>
          <a:ext cx="95250" cy="3810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184150</xdr:rowOff>
    </xdr:to>
    <xdr:sp macro="" textlink="">
      <xdr:nvSpPr>
        <xdr:cNvPr id="1418" name="Text Box 2">
          <a:extLst>
            <a:ext uri="{FF2B5EF4-FFF2-40B4-BE49-F238E27FC236}">
              <a16:creationId xmlns:a16="http://schemas.microsoft.com/office/drawing/2014/main" id="{00000000-0008-0000-0400-00008A050000}"/>
            </a:ext>
          </a:extLst>
        </xdr:cNvPr>
        <xdr:cNvSpPr txBox="1">
          <a:spLocks noChangeArrowheads="1"/>
        </xdr:cNvSpPr>
      </xdr:nvSpPr>
      <xdr:spPr bwMode="auto">
        <a:xfrm>
          <a:off x="3943350" y="50453925"/>
          <a:ext cx="95250" cy="3810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184150</xdr:rowOff>
    </xdr:to>
    <xdr:sp macro="" textlink="">
      <xdr:nvSpPr>
        <xdr:cNvPr id="1419" name="Text Box 2">
          <a:extLst>
            <a:ext uri="{FF2B5EF4-FFF2-40B4-BE49-F238E27FC236}">
              <a16:creationId xmlns:a16="http://schemas.microsoft.com/office/drawing/2014/main" id="{00000000-0008-0000-0400-00008B050000}"/>
            </a:ext>
          </a:extLst>
        </xdr:cNvPr>
        <xdr:cNvSpPr txBox="1">
          <a:spLocks noChangeArrowheads="1"/>
        </xdr:cNvSpPr>
      </xdr:nvSpPr>
      <xdr:spPr bwMode="auto">
        <a:xfrm>
          <a:off x="3943350" y="50453925"/>
          <a:ext cx="95250" cy="3810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184150</xdr:rowOff>
    </xdr:to>
    <xdr:sp macro="" textlink="">
      <xdr:nvSpPr>
        <xdr:cNvPr id="1420" name="Text Box 2">
          <a:extLst>
            <a:ext uri="{FF2B5EF4-FFF2-40B4-BE49-F238E27FC236}">
              <a16:creationId xmlns:a16="http://schemas.microsoft.com/office/drawing/2014/main" id="{00000000-0008-0000-0400-00008C050000}"/>
            </a:ext>
          </a:extLst>
        </xdr:cNvPr>
        <xdr:cNvSpPr txBox="1">
          <a:spLocks noChangeArrowheads="1"/>
        </xdr:cNvSpPr>
      </xdr:nvSpPr>
      <xdr:spPr bwMode="auto">
        <a:xfrm>
          <a:off x="3943350" y="50453925"/>
          <a:ext cx="95250" cy="3810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184150</xdr:rowOff>
    </xdr:to>
    <xdr:sp macro="" textlink="">
      <xdr:nvSpPr>
        <xdr:cNvPr id="1421" name="Text Box 2">
          <a:extLst>
            <a:ext uri="{FF2B5EF4-FFF2-40B4-BE49-F238E27FC236}">
              <a16:creationId xmlns:a16="http://schemas.microsoft.com/office/drawing/2014/main" id="{00000000-0008-0000-0400-00008D050000}"/>
            </a:ext>
          </a:extLst>
        </xdr:cNvPr>
        <xdr:cNvSpPr txBox="1">
          <a:spLocks noChangeArrowheads="1"/>
        </xdr:cNvSpPr>
      </xdr:nvSpPr>
      <xdr:spPr bwMode="auto">
        <a:xfrm>
          <a:off x="3943350" y="50453925"/>
          <a:ext cx="95250" cy="3810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101600</xdr:rowOff>
    </xdr:to>
    <xdr:sp macro="" textlink="">
      <xdr:nvSpPr>
        <xdr:cNvPr id="1422" name="Text Box 2">
          <a:extLst>
            <a:ext uri="{FF2B5EF4-FFF2-40B4-BE49-F238E27FC236}">
              <a16:creationId xmlns:a16="http://schemas.microsoft.com/office/drawing/2014/main" id="{00000000-0008-0000-0400-00008E050000}"/>
            </a:ext>
          </a:extLst>
        </xdr:cNvPr>
        <xdr:cNvSpPr txBox="1">
          <a:spLocks noChangeArrowheads="1"/>
        </xdr:cNvSpPr>
      </xdr:nvSpPr>
      <xdr:spPr bwMode="auto">
        <a:xfrm>
          <a:off x="3943350" y="50453925"/>
          <a:ext cx="95250" cy="2952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101600</xdr:rowOff>
    </xdr:to>
    <xdr:sp macro="" textlink="">
      <xdr:nvSpPr>
        <xdr:cNvPr id="1423" name="Text Box 2">
          <a:extLst>
            <a:ext uri="{FF2B5EF4-FFF2-40B4-BE49-F238E27FC236}">
              <a16:creationId xmlns:a16="http://schemas.microsoft.com/office/drawing/2014/main" id="{00000000-0008-0000-0400-00008F050000}"/>
            </a:ext>
          </a:extLst>
        </xdr:cNvPr>
        <xdr:cNvSpPr txBox="1">
          <a:spLocks noChangeArrowheads="1"/>
        </xdr:cNvSpPr>
      </xdr:nvSpPr>
      <xdr:spPr bwMode="auto">
        <a:xfrm>
          <a:off x="3943350" y="50453925"/>
          <a:ext cx="95250" cy="2952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24" name="Text Box 2">
          <a:extLst>
            <a:ext uri="{FF2B5EF4-FFF2-40B4-BE49-F238E27FC236}">
              <a16:creationId xmlns:a16="http://schemas.microsoft.com/office/drawing/2014/main" id="{00000000-0008-0000-0400-000090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184150</xdr:rowOff>
    </xdr:to>
    <xdr:sp macro="" textlink="">
      <xdr:nvSpPr>
        <xdr:cNvPr id="1425" name="Text Box 2">
          <a:extLst>
            <a:ext uri="{FF2B5EF4-FFF2-40B4-BE49-F238E27FC236}">
              <a16:creationId xmlns:a16="http://schemas.microsoft.com/office/drawing/2014/main" id="{00000000-0008-0000-0400-000091050000}"/>
            </a:ext>
          </a:extLst>
        </xdr:cNvPr>
        <xdr:cNvSpPr txBox="1">
          <a:spLocks noChangeArrowheads="1"/>
        </xdr:cNvSpPr>
      </xdr:nvSpPr>
      <xdr:spPr bwMode="auto">
        <a:xfrm>
          <a:off x="3943350" y="50453925"/>
          <a:ext cx="95250" cy="3810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26" name="Text Box 2">
          <a:extLst>
            <a:ext uri="{FF2B5EF4-FFF2-40B4-BE49-F238E27FC236}">
              <a16:creationId xmlns:a16="http://schemas.microsoft.com/office/drawing/2014/main" id="{00000000-0008-0000-0400-000092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27" name="Text Box 2">
          <a:extLst>
            <a:ext uri="{FF2B5EF4-FFF2-40B4-BE49-F238E27FC236}">
              <a16:creationId xmlns:a16="http://schemas.microsoft.com/office/drawing/2014/main" id="{00000000-0008-0000-0400-000093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184150</xdr:rowOff>
    </xdr:to>
    <xdr:sp macro="" textlink="">
      <xdr:nvSpPr>
        <xdr:cNvPr id="1428" name="Text Box 2">
          <a:extLst>
            <a:ext uri="{FF2B5EF4-FFF2-40B4-BE49-F238E27FC236}">
              <a16:creationId xmlns:a16="http://schemas.microsoft.com/office/drawing/2014/main" id="{00000000-0008-0000-0400-000094050000}"/>
            </a:ext>
          </a:extLst>
        </xdr:cNvPr>
        <xdr:cNvSpPr txBox="1">
          <a:spLocks noChangeArrowheads="1"/>
        </xdr:cNvSpPr>
      </xdr:nvSpPr>
      <xdr:spPr bwMode="auto">
        <a:xfrm>
          <a:off x="3943350" y="50453925"/>
          <a:ext cx="95250" cy="3810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101600</xdr:rowOff>
    </xdr:to>
    <xdr:sp macro="" textlink="">
      <xdr:nvSpPr>
        <xdr:cNvPr id="1429" name="Text Box 2">
          <a:extLst>
            <a:ext uri="{FF2B5EF4-FFF2-40B4-BE49-F238E27FC236}">
              <a16:creationId xmlns:a16="http://schemas.microsoft.com/office/drawing/2014/main" id="{00000000-0008-0000-0400-000095050000}"/>
            </a:ext>
          </a:extLst>
        </xdr:cNvPr>
        <xdr:cNvSpPr txBox="1">
          <a:spLocks noChangeArrowheads="1"/>
        </xdr:cNvSpPr>
      </xdr:nvSpPr>
      <xdr:spPr bwMode="auto">
        <a:xfrm>
          <a:off x="3943350" y="50453925"/>
          <a:ext cx="95250" cy="2952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101600</xdr:rowOff>
    </xdr:to>
    <xdr:sp macro="" textlink="">
      <xdr:nvSpPr>
        <xdr:cNvPr id="1430" name="Text Box 2">
          <a:extLst>
            <a:ext uri="{FF2B5EF4-FFF2-40B4-BE49-F238E27FC236}">
              <a16:creationId xmlns:a16="http://schemas.microsoft.com/office/drawing/2014/main" id="{00000000-0008-0000-0400-000096050000}"/>
            </a:ext>
          </a:extLst>
        </xdr:cNvPr>
        <xdr:cNvSpPr txBox="1">
          <a:spLocks noChangeArrowheads="1"/>
        </xdr:cNvSpPr>
      </xdr:nvSpPr>
      <xdr:spPr bwMode="auto">
        <a:xfrm>
          <a:off x="3943350" y="50453925"/>
          <a:ext cx="95250" cy="2952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101600</xdr:rowOff>
    </xdr:to>
    <xdr:sp macro="" textlink="">
      <xdr:nvSpPr>
        <xdr:cNvPr id="1431" name="Text Box 2">
          <a:extLst>
            <a:ext uri="{FF2B5EF4-FFF2-40B4-BE49-F238E27FC236}">
              <a16:creationId xmlns:a16="http://schemas.microsoft.com/office/drawing/2014/main" id="{00000000-0008-0000-0400-000097050000}"/>
            </a:ext>
          </a:extLst>
        </xdr:cNvPr>
        <xdr:cNvSpPr txBox="1">
          <a:spLocks noChangeArrowheads="1"/>
        </xdr:cNvSpPr>
      </xdr:nvSpPr>
      <xdr:spPr bwMode="auto">
        <a:xfrm>
          <a:off x="3943350" y="50453925"/>
          <a:ext cx="95250" cy="2952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101600</xdr:rowOff>
    </xdr:to>
    <xdr:sp macro="" textlink="">
      <xdr:nvSpPr>
        <xdr:cNvPr id="1432" name="Text Box 2">
          <a:extLst>
            <a:ext uri="{FF2B5EF4-FFF2-40B4-BE49-F238E27FC236}">
              <a16:creationId xmlns:a16="http://schemas.microsoft.com/office/drawing/2014/main" id="{00000000-0008-0000-0400-000098050000}"/>
            </a:ext>
          </a:extLst>
        </xdr:cNvPr>
        <xdr:cNvSpPr txBox="1">
          <a:spLocks noChangeArrowheads="1"/>
        </xdr:cNvSpPr>
      </xdr:nvSpPr>
      <xdr:spPr bwMode="auto">
        <a:xfrm>
          <a:off x="3943350" y="50453925"/>
          <a:ext cx="95250" cy="2952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33" name="Text Box 2">
          <a:extLst>
            <a:ext uri="{FF2B5EF4-FFF2-40B4-BE49-F238E27FC236}">
              <a16:creationId xmlns:a16="http://schemas.microsoft.com/office/drawing/2014/main" id="{00000000-0008-0000-0400-000099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34" name="Text Box 2">
          <a:extLst>
            <a:ext uri="{FF2B5EF4-FFF2-40B4-BE49-F238E27FC236}">
              <a16:creationId xmlns:a16="http://schemas.microsoft.com/office/drawing/2014/main" id="{00000000-0008-0000-0400-00009A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35" name="Text Box 2">
          <a:extLst>
            <a:ext uri="{FF2B5EF4-FFF2-40B4-BE49-F238E27FC236}">
              <a16:creationId xmlns:a16="http://schemas.microsoft.com/office/drawing/2014/main" id="{00000000-0008-0000-0400-00009B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36" name="Text Box 2">
          <a:extLst>
            <a:ext uri="{FF2B5EF4-FFF2-40B4-BE49-F238E27FC236}">
              <a16:creationId xmlns:a16="http://schemas.microsoft.com/office/drawing/2014/main" id="{00000000-0008-0000-0400-00009C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37" name="Text Box 2">
          <a:extLst>
            <a:ext uri="{FF2B5EF4-FFF2-40B4-BE49-F238E27FC236}">
              <a16:creationId xmlns:a16="http://schemas.microsoft.com/office/drawing/2014/main" id="{00000000-0008-0000-0400-00009D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38" name="Text Box 2">
          <a:extLst>
            <a:ext uri="{FF2B5EF4-FFF2-40B4-BE49-F238E27FC236}">
              <a16:creationId xmlns:a16="http://schemas.microsoft.com/office/drawing/2014/main" id="{00000000-0008-0000-0400-00009E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39" name="Text Box 2">
          <a:extLst>
            <a:ext uri="{FF2B5EF4-FFF2-40B4-BE49-F238E27FC236}">
              <a16:creationId xmlns:a16="http://schemas.microsoft.com/office/drawing/2014/main" id="{00000000-0008-0000-0400-00009F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40" name="Text Box 2">
          <a:extLst>
            <a:ext uri="{FF2B5EF4-FFF2-40B4-BE49-F238E27FC236}">
              <a16:creationId xmlns:a16="http://schemas.microsoft.com/office/drawing/2014/main" id="{00000000-0008-0000-0400-0000A0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41" name="Text Box 2">
          <a:extLst>
            <a:ext uri="{FF2B5EF4-FFF2-40B4-BE49-F238E27FC236}">
              <a16:creationId xmlns:a16="http://schemas.microsoft.com/office/drawing/2014/main" id="{00000000-0008-0000-0400-0000A1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442" name="Text Box 2">
          <a:extLst>
            <a:ext uri="{FF2B5EF4-FFF2-40B4-BE49-F238E27FC236}">
              <a16:creationId xmlns:a16="http://schemas.microsoft.com/office/drawing/2014/main" id="{00000000-0008-0000-0400-0000A205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43" name="Text Box 2">
          <a:extLst>
            <a:ext uri="{FF2B5EF4-FFF2-40B4-BE49-F238E27FC236}">
              <a16:creationId xmlns:a16="http://schemas.microsoft.com/office/drawing/2014/main" id="{00000000-0008-0000-0400-0000A3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44" name="Text Box 2">
          <a:extLst>
            <a:ext uri="{FF2B5EF4-FFF2-40B4-BE49-F238E27FC236}">
              <a16:creationId xmlns:a16="http://schemas.microsoft.com/office/drawing/2014/main" id="{00000000-0008-0000-0400-0000A4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45" name="Text Box 2">
          <a:extLst>
            <a:ext uri="{FF2B5EF4-FFF2-40B4-BE49-F238E27FC236}">
              <a16:creationId xmlns:a16="http://schemas.microsoft.com/office/drawing/2014/main" id="{00000000-0008-0000-0400-0000A5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46" name="Text Box 2">
          <a:extLst>
            <a:ext uri="{FF2B5EF4-FFF2-40B4-BE49-F238E27FC236}">
              <a16:creationId xmlns:a16="http://schemas.microsoft.com/office/drawing/2014/main" id="{00000000-0008-0000-0400-0000A6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47" name="Text Box 2">
          <a:extLst>
            <a:ext uri="{FF2B5EF4-FFF2-40B4-BE49-F238E27FC236}">
              <a16:creationId xmlns:a16="http://schemas.microsoft.com/office/drawing/2014/main" id="{00000000-0008-0000-0400-0000A7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48" name="Text Box 2">
          <a:extLst>
            <a:ext uri="{FF2B5EF4-FFF2-40B4-BE49-F238E27FC236}">
              <a16:creationId xmlns:a16="http://schemas.microsoft.com/office/drawing/2014/main" id="{00000000-0008-0000-0400-0000A8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49" name="Text Box 2">
          <a:extLst>
            <a:ext uri="{FF2B5EF4-FFF2-40B4-BE49-F238E27FC236}">
              <a16:creationId xmlns:a16="http://schemas.microsoft.com/office/drawing/2014/main" id="{00000000-0008-0000-0400-0000A9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50" name="Text Box 2">
          <a:extLst>
            <a:ext uri="{FF2B5EF4-FFF2-40B4-BE49-F238E27FC236}">
              <a16:creationId xmlns:a16="http://schemas.microsoft.com/office/drawing/2014/main" id="{00000000-0008-0000-0400-0000AA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51" name="Text Box 2">
          <a:extLst>
            <a:ext uri="{FF2B5EF4-FFF2-40B4-BE49-F238E27FC236}">
              <a16:creationId xmlns:a16="http://schemas.microsoft.com/office/drawing/2014/main" id="{00000000-0008-0000-0400-0000AB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52" name="Text Box 2">
          <a:extLst>
            <a:ext uri="{FF2B5EF4-FFF2-40B4-BE49-F238E27FC236}">
              <a16:creationId xmlns:a16="http://schemas.microsoft.com/office/drawing/2014/main" id="{00000000-0008-0000-0400-0000AC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53" name="Text Box 2">
          <a:extLst>
            <a:ext uri="{FF2B5EF4-FFF2-40B4-BE49-F238E27FC236}">
              <a16:creationId xmlns:a16="http://schemas.microsoft.com/office/drawing/2014/main" id="{00000000-0008-0000-0400-0000AD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54" name="Text Box 2">
          <a:extLst>
            <a:ext uri="{FF2B5EF4-FFF2-40B4-BE49-F238E27FC236}">
              <a16:creationId xmlns:a16="http://schemas.microsoft.com/office/drawing/2014/main" id="{00000000-0008-0000-0400-0000AE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55" name="Text Box 2">
          <a:extLst>
            <a:ext uri="{FF2B5EF4-FFF2-40B4-BE49-F238E27FC236}">
              <a16:creationId xmlns:a16="http://schemas.microsoft.com/office/drawing/2014/main" id="{00000000-0008-0000-0400-0000AF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56" name="Text Box 2">
          <a:extLst>
            <a:ext uri="{FF2B5EF4-FFF2-40B4-BE49-F238E27FC236}">
              <a16:creationId xmlns:a16="http://schemas.microsoft.com/office/drawing/2014/main" id="{00000000-0008-0000-0400-0000B0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57" name="Text Box 2">
          <a:extLst>
            <a:ext uri="{FF2B5EF4-FFF2-40B4-BE49-F238E27FC236}">
              <a16:creationId xmlns:a16="http://schemas.microsoft.com/office/drawing/2014/main" id="{00000000-0008-0000-0400-0000B1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58" name="Text Box 2">
          <a:extLst>
            <a:ext uri="{FF2B5EF4-FFF2-40B4-BE49-F238E27FC236}">
              <a16:creationId xmlns:a16="http://schemas.microsoft.com/office/drawing/2014/main" id="{00000000-0008-0000-0400-0000B2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59" name="Text Box 2">
          <a:extLst>
            <a:ext uri="{FF2B5EF4-FFF2-40B4-BE49-F238E27FC236}">
              <a16:creationId xmlns:a16="http://schemas.microsoft.com/office/drawing/2014/main" id="{00000000-0008-0000-0400-0000B3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60" name="Text Box 2">
          <a:extLst>
            <a:ext uri="{FF2B5EF4-FFF2-40B4-BE49-F238E27FC236}">
              <a16:creationId xmlns:a16="http://schemas.microsoft.com/office/drawing/2014/main" id="{00000000-0008-0000-0400-0000B4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61" name="Text Box 2">
          <a:extLst>
            <a:ext uri="{FF2B5EF4-FFF2-40B4-BE49-F238E27FC236}">
              <a16:creationId xmlns:a16="http://schemas.microsoft.com/office/drawing/2014/main" id="{00000000-0008-0000-0400-0000B5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62" name="Text Box 2">
          <a:extLst>
            <a:ext uri="{FF2B5EF4-FFF2-40B4-BE49-F238E27FC236}">
              <a16:creationId xmlns:a16="http://schemas.microsoft.com/office/drawing/2014/main" id="{00000000-0008-0000-0400-0000B6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63" name="Text Box 2">
          <a:extLst>
            <a:ext uri="{FF2B5EF4-FFF2-40B4-BE49-F238E27FC236}">
              <a16:creationId xmlns:a16="http://schemas.microsoft.com/office/drawing/2014/main" id="{00000000-0008-0000-0400-0000B7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64" name="Text Box 2">
          <a:extLst>
            <a:ext uri="{FF2B5EF4-FFF2-40B4-BE49-F238E27FC236}">
              <a16:creationId xmlns:a16="http://schemas.microsoft.com/office/drawing/2014/main" id="{00000000-0008-0000-0400-0000B8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65" name="Text Box 2">
          <a:extLst>
            <a:ext uri="{FF2B5EF4-FFF2-40B4-BE49-F238E27FC236}">
              <a16:creationId xmlns:a16="http://schemas.microsoft.com/office/drawing/2014/main" id="{00000000-0008-0000-0400-0000B9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66" name="Text Box 2">
          <a:extLst>
            <a:ext uri="{FF2B5EF4-FFF2-40B4-BE49-F238E27FC236}">
              <a16:creationId xmlns:a16="http://schemas.microsoft.com/office/drawing/2014/main" id="{00000000-0008-0000-0400-0000BA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67" name="Text Box 2">
          <a:extLst>
            <a:ext uri="{FF2B5EF4-FFF2-40B4-BE49-F238E27FC236}">
              <a16:creationId xmlns:a16="http://schemas.microsoft.com/office/drawing/2014/main" id="{00000000-0008-0000-0400-0000BB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68" name="Text Box 2">
          <a:extLst>
            <a:ext uri="{FF2B5EF4-FFF2-40B4-BE49-F238E27FC236}">
              <a16:creationId xmlns:a16="http://schemas.microsoft.com/office/drawing/2014/main" id="{00000000-0008-0000-0400-0000BC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69" name="Text Box 2">
          <a:extLst>
            <a:ext uri="{FF2B5EF4-FFF2-40B4-BE49-F238E27FC236}">
              <a16:creationId xmlns:a16="http://schemas.microsoft.com/office/drawing/2014/main" id="{00000000-0008-0000-0400-0000BD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70" name="Text Box 2">
          <a:extLst>
            <a:ext uri="{FF2B5EF4-FFF2-40B4-BE49-F238E27FC236}">
              <a16:creationId xmlns:a16="http://schemas.microsoft.com/office/drawing/2014/main" id="{00000000-0008-0000-0400-0000BE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71" name="Text Box 2">
          <a:extLst>
            <a:ext uri="{FF2B5EF4-FFF2-40B4-BE49-F238E27FC236}">
              <a16:creationId xmlns:a16="http://schemas.microsoft.com/office/drawing/2014/main" id="{00000000-0008-0000-0400-0000BF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72" name="Text Box 2">
          <a:extLst>
            <a:ext uri="{FF2B5EF4-FFF2-40B4-BE49-F238E27FC236}">
              <a16:creationId xmlns:a16="http://schemas.microsoft.com/office/drawing/2014/main" id="{00000000-0008-0000-0400-0000C0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73" name="Text Box 2">
          <a:extLst>
            <a:ext uri="{FF2B5EF4-FFF2-40B4-BE49-F238E27FC236}">
              <a16:creationId xmlns:a16="http://schemas.microsoft.com/office/drawing/2014/main" id="{00000000-0008-0000-0400-0000C1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74" name="Text Box 2">
          <a:extLst>
            <a:ext uri="{FF2B5EF4-FFF2-40B4-BE49-F238E27FC236}">
              <a16:creationId xmlns:a16="http://schemas.microsoft.com/office/drawing/2014/main" id="{00000000-0008-0000-0400-0000C2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75" name="Text Box 2">
          <a:extLst>
            <a:ext uri="{FF2B5EF4-FFF2-40B4-BE49-F238E27FC236}">
              <a16:creationId xmlns:a16="http://schemas.microsoft.com/office/drawing/2014/main" id="{00000000-0008-0000-0400-0000C3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76" name="Text Box 2">
          <a:extLst>
            <a:ext uri="{FF2B5EF4-FFF2-40B4-BE49-F238E27FC236}">
              <a16:creationId xmlns:a16="http://schemas.microsoft.com/office/drawing/2014/main" id="{00000000-0008-0000-0400-0000C4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77" name="Text Box 2">
          <a:extLst>
            <a:ext uri="{FF2B5EF4-FFF2-40B4-BE49-F238E27FC236}">
              <a16:creationId xmlns:a16="http://schemas.microsoft.com/office/drawing/2014/main" id="{00000000-0008-0000-0400-0000C5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78" name="Text Box 2">
          <a:extLst>
            <a:ext uri="{FF2B5EF4-FFF2-40B4-BE49-F238E27FC236}">
              <a16:creationId xmlns:a16="http://schemas.microsoft.com/office/drawing/2014/main" id="{00000000-0008-0000-0400-0000C6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79" name="Text Box 2">
          <a:extLst>
            <a:ext uri="{FF2B5EF4-FFF2-40B4-BE49-F238E27FC236}">
              <a16:creationId xmlns:a16="http://schemas.microsoft.com/office/drawing/2014/main" id="{00000000-0008-0000-0400-0000C7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80" name="Text Box 2">
          <a:extLst>
            <a:ext uri="{FF2B5EF4-FFF2-40B4-BE49-F238E27FC236}">
              <a16:creationId xmlns:a16="http://schemas.microsoft.com/office/drawing/2014/main" id="{00000000-0008-0000-0400-0000C8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81" name="Text Box 2">
          <a:extLst>
            <a:ext uri="{FF2B5EF4-FFF2-40B4-BE49-F238E27FC236}">
              <a16:creationId xmlns:a16="http://schemas.microsoft.com/office/drawing/2014/main" id="{00000000-0008-0000-0400-0000C9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82" name="Text Box 2">
          <a:extLst>
            <a:ext uri="{FF2B5EF4-FFF2-40B4-BE49-F238E27FC236}">
              <a16:creationId xmlns:a16="http://schemas.microsoft.com/office/drawing/2014/main" id="{00000000-0008-0000-0400-0000CA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83" name="Text Box 2">
          <a:extLst>
            <a:ext uri="{FF2B5EF4-FFF2-40B4-BE49-F238E27FC236}">
              <a16:creationId xmlns:a16="http://schemas.microsoft.com/office/drawing/2014/main" id="{00000000-0008-0000-0400-0000CB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84" name="Text Box 2">
          <a:extLst>
            <a:ext uri="{FF2B5EF4-FFF2-40B4-BE49-F238E27FC236}">
              <a16:creationId xmlns:a16="http://schemas.microsoft.com/office/drawing/2014/main" id="{00000000-0008-0000-0400-0000CC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85" name="Text Box 2">
          <a:extLst>
            <a:ext uri="{FF2B5EF4-FFF2-40B4-BE49-F238E27FC236}">
              <a16:creationId xmlns:a16="http://schemas.microsoft.com/office/drawing/2014/main" id="{00000000-0008-0000-0400-0000CD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86" name="Text Box 2">
          <a:extLst>
            <a:ext uri="{FF2B5EF4-FFF2-40B4-BE49-F238E27FC236}">
              <a16:creationId xmlns:a16="http://schemas.microsoft.com/office/drawing/2014/main" id="{00000000-0008-0000-0400-0000CE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87" name="Text Box 2">
          <a:extLst>
            <a:ext uri="{FF2B5EF4-FFF2-40B4-BE49-F238E27FC236}">
              <a16:creationId xmlns:a16="http://schemas.microsoft.com/office/drawing/2014/main" id="{00000000-0008-0000-0400-0000CF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88" name="Text Box 2">
          <a:extLst>
            <a:ext uri="{FF2B5EF4-FFF2-40B4-BE49-F238E27FC236}">
              <a16:creationId xmlns:a16="http://schemas.microsoft.com/office/drawing/2014/main" id="{00000000-0008-0000-0400-0000D0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89" name="Text Box 2">
          <a:extLst>
            <a:ext uri="{FF2B5EF4-FFF2-40B4-BE49-F238E27FC236}">
              <a16:creationId xmlns:a16="http://schemas.microsoft.com/office/drawing/2014/main" id="{00000000-0008-0000-0400-0000D1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90" name="Text Box 2">
          <a:extLst>
            <a:ext uri="{FF2B5EF4-FFF2-40B4-BE49-F238E27FC236}">
              <a16:creationId xmlns:a16="http://schemas.microsoft.com/office/drawing/2014/main" id="{00000000-0008-0000-0400-0000D2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91" name="Text Box 2">
          <a:extLst>
            <a:ext uri="{FF2B5EF4-FFF2-40B4-BE49-F238E27FC236}">
              <a16:creationId xmlns:a16="http://schemas.microsoft.com/office/drawing/2014/main" id="{00000000-0008-0000-0400-0000D3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92" name="Text Box 2">
          <a:extLst>
            <a:ext uri="{FF2B5EF4-FFF2-40B4-BE49-F238E27FC236}">
              <a16:creationId xmlns:a16="http://schemas.microsoft.com/office/drawing/2014/main" id="{00000000-0008-0000-0400-0000D4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93" name="Text Box 2">
          <a:extLst>
            <a:ext uri="{FF2B5EF4-FFF2-40B4-BE49-F238E27FC236}">
              <a16:creationId xmlns:a16="http://schemas.microsoft.com/office/drawing/2014/main" id="{00000000-0008-0000-0400-0000D5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94" name="Text Box 2">
          <a:extLst>
            <a:ext uri="{FF2B5EF4-FFF2-40B4-BE49-F238E27FC236}">
              <a16:creationId xmlns:a16="http://schemas.microsoft.com/office/drawing/2014/main" id="{00000000-0008-0000-0400-0000D6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95" name="Text Box 2">
          <a:extLst>
            <a:ext uri="{FF2B5EF4-FFF2-40B4-BE49-F238E27FC236}">
              <a16:creationId xmlns:a16="http://schemas.microsoft.com/office/drawing/2014/main" id="{00000000-0008-0000-0400-0000D7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96" name="Text Box 2">
          <a:extLst>
            <a:ext uri="{FF2B5EF4-FFF2-40B4-BE49-F238E27FC236}">
              <a16:creationId xmlns:a16="http://schemas.microsoft.com/office/drawing/2014/main" id="{00000000-0008-0000-0400-0000D8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97" name="Text Box 2">
          <a:extLst>
            <a:ext uri="{FF2B5EF4-FFF2-40B4-BE49-F238E27FC236}">
              <a16:creationId xmlns:a16="http://schemas.microsoft.com/office/drawing/2014/main" id="{00000000-0008-0000-0400-0000D9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98" name="Text Box 2">
          <a:extLst>
            <a:ext uri="{FF2B5EF4-FFF2-40B4-BE49-F238E27FC236}">
              <a16:creationId xmlns:a16="http://schemas.microsoft.com/office/drawing/2014/main" id="{00000000-0008-0000-0400-0000DA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499" name="Text Box 2">
          <a:extLst>
            <a:ext uri="{FF2B5EF4-FFF2-40B4-BE49-F238E27FC236}">
              <a16:creationId xmlns:a16="http://schemas.microsoft.com/office/drawing/2014/main" id="{00000000-0008-0000-0400-0000DB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00" name="Text Box 2">
          <a:extLst>
            <a:ext uri="{FF2B5EF4-FFF2-40B4-BE49-F238E27FC236}">
              <a16:creationId xmlns:a16="http://schemas.microsoft.com/office/drawing/2014/main" id="{00000000-0008-0000-0400-0000DC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01" name="Text Box 2">
          <a:extLst>
            <a:ext uri="{FF2B5EF4-FFF2-40B4-BE49-F238E27FC236}">
              <a16:creationId xmlns:a16="http://schemas.microsoft.com/office/drawing/2014/main" id="{00000000-0008-0000-0400-0000DD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02" name="Text Box 2">
          <a:extLst>
            <a:ext uri="{FF2B5EF4-FFF2-40B4-BE49-F238E27FC236}">
              <a16:creationId xmlns:a16="http://schemas.microsoft.com/office/drawing/2014/main" id="{00000000-0008-0000-0400-0000DE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03" name="Text Box 2">
          <a:extLst>
            <a:ext uri="{FF2B5EF4-FFF2-40B4-BE49-F238E27FC236}">
              <a16:creationId xmlns:a16="http://schemas.microsoft.com/office/drawing/2014/main" id="{00000000-0008-0000-0400-0000DF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04" name="Text Box 2">
          <a:extLst>
            <a:ext uri="{FF2B5EF4-FFF2-40B4-BE49-F238E27FC236}">
              <a16:creationId xmlns:a16="http://schemas.microsoft.com/office/drawing/2014/main" id="{00000000-0008-0000-0400-0000E0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05" name="Text Box 2">
          <a:extLst>
            <a:ext uri="{FF2B5EF4-FFF2-40B4-BE49-F238E27FC236}">
              <a16:creationId xmlns:a16="http://schemas.microsoft.com/office/drawing/2014/main" id="{00000000-0008-0000-0400-0000E1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06" name="Text Box 2">
          <a:extLst>
            <a:ext uri="{FF2B5EF4-FFF2-40B4-BE49-F238E27FC236}">
              <a16:creationId xmlns:a16="http://schemas.microsoft.com/office/drawing/2014/main" id="{00000000-0008-0000-0400-0000E2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07" name="Text Box 2">
          <a:extLst>
            <a:ext uri="{FF2B5EF4-FFF2-40B4-BE49-F238E27FC236}">
              <a16:creationId xmlns:a16="http://schemas.microsoft.com/office/drawing/2014/main" id="{00000000-0008-0000-0400-0000E3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08" name="Text Box 2">
          <a:extLst>
            <a:ext uri="{FF2B5EF4-FFF2-40B4-BE49-F238E27FC236}">
              <a16:creationId xmlns:a16="http://schemas.microsoft.com/office/drawing/2014/main" id="{00000000-0008-0000-0400-0000E4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09" name="Text Box 2">
          <a:extLst>
            <a:ext uri="{FF2B5EF4-FFF2-40B4-BE49-F238E27FC236}">
              <a16:creationId xmlns:a16="http://schemas.microsoft.com/office/drawing/2014/main" id="{00000000-0008-0000-0400-0000E5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10" name="Text Box 2">
          <a:extLst>
            <a:ext uri="{FF2B5EF4-FFF2-40B4-BE49-F238E27FC236}">
              <a16:creationId xmlns:a16="http://schemas.microsoft.com/office/drawing/2014/main" id="{00000000-0008-0000-0400-0000E6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11" name="Text Box 2">
          <a:extLst>
            <a:ext uri="{FF2B5EF4-FFF2-40B4-BE49-F238E27FC236}">
              <a16:creationId xmlns:a16="http://schemas.microsoft.com/office/drawing/2014/main" id="{00000000-0008-0000-0400-0000E7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12" name="Text Box 2">
          <a:extLst>
            <a:ext uri="{FF2B5EF4-FFF2-40B4-BE49-F238E27FC236}">
              <a16:creationId xmlns:a16="http://schemas.microsoft.com/office/drawing/2014/main" id="{00000000-0008-0000-0400-0000E8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13" name="Text Box 2">
          <a:extLst>
            <a:ext uri="{FF2B5EF4-FFF2-40B4-BE49-F238E27FC236}">
              <a16:creationId xmlns:a16="http://schemas.microsoft.com/office/drawing/2014/main" id="{00000000-0008-0000-0400-0000E9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14" name="Text Box 2">
          <a:extLst>
            <a:ext uri="{FF2B5EF4-FFF2-40B4-BE49-F238E27FC236}">
              <a16:creationId xmlns:a16="http://schemas.microsoft.com/office/drawing/2014/main" id="{00000000-0008-0000-0400-0000EA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15" name="Text Box 2">
          <a:extLst>
            <a:ext uri="{FF2B5EF4-FFF2-40B4-BE49-F238E27FC236}">
              <a16:creationId xmlns:a16="http://schemas.microsoft.com/office/drawing/2014/main" id="{00000000-0008-0000-0400-0000EB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16" name="Text Box 2">
          <a:extLst>
            <a:ext uri="{FF2B5EF4-FFF2-40B4-BE49-F238E27FC236}">
              <a16:creationId xmlns:a16="http://schemas.microsoft.com/office/drawing/2014/main" id="{00000000-0008-0000-0400-0000EC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17" name="Text Box 2">
          <a:extLst>
            <a:ext uri="{FF2B5EF4-FFF2-40B4-BE49-F238E27FC236}">
              <a16:creationId xmlns:a16="http://schemas.microsoft.com/office/drawing/2014/main" id="{00000000-0008-0000-0400-0000ED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18" name="Text Box 2">
          <a:extLst>
            <a:ext uri="{FF2B5EF4-FFF2-40B4-BE49-F238E27FC236}">
              <a16:creationId xmlns:a16="http://schemas.microsoft.com/office/drawing/2014/main" id="{00000000-0008-0000-0400-0000EE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19" name="Text Box 2">
          <a:extLst>
            <a:ext uri="{FF2B5EF4-FFF2-40B4-BE49-F238E27FC236}">
              <a16:creationId xmlns:a16="http://schemas.microsoft.com/office/drawing/2014/main" id="{00000000-0008-0000-0400-0000EF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20" name="Text Box 2">
          <a:extLst>
            <a:ext uri="{FF2B5EF4-FFF2-40B4-BE49-F238E27FC236}">
              <a16:creationId xmlns:a16="http://schemas.microsoft.com/office/drawing/2014/main" id="{00000000-0008-0000-0400-0000F0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21" name="Text Box 2">
          <a:extLst>
            <a:ext uri="{FF2B5EF4-FFF2-40B4-BE49-F238E27FC236}">
              <a16:creationId xmlns:a16="http://schemas.microsoft.com/office/drawing/2014/main" id="{00000000-0008-0000-0400-0000F1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22" name="Text Box 2">
          <a:extLst>
            <a:ext uri="{FF2B5EF4-FFF2-40B4-BE49-F238E27FC236}">
              <a16:creationId xmlns:a16="http://schemas.microsoft.com/office/drawing/2014/main" id="{00000000-0008-0000-0400-0000F2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23" name="Text Box 2">
          <a:extLst>
            <a:ext uri="{FF2B5EF4-FFF2-40B4-BE49-F238E27FC236}">
              <a16:creationId xmlns:a16="http://schemas.microsoft.com/office/drawing/2014/main" id="{00000000-0008-0000-0400-0000F3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24" name="Text Box 2">
          <a:extLst>
            <a:ext uri="{FF2B5EF4-FFF2-40B4-BE49-F238E27FC236}">
              <a16:creationId xmlns:a16="http://schemas.microsoft.com/office/drawing/2014/main" id="{00000000-0008-0000-0400-0000F4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25" name="Text Box 2">
          <a:extLst>
            <a:ext uri="{FF2B5EF4-FFF2-40B4-BE49-F238E27FC236}">
              <a16:creationId xmlns:a16="http://schemas.microsoft.com/office/drawing/2014/main" id="{00000000-0008-0000-0400-0000F5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26" name="Text Box 2">
          <a:extLst>
            <a:ext uri="{FF2B5EF4-FFF2-40B4-BE49-F238E27FC236}">
              <a16:creationId xmlns:a16="http://schemas.microsoft.com/office/drawing/2014/main" id="{00000000-0008-0000-0400-0000F6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27" name="Text Box 2">
          <a:extLst>
            <a:ext uri="{FF2B5EF4-FFF2-40B4-BE49-F238E27FC236}">
              <a16:creationId xmlns:a16="http://schemas.microsoft.com/office/drawing/2014/main" id="{00000000-0008-0000-0400-0000F7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28" name="Text Box 2">
          <a:extLst>
            <a:ext uri="{FF2B5EF4-FFF2-40B4-BE49-F238E27FC236}">
              <a16:creationId xmlns:a16="http://schemas.microsoft.com/office/drawing/2014/main" id="{00000000-0008-0000-0400-0000F8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29" name="Text Box 2">
          <a:extLst>
            <a:ext uri="{FF2B5EF4-FFF2-40B4-BE49-F238E27FC236}">
              <a16:creationId xmlns:a16="http://schemas.microsoft.com/office/drawing/2014/main" id="{00000000-0008-0000-0400-0000F9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30" name="Text Box 2">
          <a:extLst>
            <a:ext uri="{FF2B5EF4-FFF2-40B4-BE49-F238E27FC236}">
              <a16:creationId xmlns:a16="http://schemas.microsoft.com/office/drawing/2014/main" id="{00000000-0008-0000-0400-0000FA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31" name="Text Box 2">
          <a:extLst>
            <a:ext uri="{FF2B5EF4-FFF2-40B4-BE49-F238E27FC236}">
              <a16:creationId xmlns:a16="http://schemas.microsoft.com/office/drawing/2014/main" id="{00000000-0008-0000-0400-0000FB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32" name="Text Box 2">
          <a:extLst>
            <a:ext uri="{FF2B5EF4-FFF2-40B4-BE49-F238E27FC236}">
              <a16:creationId xmlns:a16="http://schemas.microsoft.com/office/drawing/2014/main" id="{00000000-0008-0000-0400-0000FC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33" name="Text Box 2">
          <a:extLst>
            <a:ext uri="{FF2B5EF4-FFF2-40B4-BE49-F238E27FC236}">
              <a16:creationId xmlns:a16="http://schemas.microsoft.com/office/drawing/2014/main" id="{00000000-0008-0000-0400-0000FD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34" name="Text Box 2">
          <a:extLst>
            <a:ext uri="{FF2B5EF4-FFF2-40B4-BE49-F238E27FC236}">
              <a16:creationId xmlns:a16="http://schemas.microsoft.com/office/drawing/2014/main" id="{00000000-0008-0000-0400-0000FE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35" name="Text Box 2">
          <a:extLst>
            <a:ext uri="{FF2B5EF4-FFF2-40B4-BE49-F238E27FC236}">
              <a16:creationId xmlns:a16="http://schemas.microsoft.com/office/drawing/2014/main" id="{00000000-0008-0000-0400-0000FF05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36" name="Text Box 2">
          <a:extLst>
            <a:ext uri="{FF2B5EF4-FFF2-40B4-BE49-F238E27FC236}">
              <a16:creationId xmlns:a16="http://schemas.microsoft.com/office/drawing/2014/main" id="{00000000-0008-0000-0400-000000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37" name="Text Box 2">
          <a:extLst>
            <a:ext uri="{FF2B5EF4-FFF2-40B4-BE49-F238E27FC236}">
              <a16:creationId xmlns:a16="http://schemas.microsoft.com/office/drawing/2014/main" id="{00000000-0008-0000-0400-000001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38" name="Text Box 2">
          <a:extLst>
            <a:ext uri="{FF2B5EF4-FFF2-40B4-BE49-F238E27FC236}">
              <a16:creationId xmlns:a16="http://schemas.microsoft.com/office/drawing/2014/main" id="{00000000-0008-0000-0400-000002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39" name="Text Box 2">
          <a:extLst>
            <a:ext uri="{FF2B5EF4-FFF2-40B4-BE49-F238E27FC236}">
              <a16:creationId xmlns:a16="http://schemas.microsoft.com/office/drawing/2014/main" id="{00000000-0008-0000-0400-000003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40" name="Text Box 2">
          <a:extLst>
            <a:ext uri="{FF2B5EF4-FFF2-40B4-BE49-F238E27FC236}">
              <a16:creationId xmlns:a16="http://schemas.microsoft.com/office/drawing/2014/main" id="{00000000-0008-0000-0400-000004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41" name="Text Box 2">
          <a:extLst>
            <a:ext uri="{FF2B5EF4-FFF2-40B4-BE49-F238E27FC236}">
              <a16:creationId xmlns:a16="http://schemas.microsoft.com/office/drawing/2014/main" id="{00000000-0008-0000-0400-000005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42" name="Text Box 2">
          <a:extLst>
            <a:ext uri="{FF2B5EF4-FFF2-40B4-BE49-F238E27FC236}">
              <a16:creationId xmlns:a16="http://schemas.microsoft.com/office/drawing/2014/main" id="{00000000-0008-0000-0400-000006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43" name="Text Box 2">
          <a:extLst>
            <a:ext uri="{FF2B5EF4-FFF2-40B4-BE49-F238E27FC236}">
              <a16:creationId xmlns:a16="http://schemas.microsoft.com/office/drawing/2014/main" id="{00000000-0008-0000-0400-000007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44" name="Text Box 2">
          <a:extLst>
            <a:ext uri="{FF2B5EF4-FFF2-40B4-BE49-F238E27FC236}">
              <a16:creationId xmlns:a16="http://schemas.microsoft.com/office/drawing/2014/main" id="{00000000-0008-0000-0400-000008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45" name="Text Box 2">
          <a:extLst>
            <a:ext uri="{FF2B5EF4-FFF2-40B4-BE49-F238E27FC236}">
              <a16:creationId xmlns:a16="http://schemas.microsoft.com/office/drawing/2014/main" id="{00000000-0008-0000-0400-000009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46" name="Text Box 2">
          <a:extLst>
            <a:ext uri="{FF2B5EF4-FFF2-40B4-BE49-F238E27FC236}">
              <a16:creationId xmlns:a16="http://schemas.microsoft.com/office/drawing/2014/main" id="{00000000-0008-0000-0400-00000A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47" name="Text Box 2">
          <a:extLst>
            <a:ext uri="{FF2B5EF4-FFF2-40B4-BE49-F238E27FC236}">
              <a16:creationId xmlns:a16="http://schemas.microsoft.com/office/drawing/2014/main" id="{00000000-0008-0000-0400-00000B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48" name="Text Box 2">
          <a:extLst>
            <a:ext uri="{FF2B5EF4-FFF2-40B4-BE49-F238E27FC236}">
              <a16:creationId xmlns:a16="http://schemas.microsoft.com/office/drawing/2014/main" id="{00000000-0008-0000-0400-00000C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49" name="Text Box 2">
          <a:extLst>
            <a:ext uri="{FF2B5EF4-FFF2-40B4-BE49-F238E27FC236}">
              <a16:creationId xmlns:a16="http://schemas.microsoft.com/office/drawing/2014/main" id="{00000000-0008-0000-0400-00000D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50" name="Text Box 2">
          <a:extLst>
            <a:ext uri="{FF2B5EF4-FFF2-40B4-BE49-F238E27FC236}">
              <a16:creationId xmlns:a16="http://schemas.microsoft.com/office/drawing/2014/main" id="{00000000-0008-0000-0400-00000E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51" name="Text Box 2">
          <a:extLst>
            <a:ext uri="{FF2B5EF4-FFF2-40B4-BE49-F238E27FC236}">
              <a16:creationId xmlns:a16="http://schemas.microsoft.com/office/drawing/2014/main" id="{00000000-0008-0000-0400-00000F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52" name="Text Box 2">
          <a:extLst>
            <a:ext uri="{FF2B5EF4-FFF2-40B4-BE49-F238E27FC236}">
              <a16:creationId xmlns:a16="http://schemas.microsoft.com/office/drawing/2014/main" id="{00000000-0008-0000-0400-000010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53" name="Text Box 2">
          <a:extLst>
            <a:ext uri="{FF2B5EF4-FFF2-40B4-BE49-F238E27FC236}">
              <a16:creationId xmlns:a16="http://schemas.microsoft.com/office/drawing/2014/main" id="{00000000-0008-0000-0400-000011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54" name="Text Box 2">
          <a:extLst>
            <a:ext uri="{FF2B5EF4-FFF2-40B4-BE49-F238E27FC236}">
              <a16:creationId xmlns:a16="http://schemas.microsoft.com/office/drawing/2014/main" id="{00000000-0008-0000-0400-000012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55" name="Text Box 2">
          <a:extLst>
            <a:ext uri="{FF2B5EF4-FFF2-40B4-BE49-F238E27FC236}">
              <a16:creationId xmlns:a16="http://schemas.microsoft.com/office/drawing/2014/main" id="{00000000-0008-0000-0400-000013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56" name="Text Box 2">
          <a:extLst>
            <a:ext uri="{FF2B5EF4-FFF2-40B4-BE49-F238E27FC236}">
              <a16:creationId xmlns:a16="http://schemas.microsoft.com/office/drawing/2014/main" id="{00000000-0008-0000-0400-000014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57" name="Text Box 2">
          <a:extLst>
            <a:ext uri="{FF2B5EF4-FFF2-40B4-BE49-F238E27FC236}">
              <a16:creationId xmlns:a16="http://schemas.microsoft.com/office/drawing/2014/main" id="{00000000-0008-0000-0400-000015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58" name="Text Box 2">
          <a:extLst>
            <a:ext uri="{FF2B5EF4-FFF2-40B4-BE49-F238E27FC236}">
              <a16:creationId xmlns:a16="http://schemas.microsoft.com/office/drawing/2014/main" id="{00000000-0008-0000-0400-000016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59" name="Text Box 2">
          <a:extLst>
            <a:ext uri="{FF2B5EF4-FFF2-40B4-BE49-F238E27FC236}">
              <a16:creationId xmlns:a16="http://schemas.microsoft.com/office/drawing/2014/main" id="{00000000-0008-0000-0400-000017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60" name="Text Box 2">
          <a:extLst>
            <a:ext uri="{FF2B5EF4-FFF2-40B4-BE49-F238E27FC236}">
              <a16:creationId xmlns:a16="http://schemas.microsoft.com/office/drawing/2014/main" id="{00000000-0008-0000-0400-000018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61" name="Text Box 2">
          <a:extLst>
            <a:ext uri="{FF2B5EF4-FFF2-40B4-BE49-F238E27FC236}">
              <a16:creationId xmlns:a16="http://schemas.microsoft.com/office/drawing/2014/main" id="{00000000-0008-0000-0400-000019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62" name="Text Box 2">
          <a:extLst>
            <a:ext uri="{FF2B5EF4-FFF2-40B4-BE49-F238E27FC236}">
              <a16:creationId xmlns:a16="http://schemas.microsoft.com/office/drawing/2014/main" id="{00000000-0008-0000-0400-00001A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63" name="Text Box 2">
          <a:extLst>
            <a:ext uri="{FF2B5EF4-FFF2-40B4-BE49-F238E27FC236}">
              <a16:creationId xmlns:a16="http://schemas.microsoft.com/office/drawing/2014/main" id="{00000000-0008-0000-0400-00001B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64" name="Text Box 2">
          <a:extLst>
            <a:ext uri="{FF2B5EF4-FFF2-40B4-BE49-F238E27FC236}">
              <a16:creationId xmlns:a16="http://schemas.microsoft.com/office/drawing/2014/main" id="{00000000-0008-0000-0400-00001C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65" name="Text Box 2">
          <a:extLst>
            <a:ext uri="{FF2B5EF4-FFF2-40B4-BE49-F238E27FC236}">
              <a16:creationId xmlns:a16="http://schemas.microsoft.com/office/drawing/2014/main" id="{00000000-0008-0000-0400-00001D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66" name="Text Box 2">
          <a:extLst>
            <a:ext uri="{FF2B5EF4-FFF2-40B4-BE49-F238E27FC236}">
              <a16:creationId xmlns:a16="http://schemas.microsoft.com/office/drawing/2014/main" id="{00000000-0008-0000-0400-00001E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67" name="Text Box 2">
          <a:extLst>
            <a:ext uri="{FF2B5EF4-FFF2-40B4-BE49-F238E27FC236}">
              <a16:creationId xmlns:a16="http://schemas.microsoft.com/office/drawing/2014/main" id="{00000000-0008-0000-0400-00001F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68" name="Text Box 2">
          <a:extLst>
            <a:ext uri="{FF2B5EF4-FFF2-40B4-BE49-F238E27FC236}">
              <a16:creationId xmlns:a16="http://schemas.microsoft.com/office/drawing/2014/main" id="{00000000-0008-0000-0400-000020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69" name="Text Box 2">
          <a:extLst>
            <a:ext uri="{FF2B5EF4-FFF2-40B4-BE49-F238E27FC236}">
              <a16:creationId xmlns:a16="http://schemas.microsoft.com/office/drawing/2014/main" id="{00000000-0008-0000-0400-000021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70" name="Text Box 2">
          <a:extLst>
            <a:ext uri="{FF2B5EF4-FFF2-40B4-BE49-F238E27FC236}">
              <a16:creationId xmlns:a16="http://schemas.microsoft.com/office/drawing/2014/main" id="{00000000-0008-0000-0400-000022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71" name="Text Box 2">
          <a:extLst>
            <a:ext uri="{FF2B5EF4-FFF2-40B4-BE49-F238E27FC236}">
              <a16:creationId xmlns:a16="http://schemas.microsoft.com/office/drawing/2014/main" id="{00000000-0008-0000-0400-000023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72" name="Text Box 2">
          <a:extLst>
            <a:ext uri="{FF2B5EF4-FFF2-40B4-BE49-F238E27FC236}">
              <a16:creationId xmlns:a16="http://schemas.microsoft.com/office/drawing/2014/main" id="{00000000-0008-0000-0400-000024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73" name="Text Box 2">
          <a:extLst>
            <a:ext uri="{FF2B5EF4-FFF2-40B4-BE49-F238E27FC236}">
              <a16:creationId xmlns:a16="http://schemas.microsoft.com/office/drawing/2014/main" id="{00000000-0008-0000-0400-000025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74" name="Text Box 2">
          <a:extLst>
            <a:ext uri="{FF2B5EF4-FFF2-40B4-BE49-F238E27FC236}">
              <a16:creationId xmlns:a16="http://schemas.microsoft.com/office/drawing/2014/main" id="{00000000-0008-0000-0400-000026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75" name="Text Box 2">
          <a:extLst>
            <a:ext uri="{FF2B5EF4-FFF2-40B4-BE49-F238E27FC236}">
              <a16:creationId xmlns:a16="http://schemas.microsoft.com/office/drawing/2014/main" id="{00000000-0008-0000-0400-000027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76" name="Text Box 2">
          <a:extLst>
            <a:ext uri="{FF2B5EF4-FFF2-40B4-BE49-F238E27FC236}">
              <a16:creationId xmlns:a16="http://schemas.microsoft.com/office/drawing/2014/main" id="{00000000-0008-0000-0400-000028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77" name="Text Box 2">
          <a:extLst>
            <a:ext uri="{FF2B5EF4-FFF2-40B4-BE49-F238E27FC236}">
              <a16:creationId xmlns:a16="http://schemas.microsoft.com/office/drawing/2014/main" id="{00000000-0008-0000-0400-000029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78" name="Text Box 2">
          <a:extLst>
            <a:ext uri="{FF2B5EF4-FFF2-40B4-BE49-F238E27FC236}">
              <a16:creationId xmlns:a16="http://schemas.microsoft.com/office/drawing/2014/main" id="{00000000-0008-0000-0400-00002A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79" name="Text Box 2">
          <a:extLst>
            <a:ext uri="{FF2B5EF4-FFF2-40B4-BE49-F238E27FC236}">
              <a16:creationId xmlns:a16="http://schemas.microsoft.com/office/drawing/2014/main" id="{00000000-0008-0000-0400-00002B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80" name="Text Box 2">
          <a:extLst>
            <a:ext uri="{FF2B5EF4-FFF2-40B4-BE49-F238E27FC236}">
              <a16:creationId xmlns:a16="http://schemas.microsoft.com/office/drawing/2014/main" id="{00000000-0008-0000-0400-00002C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81" name="Text Box 2">
          <a:extLst>
            <a:ext uri="{FF2B5EF4-FFF2-40B4-BE49-F238E27FC236}">
              <a16:creationId xmlns:a16="http://schemas.microsoft.com/office/drawing/2014/main" id="{00000000-0008-0000-0400-00002D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82" name="Text Box 2">
          <a:extLst>
            <a:ext uri="{FF2B5EF4-FFF2-40B4-BE49-F238E27FC236}">
              <a16:creationId xmlns:a16="http://schemas.microsoft.com/office/drawing/2014/main" id="{00000000-0008-0000-0400-00002E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83" name="Text Box 2">
          <a:extLst>
            <a:ext uri="{FF2B5EF4-FFF2-40B4-BE49-F238E27FC236}">
              <a16:creationId xmlns:a16="http://schemas.microsoft.com/office/drawing/2014/main" id="{00000000-0008-0000-0400-00002F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84" name="Text Box 2">
          <a:extLst>
            <a:ext uri="{FF2B5EF4-FFF2-40B4-BE49-F238E27FC236}">
              <a16:creationId xmlns:a16="http://schemas.microsoft.com/office/drawing/2014/main" id="{00000000-0008-0000-0400-000030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85" name="Text Box 2">
          <a:extLst>
            <a:ext uri="{FF2B5EF4-FFF2-40B4-BE49-F238E27FC236}">
              <a16:creationId xmlns:a16="http://schemas.microsoft.com/office/drawing/2014/main" id="{00000000-0008-0000-0400-000031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86" name="Text Box 2">
          <a:extLst>
            <a:ext uri="{FF2B5EF4-FFF2-40B4-BE49-F238E27FC236}">
              <a16:creationId xmlns:a16="http://schemas.microsoft.com/office/drawing/2014/main" id="{00000000-0008-0000-0400-000032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87" name="Text Box 2">
          <a:extLst>
            <a:ext uri="{FF2B5EF4-FFF2-40B4-BE49-F238E27FC236}">
              <a16:creationId xmlns:a16="http://schemas.microsoft.com/office/drawing/2014/main" id="{00000000-0008-0000-0400-000033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88" name="Text Box 2">
          <a:extLst>
            <a:ext uri="{FF2B5EF4-FFF2-40B4-BE49-F238E27FC236}">
              <a16:creationId xmlns:a16="http://schemas.microsoft.com/office/drawing/2014/main" id="{00000000-0008-0000-0400-000034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89" name="Text Box 2">
          <a:extLst>
            <a:ext uri="{FF2B5EF4-FFF2-40B4-BE49-F238E27FC236}">
              <a16:creationId xmlns:a16="http://schemas.microsoft.com/office/drawing/2014/main" id="{00000000-0008-0000-0400-000035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90" name="Text Box 2">
          <a:extLst>
            <a:ext uri="{FF2B5EF4-FFF2-40B4-BE49-F238E27FC236}">
              <a16:creationId xmlns:a16="http://schemas.microsoft.com/office/drawing/2014/main" id="{00000000-0008-0000-0400-000036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91" name="Text Box 2">
          <a:extLst>
            <a:ext uri="{FF2B5EF4-FFF2-40B4-BE49-F238E27FC236}">
              <a16:creationId xmlns:a16="http://schemas.microsoft.com/office/drawing/2014/main" id="{00000000-0008-0000-0400-000037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92" name="Text Box 2">
          <a:extLst>
            <a:ext uri="{FF2B5EF4-FFF2-40B4-BE49-F238E27FC236}">
              <a16:creationId xmlns:a16="http://schemas.microsoft.com/office/drawing/2014/main" id="{00000000-0008-0000-0400-000038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93" name="Text Box 2">
          <a:extLst>
            <a:ext uri="{FF2B5EF4-FFF2-40B4-BE49-F238E27FC236}">
              <a16:creationId xmlns:a16="http://schemas.microsoft.com/office/drawing/2014/main" id="{00000000-0008-0000-0400-000039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94" name="Text Box 2">
          <a:extLst>
            <a:ext uri="{FF2B5EF4-FFF2-40B4-BE49-F238E27FC236}">
              <a16:creationId xmlns:a16="http://schemas.microsoft.com/office/drawing/2014/main" id="{00000000-0008-0000-0400-00003A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95" name="Text Box 2">
          <a:extLst>
            <a:ext uri="{FF2B5EF4-FFF2-40B4-BE49-F238E27FC236}">
              <a16:creationId xmlns:a16="http://schemas.microsoft.com/office/drawing/2014/main" id="{00000000-0008-0000-0400-00003B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96" name="Text Box 2">
          <a:extLst>
            <a:ext uri="{FF2B5EF4-FFF2-40B4-BE49-F238E27FC236}">
              <a16:creationId xmlns:a16="http://schemas.microsoft.com/office/drawing/2014/main" id="{00000000-0008-0000-0400-00003C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97" name="Text Box 2">
          <a:extLst>
            <a:ext uri="{FF2B5EF4-FFF2-40B4-BE49-F238E27FC236}">
              <a16:creationId xmlns:a16="http://schemas.microsoft.com/office/drawing/2014/main" id="{00000000-0008-0000-0400-00003D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98" name="Text Box 2">
          <a:extLst>
            <a:ext uri="{FF2B5EF4-FFF2-40B4-BE49-F238E27FC236}">
              <a16:creationId xmlns:a16="http://schemas.microsoft.com/office/drawing/2014/main" id="{00000000-0008-0000-0400-00003E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599" name="Text Box 2">
          <a:extLst>
            <a:ext uri="{FF2B5EF4-FFF2-40B4-BE49-F238E27FC236}">
              <a16:creationId xmlns:a16="http://schemas.microsoft.com/office/drawing/2014/main" id="{00000000-0008-0000-0400-00003F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00" name="Text Box 2">
          <a:extLst>
            <a:ext uri="{FF2B5EF4-FFF2-40B4-BE49-F238E27FC236}">
              <a16:creationId xmlns:a16="http://schemas.microsoft.com/office/drawing/2014/main" id="{00000000-0008-0000-0400-000040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01" name="Text Box 2">
          <a:extLst>
            <a:ext uri="{FF2B5EF4-FFF2-40B4-BE49-F238E27FC236}">
              <a16:creationId xmlns:a16="http://schemas.microsoft.com/office/drawing/2014/main" id="{00000000-0008-0000-0400-000041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02" name="Text Box 2">
          <a:extLst>
            <a:ext uri="{FF2B5EF4-FFF2-40B4-BE49-F238E27FC236}">
              <a16:creationId xmlns:a16="http://schemas.microsoft.com/office/drawing/2014/main" id="{00000000-0008-0000-0400-000042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03" name="Text Box 2">
          <a:extLst>
            <a:ext uri="{FF2B5EF4-FFF2-40B4-BE49-F238E27FC236}">
              <a16:creationId xmlns:a16="http://schemas.microsoft.com/office/drawing/2014/main" id="{00000000-0008-0000-0400-000043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04" name="Text Box 2">
          <a:extLst>
            <a:ext uri="{FF2B5EF4-FFF2-40B4-BE49-F238E27FC236}">
              <a16:creationId xmlns:a16="http://schemas.microsoft.com/office/drawing/2014/main" id="{00000000-0008-0000-0400-000044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05" name="Text Box 2">
          <a:extLst>
            <a:ext uri="{FF2B5EF4-FFF2-40B4-BE49-F238E27FC236}">
              <a16:creationId xmlns:a16="http://schemas.microsoft.com/office/drawing/2014/main" id="{00000000-0008-0000-0400-000045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06" name="Text Box 2">
          <a:extLst>
            <a:ext uri="{FF2B5EF4-FFF2-40B4-BE49-F238E27FC236}">
              <a16:creationId xmlns:a16="http://schemas.microsoft.com/office/drawing/2014/main" id="{00000000-0008-0000-0400-000046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07" name="Text Box 2">
          <a:extLst>
            <a:ext uri="{FF2B5EF4-FFF2-40B4-BE49-F238E27FC236}">
              <a16:creationId xmlns:a16="http://schemas.microsoft.com/office/drawing/2014/main" id="{00000000-0008-0000-0400-000047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08" name="Text Box 2">
          <a:extLst>
            <a:ext uri="{FF2B5EF4-FFF2-40B4-BE49-F238E27FC236}">
              <a16:creationId xmlns:a16="http://schemas.microsoft.com/office/drawing/2014/main" id="{00000000-0008-0000-0400-000048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09" name="Text Box 2">
          <a:extLst>
            <a:ext uri="{FF2B5EF4-FFF2-40B4-BE49-F238E27FC236}">
              <a16:creationId xmlns:a16="http://schemas.microsoft.com/office/drawing/2014/main" id="{00000000-0008-0000-0400-000049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10" name="Text Box 2">
          <a:extLst>
            <a:ext uri="{FF2B5EF4-FFF2-40B4-BE49-F238E27FC236}">
              <a16:creationId xmlns:a16="http://schemas.microsoft.com/office/drawing/2014/main" id="{00000000-0008-0000-0400-00004A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11" name="Text Box 2">
          <a:extLst>
            <a:ext uri="{FF2B5EF4-FFF2-40B4-BE49-F238E27FC236}">
              <a16:creationId xmlns:a16="http://schemas.microsoft.com/office/drawing/2014/main" id="{00000000-0008-0000-0400-00004B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12" name="Text Box 2">
          <a:extLst>
            <a:ext uri="{FF2B5EF4-FFF2-40B4-BE49-F238E27FC236}">
              <a16:creationId xmlns:a16="http://schemas.microsoft.com/office/drawing/2014/main" id="{00000000-0008-0000-0400-00004C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13" name="Text Box 2">
          <a:extLst>
            <a:ext uri="{FF2B5EF4-FFF2-40B4-BE49-F238E27FC236}">
              <a16:creationId xmlns:a16="http://schemas.microsoft.com/office/drawing/2014/main" id="{00000000-0008-0000-0400-00004D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14" name="Text Box 2">
          <a:extLst>
            <a:ext uri="{FF2B5EF4-FFF2-40B4-BE49-F238E27FC236}">
              <a16:creationId xmlns:a16="http://schemas.microsoft.com/office/drawing/2014/main" id="{00000000-0008-0000-0400-00004E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15" name="Text Box 2">
          <a:extLst>
            <a:ext uri="{FF2B5EF4-FFF2-40B4-BE49-F238E27FC236}">
              <a16:creationId xmlns:a16="http://schemas.microsoft.com/office/drawing/2014/main" id="{00000000-0008-0000-0400-00004F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16" name="Text Box 2">
          <a:extLst>
            <a:ext uri="{FF2B5EF4-FFF2-40B4-BE49-F238E27FC236}">
              <a16:creationId xmlns:a16="http://schemas.microsoft.com/office/drawing/2014/main" id="{00000000-0008-0000-0400-000050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617" name="Text Box 2">
          <a:extLst>
            <a:ext uri="{FF2B5EF4-FFF2-40B4-BE49-F238E27FC236}">
              <a16:creationId xmlns:a16="http://schemas.microsoft.com/office/drawing/2014/main" id="{00000000-0008-0000-0400-000051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618" name="Text Box 2">
          <a:extLst>
            <a:ext uri="{FF2B5EF4-FFF2-40B4-BE49-F238E27FC236}">
              <a16:creationId xmlns:a16="http://schemas.microsoft.com/office/drawing/2014/main" id="{00000000-0008-0000-0400-000052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619" name="Text Box 2">
          <a:extLst>
            <a:ext uri="{FF2B5EF4-FFF2-40B4-BE49-F238E27FC236}">
              <a16:creationId xmlns:a16="http://schemas.microsoft.com/office/drawing/2014/main" id="{00000000-0008-0000-0400-000053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620" name="Text Box 2">
          <a:extLst>
            <a:ext uri="{FF2B5EF4-FFF2-40B4-BE49-F238E27FC236}">
              <a16:creationId xmlns:a16="http://schemas.microsoft.com/office/drawing/2014/main" id="{00000000-0008-0000-0400-000054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621" name="Text Box 2">
          <a:extLst>
            <a:ext uri="{FF2B5EF4-FFF2-40B4-BE49-F238E27FC236}">
              <a16:creationId xmlns:a16="http://schemas.microsoft.com/office/drawing/2014/main" id="{00000000-0008-0000-0400-000055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622" name="Text Box 2">
          <a:extLst>
            <a:ext uri="{FF2B5EF4-FFF2-40B4-BE49-F238E27FC236}">
              <a16:creationId xmlns:a16="http://schemas.microsoft.com/office/drawing/2014/main" id="{00000000-0008-0000-0400-000056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101600</xdr:rowOff>
    </xdr:to>
    <xdr:sp macro="" textlink="">
      <xdr:nvSpPr>
        <xdr:cNvPr id="1623" name="Text Box 2">
          <a:extLst>
            <a:ext uri="{FF2B5EF4-FFF2-40B4-BE49-F238E27FC236}">
              <a16:creationId xmlns:a16="http://schemas.microsoft.com/office/drawing/2014/main" id="{00000000-0008-0000-0400-000057060000}"/>
            </a:ext>
          </a:extLst>
        </xdr:cNvPr>
        <xdr:cNvSpPr txBox="1">
          <a:spLocks noChangeArrowheads="1"/>
        </xdr:cNvSpPr>
      </xdr:nvSpPr>
      <xdr:spPr bwMode="auto">
        <a:xfrm>
          <a:off x="3943350" y="50453925"/>
          <a:ext cx="95250" cy="2952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101600</xdr:rowOff>
    </xdr:to>
    <xdr:sp macro="" textlink="">
      <xdr:nvSpPr>
        <xdr:cNvPr id="1624" name="Text Box 2">
          <a:extLst>
            <a:ext uri="{FF2B5EF4-FFF2-40B4-BE49-F238E27FC236}">
              <a16:creationId xmlns:a16="http://schemas.microsoft.com/office/drawing/2014/main" id="{00000000-0008-0000-0400-000058060000}"/>
            </a:ext>
          </a:extLst>
        </xdr:cNvPr>
        <xdr:cNvSpPr txBox="1">
          <a:spLocks noChangeArrowheads="1"/>
        </xdr:cNvSpPr>
      </xdr:nvSpPr>
      <xdr:spPr bwMode="auto">
        <a:xfrm>
          <a:off x="3943350" y="50453925"/>
          <a:ext cx="95250" cy="2952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101600</xdr:rowOff>
    </xdr:to>
    <xdr:sp macro="" textlink="">
      <xdr:nvSpPr>
        <xdr:cNvPr id="1625" name="Text Box 2">
          <a:extLst>
            <a:ext uri="{FF2B5EF4-FFF2-40B4-BE49-F238E27FC236}">
              <a16:creationId xmlns:a16="http://schemas.microsoft.com/office/drawing/2014/main" id="{00000000-0008-0000-0400-000059060000}"/>
            </a:ext>
          </a:extLst>
        </xdr:cNvPr>
        <xdr:cNvSpPr txBox="1">
          <a:spLocks noChangeArrowheads="1"/>
        </xdr:cNvSpPr>
      </xdr:nvSpPr>
      <xdr:spPr bwMode="auto">
        <a:xfrm>
          <a:off x="3943350" y="50453925"/>
          <a:ext cx="95250" cy="2952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626" name="Text Box 2">
          <a:extLst>
            <a:ext uri="{FF2B5EF4-FFF2-40B4-BE49-F238E27FC236}">
              <a16:creationId xmlns:a16="http://schemas.microsoft.com/office/drawing/2014/main" id="{00000000-0008-0000-0400-00005A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627" name="Text Box 2">
          <a:extLst>
            <a:ext uri="{FF2B5EF4-FFF2-40B4-BE49-F238E27FC236}">
              <a16:creationId xmlns:a16="http://schemas.microsoft.com/office/drawing/2014/main" id="{00000000-0008-0000-0400-00005B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628" name="Text Box 2">
          <a:extLst>
            <a:ext uri="{FF2B5EF4-FFF2-40B4-BE49-F238E27FC236}">
              <a16:creationId xmlns:a16="http://schemas.microsoft.com/office/drawing/2014/main" id="{00000000-0008-0000-0400-00005C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29" name="Text Box 2">
          <a:extLst>
            <a:ext uri="{FF2B5EF4-FFF2-40B4-BE49-F238E27FC236}">
              <a16:creationId xmlns:a16="http://schemas.microsoft.com/office/drawing/2014/main" id="{00000000-0008-0000-0400-00005D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30" name="Text Box 2">
          <a:extLst>
            <a:ext uri="{FF2B5EF4-FFF2-40B4-BE49-F238E27FC236}">
              <a16:creationId xmlns:a16="http://schemas.microsoft.com/office/drawing/2014/main" id="{00000000-0008-0000-0400-00005E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31" name="Text Box 2">
          <a:extLst>
            <a:ext uri="{FF2B5EF4-FFF2-40B4-BE49-F238E27FC236}">
              <a16:creationId xmlns:a16="http://schemas.microsoft.com/office/drawing/2014/main" id="{00000000-0008-0000-0400-00005F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32" name="Text Box 2">
          <a:extLst>
            <a:ext uri="{FF2B5EF4-FFF2-40B4-BE49-F238E27FC236}">
              <a16:creationId xmlns:a16="http://schemas.microsoft.com/office/drawing/2014/main" id="{00000000-0008-0000-0400-000060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33" name="Text Box 2">
          <a:extLst>
            <a:ext uri="{FF2B5EF4-FFF2-40B4-BE49-F238E27FC236}">
              <a16:creationId xmlns:a16="http://schemas.microsoft.com/office/drawing/2014/main" id="{00000000-0008-0000-0400-000061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34" name="Text Box 2">
          <a:extLst>
            <a:ext uri="{FF2B5EF4-FFF2-40B4-BE49-F238E27FC236}">
              <a16:creationId xmlns:a16="http://schemas.microsoft.com/office/drawing/2014/main" id="{00000000-0008-0000-0400-000062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35" name="Text Box 2">
          <a:extLst>
            <a:ext uri="{FF2B5EF4-FFF2-40B4-BE49-F238E27FC236}">
              <a16:creationId xmlns:a16="http://schemas.microsoft.com/office/drawing/2014/main" id="{00000000-0008-0000-0400-000063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36" name="Text Box 2">
          <a:extLst>
            <a:ext uri="{FF2B5EF4-FFF2-40B4-BE49-F238E27FC236}">
              <a16:creationId xmlns:a16="http://schemas.microsoft.com/office/drawing/2014/main" id="{00000000-0008-0000-0400-000064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37" name="Text Box 2">
          <a:extLst>
            <a:ext uri="{FF2B5EF4-FFF2-40B4-BE49-F238E27FC236}">
              <a16:creationId xmlns:a16="http://schemas.microsoft.com/office/drawing/2014/main" id="{00000000-0008-0000-0400-000065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38" name="Text Box 2">
          <a:extLst>
            <a:ext uri="{FF2B5EF4-FFF2-40B4-BE49-F238E27FC236}">
              <a16:creationId xmlns:a16="http://schemas.microsoft.com/office/drawing/2014/main" id="{00000000-0008-0000-0400-000066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39" name="Text Box 2">
          <a:extLst>
            <a:ext uri="{FF2B5EF4-FFF2-40B4-BE49-F238E27FC236}">
              <a16:creationId xmlns:a16="http://schemas.microsoft.com/office/drawing/2014/main" id="{00000000-0008-0000-0400-000067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40" name="Text Box 2">
          <a:extLst>
            <a:ext uri="{FF2B5EF4-FFF2-40B4-BE49-F238E27FC236}">
              <a16:creationId xmlns:a16="http://schemas.microsoft.com/office/drawing/2014/main" id="{00000000-0008-0000-0400-000068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41" name="Text Box 2">
          <a:extLst>
            <a:ext uri="{FF2B5EF4-FFF2-40B4-BE49-F238E27FC236}">
              <a16:creationId xmlns:a16="http://schemas.microsoft.com/office/drawing/2014/main" id="{00000000-0008-0000-0400-000069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42" name="Text Box 2">
          <a:extLst>
            <a:ext uri="{FF2B5EF4-FFF2-40B4-BE49-F238E27FC236}">
              <a16:creationId xmlns:a16="http://schemas.microsoft.com/office/drawing/2014/main" id="{00000000-0008-0000-0400-00006A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43" name="Text Box 2">
          <a:extLst>
            <a:ext uri="{FF2B5EF4-FFF2-40B4-BE49-F238E27FC236}">
              <a16:creationId xmlns:a16="http://schemas.microsoft.com/office/drawing/2014/main" id="{00000000-0008-0000-0400-00006B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44" name="Text Box 2">
          <a:extLst>
            <a:ext uri="{FF2B5EF4-FFF2-40B4-BE49-F238E27FC236}">
              <a16:creationId xmlns:a16="http://schemas.microsoft.com/office/drawing/2014/main" id="{00000000-0008-0000-0400-00006C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45" name="Text Box 2">
          <a:extLst>
            <a:ext uri="{FF2B5EF4-FFF2-40B4-BE49-F238E27FC236}">
              <a16:creationId xmlns:a16="http://schemas.microsoft.com/office/drawing/2014/main" id="{00000000-0008-0000-0400-00006D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46" name="Text Box 2">
          <a:extLst>
            <a:ext uri="{FF2B5EF4-FFF2-40B4-BE49-F238E27FC236}">
              <a16:creationId xmlns:a16="http://schemas.microsoft.com/office/drawing/2014/main" id="{00000000-0008-0000-0400-00006E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47" name="Text Box 2">
          <a:extLst>
            <a:ext uri="{FF2B5EF4-FFF2-40B4-BE49-F238E27FC236}">
              <a16:creationId xmlns:a16="http://schemas.microsoft.com/office/drawing/2014/main" id="{00000000-0008-0000-0400-00006F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48" name="Text Box 2">
          <a:extLst>
            <a:ext uri="{FF2B5EF4-FFF2-40B4-BE49-F238E27FC236}">
              <a16:creationId xmlns:a16="http://schemas.microsoft.com/office/drawing/2014/main" id="{00000000-0008-0000-0400-000070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49" name="Text Box 2">
          <a:extLst>
            <a:ext uri="{FF2B5EF4-FFF2-40B4-BE49-F238E27FC236}">
              <a16:creationId xmlns:a16="http://schemas.microsoft.com/office/drawing/2014/main" id="{00000000-0008-0000-0400-000071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50" name="Text Box 2">
          <a:extLst>
            <a:ext uri="{FF2B5EF4-FFF2-40B4-BE49-F238E27FC236}">
              <a16:creationId xmlns:a16="http://schemas.microsoft.com/office/drawing/2014/main" id="{00000000-0008-0000-0400-000072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51" name="Text Box 2">
          <a:extLst>
            <a:ext uri="{FF2B5EF4-FFF2-40B4-BE49-F238E27FC236}">
              <a16:creationId xmlns:a16="http://schemas.microsoft.com/office/drawing/2014/main" id="{00000000-0008-0000-0400-000073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52" name="Text Box 2">
          <a:extLst>
            <a:ext uri="{FF2B5EF4-FFF2-40B4-BE49-F238E27FC236}">
              <a16:creationId xmlns:a16="http://schemas.microsoft.com/office/drawing/2014/main" id="{00000000-0008-0000-0400-000074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53" name="Text Box 2">
          <a:extLst>
            <a:ext uri="{FF2B5EF4-FFF2-40B4-BE49-F238E27FC236}">
              <a16:creationId xmlns:a16="http://schemas.microsoft.com/office/drawing/2014/main" id="{00000000-0008-0000-0400-000075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54" name="Text Box 2">
          <a:extLst>
            <a:ext uri="{FF2B5EF4-FFF2-40B4-BE49-F238E27FC236}">
              <a16:creationId xmlns:a16="http://schemas.microsoft.com/office/drawing/2014/main" id="{00000000-0008-0000-0400-000076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55" name="Text Box 2">
          <a:extLst>
            <a:ext uri="{FF2B5EF4-FFF2-40B4-BE49-F238E27FC236}">
              <a16:creationId xmlns:a16="http://schemas.microsoft.com/office/drawing/2014/main" id="{00000000-0008-0000-0400-000077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56" name="Text Box 2">
          <a:extLst>
            <a:ext uri="{FF2B5EF4-FFF2-40B4-BE49-F238E27FC236}">
              <a16:creationId xmlns:a16="http://schemas.microsoft.com/office/drawing/2014/main" id="{00000000-0008-0000-0400-000078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57" name="Text Box 2">
          <a:extLst>
            <a:ext uri="{FF2B5EF4-FFF2-40B4-BE49-F238E27FC236}">
              <a16:creationId xmlns:a16="http://schemas.microsoft.com/office/drawing/2014/main" id="{00000000-0008-0000-0400-000079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58" name="Text Box 2">
          <a:extLst>
            <a:ext uri="{FF2B5EF4-FFF2-40B4-BE49-F238E27FC236}">
              <a16:creationId xmlns:a16="http://schemas.microsoft.com/office/drawing/2014/main" id="{00000000-0008-0000-0400-00007A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59" name="Text Box 2">
          <a:extLst>
            <a:ext uri="{FF2B5EF4-FFF2-40B4-BE49-F238E27FC236}">
              <a16:creationId xmlns:a16="http://schemas.microsoft.com/office/drawing/2014/main" id="{00000000-0008-0000-0400-00007B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60" name="Text Box 2">
          <a:extLst>
            <a:ext uri="{FF2B5EF4-FFF2-40B4-BE49-F238E27FC236}">
              <a16:creationId xmlns:a16="http://schemas.microsoft.com/office/drawing/2014/main" id="{00000000-0008-0000-0400-00007C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61" name="Text Box 2">
          <a:extLst>
            <a:ext uri="{FF2B5EF4-FFF2-40B4-BE49-F238E27FC236}">
              <a16:creationId xmlns:a16="http://schemas.microsoft.com/office/drawing/2014/main" id="{00000000-0008-0000-0400-00007D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62" name="Text Box 2">
          <a:extLst>
            <a:ext uri="{FF2B5EF4-FFF2-40B4-BE49-F238E27FC236}">
              <a16:creationId xmlns:a16="http://schemas.microsoft.com/office/drawing/2014/main" id="{00000000-0008-0000-0400-00007E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63" name="Text Box 2">
          <a:extLst>
            <a:ext uri="{FF2B5EF4-FFF2-40B4-BE49-F238E27FC236}">
              <a16:creationId xmlns:a16="http://schemas.microsoft.com/office/drawing/2014/main" id="{00000000-0008-0000-0400-00007F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64" name="Text Box 2">
          <a:extLst>
            <a:ext uri="{FF2B5EF4-FFF2-40B4-BE49-F238E27FC236}">
              <a16:creationId xmlns:a16="http://schemas.microsoft.com/office/drawing/2014/main" id="{00000000-0008-0000-0400-000080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65" name="Text Box 2">
          <a:extLst>
            <a:ext uri="{FF2B5EF4-FFF2-40B4-BE49-F238E27FC236}">
              <a16:creationId xmlns:a16="http://schemas.microsoft.com/office/drawing/2014/main" id="{00000000-0008-0000-0400-000081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66" name="Text Box 2">
          <a:extLst>
            <a:ext uri="{FF2B5EF4-FFF2-40B4-BE49-F238E27FC236}">
              <a16:creationId xmlns:a16="http://schemas.microsoft.com/office/drawing/2014/main" id="{00000000-0008-0000-0400-000082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67" name="Text Box 2">
          <a:extLst>
            <a:ext uri="{FF2B5EF4-FFF2-40B4-BE49-F238E27FC236}">
              <a16:creationId xmlns:a16="http://schemas.microsoft.com/office/drawing/2014/main" id="{00000000-0008-0000-0400-000083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68" name="Text Box 2">
          <a:extLst>
            <a:ext uri="{FF2B5EF4-FFF2-40B4-BE49-F238E27FC236}">
              <a16:creationId xmlns:a16="http://schemas.microsoft.com/office/drawing/2014/main" id="{00000000-0008-0000-0400-000084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69" name="Text Box 2">
          <a:extLst>
            <a:ext uri="{FF2B5EF4-FFF2-40B4-BE49-F238E27FC236}">
              <a16:creationId xmlns:a16="http://schemas.microsoft.com/office/drawing/2014/main" id="{00000000-0008-0000-0400-000085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70" name="Text Box 2">
          <a:extLst>
            <a:ext uri="{FF2B5EF4-FFF2-40B4-BE49-F238E27FC236}">
              <a16:creationId xmlns:a16="http://schemas.microsoft.com/office/drawing/2014/main" id="{00000000-0008-0000-0400-000086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71" name="Text Box 2">
          <a:extLst>
            <a:ext uri="{FF2B5EF4-FFF2-40B4-BE49-F238E27FC236}">
              <a16:creationId xmlns:a16="http://schemas.microsoft.com/office/drawing/2014/main" id="{00000000-0008-0000-0400-000087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72" name="Text Box 2">
          <a:extLst>
            <a:ext uri="{FF2B5EF4-FFF2-40B4-BE49-F238E27FC236}">
              <a16:creationId xmlns:a16="http://schemas.microsoft.com/office/drawing/2014/main" id="{00000000-0008-0000-0400-000088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73" name="Text Box 2">
          <a:extLst>
            <a:ext uri="{FF2B5EF4-FFF2-40B4-BE49-F238E27FC236}">
              <a16:creationId xmlns:a16="http://schemas.microsoft.com/office/drawing/2014/main" id="{00000000-0008-0000-0400-000089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74" name="Text Box 2">
          <a:extLst>
            <a:ext uri="{FF2B5EF4-FFF2-40B4-BE49-F238E27FC236}">
              <a16:creationId xmlns:a16="http://schemas.microsoft.com/office/drawing/2014/main" id="{00000000-0008-0000-0400-00008A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75" name="Text Box 2">
          <a:extLst>
            <a:ext uri="{FF2B5EF4-FFF2-40B4-BE49-F238E27FC236}">
              <a16:creationId xmlns:a16="http://schemas.microsoft.com/office/drawing/2014/main" id="{00000000-0008-0000-0400-00008B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76" name="Text Box 2">
          <a:extLst>
            <a:ext uri="{FF2B5EF4-FFF2-40B4-BE49-F238E27FC236}">
              <a16:creationId xmlns:a16="http://schemas.microsoft.com/office/drawing/2014/main" id="{00000000-0008-0000-0400-00008C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77" name="Text Box 2">
          <a:extLst>
            <a:ext uri="{FF2B5EF4-FFF2-40B4-BE49-F238E27FC236}">
              <a16:creationId xmlns:a16="http://schemas.microsoft.com/office/drawing/2014/main" id="{00000000-0008-0000-0400-00008D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78" name="Text Box 2">
          <a:extLst>
            <a:ext uri="{FF2B5EF4-FFF2-40B4-BE49-F238E27FC236}">
              <a16:creationId xmlns:a16="http://schemas.microsoft.com/office/drawing/2014/main" id="{00000000-0008-0000-0400-00008E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79" name="Text Box 2">
          <a:extLst>
            <a:ext uri="{FF2B5EF4-FFF2-40B4-BE49-F238E27FC236}">
              <a16:creationId xmlns:a16="http://schemas.microsoft.com/office/drawing/2014/main" id="{00000000-0008-0000-0400-00008F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80" name="Text Box 2">
          <a:extLst>
            <a:ext uri="{FF2B5EF4-FFF2-40B4-BE49-F238E27FC236}">
              <a16:creationId xmlns:a16="http://schemas.microsoft.com/office/drawing/2014/main" id="{00000000-0008-0000-0400-000090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81" name="Text Box 2">
          <a:extLst>
            <a:ext uri="{FF2B5EF4-FFF2-40B4-BE49-F238E27FC236}">
              <a16:creationId xmlns:a16="http://schemas.microsoft.com/office/drawing/2014/main" id="{00000000-0008-0000-0400-000091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82" name="Text Box 2">
          <a:extLst>
            <a:ext uri="{FF2B5EF4-FFF2-40B4-BE49-F238E27FC236}">
              <a16:creationId xmlns:a16="http://schemas.microsoft.com/office/drawing/2014/main" id="{00000000-0008-0000-0400-000092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83" name="Text Box 2">
          <a:extLst>
            <a:ext uri="{FF2B5EF4-FFF2-40B4-BE49-F238E27FC236}">
              <a16:creationId xmlns:a16="http://schemas.microsoft.com/office/drawing/2014/main" id="{00000000-0008-0000-0400-000093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84" name="Text Box 2">
          <a:extLst>
            <a:ext uri="{FF2B5EF4-FFF2-40B4-BE49-F238E27FC236}">
              <a16:creationId xmlns:a16="http://schemas.microsoft.com/office/drawing/2014/main" id="{00000000-0008-0000-0400-000094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85" name="Text Box 2">
          <a:extLst>
            <a:ext uri="{FF2B5EF4-FFF2-40B4-BE49-F238E27FC236}">
              <a16:creationId xmlns:a16="http://schemas.microsoft.com/office/drawing/2014/main" id="{00000000-0008-0000-0400-000095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86" name="Text Box 2">
          <a:extLst>
            <a:ext uri="{FF2B5EF4-FFF2-40B4-BE49-F238E27FC236}">
              <a16:creationId xmlns:a16="http://schemas.microsoft.com/office/drawing/2014/main" id="{00000000-0008-0000-0400-000096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87" name="Text Box 2">
          <a:extLst>
            <a:ext uri="{FF2B5EF4-FFF2-40B4-BE49-F238E27FC236}">
              <a16:creationId xmlns:a16="http://schemas.microsoft.com/office/drawing/2014/main" id="{00000000-0008-0000-0400-000097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88" name="Text Box 2">
          <a:extLst>
            <a:ext uri="{FF2B5EF4-FFF2-40B4-BE49-F238E27FC236}">
              <a16:creationId xmlns:a16="http://schemas.microsoft.com/office/drawing/2014/main" id="{00000000-0008-0000-0400-000098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89" name="Text Box 2">
          <a:extLst>
            <a:ext uri="{FF2B5EF4-FFF2-40B4-BE49-F238E27FC236}">
              <a16:creationId xmlns:a16="http://schemas.microsoft.com/office/drawing/2014/main" id="{00000000-0008-0000-0400-000099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90" name="Text Box 2">
          <a:extLst>
            <a:ext uri="{FF2B5EF4-FFF2-40B4-BE49-F238E27FC236}">
              <a16:creationId xmlns:a16="http://schemas.microsoft.com/office/drawing/2014/main" id="{00000000-0008-0000-0400-00009A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91" name="Text Box 2">
          <a:extLst>
            <a:ext uri="{FF2B5EF4-FFF2-40B4-BE49-F238E27FC236}">
              <a16:creationId xmlns:a16="http://schemas.microsoft.com/office/drawing/2014/main" id="{00000000-0008-0000-0400-00009B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92" name="Text Box 2">
          <a:extLst>
            <a:ext uri="{FF2B5EF4-FFF2-40B4-BE49-F238E27FC236}">
              <a16:creationId xmlns:a16="http://schemas.microsoft.com/office/drawing/2014/main" id="{00000000-0008-0000-0400-00009C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93" name="Text Box 2">
          <a:extLst>
            <a:ext uri="{FF2B5EF4-FFF2-40B4-BE49-F238E27FC236}">
              <a16:creationId xmlns:a16="http://schemas.microsoft.com/office/drawing/2014/main" id="{00000000-0008-0000-0400-00009D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94" name="Text Box 2">
          <a:extLst>
            <a:ext uri="{FF2B5EF4-FFF2-40B4-BE49-F238E27FC236}">
              <a16:creationId xmlns:a16="http://schemas.microsoft.com/office/drawing/2014/main" id="{00000000-0008-0000-0400-00009E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95" name="Text Box 2">
          <a:extLst>
            <a:ext uri="{FF2B5EF4-FFF2-40B4-BE49-F238E27FC236}">
              <a16:creationId xmlns:a16="http://schemas.microsoft.com/office/drawing/2014/main" id="{00000000-0008-0000-0400-00009F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96" name="Text Box 2">
          <a:extLst>
            <a:ext uri="{FF2B5EF4-FFF2-40B4-BE49-F238E27FC236}">
              <a16:creationId xmlns:a16="http://schemas.microsoft.com/office/drawing/2014/main" id="{00000000-0008-0000-0400-0000A0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97" name="Text Box 2">
          <a:extLst>
            <a:ext uri="{FF2B5EF4-FFF2-40B4-BE49-F238E27FC236}">
              <a16:creationId xmlns:a16="http://schemas.microsoft.com/office/drawing/2014/main" id="{00000000-0008-0000-0400-0000A1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98" name="Text Box 2">
          <a:extLst>
            <a:ext uri="{FF2B5EF4-FFF2-40B4-BE49-F238E27FC236}">
              <a16:creationId xmlns:a16="http://schemas.microsoft.com/office/drawing/2014/main" id="{00000000-0008-0000-0400-0000A2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699" name="Text Box 2">
          <a:extLst>
            <a:ext uri="{FF2B5EF4-FFF2-40B4-BE49-F238E27FC236}">
              <a16:creationId xmlns:a16="http://schemas.microsoft.com/office/drawing/2014/main" id="{00000000-0008-0000-0400-0000A3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00" name="Text Box 2">
          <a:extLst>
            <a:ext uri="{FF2B5EF4-FFF2-40B4-BE49-F238E27FC236}">
              <a16:creationId xmlns:a16="http://schemas.microsoft.com/office/drawing/2014/main" id="{00000000-0008-0000-0400-0000A4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01" name="Text Box 2">
          <a:extLst>
            <a:ext uri="{FF2B5EF4-FFF2-40B4-BE49-F238E27FC236}">
              <a16:creationId xmlns:a16="http://schemas.microsoft.com/office/drawing/2014/main" id="{00000000-0008-0000-0400-0000A5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02" name="Text Box 2">
          <a:extLst>
            <a:ext uri="{FF2B5EF4-FFF2-40B4-BE49-F238E27FC236}">
              <a16:creationId xmlns:a16="http://schemas.microsoft.com/office/drawing/2014/main" id="{00000000-0008-0000-0400-0000A6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03" name="Text Box 2">
          <a:extLst>
            <a:ext uri="{FF2B5EF4-FFF2-40B4-BE49-F238E27FC236}">
              <a16:creationId xmlns:a16="http://schemas.microsoft.com/office/drawing/2014/main" id="{00000000-0008-0000-0400-0000A7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04" name="Text Box 2">
          <a:extLst>
            <a:ext uri="{FF2B5EF4-FFF2-40B4-BE49-F238E27FC236}">
              <a16:creationId xmlns:a16="http://schemas.microsoft.com/office/drawing/2014/main" id="{00000000-0008-0000-0400-0000A8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05" name="Text Box 2">
          <a:extLst>
            <a:ext uri="{FF2B5EF4-FFF2-40B4-BE49-F238E27FC236}">
              <a16:creationId xmlns:a16="http://schemas.microsoft.com/office/drawing/2014/main" id="{00000000-0008-0000-0400-0000A9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06" name="Text Box 2">
          <a:extLst>
            <a:ext uri="{FF2B5EF4-FFF2-40B4-BE49-F238E27FC236}">
              <a16:creationId xmlns:a16="http://schemas.microsoft.com/office/drawing/2014/main" id="{00000000-0008-0000-0400-0000AA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07" name="Text Box 2">
          <a:extLst>
            <a:ext uri="{FF2B5EF4-FFF2-40B4-BE49-F238E27FC236}">
              <a16:creationId xmlns:a16="http://schemas.microsoft.com/office/drawing/2014/main" id="{00000000-0008-0000-0400-0000AB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08" name="Text Box 2">
          <a:extLst>
            <a:ext uri="{FF2B5EF4-FFF2-40B4-BE49-F238E27FC236}">
              <a16:creationId xmlns:a16="http://schemas.microsoft.com/office/drawing/2014/main" id="{00000000-0008-0000-0400-0000AC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09" name="Text Box 2">
          <a:extLst>
            <a:ext uri="{FF2B5EF4-FFF2-40B4-BE49-F238E27FC236}">
              <a16:creationId xmlns:a16="http://schemas.microsoft.com/office/drawing/2014/main" id="{00000000-0008-0000-0400-0000AD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10" name="Text Box 2">
          <a:extLst>
            <a:ext uri="{FF2B5EF4-FFF2-40B4-BE49-F238E27FC236}">
              <a16:creationId xmlns:a16="http://schemas.microsoft.com/office/drawing/2014/main" id="{00000000-0008-0000-0400-0000AE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11" name="Text Box 2">
          <a:extLst>
            <a:ext uri="{FF2B5EF4-FFF2-40B4-BE49-F238E27FC236}">
              <a16:creationId xmlns:a16="http://schemas.microsoft.com/office/drawing/2014/main" id="{00000000-0008-0000-0400-0000AF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12" name="Text Box 2">
          <a:extLst>
            <a:ext uri="{FF2B5EF4-FFF2-40B4-BE49-F238E27FC236}">
              <a16:creationId xmlns:a16="http://schemas.microsoft.com/office/drawing/2014/main" id="{00000000-0008-0000-0400-0000B0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13" name="Text Box 2">
          <a:extLst>
            <a:ext uri="{FF2B5EF4-FFF2-40B4-BE49-F238E27FC236}">
              <a16:creationId xmlns:a16="http://schemas.microsoft.com/office/drawing/2014/main" id="{00000000-0008-0000-0400-0000B1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14" name="Text Box 2">
          <a:extLst>
            <a:ext uri="{FF2B5EF4-FFF2-40B4-BE49-F238E27FC236}">
              <a16:creationId xmlns:a16="http://schemas.microsoft.com/office/drawing/2014/main" id="{00000000-0008-0000-0400-0000B2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33338</xdr:rowOff>
    </xdr:to>
    <xdr:sp macro="" textlink="">
      <xdr:nvSpPr>
        <xdr:cNvPr id="1715" name="Text Box 2">
          <a:extLst>
            <a:ext uri="{FF2B5EF4-FFF2-40B4-BE49-F238E27FC236}">
              <a16:creationId xmlns:a16="http://schemas.microsoft.com/office/drawing/2014/main" id="{00000000-0008-0000-0400-0000B3060000}"/>
            </a:ext>
          </a:extLst>
        </xdr:cNvPr>
        <xdr:cNvSpPr txBox="1">
          <a:spLocks noChangeArrowheads="1"/>
        </xdr:cNvSpPr>
      </xdr:nvSpPr>
      <xdr:spPr bwMode="auto">
        <a:xfrm>
          <a:off x="3943350" y="50453925"/>
          <a:ext cx="95250" cy="219075"/>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218</xdr:row>
      <xdr:rowOff>120650</xdr:rowOff>
    </xdr:to>
    <xdr:sp macro="" textlink="">
      <xdr:nvSpPr>
        <xdr:cNvPr id="1716" name="Text Box 2">
          <a:extLst>
            <a:ext uri="{FF2B5EF4-FFF2-40B4-BE49-F238E27FC236}">
              <a16:creationId xmlns:a16="http://schemas.microsoft.com/office/drawing/2014/main" id="{00000000-0008-0000-0400-0000B4060000}"/>
            </a:ext>
          </a:extLst>
        </xdr:cNvPr>
        <xdr:cNvSpPr txBox="1">
          <a:spLocks noChangeArrowheads="1"/>
        </xdr:cNvSpPr>
      </xdr:nvSpPr>
      <xdr:spPr bwMode="auto">
        <a:xfrm>
          <a:off x="3943350" y="50453925"/>
          <a:ext cx="95250" cy="70485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17" name="Text Box 2">
          <a:extLst>
            <a:ext uri="{FF2B5EF4-FFF2-40B4-BE49-F238E27FC236}">
              <a16:creationId xmlns:a16="http://schemas.microsoft.com/office/drawing/2014/main" id="{00000000-0008-0000-0400-0000B5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18" name="Text Box 2">
          <a:extLst>
            <a:ext uri="{FF2B5EF4-FFF2-40B4-BE49-F238E27FC236}">
              <a16:creationId xmlns:a16="http://schemas.microsoft.com/office/drawing/2014/main" id="{00000000-0008-0000-0400-0000B6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19" name="Text Box 2">
          <a:extLst>
            <a:ext uri="{FF2B5EF4-FFF2-40B4-BE49-F238E27FC236}">
              <a16:creationId xmlns:a16="http://schemas.microsoft.com/office/drawing/2014/main" id="{00000000-0008-0000-0400-0000B7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20" name="Text Box 2">
          <a:extLst>
            <a:ext uri="{FF2B5EF4-FFF2-40B4-BE49-F238E27FC236}">
              <a16:creationId xmlns:a16="http://schemas.microsoft.com/office/drawing/2014/main" id="{00000000-0008-0000-0400-0000B8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21" name="Text Box 2">
          <a:extLst>
            <a:ext uri="{FF2B5EF4-FFF2-40B4-BE49-F238E27FC236}">
              <a16:creationId xmlns:a16="http://schemas.microsoft.com/office/drawing/2014/main" id="{00000000-0008-0000-0400-0000B9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22" name="Text Box 2">
          <a:extLst>
            <a:ext uri="{FF2B5EF4-FFF2-40B4-BE49-F238E27FC236}">
              <a16:creationId xmlns:a16="http://schemas.microsoft.com/office/drawing/2014/main" id="{00000000-0008-0000-0400-0000BA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23" name="Text Box 2">
          <a:extLst>
            <a:ext uri="{FF2B5EF4-FFF2-40B4-BE49-F238E27FC236}">
              <a16:creationId xmlns:a16="http://schemas.microsoft.com/office/drawing/2014/main" id="{00000000-0008-0000-0400-0000BB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24" name="Text Box 2">
          <a:extLst>
            <a:ext uri="{FF2B5EF4-FFF2-40B4-BE49-F238E27FC236}">
              <a16:creationId xmlns:a16="http://schemas.microsoft.com/office/drawing/2014/main" id="{00000000-0008-0000-0400-0000BC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25" name="Text Box 2">
          <a:extLst>
            <a:ext uri="{FF2B5EF4-FFF2-40B4-BE49-F238E27FC236}">
              <a16:creationId xmlns:a16="http://schemas.microsoft.com/office/drawing/2014/main" id="{00000000-0008-0000-0400-0000BD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26" name="Text Box 2">
          <a:extLst>
            <a:ext uri="{FF2B5EF4-FFF2-40B4-BE49-F238E27FC236}">
              <a16:creationId xmlns:a16="http://schemas.microsoft.com/office/drawing/2014/main" id="{00000000-0008-0000-0400-0000BE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27" name="Text Box 2">
          <a:extLst>
            <a:ext uri="{FF2B5EF4-FFF2-40B4-BE49-F238E27FC236}">
              <a16:creationId xmlns:a16="http://schemas.microsoft.com/office/drawing/2014/main" id="{00000000-0008-0000-0400-0000BF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28" name="Text Box 2">
          <a:extLst>
            <a:ext uri="{FF2B5EF4-FFF2-40B4-BE49-F238E27FC236}">
              <a16:creationId xmlns:a16="http://schemas.microsoft.com/office/drawing/2014/main" id="{00000000-0008-0000-0400-0000C0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29" name="Text Box 2">
          <a:extLst>
            <a:ext uri="{FF2B5EF4-FFF2-40B4-BE49-F238E27FC236}">
              <a16:creationId xmlns:a16="http://schemas.microsoft.com/office/drawing/2014/main" id="{00000000-0008-0000-0400-0000C1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30" name="Text Box 2">
          <a:extLst>
            <a:ext uri="{FF2B5EF4-FFF2-40B4-BE49-F238E27FC236}">
              <a16:creationId xmlns:a16="http://schemas.microsoft.com/office/drawing/2014/main" id="{00000000-0008-0000-0400-0000C2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31" name="Text Box 2">
          <a:extLst>
            <a:ext uri="{FF2B5EF4-FFF2-40B4-BE49-F238E27FC236}">
              <a16:creationId xmlns:a16="http://schemas.microsoft.com/office/drawing/2014/main" id="{00000000-0008-0000-0400-0000C3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32" name="Text Box 2">
          <a:extLst>
            <a:ext uri="{FF2B5EF4-FFF2-40B4-BE49-F238E27FC236}">
              <a16:creationId xmlns:a16="http://schemas.microsoft.com/office/drawing/2014/main" id="{00000000-0008-0000-0400-0000C4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33" name="Text Box 2">
          <a:extLst>
            <a:ext uri="{FF2B5EF4-FFF2-40B4-BE49-F238E27FC236}">
              <a16:creationId xmlns:a16="http://schemas.microsoft.com/office/drawing/2014/main" id="{00000000-0008-0000-0400-0000C5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34" name="Text Box 2">
          <a:extLst>
            <a:ext uri="{FF2B5EF4-FFF2-40B4-BE49-F238E27FC236}">
              <a16:creationId xmlns:a16="http://schemas.microsoft.com/office/drawing/2014/main" id="{00000000-0008-0000-0400-0000C6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35" name="Text Box 2">
          <a:extLst>
            <a:ext uri="{FF2B5EF4-FFF2-40B4-BE49-F238E27FC236}">
              <a16:creationId xmlns:a16="http://schemas.microsoft.com/office/drawing/2014/main" id="{00000000-0008-0000-0400-0000C7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36" name="Text Box 2">
          <a:extLst>
            <a:ext uri="{FF2B5EF4-FFF2-40B4-BE49-F238E27FC236}">
              <a16:creationId xmlns:a16="http://schemas.microsoft.com/office/drawing/2014/main" id="{00000000-0008-0000-0400-0000C8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37" name="Text Box 2">
          <a:extLst>
            <a:ext uri="{FF2B5EF4-FFF2-40B4-BE49-F238E27FC236}">
              <a16:creationId xmlns:a16="http://schemas.microsoft.com/office/drawing/2014/main" id="{00000000-0008-0000-0400-0000C9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38" name="Text Box 2">
          <a:extLst>
            <a:ext uri="{FF2B5EF4-FFF2-40B4-BE49-F238E27FC236}">
              <a16:creationId xmlns:a16="http://schemas.microsoft.com/office/drawing/2014/main" id="{00000000-0008-0000-0400-0000CA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39" name="Text Box 2">
          <a:extLst>
            <a:ext uri="{FF2B5EF4-FFF2-40B4-BE49-F238E27FC236}">
              <a16:creationId xmlns:a16="http://schemas.microsoft.com/office/drawing/2014/main" id="{00000000-0008-0000-0400-0000CB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40" name="Text Box 2">
          <a:extLst>
            <a:ext uri="{FF2B5EF4-FFF2-40B4-BE49-F238E27FC236}">
              <a16:creationId xmlns:a16="http://schemas.microsoft.com/office/drawing/2014/main" id="{00000000-0008-0000-0400-0000CC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41" name="Text Box 2">
          <a:extLst>
            <a:ext uri="{FF2B5EF4-FFF2-40B4-BE49-F238E27FC236}">
              <a16:creationId xmlns:a16="http://schemas.microsoft.com/office/drawing/2014/main" id="{00000000-0008-0000-0400-0000CD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42" name="Text Box 2">
          <a:extLst>
            <a:ext uri="{FF2B5EF4-FFF2-40B4-BE49-F238E27FC236}">
              <a16:creationId xmlns:a16="http://schemas.microsoft.com/office/drawing/2014/main" id="{00000000-0008-0000-0400-0000CE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43" name="Text Box 2">
          <a:extLst>
            <a:ext uri="{FF2B5EF4-FFF2-40B4-BE49-F238E27FC236}">
              <a16:creationId xmlns:a16="http://schemas.microsoft.com/office/drawing/2014/main" id="{00000000-0008-0000-0400-0000CF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44" name="Text Box 2">
          <a:extLst>
            <a:ext uri="{FF2B5EF4-FFF2-40B4-BE49-F238E27FC236}">
              <a16:creationId xmlns:a16="http://schemas.microsoft.com/office/drawing/2014/main" id="{00000000-0008-0000-0400-0000D0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215</xdr:row>
      <xdr:rowOff>0</xdr:rowOff>
    </xdr:from>
    <xdr:to>
      <xdr:col>3</xdr:col>
      <xdr:colOff>95249</xdr:colOff>
      <xdr:row>216</xdr:row>
      <xdr:rowOff>34925</xdr:rowOff>
    </xdr:to>
    <xdr:sp macro="" textlink="">
      <xdr:nvSpPr>
        <xdr:cNvPr id="1745" name="Text Box 2">
          <a:extLst>
            <a:ext uri="{FF2B5EF4-FFF2-40B4-BE49-F238E27FC236}">
              <a16:creationId xmlns:a16="http://schemas.microsoft.com/office/drawing/2014/main" id="{00000000-0008-0000-0400-0000D1060000}"/>
            </a:ext>
          </a:extLst>
        </xdr:cNvPr>
        <xdr:cNvSpPr txBox="1">
          <a:spLocks noChangeArrowheads="1"/>
        </xdr:cNvSpPr>
      </xdr:nvSpPr>
      <xdr:spPr bwMode="auto">
        <a:xfrm>
          <a:off x="3943350" y="50453925"/>
          <a:ext cx="95250" cy="22860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46" name="Text Box 2">
          <a:extLst>
            <a:ext uri="{FF2B5EF4-FFF2-40B4-BE49-F238E27FC236}">
              <a16:creationId xmlns:a16="http://schemas.microsoft.com/office/drawing/2014/main" id="{00000000-0008-0000-0400-0000D2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47" name="Text Box 2">
          <a:extLst>
            <a:ext uri="{FF2B5EF4-FFF2-40B4-BE49-F238E27FC236}">
              <a16:creationId xmlns:a16="http://schemas.microsoft.com/office/drawing/2014/main" id="{00000000-0008-0000-0400-0000D3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48" name="Text Box 2">
          <a:extLst>
            <a:ext uri="{FF2B5EF4-FFF2-40B4-BE49-F238E27FC236}">
              <a16:creationId xmlns:a16="http://schemas.microsoft.com/office/drawing/2014/main" id="{00000000-0008-0000-0400-0000D4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49" name="Text Box 2">
          <a:extLst>
            <a:ext uri="{FF2B5EF4-FFF2-40B4-BE49-F238E27FC236}">
              <a16:creationId xmlns:a16="http://schemas.microsoft.com/office/drawing/2014/main" id="{00000000-0008-0000-0400-0000D5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50" name="Text Box 2">
          <a:extLst>
            <a:ext uri="{FF2B5EF4-FFF2-40B4-BE49-F238E27FC236}">
              <a16:creationId xmlns:a16="http://schemas.microsoft.com/office/drawing/2014/main" id="{00000000-0008-0000-0400-0000D6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51" name="Text Box 2">
          <a:extLst>
            <a:ext uri="{FF2B5EF4-FFF2-40B4-BE49-F238E27FC236}">
              <a16:creationId xmlns:a16="http://schemas.microsoft.com/office/drawing/2014/main" id="{00000000-0008-0000-0400-0000D7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52" name="Text Box 2">
          <a:extLst>
            <a:ext uri="{FF2B5EF4-FFF2-40B4-BE49-F238E27FC236}">
              <a16:creationId xmlns:a16="http://schemas.microsoft.com/office/drawing/2014/main" id="{00000000-0008-0000-0400-0000D8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53" name="Text Box 2">
          <a:extLst>
            <a:ext uri="{FF2B5EF4-FFF2-40B4-BE49-F238E27FC236}">
              <a16:creationId xmlns:a16="http://schemas.microsoft.com/office/drawing/2014/main" id="{00000000-0008-0000-0400-0000D9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54" name="Text Box 2">
          <a:extLst>
            <a:ext uri="{FF2B5EF4-FFF2-40B4-BE49-F238E27FC236}">
              <a16:creationId xmlns:a16="http://schemas.microsoft.com/office/drawing/2014/main" id="{00000000-0008-0000-0400-0000DA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55" name="Text Box 2">
          <a:extLst>
            <a:ext uri="{FF2B5EF4-FFF2-40B4-BE49-F238E27FC236}">
              <a16:creationId xmlns:a16="http://schemas.microsoft.com/office/drawing/2014/main" id="{00000000-0008-0000-0400-0000DB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56" name="Text Box 2">
          <a:extLst>
            <a:ext uri="{FF2B5EF4-FFF2-40B4-BE49-F238E27FC236}">
              <a16:creationId xmlns:a16="http://schemas.microsoft.com/office/drawing/2014/main" id="{00000000-0008-0000-0400-0000DC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57" name="Text Box 2">
          <a:extLst>
            <a:ext uri="{FF2B5EF4-FFF2-40B4-BE49-F238E27FC236}">
              <a16:creationId xmlns:a16="http://schemas.microsoft.com/office/drawing/2014/main" id="{00000000-0008-0000-0400-0000DD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58" name="Text Box 2">
          <a:extLst>
            <a:ext uri="{FF2B5EF4-FFF2-40B4-BE49-F238E27FC236}">
              <a16:creationId xmlns:a16="http://schemas.microsoft.com/office/drawing/2014/main" id="{00000000-0008-0000-0400-0000DE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59" name="Text Box 2">
          <a:extLst>
            <a:ext uri="{FF2B5EF4-FFF2-40B4-BE49-F238E27FC236}">
              <a16:creationId xmlns:a16="http://schemas.microsoft.com/office/drawing/2014/main" id="{00000000-0008-0000-0400-0000DF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60" name="Text Box 2">
          <a:extLst>
            <a:ext uri="{FF2B5EF4-FFF2-40B4-BE49-F238E27FC236}">
              <a16:creationId xmlns:a16="http://schemas.microsoft.com/office/drawing/2014/main" id="{00000000-0008-0000-0400-0000E0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61" name="Text Box 2">
          <a:extLst>
            <a:ext uri="{FF2B5EF4-FFF2-40B4-BE49-F238E27FC236}">
              <a16:creationId xmlns:a16="http://schemas.microsoft.com/office/drawing/2014/main" id="{00000000-0008-0000-0400-0000E1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62" name="Text Box 2">
          <a:extLst>
            <a:ext uri="{FF2B5EF4-FFF2-40B4-BE49-F238E27FC236}">
              <a16:creationId xmlns:a16="http://schemas.microsoft.com/office/drawing/2014/main" id="{00000000-0008-0000-0400-0000E2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63" name="Text Box 2">
          <a:extLst>
            <a:ext uri="{FF2B5EF4-FFF2-40B4-BE49-F238E27FC236}">
              <a16:creationId xmlns:a16="http://schemas.microsoft.com/office/drawing/2014/main" id="{00000000-0008-0000-0400-0000E3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64" name="Text Box 2">
          <a:extLst>
            <a:ext uri="{FF2B5EF4-FFF2-40B4-BE49-F238E27FC236}">
              <a16:creationId xmlns:a16="http://schemas.microsoft.com/office/drawing/2014/main" id="{00000000-0008-0000-0400-0000E4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65" name="Text Box 2">
          <a:extLst>
            <a:ext uri="{FF2B5EF4-FFF2-40B4-BE49-F238E27FC236}">
              <a16:creationId xmlns:a16="http://schemas.microsoft.com/office/drawing/2014/main" id="{00000000-0008-0000-0400-0000E5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66" name="Text Box 2">
          <a:extLst>
            <a:ext uri="{FF2B5EF4-FFF2-40B4-BE49-F238E27FC236}">
              <a16:creationId xmlns:a16="http://schemas.microsoft.com/office/drawing/2014/main" id="{00000000-0008-0000-0400-0000E6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67" name="Text Box 2">
          <a:extLst>
            <a:ext uri="{FF2B5EF4-FFF2-40B4-BE49-F238E27FC236}">
              <a16:creationId xmlns:a16="http://schemas.microsoft.com/office/drawing/2014/main" id="{00000000-0008-0000-0400-0000E7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68" name="Text Box 2">
          <a:extLst>
            <a:ext uri="{FF2B5EF4-FFF2-40B4-BE49-F238E27FC236}">
              <a16:creationId xmlns:a16="http://schemas.microsoft.com/office/drawing/2014/main" id="{00000000-0008-0000-0400-0000E8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69" name="Text Box 2">
          <a:extLst>
            <a:ext uri="{FF2B5EF4-FFF2-40B4-BE49-F238E27FC236}">
              <a16:creationId xmlns:a16="http://schemas.microsoft.com/office/drawing/2014/main" id="{00000000-0008-0000-0400-0000E9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70" name="Text Box 2">
          <a:extLst>
            <a:ext uri="{FF2B5EF4-FFF2-40B4-BE49-F238E27FC236}">
              <a16:creationId xmlns:a16="http://schemas.microsoft.com/office/drawing/2014/main" id="{00000000-0008-0000-0400-0000EA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71" name="Text Box 2">
          <a:extLst>
            <a:ext uri="{FF2B5EF4-FFF2-40B4-BE49-F238E27FC236}">
              <a16:creationId xmlns:a16="http://schemas.microsoft.com/office/drawing/2014/main" id="{00000000-0008-0000-0400-0000EB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72" name="Text Box 2">
          <a:extLst>
            <a:ext uri="{FF2B5EF4-FFF2-40B4-BE49-F238E27FC236}">
              <a16:creationId xmlns:a16="http://schemas.microsoft.com/office/drawing/2014/main" id="{00000000-0008-0000-0400-0000EC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73" name="Text Box 2">
          <a:extLst>
            <a:ext uri="{FF2B5EF4-FFF2-40B4-BE49-F238E27FC236}">
              <a16:creationId xmlns:a16="http://schemas.microsoft.com/office/drawing/2014/main" id="{00000000-0008-0000-0400-0000ED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774" name="Text Box 2">
          <a:extLst>
            <a:ext uri="{FF2B5EF4-FFF2-40B4-BE49-F238E27FC236}">
              <a16:creationId xmlns:a16="http://schemas.microsoft.com/office/drawing/2014/main" id="{00000000-0008-0000-0400-0000EE06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75" name="Text Box 2">
          <a:extLst>
            <a:ext uri="{FF2B5EF4-FFF2-40B4-BE49-F238E27FC236}">
              <a16:creationId xmlns:a16="http://schemas.microsoft.com/office/drawing/2014/main" id="{00000000-0008-0000-0400-0000EF06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76" name="Text Box 2">
          <a:extLst>
            <a:ext uri="{FF2B5EF4-FFF2-40B4-BE49-F238E27FC236}">
              <a16:creationId xmlns:a16="http://schemas.microsoft.com/office/drawing/2014/main" id="{00000000-0008-0000-0400-0000F006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77" name="Text Box 2">
          <a:extLst>
            <a:ext uri="{FF2B5EF4-FFF2-40B4-BE49-F238E27FC236}">
              <a16:creationId xmlns:a16="http://schemas.microsoft.com/office/drawing/2014/main" id="{00000000-0008-0000-0400-0000F106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78" name="Text Box 2">
          <a:extLst>
            <a:ext uri="{FF2B5EF4-FFF2-40B4-BE49-F238E27FC236}">
              <a16:creationId xmlns:a16="http://schemas.microsoft.com/office/drawing/2014/main" id="{00000000-0008-0000-0400-0000F206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79" name="Text Box 2">
          <a:extLst>
            <a:ext uri="{FF2B5EF4-FFF2-40B4-BE49-F238E27FC236}">
              <a16:creationId xmlns:a16="http://schemas.microsoft.com/office/drawing/2014/main" id="{00000000-0008-0000-0400-0000F306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80" name="Text Box 2">
          <a:extLst>
            <a:ext uri="{FF2B5EF4-FFF2-40B4-BE49-F238E27FC236}">
              <a16:creationId xmlns:a16="http://schemas.microsoft.com/office/drawing/2014/main" id="{00000000-0008-0000-0400-0000F406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81" name="Text Box 2">
          <a:extLst>
            <a:ext uri="{FF2B5EF4-FFF2-40B4-BE49-F238E27FC236}">
              <a16:creationId xmlns:a16="http://schemas.microsoft.com/office/drawing/2014/main" id="{00000000-0008-0000-0400-0000F506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82" name="Text Box 2">
          <a:extLst>
            <a:ext uri="{FF2B5EF4-FFF2-40B4-BE49-F238E27FC236}">
              <a16:creationId xmlns:a16="http://schemas.microsoft.com/office/drawing/2014/main" id="{00000000-0008-0000-0400-0000F606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83" name="Text Box 2">
          <a:extLst>
            <a:ext uri="{FF2B5EF4-FFF2-40B4-BE49-F238E27FC236}">
              <a16:creationId xmlns:a16="http://schemas.microsoft.com/office/drawing/2014/main" id="{00000000-0008-0000-0400-0000F706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84" name="Text Box 2">
          <a:extLst>
            <a:ext uri="{FF2B5EF4-FFF2-40B4-BE49-F238E27FC236}">
              <a16:creationId xmlns:a16="http://schemas.microsoft.com/office/drawing/2014/main" id="{00000000-0008-0000-0400-0000F806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85" name="Text Box 2">
          <a:extLst>
            <a:ext uri="{FF2B5EF4-FFF2-40B4-BE49-F238E27FC236}">
              <a16:creationId xmlns:a16="http://schemas.microsoft.com/office/drawing/2014/main" id="{00000000-0008-0000-0400-0000F906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86" name="Text Box 2">
          <a:extLst>
            <a:ext uri="{FF2B5EF4-FFF2-40B4-BE49-F238E27FC236}">
              <a16:creationId xmlns:a16="http://schemas.microsoft.com/office/drawing/2014/main" id="{00000000-0008-0000-0400-0000FA06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87" name="Text Box 2">
          <a:extLst>
            <a:ext uri="{FF2B5EF4-FFF2-40B4-BE49-F238E27FC236}">
              <a16:creationId xmlns:a16="http://schemas.microsoft.com/office/drawing/2014/main" id="{00000000-0008-0000-0400-0000FB06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88" name="Text Box 2">
          <a:extLst>
            <a:ext uri="{FF2B5EF4-FFF2-40B4-BE49-F238E27FC236}">
              <a16:creationId xmlns:a16="http://schemas.microsoft.com/office/drawing/2014/main" id="{00000000-0008-0000-0400-0000FC06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89" name="Text Box 2">
          <a:extLst>
            <a:ext uri="{FF2B5EF4-FFF2-40B4-BE49-F238E27FC236}">
              <a16:creationId xmlns:a16="http://schemas.microsoft.com/office/drawing/2014/main" id="{00000000-0008-0000-0400-0000FD06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90" name="Text Box 2">
          <a:extLst>
            <a:ext uri="{FF2B5EF4-FFF2-40B4-BE49-F238E27FC236}">
              <a16:creationId xmlns:a16="http://schemas.microsoft.com/office/drawing/2014/main" id="{00000000-0008-0000-0400-0000FE06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91" name="Text Box 2">
          <a:extLst>
            <a:ext uri="{FF2B5EF4-FFF2-40B4-BE49-F238E27FC236}">
              <a16:creationId xmlns:a16="http://schemas.microsoft.com/office/drawing/2014/main" id="{00000000-0008-0000-0400-0000FF06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92" name="Text Box 2">
          <a:extLst>
            <a:ext uri="{FF2B5EF4-FFF2-40B4-BE49-F238E27FC236}">
              <a16:creationId xmlns:a16="http://schemas.microsoft.com/office/drawing/2014/main" id="{00000000-0008-0000-0400-000000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93" name="Text Box 2">
          <a:extLst>
            <a:ext uri="{FF2B5EF4-FFF2-40B4-BE49-F238E27FC236}">
              <a16:creationId xmlns:a16="http://schemas.microsoft.com/office/drawing/2014/main" id="{00000000-0008-0000-0400-000001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94" name="Text Box 2">
          <a:extLst>
            <a:ext uri="{FF2B5EF4-FFF2-40B4-BE49-F238E27FC236}">
              <a16:creationId xmlns:a16="http://schemas.microsoft.com/office/drawing/2014/main" id="{00000000-0008-0000-0400-000002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95" name="Text Box 2">
          <a:extLst>
            <a:ext uri="{FF2B5EF4-FFF2-40B4-BE49-F238E27FC236}">
              <a16:creationId xmlns:a16="http://schemas.microsoft.com/office/drawing/2014/main" id="{00000000-0008-0000-0400-000003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96" name="Text Box 2">
          <a:extLst>
            <a:ext uri="{FF2B5EF4-FFF2-40B4-BE49-F238E27FC236}">
              <a16:creationId xmlns:a16="http://schemas.microsoft.com/office/drawing/2014/main" id="{00000000-0008-0000-0400-000004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97" name="Text Box 2">
          <a:extLst>
            <a:ext uri="{FF2B5EF4-FFF2-40B4-BE49-F238E27FC236}">
              <a16:creationId xmlns:a16="http://schemas.microsoft.com/office/drawing/2014/main" id="{00000000-0008-0000-0400-000005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98" name="Text Box 2">
          <a:extLst>
            <a:ext uri="{FF2B5EF4-FFF2-40B4-BE49-F238E27FC236}">
              <a16:creationId xmlns:a16="http://schemas.microsoft.com/office/drawing/2014/main" id="{00000000-0008-0000-0400-000006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799" name="Text Box 2">
          <a:extLst>
            <a:ext uri="{FF2B5EF4-FFF2-40B4-BE49-F238E27FC236}">
              <a16:creationId xmlns:a16="http://schemas.microsoft.com/office/drawing/2014/main" id="{00000000-0008-0000-0400-000007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800" name="Text Box 2">
          <a:extLst>
            <a:ext uri="{FF2B5EF4-FFF2-40B4-BE49-F238E27FC236}">
              <a16:creationId xmlns:a16="http://schemas.microsoft.com/office/drawing/2014/main" id="{00000000-0008-0000-0400-000008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801" name="Text Box 2">
          <a:extLst>
            <a:ext uri="{FF2B5EF4-FFF2-40B4-BE49-F238E27FC236}">
              <a16:creationId xmlns:a16="http://schemas.microsoft.com/office/drawing/2014/main" id="{00000000-0008-0000-0400-000009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802" name="Text Box 2">
          <a:extLst>
            <a:ext uri="{FF2B5EF4-FFF2-40B4-BE49-F238E27FC236}">
              <a16:creationId xmlns:a16="http://schemas.microsoft.com/office/drawing/2014/main" id="{00000000-0008-0000-0400-00000A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03" name="Text Box 2">
          <a:extLst>
            <a:ext uri="{FF2B5EF4-FFF2-40B4-BE49-F238E27FC236}">
              <a16:creationId xmlns:a16="http://schemas.microsoft.com/office/drawing/2014/main" id="{00000000-0008-0000-0400-00000B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04" name="Text Box 2">
          <a:extLst>
            <a:ext uri="{FF2B5EF4-FFF2-40B4-BE49-F238E27FC236}">
              <a16:creationId xmlns:a16="http://schemas.microsoft.com/office/drawing/2014/main" id="{00000000-0008-0000-0400-00000C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05" name="Text Box 2">
          <a:extLst>
            <a:ext uri="{FF2B5EF4-FFF2-40B4-BE49-F238E27FC236}">
              <a16:creationId xmlns:a16="http://schemas.microsoft.com/office/drawing/2014/main" id="{00000000-0008-0000-0400-00000D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06" name="Text Box 2">
          <a:extLst>
            <a:ext uri="{FF2B5EF4-FFF2-40B4-BE49-F238E27FC236}">
              <a16:creationId xmlns:a16="http://schemas.microsoft.com/office/drawing/2014/main" id="{00000000-0008-0000-0400-00000E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07" name="Text Box 2">
          <a:extLst>
            <a:ext uri="{FF2B5EF4-FFF2-40B4-BE49-F238E27FC236}">
              <a16:creationId xmlns:a16="http://schemas.microsoft.com/office/drawing/2014/main" id="{00000000-0008-0000-0400-00000F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08" name="Text Box 2">
          <a:extLst>
            <a:ext uri="{FF2B5EF4-FFF2-40B4-BE49-F238E27FC236}">
              <a16:creationId xmlns:a16="http://schemas.microsoft.com/office/drawing/2014/main" id="{00000000-0008-0000-0400-000010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09" name="Text Box 2">
          <a:extLst>
            <a:ext uri="{FF2B5EF4-FFF2-40B4-BE49-F238E27FC236}">
              <a16:creationId xmlns:a16="http://schemas.microsoft.com/office/drawing/2014/main" id="{00000000-0008-0000-0400-000011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10" name="Text Box 2">
          <a:extLst>
            <a:ext uri="{FF2B5EF4-FFF2-40B4-BE49-F238E27FC236}">
              <a16:creationId xmlns:a16="http://schemas.microsoft.com/office/drawing/2014/main" id="{00000000-0008-0000-0400-000012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11" name="Text Box 2">
          <a:extLst>
            <a:ext uri="{FF2B5EF4-FFF2-40B4-BE49-F238E27FC236}">
              <a16:creationId xmlns:a16="http://schemas.microsoft.com/office/drawing/2014/main" id="{00000000-0008-0000-0400-000013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12" name="Text Box 2">
          <a:extLst>
            <a:ext uri="{FF2B5EF4-FFF2-40B4-BE49-F238E27FC236}">
              <a16:creationId xmlns:a16="http://schemas.microsoft.com/office/drawing/2014/main" id="{00000000-0008-0000-0400-000014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13" name="Text Box 2">
          <a:extLst>
            <a:ext uri="{FF2B5EF4-FFF2-40B4-BE49-F238E27FC236}">
              <a16:creationId xmlns:a16="http://schemas.microsoft.com/office/drawing/2014/main" id="{00000000-0008-0000-0400-000015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14" name="Text Box 2">
          <a:extLst>
            <a:ext uri="{FF2B5EF4-FFF2-40B4-BE49-F238E27FC236}">
              <a16:creationId xmlns:a16="http://schemas.microsoft.com/office/drawing/2014/main" id="{00000000-0008-0000-0400-000016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15" name="Text Box 2">
          <a:extLst>
            <a:ext uri="{FF2B5EF4-FFF2-40B4-BE49-F238E27FC236}">
              <a16:creationId xmlns:a16="http://schemas.microsoft.com/office/drawing/2014/main" id="{00000000-0008-0000-0400-000017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16" name="Text Box 2">
          <a:extLst>
            <a:ext uri="{FF2B5EF4-FFF2-40B4-BE49-F238E27FC236}">
              <a16:creationId xmlns:a16="http://schemas.microsoft.com/office/drawing/2014/main" id="{00000000-0008-0000-0400-000018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17" name="Text Box 2">
          <a:extLst>
            <a:ext uri="{FF2B5EF4-FFF2-40B4-BE49-F238E27FC236}">
              <a16:creationId xmlns:a16="http://schemas.microsoft.com/office/drawing/2014/main" id="{00000000-0008-0000-0400-000019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18" name="Text Box 2">
          <a:extLst>
            <a:ext uri="{FF2B5EF4-FFF2-40B4-BE49-F238E27FC236}">
              <a16:creationId xmlns:a16="http://schemas.microsoft.com/office/drawing/2014/main" id="{00000000-0008-0000-0400-00001A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19" name="Text Box 2">
          <a:extLst>
            <a:ext uri="{FF2B5EF4-FFF2-40B4-BE49-F238E27FC236}">
              <a16:creationId xmlns:a16="http://schemas.microsoft.com/office/drawing/2014/main" id="{00000000-0008-0000-0400-00001B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20" name="Text Box 2">
          <a:extLst>
            <a:ext uri="{FF2B5EF4-FFF2-40B4-BE49-F238E27FC236}">
              <a16:creationId xmlns:a16="http://schemas.microsoft.com/office/drawing/2014/main" id="{00000000-0008-0000-0400-00001C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21" name="Text Box 2">
          <a:extLst>
            <a:ext uri="{FF2B5EF4-FFF2-40B4-BE49-F238E27FC236}">
              <a16:creationId xmlns:a16="http://schemas.microsoft.com/office/drawing/2014/main" id="{00000000-0008-0000-0400-00001D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22" name="Text Box 2">
          <a:extLst>
            <a:ext uri="{FF2B5EF4-FFF2-40B4-BE49-F238E27FC236}">
              <a16:creationId xmlns:a16="http://schemas.microsoft.com/office/drawing/2014/main" id="{00000000-0008-0000-0400-00001E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23" name="Text Box 2">
          <a:extLst>
            <a:ext uri="{FF2B5EF4-FFF2-40B4-BE49-F238E27FC236}">
              <a16:creationId xmlns:a16="http://schemas.microsoft.com/office/drawing/2014/main" id="{00000000-0008-0000-0400-00001F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24" name="Text Box 2">
          <a:extLst>
            <a:ext uri="{FF2B5EF4-FFF2-40B4-BE49-F238E27FC236}">
              <a16:creationId xmlns:a16="http://schemas.microsoft.com/office/drawing/2014/main" id="{00000000-0008-0000-0400-000020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25" name="Text Box 2">
          <a:extLst>
            <a:ext uri="{FF2B5EF4-FFF2-40B4-BE49-F238E27FC236}">
              <a16:creationId xmlns:a16="http://schemas.microsoft.com/office/drawing/2014/main" id="{00000000-0008-0000-0400-000021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26" name="Text Box 2">
          <a:extLst>
            <a:ext uri="{FF2B5EF4-FFF2-40B4-BE49-F238E27FC236}">
              <a16:creationId xmlns:a16="http://schemas.microsoft.com/office/drawing/2014/main" id="{00000000-0008-0000-0400-000022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27" name="Text Box 2">
          <a:extLst>
            <a:ext uri="{FF2B5EF4-FFF2-40B4-BE49-F238E27FC236}">
              <a16:creationId xmlns:a16="http://schemas.microsoft.com/office/drawing/2014/main" id="{00000000-0008-0000-0400-000023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28" name="Text Box 2">
          <a:extLst>
            <a:ext uri="{FF2B5EF4-FFF2-40B4-BE49-F238E27FC236}">
              <a16:creationId xmlns:a16="http://schemas.microsoft.com/office/drawing/2014/main" id="{00000000-0008-0000-0400-000024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29" name="Text Box 2">
          <a:extLst>
            <a:ext uri="{FF2B5EF4-FFF2-40B4-BE49-F238E27FC236}">
              <a16:creationId xmlns:a16="http://schemas.microsoft.com/office/drawing/2014/main" id="{00000000-0008-0000-0400-000025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30" name="Text Box 2">
          <a:extLst>
            <a:ext uri="{FF2B5EF4-FFF2-40B4-BE49-F238E27FC236}">
              <a16:creationId xmlns:a16="http://schemas.microsoft.com/office/drawing/2014/main" id="{00000000-0008-0000-0400-000026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31" name="Text Box 2">
          <a:extLst>
            <a:ext uri="{FF2B5EF4-FFF2-40B4-BE49-F238E27FC236}">
              <a16:creationId xmlns:a16="http://schemas.microsoft.com/office/drawing/2014/main" id="{00000000-0008-0000-0400-000027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32" name="Text Box 2">
          <a:extLst>
            <a:ext uri="{FF2B5EF4-FFF2-40B4-BE49-F238E27FC236}">
              <a16:creationId xmlns:a16="http://schemas.microsoft.com/office/drawing/2014/main" id="{00000000-0008-0000-0400-000028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33" name="Text Box 2">
          <a:extLst>
            <a:ext uri="{FF2B5EF4-FFF2-40B4-BE49-F238E27FC236}">
              <a16:creationId xmlns:a16="http://schemas.microsoft.com/office/drawing/2014/main" id="{00000000-0008-0000-0400-000029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34" name="Text Box 2">
          <a:extLst>
            <a:ext uri="{FF2B5EF4-FFF2-40B4-BE49-F238E27FC236}">
              <a16:creationId xmlns:a16="http://schemas.microsoft.com/office/drawing/2014/main" id="{00000000-0008-0000-0400-00002A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35" name="Text Box 2">
          <a:extLst>
            <a:ext uri="{FF2B5EF4-FFF2-40B4-BE49-F238E27FC236}">
              <a16:creationId xmlns:a16="http://schemas.microsoft.com/office/drawing/2014/main" id="{00000000-0008-0000-0400-00002B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36" name="Text Box 2">
          <a:extLst>
            <a:ext uri="{FF2B5EF4-FFF2-40B4-BE49-F238E27FC236}">
              <a16:creationId xmlns:a16="http://schemas.microsoft.com/office/drawing/2014/main" id="{00000000-0008-0000-0400-00002C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37" name="Text Box 2">
          <a:extLst>
            <a:ext uri="{FF2B5EF4-FFF2-40B4-BE49-F238E27FC236}">
              <a16:creationId xmlns:a16="http://schemas.microsoft.com/office/drawing/2014/main" id="{00000000-0008-0000-0400-00002D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38" name="Text Box 2">
          <a:extLst>
            <a:ext uri="{FF2B5EF4-FFF2-40B4-BE49-F238E27FC236}">
              <a16:creationId xmlns:a16="http://schemas.microsoft.com/office/drawing/2014/main" id="{00000000-0008-0000-0400-00002E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39" name="Text Box 2">
          <a:extLst>
            <a:ext uri="{FF2B5EF4-FFF2-40B4-BE49-F238E27FC236}">
              <a16:creationId xmlns:a16="http://schemas.microsoft.com/office/drawing/2014/main" id="{00000000-0008-0000-0400-00002F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40" name="Text Box 2">
          <a:extLst>
            <a:ext uri="{FF2B5EF4-FFF2-40B4-BE49-F238E27FC236}">
              <a16:creationId xmlns:a16="http://schemas.microsoft.com/office/drawing/2014/main" id="{00000000-0008-0000-0400-000030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41" name="Text Box 2">
          <a:extLst>
            <a:ext uri="{FF2B5EF4-FFF2-40B4-BE49-F238E27FC236}">
              <a16:creationId xmlns:a16="http://schemas.microsoft.com/office/drawing/2014/main" id="{00000000-0008-0000-0400-000031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42" name="Text Box 2">
          <a:extLst>
            <a:ext uri="{FF2B5EF4-FFF2-40B4-BE49-F238E27FC236}">
              <a16:creationId xmlns:a16="http://schemas.microsoft.com/office/drawing/2014/main" id="{00000000-0008-0000-0400-000032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43" name="Text Box 2">
          <a:extLst>
            <a:ext uri="{FF2B5EF4-FFF2-40B4-BE49-F238E27FC236}">
              <a16:creationId xmlns:a16="http://schemas.microsoft.com/office/drawing/2014/main" id="{00000000-0008-0000-0400-000033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44" name="Text Box 2">
          <a:extLst>
            <a:ext uri="{FF2B5EF4-FFF2-40B4-BE49-F238E27FC236}">
              <a16:creationId xmlns:a16="http://schemas.microsoft.com/office/drawing/2014/main" id="{00000000-0008-0000-0400-000034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45" name="Text Box 2">
          <a:extLst>
            <a:ext uri="{FF2B5EF4-FFF2-40B4-BE49-F238E27FC236}">
              <a16:creationId xmlns:a16="http://schemas.microsoft.com/office/drawing/2014/main" id="{00000000-0008-0000-0400-000035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46" name="Text Box 2">
          <a:extLst>
            <a:ext uri="{FF2B5EF4-FFF2-40B4-BE49-F238E27FC236}">
              <a16:creationId xmlns:a16="http://schemas.microsoft.com/office/drawing/2014/main" id="{00000000-0008-0000-0400-000036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47" name="Text Box 2">
          <a:extLst>
            <a:ext uri="{FF2B5EF4-FFF2-40B4-BE49-F238E27FC236}">
              <a16:creationId xmlns:a16="http://schemas.microsoft.com/office/drawing/2014/main" id="{00000000-0008-0000-0400-000037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48" name="Text Box 2">
          <a:extLst>
            <a:ext uri="{FF2B5EF4-FFF2-40B4-BE49-F238E27FC236}">
              <a16:creationId xmlns:a16="http://schemas.microsoft.com/office/drawing/2014/main" id="{00000000-0008-0000-0400-000038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49" name="Text Box 2">
          <a:extLst>
            <a:ext uri="{FF2B5EF4-FFF2-40B4-BE49-F238E27FC236}">
              <a16:creationId xmlns:a16="http://schemas.microsoft.com/office/drawing/2014/main" id="{00000000-0008-0000-0400-000039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50" name="Text Box 2">
          <a:extLst>
            <a:ext uri="{FF2B5EF4-FFF2-40B4-BE49-F238E27FC236}">
              <a16:creationId xmlns:a16="http://schemas.microsoft.com/office/drawing/2014/main" id="{00000000-0008-0000-0400-00003A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51" name="Text Box 2">
          <a:extLst>
            <a:ext uri="{FF2B5EF4-FFF2-40B4-BE49-F238E27FC236}">
              <a16:creationId xmlns:a16="http://schemas.microsoft.com/office/drawing/2014/main" id="{00000000-0008-0000-0400-00003B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52" name="Text Box 2">
          <a:extLst>
            <a:ext uri="{FF2B5EF4-FFF2-40B4-BE49-F238E27FC236}">
              <a16:creationId xmlns:a16="http://schemas.microsoft.com/office/drawing/2014/main" id="{00000000-0008-0000-0400-00003C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53" name="Text Box 2">
          <a:extLst>
            <a:ext uri="{FF2B5EF4-FFF2-40B4-BE49-F238E27FC236}">
              <a16:creationId xmlns:a16="http://schemas.microsoft.com/office/drawing/2014/main" id="{00000000-0008-0000-0400-00003D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54" name="Text Box 2">
          <a:extLst>
            <a:ext uri="{FF2B5EF4-FFF2-40B4-BE49-F238E27FC236}">
              <a16:creationId xmlns:a16="http://schemas.microsoft.com/office/drawing/2014/main" id="{00000000-0008-0000-0400-00003E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55" name="Text Box 2">
          <a:extLst>
            <a:ext uri="{FF2B5EF4-FFF2-40B4-BE49-F238E27FC236}">
              <a16:creationId xmlns:a16="http://schemas.microsoft.com/office/drawing/2014/main" id="{00000000-0008-0000-0400-00003F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56" name="Text Box 2">
          <a:extLst>
            <a:ext uri="{FF2B5EF4-FFF2-40B4-BE49-F238E27FC236}">
              <a16:creationId xmlns:a16="http://schemas.microsoft.com/office/drawing/2014/main" id="{00000000-0008-0000-0400-000040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57" name="Text Box 2">
          <a:extLst>
            <a:ext uri="{FF2B5EF4-FFF2-40B4-BE49-F238E27FC236}">
              <a16:creationId xmlns:a16="http://schemas.microsoft.com/office/drawing/2014/main" id="{00000000-0008-0000-0400-000041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58" name="Text Box 2">
          <a:extLst>
            <a:ext uri="{FF2B5EF4-FFF2-40B4-BE49-F238E27FC236}">
              <a16:creationId xmlns:a16="http://schemas.microsoft.com/office/drawing/2014/main" id="{00000000-0008-0000-0400-000042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59" name="Text Box 2">
          <a:extLst>
            <a:ext uri="{FF2B5EF4-FFF2-40B4-BE49-F238E27FC236}">
              <a16:creationId xmlns:a16="http://schemas.microsoft.com/office/drawing/2014/main" id="{00000000-0008-0000-0400-000043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60" name="Text Box 2">
          <a:extLst>
            <a:ext uri="{FF2B5EF4-FFF2-40B4-BE49-F238E27FC236}">
              <a16:creationId xmlns:a16="http://schemas.microsoft.com/office/drawing/2014/main" id="{00000000-0008-0000-0400-000044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61" name="Text Box 2">
          <a:extLst>
            <a:ext uri="{FF2B5EF4-FFF2-40B4-BE49-F238E27FC236}">
              <a16:creationId xmlns:a16="http://schemas.microsoft.com/office/drawing/2014/main" id="{00000000-0008-0000-0400-000045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62" name="Text Box 2">
          <a:extLst>
            <a:ext uri="{FF2B5EF4-FFF2-40B4-BE49-F238E27FC236}">
              <a16:creationId xmlns:a16="http://schemas.microsoft.com/office/drawing/2014/main" id="{00000000-0008-0000-0400-000046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63" name="Text Box 2">
          <a:extLst>
            <a:ext uri="{FF2B5EF4-FFF2-40B4-BE49-F238E27FC236}">
              <a16:creationId xmlns:a16="http://schemas.microsoft.com/office/drawing/2014/main" id="{00000000-0008-0000-0400-000047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64" name="Text Box 2">
          <a:extLst>
            <a:ext uri="{FF2B5EF4-FFF2-40B4-BE49-F238E27FC236}">
              <a16:creationId xmlns:a16="http://schemas.microsoft.com/office/drawing/2014/main" id="{00000000-0008-0000-0400-000048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65" name="Text Box 2">
          <a:extLst>
            <a:ext uri="{FF2B5EF4-FFF2-40B4-BE49-F238E27FC236}">
              <a16:creationId xmlns:a16="http://schemas.microsoft.com/office/drawing/2014/main" id="{00000000-0008-0000-0400-000049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66" name="Text Box 2">
          <a:extLst>
            <a:ext uri="{FF2B5EF4-FFF2-40B4-BE49-F238E27FC236}">
              <a16:creationId xmlns:a16="http://schemas.microsoft.com/office/drawing/2014/main" id="{00000000-0008-0000-0400-00004A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67" name="Text Box 2">
          <a:extLst>
            <a:ext uri="{FF2B5EF4-FFF2-40B4-BE49-F238E27FC236}">
              <a16:creationId xmlns:a16="http://schemas.microsoft.com/office/drawing/2014/main" id="{00000000-0008-0000-0400-00004B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68" name="Text Box 2">
          <a:extLst>
            <a:ext uri="{FF2B5EF4-FFF2-40B4-BE49-F238E27FC236}">
              <a16:creationId xmlns:a16="http://schemas.microsoft.com/office/drawing/2014/main" id="{00000000-0008-0000-0400-00004C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69" name="Text Box 2">
          <a:extLst>
            <a:ext uri="{FF2B5EF4-FFF2-40B4-BE49-F238E27FC236}">
              <a16:creationId xmlns:a16="http://schemas.microsoft.com/office/drawing/2014/main" id="{00000000-0008-0000-0400-00004D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70" name="Text Box 2">
          <a:extLst>
            <a:ext uri="{FF2B5EF4-FFF2-40B4-BE49-F238E27FC236}">
              <a16:creationId xmlns:a16="http://schemas.microsoft.com/office/drawing/2014/main" id="{00000000-0008-0000-0400-00004E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71" name="Text Box 2">
          <a:extLst>
            <a:ext uri="{FF2B5EF4-FFF2-40B4-BE49-F238E27FC236}">
              <a16:creationId xmlns:a16="http://schemas.microsoft.com/office/drawing/2014/main" id="{00000000-0008-0000-0400-00004F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72" name="Text Box 2">
          <a:extLst>
            <a:ext uri="{FF2B5EF4-FFF2-40B4-BE49-F238E27FC236}">
              <a16:creationId xmlns:a16="http://schemas.microsoft.com/office/drawing/2014/main" id="{00000000-0008-0000-0400-000050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73" name="Text Box 2">
          <a:extLst>
            <a:ext uri="{FF2B5EF4-FFF2-40B4-BE49-F238E27FC236}">
              <a16:creationId xmlns:a16="http://schemas.microsoft.com/office/drawing/2014/main" id="{00000000-0008-0000-0400-000051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74" name="Text Box 2">
          <a:extLst>
            <a:ext uri="{FF2B5EF4-FFF2-40B4-BE49-F238E27FC236}">
              <a16:creationId xmlns:a16="http://schemas.microsoft.com/office/drawing/2014/main" id="{00000000-0008-0000-0400-000052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75" name="Text Box 2">
          <a:extLst>
            <a:ext uri="{FF2B5EF4-FFF2-40B4-BE49-F238E27FC236}">
              <a16:creationId xmlns:a16="http://schemas.microsoft.com/office/drawing/2014/main" id="{00000000-0008-0000-0400-000053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76" name="Text Box 2">
          <a:extLst>
            <a:ext uri="{FF2B5EF4-FFF2-40B4-BE49-F238E27FC236}">
              <a16:creationId xmlns:a16="http://schemas.microsoft.com/office/drawing/2014/main" id="{00000000-0008-0000-0400-000054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77" name="Text Box 2">
          <a:extLst>
            <a:ext uri="{FF2B5EF4-FFF2-40B4-BE49-F238E27FC236}">
              <a16:creationId xmlns:a16="http://schemas.microsoft.com/office/drawing/2014/main" id="{00000000-0008-0000-0400-000055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78" name="Text Box 2">
          <a:extLst>
            <a:ext uri="{FF2B5EF4-FFF2-40B4-BE49-F238E27FC236}">
              <a16:creationId xmlns:a16="http://schemas.microsoft.com/office/drawing/2014/main" id="{00000000-0008-0000-0400-000056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79" name="Text Box 2">
          <a:extLst>
            <a:ext uri="{FF2B5EF4-FFF2-40B4-BE49-F238E27FC236}">
              <a16:creationId xmlns:a16="http://schemas.microsoft.com/office/drawing/2014/main" id="{00000000-0008-0000-0400-000057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80" name="Text Box 2">
          <a:extLst>
            <a:ext uri="{FF2B5EF4-FFF2-40B4-BE49-F238E27FC236}">
              <a16:creationId xmlns:a16="http://schemas.microsoft.com/office/drawing/2014/main" id="{00000000-0008-0000-0400-000058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81" name="Text Box 2">
          <a:extLst>
            <a:ext uri="{FF2B5EF4-FFF2-40B4-BE49-F238E27FC236}">
              <a16:creationId xmlns:a16="http://schemas.microsoft.com/office/drawing/2014/main" id="{00000000-0008-0000-0400-000059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82" name="Text Box 2">
          <a:extLst>
            <a:ext uri="{FF2B5EF4-FFF2-40B4-BE49-F238E27FC236}">
              <a16:creationId xmlns:a16="http://schemas.microsoft.com/office/drawing/2014/main" id="{00000000-0008-0000-0400-00005A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83" name="Text Box 2">
          <a:extLst>
            <a:ext uri="{FF2B5EF4-FFF2-40B4-BE49-F238E27FC236}">
              <a16:creationId xmlns:a16="http://schemas.microsoft.com/office/drawing/2014/main" id="{00000000-0008-0000-0400-00005B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84" name="Text Box 2">
          <a:extLst>
            <a:ext uri="{FF2B5EF4-FFF2-40B4-BE49-F238E27FC236}">
              <a16:creationId xmlns:a16="http://schemas.microsoft.com/office/drawing/2014/main" id="{00000000-0008-0000-0400-00005C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85" name="Text Box 2">
          <a:extLst>
            <a:ext uri="{FF2B5EF4-FFF2-40B4-BE49-F238E27FC236}">
              <a16:creationId xmlns:a16="http://schemas.microsoft.com/office/drawing/2014/main" id="{00000000-0008-0000-0400-00005D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86" name="Text Box 2">
          <a:extLst>
            <a:ext uri="{FF2B5EF4-FFF2-40B4-BE49-F238E27FC236}">
              <a16:creationId xmlns:a16="http://schemas.microsoft.com/office/drawing/2014/main" id="{00000000-0008-0000-0400-00005E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87" name="Text Box 2">
          <a:extLst>
            <a:ext uri="{FF2B5EF4-FFF2-40B4-BE49-F238E27FC236}">
              <a16:creationId xmlns:a16="http://schemas.microsoft.com/office/drawing/2014/main" id="{00000000-0008-0000-0400-00005F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88" name="Text Box 2">
          <a:extLst>
            <a:ext uri="{FF2B5EF4-FFF2-40B4-BE49-F238E27FC236}">
              <a16:creationId xmlns:a16="http://schemas.microsoft.com/office/drawing/2014/main" id="{00000000-0008-0000-0400-000060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89" name="Text Box 2">
          <a:extLst>
            <a:ext uri="{FF2B5EF4-FFF2-40B4-BE49-F238E27FC236}">
              <a16:creationId xmlns:a16="http://schemas.microsoft.com/office/drawing/2014/main" id="{00000000-0008-0000-0400-000061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90" name="Text Box 2">
          <a:extLst>
            <a:ext uri="{FF2B5EF4-FFF2-40B4-BE49-F238E27FC236}">
              <a16:creationId xmlns:a16="http://schemas.microsoft.com/office/drawing/2014/main" id="{00000000-0008-0000-0400-000062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91" name="Text Box 2">
          <a:extLst>
            <a:ext uri="{FF2B5EF4-FFF2-40B4-BE49-F238E27FC236}">
              <a16:creationId xmlns:a16="http://schemas.microsoft.com/office/drawing/2014/main" id="{00000000-0008-0000-0400-000063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92" name="Text Box 2">
          <a:extLst>
            <a:ext uri="{FF2B5EF4-FFF2-40B4-BE49-F238E27FC236}">
              <a16:creationId xmlns:a16="http://schemas.microsoft.com/office/drawing/2014/main" id="{00000000-0008-0000-0400-000064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93" name="Text Box 2">
          <a:extLst>
            <a:ext uri="{FF2B5EF4-FFF2-40B4-BE49-F238E27FC236}">
              <a16:creationId xmlns:a16="http://schemas.microsoft.com/office/drawing/2014/main" id="{00000000-0008-0000-0400-000065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94" name="Text Box 2">
          <a:extLst>
            <a:ext uri="{FF2B5EF4-FFF2-40B4-BE49-F238E27FC236}">
              <a16:creationId xmlns:a16="http://schemas.microsoft.com/office/drawing/2014/main" id="{00000000-0008-0000-0400-000066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95" name="Text Box 2">
          <a:extLst>
            <a:ext uri="{FF2B5EF4-FFF2-40B4-BE49-F238E27FC236}">
              <a16:creationId xmlns:a16="http://schemas.microsoft.com/office/drawing/2014/main" id="{00000000-0008-0000-0400-000067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96" name="Text Box 2">
          <a:extLst>
            <a:ext uri="{FF2B5EF4-FFF2-40B4-BE49-F238E27FC236}">
              <a16:creationId xmlns:a16="http://schemas.microsoft.com/office/drawing/2014/main" id="{00000000-0008-0000-0400-000068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97" name="Text Box 2">
          <a:extLst>
            <a:ext uri="{FF2B5EF4-FFF2-40B4-BE49-F238E27FC236}">
              <a16:creationId xmlns:a16="http://schemas.microsoft.com/office/drawing/2014/main" id="{00000000-0008-0000-0400-000069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98" name="Text Box 2">
          <a:extLst>
            <a:ext uri="{FF2B5EF4-FFF2-40B4-BE49-F238E27FC236}">
              <a16:creationId xmlns:a16="http://schemas.microsoft.com/office/drawing/2014/main" id="{00000000-0008-0000-0400-00006A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899" name="Text Box 2">
          <a:extLst>
            <a:ext uri="{FF2B5EF4-FFF2-40B4-BE49-F238E27FC236}">
              <a16:creationId xmlns:a16="http://schemas.microsoft.com/office/drawing/2014/main" id="{00000000-0008-0000-0400-00006B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00" name="Text Box 2">
          <a:extLst>
            <a:ext uri="{FF2B5EF4-FFF2-40B4-BE49-F238E27FC236}">
              <a16:creationId xmlns:a16="http://schemas.microsoft.com/office/drawing/2014/main" id="{00000000-0008-0000-0400-00006C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01" name="Text Box 2">
          <a:extLst>
            <a:ext uri="{FF2B5EF4-FFF2-40B4-BE49-F238E27FC236}">
              <a16:creationId xmlns:a16="http://schemas.microsoft.com/office/drawing/2014/main" id="{00000000-0008-0000-0400-00006D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02" name="Text Box 2">
          <a:extLst>
            <a:ext uri="{FF2B5EF4-FFF2-40B4-BE49-F238E27FC236}">
              <a16:creationId xmlns:a16="http://schemas.microsoft.com/office/drawing/2014/main" id="{00000000-0008-0000-0400-00006E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03" name="Text Box 2">
          <a:extLst>
            <a:ext uri="{FF2B5EF4-FFF2-40B4-BE49-F238E27FC236}">
              <a16:creationId xmlns:a16="http://schemas.microsoft.com/office/drawing/2014/main" id="{00000000-0008-0000-0400-00006F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04" name="Text Box 2">
          <a:extLst>
            <a:ext uri="{FF2B5EF4-FFF2-40B4-BE49-F238E27FC236}">
              <a16:creationId xmlns:a16="http://schemas.microsoft.com/office/drawing/2014/main" id="{00000000-0008-0000-0400-000070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05" name="Text Box 2">
          <a:extLst>
            <a:ext uri="{FF2B5EF4-FFF2-40B4-BE49-F238E27FC236}">
              <a16:creationId xmlns:a16="http://schemas.microsoft.com/office/drawing/2014/main" id="{00000000-0008-0000-0400-000071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06" name="Text Box 2">
          <a:extLst>
            <a:ext uri="{FF2B5EF4-FFF2-40B4-BE49-F238E27FC236}">
              <a16:creationId xmlns:a16="http://schemas.microsoft.com/office/drawing/2014/main" id="{00000000-0008-0000-0400-000072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07" name="Text Box 2">
          <a:extLst>
            <a:ext uri="{FF2B5EF4-FFF2-40B4-BE49-F238E27FC236}">
              <a16:creationId xmlns:a16="http://schemas.microsoft.com/office/drawing/2014/main" id="{00000000-0008-0000-0400-000073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08" name="Text Box 2">
          <a:extLst>
            <a:ext uri="{FF2B5EF4-FFF2-40B4-BE49-F238E27FC236}">
              <a16:creationId xmlns:a16="http://schemas.microsoft.com/office/drawing/2014/main" id="{00000000-0008-0000-0400-000074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09" name="Text Box 2">
          <a:extLst>
            <a:ext uri="{FF2B5EF4-FFF2-40B4-BE49-F238E27FC236}">
              <a16:creationId xmlns:a16="http://schemas.microsoft.com/office/drawing/2014/main" id="{00000000-0008-0000-0400-000075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10" name="Text Box 2">
          <a:extLst>
            <a:ext uri="{FF2B5EF4-FFF2-40B4-BE49-F238E27FC236}">
              <a16:creationId xmlns:a16="http://schemas.microsoft.com/office/drawing/2014/main" id="{00000000-0008-0000-0400-000076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11" name="Text Box 2">
          <a:extLst>
            <a:ext uri="{FF2B5EF4-FFF2-40B4-BE49-F238E27FC236}">
              <a16:creationId xmlns:a16="http://schemas.microsoft.com/office/drawing/2014/main" id="{00000000-0008-0000-0400-000077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12" name="Text Box 2">
          <a:extLst>
            <a:ext uri="{FF2B5EF4-FFF2-40B4-BE49-F238E27FC236}">
              <a16:creationId xmlns:a16="http://schemas.microsoft.com/office/drawing/2014/main" id="{00000000-0008-0000-0400-000078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13" name="Text Box 2">
          <a:extLst>
            <a:ext uri="{FF2B5EF4-FFF2-40B4-BE49-F238E27FC236}">
              <a16:creationId xmlns:a16="http://schemas.microsoft.com/office/drawing/2014/main" id="{00000000-0008-0000-0400-000079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14" name="Text Box 2">
          <a:extLst>
            <a:ext uri="{FF2B5EF4-FFF2-40B4-BE49-F238E27FC236}">
              <a16:creationId xmlns:a16="http://schemas.microsoft.com/office/drawing/2014/main" id="{00000000-0008-0000-0400-00007A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15" name="Text Box 2">
          <a:extLst>
            <a:ext uri="{FF2B5EF4-FFF2-40B4-BE49-F238E27FC236}">
              <a16:creationId xmlns:a16="http://schemas.microsoft.com/office/drawing/2014/main" id="{00000000-0008-0000-0400-00007B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16" name="Text Box 2">
          <a:extLst>
            <a:ext uri="{FF2B5EF4-FFF2-40B4-BE49-F238E27FC236}">
              <a16:creationId xmlns:a16="http://schemas.microsoft.com/office/drawing/2014/main" id="{00000000-0008-0000-0400-00007C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17" name="Text Box 2">
          <a:extLst>
            <a:ext uri="{FF2B5EF4-FFF2-40B4-BE49-F238E27FC236}">
              <a16:creationId xmlns:a16="http://schemas.microsoft.com/office/drawing/2014/main" id="{00000000-0008-0000-0400-00007D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18" name="Text Box 2">
          <a:extLst>
            <a:ext uri="{FF2B5EF4-FFF2-40B4-BE49-F238E27FC236}">
              <a16:creationId xmlns:a16="http://schemas.microsoft.com/office/drawing/2014/main" id="{00000000-0008-0000-0400-00007E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19" name="Text Box 2">
          <a:extLst>
            <a:ext uri="{FF2B5EF4-FFF2-40B4-BE49-F238E27FC236}">
              <a16:creationId xmlns:a16="http://schemas.microsoft.com/office/drawing/2014/main" id="{00000000-0008-0000-0400-00007F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20" name="Text Box 2">
          <a:extLst>
            <a:ext uri="{FF2B5EF4-FFF2-40B4-BE49-F238E27FC236}">
              <a16:creationId xmlns:a16="http://schemas.microsoft.com/office/drawing/2014/main" id="{00000000-0008-0000-0400-000080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21" name="Text Box 2">
          <a:extLst>
            <a:ext uri="{FF2B5EF4-FFF2-40B4-BE49-F238E27FC236}">
              <a16:creationId xmlns:a16="http://schemas.microsoft.com/office/drawing/2014/main" id="{00000000-0008-0000-0400-000081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22" name="Text Box 2">
          <a:extLst>
            <a:ext uri="{FF2B5EF4-FFF2-40B4-BE49-F238E27FC236}">
              <a16:creationId xmlns:a16="http://schemas.microsoft.com/office/drawing/2014/main" id="{00000000-0008-0000-0400-000082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23" name="Text Box 2">
          <a:extLst>
            <a:ext uri="{FF2B5EF4-FFF2-40B4-BE49-F238E27FC236}">
              <a16:creationId xmlns:a16="http://schemas.microsoft.com/office/drawing/2014/main" id="{00000000-0008-0000-0400-000083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24" name="Text Box 2">
          <a:extLst>
            <a:ext uri="{FF2B5EF4-FFF2-40B4-BE49-F238E27FC236}">
              <a16:creationId xmlns:a16="http://schemas.microsoft.com/office/drawing/2014/main" id="{00000000-0008-0000-0400-000084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25" name="Text Box 2">
          <a:extLst>
            <a:ext uri="{FF2B5EF4-FFF2-40B4-BE49-F238E27FC236}">
              <a16:creationId xmlns:a16="http://schemas.microsoft.com/office/drawing/2014/main" id="{00000000-0008-0000-0400-000085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26" name="Text Box 2">
          <a:extLst>
            <a:ext uri="{FF2B5EF4-FFF2-40B4-BE49-F238E27FC236}">
              <a16:creationId xmlns:a16="http://schemas.microsoft.com/office/drawing/2014/main" id="{00000000-0008-0000-0400-000086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27" name="Text Box 2">
          <a:extLst>
            <a:ext uri="{FF2B5EF4-FFF2-40B4-BE49-F238E27FC236}">
              <a16:creationId xmlns:a16="http://schemas.microsoft.com/office/drawing/2014/main" id="{00000000-0008-0000-0400-000087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28" name="Text Box 2">
          <a:extLst>
            <a:ext uri="{FF2B5EF4-FFF2-40B4-BE49-F238E27FC236}">
              <a16:creationId xmlns:a16="http://schemas.microsoft.com/office/drawing/2014/main" id="{00000000-0008-0000-0400-000088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29" name="Text Box 2">
          <a:extLst>
            <a:ext uri="{FF2B5EF4-FFF2-40B4-BE49-F238E27FC236}">
              <a16:creationId xmlns:a16="http://schemas.microsoft.com/office/drawing/2014/main" id="{00000000-0008-0000-0400-000089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30" name="Text Box 2">
          <a:extLst>
            <a:ext uri="{FF2B5EF4-FFF2-40B4-BE49-F238E27FC236}">
              <a16:creationId xmlns:a16="http://schemas.microsoft.com/office/drawing/2014/main" id="{00000000-0008-0000-0400-00008A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31" name="Text Box 2">
          <a:extLst>
            <a:ext uri="{FF2B5EF4-FFF2-40B4-BE49-F238E27FC236}">
              <a16:creationId xmlns:a16="http://schemas.microsoft.com/office/drawing/2014/main" id="{00000000-0008-0000-0400-00008B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32" name="Text Box 2">
          <a:extLst>
            <a:ext uri="{FF2B5EF4-FFF2-40B4-BE49-F238E27FC236}">
              <a16:creationId xmlns:a16="http://schemas.microsoft.com/office/drawing/2014/main" id="{00000000-0008-0000-0400-00008C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33" name="Text Box 2">
          <a:extLst>
            <a:ext uri="{FF2B5EF4-FFF2-40B4-BE49-F238E27FC236}">
              <a16:creationId xmlns:a16="http://schemas.microsoft.com/office/drawing/2014/main" id="{00000000-0008-0000-0400-00008D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34" name="Text Box 2">
          <a:extLst>
            <a:ext uri="{FF2B5EF4-FFF2-40B4-BE49-F238E27FC236}">
              <a16:creationId xmlns:a16="http://schemas.microsoft.com/office/drawing/2014/main" id="{00000000-0008-0000-0400-00008E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35" name="Text Box 2">
          <a:extLst>
            <a:ext uri="{FF2B5EF4-FFF2-40B4-BE49-F238E27FC236}">
              <a16:creationId xmlns:a16="http://schemas.microsoft.com/office/drawing/2014/main" id="{00000000-0008-0000-0400-00008F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36" name="Text Box 2">
          <a:extLst>
            <a:ext uri="{FF2B5EF4-FFF2-40B4-BE49-F238E27FC236}">
              <a16:creationId xmlns:a16="http://schemas.microsoft.com/office/drawing/2014/main" id="{00000000-0008-0000-0400-000090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37" name="Text Box 2">
          <a:extLst>
            <a:ext uri="{FF2B5EF4-FFF2-40B4-BE49-F238E27FC236}">
              <a16:creationId xmlns:a16="http://schemas.microsoft.com/office/drawing/2014/main" id="{00000000-0008-0000-0400-000091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38" name="Text Box 2">
          <a:extLst>
            <a:ext uri="{FF2B5EF4-FFF2-40B4-BE49-F238E27FC236}">
              <a16:creationId xmlns:a16="http://schemas.microsoft.com/office/drawing/2014/main" id="{00000000-0008-0000-0400-000092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39" name="Text Box 2">
          <a:extLst>
            <a:ext uri="{FF2B5EF4-FFF2-40B4-BE49-F238E27FC236}">
              <a16:creationId xmlns:a16="http://schemas.microsoft.com/office/drawing/2014/main" id="{00000000-0008-0000-0400-000093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40" name="Text Box 2">
          <a:extLst>
            <a:ext uri="{FF2B5EF4-FFF2-40B4-BE49-F238E27FC236}">
              <a16:creationId xmlns:a16="http://schemas.microsoft.com/office/drawing/2014/main" id="{00000000-0008-0000-0400-000094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41" name="Text Box 2">
          <a:extLst>
            <a:ext uri="{FF2B5EF4-FFF2-40B4-BE49-F238E27FC236}">
              <a16:creationId xmlns:a16="http://schemas.microsoft.com/office/drawing/2014/main" id="{00000000-0008-0000-0400-000095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42" name="Text Box 2">
          <a:extLst>
            <a:ext uri="{FF2B5EF4-FFF2-40B4-BE49-F238E27FC236}">
              <a16:creationId xmlns:a16="http://schemas.microsoft.com/office/drawing/2014/main" id="{00000000-0008-0000-0400-000096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43" name="Text Box 2">
          <a:extLst>
            <a:ext uri="{FF2B5EF4-FFF2-40B4-BE49-F238E27FC236}">
              <a16:creationId xmlns:a16="http://schemas.microsoft.com/office/drawing/2014/main" id="{00000000-0008-0000-0400-000097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44" name="Text Box 2">
          <a:extLst>
            <a:ext uri="{FF2B5EF4-FFF2-40B4-BE49-F238E27FC236}">
              <a16:creationId xmlns:a16="http://schemas.microsoft.com/office/drawing/2014/main" id="{00000000-0008-0000-0400-000098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45" name="Text Box 2">
          <a:extLst>
            <a:ext uri="{FF2B5EF4-FFF2-40B4-BE49-F238E27FC236}">
              <a16:creationId xmlns:a16="http://schemas.microsoft.com/office/drawing/2014/main" id="{00000000-0008-0000-0400-000099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46" name="Text Box 2">
          <a:extLst>
            <a:ext uri="{FF2B5EF4-FFF2-40B4-BE49-F238E27FC236}">
              <a16:creationId xmlns:a16="http://schemas.microsoft.com/office/drawing/2014/main" id="{00000000-0008-0000-0400-00009A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47" name="Text Box 2">
          <a:extLst>
            <a:ext uri="{FF2B5EF4-FFF2-40B4-BE49-F238E27FC236}">
              <a16:creationId xmlns:a16="http://schemas.microsoft.com/office/drawing/2014/main" id="{00000000-0008-0000-0400-00009B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48" name="Text Box 2">
          <a:extLst>
            <a:ext uri="{FF2B5EF4-FFF2-40B4-BE49-F238E27FC236}">
              <a16:creationId xmlns:a16="http://schemas.microsoft.com/office/drawing/2014/main" id="{00000000-0008-0000-0400-00009C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49" name="Text Box 2">
          <a:extLst>
            <a:ext uri="{FF2B5EF4-FFF2-40B4-BE49-F238E27FC236}">
              <a16:creationId xmlns:a16="http://schemas.microsoft.com/office/drawing/2014/main" id="{00000000-0008-0000-0400-00009D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50" name="Text Box 2">
          <a:extLst>
            <a:ext uri="{FF2B5EF4-FFF2-40B4-BE49-F238E27FC236}">
              <a16:creationId xmlns:a16="http://schemas.microsoft.com/office/drawing/2014/main" id="{00000000-0008-0000-0400-00009E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51" name="Text Box 2">
          <a:extLst>
            <a:ext uri="{FF2B5EF4-FFF2-40B4-BE49-F238E27FC236}">
              <a16:creationId xmlns:a16="http://schemas.microsoft.com/office/drawing/2014/main" id="{00000000-0008-0000-0400-00009F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52" name="Text Box 2">
          <a:extLst>
            <a:ext uri="{FF2B5EF4-FFF2-40B4-BE49-F238E27FC236}">
              <a16:creationId xmlns:a16="http://schemas.microsoft.com/office/drawing/2014/main" id="{00000000-0008-0000-0400-0000A0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53" name="Text Box 2">
          <a:extLst>
            <a:ext uri="{FF2B5EF4-FFF2-40B4-BE49-F238E27FC236}">
              <a16:creationId xmlns:a16="http://schemas.microsoft.com/office/drawing/2014/main" id="{00000000-0008-0000-0400-0000A1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54" name="Text Box 2">
          <a:extLst>
            <a:ext uri="{FF2B5EF4-FFF2-40B4-BE49-F238E27FC236}">
              <a16:creationId xmlns:a16="http://schemas.microsoft.com/office/drawing/2014/main" id="{00000000-0008-0000-0400-0000A2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55" name="Text Box 2">
          <a:extLst>
            <a:ext uri="{FF2B5EF4-FFF2-40B4-BE49-F238E27FC236}">
              <a16:creationId xmlns:a16="http://schemas.microsoft.com/office/drawing/2014/main" id="{00000000-0008-0000-0400-0000A3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56" name="Text Box 2">
          <a:extLst>
            <a:ext uri="{FF2B5EF4-FFF2-40B4-BE49-F238E27FC236}">
              <a16:creationId xmlns:a16="http://schemas.microsoft.com/office/drawing/2014/main" id="{00000000-0008-0000-0400-0000A4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57" name="Text Box 2">
          <a:extLst>
            <a:ext uri="{FF2B5EF4-FFF2-40B4-BE49-F238E27FC236}">
              <a16:creationId xmlns:a16="http://schemas.microsoft.com/office/drawing/2014/main" id="{00000000-0008-0000-0400-0000A5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58" name="Text Box 2">
          <a:extLst>
            <a:ext uri="{FF2B5EF4-FFF2-40B4-BE49-F238E27FC236}">
              <a16:creationId xmlns:a16="http://schemas.microsoft.com/office/drawing/2014/main" id="{00000000-0008-0000-0400-0000A6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59" name="Text Box 2">
          <a:extLst>
            <a:ext uri="{FF2B5EF4-FFF2-40B4-BE49-F238E27FC236}">
              <a16:creationId xmlns:a16="http://schemas.microsoft.com/office/drawing/2014/main" id="{00000000-0008-0000-0400-0000A7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60" name="Text Box 2">
          <a:extLst>
            <a:ext uri="{FF2B5EF4-FFF2-40B4-BE49-F238E27FC236}">
              <a16:creationId xmlns:a16="http://schemas.microsoft.com/office/drawing/2014/main" id="{00000000-0008-0000-0400-0000A8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61" name="Text Box 2">
          <a:extLst>
            <a:ext uri="{FF2B5EF4-FFF2-40B4-BE49-F238E27FC236}">
              <a16:creationId xmlns:a16="http://schemas.microsoft.com/office/drawing/2014/main" id="{00000000-0008-0000-0400-0000A9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62" name="Text Box 2">
          <a:extLst>
            <a:ext uri="{FF2B5EF4-FFF2-40B4-BE49-F238E27FC236}">
              <a16:creationId xmlns:a16="http://schemas.microsoft.com/office/drawing/2014/main" id="{00000000-0008-0000-0400-0000AA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63" name="Text Box 2">
          <a:extLst>
            <a:ext uri="{FF2B5EF4-FFF2-40B4-BE49-F238E27FC236}">
              <a16:creationId xmlns:a16="http://schemas.microsoft.com/office/drawing/2014/main" id="{00000000-0008-0000-0400-0000AB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64" name="Text Box 2">
          <a:extLst>
            <a:ext uri="{FF2B5EF4-FFF2-40B4-BE49-F238E27FC236}">
              <a16:creationId xmlns:a16="http://schemas.microsoft.com/office/drawing/2014/main" id="{00000000-0008-0000-0400-0000AC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65" name="Text Box 2">
          <a:extLst>
            <a:ext uri="{FF2B5EF4-FFF2-40B4-BE49-F238E27FC236}">
              <a16:creationId xmlns:a16="http://schemas.microsoft.com/office/drawing/2014/main" id="{00000000-0008-0000-0400-0000AD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66" name="Text Box 2">
          <a:extLst>
            <a:ext uri="{FF2B5EF4-FFF2-40B4-BE49-F238E27FC236}">
              <a16:creationId xmlns:a16="http://schemas.microsoft.com/office/drawing/2014/main" id="{00000000-0008-0000-0400-0000AE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67" name="Text Box 2">
          <a:extLst>
            <a:ext uri="{FF2B5EF4-FFF2-40B4-BE49-F238E27FC236}">
              <a16:creationId xmlns:a16="http://schemas.microsoft.com/office/drawing/2014/main" id="{00000000-0008-0000-0400-0000AF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68" name="Text Box 2">
          <a:extLst>
            <a:ext uri="{FF2B5EF4-FFF2-40B4-BE49-F238E27FC236}">
              <a16:creationId xmlns:a16="http://schemas.microsoft.com/office/drawing/2014/main" id="{00000000-0008-0000-0400-0000B0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69" name="Text Box 2">
          <a:extLst>
            <a:ext uri="{FF2B5EF4-FFF2-40B4-BE49-F238E27FC236}">
              <a16:creationId xmlns:a16="http://schemas.microsoft.com/office/drawing/2014/main" id="{00000000-0008-0000-0400-0000B1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70" name="Text Box 2">
          <a:extLst>
            <a:ext uri="{FF2B5EF4-FFF2-40B4-BE49-F238E27FC236}">
              <a16:creationId xmlns:a16="http://schemas.microsoft.com/office/drawing/2014/main" id="{00000000-0008-0000-0400-0000B2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71" name="Text Box 2">
          <a:extLst>
            <a:ext uri="{FF2B5EF4-FFF2-40B4-BE49-F238E27FC236}">
              <a16:creationId xmlns:a16="http://schemas.microsoft.com/office/drawing/2014/main" id="{00000000-0008-0000-0400-0000B3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72" name="Text Box 2">
          <a:extLst>
            <a:ext uri="{FF2B5EF4-FFF2-40B4-BE49-F238E27FC236}">
              <a16:creationId xmlns:a16="http://schemas.microsoft.com/office/drawing/2014/main" id="{00000000-0008-0000-0400-0000B4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73" name="Text Box 2">
          <a:extLst>
            <a:ext uri="{FF2B5EF4-FFF2-40B4-BE49-F238E27FC236}">
              <a16:creationId xmlns:a16="http://schemas.microsoft.com/office/drawing/2014/main" id="{00000000-0008-0000-0400-0000B5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74" name="Text Box 2">
          <a:extLst>
            <a:ext uri="{FF2B5EF4-FFF2-40B4-BE49-F238E27FC236}">
              <a16:creationId xmlns:a16="http://schemas.microsoft.com/office/drawing/2014/main" id="{00000000-0008-0000-0400-0000B6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75" name="Text Box 2">
          <a:extLst>
            <a:ext uri="{FF2B5EF4-FFF2-40B4-BE49-F238E27FC236}">
              <a16:creationId xmlns:a16="http://schemas.microsoft.com/office/drawing/2014/main" id="{00000000-0008-0000-0400-0000B7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76" name="Text Box 2">
          <a:extLst>
            <a:ext uri="{FF2B5EF4-FFF2-40B4-BE49-F238E27FC236}">
              <a16:creationId xmlns:a16="http://schemas.microsoft.com/office/drawing/2014/main" id="{00000000-0008-0000-0400-0000B8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77" name="Text Box 2">
          <a:extLst>
            <a:ext uri="{FF2B5EF4-FFF2-40B4-BE49-F238E27FC236}">
              <a16:creationId xmlns:a16="http://schemas.microsoft.com/office/drawing/2014/main" id="{00000000-0008-0000-0400-0000B9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78" name="Text Box 2">
          <a:extLst>
            <a:ext uri="{FF2B5EF4-FFF2-40B4-BE49-F238E27FC236}">
              <a16:creationId xmlns:a16="http://schemas.microsoft.com/office/drawing/2014/main" id="{00000000-0008-0000-0400-0000BA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79" name="Text Box 2">
          <a:extLst>
            <a:ext uri="{FF2B5EF4-FFF2-40B4-BE49-F238E27FC236}">
              <a16:creationId xmlns:a16="http://schemas.microsoft.com/office/drawing/2014/main" id="{00000000-0008-0000-0400-0000BB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80" name="Text Box 2">
          <a:extLst>
            <a:ext uri="{FF2B5EF4-FFF2-40B4-BE49-F238E27FC236}">
              <a16:creationId xmlns:a16="http://schemas.microsoft.com/office/drawing/2014/main" id="{00000000-0008-0000-0400-0000BC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81" name="Text Box 2">
          <a:extLst>
            <a:ext uri="{FF2B5EF4-FFF2-40B4-BE49-F238E27FC236}">
              <a16:creationId xmlns:a16="http://schemas.microsoft.com/office/drawing/2014/main" id="{00000000-0008-0000-0400-0000BD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82" name="Text Box 2">
          <a:extLst>
            <a:ext uri="{FF2B5EF4-FFF2-40B4-BE49-F238E27FC236}">
              <a16:creationId xmlns:a16="http://schemas.microsoft.com/office/drawing/2014/main" id="{00000000-0008-0000-0400-0000BE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83" name="Text Box 2">
          <a:extLst>
            <a:ext uri="{FF2B5EF4-FFF2-40B4-BE49-F238E27FC236}">
              <a16:creationId xmlns:a16="http://schemas.microsoft.com/office/drawing/2014/main" id="{00000000-0008-0000-0400-0000BF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84" name="Text Box 2">
          <a:extLst>
            <a:ext uri="{FF2B5EF4-FFF2-40B4-BE49-F238E27FC236}">
              <a16:creationId xmlns:a16="http://schemas.microsoft.com/office/drawing/2014/main" id="{00000000-0008-0000-0400-0000C0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85" name="Text Box 2">
          <a:extLst>
            <a:ext uri="{FF2B5EF4-FFF2-40B4-BE49-F238E27FC236}">
              <a16:creationId xmlns:a16="http://schemas.microsoft.com/office/drawing/2014/main" id="{00000000-0008-0000-0400-0000C1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86" name="Text Box 2">
          <a:extLst>
            <a:ext uri="{FF2B5EF4-FFF2-40B4-BE49-F238E27FC236}">
              <a16:creationId xmlns:a16="http://schemas.microsoft.com/office/drawing/2014/main" id="{00000000-0008-0000-0400-0000C2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87" name="Text Box 2">
          <a:extLst>
            <a:ext uri="{FF2B5EF4-FFF2-40B4-BE49-F238E27FC236}">
              <a16:creationId xmlns:a16="http://schemas.microsoft.com/office/drawing/2014/main" id="{00000000-0008-0000-0400-0000C3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1988" name="Text Box 2">
          <a:extLst>
            <a:ext uri="{FF2B5EF4-FFF2-40B4-BE49-F238E27FC236}">
              <a16:creationId xmlns:a16="http://schemas.microsoft.com/office/drawing/2014/main" id="{00000000-0008-0000-0400-0000C407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89" name="Text Box 2">
          <a:extLst>
            <a:ext uri="{FF2B5EF4-FFF2-40B4-BE49-F238E27FC236}">
              <a16:creationId xmlns:a16="http://schemas.microsoft.com/office/drawing/2014/main" id="{00000000-0008-0000-0400-0000C5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90" name="Text Box 2">
          <a:extLst>
            <a:ext uri="{FF2B5EF4-FFF2-40B4-BE49-F238E27FC236}">
              <a16:creationId xmlns:a16="http://schemas.microsoft.com/office/drawing/2014/main" id="{00000000-0008-0000-0400-0000C6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91" name="Text Box 2">
          <a:extLst>
            <a:ext uri="{FF2B5EF4-FFF2-40B4-BE49-F238E27FC236}">
              <a16:creationId xmlns:a16="http://schemas.microsoft.com/office/drawing/2014/main" id="{00000000-0008-0000-0400-0000C7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92" name="Text Box 2">
          <a:extLst>
            <a:ext uri="{FF2B5EF4-FFF2-40B4-BE49-F238E27FC236}">
              <a16:creationId xmlns:a16="http://schemas.microsoft.com/office/drawing/2014/main" id="{00000000-0008-0000-0400-0000C8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93" name="Text Box 2">
          <a:extLst>
            <a:ext uri="{FF2B5EF4-FFF2-40B4-BE49-F238E27FC236}">
              <a16:creationId xmlns:a16="http://schemas.microsoft.com/office/drawing/2014/main" id="{00000000-0008-0000-0400-0000C9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94" name="Text Box 2">
          <a:extLst>
            <a:ext uri="{FF2B5EF4-FFF2-40B4-BE49-F238E27FC236}">
              <a16:creationId xmlns:a16="http://schemas.microsoft.com/office/drawing/2014/main" id="{00000000-0008-0000-0400-0000CA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95" name="Text Box 2">
          <a:extLst>
            <a:ext uri="{FF2B5EF4-FFF2-40B4-BE49-F238E27FC236}">
              <a16:creationId xmlns:a16="http://schemas.microsoft.com/office/drawing/2014/main" id="{00000000-0008-0000-0400-0000CB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96" name="Text Box 2">
          <a:extLst>
            <a:ext uri="{FF2B5EF4-FFF2-40B4-BE49-F238E27FC236}">
              <a16:creationId xmlns:a16="http://schemas.microsoft.com/office/drawing/2014/main" id="{00000000-0008-0000-0400-0000CC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97" name="Text Box 2">
          <a:extLst>
            <a:ext uri="{FF2B5EF4-FFF2-40B4-BE49-F238E27FC236}">
              <a16:creationId xmlns:a16="http://schemas.microsoft.com/office/drawing/2014/main" id="{00000000-0008-0000-0400-0000CD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98" name="Text Box 2">
          <a:extLst>
            <a:ext uri="{FF2B5EF4-FFF2-40B4-BE49-F238E27FC236}">
              <a16:creationId xmlns:a16="http://schemas.microsoft.com/office/drawing/2014/main" id="{00000000-0008-0000-0400-0000CE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1999" name="Text Box 2">
          <a:extLst>
            <a:ext uri="{FF2B5EF4-FFF2-40B4-BE49-F238E27FC236}">
              <a16:creationId xmlns:a16="http://schemas.microsoft.com/office/drawing/2014/main" id="{00000000-0008-0000-0400-0000CF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00" name="Text Box 2">
          <a:extLst>
            <a:ext uri="{FF2B5EF4-FFF2-40B4-BE49-F238E27FC236}">
              <a16:creationId xmlns:a16="http://schemas.microsoft.com/office/drawing/2014/main" id="{00000000-0008-0000-0400-0000D0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01" name="Text Box 2">
          <a:extLst>
            <a:ext uri="{FF2B5EF4-FFF2-40B4-BE49-F238E27FC236}">
              <a16:creationId xmlns:a16="http://schemas.microsoft.com/office/drawing/2014/main" id="{00000000-0008-0000-0400-0000D1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02" name="Text Box 2">
          <a:extLst>
            <a:ext uri="{FF2B5EF4-FFF2-40B4-BE49-F238E27FC236}">
              <a16:creationId xmlns:a16="http://schemas.microsoft.com/office/drawing/2014/main" id="{00000000-0008-0000-0400-0000D2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03" name="Text Box 2">
          <a:extLst>
            <a:ext uri="{FF2B5EF4-FFF2-40B4-BE49-F238E27FC236}">
              <a16:creationId xmlns:a16="http://schemas.microsoft.com/office/drawing/2014/main" id="{00000000-0008-0000-0400-0000D3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04" name="Text Box 2">
          <a:extLst>
            <a:ext uri="{FF2B5EF4-FFF2-40B4-BE49-F238E27FC236}">
              <a16:creationId xmlns:a16="http://schemas.microsoft.com/office/drawing/2014/main" id="{00000000-0008-0000-0400-0000D4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05" name="Text Box 2">
          <a:extLst>
            <a:ext uri="{FF2B5EF4-FFF2-40B4-BE49-F238E27FC236}">
              <a16:creationId xmlns:a16="http://schemas.microsoft.com/office/drawing/2014/main" id="{00000000-0008-0000-0400-0000D5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06" name="Text Box 2">
          <a:extLst>
            <a:ext uri="{FF2B5EF4-FFF2-40B4-BE49-F238E27FC236}">
              <a16:creationId xmlns:a16="http://schemas.microsoft.com/office/drawing/2014/main" id="{00000000-0008-0000-0400-0000D6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07" name="Text Box 2">
          <a:extLst>
            <a:ext uri="{FF2B5EF4-FFF2-40B4-BE49-F238E27FC236}">
              <a16:creationId xmlns:a16="http://schemas.microsoft.com/office/drawing/2014/main" id="{00000000-0008-0000-0400-0000D7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08" name="Text Box 2">
          <a:extLst>
            <a:ext uri="{FF2B5EF4-FFF2-40B4-BE49-F238E27FC236}">
              <a16:creationId xmlns:a16="http://schemas.microsoft.com/office/drawing/2014/main" id="{00000000-0008-0000-0400-0000D8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09" name="Text Box 2">
          <a:extLst>
            <a:ext uri="{FF2B5EF4-FFF2-40B4-BE49-F238E27FC236}">
              <a16:creationId xmlns:a16="http://schemas.microsoft.com/office/drawing/2014/main" id="{00000000-0008-0000-0400-0000D9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10" name="Text Box 2">
          <a:extLst>
            <a:ext uri="{FF2B5EF4-FFF2-40B4-BE49-F238E27FC236}">
              <a16:creationId xmlns:a16="http://schemas.microsoft.com/office/drawing/2014/main" id="{00000000-0008-0000-0400-0000DA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11" name="Text Box 2">
          <a:extLst>
            <a:ext uri="{FF2B5EF4-FFF2-40B4-BE49-F238E27FC236}">
              <a16:creationId xmlns:a16="http://schemas.microsoft.com/office/drawing/2014/main" id="{00000000-0008-0000-0400-0000DB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12" name="Text Box 2">
          <a:extLst>
            <a:ext uri="{FF2B5EF4-FFF2-40B4-BE49-F238E27FC236}">
              <a16:creationId xmlns:a16="http://schemas.microsoft.com/office/drawing/2014/main" id="{00000000-0008-0000-0400-0000DC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13" name="Text Box 2">
          <a:extLst>
            <a:ext uri="{FF2B5EF4-FFF2-40B4-BE49-F238E27FC236}">
              <a16:creationId xmlns:a16="http://schemas.microsoft.com/office/drawing/2014/main" id="{00000000-0008-0000-0400-0000DD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14" name="Text Box 2">
          <a:extLst>
            <a:ext uri="{FF2B5EF4-FFF2-40B4-BE49-F238E27FC236}">
              <a16:creationId xmlns:a16="http://schemas.microsoft.com/office/drawing/2014/main" id="{00000000-0008-0000-0400-0000DE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15" name="Text Box 2">
          <a:extLst>
            <a:ext uri="{FF2B5EF4-FFF2-40B4-BE49-F238E27FC236}">
              <a16:creationId xmlns:a16="http://schemas.microsoft.com/office/drawing/2014/main" id="{00000000-0008-0000-0400-0000DF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16" name="Text Box 2">
          <a:extLst>
            <a:ext uri="{FF2B5EF4-FFF2-40B4-BE49-F238E27FC236}">
              <a16:creationId xmlns:a16="http://schemas.microsoft.com/office/drawing/2014/main" id="{00000000-0008-0000-0400-0000E0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17" name="Text Box 2">
          <a:extLst>
            <a:ext uri="{FF2B5EF4-FFF2-40B4-BE49-F238E27FC236}">
              <a16:creationId xmlns:a16="http://schemas.microsoft.com/office/drawing/2014/main" id="{00000000-0008-0000-0400-0000E1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18" name="Text Box 2">
          <a:extLst>
            <a:ext uri="{FF2B5EF4-FFF2-40B4-BE49-F238E27FC236}">
              <a16:creationId xmlns:a16="http://schemas.microsoft.com/office/drawing/2014/main" id="{00000000-0008-0000-0400-0000E2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19" name="Text Box 2">
          <a:extLst>
            <a:ext uri="{FF2B5EF4-FFF2-40B4-BE49-F238E27FC236}">
              <a16:creationId xmlns:a16="http://schemas.microsoft.com/office/drawing/2014/main" id="{00000000-0008-0000-0400-0000E3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20" name="Text Box 2">
          <a:extLst>
            <a:ext uri="{FF2B5EF4-FFF2-40B4-BE49-F238E27FC236}">
              <a16:creationId xmlns:a16="http://schemas.microsoft.com/office/drawing/2014/main" id="{00000000-0008-0000-0400-0000E4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21" name="Text Box 2">
          <a:extLst>
            <a:ext uri="{FF2B5EF4-FFF2-40B4-BE49-F238E27FC236}">
              <a16:creationId xmlns:a16="http://schemas.microsoft.com/office/drawing/2014/main" id="{00000000-0008-0000-0400-0000E5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22" name="Text Box 2">
          <a:extLst>
            <a:ext uri="{FF2B5EF4-FFF2-40B4-BE49-F238E27FC236}">
              <a16:creationId xmlns:a16="http://schemas.microsoft.com/office/drawing/2014/main" id="{00000000-0008-0000-0400-0000E6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23" name="Text Box 2">
          <a:extLst>
            <a:ext uri="{FF2B5EF4-FFF2-40B4-BE49-F238E27FC236}">
              <a16:creationId xmlns:a16="http://schemas.microsoft.com/office/drawing/2014/main" id="{00000000-0008-0000-0400-0000E7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24" name="Text Box 2">
          <a:extLst>
            <a:ext uri="{FF2B5EF4-FFF2-40B4-BE49-F238E27FC236}">
              <a16:creationId xmlns:a16="http://schemas.microsoft.com/office/drawing/2014/main" id="{00000000-0008-0000-0400-0000E8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25" name="Text Box 2">
          <a:extLst>
            <a:ext uri="{FF2B5EF4-FFF2-40B4-BE49-F238E27FC236}">
              <a16:creationId xmlns:a16="http://schemas.microsoft.com/office/drawing/2014/main" id="{00000000-0008-0000-0400-0000E9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26" name="Text Box 2">
          <a:extLst>
            <a:ext uri="{FF2B5EF4-FFF2-40B4-BE49-F238E27FC236}">
              <a16:creationId xmlns:a16="http://schemas.microsoft.com/office/drawing/2014/main" id="{00000000-0008-0000-0400-0000EA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27" name="Text Box 2">
          <a:extLst>
            <a:ext uri="{FF2B5EF4-FFF2-40B4-BE49-F238E27FC236}">
              <a16:creationId xmlns:a16="http://schemas.microsoft.com/office/drawing/2014/main" id="{00000000-0008-0000-0400-0000EB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28" name="Text Box 2">
          <a:extLst>
            <a:ext uri="{FF2B5EF4-FFF2-40B4-BE49-F238E27FC236}">
              <a16:creationId xmlns:a16="http://schemas.microsoft.com/office/drawing/2014/main" id="{00000000-0008-0000-0400-0000EC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29" name="Text Box 2">
          <a:extLst>
            <a:ext uri="{FF2B5EF4-FFF2-40B4-BE49-F238E27FC236}">
              <a16:creationId xmlns:a16="http://schemas.microsoft.com/office/drawing/2014/main" id="{00000000-0008-0000-0400-0000ED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30" name="Text Box 2">
          <a:extLst>
            <a:ext uri="{FF2B5EF4-FFF2-40B4-BE49-F238E27FC236}">
              <a16:creationId xmlns:a16="http://schemas.microsoft.com/office/drawing/2014/main" id="{00000000-0008-0000-0400-0000EE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31" name="Text Box 2">
          <a:extLst>
            <a:ext uri="{FF2B5EF4-FFF2-40B4-BE49-F238E27FC236}">
              <a16:creationId xmlns:a16="http://schemas.microsoft.com/office/drawing/2014/main" id="{00000000-0008-0000-0400-0000EF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32" name="Text Box 2">
          <a:extLst>
            <a:ext uri="{FF2B5EF4-FFF2-40B4-BE49-F238E27FC236}">
              <a16:creationId xmlns:a16="http://schemas.microsoft.com/office/drawing/2014/main" id="{00000000-0008-0000-0400-0000F0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33" name="Text Box 2">
          <a:extLst>
            <a:ext uri="{FF2B5EF4-FFF2-40B4-BE49-F238E27FC236}">
              <a16:creationId xmlns:a16="http://schemas.microsoft.com/office/drawing/2014/main" id="{00000000-0008-0000-0400-0000F1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34" name="Text Box 2">
          <a:extLst>
            <a:ext uri="{FF2B5EF4-FFF2-40B4-BE49-F238E27FC236}">
              <a16:creationId xmlns:a16="http://schemas.microsoft.com/office/drawing/2014/main" id="{00000000-0008-0000-0400-0000F2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35" name="Text Box 2">
          <a:extLst>
            <a:ext uri="{FF2B5EF4-FFF2-40B4-BE49-F238E27FC236}">
              <a16:creationId xmlns:a16="http://schemas.microsoft.com/office/drawing/2014/main" id="{00000000-0008-0000-0400-0000F3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36" name="Text Box 2">
          <a:extLst>
            <a:ext uri="{FF2B5EF4-FFF2-40B4-BE49-F238E27FC236}">
              <a16:creationId xmlns:a16="http://schemas.microsoft.com/office/drawing/2014/main" id="{00000000-0008-0000-0400-0000F4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37" name="Text Box 2">
          <a:extLst>
            <a:ext uri="{FF2B5EF4-FFF2-40B4-BE49-F238E27FC236}">
              <a16:creationId xmlns:a16="http://schemas.microsoft.com/office/drawing/2014/main" id="{00000000-0008-0000-0400-0000F5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38" name="Text Box 2">
          <a:extLst>
            <a:ext uri="{FF2B5EF4-FFF2-40B4-BE49-F238E27FC236}">
              <a16:creationId xmlns:a16="http://schemas.microsoft.com/office/drawing/2014/main" id="{00000000-0008-0000-0400-0000F6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39" name="Text Box 2">
          <a:extLst>
            <a:ext uri="{FF2B5EF4-FFF2-40B4-BE49-F238E27FC236}">
              <a16:creationId xmlns:a16="http://schemas.microsoft.com/office/drawing/2014/main" id="{00000000-0008-0000-0400-0000F7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40" name="Text Box 2">
          <a:extLst>
            <a:ext uri="{FF2B5EF4-FFF2-40B4-BE49-F238E27FC236}">
              <a16:creationId xmlns:a16="http://schemas.microsoft.com/office/drawing/2014/main" id="{00000000-0008-0000-0400-0000F8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41" name="Text Box 2">
          <a:extLst>
            <a:ext uri="{FF2B5EF4-FFF2-40B4-BE49-F238E27FC236}">
              <a16:creationId xmlns:a16="http://schemas.microsoft.com/office/drawing/2014/main" id="{00000000-0008-0000-0400-0000F9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42" name="Text Box 2">
          <a:extLst>
            <a:ext uri="{FF2B5EF4-FFF2-40B4-BE49-F238E27FC236}">
              <a16:creationId xmlns:a16="http://schemas.microsoft.com/office/drawing/2014/main" id="{00000000-0008-0000-0400-0000FA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43" name="Text Box 2">
          <a:extLst>
            <a:ext uri="{FF2B5EF4-FFF2-40B4-BE49-F238E27FC236}">
              <a16:creationId xmlns:a16="http://schemas.microsoft.com/office/drawing/2014/main" id="{00000000-0008-0000-0400-0000FB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44" name="Text Box 2">
          <a:extLst>
            <a:ext uri="{FF2B5EF4-FFF2-40B4-BE49-F238E27FC236}">
              <a16:creationId xmlns:a16="http://schemas.microsoft.com/office/drawing/2014/main" id="{00000000-0008-0000-0400-0000FC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45" name="Text Box 2">
          <a:extLst>
            <a:ext uri="{FF2B5EF4-FFF2-40B4-BE49-F238E27FC236}">
              <a16:creationId xmlns:a16="http://schemas.microsoft.com/office/drawing/2014/main" id="{00000000-0008-0000-0400-0000FD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46" name="Text Box 2">
          <a:extLst>
            <a:ext uri="{FF2B5EF4-FFF2-40B4-BE49-F238E27FC236}">
              <a16:creationId xmlns:a16="http://schemas.microsoft.com/office/drawing/2014/main" id="{00000000-0008-0000-0400-0000FE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47" name="Text Box 2">
          <a:extLst>
            <a:ext uri="{FF2B5EF4-FFF2-40B4-BE49-F238E27FC236}">
              <a16:creationId xmlns:a16="http://schemas.microsoft.com/office/drawing/2014/main" id="{00000000-0008-0000-0400-0000FF07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48" name="Text Box 2">
          <a:extLst>
            <a:ext uri="{FF2B5EF4-FFF2-40B4-BE49-F238E27FC236}">
              <a16:creationId xmlns:a16="http://schemas.microsoft.com/office/drawing/2014/main" id="{00000000-0008-0000-0400-000000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49" name="Text Box 2">
          <a:extLst>
            <a:ext uri="{FF2B5EF4-FFF2-40B4-BE49-F238E27FC236}">
              <a16:creationId xmlns:a16="http://schemas.microsoft.com/office/drawing/2014/main" id="{00000000-0008-0000-0400-000001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50" name="Text Box 2">
          <a:extLst>
            <a:ext uri="{FF2B5EF4-FFF2-40B4-BE49-F238E27FC236}">
              <a16:creationId xmlns:a16="http://schemas.microsoft.com/office/drawing/2014/main" id="{00000000-0008-0000-0400-000002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51" name="Text Box 2">
          <a:extLst>
            <a:ext uri="{FF2B5EF4-FFF2-40B4-BE49-F238E27FC236}">
              <a16:creationId xmlns:a16="http://schemas.microsoft.com/office/drawing/2014/main" id="{00000000-0008-0000-0400-000003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52" name="Text Box 2">
          <a:extLst>
            <a:ext uri="{FF2B5EF4-FFF2-40B4-BE49-F238E27FC236}">
              <a16:creationId xmlns:a16="http://schemas.microsoft.com/office/drawing/2014/main" id="{00000000-0008-0000-0400-000004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53" name="Text Box 2">
          <a:extLst>
            <a:ext uri="{FF2B5EF4-FFF2-40B4-BE49-F238E27FC236}">
              <a16:creationId xmlns:a16="http://schemas.microsoft.com/office/drawing/2014/main" id="{00000000-0008-0000-0400-000005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54" name="Text Box 2">
          <a:extLst>
            <a:ext uri="{FF2B5EF4-FFF2-40B4-BE49-F238E27FC236}">
              <a16:creationId xmlns:a16="http://schemas.microsoft.com/office/drawing/2014/main" id="{00000000-0008-0000-0400-000006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55" name="Text Box 2">
          <a:extLst>
            <a:ext uri="{FF2B5EF4-FFF2-40B4-BE49-F238E27FC236}">
              <a16:creationId xmlns:a16="http://schemas.microsoft.com/office/drawing/2014/main" id="{00000000-0008-0000-0400-000007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56" name="Text Box 2">
          <a:extLst>
            <a:ext uri="{FF2B5EF4-FFF2-40B4-BE49-F238E27FC236}">
              <a16:creationId xmlns:a16="http://schemas.microsoft.com/office/drawing/2014/main" id="{00000000-0008-0000-0400-000008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57" name="Text Box 2">
          <a:extLst>
            <a:ext uri="{FF2B5EF4-FFF2-40B4-BE49-F238E27FC236}">
              <a16:creationId xmlns:a16="http://schemas.microsoft.com/office/drawing/2014/main" id="{00000000-0008-0000-0400-000009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58" name="Text Box 2">
          <a:extLst>
            <a:ext uri="{FF2B5EF4-FFF2-40B4-BE49-F238E27FC236}">
              <a16:creationId xmlns:a16="http://schemas.microsoft.com/office/drawing/2014/main" id="{00000000-0008-0000-0400-00000A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59" name="Text Box 2">
          <a:extLst>
            <a:ext uri="{FF2B5EF4-FFF2-40B4-BE49-F238E27FC236}">
              <a16:creationId xmlns:a16="http://schemas.microsoft.com/office/drawing/2014/main" id="{00000000-0008-0000-0400-00000B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60" name="Text Box 2">
          <a:extLst>
            <a:ext uri="{FF2B5EF4-FFF2-40B4-BE49-F238E27FC236}">
              <a16:creationId xmlns:a16="http://schemas.microsoft.com/office/drawing/2014/main" id="{00000000-0008-0000-0400-00000C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61" name="Text Box 2">
          <a:extLst>
            <a:ext uri="{FF2B5EF4-FFF2-40B4-BE49-F238E27FC236}">
              <a16:creationId xmlns:a16="http://schemas.microsoft.com/office/drawing/2014/main" id="{00000000-0008-0000-0400-00000D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62" name="Text Box 2">
          <a:extLst>
            <a:ext uri="{FF2B5EF4-FFF2-40B4-BE49-F238E27FC236}">
              <a16:creationId xmlns:a16="http://schemas.microsoft.com/office/drawing/2014/main" id="{00000000-0008-0000-0400-00000E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63" name="Text Box 2">
          <a:extLst>
            <a:ext uri="{FF2B5EF4-FFF2-40B4-BE49-F238E27FC236}">
              <a16:creationId xmlns:a16="http://schemas.microsoft.com/office/drawing/2014/main" id="{00000000-0008-0000-0400-00000F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64" name="Text Box 2">
          <a:extLst>
            <a:ext uri="{FF2B5EF4-FFF2-40B4-BE49-F238E27FC236}">
              <a16:creationId xmlns:a16="http://schemas.microsoft.com/office/drawing/2014/main" id="{00000000-0008-0000-0400-000010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65" name="Text Box 2">
          <a:extLst>
            <a:ext uri="{FF2B5EF4-FFF2-40B4-BE49-F238E27FC236}">
              <a16:creationId xmlns:a16="http://schemas.microsoft.com/office/drawing/2014/main" id="{00000000-0008-0000-0400-000011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66" name="Text Box 2">
          <a:extLst>
            <a:ext uri="{FF2B5EF4-FFF2-40B4-BE49-F238E27FC236}">
              <a16:creationId xmlns:a16="http://schemas.microsoft.com/office/drawing/2014/main" id="{00000000-0008-0000-0400-000012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67" name="Text Box 2">
          <a:extLst>
            <a:ext uri="{FF2B5EF4-FFF2-40B4-BE49-F238E27FC236}">
              <a16:creationId xmlns:a16="http://schemas.microsoft.com/office/drawing/2014/main" id="{00000000-0008-0000-0400-000013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68" name="Text Box 2">
          <a:extLst>
            <a:ext uri="{FF2B5EF4-FFF2-40B4-BE49-F238E27FC236}">
              <a16:creationId xmlns:a16="http://schemas.microsoft.com/office/drawing/2014/main" id="{00000000-0008-0000-0400-000014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69" name="Text Box 2">
          <a:extLst>
            <a:ext uri="{FF2B5EF4-FFF2-40B4-BE49-F238E27FC236}">
              <a16:creationId xmlns:a16="http://schemas.microsoft.com/office/drawing/2014/main" id="{00000000-0008-0000-0400-000015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70" name="Text Box 2">
          <a:extLst>
            <a:ext uri="{FF2B5EF4-FFF2-40B4-BE49-F238E27FC236}">
              <a16:creationId xmlns:a16="http://schemas.microsoft.com/office/drawing/2014/main" id="{00000000-0008-0000-0400-000016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71" name="Text Box 2">
          <a:extLst>
            <a:ext uri="{FF2B5EF4-FFF2-40B4-BE49-F238E27FC236}">
              <a16:creationId xmlns:a16="http://schemas.microsoft.com/office/drawing/2014/main" id="{00000000-0008-0000-0400-000017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72" name="Text Box 2">
          <a:extLst>
            <a:ext uri="{FF2B5EF4-FFF2-40B4-BE49-F238E27FC236}">
              <a16:creationId xmlns:a16="http://schemas.microsoft.com/office/drawing/2014/main" id="{00000000-0008-0000-0400-000018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73" name="Text Box 2">
          <a:extLst>
            <a:ext uri="{FF2B5EF4-FFF2-40B4-BE49-F238E27FC236}">
              <a16:creationId xmlns:a16="http://schemas.microsoft.com/office/drawing/2014/main" id="{00000000-0008-0000-0400-000019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74" name="Text Box 2">
          <a:extLst>
            <a:ext uri="{FF2B5EF4-FFF2-40B4-BE49-F238E27FC236}">
              <a16:creationId xmlns:a16="http://schemas.microsoft.com/office/drawing/2014/main" id="{00000000-0008-0000-0400-00001A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75" name="Text Box 2">
          <a:extLst>
            <a:ext uri="{FF2B5EF4-FFF2-40B4-BE49-F238E27FC236}">
              <a16:creationId xmlns:a16="http://schemas.microsoft.com/office/drawing/2014/main" id="{00000000-0008-0000-0400-00001B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076" name="Text Box 2">
          <a:extLst>
            <a:ext uri="{FF2B5EF4-FFF2-40B4-BE49-F238E27FC236}">
              <a16:creationId xmlns:a16="http://schemas.microsoft.com/office/drawing/2014/main" id="{00000000-0008-0000-0400-00001C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77" name="Text Box 2">
          <a:extLst>
            <a:ext uri="{FF2B5EF4-FFF2-40B4-BE49-F238E27FC236}">
              <a16:creationId xmlns:a16="http://schemas.microsoft.com/office/drawing/2014/main" id="{00000000-0008-0000-0400-00001D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78" name="Text Box 2">
          <a:extLst>
            <a:ext uri="{FF2B5EF4-FFF2-40B4-BE49-F238E27FC236}">
              <a16:creationId xmlns:a16="http://schemas.microsoft.com/office/drawing/2014/main" id="{00000000-0008-0000-0400-00001E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79" name="Text Box 2">
          <a:extLst>
            <a:ext uri="{FF2B5EF4-FFF2-40B4-BE49-F238E27FC236}">
              <a16:creationId xmlns:a16="http://schemas.microsoft.com/office/drawing/2014/main" id="{00000000-0008-0000-0400-00001F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80" name="Text Box 2">
          <a:extLst>
            <a:ext uri="{FF2B5EF4-FFF2-40B4-BE49-F238E27FC236}">
              <a16:creationId xmlns:a16="http://schemas.microsoft.com/office/drawing/2014/main" id="{00000000-0008-0000-0400-000020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81" name="Text Box 2">
          <a:extLst>
            <a:ext uri="{FF2B5EF4-FFF2-40B4-BE49-F238E27FC236}">
              <a16:creationId xmlns:a16="http://schemas.microsoft.com/office/drawing/2014/main" id="{00000000-0008-0000-0400-000021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82" name="Text Box 2">
          <a:extLst>
            <a:ext uri="{FF2B5EF4-FFF2-40B4-BE49-F238E27FC236}">
              <a16:creationId xmlns:a16="http://schemas.microsoft.com/office/drawing/2014/main" id="{00000000-0008-0000-0400-000022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83" name="Text Box 2">
          <a:extLst>
            <a:ext uri="{FF2B5EF4-FFF2-40B4-BE49-F238E27FC236}">
              <a16:creationId xmlns:a16="http://schemas.microsoft.com/office/drawing/2014/main" id="{00000000-0008-0000-0400-000023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84" name="Text Box 2">
          <a:extLst>
            <a:ext uri="{FF2B5EF4-FFF2-40B4-BE49-F238E27FC236}">
              <a16:creationId xmlns:a16="http://schemas.microsoft.com/office/drawing/2014/main" id="{00000000-0008-0000-0400-000024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85" name="Text Box 2">
          <a:extLst>
            <a:ext uri="{FF2B5EF4-FFF2-40B4-BE49-F238E27FC236}">
              <a16:creationId xmlns:a16="http://schemas.microsoft.com/office/drawing/2014/main" id="{00000000-0008-0000-0400-000025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86" name="Text Box 2">
          <a:extLst>
            <a:ext uri="{FF2B5EF4-FFF2-40B4-BE49-F238E27FC236}">
              <a16:creationId xmlns:a16="http://schemas.microsoft.com/office/drawing/2014/main" id="{00000000-0008-0000-0400-000026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87" name="Text Box 2">
          <a:extLst>
            <a:ext uri="{FF2B5EF4-FFF2-40B4-BE49-F238E27FC236}">
              <a16:creationId xmlns:a16="http://schemas.microsoft.com/office/drawing/2014/main" id="{00000000-0008-0000-0400-000027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88" name="Text Box 2">
          <a:extLst>
            <a:ext uri="{FF2B5EF4-FFF2-40B4-BE49-F238E27FC236}">
              <a16:creationId xmlns:a16="http://schemas.microsoft.com/office/drawing/2014/main" id="{00000000-0008-0000-0400-000028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89" name="Text Box 2">
          <a:extLst>
            <a:ext uri="{FF2B5EF4-FFF2-40B4-BE49-F238E27FC236}">
              <a16:creationId xmlns:a16="http://schemas.microsoft.com/office/drawing/2014/main" id="{00000000-0008-0000-0400-000029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90" name="Text Box 2">
          <a:extLst>
            <a:ext uri="{FF2B5EF4-FFF2-40B4-BE49-F238E27FC236}">
              <a16:creationId xmlns:a16="http://schemas.microsoft.com/office/drawing/2014/main" id="{00000000-0008-0000-0400-00002A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91" name="Text Box 2">
          <a:extLst>
            <a:ext uri="{FF2B5EF4-FFF2-40B4-BE49-F238E27FC236}">
              <a16:creationId xmlns:a16="http://schemas.microsoft.com/office/drawing/2014/main" id="{00000000-0008-0000-0400-00002B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92" name="Text Box 2">
          <a:extLst>
            <a:ext uri="{FF2B5EF4-FFF2-40B4-BE49-F238E27FC236}">
              <a16:creationId xmlns:a16="http://schemas.microsoft.com/office/drawing/2014/main" id="{00000000-0008-0000-0400-00002C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93" name="Text Box 2">
          <a:extLst>
            <a:ext uri="{FF2B5EF4-FFF2-40B4-BE49-F238E27FC236}">
              <a16:creationId xmlns:a16="http://schemas.microsoft.com/office/drawing/2014/main" id="{00000000-0008-0000-0400-00002D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94" name="Text Box 2">
          <a:extLst>
            <a:ext uri="{FF2B5EF4-FFF2-40B4-BE49-F238E27FC236}">
              <a16:creationId xmlns:a16="http://schemas.microsoft.com/office/drawing/2014/main" id="{00000000-0008-0000-0400-00002E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95" name="Text Box 2">
          <a:extLst>
            <a:ext uri="{FF2B5EF4-FFF2-40B4-BE49-F238E27FC236}">
              <a16:creationId xmlns:a16="http://schemas.microsoft.com/office/drawing/2014/main" id="{00000000-0008-0000-0400-00002F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96" name="Text Box 2">
          <a:extLst>
            <a:ext uri="{FF2B5EF4-FFF2-40B4-BE49-F238E27FC236}">
              <a16:creationId xmlns:a16="http://schemas.microsoft.com/office/drawing/2014/main" id="{00000000-0008-0000-0400-000030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97" name="Text Box 2">
          <a:extLst>
            <a:ext uri="{FF2B5EF4-FFF2-40B4-BE49-F238E27FC236}">
              <a16:creationId xmlns:a16="http://schemas.microsoft.com/office/drawing/2014/main" id="{00000000-0008-0000-0400-000031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98" name="Text Box 2">
          <a:extLst>
            <a:ext uri="{FF2B5EF4-FFF2-40B4-BE49-F238E27FC236}">
              <a16:creationId xmlns:a16="http://schemas.microsoft.com/office/drawing/2014/main" id="{00000000-0008-0000-0400-000032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099" name="Text Box 2">
          <a:extLst>
            <a:ext uri="{FF2B5EF4-FFF2-40B4-BE49-F238E27FC236}">
              <a16:creationId xmlns:a16="http://schemas.microsoft.com/office/drawing/2014/main" id="{00000000-0008-0000-0400-000033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00" name="Text Box 2">
          <a:extLst>
            <a:ext uri="{FF2B5EF4-FFF2-40B4-BE49-F238E27FC236}">
              <a16:creationId xmlns:a16="http://schemas.microsoft.com/office/drawing/2014/main" id="{00000000-0008-0000-0400-000034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01" name="Text Box 2">
          <a:extLst>
            <a:ext uri="{FF2B5EF4-FFF2-40B4-BE49-F238E27FC236}">
              <a16:creationId xmlns:a16="http://schemas.microsoft.com/office/drawing/2014/main" id="{00000000-0008-0000-0400-000035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02" name="Text Box 2">
          <a:extLst>
            <a:ext uri="{FF2B5EF4-FFF2-40B4-BE49-F238E27FC236}">
              <a16:creationId xmlns:a16="http://schemas.microsoft.com/office/drawing/2014/main" id="{00000000-0008-0000-0400-000036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03" name="Text Box 2">
          <a:extLst>
            <a:ext uri="{FF2B5EF4-FFF2-40B4-BE49-F238E27FC236}">
              <a16:creationId xmlns:a16="http://schemas.microsoft.com/office/drawing/2014/main" id="{00000000-0008-0000-0400-000037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04" name="Text Box 2">
          <a:extLst>
            <a:ext uri="{FF2B5EF4-FFF2-40B4-BE49-F238E27FC236}">
              <a16:creationId xmlns:a16="http://schemas.microsoft.com/office/drawing/2014/main" id="{00000000-0008-0000-0400-000038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05" name="Text Box 2">
          <a:extLst>
            <a:ext uri="{FF2B5EF4-FFF2-40B4-BE49-F238E27FC236}">
              <a16:creationId xmlns:a16="http://schemas.microsoft.com/office/drawing/2014/main" id="{00000000-0008-0000-0400-000039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06" name="Text Box 2">
          <a:extLst>
            <a:ext uri="{FF2B5EF4-FFF2-40B4-BE49-F238E27FC236}">
              <a16:creationId xmlns:a16="http://schemas.microsoft.com/office/drawing/2014/main" id="{00000000-0008-0000-0400-00003A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07" name="Text Box 2">
          <a:extLst>
            <a:ext uri="{FF2B5EF4-FFF2-40B4-BE49-F238E27FC236}">
              <a16:creationId xmlns:a16="http://schemas.microsoft.com/office/drawing/2014/main" id="{00000000-0008-0000-0400-00003B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08" name="Text Box 2">
          <a:extLst>
            <a:ext uri="{FF2B5EF4-FFF2-40B4-BE49-F238E27FC236}">
              <a16:creationId xmlns:a16="http://schemas.microsoft.com/office/drawing/2014/main" id="{00000000-0008-0000-0400-00003C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09" name="Text Box 2">
          <a:extLst>
            <a:ext uri="{FF2B5EF4-FFF2-40B4-BE49-F238E27FC236}">
              <a16:creationId xmlns:a16="http://schemas.microsoft.com/office/drawing/2014/main" id="{00000000-0008-0000-0400-00003D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10" name="Text Box 2">
          <a:extLst>
            <a:ext uri="{FF2B5EF4-FFF2-40B4-BE49-F238E27FC236}">
              <a16:creationId xmlns:a16="http://schemas.microsoft.com/office/drawing/2014/main" id="{00000000-0008-0000-0400-00003E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11" name="Text Box 2">
          <a:extLst>
            <a:ext uri="{FF2B5EF4-FFF2-40B4-BE49-F238E27FC236}">
              <a16:creationId xmlns:a16="http://schemas.microsoft.com/office/drawing/2014/main" id="{00000000-0008-0000-0400-00003F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12" name="Text Box 2">
          <a:extLst>
            <a:ext uri="{FF2B5EF4-FFF2-40B4-BE49-F238E27FC236}">
              <a16:creationId xmlns:a16="http://schemas.microsoft.com/office/drawing/2014/main" id="{00000000-0008-0000-0400-000040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13" name="Text Box 2">
          <a:extLst>
            <a:ext uri="{FF2B5EF4-FFF2-40B4-BE49-F238E27FC236}">
              <a16:creationId xmlns:a16="http://schemas.microsoft.com/office/drawing/2014/main" id="{00000000-0008-0000-0400-000041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14" name="Text Box 2">
          <a:extLst>
            <a:ext uri="{FF2B5EF4-FFF2-40B4-BE49-F238E27FC236}">
              <a16:creationId xmlns:a16="http://schemas.microsoft.com/office/drawing/2014/main" id="{00000000-0008-0000-0400-000042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15" name="Text Box 2">
          <a:extLst>
            <a:ext uri="{FF2B5EF4-FFF2-40B4-BE49-F238E27FC236}">
              <a16:creationId xmlns:a16="http://schemas.microsoft.com/office/drawing/2014/main" id="{00000000-0008-0000-0400-000043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16" name="Text Box 2">
          <a:extLst>
            <a:ext uri="{FF2B5EF4-FFF2-40B4-BE49-F238E27FC236}">
              <a16:creationId xmlns:a16="http://schemas.microsoft.com/office/drawing/2014/main" id="{00000000-0008-0000-0400-000044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17" name="Text Box 2">
          <a:extLst>
            <a:ext uri="{FF2B5EF4-FFF2-40B4-BE49-F238E27FC236}">
              <a16:creationId xmlns:a16="http://schemas.microsoft.com/office/drawing/2014/main" id="{00000000-0008-0000-0400-000045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18" name="Text Box 2">
          <a:extLst>
            <a:ext uri="{FF2B5EF4-FFF2-40B4-BE49-F238E27FC236}">
              <a16:creationId xmlns:a16="http://schemas.microsoft.com/office/drawing/2014/main" id="{00000000-0008-0000-0400-000046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19" name="Text Box 2">
          <a:extLst>
            <a:ext uri="{FF2B5EF4-FFF2-40B4-BE49-F238E27FC236}">
              <a16:creationId xmlns:a16="http://schemas.microsoft.com/office/drawing/2014/main" id="{00000000-0008-0000-0400-000047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20" name="Text Box 2">
          <a:extLst>
            <a:ext uri="{FF2B5EF4-FFF2-40B4-BE49-F238E27FC236}">
              <a16:creationId xmlns:a16="http://schemas.microsoft.com/office/drawing/2014/main" id="{00000000-0008-0000-0400-000048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21" name="Text Box 2">
          <a:extLst>
            <a:ext uri="{FF2B5EF4-FFF2-40B4-BE49-F238E27FC236}">
              <a16:creationId xmlns:a16="http://schemas.microsoft.com/office/drawing/2014/main" id="{00000000-0008-0000-0400-000049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22" name="Text Box 2">
          <a:extLst>
            <a:ext uri="{FF2B5EF4-FFF2-40B4-BE49-F238E27FC236}">
              <a16:creationId xmlns:a16="http://schemas.microsoft.com/office/drawing/2014/main" id="{00000000-0008-0000-0400-00004A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23" name="Text Box 2">
          <a:extLst>
            <a:ext uri="{FF2B5EF4-FFF2-40B4-BE49-F238E27FC236}">
              <a16:creationId xmlns:a16="http://schemas.microsoft.com/office/drawing/2014/main" id="{00000000-0008-0000-0400-00004B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24" name="Text Box 2">
          <a:extLst>
            <a:ext uri="{FF2B5EF4-FFF2-40B4-BE49-F238E27FC236}">
              <a16:creationId xmlns:a16="http://schemas.microsoft.com/office/drawing/2014/main" id="{00000000-0008-0000-0400-00004C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25" name="Text Box 2">
          <a:extLst>
            <a:ext uri="{FF2B5EF4-FFF2-40B4-BE49-F238E27FC236}">
              <a16:creationId xmlns:a16="http://schemas.microsoft.com/office/drawing/2014/main" id="{00000000-0008-0000-0400-00004D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26" name="Text Box 2">
          <a:extLst>
            <a:ext uri="{FF2B5EF4-FFF2-40B4-BE49-F238E27FC236}">
              <a16:creationId xmlns:a16="http://schemas.microsoft.com/office/drawing/2014/main" id="{00000000-0008-0000-0400-00004E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27" name="Text Box 2">
          <a:extLst>
            <a:ext uri="{FF2B5EF4-FFF2-40B4-BE49-F238E27FC236}">
              <a16:creationId xmlns:a16="http://schemas.microsoft.com/office/drawing/2014/main" id="{00000000-0008-0000-0400-00004F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28" name="Text Box 2">
          <a:extLst>
            <a:ext uri="{FF2B5EF4-FFF2-40B4-BE49-F238E27FC236}">
              <a16:creationId xmlns:a16="http://schemas.microsoft.com/office/drawing/2014/main" id="{00000000-0008-0000-0400-000050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29" name="Text Box 2">
          <a:extLst>
            <a:ext uri="{FF2B5EF4-FFF2-40B4-BE49-F238E27FC236}">
              <a16:creationId xmlns:a16="http://schemas.microsoft.com/office/drawing/2014/main" id="{00000000-0008-0000-0400-000051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30" name="Text Box 2">
          <a:extLst>
            <a:ext uri="{FF2B5EF4-FFF2-40B4-BE49-F238E27FC236}">
              <a16:creationId xmlns:a16="http://schemas.microsoft.com/office/drawing/2014/main" id="{00000000-0008-0000-0400-000052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31" name="Text Box 2">
          <a:extLst>
            <a:ext uri="{FF2B5EF4-FFF2-40B4-BE49-F238E27FC236}">
              <a16:creationId xmlns:a16="http://schemas.microsoft.com/office/drawing/2014/main" id="{00000000-0008-0000-0400-000053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32" name="Text Box 2">
          <a:extLst>
            <a:ext uri="{FF2B5EF4-FFF2-40B4-BE49-F238E27FC236}">
              <a16:creationId xmlns:a16="http://schemas.microsoft.com/office/drawing/2014/main" id="{00000000-0008-0000-0400-000054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133" name="Text Box 2">
          <a:extLst>
            <a:ext uri="{FF2B5EF4-FFF2-40B4-BE49-F238E27FC236}">
              <a16:creationId xmlns:a16="http://schemas.microsoft.com/office/drawing/2014/main" id="{00000000-0008-0000-0400-00005508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34" name="Text Box 2">
          <a:extLst>
            <a:ext uri="{FF2B5EF4-FFF2-40B4-BE49-F238E27FC236}">
              <a16:creationId xmlns:a16="http://schemas.microsoft.com/office/drawing/2014/main" id="{00000000-0008-0000-0400-000056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35" name="Text Box 2">
          <a:extLst>
            <a:ext uri="{FF2B5EF4-FFF2-40B4-BE49-F238E27FC236}">
              <a16:creationId xmlns:a16="http://schemas.microsoft.com/office/drawing/2014/main" id="{00000000-0008-0000-0400-000057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36" name="Text Box 2">
          <a:extLst>
            <a:ext uri="{FF2B5EF4-FFF2-40B4-BE49-F238E27FC236}">
              <a16:creationId xmlns:a16="http://schemas.microsoft.com/office/drawing/2014/main" id="{00000000-0008-0000-0400-000058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37" name="Text Box 2">
          <a:extLst>
            <a:ext uri="{FF2B5EF4-FFF2-40B4-BE49-F238E27FC236}">
              <a16:creationId xmlns:a16="http://schemas.microsoft.com/office/drawing/2014/main" id="{00000000-0008-0000-0400-000059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38" name="Text Box 2">
          <a:extLst>
            <a:ext uri="{FF2B5EF4-FFF2-40B4-BE49-F238E27FC236}">
              <a16:creationId xmlns:a16="http://schemas.microsoft.com/office/drawing/2014/main" id="{00000000-0008-0000-0400-00005A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39" name="Text Box 2">
          <a:extLst>
            <a:ext uri="{FF2B5EF4-FFF2-40B4-BE49-F238E27FC236}">
              <a16:creationId xmlns:a16="http://schemas.microsoft.com/office/drawing/2014/main" id="{00000000-0008-0000-0400-00005B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40" name="Text Box 2">
          <a:extLst>
            <a:ext uri="{FF2B5EF4-FFF2-40B4-BE49-F238E27FC236}">
              <a16:creationId xmlns:a16="http://schemas.microsoft.com/office/drawing/2014/main" id="{00000000-0008-0000-0400-00005C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41" name="Text Box 2">
          <a:extLst>
            <a:ext uri="{FF2B5EF4-FFF2-40B4-BE49-F238E27FC236}">
              <a16:creationId xmlns:a16="http://schemas.microsoft.com/office/drawing/2014/main" id="{00000000-0008-0000-0400-00005D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42" name="Text Box 2">
          <a:extLst>
            <a:ext uri="{FF2B5EF4-FFF2-40B4-BE49-F238E27FC236}">
              <a16:creationId xmlns:a16="http://schemas.microsoft.com/office/drawing/2014/main" id="{00000000-0008-0000-0400-00005E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43" name="Text Box 2">
          <a:extLst>
            <a:ext uri="{FF2B5EF4-FFF2-40B4-BE49-F238E27FC236}">
              <a16:creationId xmlns:a16="http://schemas.microsoft.com/office/drawing/2014/main" id="{00000000-0008-0000-0400-00005F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44" name="Text Box 2">
          <a:extLst>
            <a:ext uri="{FF2B5EF4-FFF2-40B4-BE49-F238E27FC236}">
              <a16:creationId xmlns:a16="http://schemas.microsoft.com/office/drawing/2014/main" id="{00000000-0008-0000-0400-000060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45" name="Text Box 2">
          <a:extLst>
            <a:ext uri="{FF2B5EF4-FFF2-40B4-BE49-F238E27FC236}">
              <a16:creationId xmlns:a16="http://schemas.microsoft.com/office/drawing/2014/main" id="{00000000-0008-0000-0400-000061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46" name="Text Box 2">
          <a:extLst>
            <a:ext uri="{FF2B5EF4-FFF2-40B4-BE49-F238E27FC236}">
              <a16:creationId xmlns:a16="http://schemas.microsoft.com/office/drawing/2014/main" id="{00000000-0008-0000-0400-000062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47" name="Text Box 2">
          <a:extLst>
            <a:ext uri="{FF2B5EF4-FFF2-40B4-BE49-F238E27FC236}">
              <a16:creationId xmlns:a16="http://schemas.microsoft.com/office/drawing/2014/main" id="{00000000-0008-0000-0400-000063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48" name="Text Box 2">
          <a:extLst>
            <a:ext uri="{FF2B5EF4-FFF2-40B4-BE49-F238E27FC236}">
              <a16:creationId xmlns:a16="http://schemas.microsoft.com/office/drawing/2014/main" id="{00000000-0008-0000-0400-000064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49" name="Text Box 2">
          <a:extLst>
            <a:ext uri="{FF2B5EF4-FFF2-40B4-BE49-F238E27FC236}">
              <a16:creationId xmlns:a16="http://schemas.microsoft.com/office/drawing/2014/main" id="{00000000-0008-0000-0400-000065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50" name="Text Box 2">
          <a:extLst>
            <a:ext uri="{FF2B5EF4-FFF2-40B4-BE49-F238E27FC236}">
              <a16:creationId xmlns:a16="http://schemas.microsoft.com/office/drawing/2014/main" id="{00000000-0008-0000-0400-000066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51" name="Text Box 2">
          <a:extLst>
            <a:ext uri="{FF2B5EF4-FFF2-40B4-BE49-F238E27FC236}">
              <a16:creationId xmlns:a16="http://schemas.microsoft.com/office/drawing/2014/main" id="{00000000-0008-0000-0400-000067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52" name="Text Box 2">
          <a:extLst>
            <a:ext uri="{FF2B5EF4-FFF2-40B4-BE49-F238E27FC236}">
              <a16:creationId xmlns:a16="http://schemas.microsoft.com/office/drawing/2014/main" id="{00000000-0008-0000-0400-000068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53" name="Text Box 2">
          <a:extLst>
            <a:ext uri="{FF2B5EF4-FFF2-40B4-BE49-F238E27FC236}">
              <a16:creationId xmlns:a16="http://schemas.microsoft.com/office/drawing/2014/main" id="{00000000-0008-0000-0400-000069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54" name="Text Box 2">
          <a:extLst>
            <a:ext uri="{FF2B5EF4-FFF2-40B4-BE49-F238E27FC236}">
              <a16:creationId xmlns:a16="http://schemas.microsoft.com/office/drawing/2014/main" id="{00000000-0008-0000-0400-00006A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55" name="Text Box 2">
          <a:extLst>
            <a:ext uri="{FF2B5EF4-FFF2-40B4-BE49-F238E27FC236}">
              <a16:creationId xmlns:a16="http://schemas.microsoft.com/office/drawing/2014/main" id="{00000000-0008-0000-0400-00006B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56" name="Text Box 2">
          <a:extLst>
            <a:ext uri="{FF2B5EF4-FFF2-40B4-BE49-F238E27FC236}">
              <a16:creationId xmlns:a16="http://schemas.microsoft.com/office/drawing/2014/main" id="{00000000-0008-0000-0400-00006C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57" name="Text Box 2">
          <a:extLst>
            <a:ext uri="{FF2B5EF4-FFF2-40B4-BE49-F238E27FC236}">
              <a16:creationId xmlns:a16="http://schemas.microsoft.com/office/drawing/2014/main" id="{00000000-0008-0000-0400-00006D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58" name="Text Box 2">
          <a:extLst>
            <a:ext uri="{FF2B5EF4-FFF2-40B4-BE49-F238E27FC236}">
              <a16:creationId xmlns:a16="http://schemas.microsoft.com/office/drawing/2014/main" id="{00000000-0008-0000-0400-00006E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59" name="Text Box 2">
          <a:extLst>
            <a:ext uri="{FF2B5EF4-FFF2-40B4-BE49-F238E27FC236}">
              <a16:creationId xmlns:a16="http://schemas.microsoft.com/office/drawing/2014/main" id="{00000000-0008-0000-0400-00006F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60" name="Text Box 2">
          <a:extLst>
            <a:ext uri="{FF2B5EF4-FFF2-40B4-BE49-F238E27FC236}">
              <a16:creationId xmlns:a16="http://schemas.microsoft.com/office/drawing/2014/main" id="{00000000-0008-0000-0400-000070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61" name="Text Box 2">
          <a:extLst>
            <a:ext uri="{FF2B5EF4-FFF2-40B4-BE49-F238E27FC236}">
              <a16:creationId xmlns:a16="http://schemas.microsoft.com/office/drawing/2014/main" id="{00000000-0008-0000-0400-000071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62" name="Text Box 2">
          <a:extLst>
            <a:ext uri="{FF2B5EF4-FFF2-40B4-BE49-F238E27FC236}">
              <a16:creationId xmlns:a16="http://schemas.microsoft.com/office/drawing/2014/main" id="{00000000-0008-0000-0400-000072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63" name="Text Box 2">
          <a:extLst>
            <a:ext uri="{FF2B5EF4-FFF2-40B4-BE49-F238E27FC236}">
              <a16:creationId xmlns:a16="http://schemas.microsoft.com/office/drawing/2014/main" id="{00000000-0008-0000-0400-000073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64" name="Text Box 2">
          <a:extLst>
            <a:ext uri="{FF2B5EF4-FFF2-40B4-BE49-F238E27FC236}">
              <a16:creationId xmlns:a16="http://schemas.microsoft.com/office/drawing/2014/main" id="{00000000-0008-0000-0400-000074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65" name="Text Box 2">
          <a:extLst>
            <a:ext uri="{FF2B5EF4-FFF2-40B4-BE49-F238E27FC236}">
              <a16:creationId xmlns:a16="http://schemas.microsoft.com/office/drawing/2014/main" id="{00000000-0008-0000-0400-000075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66" name="Text Box 2">
          <a:extLst>
            <a:ext uri="{FF2B5EF4-FFF2-40B4-BE49-F238E27FC236}">
              <a16:creationId xmlns:a16="http://schemas.microsoft.com/office/drawing/2014/main" id="{00000000-0008-0000-0400-000076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67" name="Text Box 2">
          <a:extLst>
            <a:ext uri="{FF2B5EF4-FFF2-40B4-BE49-F238E27FC236}">
              <a16:creationId xmlns:a16="http://schemas.microsoft.com/office/drawing/2014/main" id="{00000000-0008-0000-0400-000077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68" name="Text Box 2">
          <a:extLst>
            <a:ext uri="{FF2B5EF4-FFF2-40B4-BE49-F238E27FC236}">
              <a16:creationId xmlns:a16="http://schemas.microsoft.com/office/drawing/2014/main" id="{00000000-0008-0000-0400-000078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69" name="Text Box 2">
          <a:extLst>
            <a:ext uri="{FF2B5EF4-FFF2-40B4-BE49-F238E27FC236}">
              <a16:creationId xmlns:a16="http://schemas.microsoft.com/office/drawing/2014/main" id="{00000000-0008-0000-0400-000079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70" name="Text Box 2">
          <a:extLst>
            <a:ext uri="{FF2B5EF4-FFF2-40B4-BE49-F238E27FC236}">
              <a16:creationId xmlns:a16="http://schemas.microsoft.com/office/drawing/2014/main" id="{00000000-0008-0000-0400-00007A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71" name="Text Box 2">
          <a:extLst>
            <a:ext uri="{FF2B5EF4-FFF2-40B4-BE49-F238E27FC236}">
              <a16:creationId xmlns:a16="http://schemas.microsoft.com/office/drawing/2014/main" id="{00000000-0008-0000-0400-00007B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72" name="Text Box 2">
          <a:extLst>
            <a:ext uri="{FF2B5EF4-FFF2-40B4-BE49-F238E27FC236}">
              <a16:creationId xmlns:a16="http://schemas.microsoft.com/office/drawing/2014/main" id="{00000000-0008-0000-0400-00007C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73" name="Text Box 2">
          <a:extLst>
            <a:ext uri="{FF2B5EF4-FFF2-40B4-BE49-F238E27FC236}">
              <a16:creationId xmlns:a16="http://schemas.microsoft.com/office/drawing/2014/main" id="{00000000-0008-0000-0400-00007D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74" name="Text Box 2">
          <a:extLst>
            <a:ext uri="{FF2B5EF4-FFF2-40B4-BE49-F238E27FC236}">
              <a16:creationId xmlns:a16="http://schemas.microsoft.com/office/drawing/2014/main" id="{00000000-0008-0000-0400-00007E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75" name="Text Box 2">
          <a:extLst>
            <a:ext uri="{FF2B5EF4-FFF2-40B4-BE49-F238E27FC236}">
              <a16:creationId xmlns:a16="http://schemas.microsoft.com/office/drawing/2014/main" id="{00000000-0008-0000-0400-00007F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76" name="Text Box 2">
          <a:extLst>
            <a:ext uri="{FF2B5EF4-FFF2-40B4-BE49-F238E27FC236}">
              <a16:creationId xmlns:a16="http://schemas.microsoft.com/office/drawing/2014/main" id="{00000000-0008-0000-0400-000080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77" name="Text Box 2">
          <a:extLst>
            <a:ext uri="{FF2B5EF4-FFF2-40B4-BE49-F238E27FC236}">
              <a16:creationId xmlns:a16="http://schemas.microsoft.com/office/drawing/2014/main" id="{00000000-0008-0000-0400-000081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78" name="Text Box 2">
          <a:extLst>
            <a:ext uri="{FF2B5EF4-FFF2-40B4-BE49-F238E27FC236}">
              <a16:creationId xmlns:a16="http://schemas.microsoft.com/office/drawing/2014/main" id="{00000000-0008-0000-0400-000082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79" name="Text Box 2">
          <a:extLst>
            <a:ext uri="{FF2B5EF4-FFF2-40B4-BE49-F238E27FC236}">
              <a16:creationId xmlns:a16="http://schemas.microsoft.com/office/drawing/2014/main" id="{00000000-0008-0000-0400-000083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80" name="Text Box 2">
          <a:extLst>
            <a:ext uri="{FF2B5EF4-FFF2-40B4-BE49-F238E27FC236}">
              <a16:creationId xmlns:a16="http://schemas.microsoft.com/office/drawing/2014/main" id="{00000000-0008-0000-0400-000084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81" name="Text Box 2">
          <a:extLst>
            <a:ext uri="{FF2B5EF4-FFF2-40B4-BE49-F238E27FC236}">
              <a16:creationId xmlns:a16="http://schemas.microsoft.com/office/drawing/2014/main" id="{00000000-0008-0000-0400-000085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82" name="Text Box 2">
          <a:extLst>
            <a:ext uri="{FF2B5EF4-FFF2-40B4-BE49-F238E27FC236}">
              <a16:creationId xmlns:a16="http://schemas.microsoft.com/office/drawing/2014/main" id="{00000000-0008-0000-0400-000086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83" name="Text Box 2">
          <a:extLst>
            <a:ext uri="{FF2B5EF4-FFF2-40B4-BE49-F238E27FC236}">
              <a16:creationId xmlns:a16="http://schemas.microsoft.com/office/drawing/2014/main" id="{00000000-0008-0000-0400-000087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84" name="Text Box 2">
          <a:extLst>
            <a:ext uri="{FF2B5EF4-FFF2-40B4-BE49-F238E27FC236}">
              <a16:creationId xmlns:a16="http://schemas.microsoft.com/office/drawing/2014/main" id="{00000000-0008-0000-0400-000088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85" name="Text Box 2">
          <a:extLst>
            <a:ext uri="{FF2B5EF4-FFF2-40B4-BE49-F238E27FC236}">
              <a16:creationId xmlns:a16="http://schemas.microsoft.com/office/drawing/2014/main" id="{00000000-0008-0000-0400-000089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86" name="Text Box 2">
          <a:extLst>
            <a:ext uri="{FF2B5EF4-FFF2-40B4-BE49-F238E27FC236}">
              <a16:creationId xmlns:a16="http://schemas.microsoft.com/office/drawing/2014/main" id="{00000000-0008-0000-0400-00008A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87" name="Text Box 2">
          <a:extLst>
            <a:ext uri="{FF2B5EF4-FFF2-40B4-BE49-F238E27FC236}">
              <a16:creationId xmlns:a16="http://schemas.microsoft.com/office/drawing/2014/main" id="{00000000-0008-0000-0400-00008B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88" name="Text Box 2">
          <a:extLst>
            <a:ext uri="{FF2B5EF4-FFF2-40B4-BE49-F238E27FC236}">
              <a16:creationId xmlns:a16="http://schemas.microsoft.com/office/drawing/2014/main" id="{00000000-0008-0000-0400-00008C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89" name="Text Box 2">
          <a:extLst>
            <a:ext uri="{FF2B5EF4-FFF2-40B4-BE49-F238E27FC236}">
              <a16:creationId xmlns:a16="http://schemas.microsoft.com/office/drawing/2014/main" id="{00000000-0008-0000-0400-00008D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90" name="Text Box 2">
          <a:extLst>
            <a:ext uri="{FF2B5EF4-FFF2-40B4-BE49-F238E27FC236}">
              <a16:creationId xmlns:a16="http://schemas.microsoft.com/office/drawing/2014/main" id="{00000000-0008-0000-0400-00008E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91" name="Text Box 2">
          <a:extLst>
            <a:ext uri="{FF2B5EF4-FFF2-40B4-BE49-F238E27FC236}">
              <a16:creationId xmlns:a16="http://schemas.microsoft.com/office/drawing/2014/main" id="{00000000-0008-0000-0400-00008F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92" name="Text Box 2">
          <a:extLst>
            <a:ext uri="{FF2B5EF4-FFF2-40B4-BE49-F238E27FC236}">
              <a16:creationId xmlns:a16="http://schemas.microsoft.com/office/drawing/2014/main" id="{00000000-0008-0000-0400-000090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93" name="Text Box 2">
          <a:extLst>
            <a:ext uri="{FF2B5EF4-FFF2-40B4-BE49-F238E27FC236}">
              <a16:creationId xmlns:a16="http://schemas.microsoft.com/office/drawing/2014/main" id="{00000000-0008-0000-0400-000091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94" name="Text Box 2">
          <a:extLst>
            <a:ext uri="{FF2B5EF4-FFF2-40B4-BE49-F238E27FC236}">
              <a16:creationId xmlns:a16="http://schemas.microsoft.com/office/drawing/2014/main" id="{00000000-0008-0000-0400-000092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95" name="Text Box 2">
          <a:extLst>
            <a:ext uri="{FF2B5EF4-FFF2-40B4-BE49-F238E27FC236}">
              <a16:creationId xmlns:a16="http://schemas.microsoft.com/office/drawing/2014/main" id="{00000000-0008-0000-0400-000093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96" name="Text Box 2">
          <a:extLst>
            <a:ext uri="{FF2B5EF4-FFF2-40B4-BE49-F238E27FC236}">
              <a16:creationId xmlns:a16="http://schemas.microsoft.com/office/drawing/2014/main" id="{00000000-0008-0000-0400-000094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97" name="Text Box 2">
          <a:extLst>
            <a:ext uri="{FF2B5EF4-FFF2-40B4-BE49-F238E27FC236}">
              <a16:creationId xmlns:a16="http://schemas.microsoft.com/office/drawing/2014/main" id="{00000000-0008-0000-0400-000095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98" name="Text Box 2">
          <a:extLst>
            <a:ext uri="{FF2B5EF4-FFF2-40B4-BE49-F238E27FC236}">
              <a16:creationId xmlns:a16="http://schemas.microsoft.com/office/drawing/2014/main" id="{00000000-0008-0000-0400-000096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199" name="Text Box 2">
          <a:extLst>
            <a:ext uri="{FF2B5EF4-FFF2-40B4-BE49-F238E27FC236}">
              <a16:creationId xmlns:a16="http://schemas.microsoft.com/office/drawing/2014/main" id="{00000000-0008-0000-0400-000097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00" name="Text Box 2">
          <a:extLst>
            <a:ext uri="{FF2B5EF4-FFF2-40B4-BE49-F238E27FC236}">
              <a16:creationId xmlns:a16="http://schemas.microsoft.com/office/drawing/2014/main" id="{00000000-0008-0000-0400-000098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01" name="Text Box 2">
          <a:extLst>
            <a:ext uri="{FF2B5EF4-FFF2-40B4-BE49-F238E27FC236}">
              <a16:creationId xmlns:a16="http://schemas.microsoft.com/office/drawing/2014/main" id="{00000000-0008-0000-0400-000099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02" name="Text Box 2">
          <a:extLst>
            <a:ext uri="{FF2B5EF4-FFF2-40B4-BE49-F238E27FC236}">
              <a16:creationId xmlns:a16="http://schemas.microsoft.com/office/drawing/2014/main" id="{00000000-0008-0000-0400-00009A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03" name="Text Box 2">
          <a:extLst>
            <a:ext uri="{FF2B5EF4-FFF2-40B4-BE49-F238E27FC236}">
              <a16:creationId xmlns:a16="http://schemas.microsoft.com/office/drawing/2014/main" id="{00000000-0008-0000-0400-00009B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04" name="Text Box 2">
          <a:extLst>
            <a:ext uri="{FF2B5EF4-FFF2-40B4-BE49-F238E27FC236}">
              <a16:creationId xmlns:a16="http://schemas.microsoft.com/office/drawing/2014/main" id="{00000000-0008-0000-0400-00009C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05" name="Text Box 2">
          <a:extLst>
            <a:ext uri="{FF2B5EF4-FFF2-40B4-BE49-F238E27FC236}">
              <a16:creationId xmlns:a16="http://schemas.microsoft.com/office/drawing/2014/main" id="{00000000-0008-0000-0400-00009D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06" name="Text Box 2">
          <a:extLst>
            <a:ext uri="{FF2B5EF4-FFF2-40B4-BE49-F238E27FC236}">
              <a16:creationId xmlns:a16="http://schemas.microsoft.com/office/drawing/2014/main" id="{00000000-0008-0000-0400-00009E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07" name="Text Box 2">
          <a:extLst>
            <a:ext uri="{FF2B5EF4-FFF2-40B4-BE49-F238E27FC236}">
              <a16:creationId xmlns:a16="http://schemas.microsoft.com/office/drawing/2014/main" id="{00000000-0008-0000-0400-00009F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08" name="Text Box 2">
          <a:extLst>
            <a:ext uri="{FF2B5EF4-FFF2-40B4-BE49-F238E27FC236}">
              <a16:creationId xmlns:a16="http://schemas.microsoft.com/office/drawing/2014/main" id="{00000000-0008-0000-0400-0000A0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09" name="Text Box 2">
          <a:extLst>
            <a:ext uri="{FF2B5EF4-FFF2-40B4-BE49-F238E27FC236}">
              <a16:creationId xmlns:a16="http://schemas.microsoft.com/office/drawing/2014/main" id="{00000000-0008-0000-0400-0000A1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10" name="Text Box 2">
          <a:extLst>
            <a:ext uri="{FF2B5EF4-FFF2-40B4-BE49-F238E27FC236}">
              <a16:creationId xmlns:a16="http://schemas.microsoft.com/office/drawing/2014/main" id="{00000000-0008-0000-0400-0000A2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11" name="Text Box 2">
          <a:extLst>
            <a:ext uri="{FF2B5EF4-FFF2-40B4-BE49-F238E27FC236}">
              <a16:creationId xmlns:a16="http://schemas.microsoft.com/office/drawing/2014/main" id="{00000000-0008-0000-0400-0000A3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12" name="Text Box 2">
          <a:extLst>
            <a:ext uri="{FF2B5EF4-FFF2-40B4-BE49-F238E27FC236}">
              <a16:creationId xmlns:a16="http://schemas.microsoft.com/office/drawing/2014/main" id="{00000000-0008-0000-0400-0000A4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13" name="Text Box 2">
          <a:extLst>
            <a:ext uri="{FF2B5EF4-FFF2-40B4-BE49-F238E27FC236}">
              <a16:creationId xmlns:a16="http://schemas.microsoft.com/office/drawing/2014/main" id="{00000000-0008-0000-0400-0000A5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14" name="Text Box 2">
          <a:extLst>
            <a:ext uri="{FF2B5EF4-FFF2-40B4-BE49-F238E27FC236}">
              <a16:creationId xmlns:a16="http://schemas.microsoft.com/office/drawing/2014/main" id="{00000000-0008-0000-0400-0000A6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15" name="Text Box 2">
          <a:extLst>
            <a:ext uri="{FF2B5EF4-FFF2-40B4-BE49-F238E27FC236}">
              <a16:creationId xmlns:a16="http://schemas.microsoft.com/office/drawing/2014/main" id="{00000000-0008-0000-0400-0000A7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16" name="Text Box 2">
          <a:extLst>
            <a:ext uri="{FF2B5EF4-FFF2-40B4-BE49-F238E27FC236}">
              <a16:creationId xmlns:a16="http://schemas.microsoft.com/office/drawing/2014/main" id="{00000000-0008-0000-0400-0000A8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17" name="Text Box 2">
          <a:extLst>
            <a:ext uri="{FF2B5EF4-FFF2-40B4-BE49-F238E27FC236}">
              <a16:creationId xmlns:a16="http://schemas.microsoft.com/office/drawing/2014/main" id="{00000000-0008-0000-0400-0000A9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18" name="Text Box 2">
          <a:extLst>
            <a:ext uri="{FF2B5EF4-FFF2-40B4-BE49-F238E27FC236}">
              <a16:creationId xmlns:a16="http://schemas.microsoft.com/office/drawing/2014/main" id="{00000000-0008-0000-0400-0000AA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19" name="Text Box 2">
          <a:extLst>
            <a:ext uri="{FF2B5EF4-FFF2-40B4-BE49-F238E27FC236}">
              <a16:creationId xmlns:a16="http://schemas.microsoft.com/office/drawing/2014/main" id="{00000000-0008-0000-0400-0000AB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20" name="Text Box 2">
          <a:extLst>
            <a:ext uri="{FF2B5EF4-FFF2-40B4-BE49-F238E27FC236}">
              <a16:creationId xmlns:a16="http://schemas.microsoft.com/office/drawing/2014/main" id="{00000000-0008-0000-0400-0000AC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21" name="Text Box 2">
          <a:extLst>
            <a:ext uri="{FF2B5EF4-FFF2-40B4-BE49-F238E27FC236}">
              <a16:creationId xmlns:a16="http://schemas.microsoft.com/office/drawing/2014/main" id="{00000000-0008-0000-0400-0000AD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22" name="Text Box 2">
          <a:extLst>
            <a:ext uri="{FF2B5EF4-FFF2-40B4-BE49-F238E27FC236}">
              <a16:creationId xmlns:a16="http://schemas.microsoft.com/office/drawing/2014/main" id="{00000000-0008-0000-0400-0000AE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23" name="Text Box 2">
          <a:extLst>
            <a:ext uri="{FF2B5EF4-FFF2-40B4-BE49-F238E27FC236}">
              <a16:creationId xmlns:a16="http://schemas.microsoft.com/office/drawing/2014/main" id="{00000000-0008-0000-0400-0000AF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24" name="Text Box 2">
          <a:extLst>
            <a:ext uri="{FF2B5EF4-FFF2-40B4-BE49-F238E27FC236}">
              <a16:creationId xmlns:a16="http://schemas.microsoft.com/office/drawing/2014/main" id="{00000000-0008-0000-0400-0000B0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25" name="Text Box 2">
          <a:extLst>
            <a:ext uri="{FF2B5EF4-FFF2-40B4-BE49-F238E27FC236}">
              <a16:creationId xmlns:a16="http://schemas.microsoft.com/office/drawing/2014/main" id="{00000000-0008-0000-0400-0000B1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26" name="Text Box 2">
          <a:extLst>
            <a:ext uri="{FF2B5EF4-FFF2-40B4-BE49-F238E27FC236}">
              <a16:creationId xmlns:a16="http://schemas.microsoft.com/office/drawing/2014/main" id="{00000000-0008-0000-0400-0000B2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27" name="Text Box 2">
          <a:extLst>
            <a:ext uri="{FF2B5EF4-FFF2-40B4-BE49-F238E27FC236}">
              <a16:creationId xmlns:a16="http://schemas.microsoft.com/office/drawing/2014/main" id="{00000000-0008-0000-0400-0000B3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28" name="Text Box 2">
          <a:extLst>
            <a:ext uri="{FF2B5EF4-FFF2-40B4-BE49-F238E27FC236}">
              <a16:creationId xmlns:a16="http://schemas.microsoft.com/office/drawing/2014/main" id="{00000000-0008-0000-0400-0000B4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29" name="Text Box 2">
          <a:extLst>
            <a:ext uri="{FF2B5EF4-FFF2-40B4-BE49-F238E27FC236}">
              <a16:creationId xmlns:a16="http://schemas.microsoft.com/office/drawing/2014/main" id="{00000000-0008-0000-0400-0000B5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30" name="Text Box 2">
          <a:extLst>
            <a:ext uri="{FF2B5EF4-FFF2-40B4-BE49-F238E27FC236}">
              <a16:creationId xmlns:a16="http://schemas.microsoft.com/office/drawing/2014/main" id="{00000000-0008-0000-0400-0000B6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31" name="Text Box 2">
          <a:extLst>
            <a:ext uri="{FF2B5EF4-FFF2-40B4-BE49-F238E27FC236}">
              <a16:creationId xmlns:a16="http://schemas.microsoft.com/office/drawing/2014/main" id="{00000000-0008-0000-0400-0000B7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32" name="Text Box 2">
          <a:extLst>
            <a:ext uri="{FF2B5EF4-FFF2-40B4-BE49-F238E27FC236}">
              <a16:creationId xmlns:a16="http://schemas.microsoft.com/office/drawing/2014/main" id="{00000000-0008-0000-0400-0000B8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33" name="Text Box 2">
          <a:extLst>
            <a:ext uri="{FF2B5EF4-FFF2-40B4-BE49-F238E27FC236}">
              <a16:creationId xmlns:a16="http://schemas.microsoft.com/office/drawing/2014/main" id="{00000000-0008-0000-0400-0000B9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34" name="Text Box 2">
          <a:extLst>
            <a:ext uri="{FF2B5EF4-FFF2-40B4-BE49-F238E27FC236}">
              <a16:creationId xmlns:a16="http://schemas.microsoft.com/office/drawing/2014/main" id="{00000000-0008-0000-0400-0000BA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35" name="Text Box 2">
          <a:extLst>
            <a:ext uri="{FF2B5EF4-FFF2-40B4-BE49-F238E27FC236}">
              <a16:creationId xmlns:a16="http://schemas.microsoft.com/office/drawing/2014/main" id="{00000000-0008-0000-0400-0000BB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36" name="Text Box 2">
          <a:extLst>
            <a:ext uri="{FF2B5EF4-FFF2-40B4-BE49-F238E27FC236}">
              <a16:creationId xmlns:a16="http://schemas.microsoft.com/office/drawing/2014/main" id="{00000000-0008-0000-0400-0000BC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37" name="Text Box 2">
          <a:extLst>
            <a:ext uri="{FF2B5EF4-FFF2-40B4-BE49-F238E27FC236}">
              <a16:creationId xmlns:a16="http://schemas.microsoft.com/office/drawing/2014/main" id="{00000000-0008-0000-0400-0000BD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38" name="Text Box 2">
          <a:extLst>
            <a:ext uri="{FF2B5EF4-FFF2-40B4-BE49-F238E27FC236}">
              <a16:creationId xmlns:a16="http://schemas.microsoft.com/office/drawing/2014/main" id="{00000000-0008-0000-0400-0000BE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39" name="Text Box 2">
          <a:extLst>
            <a:ext uri="{FF2B5EF4-FFF2-40B4-BE49-F238E27FC236}">
              <a16:creationId xmlns:a16="http://schemas.microsoft.com/office/drawing/2014/main" id="{00000000-0008-0000-0400-0000BF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40" name="Text Box 2">
          <a:extLst>
            <a:ext uri="{FF2B5EF4-FFF2-40B4-BE49-F238E27FC236}">
              <a16:creationId xmlns:a16="http://schemas.microsoft.com/office/drawing/2014/main" id="{00000000-0008-0000-0400-0000C0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41" name="Text Box 2">
          <a:extLst>
            <a:ext uri="{FF2B5EF4-FFF2-40B4-BE49-F238E27FC236}">
              <a16:creationId xmlns:a16="http://schemas.microsoft.com/office/drawing/2014/main" id="{00000000-0008-0000-0400-0000C1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42" name="Text Box 2">
          <a:extLst>
            <a:ext uri="{FF2B5EF4-FFF2-40B4-BE49-F238E27FC236}">
              <a16:creationId xmlns:a16="http://schemas.microsoft.com/office/drawing/2014/main" id="{00000000-0008-0000-0400-0000C2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43" name="Text Box 2">
          <a:extLst>
            <a:ext uri="{FF2B5EF4-FFF2-40B4-BE49-F238E27FC236}">
              <a16:creationId xmlns:a16="http://schemas.microsoft.com/office/drawing/2014/main" id="{00000000-0008-0000-0400-0000C3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44" name="Text Box 2">
          <a:extLst>
            <a:ext uri="{FF2B5EF4-FFF2-40B4-BE49-F238E27FC236}">
              <a16:creationId xmlns:a16="http://schemas.microsoft.com/office/drawing/2014/main" id="{00000000-0008-0000-0400-0000C4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45" name="Text Box 2">
          <a:extLst>
            <a:ext uri="{FF2B5EF4-FFF2-40B4-BE49-F238E27FC236}">
              <a16:creationId xmlns:a16="http://schemas.microsoft.com/office/drawing/2014/main" id="{00000000-0008-0000-0400-0000C5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46" name="Text Box 2">
          <a:extLst>
            <a:ext uri="{FF2B5EF4-FFF2-40B4-BE49-F238E27FC236}">
              <a16:creationId xmlns:a16="http://schemas.microsoft.com/office/drawing/2014/main" id="{00000000-0008-0000-0400-0000C6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47" name="Text Box 2">
          <a:extLst>
            <a:ext uri="{FF2B5EF4-FFF2-40B4-BE49-F238E27FC236}">
              <a16:creationId xmlns:a16="http://schemas.microsoft.com/office/drawing/2014/main" id="{00000000-0008-0000-0400-0000C7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48" name="Text Box 2">
          <a:extLst>
            <a:ext uri="{FF2B5EF4-FFF2-40B4-BE49-F238E27FC236}">
              <a16:creationId xmlns:a16="http://schemas.microsoft.com/office/drawing/2014/main" id="{00000000-0008-0000-0400-0000C8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49" name="Text Box 2">
          <a:extLst>
            <a:ext uri="{FF2B5EF4-FFF2-40B4-BE49-F238E27FC236}">
              <a16:creationId xmlns:a16="http://schemas.microsoft.com/office/drawing/2014/main" id="{00000000-0008-0000-0400-0000C9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50" name="Text Box 2">
          <a:extLst>
            <a:ext uri="{FF2B5EF4-FFF2-40B4-BE49-F238E27FC236}">
              <a16:creationId xmlns:a16="http://schemas.microsoft.com/office/drawing/2014/main" id="{00000000-0008-0000-0400-0000CA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51" name="Text Box 2">
          <a:extLst>
            <a:ext uri="{FF2B5EF4-FFF2-40B4-BE49-F238E27FC236}">
              <a16:creationId xmlns:a16="http://schemas.microsoft.com/office/drawing/2014/main" id="{00000000-0008-0000-0400-0000CB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52" name="Text Box 2">
          <a:extLst>
            <a:ext uri="{FF2B5EF4-FFF2-40B4-BE49-F238E27FC236}">
              <a16:creationId xmlns:a16="http://schemas.microsoft.com/office/drawing/2014/main" id="{00000000-0008-0000-0400-0000CC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53" name="Text Box 2">
          <a:extLst>
            <a:ext uri="{FF2B5EF4-FFF2-40B4-BE49-F238E27FC236}">
              <a16:creationId xmlns:a16="http://schemas.microsoft.com/office/drawing/2014/main" id="{00000000-0008-0000-0400-0000CD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54" name="Text Box 2">
          <a:extLst>
            <a:ext uri="{FF2B5EF4-FFF2-40B4-BE49-F238E27FC236}">
              <a16:creationId xmlns:a16="http://schemas.microsoft.com/office/drawing/2014/main" id="{00000000-0008-0000-0400-0000CE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55" name="Text Box 2">
          <a:extLst>
            <a:ext uri="{FF2B5EF4-FFF2-40B4-BE49-F238E27FC236}">
              <a16:creationId xmlns:a16="http://schemas.microsoft.com/office/drawing/2014/main" id="{00000000-0008-0000-0400-0000CF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56" name="Text Box 2">
          <a:extLst>
            <a:ext uri="{FF2B5EF4-FFF2-40B4-BE49-F238E27FC236}">
              <a16:creationId xmlns:a16="http://schemas.microsoft.com/office/drawing/2014/main" id="{00000000-0008-0000-0400-0000D0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57" name="Text Box 2">
          <a:extLst>
            <a:ext uri="{FF2B5EF4-FFF2-40B4-BE49-F238E27FC236}">
              <a16:creationId xmlns:a16="http://schemas.microsoft.com/office/drawing/2014/main" id="{00000000-0008-0000-0400-0000D1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58" name="Text Box 2">
          <a:extLst>
            <a:ext uri="{FF2B5EF4-FFF2-40B4-BE49-F238E27FC236}">
              <a16:creationId xmlns:a16="http://schemas.microsoft.com/office/drawing/2014/main" id="{00000000-0008-0000-0400-0000D2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59" name="Text Box 2">
          <a:extLst>
            <a:ext uri="{FF2B5EF4-FFF2-40B4-BE49-F238E27FC236}">
              <a16:creationId xmlns:a16="http://schemas.microsoft.com/office/drawing/2014/main" id="{00000000-0008-0000-0400-0000D3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60" name="Text Box 2">
          <a:extLst>
            <a:ext uri="{FF2B5EF4-FFF2-40B4-BE49-F238E27FC236}">
              <a16:creationId xmlns:a16="http://schemas.microsoft.com/office/drawing/2014/main" id="{00000000-0008-0000-0400-0000D4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61" name="Text Box 2">
          <a:extLst>
            <a:ext uri="{FF2B5EF4-FFF2-40B4-BE49-F238E27FC236}">
              <a16:creationId xmlns:a16="http://schemas.microsoft.com/office/drawing/2014/main" id="{00000000-0008-0000-0400-0000D5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62" name="Text Box 2">
          <a:extLst>
            <a:ext uri="{FF2B5EF4-FFF2-40B4-BE49-F238E27FC236}">
              <a16:creationId xmlns:a16="http://schemas.microsoft.com/office/drawing/2014/main" id="{00000000-0008-0000-0400-0000D6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63" name="Text Box 2">
          <a:extLst>
            <a:ext uri="{FF2B5EF4-FFF2-40B4-BE49-F238E27FC236}">
              <a16:creationId xmlns:a16="http://schemas.microsoft.com/office/drawing/2014/main" id="{00000000-0008-0000-0400-0000D7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64" name="Text Box 2">
          <a:extLst>
            <a:ext uri="{FF2B5EF4-FFF2-40B4-BE49-F238E27FC236}">
              <a16:creationId xmlns:a16="http://schemas.microsoft.com/office/drawing/2014/main" id="{00000000-0008-0000-0400-0000D8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65" name="Text Box 2">
          <a:extLst>
            <a:ext uri="{FF2B5EF4-FFF2-40B4-BE49-F238E27FC236}">
              <a16:creationId xmlns:a16="http://schemas.microsoft.com/office/drawing/2014/main" id="{00000000-0008-0000-0400-0000D9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66" name="Text Box 2">
          <a:extLst>
            <a:ext uri="{FF2B5EF4-FFF2-40B4-BE49-F238E27FC236}">
              <a16:creationId xmlns:a16="http://schemas.microsoft.com/office/drawing/2014/main" id="{00000000-0008-0000-0400-0000DA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67" name="Text Box 2">
          <a:extLst>
            <a:ext uri="{FF2B5EF4-FFF2-40B4-BE49-F238E27FC236}">
              <a16:creationId xmlns:a16="http://schemas.microsoft.com/office/drawing/2014/main" id="{00000000-0008-0000-0400-0000DB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68" name="Text Box 2">
          <a:extLst>
            <a:ext uri="{FF2B5EF4-FFF2-40B4-BE49-F238E27FC236}">
              <a16:creationId xmlns:a16="http://schemas.microsoft.com/office/drawing/2014/main" id="{00000000-0008-0000-0400-0000DC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69" name="Text Box 2">
          <a:extLst>
            <a:ext uri="{FF2B5EF4-FFF2-40B4-BE49-F238E27FC236}">
              <a16:creationId xmlns:a16="http://schemas.microsoft.com/office/drawing/2014/main" id="{00000000-0008-0000-0400-0000DD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70" name="Text Box 2">
          <a:extLst>
            <a:ext uri="{FF2B5EF4-FFF2-40B4-BE49-F238E27FC236}">
              <a16:creationId xmlns:a16="http://schemas.microsoft.com/office/drawing/2014/main" id="{00000000-0008-0000-0400-0000DE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71" name="Text Box 2">
          <a:extLst>
            <a:ext uri="{FF2B5EF4-FFF2-40B4-BE49-F238E27FC236}">
              <a16:creationId xmlns:a16="http://schemas.microsoft.com/office/drawing/2014/main" id="{00000000-0008-0000-0400-0000DF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72" name="Text Box 2">
          <a:extLst>
            <a:ext uri="{FF2B5EF4-FFF2-40B4-BE49-F238E27FC236}">
              <a16:creationId xmlns:a16="http://schemas.microsoft.com/office/drawing/2014/main" id="{00000000-0008-0000-0400-0000E0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73" name="Text Box 2">
          <a:extLst>
            <a:ext uri="{FF2B5EF4-FFF2-40B4-BE49-F238E27FC236}">
              <a16:creationId xmlns:a16="http://schemas.microsoft.com/office/drawing/2014/main" id="{00000000-0008-0000-0400-0000E1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74" name="Text Box 2">
          <a:extLst>
            <a:ext uri="{FF2B5EF4-FFF2-40B4-BE49-F238E27FC236}">
              <a16:creationId xmlns:a16="http://schemas.microsoft.com/office/drawing/2014/main" id="{00000000-0008-0000-0400-0000E2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75" name="Text Box 2">
          <a:extLst>
            <a:ext uri="{FF2B5EF4-FFF2-40B4-BE49-F238E27FC236}">
              <a16:creationId xmlns:a16="http://schemas.microsoft.com/office/drawing/2014/main" id="{00000000-0008-0000-0400-0000E3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76" name="Text Box 2">
          <a:extLst>
            <a:ext uri="{FF2B5EF4-FFF2-40B4-BE49-F238E27FC236}">
              <a16:creationId xmlns:a16="http://schemas.microsoft.com/office/drawing/2014/main" id="{00000000-0008-0000-0400-0000E4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77" name="Text Box 2">
          <a:extLst>
            <a:ext uri="{FF2B5EF4-FFF2-40B4-BE49-F238E27FC236}">
              <a16:creationId xmlns:a16="http://schemas.microsoft.com/office/drawing/2014/main" id="{00000000-0008-0000-0400-0000E5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78" name="Text Box 2">
          <a:extLst>
            <a:ext uri="{FF2B5EF4-FFF2-40B4-BE49-F238E27FC236}">
              <a16:creationId xmlns:a16="http://schemas.microsoft.com/office/drawing/2014/main" id="{00000000-0008-0000-0400-0000E6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79" name="Text Box 2">
          <a:extLst>
            <a:ext uri="{FF2B5EF4-FFF2-40B4-BE49-F238E27FC236}">
              <a16:creationId xmlns:a16="http://schemas.microsoft.com/office/drawing/2014/main" id="{00000000-0008-0000-0400-0000E7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80" name="Text Box 2">
          <a:extLst>
            <a:ext uri="{FF2B5EF4-FFF2-40B4-BE49-F238E27FC236}">
              <a16:creationId xmlns:a16="http://schemas.microsoft.com/office/drawing/2014/main" id="{00000000-0008-0000-0400-0000E8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81" name="Text Box 2">
          <a:extLst>
            <a:ext uri="{FF2B5EF4-FFF2-40B4-BE49-F238E27FC236}">
              <a16:creationId xmlns:a16="http://schemas.microsoft.com/office/drawing/2014/main" id="{00000000-0008-0000-0400-0000E9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82" name="Text Box 2">
          <a:extLst>
            <a:ext uri="{FF2B5EF4-FFF2-40B4-BE49-F238E27FC236}">
              <a16:creationId xmlns:a16="http://schemas.microsoft.com/office/drawing/2014/main" id="{00000000-0008-0000-0400-0000EA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83" name="Text Box 2">
          <a:extLst>
            <a:ext uri="{FF2B5EF4-FFF2-40B4-BE49-F238E27FC236}">
              <a16:creationId xmlns:a16="http://schemas.microsoft.com/office/drawing/2014/main" id="{00000000-0008-0000-0400-0000EB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84" name="Text Box 2">
          <a:extLst>
            <a:ext uri="{FF2B5EF4-FFF2-40B4-BE49-F238E27FC236}">
              <a16:creationId xmlns:a16="http://schemas.microsoft.com/office/drawing/2014/main" id="{00000000-0008-0000-0400-0000EC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85" name="Text Box 2">
          <a:extLst>
            <a:ext uri="{FF2B5EF4-FFF2-40B4-BE49-F238E27FC236}">
              <a16:creationId xmlns:a16="http://schemas.microsoft.com/office/drawing/2014/main" id="{00000000-0008-0000-0400-0000ED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86" name="Text Box 2">
          <a:extLst>
            <a:ext uri="{FF2B5EF4-FFF2-40B4-BE49-F238E27FC236}">
              <a16:creationId xmlns:a16="http://schemas.microsoft.com/office/drawing/2014/main" id="{00000000-0008-0000-0400-0000EE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87" name="Text Box 2">
          <a:extLst>
            <a:ext uri="{FF2B5EF4-FFF2-40B4-BE49-F238E27FC236}">
              <a16:creationId xmlns:a16="http://schemas.microsoft.com/office/drawing/2014/main" id="{00000000-0008-0000-0400-0000EF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88" name="Text Box 2">
          <a:extLst>
            <a:ext uri="{FF2B5EF4-FFF2-40B4-BE49-F238E27FC236}">
              <a16:creationId xmlns:a16="http://schemas.microsoft.com/office/drawing/2014/main" id="{00000000-0008-0000-0400-0000F0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89" name="Text Box 2">
          <a:extLst>
            <a:ext uri="{FF2B5EF4-FFF2-40B4-BE49-F238E27FC236}">
              <a16:creationId xmlns:a16="http://schemas.microsoft.com/office/drawing/2014/main" id="{00000000-0008-0000-0400-0000F1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90" name="Text Box 2">
          <a:extLst>
            <a:ext uri="{FF2B5EF4-FFF2-40B4-BE49-F238E27FC236}">
              <a16:creationId xmlns:a16="http://schemas.microsoft.com/office/drawing/2014/main" id="{00000000-0008-0000-0400-0000F2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91" name="Text Box 2">
          <a:extLst>
            <a:ext uri="{FF2B5EF4-FFF2-40B4-BE49-F238E27FC236}">
              <a16:creationId xmlns:a16="http://schemas.microsoft.com/office/drawing/2014/main" id="{00000000-0008-0000-0400-0000F3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92" name="Text Box 2">
          <a:extLst>
            <a:ext uri="{FF2B5EF4-FFF2-40B4-BE49-F238E27FC236}">
              <a16:creationId xmlns:a16="http://schemas.microsoft.com/office/drawing/2014/main" id="{00000000-0008-0000-0400-0000F4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93" name="Text Box 2">
          <a:extLst>
            <a:ext uri="{FF2B5EF4-FFF2-40B4-BE49-F238E27FC236}">
              <a16:creationId xmlns:a16="http://schemas.microsoft.com/office/drawing/2014/main" id="{00000000-0008-0000-0400-0000F5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94" name="Text Box 2">
          <a:extLst>
            <a:ext uri="{FF2B5EF4-FFF2-40B4-BE49-F238E27FC236}">
              <a16:creationId xmlns:a16="http://schemas.microsoft.com/office/drawing/2014/main" id="{00000000-0008-0000-0400-0000F6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95" name="Text Box 2">
          <a:extLst>
            <a:ext uri="{FF2B5EF4-FFF2-40B4-BE49-F238E27FC236}">
              <a16:creationId xmlns:a16="http://schemas.microsoft.com/office/drawing/2014/main" id="{00000000-0008-0000-0400-0000F7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96" name="Text Box 2">
          <a:extLst>
            <a:ext uri="{FF2B5EF4-FFF2-40B4-BE49-F238E27FC236}">
              <a16:creationId xmlns:a16="http://schemas.microsoft.com/office/drawing/2014/main" id="{00000000-0008-0000-0400-0000F8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97" name="Text Box 2">
          <a:extLst>
            <a:ext uri="{FF2B5EF4-FFF2-40B4-BE49-F238E27FC236}">
              <a16:creationId xmlns:a16="http://schemas.microsoft.com/office/drawing/2014/main" id="{00000000-0008-0000-0400-0000F9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98" name="Text Box 2">
          <a:extLst>
            <a:ext uri="{FF2B5EF4-FFF2-40B4-BE49-F238E27FC236}">
              <a16:creationId xmlns:a16="http://schemas.microsoft.com/office/drawing/2014/main" id="{00000000-0008-0000-0400-0000FA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299" name="Text Box 2">
          <a:extLst>
            <a:ext uri="{FF2B5EF4-FFF2-40B4-BE49-F238E27FC236}">
              <a16:creationId xmlns:a16="http://schemas.microsoft.com/office/drawing/2014/main" id="{00000000-0008-0000-0400-0000FB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00" name="Text Box 2">
          <a:extLst>
            <a:ext uri="{FF2B5EF4-FFF2-40B4-BE49-F238E27FC236}">
              <a16:creationId xmlns:a16="http://schemas.microsoft.com/office/drawing/2014/main" id="{00000000-0008-0000-0400-0000FC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01" name="Text Box 2">
          <a:extLst>
            <a:ext uri="{FF2B5EF4-FFF2-40B4-BE49-F238E27FC236}">
              <a16:creationId xmlns:a16="http://schemas.microsoft.com/office/drawing/2014/main" id="{00000000-0008-0000-0400-0000FD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02" name="Text Box 2">
          <a:extLst>
            <a:ext uri="{FF2B5EF4-FFF2-40B4-BE49-F238E27FC236}">
              <a16:creationId xmlns:a16="http://schemas.microsoft.com/office/drawing/2014/main" id="{00000000-0008-0000-0400-0000FE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03" name="Text Box 2">
          <a:extLst>
            <a:ext uri="{FF2B5EF4-FFF2-40B4-BE49-F238E27FC236}">
              <a16:creationId xmlns:a16="http://schemas.microsoft.com/office/drawing/2014/main" id="{00000000-0008-0000-0400-0000FF08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04" name="Text Box 2">
          <a:extLst>
            <a:ext uri="{FF2B5EF4-FFF2-40B4-BE49-F238E27FC236}">
              <a16:creationId xmlns:a16="http://schemas.microsoft.com/office/drawing/2014/main" id="{00000000-0008-0000-0400-000000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05" name="Text Box 2">
          <a:extLst>
            <a:ext uri="{FF2B5EF4-FFF2-40B4-BE49-F238E27FC236}">
              <a16:creationId xmlns:a16="http://schemas.microsoft.com/office/drawing/2014/main" id="{00000000-0008-0000-0400-000001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06" name="Text Box 2">
          <a:extLst>
            <a:ext uri="{FF2B5EF4-FFF2-40B4-BE49-F238E27FC236}">
              <a16:creationId xmlns:a16="http://schemas.microsoft.com/office/drawing/2014/main" id="{00000000-0008-0000-0400-000002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07" name="Text Box 2">
          <a:extLst>
            <a:ext uri="{FF2B5EF4-FFF2-40B4-BE49-F238E27FC236}">
              <a16:creationId xmlns:a16="http://schemas.microsoft.com/office/drawing/2014/main" id="{00000000-0008-0000-0400-000003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08" name="Text Box 2">
          <a:extLst>
            <a:ext uri="{FF2B5EF4-FFF2-40B4-BE49-F238E27FC236}">
              <a16:creationId xmlns:a16="http://schemas.microsoft.com/office/drawing/2014/main" id="{00000000-0008-0000-0400-000004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09" name="Text Box 2">
          <a:extLst>
            <a:ext uri="{FF2B5EF4-FFF2-40B4-BE49-F238E27FC236}">
              <a16:creationId xmlns:a16="http://schemas.microsoft.com/office/drawing/2014/main" id="{00000000-0008-0000-0400-000005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10" name="Text Box 2">
          <a:extLst>
            <a:ext uri="{FF2B5EF4-FFF2-40B4-BE49-F238E27FC236}">
              <a16:creationId xmlns:a16="http://schemas.microsoft.com/office/drawing/2014/main" id="{00000000-0008-0000-0400-000006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11" name="Text Box 2">
          <a:extLst>
            <a:ext uri="{FF2B5EF4-FFF2-40B4-BE49-F238E27FC236}">
              <a16:creationId xmlns:a16="http://schemas.microsoft.com/office/drawing/2014/main" id="{00000000-0008-0000-0400-000007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12" name="Text Box 2">
          <a:extLst>
            <a:ext uri="{FF2B5EF4-FFF2-40B4-BE49-F238E27FC236}">
              <a16:creationId xmlns:a16="http://schemas.microsoft.com/office/drawing/2014/main" id="{00000000-0008-0000-0400-000008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13" name="Text Box 2">
          <a:extLst>
            <a:ext uri="{FF2B5EF4-FFF2-40B4-BE49-F238E27FC236}">
              <a16:creationId xmlns:a16="http://schemas.microsoft.com/office/drawing/2014/main" id="{00000000-0008-0000-0400-000009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14" name="Text Box 2">
          <a:extLst>
            <a:ext uri="{FF2B5EF4-FFF2-40B4-BE49-F238E27FC236}">
              <a16:creationId xmlns:a16="http://schemas.microsoft.com/office/drawing/2014/main" id="{00000000-0008-0000-0400-00000A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15" name="Text Box 2">
          <a:extLst>
            <a:ext uri="{FF2B5EF4-FFF2-40B4-BE49-F238E27FC236}">
              <a16:creationId xmlns:a16="http://schemas.microsoft.com/office/drawing/2014/main" id="{00000000-0008-0000-0400-00000B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16" name="Text Box 2">
          <a:extLst>
            <a:ext uri="{FF2B5EF4-FFF2-40B4-BE49-F238E27FC236}">
              <a16:creationId xmlns:a16="http://schemas.microsoft.com/office/drawing/2014/main" id="{00000000-0008-0000-0400-00000C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17" name="Text Box 2">
          <a:extLst>
            <a:ext uri="{FF2B5EF4-FFF2-40B4-BE49-F238E27FC236}">
              <a16:creationId xmlns:a16="http://schemas.microsoft.com/office/drawing/2014/main" id="{00000000-0008-0000-0400-00000D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18" name="Text Box 2">
          <a:extLst>
            <a:ext uri="{FF2B5EF4-FFF2-40B4-BE49-F238E27FC236}">
              <a16:creationId xmlns:a16="http://schemas.microsoft.com/office/drawing/2014/main" id="{00000000-0008-0000-0400-00000E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319" name="Text Box 2">
          <a:extLst>
            <a:ext uri="{FF2B5EF4-FFF2-40B4-BE49-F238E27FC236}">
              <a16:creationId xmlns:a16="http://schemas.microsoft.com/office/drawing/2014/main" id="{00000000-0008-0000-0400-00000F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20" name="Text Box 2">
          <a:extLst>
            <a:ext uri="{FF2B5EF4-FFF2-40B4-BE49-F238E27FC236}">
              <a16:creationId xmlns:a16="http://schemas.microsoft.com/office/drawing/2014/main" id="{00000000-0008-0000-0400-000010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21" name="Text Box 2">
          <a:extLst>
            <a:ext uri="{FF2B5EF4-FFF2-40B4-BE49-F238E27FC236}">
              <a16:creationId xmlns:a16="http://schemas.microsoft.com/office/drawing/2014/main" id="{00000000-0008-0000-0400-000011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22" name="Text Box 2">
          <a:extLst>
            <a:ext uri="{FF2B5EF4-FFF2-40B4-BE49-F238E27FC236}">
              <a16:creationId xmlns:a16="http://schemas.microsoft.com/office/drawing/2014/main" id="{00000000-0008-0000-0400-000012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23" name="Text Box 2">
          <a:extLst>
            <a:ext uri="{FF2B5EF4-FFF2-40B4-BE49-F238E27FC236}">
              <a16:creationId xmlns:a16="http://schemas.microsoft.com/office/drawing/2014/main" id="{00000000-0008-0000-0400-000013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24" name="Text Box 2">
          <a:extLst>
            <a:ext uri="{FF2B5EF4-FFF2-40B4-BE49-F238E27FC236}">
              <a16:creationId xmlns:a16="http://schemas.microsoft.com/office/drawing/2014/main" id="{00000000-0008-0000-0400-000014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25" name="Text Box 2">
          <a:extLst>
            <a:ext uri="{FF2B5EF4-FFF2-40B4-BE49-F238E27FC236}">
              <a16:creationId xmlns:a16="http://schemas.microsoft.com/office/drawing/2014/main" id="{00000000-0008-0000-0400-000015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26" name="Text Box 2">
          <a:extLst>
            <a:ext uri="{FF2B5EF4-FFF2-40B4-BE49-F238E27FC236}">
              <a16:creationId xmlns:a16="http://schemas.microsoft.com/office/drawing/2014/main" id="{00000000-0008-0000-0400-000016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27" name="Text Box 2">
          <a:extLst>
            <a:ext uri="{FF2B5EF4-FFF2-40B4-BE49-F238E27FC236}">
              <a16:creationId xmlns:a16="http://schemas.microsoft.com/office/drawing/2014/main" id="{00000000-0008-0000-0400-000017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28" name="Text Box 2">
          <a:extLst>
            <a:ext uri="{FF2B5EF4-FFF2-40B4-BE49-F238E27FC236}">
              <a16:creationId xmlns:a16="http://schemas.microsoft.com/office/drawing/2014/main" id="{00000000-0008-0000-0400-000018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29" name="Text Box 2">
          <a:extLst>
            <a:ext uri="{FF2B5EF4-FFF2-40B4-BE49-F238E27FC236}">
              <a16:creationId xmlns:a16="http://schemas.microsoft.com/office/drawing/2014/main" id="{00000000-0008-0000-0400-000019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30" name="Text Box 2">
          <a:extLst>
            <a:ext uri="{FF2B5EF4-FFF2-40B4-BE49-F238E27FC236}">
              <a16:creationId xmlns:a16="http://schemas.microsoft.com/office/drawing/2014/main" id="{00000000-0008-0000-0400-00001A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31" name="Text Box 2">
          <a:extLst>
            <a:ext uri="{FF2B5EF4-FFF2-40B4-BE49-F238E27FC236}">
              <a16:creationId xmlns:a16="http://schemas.microsoft.com/office/drawing/2014/main" id="{00000000-0008-0000-0400-00001B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32" name="Text Box 2">
          <a:extLst>
            <a:ext uri="{FF2B5EF4-FFF2-40B4-BE49-F238E27FC236}">
              <a16:creationId xmlns:a16="http://schemas.microsoft.com/office/drawing/2014/main" id="{00000000-0008-0000-0400-00001C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33" name="Text Box 2">
          <a:extLst>
            <a:ext uri="{FF2B5EF4-FFF2-40B4-BE49-F238E27FC236}">
              <a16:creationId xmlns:a16="http://schemas.microsoft.com/office/drawing/2014/main" id="{00000000-0008-0000-0400-00001D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34" name="Text Box 2">
          <a:extLst>
            <a:ext uri="{FF2B5EF4-FFF2-40B4-BE49-F238E27FC236}">
              <a16:creationId xmlns:a16="http://schemas.microsoft.com/office/drawing/2014/main" id="{00000000-0008-0000-0400-00001E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35" name="Text Box 2">
          <a:extLst>
            <a:ext uri="{FF2B5EF4-FFF2-40B4-BE49-F238E27FC236}">
              <a16:creationId xmlns:a16="http://schemas.microsoft.com/office/drawing/2014/main" id="{00000000-0008-0000-0400-00001F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36" name="Text Box 2">
          <a:extLst>
            <a:ext uri="{FF2B5EF4-FFF2-40B4-BE49-F238E27FC236}">
              <a16:creationId xmlns:a16="http://schemas.microsoft.com/office/drawing/2014/main" id="{00000000-0008-0000-0400-000020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37" name="Text Box 2">
          <a:extLst>
            <a:ext uri="{FF2B5EF4-FFF2-40B4-BE49-F238E27FC236}">
              <a16:creationId xmlns:a16="http://schemas.microsoft.com/office/drawing/2014/main" id="{00000000-0008-0000-0400-000021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38" name="Text Box 2">
          <a:extLst>
            <a:ext uri="{FF2B5EF4-FFF2-40B4-BE49-F238E27FC236}">
              <a16:creationId xmlns:a16="http://schemas.microsoft.com/office/drawing/2014/main" id="{00000000-0008-0000-0400-000022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39" name="Text Box 2">
          <a:extLst>
            <a:ext uri="{FF2B5EF4-FFF2-40B4-BE49-F238E27FC236}">
              <a16:creationId xmlns:a16="http://schemas.microsoft.com/office/drawing/2014/main" id="{00000000-0008-0000-0400-000023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40" name="Text Box 2">
          <a:extLst>
            <a:ext uri="{FF2B5EF4-FFF2-40B4-BE49-F238E27FC236}">
              <a16:creationId xmlns:a16="http://schemas.microsoft.com/office/drawing/2014/main" id="{00000000-0008-0000-0400-000024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41" name="Text Box 2">
          <a:extLst>
            <a:ext uri="{FF2B5EF4-FFF2-40B4-BE49-F238E27FC236}">
              <a16:creationId xmlns:a16="http://schemas.microsoft.com/office/drawing/2014/main" id="{00000000-0008-0000-0400-000025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42" name="Text Box 2">
          <a:extLst>
            <a:ext uri="{FF2B5EF4-FFF2-40B4-BE49-F238E27FC236}">
              <a16:creationId xmlns:a16="http://schemas.microsoft.com/office/drawing/2014/main" id="{00000000-0008-0000-0400-000026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43" name="Text Box 2">
          <a:extLst>
            <a:ext uri="{FF2B5EF4-FFF2-40B4-BE49-F238E27FC236}">
              <a16:creationId xmlns:a16="http://schemas.microsoft.com/office/drawing/2014/main" id="{00000000-0008-0000-0400-000027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44" name="Text Box 2">
          <a:extLst>
            <a:ext uri="{FF2B5EF4-FFF2-40B4-BE49-F238E27FC236}">
              <a16:creationId xmlns:a16="http://schemas.microsoft.com/office/drawing/2014/main" id="{00000000-0008-0000-0400-000028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45" name="Text Box 2">
          <a:extLst>
            <a:ext uri="{FF2B5EF4-FFF2-40B4-BE49-F238E27FC236}">
              <a16:creationId xmlns:a16="http://schemas.microsoft.com/office/drawing/2014/main" id="{00000000-0008-0000-0400-000029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46" name="Text Box 2">
          <a:extLst>
            <a:ext uri="{FF2B5EF4-FFF2-40B4-BE49-F238E27FC236}">
              <a16:creationId xmlns:a16="http://schemas.microsoft.com/office/drawing/2014/main" id="{00000000-0008-0000-0400-00002A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47" name="Text Box 2">
          <a:extLst>
            <a:ext uri="{FF2B5EF4-FFF2-40B4-BE49-F238E27FC236}">
              <a16:creationId xmlns:a16="http://schemas.microsoft.com/office/drawing/2014/main" id="{00000000-0008-0000-0400-00002B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48" name="Text Box 2">
          <a:extLst>
            <a:ext uri="{FF2B5EF4-FFF2-40B4-BE49-F238E27FC236}">
              <a16:creationId xmlns:a16="http://schemas.microsoft.com/office/drawing/2014/main" id="{00000000-0008-0000-0400-00002C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49" name="Text Box 2">
          <a:extLst>
            <a:ext uri="{FF2B5EF4-FFF2-40B4-BE49-F238E27FC236}">
              <a16:creationId xmlns:a16="http://schemas.microsoft.com/office/drawing/2014/main" id="{00000000-0008-0000-0400-00002D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50" name="Text Box 2">
          <a:extLst>
            <a:ext uri="{FF2B5EF4-FFF2-40B4-BE49-F238E27FC236}">
              <a16:creationId xmlns:a16="http://schemas.microsoft.com/office/drawing/2014/main" id="{00000000-0008-0000-0400-00002E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51" name="Text Box 2">
          <a:extLst>
            <a:ext uri="{FF2B5EF4-FFF2-40B4-BE49-F238E27FC236}">
              <a16:creationId xmlns:a16="http://schemas.microsoft.com/office/drawing/2014/main" id="{00000000-0008-0000-0400-00002F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52" name="Text Box 2">
          <a:extLst>
            <a:ext uri="{FF2B5EF4-FFF2-40B4-BE49-F238E27FC236}">
              <a16:creationId xmlns:a16="http://schemas.microsoft.com/office/drawing/2014/main" id="{00000000-0008-0000-0400-000030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53" name="Text Box 2">
          <a:extLst>
            <a:ext uri="{FF2B5EF4-FFF2-40B4-BE49-F238E27FC236}">
              <a16:creationId xmlns:a16="http://schemas.microsoft.com/office/drawing/2014/main" id="{00000000-0008-0000-0400-000031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54" name="Text Box 2">
          <a:extLst>
            <a:ext uri="{FF2B5EF4-FFF2-40B4-BE49-F238E27FC236}">
              <a16:creationId xmlns:a16="http://schemas.microsoft.com/office/drawing/2014/main" id="{00000000-0008-0000-0400-000032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55" name="Text Box 2">
          <a:extLst>
            <a:ext uri="{FF2B5EF4-FFF2-40B4-BE49-F238E27FC236}">
              <a16:creationId xmlns:a16="http://schemas.microsoft.com/office/drawing/2014/main" id="{00000000-0008-0000-0400-000033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56" name="Text Box 2">
          <a:extLst>
            <a:ext uri="{FF2B5EF4-FFF2-40B4-BE49-F238E27FC236}">
              <a16:creationId xmlns:a16="http://schemas.microsoft.com/office/drawing/2014/main" id="{00000000-0008-0000-0400-000034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57" name="Text Box 2">
          <a:extLst>
            <a:ext uri="{FF2B5EF4-FFF2-40B4-BE49-F238E27FC236}">
              <a16:creationId xmlns:a16="http://schemas.microsoft.com/office/drawing/2014/main" id="{00000000-0008-0000-0400-000035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58" name="Text Box 2">
          <a:extLst>
            <a:ext uri="{FF2B5EF4-FFF2-40B4-BE49-F238E27FC236}">
              <a16:creationId xmlns:a16="http://schemas.microsoft.com/office/drawing/2014/main" id="{00000000-0008-0000-0400-000036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59" name="Text Box 2">
          <a:extLst>
            <a:ext uri="{FF2B5EF4-FFF2-40B4-BE49-F238E27FC236}">
              <a16:creationId xmlns:a16="http://schemas.microsoft.com/office/drawing/2014/main" id="{00000000-0008-0000-0400-000037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60" name="Text Box 2">
          <a:extLst>
            <a:ext uri="{FF2B5EF4-FFF2-40B4-BE49-F238E27FC236}">
              <a16:creationId xmlns:a16="http://schemas.microsoft.com/office/drawing/2014/main" id="{00000000-0008-0000-0400-000038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61" name="Text Box 2">
          <a:extLst>
            <a:ext uri="{FF2B5EF4-FFF2-40B4-BE49-F238E27FC236}">
              <a16:creationId xmlns:a16="http://schemas.microsoft.com/office/drawing/2014/main" id="{00000000-0008-0000-0400-000039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62" name="Text Box 2">
          <a:extLst>
            <a:ext uri="{FF2B5EF4-FFF2-40B4-BE49-F238E27FC236}">
              <a16:creationId xmlns:a16="http://schemas.microsoft.com/office/drawing/2014/main" id="{00000000-0008-0000-0400-00003A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63" name="Text Box 2">
          <a:extLst>
            <a:ext uri="{FF2B5EF4-FFF2-40B4-BE49-F238E27FC236}">
              <a16:creationId xmlns:a16="http://schemas.microsoft.com/office/drawing/2014/main" id="{00000000-0008-0000-0400-00003B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64" name="Text Box 2">
          <a:extLst>
            <a:ext uri="{FF2B5EF4-FFF2-40B4-BE49-F238E27FC236}">
              <a16:creationId xmlns:a16="http://schemas.microsoft.com/office/drawing/2014/main" id="{00000000-0008-0000-0400-00003C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65" name="Text Box 2">
          <a:extLst>
            <a:ext uri="{FF2B5EF4-FFF2-40B4-BE49-F238E27FC236}">
              <a16:creationId xmlns:a16="http://schemas.microsoft.com/office/drawing/2014/main" id="{00000000-0008-0000-0400-00003D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66" name="Text Box 2">
          <a:extLst>
            <a:ext uri="{FF2B5EF4-FFF2-40B4-BE49-F238E27FC236}">
              <a16:creationId xmlns:a16="http://schemas.microsoft.com/office/drawing/2014/main" id="{00000000-0008-0000-0400-00003E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67" name="Text Box 2">
          <a:extLst>
            <a:ext uri="{FF2B5EF4-FFF2-40B4-BE49-F238E27FC236}">
              <a16:creationId xmlns:a16="http://schemas.microsoft.com/office/drawing/2014/main" id="{00000000-0008-0000-0400-00003F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68" name="Text Box 2">
          <a:extLst>
            <a:ext uri="{FF2B5EF4-FFF2-40B4-BE49-F238E27FC236}">
              <a16:creationId xmlns:a16="http://schemas.microsoft.com/office/drawing/2014/main" id="{00000000-0008-0000-0400-000040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69" name="Text Box 2">
          <a:extLst>
            <a:ext uri="{FF2B5EF4-FFF2-40B4-BE49-F238E27FC236}">
              <a16:creationId xmlns:a16="http://schemas.microsoft.com/office/drawing/2014/main" id="{00000000-0008-0000-0400-000041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70" name="Text Box 2">
          <a:extLst>
            <a:ext uri="{FF2B5EF4-FFF2-40B4-BE49-F238E27FC236}">
              <a16:creationId xmlns:a16="http://schemas.microsoft.com/office/drawing/2014/main" id="{00000000-0008-0000-0400-000042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71" name="Text Box 2">
          <a:extLst>
            <a:ext uri="{FF2B5EF4-FFF2-40B4-BE49-F238E27FC236}">
              <a16:creationId xmlns:a16="http://schemas.microsoft.com/office/drawing/2014/main" id="{00000000-0008-0000-0400-000043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72" name="Text Box 2">
          <a:extLst>
            <a:ext uri="{FF2B5EF4-FFF2-40B4-BE49-F238E27FC236}">
              <a16:creationId xmlns:a16="http://schemas.microsoft.com/office/drawing/2014/main" id="{00000000-0008-0000-0400-000044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73" name="Text Box 2">
          <a:extLst>
            <a:ext uri="{FF2B5EF4-FFF2-40B4-BE49-F238E27FC236}">
              <a16:creationId xmlns:a16="http://schemas.microsoft.com/office/drawing/2014/main" id="{00000000-0008-0000-0400-000045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74" name="Text Box 2">
          <a:extLst>
            <a:ext uri="{FF2B5EF4-FFF2-40B4-BE49-F238E27FC236}">
              <a16:creationId xmlns:a16="http://schemas.microsoft.com/office/drawing/2014/main" id="{00000000-0008-0000-0400-000046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75" name="Text Box 2">
          <a:extLst>
            <a:ext uri="{FF2B5EF4-FFF2-40B4-BE49-F238E27FC236}">
              <a16:creationId xmlns:a16="http://schemas.microsoft.com/office/drawing/2014/main" id="{00000000-0008-0000-0400-000047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76" name="Text Box 2">
          <a:extLst>
            <a:ext uri="{FF2B5EF4-FFF2-40B4-BE49-F238E27FC236}">
              <a16:creationId xmlns:a16="http://schemas.microsoft.com/office/drawing/2014/main" id="{00000000-0008-0000-0400-000048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77" name="Text Box 2">
          <a:extLst>
            <a:ext uri="{FF2B5EF4-FFF2-40B4-BE49-F238E27FC236}">
              <a16:creationId xmlns:a16="http://schemas.microsoft.com/office/drawing/2014/main" id="{00000000-0008-0000-0400-000049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78" name="Text Box 2">
          <a:extLst>
            <a:ext uri="{FF2B5EF4-FFF2-40B4-BE49-F238E27FC236}">
              <a16:creationId xmlns:a16="http://schemas.microsoft.com/office/drawing/2014/main" id="{00000000-0008-0000-0400-00004A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79" name="Text Box 2">
          <a:extLst>
            <a:ext uri="{FF2B5EF4-FFF2-40B4-BE49-F238E27FC236}">
              <a16:creationId xmlns:a16="http://schemas.microsoft.com/office/drawing/2014/main" id="{00000000-0008-0000-0400-00004B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80" name="Text Box 2">
          <a:extLst>
            <a:ext uri="{FF2B5EF4-FFF2-40B4-BE49-F238E27FC236}">
              <a16:creationId xmlns:a16="http://schemas.microsoft.com/office/drawing/2014/main" id="{00000000-0008-0000-0400-00004C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81" name="Text Box 2">
          <a:extLst>
            <a:ext uri="{FF2B5EF4-FFF2-40B4-BE49-F238E27FC236}">
              <a16:creationId xmlns:a16="http://schemas.microsoft.com/office/drawing/2014/main" id="{00000000-0008-0000-0400-00004D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82" name="Text Box 2">
          <a:extLst>
            <a:ext uri="{FF2B5EF4-FFF2-40B4-BE49-F238E27FC236}">
              <a16:creationId xmlns:a16="http://schemas.microsoft.com/office/drawing/2014/main" id="{00000000-0008-0000-0400-00004E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83" name="Text Box 2">
          <a:extLst>
            <a:ext uri="{FF2B5EF4-FFF2-40B4-BE49-F238E27FC236}">
              <a16:creationId xmlns:a16="http://schemas.microsoft.com/office/drawing/2014/main" id="{00000000-0008-0000-0400-00004F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84" name="Text Box 2">
          <a:extLst>
            <a:ext uri="{FF2B5EF4-FFF2-40B4-BE49-F238E27FC236}">
              <a16:creationId xmlns:a16="http://schemas.microsoft.com/office/drawing/2014/main" id="{00000000-0008-0000-0400-000050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85" name="Text Box 2">
          <a:extLst>
            <a:ext uri="{FF2B5EF4-FFF2-40B4-BE49-F238E27FC236}">
              <a16:creationId xmlns:a16="http://schemas.microsoft.com/office/drawing/2014/main" id="{00000000-0008-0000-0400-000051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86" name="Text Box 2">
          <a:extLst>
            <a:ext uri="{FF2B5EF4-FFF2-40B4-BE49-F238E27FC236}">
              <a16:creationId xmlns:a16="http://schemas.microsoft.com/office/drawing/2014/main" id="{00000000-0008-0000-0400-000052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87" name="Text Box 2">
          <a:extLst>
            <a:ext uri="{FF2B5EF4-FFF2-40B4-BE49-F238E27FC236}">
              <a16:creationId xmlns:a16="http://schemas.microsoft.com/office/drawing/2014/main" id="{00000000-0008-0000-0400-000053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88" name="Text Box 2">
          <a:extLst>
            <a:ext uri="{FF2B5EF4-FFF2-40B4-BE49-F238E27FC236}">
              <a16:creationId xmlns:a16="http://schemas.microsoft.com/office/drawing/2014/main" id="{00000000-0008-0000-0400-000054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89" name="Text Box 2">
          <a:extLst>
            <a:ext uri="{FF2B5EF4-FFF2-40B4-BE49-F238E27FC236}">
              <a16:creationId xmlns:a16="http://schemas.microsoft.com/office/drawing/2014/main" id="{00000000-0008-0000-0400-000055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90" name="Text Box 2">
          <a:extLst>
            <a:ext uri="{FF2B5EF4-FFF2-40B4-BE49-F238E27FC236}">
              <a16:creationId xmlns:a16="http://schemas.microsoft.com/office/drawing/2014/main" id="{00000000-0008-0000-0400-000056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91" name="Text Box 2">
          <a:extLst>
            <a:ext uri="{FF2B5EF4-FFF2-40B4-BE49-F238E27FC236}">
              <a16:creationId xmlns:a16="http://schemas.microsoft.com/office/drawing/2014/main" id="{00000000-0008-0000-0400-000057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92" name="Text Box 2">
          <a:extLst>
            <a:ext uri="{FF2B5EF4-FFF2-40B4-BE49-F238E27FC236}">
              <a16:creationId xmlns:a16="http://schemas.microsoft.com/office/drawing/2014/main" id="{00000000-0008-0000-0400-000058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93" name="Text Box 2">
          <a:extLst>
            <a:ext uri="{FF2B5EF4-FFF2-40B4-BE49-F238E27FC236}">
              <a16:creationId xmlns:a16="http://schemas.microsoft.com/office/drawing/2014/main" id="{00000000-0008-0000-0400-000059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94" name="Text Box 2">
          <a:extLst>
            <a:ext uri="{FF2B5EF4-FFF2-40B4-BE49-F238E27FC236}">
              <a16:creationId xmlns:a16="http://schemas.microsoft.com/office/drawing/2014/main" id="{00000000-0008-0000-0400-00005A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95" name="Text Box 2">
          <a:extLst>
            <a:ext uri="{FF2B5EF4-FFF2-40B4-BE49-F238E27FC236}">
              <a16:creationId xmlns:a16="http://schemas.microsoft.com/office/drawing/2014/main" id="{00000000-0008-0000-0400-00005B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96" name="Text Box 2">
          <a:extLst>
            <a:ext uri="{FF2B5EF4-FFF2-40B4-BE49-F238E27FC236}">
              <a16:creationId xmlns:a16="http://schemas.microsoft.com/office/drawing/2014/main" id="{00000000-0008-0000-0400-00005C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97" name="Text Box 2">
          <a:extLst>
            <a:ext uri="{FF2B5EF4-FFF2-40B4-BE49-F238E27FC236}">
              <a16:creationId xmlns:a16="http://schemas.microsoft.com/office/drawing/2014/main" id="{00000000-0008-0000-0400-00005D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98" name="Text Box 2">
          <a:extLst>
            <a:ext uri="{FF2B5EF4-FFF2-40B4-BE49-F238E27FC236}">
              <a16:creationId xmlns:a16="http://schemas.microsoft.com/office/drawing/2014/main" id="{00000000-0008-0000-0400-00005E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399" name="Text Box 2">
          <a:extLst>
            <a:ext uri="{FF2B5EF4-FFF2-40B4-BE49-F238E27FC236}">
              <a16:creationId xmlns:a16="http://schemas.microsoft.com/office/drawing/2014/main" id="{00000000-0008-0000-0400-00005F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00" name="Text Box 2">
          <a:extLst>
            <a:ext uri="{FF2B5EF4-FFF2-40B4-BE49-F238E27FC236}">
              <a16:creationId xmlns:a16="http://schemas.microsoft.com/office/drawing/2014/main" id="{00000000-0008-0000-0400-000060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01" name="Text Box 2">
          <a:extLst>
            <a:ext uri="{FF2B5EF4-FFF2-40B4-BE49-F238E27FC236}">
              <a16:creationId xmlns:a16="http://schemas.microsoft.com/office/drawing/2014/main" id="{00000000-0008-0000-0400-000061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02" name="Text Box 2">
          <a:extLst>
            <a:ext uri="{FF2B5EF4-FFF2-40B4-BE49-F238E27FC236}">
              <a16:creationId xmlns:a16="http://schemas.microsoft.com/office/drawing/2014/main" id="{00000000-0008-0000-0400-000062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03" name="Text Box 2">
          <a:extLst>
            <a:ext uri="{FF2B5EF4-FFF2-40B4-BE49-F238E27FC236}">
              <a16:creationId xmlns:a16="http://schemas.microsoft.com/office/drawing/2014/main" id="{00000000-0008-0000-0400-000063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04" name="Text Box 2">
          <a:extLst>
            <a:ext uri="{FF2B5EF4-FFF2-40B4-BE49-F238E27FC236}">
              <a16:creationId xmlns:a16="http://schemas.microsoft.com/office/drawing/2014/main" id="{00000000-0008-0000-0400-000064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05" name="Text Box 2">
          <a:extLst>
            <a:ext uri="{FF2B5EF4-FFF2-40B4-BE49-F238E27FC236}">
              <a16:creationId xmlns:a16="http://schemas.microsoft.com/office/drawing/2014/main" id="{00000000-0008-0000-0400-000065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06" name="Text Box 2">
          <a:extLst>
            <a:ext uri="{FF2B5EF4-FFF2-40B4-BE49-F238E27FC236}">
              <a16:creationId xmlns:a16="http://schemas.microsoft.com/office/drawing/2014/main" id="{00000000-0008-0000-0400-000066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07" name="Text Box 2">
          <a:extLst>
            <a:ext uri="{FF2B5EF4-FFF2-40B4-BE49-F238E27FC236}">
              <a16:creationId xmlns:a16="http://schemas.microsoft.com/office/drawing/2014/main" id="{00000000-0008-0000-0400-000067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08" name="Text Box 2">
          <a:extLst>
            <a:ext uri="{FF2B5EF4-FFF2-40B4-BE49-F238E27FC236}">
              <a16:creationId xmlns:a16="http://schemas.microsoft.com/office/drawing/2014/main" id="{00000000-0008-0000-0400-000068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09" name="Text Box 2">
          <a:extLst>
            <a:ext uri="{FF2B5EF4-FFF2-40B4-BE49-F238E27FC236}">
              <a16:creationId xmlns:a16="http://schemas.microsoft.com/office/drawing/2014/main" id="{00000000-0008-0000-0400-000069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10" name="Text Box 2">
          <a:extLst>
            <a:ext uri="{FF2B5EF4-FFF2-40B4-BE49-F238E27FC236}">
              <a16:creationId xmlns:a16="http://schemas.microsoft.com/office/drawing/2014/main" id="{00000000-0008-0000-0400-00006A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11" name="Text Box 2">
          <a:extLst>
            <a:ext uri="{FF2B5EF4-FFF2-40B4-BE49-F238E27FC236}">
              <a16:creationId xmlns:a16="http://schemas.microsoft.com/office/drawing/2014/main" id="{00000000-0008-0000-0400-00006B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12" name="Text Box 2">
          <a:extLst>
            <a:ext uri="{FF2B5EF4-FFF2-40B4-BE49-F238E27FC236}">
              <a16:creationId xmlns:a16="http://schemas.microsoft.com/office/drawing/2014/main" id="{00000000-0008-0000-0400-00006C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13" name="Text Box 2">
          <a:extLst>
            <a:ext uri="{FF2B5EF4-FFF2-40B4-BE49-F238E27FC236}">
              <a16:creationId xmlns:a16="http://schemas.microsoft.com/office/drawing/2014/main" id="{00000000-0008-0000-0400-00006D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14" name="Text Box 2">
          <a:extLst>
            <a:ext uri="{FF2B5EF4-FFF2-40B4-BE49-F238E27FC236}">
              <a16:creationId xmlns:a16="http://schemas.microsoft.com/office/drawing/2014/main" id="{00000000-0008-0000-0400-00006E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15" name="Text Box 2">
          <a:extLst>
            <a:ext uri="{FF2B5EF4-FFF2-40B4-BE49-F238E27FC236}">
              <a16:creationId xmlns:a16="http://schemas.microsoft.com/office/drawing/2014/main" id="{00000000-0008-0000-0400-00006F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16" name="Text Box 2">
          <a:extLst>
            <a:ext uri="{FF2B5EF4-FFF2-40B4-BE49-F238E27FC236}">
              <a16:creationId xmlns:a16="http://schemas.microsoft.com/office/drawing/2014/main" id="{00000000-0008-0000-0400-000070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17" name="Text Box 2">
          <a:extLst>
            <a:ext uri="{FF2B5EF4-FFF2-40B4-BE49-F238E27FC236}">
              <a16:creationId xmlns:a16="http://schemas.microsoft.com/office/drawing/2014/main" id="{00000000-0008-0000-0400-000071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18" name="Text Box 2">
          <a:extLst>
            <a:ext uri="{FF2B5EF4-FFF2-40B4-BE49-F238E27FC236}">
              <a16:creationId xmlns:a16="http://schemas.microsoft.com/office/drawing/2014/main" id="{00000000-0008-0000-0400-000072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19" name="Text Box 2">
          <a:extLst>
            <a:ext uri="{FF2B5EF4-FFF2-40B4-BE49-F238E27FC236}">
              <a16:creationId xmlns:a16="http://schemas.microsoft.com/office/drawing/2014/main" id="{00000000-0008-0000-0400-000073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20" name="Text Box 2">
          <a:extLst>
            <a:ext uri="{FF2B5EF4-FFF2-40B4-BE49-F238E27FC236}">
              <a16:creationId xmlns:a16="http://schemas.microsoft.com/office/drawing/2014/main" id="{00000000-0008-0000-0400-000074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21" name="Text Box 2">
          <a:extLst>
            <a:ext uri="{FF2B5EF4-FFF2-40B4-BE49-F238E27FC236}">
              <a16:creationId xmlns:a16="http://schemas.microsoft.com/office/drawing/2014/main" id="{00000000-0008-0000-0400-000075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22" name="Text Box 2">
          <a:extLst>
            <a:ext uri="{FF2B5EF4-FFF2-40B4-BE49-F238E27FC236}">
              <a16:creationId xmlns:a16="http://schemas.microsoft.com/office/drawing/2014/main" id="{00000000-0008-0000-0400-000076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23" name="Text Box 2">
          <a:extLst>
            <a:ext uri="{FF2B5EF4-FFF2-40B4-BE49-F238E27FC236}">
              <a16:creationId xmlns:a16="http://schemas.microsoft.com/office/drawing/2014/main" id="{00000000-0008-0000-0400-000077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24" name="Text Box 2">
          <a:extLst>
            <a:ext uri="{FF2B5EF4-FFF2-40B4-BE49-F238E27FC236}">
              <a16:creationId xmlns:a16="http://schemas.microsoft.com/office/drawing/2014/main" id="{00000000-0008-0000-0400-000078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25" name="Text Box 2">
          <a:extLst>
            <a:ext uri="{FF2B5EF4-FFF2-40B4-BE49-F238E27FC236}">
              <a16:creationId xmlns:a16="http://schemas.microsoft.com/office/drawing/2014/main" id="{00000000-0008-0000-0400-000079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26" name="Text Box 2">
          <a:extLst>
            <a:ext uri="{FF2B5EF4-FFF2-40B4-BE49-F238E27FC236}">
              <a16:creationId xmlns:a16="http://schemas.microsoft.com/office/drawing/2014/main" id="{00000000-0008-0000-0400-00007A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27" name="Text Box 2">
          <a:extLst>
            <a:ext uri="{FF2B5EF4-FFF2-40B4-BE49-F238E27FC236}">
              <a16:creationId xmlns:a16="http://schemas.microsoft.com/office/drawing/2014/main" id="{00000000-0008-0000-0400-00007B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28" name="Text Box 2">
          <a:extLst>
            <a:ext uri="{FF2B5EF4-FFF2-40B4-BE49-F238E27FC236}">
              <a16:creationId xmlns:a16="http://schemas.microsoft.com/office/drawing/2014/main" id="{00000000-0008-0000-0400-00007C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29" name="Text Box 2">
          <a:extLst>
            <a:ext uri="{FF2B5EF4-FFF2-40B4-BE49-F238E27FC236}">
              <a16:creationId xmlns:a16="http://schemas.microsoft.com/office/drawing/2014/main" id="{00000000-0008-0000-0400-00007D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30" name="Text Box 2">
          <a:extLst>
            <a:ext uri="{FF2B5EF4-FFF2-40B4-BE49-F238E27FC236}">
              <a16:creationId xmlns:a16="http://schemas.microsoft.com/office/drawing/2014/main" id="{00000000-0008-0000-0400-00007E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31" name="Text Box 2">
          <a:extLst>
            <a:ext uri="{FF2B5EF4-FFF2-40B4-BE49-F238E27FC236}">
              <a16:creationId xmlns:a16="http://schemas.microsoft.com/office/drawing/2014/main" id="{00000000-0008-0000-0400-00007F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32" name="Text Box 2">
          <a:extLst>
            <a:ext uri="{FF2B5EF4-FFF2-40B4-BE49-F238E27FC236}">
              <a16:creationId xmlns:a16="http://schemas.microsoft.com/office/drawing/2014/main" id="{00000000-0008-0000-0400-000080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33" name="Text Box 2">
          <a:extLst>
            <a:ext uri="{FF2B5EF4-FFF2-40B4-BE49-F238E27FC236}">
              <a16:creationId xmlns:a16="http://schemas.microsoft.com/office/drawing/2014/main" id="{00000000-0008-0000-0400-000081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34" name="Text Box 2">
          <a:extLst>
            <a:ext uri="{FF2B5EF4-FFF2-40B4-BE49-F238E27FC236}">
              <a16:creationId xmlns:a16="http://schemas.microsoft.com/office/drawing/2014/main" id="{00000000-0008-0000-0400-000082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35" name="Text Box 2">
          <a:extLst>
            <a:ext uri="{FF2B5EF4-FFF2-40B4-BE49-F238E27FC236}">
              <a16:creationId xmlns:a16="http://schemas.microsoft.com/office/drawing/2014/main" id="{00000000-0008-0000-0400-000083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36" name="Text Box 2">
          <a:extLst>
            <a:ext uri="{FF2B5EF4-FFF2-40B4-BE49-F238E27FC236}">
              <a16:creationId xmlns:a16="http://schemas.microsoft.com/office/drawing/2014/main" id="{00000000-0008-0000-0400-000084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37" name="Text Box 2">
          <a:extLst>
            <a:ext uri="{FF2B5EF4-FFF2-40B4-BE49-F238E27FC236}">
              <a16:creationId xmlns:a16="http://schemas.microsoft.com/office/drawing/2014/main" id="{00000000-0008-0000-0400-000085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38" name="Text Box 2">
          <a:extLst>
            <a:ext uri="{FF2B5EF4-FFF2-40B4-BE49-F238E27FC236}">
              <a16:creationId xmlns:a16="http://schemas.microsoft.com/office/drawing/2014/main" id="{00000000-0008-0000-0400-000086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39" name="Text Box 2">
          <a:extLst>
            <a:ext uri="{FF2B5EF4-FFF2-40B4-BE49-F238E27FC236}">
              <a16:creationId xmlns:a16="http://schemas.microsoft.com/office/drawing/2014/main" id="{00000000-0008-0000-0400-000087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40" name="Text Box 2">
          <a:extLst>
            <a:ext uri="{FF2B5EF4-FFF2-40B4-BE49-F238E27FC236}">
              <a16:creationId xmlns:a16="http://schemas.microsoft.com/office/drawing/2014/main" id="{00000000-0008-0000-0400-000088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41" name="Text Box 2">
          <a:extLst>
            <a:ext uri="{FF2B5EF4-FFF2-40B4-BE49-F238E27FC236}">
              <a16:creationId xmlns:a16="http://schemas.microsoft.com/office/drawing/2014/main" id="{00000000-0008-0000-0400-000089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42" name="Text Box 2">
          <a:extLst>
            <a:ext uri="{FF2B5EF4-FFF2-40B4-BE49-F238E27FC236}">
              <a16:creationId xmlns:a16="http://schemas.microsoft.com/office/drawing/2014/main" id="{00000000-0008-0000-0400-00008A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43" name="Text Box 2">
          <a:extLst>
            <a:ext uri="{FF2B5EF4-FFF2-40B4-BE49-F238E27FC236}">
              <a16:creationId xmlns:a16="http://schemas.microsoft.com/office/drawing/2014/main" id="{00000000-0008-0000-0400-00008B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44" name="Text Box 2">
          <a:extLst>
            <a:ext uri="{FF2B5EF4-FFF2-40B4-BE49-F238E27FC236}">
              <a16:creationId xmlns:a16="http://schemas.microsoft.com/office/drawing/2014/main" id="{00000000-0008-0000-0400-00008C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45" name="Text Box 2">
          <a:extLst>
            <a:ext uri="{FF2B5EF4-FFF2-40B4-BE49-F238E27FC236}">
              <a16:creationId xmlns:a16="http://schemas.microsoft.com/office/drawing/2014/main" id="{00000000-0008-0000-0400-00008D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46" name="Text Box 2">
          <a:extLst>
            <a:ext uri="{FF2B5EF4-FFF2-40B4-BE49-F238E27FC236}">
              <a16:creationId xmlns:a16="http://schemas.microsoft.com/office/drawing/2014/main" id="{00000000-0008-0000-0400-00008E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47" name="Text Box 2">
          <a:extLst>
            <a:ext uri="{FF2B5EF4-FFF2-40B4-BE49-F238E27FC236}">
              <a16:creationId xmlns:a16="http://schemas.microsoft.com/office/drawing/2014/main" id="{00000000-0008-0000-0400-00008F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48" name="Text Box 2">
          <a:extLst>
            <a:ext uri="{FF2B5EF4-FFF2-40B4-BE49-F238E27FC236}">
              <a16:creationId xmlns:a16="http://schemas.microsoft.com/office/drawing/2014/main" id="{00000000-0008-0000-0400-000090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49" name="Text Box 2">
          <a:extLst>
            <a:ext uri="{FF2B5EF4-FFF2-40B4-BE49-F238E27FC236}">
              <a16:creationId xmlns:a16="http://schemas.microsoft.com/office/drawing/2014/main" id="{00000000-0008-0000-0400-000091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50" name="Text Box 2">
          <a:extLst>
            <a:ext uri="{FF2B5EF4-FFF2-40B4-BE49-F238E27FC236}">
              <a16:creationId xmlns:a16="http://schemas.microsoft.com/office/drawing/2014/main" id="{00000000-0008-0000-0400-000092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51" name="Text Box 2">
          <a:extLst>
            <a:ext uri="{FF2B5EF4-FFF2-40B4-BE49-F238E27FC236}">
              <a16:creationId xmlns:a16="http://schemas.microsoft.com/office/drawing/2014/main" id="{00000000-0008-0000-0400-000093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52" name="Text Box 2">
          <a:extLst>
            <a:ext uri="{FF2B5EF4-FFF2-40B4-BE49-F238E27FC236}">
              <a16:creationId xmlns:a16="http://schemas.microsoft.com/office/drawing/2014/main" id="{00000000-0008-0000-0400-000094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53" name="Text Box 2">
          <a:extLst>
            <a:ext uri="{FF2B5EF4-FFF2-40B4-BE49-F238E27FC236}">
              <a16:creationId xmlns:a16="http://schemas.microsoft.com/office/drawing/2014/main" id="{00000000-0008-0000-0400-000095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54" name="Text Box 2">
          <a:extLst>
            <a:ext uri="{FF2B5EF4-FFF2-40B4-BE49-F238E27FC236}">
              <a16:creationId xmlns:a16="http://schemas.microsoft.com/office/drawing/2014/main" id="{00000000-0008-0000-0400-000096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55" name="Text Box 2">
          <a:extLst>
            <a:ext uri="{FF2B5EF4-FFF2-40B4-BE49-F238E27FC236}">
              <a16:creationId xmlns:a16="http://schemas.microsoft.com/office/drawing/2014/main" id="{00000000-0008-0000-0400-000097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56" name="Text Box 2">
          <a:extLst>
            <a:ext uri="{FF2B5EF4-FFF2-40B4-BE49-F238E27FC236}">
              <a16:creationId xmlns:a16="http://schemas.microsoft.com/office/drawing/2014/main" id="{00000000-0008-0000-0400-000098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57" name="Text Box 2">
          <a:extLst>
            <a:ext uri="{FF2B5EF4-FFF2-40B4-BE49-F238E27FC236}">
              <a16:creationId xmlns:a16="http://schemas.microsoft.com/office/drawing/2014/main" id="{00000000-0008-0000-0400-000099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58" name="Text Box 2">
          <a:extLst>
            <a:ext uri="{FF2B5EF4-FFF2-40B4-BE49-F238E27FC236}">
              <a16:creationId xmlns:a16="http://schemas.microsoft.com/office/drawing/2014/main" id="{00000000-0008-0000-0400-00009A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59" name="Text Box 2">
          <a:extLst>
            <a:ext uri="{FF2B5EF4-FFF2-40B4-BE49-F238E27FC236}">
              <a16:creationId xmlns:a16="http://schemas.microsoft.com/office/drawing/2014/main" id="{00000000-0008-0000-0400-00009B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60" name="Text Box 2">
          <a:extLst>
            <a:ext uri="{FF2B5EF4-FFF2-40B4-BE49-F238E27FC236}">
              <a16:creationId xmlns:a16="http://schemas.microsoft.com/office/drawing/2014/main" id="{00000000-0008-0000-0400-00009C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61" name="Text Box 2">
          <a:extLst>
            <a:ext uri="{FF2B5EF4-FFF2-40B4-BE49-F238E27FC236}">
              <a16:creationId xmlns:a16="http://schemas.microsoft.com/office/drawing/2014/main" id="{00000000-0008-0000-0400-00009D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62" name="Text Box 2">
          <a:extLst>
            <a:ext uri="{FF2B5EF4-FFF2-40B4-BE49-F238E27FC236}">
              <a16:creationId xmlns:a16="http://schemas.microsoft.com/office/drawing/2014/main" id="{00000000-0008-0000-0400-00009E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63" name="Text Box 2">
          <a:extLst>
            <a:ext uri="{FF2B5EF4-FFF2-40B4-BE49-F238E27FC236}">
              <a16:creationId xmlns:a16="http://schemas.microsoft.com/office/drawing/2014/main" id="{00000000-0008-0000-0400-00009F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464" name="Text Box 2">
          <a:extLst>
            <a:ext uri="{FF2B5EF4-FFF2-40B4-BE49-F238E27FC236}">
              <a16:creationId xmlns:a16="http://schemas.microsoft.com/office/drawing/2014/main" id="{00000000-0008-0000-0400-0000A009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65" name="Text Box 2">
          <a:extLst>
            <a:ext uri="{FF2B5EF4-FFF2-40B4-BE49-F238E27FC236}">
              <a16:creationId xmlns:a16="http://schemas.microsoft.com/office/drawing/2014/main" id="{00000000-0008-0000-0400-0000A1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66" name="Text Box 2">
          <a:extLst>
            <a:ext uri="{FF2B5EF4-FFF2-40B4-BE49-F238E27FC236}">
              <a16:creationId xmlns:a16="http://schemas.microsoft.com/office/drawing/2014/main" id="{00000000-0008-0000-0400-0000A2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67" name="Text Box 2">
          <a:extLst>
            <a:ext uri="{FF2B5EF4-FFF2-40B4-BE49-F238E27FC236}">
              <a16:creationId xmlns:a16="http://schemas.microsoft.com/office/drawing/2014/main" id="{00000000-0008-0000-0400-0000A3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68" name="Text Box 2">
          <a:extLst>
            <a:ext uri="{FF2B5EF4-FFF2-40B4-BE49-F238E27FC236}">
              <a16:creationId xmlns:a16="http://schemas.microsoft.com/office/drawing/2014/main" id="{00000000-0008-0000-0400-0000A4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69" name="Text Box 2">
          <a:extLst>
            <a:ext uri="{FF2B5EF4-FFF2-40B4-BE49-F238E27FC236}">
              <a16:creationId xmlns:a16="http://schemas.microsoft.com/office/drawing/2014/main" id="{00000000-0008-0000-0400-0000A5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70" name="Text Box 2">
          <a:extLst>
            <a:ext uri="{FF2B5EF4-FFF2-40B4-BE49-F238E27FC236}">
              <a16:creationId xmlns:a16="http://schemas.microsoft.com/office/drawing/2014/main" id="{00000000-0008-0000-0400-0000A6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71" name="Text Box 2">
          <a:extLst>
            <a:ext uri="{FF2B5EF4-FFF2-40B4-BE49-F238E27FC236}">
              <a16:creationId xmlns:a16="http://schemas.microsoft.com/office/drawing/2014/main" id="{00000000-0008-0000-0400-0000A7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72" name="Text Box 2">
          <a:extLst>
            <a:ext uri="{FF2B5EF4-FFF2-40B4-BE49-F238E27FC236}">
              <a16:creationId xmlns:a16="http://schemas.microsoft.com/office/drawing/2014/main" id="{00000000-0008-0000-0400-0000A8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73" name="Text Box 2">
          <a:extLst>
            <a:ext uri="{FF2B5EF4-FFF2-40B4-BE49-F238E27FC236}">
              <a16:creationId xmlns:a16="http://schemas.microsoft.com/office/drawing/2014/main" id="{00000000-0008-0000-0400-0000A9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74" name="Text Box 2">
          <a:extLst>
            <a:ext uri="{FF2B5EF4-FFF2-40B4-BE49-F238E27FC236}">
              <a16:creationId xmlns:a16="http://schemas.microsoft.com/office/drawing/2014/main" id="{00000000-0008-0000-0400-0000AA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75" name="Text Box 2">
          <a:extLst>
            <a:ext uri="{FF2B5EF4-FFF2-40B4-BE49-F238E27FC236}">
              <a16:creationId xmlns:a16="http://schemas.microsoft.com/office/drawing/2014/main" id="{00000000-0008-0000-0400-0000AB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76" name="Text Box 2">
          <a:extLst>
            <a:ext uri="{FF2B5EF4-FFF2-40B4-BE49-F238E27FC236}">
              <a16:creationId xmlns:a16="http://schemas.microsoft.com/office/drawing/2014/main" id="{00000000-0008-0000-0400-0000AC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77" name="Text Box 2">
          <a:extLst>
            <a:ext uri="{FF2B5EF4-FFF2-40B4-BE49-F238E27FC236}">
              <a16:creationId xmlns:a16="http://schemas.microsoft.com/office/drawing/2014/main" id="{00000000-0008-0000-0400-0000AD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78" name="Text Box 2">
          <a:extLst>
            <a:ext uri="{FF2B5EF4-FFF2-40B4-BE49-F238E27FC236}">
              <a16:creationId xmlns:a16="http://schemas.microsoft.com/office/drawing/2014/main" id="{00000000-0008-0000-0400-0000AE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79" name="Text Box 2">
          <a:extLst>
            <a:ext uri="{FF2B5EF4-FFF2-40B4-BE49-F238E27FC236}">
              <a16:creationId xmlns:a16="http://schemas.microsoft.com/office/drawing/2014/main" id="{00000000-0008-0000-0400-0000AF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80" name="Text Box 2">
          <a:extLst>
            <a:ext uri="{FF2B5EF4-FFF2-40B4-BE49-F238E27FC236}">
              <a16:creationId xmlns:a16="http://schemas.microsoft.com/office/drawing/2014/main" id="{00000000-0008-0000-0400-0000B0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81" name="Text Box 2">
          <a:extLst>
            <a:ext uri="{FF2B5EF4-FFF2-40B4-BE49-F238E27FC236}">
              <a16:creationId xmlns:a16="http://schemas.microsoft.com/office/drawing/2014/main" id="{00000000-0008-0000-0400-0000B1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82" name="Text Box 2">
          <a:extLst>
            <a:ext uri="{FF2B5EF4-FFF2-40B4-BE49-F238E27FC236}">
              <a16:creationId xmlns:a16="http://schemas.microsoft.com/office/drawing/2014/main" id="{00000000-0008-0000-0400-0000B2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83" name="Text Box 2">
          <a:extLst>
            <a:ext uri="{FF2B5EF4-FFF2-40B4-BE49-F238E27FC236}">
              <a16:creationId xmlns:a16="http://schemas.microsoft.com/office/drawing/2014/main" id="{00000000-0008-0000-0400-0000B3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84" name="Text Box 2">
          <a:extLst>
            <a:ext uri="{FF2B5EF4-FFF2-40B4-BE49-F238E27FC236}">
              <a16:creationId xmlns:a16="http://schemas.microsoft.com/office/drawing/2014/main" id="{00000000-0008-0000-0400-0000B4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85" name="Text Box 2">
          <a:extLst>
            <a:ext uri="{FF2B5EF4-FFF2-40B4-BE49-F238E27FC236}">
              <a16:creationId xmlns:a16="http://schemas.microsoft.com/office/drawing/2014/main" id="{00000000-0008-0000-0400-0000B5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86" name="Text Box 2">
          <a:extLst>
            <a:ext uri="{FF2B5EF4-FFF2-40B4-BE49-F238E27FC236}">
              <a16:creationId xmlns:a16="http://schemas.microsoft.com/office/drawing/2014/main" id="{00000000-0008-0000-0400-0000B6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87" name="Text Box 2">
          <a:extLst>
            <a:ext uri="{FF2B5EF4-FFF2-40B4-BE49-F238E27FC236}">
              <a16:creationId xmlns:a16="http://schemas.microsoft.com/office/drawing/2014/main" id="{00000000-0008-0000-0400-0000B7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88" name="Text Box 2">
          <a:extLst>
            <a:ext uri="{FF2B5EF4-FFF2-40B4-BE49-F238E27FC236}">
              <a16:creationId xmlns:a16="http://schemas.microsoft.com/office/drawing/2014/main" id="{00000000-0008-0000-0400-0000B8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89" name="Text Box 2">
          <a:extLst>
            <a:ext uri="{FF2B5EF4-FFF2-40B4-BE49-F238E27FC236}">
              <a16:creationId xmlns:a16="http://schemas.microsoft.com/office/drawing/2014/main" id="{00000000-0008-0000-0400-0000B9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90" name="Text Box 2">
          <a:extLst>
            <a:ext uri="{FF2B5EF4-FFF2-40B4-BE49-F238E27FC236}">
              <a16:creationId xmlns:a16="http://schemas.microsoft.com/office/drawing/2014/main" id="{00000000-0008-0000-0400-0000BA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91" name="Text Box 2">
          <a:extLst>
            <a:ext uri="{FF2B5EF4-FFF2-40B4-BE49-F238E27FC236}">
              <a16:creationId xmlns:a16="http://schemas.microsoft.com/office/drawing/2014/main" id="{00000000-0008-0000-0400-0000BB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92" name="Text Box 2">
          <a:extLst>
            <a:ext uri="{FF2B5EF4-FFF2-40B4-BE49-F238E27FC236}">
              <a16:creationId xmlns:a16="http://schemas.microsoft.com/office/drawing/2014/main" id="{00000000-0008-0000-0400-0000BC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93" name="Text Box 2">
          <a:extLst>
            <a:ext uri="{FF2B5EF4-FFF2-40B4-BE49-F238E27FC236}">
              <a16:creationId xmlns:a16="http://schemas.microsoft.com/office/drawing/2014/main" id="{00000000-0008-0000-0400-0000BD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94" name="Text Box 2">
          <a:extLst>
            <a:ext uri="{FF2B5EF4-FFF2-40B4-BE49-F238E27FC236}">
              <a16:creationId xmlns:a16="http://schemas.microsoft.com/office/drawing/2014/main" id="{00000000-0008-0000-0400-0000BE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95" name="Text Box 2">
          <a:extLst>
            <a:ext uri="{FF2B5EF4-FFF2-40B4-BE49-F238E27FC236}">
              <a16:creationId xmlns:a16="http://schemas.microsoft.com/office/drawing/2014/main" id="{00000000-0008-0000-0400-0000BF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96" name="Text Box 2">
          <a:extLst>
            <a:ext uri="{FF2B5EF4-FFF2-40B4-BE49-F238E27FC236}">
              <a16:creationId xmlns:a16="http://schemas.microsoft.com/office/drawing/2014/main" id="{00000000-0008-0000-0400-0000C0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97" name="Text Box 2">
          <a:extLst>
            <a:ext uri="{FF2B5EF4-FFF2-40B4-BE49-F238E27FC236}">
              <a16:creationId xmlns:a16="http://schemas.microsoft.com/office/drawing/2014/main" id="{00000000-0008-0000-0400-0000C1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98" name="Text Box 2">
          <a:extLst>
            <a:ext uri="{FF2B5EF4-FFF2-40B4-BE49-F238E27FC236}">
              <a16:creationId xmlns:a16="http://schemas.microsoft.com/office/drawing/2014/main" id="{00000000-0008-0000-0400-0000C2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499" name="Text Box 2">
          <a:extLst>
            <a:ext uri="{FF2B5EF4-FFF2-40B4-BE49-F238E27FC236}">
              <a16:creationId xmlns:a16="http://schemas.microsoft.com/office/drawing/2014/main" id="{00000000-0008-0000-0400-0000C3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00" name="Text Box 2">
          <a:extLst>
            <a:ext uri="{FF2B5EF4-FFF2-40B4-BE49-F238E27FC236}">
              <a16:creationId xmlns:a16="http://schemas.microsoft.com/office/drawing/2014/main" id="{00000000-0008-0000-0400-0000C4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01" name="Text Box 2">
          <a:extLst>
            <a:ext uri="{FF2B5EF4-FFF2-40B4-BE49-F238E27FC236}">
              <a16:creationId xmlns:a16="http://schemas.microsoft.com/office/drawing/2014/main" id="{00000000-0008-0000-0400-0000C5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02" name="Text Box 2">
          <a:extLst>
            <a:ext uri="{FF2B5EF4-FFF2-40B4-BE49-F238E27FC236}">
              <a16:creationId xmlns:a16="http://schemas.microsoft.com/office/drawing/2014/main" id="{00000000-0008-0000-0400-0000C6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03" name="Text Box 2">
          <a:extLst>
            <a:ext uri="{FF2B5EF4-FFF2-40B4-BE49-F238E27FC236}">
              <a16:creationId xmlns:a16="http://schemas.microsoft.com/office/drawing/2014/main" id="{00000000-0008-0000-0400-0000C7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04" name="Text Box 2">
          <a:extLst>
            <a:ext uri="{FF2B5EF4-FFF2-40B4-BE49-F238E27FC236}">
              <a16:creationId xmlns:a16="http://schemas.microsoft.com/office/drawing/2014/main" id="{00000000-0008-0000-0400-0000C8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05" name="Text Box 2">
          <a:extLst>
            <a:ext uri="{FF2B5EF4-FFF2-40B4-BE49-F238E27FC236}">
              <a16:creationId xmlns:a16="http://schemas.microsoft.com/office/drawing/2014/main" id="{00000000-0008-0000-0400-0000C9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06" name="Text Box 2">
          <a:extLst>
            <a:ext uri="{FF2B5EF4-FFF2-40B4-BE49-F238E27FC236}">
              <a16:creationId xmlns:a16="http://schemas.microsoft.com/office/drawing/2014/main" id="{00000000-0008-0000-0400-0000CA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07" name="Text Box 2">
          <a:extLst>
            <a:ext uri="{FF2B5EF4-FFF2-40B4-BE49-F238E27FC236}">
              <a16:creationId xmlns:a16="http://schemas.microsoft.com/office/drawing/2014/main" id="{00000000-0008-0000-0400-0000CB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08" name="Text Box 2">
          <a:extLst>
            <a:ext uri="{FF2B5EF4-FFF2-40B4-BE49-F238E27FC236}">
              <a16:creationId xmlns:a16="http://schemas.microsoft.com/office/drawing/2014/main" id="{00000000-0008-0000-0400-0000CC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09" name="Text Box 2">
          <a:extLst>
            <a:ext uri="{FF2B5EF4-FFF2-40B4-BE49-F238E27FC236}">
              <a16:creationId xmlns:a16="http://schemas.microsoft.com/office/drawing/2014/main" id="{00000000-0008-0000-0400-0000CD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10" name="Text Box 2">
          <a:extLst>
            <a:ext uri="{FF2B5EF4-FFF2-40B4-BE49-F238E27FC236}">
              <a16:creationId xmlns:a16="http://schemas.microsoft.com/office/drawing/2014/main" id="{00000000-0008-0000-0400-0000CE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11" name="Text Box 2">
          <a:extLst>
            <a:ext uri="{FF2B5EF4-FFF2-40B4-BE49-F238E27FC236}">
              <a16:creationId xmlns:a16="http://schemas.microsoft.com/office/drawing/2014/main" id="{00000000-0008-0000-0400-0000CF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12" name="Text Box 2">
          <a:extLst>
            <a:ext uri="{FF2B5EF4-FFF2-40B4-BE49-F238E27FC236}">
              <a16:creationId xmlns:a16="http://schemas.microsoft.com/office/drawing/2014/main" id="{00000000-0008-0000-0400-0000D0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13" name="Text Box 2">
          <a:extLst>
            <a:ext uri="{FF2B5EF4-FFF2-40B4-BE49-F238E27FC236}">
              <a16:creationId xmlns:a16="http://schemas.microsoft.com/office/drawing/2014/main" id="{00000000-0008-0000-0400-0000D1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14" name="Text Box 2">
          <a:extLst>
            <a:ext uri="{FF2B5EF4-FFF2-40B4-BE49-F238E27FC236}">
              <a16:creationId xmlns:a16="http://schemas.microsoft.com/office/drawing/2014/main" id="{00000000-0008-0000-0400-0000D2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15" name="Text Box 2">
          <a:extLst>
            <a:ext uri="{FF2B5EF4-FFF2-40B4-BE49-F238E27FC236}">
              <a16:creationId xmlns:a16="http://schemas.microsoft.com/office/drawing/2014/main" id="{00000000-0008-0000-0400-0000D3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16" name="Text Box 2">
          <a:extLst>
            <a:ext uri="{FF2B5EF4-FFF2-40B4-BE49-F238E27FC236}">
              <a16:creationId xmlns:a16="http://schemas.microsoft.com/office/drawing/2014/main" id="{00000000-0008-0000-0400-0000D4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17" name="Text Box 2">
          <a:extLst>
            <a:ext uri="{FF2B5EF4-FFF2-40B4-BE49-F238E27FC236}">
              <a16:creationId xmlns:a16="http://schemas.microsoft.com/office/drawing/2014/main" id="{00000000-0008-0000-0400-0000D5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18" name="Text Box 2">
          <a:extLst>
            <a:ext uri="{FF2B5EF4-FFF2-40B4-BE49-F238E27FC236}">
              <a16:creationId xmlns:a16="http://schemas.microsoft.com/office/drawing/2014/main" id="{00000000-0008-0000-0400-0000D6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19" name="Text Box 2">
          <a:extLst>
            <a:ext uri="{FF2B5EF4-FFF2-40B4-BE49-F238E27FC236}">
              <a16:creationId xmlns:a16="http://schemas.microsoft.com/office/drawing/2014/main" id="{00000000-0008-0000-0400-0000D7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20" name="Text Box 2">
          <a:extLst>
            <a:ext uri="{FF2B5EF4-FFF2-40B4-BE49-F238E27FC236}">
              <a16:creationId xmlns:a16="http://schemas.microsoft.com/office/drawing/2014/main" id="{00000000-0008-0000-0400-0000D8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21" name="Text Box 2">
          <a:extLst>
            <a:ext uri="{FF2B5EF4-FFF2-40B4-BE49-F238E27FC236}">
              <a16:creationId xmlns:a16="http://schemas.microsoft.com/office/drawing/2014/main" id="{00000000-0008-0000-0400-0000D9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22" name="Text Box 2">
          <a:extLst>
            <a:ext uri="{FF2B5EF4-FFF2-40B4-BE49-F238E27FC236}">
              <a16:creationId xmlns:a16="http://schemas.microsoft.com/office/drawing/2014/main" id="{00000000-0008-0000-0400-0000DA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23" name="Text Box 2">
          <a:extLst>
            <a:ext uri="{FF2B5EF4-FFF2-40B4-BE49-F238E27FC236}">
              <a16:creationId xmlns:a16="http://schemas.microsoft.com/office/drawing/2014/main" id="{00000000-0008-0000-0400-0000DB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24" name="Text Box 2">
          <a:extLst>
            <a:ext uri="{FF2B5EF4-FFF2-40B4-BE49-F238E27FC236}">
              <a16:creationId xmlns:a16="http://schemas.microsoft.com/office/drawing/2014/main" id="{00000000-0008-0000-0400-0000DC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25" name="Text Box 2">
          <a:extLst>
            <a:ext uri="{FF2B5EF4-FFF2-40B4-BE49-F238E27FC236}">
              <a16:creationId xmlns:a16="http://schemas.microsoft.com/office/drawing/2014/main" id="{00000000-0008-0000-0400-0000DD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26" name="Text Box 2">
          <a:extLst>
            <a:ext uri="{FF2B5EF4-FFF2-40B4-BE49-F238E27FC236}">
              <a16:creationId xmlns:a16="http://schemas.microsoft.com/office/drawing/2014/main" id="{00000000-0008-0000-0400-0000DE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27" name="Text Box 2">
          <a:extLst>
            <a:ext uri="{FF2B5EF4-FFF2-40B4-BE49-F238E27FC236}">
              <a16:creationId xmlns:a16="http://schemas.microsoft.com/office/drawing/2014/main" id="{00000000-0008-0000-0400-0000DF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28" name="Text Box 2">
          <a:extLst>
            <a:ext uri="{FF2B5EF4-FFF2-40B4-BE49-F238E27FC236}">
              <a16:creationId xmlns:a16="http://schemas.microsoft.com/office/drawing/2014/main" id="{00000000-0008-0000-0400-0000E0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29" name="Text Box 2">
          <a:extLst>
            <a:ext uri="{FF2B5EF4-FFF2-40B4-BE49-F238E27FC236}">
              <a16:creationId xmlns:a16="http://schemas.microsoft.com/office/drawing/2014/main" id="{00000000-0008-0000-0400-0000E1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30" name="Text Box 2">
          <a:extLst>
            <a:ext uri="{FF2B5EF4-FFF2-40B4-BE49-F238E27FC236}">
              <a16:creationId xmlns:a16="http://schemas.microsoft.com/office/drawing/2014/main" id="{00000000-0008-0000-0400-0000E2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31" name="Text Box 2">
          <a:extLst>
            <a:ext uri="{FF2B5EF4-FFF2-40B4-BE49-F238E27FC236}">
              <a16:creationId xmlns:a16="http://schemas.microsoft.com/office/drawing/2014/main" id="{00000000-0008-0000-0400-0000E3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32" name="Text Box 2">
          <a:extLst>
            <a:ext uri="{FF2B5EF4-FFF2-40B4-BE49-F238E27FC236}">
              <a16:creationId xmlns:a16="http://schemas.microsoft.com/office/drawing/2014/main" id="{00000000-0008-0000-0400-0000E4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33" name="Text Box 2">
          <a:extLst>
            <a:ext uri="{FF2B5EF4-FFF2-40B4-BE49-F238E27FC236}">
              <a16:creationId xmlns:a16="http://schemas.microsoft.com/office/drawing/2014/main" id="{00000000-0008-0000-0400-0000E5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34" name="Text Box 2">
          <a:extLst>
            <a:ext uri="{FF2B5EF4-FFF2-40B4-BE49-F238E27FC236}">
              <a16:creationId xmlns:a16="http://schemas.microsoft.com/office/drawing/2014/main" id="{00000000-0008-0000-0400-0000E6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35" name="Text Box 2">
          <a:extLst>
            <a:ext uri="{FF2B5EF4-FFF2-40B4-BE49-F238E27FC236}">
              <a16:creationId xmlns:a16="http://schemas.microsoft.com/office/drawing/2014/main" id="{00000000-0008-0000-0400-0000E7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36" name="Text Box 2">
          <a:extLst>
            <a:ext uri="{FF2B5EF4-FFF2-40B4-BE49-F238E27FC236}">
              <a16:creationId xmlns:a16="http://schemas.microsoft.com/office/drawing/2014/main" id="{00000000-0008-0000-0400-0000E8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37" name="Text Box 2">
          <a:extLst>
            <a:ext uri="{FF2B5EF4-FFF2-40B4-BE49-F238E27FC236}">
              <a16:creationId xmlns:a16="http://schemas.microsoft.com/office/drawing/2014/main" id="{00000000-0008-0000-0400-0000E9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38" name="Text Box 2">
          <a:extLst>
            <a:ext uri="{FF2B5EF4-FFF2-40B4-BE49-F238E27FC236}">
              <a16:creationId xmlns:a16="http://schemas.microsoft.com/office/drawing/2014/main" id="{00000000-0008-0000-0400-0000EA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39" name="Text Box 2">
          <a:extLst>
            <a:ext uri="{FF2B5EF4-FFF2-40B4-BE49-F238E27FC236}">
              <a16:creationId xmlns:a16="http://schemas.microsoft.com/office/drawing/2014/main" id="{00000000-0008-0000-0400-0000EB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40" name="Text Box 2">
          <a:extLst>
            <a:ext uri="{FF2B5EF4-FFF2-40B4-BE49-F238E27FC236}">
              <a16:creationId xmlns:a16="http://schemas.microsoft.com/office/drawing/2014/main" id="{00000000-0008-0000-0400-0000EC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41" name="Text Box 2">
          <a:extLst>
            <a:ext uri="{FF2B5EF4-FFF2-40B4-BE49-F238E27FC236}">
              <a16:creationId xmlns:a16="http://schemas.microsoft.com/office/drawing/2014/main" id="{00000000-0008-0000-0400-0000ED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42" name="Text Box 2">
          <a:extLst>
            <a:ext uri="{FF2B5EF4-FFF2-40B4-BE49-F238E27FC236}">
              <a16:creationId xmlns:a16="http://schemas.microsoft.com/office/drawing/2014/main" id="{00000000-0008-0000-0400-0000EE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43" name="Text Box 2">
          <a:extLst>
            <a:ext uri="{FF2B5EF4-FFF2-40B4-BE49-F238E27FC236}">
              <a16:creationId xmlns:a16="http://schemas.microsoft.com/office/drawing/2014/main" id="{00000000-0008-0000-0400-0000EF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44" name="Text Box 2">
          <a:extLst>
            <a:ext uri="{FF2B5EF4-FFF2-40B4-BE49-F238E27FC236}">
              <a16:creationId xmlns:a16="http://schemas.microsoft.com/office/drawing/2014/main" id="{00000000-0008-0000-0400-0000F0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45" name="Text Box 2">
          <a:extLst>
            <a:ext uri="{FF2B5EF4-FFF2-40B4-BE49-F238E27FC236}">
              <a16:creationId xmlns:a16="http://schemas.microsoft.com/office/drawing/2014/main" id="{00000000-0008-0000-0400-0000F1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46" name="Text Box 2">
          <a:extLst>
            <a:ext uri="{FF2B5EF4-FFF2-40B4-BE49-F238E27FC236}">
              <a16:creationId xmlns:a16="http://schemas.microsoft.com/office/drawing/2014/main" id="{00000000-0008-0000-0400-0000F2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47" name="Text Box 2">
          <a:extLst>
            <a:ext uri="{FF2B5EF4-FFF2-40B4-BE49-F238E27FC236}">
              <a16:creationId xmlns:a16="http://schemas.microsoft.com/office/drawing/2014/main" id="{00000000-0008-0000-0400-0000F3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48" name="Text Box 2">
          <a:extLst>
            <a:ext uri="{FF2B5EF4-FFF2-40B4-BE49-F238E27FC236}">
              <a16:creationId xmlns:a16="http://schemas.microsoft.com/office/drawing/2014/main" id="{00000000-0008-0000-0400-0000F4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49" name="Text Box 2">
          <a:extLst>
            <a:ext uri="{FF2B5EF4-FFF2-40B4-BE49-F238E27FC236}">
              <a16:creationId xmlns:a16="http://schemas.microsoft.com/office/drawing/2014/main" id="{00000000-0008-0000-0400-0000F5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50" name="Text Box 2">
          <a:extLst>
            <a:ext uri="{FF2B5EF4-FFF2-40B4-BE49-F238E27FC236}">
              <a16:creationId xmlns:a16="http://schemas.microsoft.com/office/drawing/2014/main" id="{00000000-0008-0000-0400-0000F6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51" name="Text Box 2">
          <a:extLst>
            <a:ext uri="{FF2B5EF4-FFF2-40B4-BE49-F238E27FC236}">
              <a16:creationId xmlns:a16="http://schemas.microsoft.com/office/drawing/2014/main" id="{00000000-0008-0000-0400-0000F7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52" name="Text Box 2">
          <a:extLst>
            <a:ext uri="{FF2B5EF4-FFF2-40B4-BE49-F238E27FC236}">
              <a16:creationId xmlns:a16="http://schemas.microsoft.com/office/drawing/2014/main" id="{00000000-0008-0000-0400-0000F8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53" name="Text Box 2">
          <a:extLst>
            <a:ext uri="{FF2B5EF4-FFF2-40B4-BE49-F238E27FC236}">
              <a16:creationId xmlns:a16="http://schemas.microsoft.com/office/drawing/2014/main" id="{00000000-0008-0000-0400-0000F9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54" name="Text Box 2">
          <a:extLst>
            <a:ext uri="{FF2B5EF4-FFF2-40B4-BE49-F238E27FC236}">
              <a16:creationId xmlns:a16="http://schemas.microsoft.com/office/drawing/2014/main" id="{00000000-0008-0000-0400-0000FA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55" name="Text Box 2">
          <a:extLst>
            <a:ext uri="{FF2B5EF4-FFF2-40B4-BE49-F238E27FC236}">
              <a16:creationId xmlns:a16="http://schemas.microsoft.com/office/drawing/2014/main" id="{00000000-0008-0000-0400-0000FB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56" name="Text Box 2">
          <a:extLst>
            <a:ext uri="{FF2B5EF4-FFF2-40B4-BE49-F238E27FC236}">
              <a16:creationId xmlns:a16="http://schemas.microsoft.com/office/drawing/2014/main" id="{00000000-0008-0000-0400-0000FC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57" name="Text Box 2">
          <a:extLst>
            <a:ext uri="{FF2B5EF4-FFF2-40B4-BE49-F238E27FC236}">
              <a16:creationId xmlns:a16="http://schemas.microsoft.com/office/drawing/2014/main" id="{00000000-0008-0000-0400-0000FD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58" name="Text Box 2">
          <a:extLst>
            <a:ext uri="{FF2B5EF4-FFF2-40B4-BE49-F238E27FC236}">
              <a16:creationId xmlns:a16="http://schemas.microsoft.com/office/drawing/2014/main" id="{00000000-0008-0000-0400-0000FE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59" name="Text Box 2">
          <a:extLst>
            <a:ext uri="{FF2B5EF4-FFF2-40B4-BE49-F238E27FC236}">
              <a16:creationId xmlns:a16="http://schemas.microsoft.com/office/drawing/2014/main" id="{00000000-0008-0000-0400-0000FF09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60" name="Text Box 2">
          <a:extLst>
            <a:ext uri="{FF2B5EF4-FFF2-40B4-BE49-F238E27FC236}">
              <a16:creationId xmlns:a16="http://schemas.microsoft.com/office/drawing/2014/main" id="{00000000-0008-0000-0400-000000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61" name="Text Box 2">
          <a:extLst>
            <a:ext uri="{FF2B5EF4-FFF2-40B4-BE49-F238E27FC236}">
              <a16:creationId xmlns:a16="http://schemas.microsoft.com/office/drawing/2014/main" id="{00000000-0008-0000-0400-000001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62" name="Text Box 2">
          <a:extLst>
            <a:ext uri="{FF2B5EF4-FFF2-40B4-BE49-F238E27FC236}">
              <a16:creationId xmlns:a16="http://schemas.microsoft.com/office/drawing/2014/main" id="{00000000-0008-0000-0400-000002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63" name="Text Box 2">
          <a:extLst>
            <a:ext uri="{FF2B5EF4-FFF2-40B4-BE49-F238E27FC236}">
              <a16:creationId xmlns:a16="http://schemas.microsoft.com/office/drawing/2014/main" id="{00000000-0008-0000-0400-000003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64" name="Text Box 2">
          <a:extLst>
            <a:ext uri="{FF2B5EF4-FFF2-40B4-BE49-F238E27FC236}">
              <a16:creationId xmlns:a16="http://schemas.microsoft.com/office/drawing/2014/main" id="{00000000-0008-0000-0400-000004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65" name="Text Box 2">
          <a:extLst>
            <a:ext uri="{FF2B5EF4-FFF2-40B4-BE49-F238E27FC236}">
              <a16:creationId xmlns:a16="http://schemas.microsoft.com/office/drawing/2014/main" id="{00000000-0008-0000-0400-000005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66" name="Text Box 2">
          <a:extLst>
            <a:ext uri="{FF2B5EF4-FFF2-40B4-BE49-F238E27FC236}">
              <a16:creationId xmlns:a16="http://schemas.microsoft.com/office/drawing/2014/main" id="{00000000-0008-0000-0400-000006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67" name="Text Box 2">
          <a:extLst>
            <a:ext uri="{FF2B5EF4-FFF2-40B4-BE49-F238E27FC236}">
              <a16:creationId xmlns:a16="http://schemas.microsoft.com/office/drawing/2014/main" id="{00000000-0008-0000-0400-000007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68" name="Text Box 2">
          <a:extLst>
            <a:ext uri="{FF2B5EF4-FFF2-40B4-BE49-F238E27FC236}">
              <a16:creationId xmlns:a16="http://schemas.microsoft.com/office/drawing/2014/main" id="{00000000-0008-0000-0400-000008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69" name="Text Box 2">
          <a:extLst>
            <a:ext uri="{FF2B5EF4-FFF2-40B4-BE49-F238E27FC236}">
              <a16:creationId xmlns:a16="http://schemas.microsoft.com/office/drawing/2014/main" id="{00000000-0008-0000-0400-000009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70" name="Text Box 2">
          <a:extLst>
            <a:ext uri="{FF2B5EF4-FFF2-40B4-BE49-F238E27FC236}">
              <a16:creationId xmlns:a16="http://schemas.microsoft.com/office/drawing/2014/main" id="{00000000-0008-0000-0400-00000A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71" name="Text Box 2">
          <a:extLst>
            <a:ext uri="{FF2B5EF4-FFF2-40B4-BE49-F238E27FC236}">
              <a16:creationId xmlns:a16="http://schemas.microsoft.com/office/drawing/2014/main" id="{00000000-0008-0000-0400-00000B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72" name="Text Box 2">
          <a:extLst>
            <a:ext uri="{FF2B5EF4-FFF2-40B4-BE49-F238E27FC236}">
              <a16:creationId xmlns:a16="http://schemas.microsoft.com/office/drawing/2014/main" id="{00000000-0008-0000-0400-00000C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73" name="Text Box 2">
          <a:extLst>
            <a:ext uri="{FF2B5EF4-FFF2-40B4-BE49-F238E27FC236}">
              <a16:creationId xmlns:a16="http://schemas.microsoft.com/office/drawing/2014/main" id="{00000000-0008-0000-0400-00000D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74" name="Text Box 2">
          <a:extLst>
            <a:ext uri="{FF2B5EF4-FFF2-40B4-BE49-F238E27FC236}">
              <a16:creationId xmlns:a16="http://schemas.microsoft.com/office/drawing/2014/main" id="{00000000-0008-0000-0400-00000E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75" name="Text Box 2">
          <a:extLst>
            <a:ext uri="{FF2B5EF4-FFF2-40B4-BE49-F238E27FC236}">
              <a16:creationId xmlns:a16="http://schemas.microsoft.com/office/drawing/2014/main" id="{00000000-0008-0000-0400-00000F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76" name="Text Box 2">
          <a:extLst>
            <a:ext uri="{FF2B5EF4-FFF2-40B4-BE49-F238E27FC236}">
              <a16:creationId xmlns:a16="http://schemas.microsoft.com/office/drawing/2014/main" id="{00000000-0008-0000-0400-000010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77" name="Text Box 2">
          <a:extLst>
            <a:ext uri="{FF2B5EF4-FFF2-40B4-BE49-F238E27FC236}">
              <a16:creationId xmlns:a16="http://schemas.microsoft.com/office/drawing/2014/main" id="{00000000-0008-0000-0400-000011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78" name="Text Box 2">
          <a:extLst>
            <a:ext uri="{FF2B5EF4-FFF2-40B4-BE49-F238E27FC236}">
              <a16:creationId xmlns:a16="http://schemas.microsoft.com/office/drawing/2014/main" id="{00000000-0008-0000-0400-000012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79" name="Text Box 2">
          <a:extLst>
            <a:ext uri="{FF2B5EF4-FFF2-40B4-BE49-F238E27FC236}">
              <a16:creationId xmlns:a16="http://schemas.microsoft.com/office/drawing/2014/main" id="{00000000-0008-0000-0400-000013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80" name="Text Box 2">
          <a:extLst>
            <a:ext uri="{FF2B5EF4-FFF2-40B4-BE49-F238E27FC236}">
              <a16:creationId xmlns:a16="http://schemas.microsoft.com/office/drawing/2014/main" id="{00000000-0008-0000-0400-000014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81" name="Text Box 2">
          <a:extLst>
            <a:ext uri="{FF2B5EF4-FFF2-40B4-BE49-F238E27FC236}">
              <a16:creationId xmlns:a16="http://schemas.microsoft.com/office/drawing/2014/main" id="{00000000-0008-0000-0400-000015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82" name="Text Box 2">
          <a:extLst>
            <a:ext uri="{FF2B5EF4-FFF2-40B4-BE49-F238E27FC236}">
              <a16:creationId xmlns:a16="http://schemas.microsoft.com/office/drawing/2014/main" id="{00000000-0008-0000-0400-000016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83" name="Text Box 2">
          <a:extLst>
            <a:ext uri="{FF2B5EF4-FFF2-40B4-BE49-F238E27FC236}">
              <a16:creationId xmlns:a16="http://schemas.microsoft.com/office/drawing/2014/main" id="{00000000-0008-0000-0400-000017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84" name="Text Box 2">
          <a:extLst>
            <a:ext uri="{FF2B5EF4-FFF2-40B4-BE49-F238E27FC236}">
              <a16:creationId xmlns:a16="http://schemas.microsoft.com/office/drawing/2014/main" id="{00000000-0008-0000-0400-000018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85" name="Text Box 2">
          <a:extLst>
            <a:ext uri="{FF2B5EF4-FFF2-40B4-BE49-F238E27FC236}">
              <a16:creationId xmlns:a16="http://schemas.microsoft.com/office/drawing/2014/main" id="{00000000-0008-0000-0400-000019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86" name="Text Box 2">
          <a:extLst>
            <a:ext uri="{FF2B5EF4-FFF2-40B4-BE49-F238E27FC236}">
              <a16:creationId xmlns:a16="http://schemas.microsoft.com/office/drawing/2014/main" id="{00000000-0008-0000-0400-00001A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87" name="Text Box 2">
          <a:extLst>
            <a:ext uri="{FF2B5EF4-FFF2-40B4-BE49-F238E27FC236}">
              <a16:creationId xmlns:a16="http://schemas.microsoft.com/office/drawing/2014/main" id="{00000000-0008-0000-0400-00001B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88" name="Text Box 2">
          <a:extLst>
            <a:ext uri="{FF2B5EF4-FFF2-40B4-BE49-F238E27FC236}">
              <a16:creationId xmlns:a16="http://schemas.microsoft.com/office/drawing/2014/main" id="{00000000-0008-0000-0400-00001C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89" name="Text Box 2">
          <a:extLst>
            <a:ext uri="{FF2B5EF4-FFF2-40B4-BE49-F238E27FC236}">
              <a16:creationId xmlns:a16="http://schemas.microsoft.com/office/drawing/2014/main" id="{00000000-0008-0000-0400-00001D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90" name="Text Box 2">
          <a:extLst>
            <a:ext uri="{FF2B5EF4-FFF2-40B4-BE49-F238E27FC236}">
              <a16:creationId xmlns:a16="http://schemas.microsoft.com/office/drawing/2014/main" id="{00000000-0008-0000-0400-00001E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91" name="Text Box 2">
          <a:extLst>
            <a:ext uri="{FF2B5EF4-FFF2-40B4-BE49-F238E27FC236}">
              <a16:creationId xmlns:a16="http://schemas.microsoft.com/office/drawing/2014/main" id="{00000000-0008-0000-0400-00001F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92" name="Text Box 2">
          <a:extLst>
            <a:ext uri="{FF2B5EF4-FFF2-40B4-BE49-F238E27FC236}">
              <a16:creationId xmlns:a16="http://schemas.microsoft.com/office/drawing/2014/main" id="{00000000-0008-0000-0400-000020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93" name="Text Box 2">
          <a:extLst>
            <a:ext uri="{FF2B5EF4-FFF2-40B4-BE49-F238E27FC236}">
              <a16:creationId xmlns:a16="http://schemas.microsoft.com/office/drawing/2014/main" id="{00000000-0008-0000-0400-000021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94" name="Text Box 2">
          <a:extLst>
            <a:ext uri="{FF2B5EF4-FFF2-40B4-BE49-F238E27FC236}">
              <a16:creationId xmlns:a16="http://schemas.microsoft.com/office/drawing/2014/main" id="{00000000-0008-0000-0400-000022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95" name="Text Box 2">
          <a:extLst>
            <a:ext uri="{FF2B5EF4-FFF2-40B4-BE49-F238E27FC236}">
              <a16:creationId xmlns:a16="http://schemas.microsoft.com/office/drawing/2014/main" id="{00000000-0008-0000-0400-000023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96" name="Text Box 2">
          <a:extLst>
            <a:ext uri="{FF2B5EF4-FFF2-40B4-BE49-F238E27FC236}">
              <a16:creationId xmlns:a16="http://schemas.microsoft.com/office/drawing/2014/main" id="{00000000-0008-0000-0400-000024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97" name="Text Box 2">
          <a:extLst>
            <a:ext uri="{FF2B5EF4-FFF2-40B4-BE49-F238E27FC236}">
              <a16:creationId xmlns:a16="http://schemas.microsoft.com/office/drawing/2014/main" id="{00000000-0008-0000-0400-000025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98" name="Text Box 2">
          <a:extLst>
            <a:ext uri="{FF2B5EF4-FFF2-40B4-BE49-F238E27FC236}">
              <a16:creationId xmlns:a16="http://schemas.microsoft.com/office/drawing/2014/main" id="{00000000-0008-0000-0400-000026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599" name="Text Box 2">
          <a:extLst>
            <a:ext uri="{FF2B5EF4-FFF2-40B4-BE49-F238E27FC236}">
              <a16:creationId xmlns:a16="http://schemas.microsoft.com/office/drawing/2014/main" id="{00000000-0008-0000-0400-000027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00" name="Text Box 2">
          <a:extLst>
            <a:ext uri="{FF2B5EF4-FFF2-40B4-BE49-F238E27FC236}">
              <a16:creationId xmlns:a16="http://schemas.microsoft.com/office/drawing/2014/main" id="{00000000-0008-0000-0400-000028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01" name="Text Box 2">
          <a:extLst>
            <a:ext uri="{FF2B5EF4-FFF2-40B4-BE49-F238E27FC236}">
              <a16:creationId xmlns:a16="http://schemas.microsoft.com/office/drawing/2014/main" id="{00000000-0008-0000-0400-000029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02" name="Text Box 2">
          <a:extLst>
            <a:ext uri="{FF2B5EF4-FFF2-40B4-BE49-F238E27FC236}">
              <a16:creationId xmlns:a16="http://schemas.microsoft.com/office/drawing/2014/main" id="{00000000-0008-0000-0400-00002A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03" name="Text Box 2">
          <a:extLst>
            <a:ext uri="{FF2B5EF4-FFF2-40B4-BE49-F238E27FC236}">
              <a16:creationId xmlns:a16="http://schemas.microsoft.com/office/drawing/2014/main" id="{00000000-0008-0000-0400-00002B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04" name="Text Box 2">
          <a:extLst>
            <a:ext uri="{FF2B5EF4-FFF2-40B4-BE49-F238E27FC236}">
              <a16:creationId xmlns:a16="http://schemas.microsoft.com/office/drawing/2014/main" id="{00000000-0008-0000-0400-00002C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05" name="Text Box 2">
          <a:extLst>
            <a:ext uri="{FF2B5EF4-FFF2-40B4-BE49-F238E27FC236}">
              <a16:creationId xmlns:a16="http://schemas.microsoft.com/office/drawing/2014/main" id="{00000000-0008-0000-0400-00002D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06" name="Text Box 2">
          <a:extLst>
            <a:ext uri="{FF2B5EF4-FFF2-40B4-BE49-F238E27FC236}">
              <a16:creationId xmlns:a16="http://schemas.microsoft.com/office/drawing/2014/main" id="{00000000-0008-0000-0400-00002E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07" name="Text Box 2">
          <a:extLst>
            <a:ext uri="{FF2B5EF4-FFF2-40B4-BE49-F238E27FC236}">
              <a16:creationId xmlns:a16="http://schemas.microsoft.com/office/drawing/2014/main" id="{00000000-0008-0000-0400-00002F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08" name="Text Box 2">
          <a:extLst>
            <a:ext uri="{FF2B5EF4-FFF2-40B4-BE49-F238E27FC236}">
              <a16:creationId xmlns:a16="http://schemas.microsoft.com/office/drawing/2014/main" id="{00000000-0008-0000-0400-000030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09" name="Text Box 2">
          <a:extLst>
            <a:ext uri="{FF2B5EF4-FFF2-40B4-BE49-F238E27FC236}">
              <a16:creationId xmlns:a16="http://schemas.microsoft.com/office/drawing/2014/main" id="{00000000-0008-0000-0400-000031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10" name="Text Box 2">
          <a:extLst>
            <a:ext uri="{FF2B5EF4-FFF2-40B4-BE49-F238E27FC236}">
              <a16:creationId xmlns:a16="http://schemas.microsoft.com/office/drawing/2014/main" id="{00000000-0008-0000-0400-000032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11" name="Text Box 2">
          <a:extLst>
            <a:ext uri="{FF2B5EF4-FFF2-40B4-BE49-F238E27FC236}">
              <a16:creationId xmlns:a16="http://schemas.microsoft.com/office/drawing/2014/main" id="{00000000-0008-0000-0400-000033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12" name="Text Box 2">
          <a:extLst>
            <a:ext uri="{FF2B5EF4-FFF2-40B4-BE49-F238E27FC236}">
              <a16:creationId xmlns:a16="http://schemas.microsoft.com/office/drawing/2014/main" id="{00000000-0008-0000-0400-000034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13" name="Text Box 2">
          <a:extLst>
            <a:ext uri="{FF2B5EF4-FFF2-40B4-BE49-F238E27FC236}">
              <a16:creationId xmlns:a16="http://schemas.microsoft.com/office/drawing/2014/main" id="{00000000-0008-0000-0400-000035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14" name="Text Box 2">
          <a:extLst>
            <a:ext uri="{FF2B5EF4-FFF2-40B4-BE49-F238E27FC236}">
              <a16:creationId xmlns:a16="http://schemas.microsoft.com/office/drawing/2014/main" id="{00000000-0008-0000-0400-000036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15" name="Text Box 2">
          <a:extLst>
            <a:ext uri="{FF2B5EF4-FFF2-40B4-BE49-F238E27FC236}">
              <a16:creationId xmlns:a16="http://schemas.microsoft.com/office/drawing/2014/main" id="{00000000-0008-0000-0400-000037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16" name="Text Box 2">
          <a:extLst>
            <a:ext uri="{FF2B5EF4-FFF2-40B4-BE49-F238E27FC236}">
              <a16:creationId xmlns:a16="http://schemas.microsoft.com/office/drawing/2014/main" id="{00000000-0008-0000-0400-000038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17" name="Text Box 2">
          <a:extLst>
            <a:ext uri="{FF2B5EF4-FFF2-40B4-BE49-F238E27FC236}">
              <a16:creationId xmlns:a16="http://schemas.microsoft.com/office/drawing/2014/main" id="{00000000-0008-0000-0400-000039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18" name="Text Box 2">
          <a:extLst>
            <a:ext uri="{FF2B5EF4-FFF2-40B4-BE49-F238E27FC236}">
              <a16:creationId xmlns:a16="http://schemas.microsoft.com/office/drawing/2014/main" id="{00000000-0008-0000-0400-00003A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19" name="Text Box 2">
          <a:extLst>
            <a:ext uri="{FF2B5EF4-FFF2-40B4-BE49-F238E27FC236}">
              <a16:creationId xmlns:a16="http://schemas.microsoft.com/office/drawing/2014/main" id="{00000000-0008-0000-0400-00003B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20" name="Text Box 2">
          <a:extLst>
            <a:ext uri="{FF2B5EF4-FFF2-40B4-BE49-F238E27FC236}">
              <a16:creationId xmlns:a16="http://schemas.microsoft.com/office/drawing/2014/main" id="{00000000-0008-0000-0400-00003C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21" name="Text Box 2">
          <a:extLst>
            <a:ext uri="{FF2B5EF4-FFF2-40B4-BE49-F238E27FC236}">
              <a16:creationId xmlns:a16="http://schemas.microsoft.com/office/drawing/2014/main" id="{00000000-0008-0000-0400-00003D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22" name="Text Box 2">
          <a:extLst>
            <a:ext uri="{FF2B5EF4-FFF2-40B4-BE49-F238E27FC236}">
              <a16:creationId xmlns:a16="http://schemas.microsoft.com/office/drawing/2014/main" id="{00000000-0008-0000-0400-00003E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23" name="Text Box 2">
          <a:extLst>
            <a:ext uri="{FF2B5EF4-FFF2-40B4-BE49-F238E27FC236}">
              <a16:creationId xmlns:a16="http://schemas.microsoft.com/office/drawing/2014/main" id="{00000000-0008-0000-0400-00003F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24" name="Text Box 2">
          <a:extLst>
            <a:ext uri="{FF2B5EF4-FFF2-40B4-BE49-F238E27FC236}">
              <a16:creationId xmlns:a16="http://schemas.microsoft.com/office/drawing/2014/main" id="{00000000-0008-0000-0400-000040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25" name="Text Box 2">
          <a:extLst>
            <a:ext uri="{FF2B5EF4-FFF2-40B4-BE49-F238E27FC236}">
              <a16:creationId xmlns:a16="http://schemas.microsoft.com/office/drawing/2014/main" id="{00000000-0008-0000-0400-000041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26" name="Text Box 2">
          <a:extLst>
            <a:ext uri="{FF2B5EF4-FFF2-40B4-BE49-F238E27FC236}">
              <a16:creationId xmlns:a16="http://schemas.microsoft.com/office/drawing/2014/main" id="{00000000-0008-0000-0400-000042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27" name="Text Box 2">
          <a:extLst>
            <a:ext uri="{FF2B5EF4-FFF2-40B4-BE49-F238E27FC236}">
              <a16:creationId xmlns:a16="http://schemas.microsoft.com/office/drawing/2014/main" id="{00000000-0008-0000-0400-000043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28" name="Text Box 2">
          <a:extLst>
            <a:ext uri="{FF2B5EF4-FFF2-40B4-BE49-F238E27FC236}">
              <a16:creationId xmlns:a16="http://schemas.microsoft.com/office/drawing/2014/main" id="{00000000-0008-0000-0400-000044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29" name="Text Box 2">
          <a:extLst>
            <a:ext uri="{FF2B5EF4-FFF2-40B4-BE49-F238E27FC236}">
              <a16:creationId xmlns:a16="http://schemas.microsoft.com/office/drawing/2014/main" id="{00000000-0008-0000-0400-000045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30" name="Text Box 2">
          <a:extLst>
            <a:ext uri="{FF2B5EF4-FFF2-40B4-BE49-F238E27FC236}">
              <a16:creationId xmlns:a16="http://schemas.microsoft.com/office/drawing/2014/main" id="{00000000-0008-0000-0400-000046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31" name="Text Box 2">
          <a:extLst>
            <a:ext uri="{FF2B5EF4-FFF2-40B4-BE49-F238E27FC236}">
              <a16:creationId xmlns:a16="http://schemas.microsoft.com/office/drawing/2014/main" id="{00000000-0008-0000-0400-000047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32" name="Text Box 2">
          <a:extLst>
            <a:ext uri="{FF2B5EF4-FFF2-40B4-BE49-F238E27FC236}">
              <a16:creationId xmlns:a16="http://schemas.microsoft.com/office/drawing/2014/main" id="{00000000-0008-0000-0400-000048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33" name="Text Box 2">
          <a:extLst>
            <a:ext uri="{FF2B5EF4-FFF2-40B4-BE49-F238E27FC236}">
              <a16:creationId xmlns:a16="http://schemas.microsoft.com/office/drawing/2014/main" id="{00000000-0008-0000-0400-000049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34" name="Text Box 2">
          <a:extLst>
            <a:ext uri="{FF2B5EF4-FFF2-40B4-BE49-F238E27FC236}">
              <a16:creationId xmlns:a16="http://schemas.microsoft.com/office/drawing/2014/main" id="{00000000-0008-0000-0400-00004A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35" name="Text Box 2">
          <a:extLst>
            <a:ext uri="{FF2B5EF4-FFF2-40B4-BE49-F238E27FC236}">
              <a16:creationId xmlns:a16="http://schemas.microsoft.com/office/drawing/2014/main" id="{00000000-0008-0000-0400-00004B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36" name="Text Box 2">
          <a:extLst>
            <a:ext uri="{FF2B5EF4-FFF2-40B4-BE49-F238E27FC236}">
              <a16:creationId xmlns:a16="http://schemas.microsoft.com/office/drawing/2014/main" id="{00000000-0008-0000-0400-00004C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37" name="Text Box 2">
          <a:extLst>
            <a:ext uri="{FF2B5EF4-FFF2-40B4-BE49-F238E27FC236}">
              <a16:creationId xmlns:a16="http://schemas.microsoft.com/office/drawing/2014/main" id="{00000000-0008-0000-0400-00004D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38" name="Text Box 2">
          <a:extLst>
            <a:ext uri="{FF2B5EF4-FFF2-40B4-BE49-F238E27FC236}">
              <a16:creationId xmlns:a16="http://schemas.microsoft.com/office/drawing/2014/main" id="{00000000-0008-0000-0400-00004E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39" name="Text Box 2">
          <a:extLst>
            <a:ext uri="{FF2B5EF4-FFF2-40B4-BE49-F238E27FC236}">
              <a16:creationId xmlns:a16="http://schemas.microsoft.com/office/drawing/2014/main" id="{00000000-0008-0000-0400-00004F0A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40" name="Text Box 2">
          <a:extLst>
            <a:ext uri="{FF2B5EF4-FFF2-40B4-BE49-F238E27FC236}">
              <a16:creationId xmlns:a16="http://schemas.microsoft.com/office/drawing/2014/main" id="{00000000-0008-0000-0400-0000500A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41" name="Text Box 2">
          <a:extLst>
            <a:ext uri="{FF2B5EF4-FFF2-40B4-BE49-F238E27FC236}">
              <a16:creationId xmlns:a16="http://schemas.microsoft.com/office/drawing/2014/main" id="{00000000-0008-0000-0400-0000510A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42" name="Text Box 2">
          <a:extLst>
            <a:ext uri="{FF2B5EF4-FFF2-40B4-BE49-F238E27FC236}">
              <a16:creationId xmlns:a16="http://schemas.microsoft.com/office/drawing/2014/main" id="{00000000-0008-0000-0400-0000520A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43" name="Text Box 2">
          <a:extLst>
            <a:ext uri="{FF2B5EF4-FFF2-40B4-BE49-F238E27FC236}">
              <a16:creationId xmlns:a16="http://schemas.microsoft.com/office/drawing/2014/main" id="{00000000-0008-0000-0400-0000530A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44" name="Text Box 2">
          <a:extLst>
            <a:ext uri="{FF2B5EF4-FFF2-40B4-BE49-F238E27FC236}">
              <a16:creationId xmlns:a16="http://schemas.microsoft.com/office/drawing/2014/main" id="{00000000-0008-0000-0400-0000540A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45" name="Text Box 2">
          <a:extLst>
            <a:ext uri="{FF2B5EF4-FFF2-40B4-BE49-F238E27FC236}">
              <a16:creationId xmlns:a16="http://schemas.microsoft.com/office/drawing/2014/main" id="{00000000-0008-0000-0400-0000550A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46" name="Text Box 2">
          <a:extLst>
            <a:ext uri="{FF2B5EF4-FFF2-40B4-BE49-F238E27FC236}">
              <a16:creationId xmlns:a16="http://schemas.microsoft.com/office/drawing/2014/main" id="{00000000-0008-0000-0400-0000560A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47" name="Text Box 2">
          <a:extLst>
            <a:ext uri="{FF2B5EF4-FFF2-40B4-BE49-F238E27FC236}">
              <a16:creationId xmlns:a16="http://schemas.microsoft.com/office/drawing/2014/main" id="{00000000-0008-0000-0400-0000570A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48" name="Text Box 2">
          <a:extLst>
            <a:ext uri="{FF2B5EF4-FFF2-40B4-BE49-F238E27FC236}">
              <a16:creationId xmlns:a16="http://schemas.microsoft.com/office/drawing/2014/main" id="{00000000-0008-0000-0400-0000580A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49" name="Text Box 2">
          <a:extLst>
            <a:ext uri="{FF2B5EF4-FFF2-40B4-BE49-F238E27FC236}">
              <a16:creationId xmlns:a16="http://schemas.microsoft.com/office/drawing/2014/main" id="{00000000-0008-0000-0400-0000590A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650" name="Text Box 2">
          <a:extLst>
            <a:ext uri="{FF2B5EF4-FFF2-40B4-BE49-F238E27FC236}">
              <a16:creationId xmlns:a16="http://schemas.microsoft.com/office/drawing/2014/main" id="{00000000-0008-0000-0400-00005A0A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51" name="Text Box 2">
          <a:extLst>
            <a:ext uri="{FF2B5EF4-FFF2-40B4-BE49-F238E27FC236}">
              <a16:creationId xmlns:a16="http://schemas.microsoft.com/office/drawing/2014/main" id="{00000000-0008-0000-0400-00005B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52" name="Text Box 2">
          <a:extLst>
            <a:ext uri="{FF2B5EF4-FFF2-40B4-BE49-F238E27FC236}">
              <a16:creationId xmlns:a16="http://schemas.microsoft.com/office/drawing/2014/main" id="{00000000-0008-0000-0400-00005C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53" name="Text Box 2">
          <a:extLst>
            <a:ext uri="{FF2B5EF4-FFF2-40B4-BE49-F238E27FC236}">
              <a16:creationId xmlns:a16="http://schemas.microsoft.com/office/drawing/2014/main" id="{00000000-0008-0000-0400-00005D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54" name="Text Box 2">
          <a:extLst>
            <a:ext uri="{FF2B5EF4-FFF2-40B4-BE49-F238E27FC236}">
              <a16:creationId xmlns:a16="http://schemas.microsoft.com/office/drawing/2014/main" id="{00000000-0008-0000-0400-00005E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55" name="Text Box 2">
          <a:extLst>
            <a:ext uri="{FF2B5EF4-FFF2-40B4-BE49-F238E27FC236}">
              <a16:creationId xmlns:a16="http://schemas.microsoft.com/office/drawing/2014/main" id="{00000000-0008-0000-0400-00005F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56" name="Text Box 2">
          <a:extLst>
            <a:ext uri="{FF2B5EF4-FFF2-40B4-BE49-F238E27FC236}">
              <a16:creationId xmlns:a16="http://schemas.microsoft.com/office/drawing/2014/main" id="{00000000-0008-0000-0400-000060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57" name="Text Box 2">
          <a:extLst>
            <a:ext uri="{FF2B5EF4-FFF2-40B4-BE49-F238E27FC236}">
              <a16:creationId xmlns:a16="http://schemas.microsoft.com/office/drawing/2014/main" id="{00000000-0008-0000-0400-000061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58" name="Text Box 2">
          <a:extLst>
            <a:ext uri="{FF2B5EF4-FFF2-40B4-BE49-F238E27FC236}">
              <a16:creationId xmlns:a16="http://schemas.microsoft.com/office/drawing/2014/main" id="{00000000-0008-0000-0400-000062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59" name="Text Box 2">
          <a:extLst>
            <a:ext uri="{FF2B5EF4-FFF2-40B4-BE49-F238E27FC236}">
              <a16:creationId xmlns:a16="http://schemas.microsoft.com/office/drawing/2014/main" id="{00000000-0008-0000-0400-000063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60" name="Text Box 2">
          <a:extLst>
            <a:ext uri="{FF2B5EF4-FFF2-40B4-BE49-F238E27FC236}">
              <a16:creationId xmlns:a16="http://schemas.microsoft.com/office/drawing/2014/main" id="{00000000-0008-0000-0400-000064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61" name="Text Box 2">
          <a:extLst>
            <a:ext uri="{FF2B5EF4-FFF2-40B4-BE49-F238E27FC236}">
              <a16:creationId xmlns:a16="http://schemas.microsoft.com/office/drawing/2014/main" id="{00000000-0008-0000-0400-000065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62" name="Text Box 2">
          <a:extLst>
            <a:ext uri="{FF2B5EF4-FFF2-40B4-BE49-F238E27FC236}">
              <a16:creationId xmlns:a16="http://schemas.microsoft.com/office/drawing/2014/main" id="{00000000-0008-0000-0400-000066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63" name="Text Box 2">
          <a:extLst>
            <a:ext uri="{FF2B5EF4-FFF2-40B4-BE49-F238E27FC236}">
              <a16:creationId xmlns:a16="http://schemas.microsoft.com/office/drawing/2014/main" id="{00000000-0008-0000-0400-000067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64" name="Text Box 2">
          <a:extLst>
            <a:ext uri="{FF2B5EF4-FFF2-40B4-BE49-F238E27FC236}">
              <a16:creationId xmlns:a16="http://schemas.microsoft.com/office/drawing/2014/main" id="{00000000-0008-0000-0400-000068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65" name="Text Box 2">
          <a:extLst>
            <a:ext uri="{FF2B5EF4-FFF2-40B4-BE49-F238E27FC236}">
              <a16:creationId xmlns:a16="http://schemas.microsoft.com/office/drawing/2014/main" id="{00000000-0008-0000-0400-000069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66" name="Text Box 2">
          <a:extLst>
            <a:ext uri="{FF2B5EF4-FFF2-40B4-BE49-F238E27FC236}">
              <a16:creationId xmlns:a16="http://schemas.microsoft.com/office/drawing/2014/main" id="{00000000-0008-0000-0400-00006A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67" name="Text Box 2">
          <a:extLst>
            <a:ext uri="{FF2B5EF4-FFF2-40B4-BE49-F238E27FC236}">
              <a16:creationId xmlns:a16="http://schemas.microsoft.com/office/drawing/2014/main" id="{00000000-0008-0000-0400-00006B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68" name="Text Box 2">
          <a:extLst>
            <a:ext uri="{FF2B5EF4-FFF2-40B4-BE49-F238E27FC236}">
              <a16:creationId xmlns:a16="http://schemas.microsoft.com/office/drawing/2014/main" id="{00000000-0008-0000-0400-00006C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69" name="Text Box 2">
          <a:extLst>
            <a:ext uri="{FF2B5EF4-FFF2-40B4-BE49-F238E27FC236}">
              <a16:creationId xmlns:a16="http://schemas.microsoft.com/office/drawing/2014/main" id="{00000000-0008-0000-0400-00006D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70" name="Text Box 2">
          <a:extLst>
            <a:ext uri="{FF2B5EF4-FFF2-40B4-BE49-F238E27FC236}">
              <a16:creationId xmlns:a16="http://schemas.microsoft.com/office/drawing/2014/main" id="{00000000-0008-0000-0400-00006E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71" name="Text Box 2">
          <a:extLst>
            <a:ext uri="{FF2B5EF4-FFF2-40B4-BE49-F238E27FC236}">
              <a16:creationId xmlns:a16="http://schemas.microsoft.com/office/drawing/2014/main" id="{00000000-0008-0000-0400-00006F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72" name="Text Box 2">
          <a:extLst>
            <a:ext uri="{FF2B5EF4-FFF2-40B4-BE49-F238E27FC236}">
              <a16:creationId xmlns:a16="http://schemas.microsoft.com/office/drawing/2014/main" id="{00000000-0008-0000-0400-000070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73" name="Text Box 2">
          <a:extLst>
            <a:ext uri="{FF2B5EF4-FFF2-40B4-BE49-F238E27FC236}">
              <a16:creationId xmlns:a16="http://schemas.microsoft.com/office/drawing/2014/main" id="{00000000-0008-0000-0400-000071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74" name="Text Box 2">
          <a:extLst>
            <a:ext uri="{FF2B5EF4-FFF2-40B4-BE49-F238E27FC236}">
              <a16:creationId xmlns:a16="http://schemas.microsoft.com/office/drawing/2014/main" id="{00000000-0008-0000-0400-000072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75" name="Text Box 2">
          <a:extLst>
            <a:ext uri="{FF2B5EF4-FFF2-40B4-BE49-F238E27FC236}">
              <a16:creationId xmlns:a16="http://schemas.microsoft.com/office/drawing/2014/main" id="{00000000-0008-0000-0400-000073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76" name="Text Box 2">
          <a:extLst>
            <a:ext uri="{FF2B5EF4-FFF2-40B4-BE49-F238E27FC236}">
              <a16:creationId xmlns:a16="http://schemas.microsoft.com/office/drawing/2014/main" id="{00000000-0008-0000-0400-000074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77" name="Text Box 2">
          <a:extLst>
            <a:ext uri="{FF2B5EF4-FFF2-40B4-BE49-F238E27FC236}">
              <a16:creationId xmlns:a16="http://schemas.microsoft.com/office/drawing/2014/main" id="{00000000-0008-0000-0400-000075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78" name="Text Box 2">
          <a:extLst>
            <a:ext uri="{FF2B5EF4-FFF2-40B4-BE49-F238E27FC236}">
              <a16:creationId xmlns:a16="http://schemas.microsoft.com/office/drawing/2014/main" id="{00000000-0008-0000-0400-000076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79" name="Text Box 2">
          <a:extLst>
            <a:ext uri="{FF2B5EF4-FFF2-40B4-BE49-F238E27FC236}">
              <a16:creationId xmlns:a16="http://schemas.microsoft.com/office/drawing/2014/main" id="{00000000-0008-0000-0400-000077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80" name="Text Box 2">
          <a:extLst>
            <a:ext uri="{FF2B5EF4-FFF2-40B4-BE49-F238E27FC236}">
              <a16:creationId xmlns:a16="http://schemas.microsoft.com/office/drawing/2014/main" id="{00000000-0008-0000-0400-000078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81" name="Text Box 2">
          <a:extLst>
            <a:ext uri="{FF2B5EF4-FFF2-40B4-BE49-F238E27FC236}">
              <a16:creationId xmlns:a16="http://schemas.microsoft.com/office/drawing/2014/main" id="{00000000-0008-0000-0400-000079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82" name="Text Box 2">
          <a:extLst>
            <a:ext uri="{FF2B5EF4-FFF2-40B4-BE49-F238E27FC236}">
              <a16:creationId xmlns:a16="http://schemas.microsoft.com/office/drawing/2014/main" id="{00000000-0008-0000-0400-00007A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83" name="Text Box 2">
          <a:extLst>
            <a:ext uri="{FF2B5EF4-FFF2-40B4-BE49-F238E27FC236}">
              <a16:creationId xmlns:a16="http://schemas.microsoft.com/office/drawing/2014/main" id="{00000000-0008-0000-0400-00007B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84" name="Text Box 2">
          <a:extLst>
            <a:ext uri="{FF2B5EF4-FFF2-40B4-BE49-F238E27FC236}">
              <a16:creationId xmlns:a16="http://schemas.microsoft.com/office/drawing/2014/main" id="{00000000-0008-0000-0400-00007C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85" name="Text Box 2">
          <a:extLst>
            <a:ext uri="{FF2B5EF4-FFF2-40B4-BE49-F238E27FC236}">
              <a16:creationId xmlns:a16="http://schemas.microsoft.com/office/drawing/2014/main" id="{00000000-0008-0000-0400-00007D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86" name="Text Box 2">
          <a:extLst>
            <a:ext uri="{FF2B5EF4-FFF2-40B4-BE49-F238E27FC236}">
              <a16:creationId xmlns:a16="http://schemas.microsoft.com/office/drawing/2014/main" id="{00000000-0008-0000-0400-00007E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87" name="Text Box 2">
          <a:extLst>
            <a:ext uri="{FF2B5EF4-FFF2-40B4-BE49-F238E27FC236}">
              <a16:creationId xmlns:a16="http://schemas.microsoft.com/office/drawing/2014/main" id="{00000000-0008-0000-0400-00007F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88" name="Text Box 2">
          <a:extLst>
            <a:ext uri="{FF2B5EF4-FFF2-40B4-BE49-F238E27FC236}">
              <a16:creationId xmlns:a16="http://schemas.microsoft.com/office/drawing/2014/main" id="{00000000-0008-0000-0400-000080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89" name="Text Box 2">
          <a:extLst>
            <a:ext uri="{FF2B5EF4-FFF2-40B4-BE49-F238E27FC236}">
              <a16:creationId xmlns:a16="http://schemas.microsoft.com/office/drawing/2014/main" id="{00000000-0008-0000-0400-000081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90" name="Text Box 2">
          <a:extLst>
            <a:ext uri="{FF2B5EF4-FFF2-40B4-BE49-F238E27FC236}">
              <a16:creationId xmlns:a16="http://schemas.microsoft.com/office/drawing/2014/main" id="{00000000-0008-0000-0400-000082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91" name="Text Box 2">
          <a:extLst>
            <a:ext uri="{FF2B5EF4-FFF2-40B4-BE49-F238E27FC236}">
              <a16:creationId xmlns:a16="http://schemas.microsoft.com/office/drawing/2014/main" id="{00000000-0008-0000-0400-000083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92" name="Text Box 2">
          <a:extLst>
            <a:ext uri="{FF2B5EF4-FFF2-40B4-BE49-F238E27FC236}">
              <a16:creationId xmlns:a16="http://schemas.microsoft.com/office/drawing/2014/main" id="{00000000-0008-0000-0400-000084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93" name="Text Box 2">
          <a:extLst>
            <a:ext uri="{FF2B5EF4-FFF2-40B4-BE49-F238E27FC236}">
              <a16:creationId xmlns:a16="http://schemas.microsoft.com/office/drawing/2014/main" id="{00000000-0008-0000-0400-000085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94" name="Text Box 2">
          <a:extLst>
            <a:ext uri="{FF2B5EF4-FFF2-40B4-BE49-F238E27FC236}">
              <a16:creationId xmlns:a16="http://schemas.microsoft.com/office/drawing/2014/main" id="{00000000-0008-0000-0400-000086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95" name="Text Box 2">
          <a:extLst>
            <a:ext uri="{FF2B5EF4-FFF2-40B4-BE49-F238E27FC236}">
              <a16:creationId xmlns:a16="http://schemas.microsoft.com/office/drawing/2014/main" id="{00000000-0008-0000-0400-000087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96" name="Text Box 2">
          <a:extLst>
            <a:ext uri="{FF2B5EF4-FFF2-40B4-BE49-F238E27FC236}">
              <a16:creationId xmlns:a16="http://schemas.microsoft.com/office/drawing/2014/main" id="{00000000-0008-0000-0400-000088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97" name="Text Box 2">
          <a:extLst>
            <a:ext uri="{FF2B5EF4-FFF2-40B4-BE49-F238E27FC236}">
              <a16:creationId xmlns:a16="http://schemas.microsoft.com/office/drawing/2014/main" id="{00000000-0008-0000-0400-000089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98" name="Text Box 2">
          <a:extLst>
            <a:ext uri="{FF2B5EF4-FFF2-40B4-BE49-F238E27FC236}">
              <a16:creationId xmlns:a16="http://schemas.microsoft.com/office/drawing/2014/main" id="{00000000-0008-0000-0400-00008A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699" name="Text Box 2">
          <a:extLst>
            <a:ext uri="{FF2B5EF4-FFF2-40B4-BE49-F238E27FC236}">
              <a16:creationId xmlns:a16="http://schemas.microsoft.com/office/drawing/2014/main" id="{00000000-0008-0000-0400-00008B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00" name="Text Box 2">
          <a:extLst>
            <a:ext uri="{FF2B5EF4-FFF2-40B4-BE49-F238E27FC236}">
              <a16:creationId xmlns:a16="http://schemas.microsoft.com/office/drawing/2014/main" id="{00000000-0008-0000-0400-00008C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01" name="Text Box 2">
          <a:extLst>
            <a:ext uri="{FF2B5EF4-FFF2-40B4-BE49-F238E27FC236}">
              <a16:creationId xmlns:a16="http://schemas.microsoft.com/office/drawing/2014/main" id="{00000000-0008-0000-0400-00008D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02" name="Text Box 2">
          <a:extLst>
            <a:ext uri="{FF2B5EF4-FFF2-40B4-BE49-F238E27FC236}">
              <a16:creationId xmlns:a16="http://schemas.microsoft.com/office/drawing/2014/main" id="{00000000-0008-0000-0400-00008E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03" name="Text Box 2">
          <a:extLst>
            <a:ext uri="{FF2B5EF4-FFF2-40B4-BE49-F238E27FC236}">
              <a16:creationId xmlns:a16="http://schemas.microsoft.com/office/drawing/2014/main" id="{00000000-0008-0000-0400-00008F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04" name="Text Box 2">
          <a:extLst>
            <a:ext uri="{FF2B5EF4-FFF2-40B4-BE49-F238E27FC236}">
              <a16:creationId xmlns:a16="http://schemas.microsoft.com/office/drawing/2014/main" id="{00000000-0008-0000-0400-000090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05" name="Text Box 2">
          <a:extLst>
            <a:ext uri="{FF2B5EF4-FFF2-40B4-BE49-F238E27FC236}">
              <a16:creationId xmlns:a16="http://schemas.microsoft.com/office/drawing/2014/main" id="{00000000-0008-0000-0400-000091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06" name="Text Box 2">
          <a:extLst>
            <a:ext uri="{FF2B5EF4-FFF2-40B4-BE49-F238E27FC236}">
              <a16:creationId xmlns:a16="http://schemas.microsoft.com/office/drawing/2014/main" id="{00000000-0008-0000-0400-000092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07" name="Text Box 2">
          <a:extLst>
            <a:ext uri="{FF2B5EF4-FFF2-40B4-BE49-F238E27FC236}">
              <a16:creationId xmlns:a16="http://schemas.microsoft.com/office/drawing/2014/main" id="{00000000-0008-0000-0400-000093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08" name="Text Box 2">
          <a:extLst>
            <a:ext uri="{FF2B5EF4-FFF2-40B4-BE49-F238E27FC236}">
              <a16:creationId xmlns:a16="http://schemas.microsoft.com/office/drawing/2014/main" id="{00000000-0008-0000-0400-000094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09" name="Text Box 2">
          <a:extLst>
            <a:ext uri="{FF2B5EF4-FFF2-40B4-BE49-F238E27FC236}">
              <a16:creationId xmlns:a16="http://schemas.microsoft.com/office/drawing/2014/main" id="{00000000-0008-0000-0400-000095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10" name="Text Box 2">
          <a:extLst>
            <a:ext uri="{FF2B5EF4-FFF2-40B4-BE49-F238E27FC236}">
              <a16:creationId xmlns:a16="http://schemas.microsoft.com/office/drawing/2014/main" id="{00000000-0008-0000-0400-000096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11" name="Text Box 2">
          <a:extLst>
            <a:ext uri="{FF2B5EF4-FFF2-40B4-BE49-F238E27FC236}">
              <a16:creationId xmlns:a16="http://schemas.microsoft.com/office/drawing/2014/main" id="{00000000-0008-0000-0400-000097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12" name="Text Box 2">
          <a:extLst>
            <a:ext uri="{FF2B5EF4-FFF2-40B4-BE49-F238E27FC236}">
              <a16:creationId xmlns:a16="http://schemas.microsoft.com/office/drawing/2014/main" id="{00000000-0008-0000-0400-000098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13" name="Text Box 2">
          <a:extLst>
            <a:ext uri="{FF2B5EF4-FFF2-40B4-BE49-F238E27FC236}">
              <a16:creationId xmlns:a16="http://schemas.microsoft.com/office/drawing/2014/main" id="{00000000-0008-0000-0400-000099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14" name="Text Box 2">
          <a:extLst>
            <a:ext uri="{FF2B5EF4-FFF2-40B4-BE49-F238E27FC236}">
              <a16:creationId xmlns:a16="http://schemas.microsoft.com/office/drawing/2014/main" id="{00000000-0008-0000-0400-00009A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15" name="Text Box 2">
          <a:extLst>
            <a:ext uri="{FF2B5EF4-FFF2-40B4-BE49-F238E27FC236}">
              <a16:creationId xmlns:a16="http://schemas.microsoft.com/office/drawing/2014/main" id="{00000000-0008-0000-0400-00009B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16" name="Text Box 2">
          <a:extLst>
            <a:ext uri="{FF2B5EF4-FFF2-40B4-BE49-F238E27FC236}">
              <a16:creationId xmlns:a16="http://schemas.microsoft.com/office/drawing/2014/main" id="{00000000-0008-0000-0400-00009C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17" name="Text Box 2">
          <a:extLst>
            <a:ext uri="{FF2B5EF4-FFF2-40B4-BE49-F238E27FC236}">
              <a16:creationId xmlns:a16="http://schemas.microsoft.com/office/drawing/2014/main" id="{00000000-0008-0000-0400-00009D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18" name="Text Box 2">
          <a:extLst>
            <a:ext uri="{FF2B5EF4-FFF2-40B4-BE49-F238E27FC236}">
              <a16:creationId xmlns:a16="http://schemas.microsoft.com/office/drawing/2014/main" id="{00000000-0008-0000-0400-00009E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19" name="Text Box 2">
          <a:extLst>
            <a:ext uri="{FF2B5EF4-FFF2-40B4-BE49-F238E27FC236}">
              <a16:creationId xmlns:a16="http://schemas.microsoft.com/office/drawing/2014/main" id="{00000000-0008-0000-0400-00009F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20" name="Text Box 2">
          <a:extLst>
            <a:ext uri="{FF2B5EF4-FFF2-40B4-BE49-F238E27FC236}">
              <a16:creationId xmlns:a16="http://schemas.microsoft.com/office/drawing/2014/main" id="{00000000-0008-0000-0400-0000A0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21" name="Text Box 2">
          <a:extLst>
            <a:ext uri="{FF2B5EF4-FFF2-40B4-BE49-F238E27FC236}">
              <a16:creationId xmlns:a16="http://schemas.microsoft.com/office/drawing/2014/main" id="{00000000-0008-0000-0400-0000A1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22" name="Text Box 2">
          <a:extLst>
            <a:ext uri="{FF2B5EF4-FFF2-40B4-BE49-F238E27FC236}">
              <a16:creationId xmlns:a16="http://schemas.microsoft.com/office/drawing/2014/main" id="{00000000-0008-0000-0400-0000A2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23" name="Text Box 2">
          <a:extLst>
            <a:ext uri="{FF2B5EF4-FFF2-40B4-BE49-F238E27FC236}">
              <a16:creationId xmlns:a16="http://schemas.microsoft.com/office/drawing/2014/main" id="{00000000-0008-0000-0400-0000A3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24" name="Text Box 2">
          <a:extLst>
            <a:ext uri="{FF2B5EF4-FFF2-40B4-BE49-F238E27FC236}">
              <a16:creationId xmlns:a16="http://schemas.microsoft.com/office/drawing/2014/main" id="{00000000-0008-0000-0400-0000A4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25" name="Text Box 2">
          <a:extLst>
            <a:ext uri="{FF2B5EF4-FFF2-40B4-BE49-F238E27FC236}">
              <a16:creationId xmlns:a16="http://schemas.microsoft.com/office/drawing/2014/main" id="{00000000-0008-0000-0400-0000A5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26" name="Text Box 2">
          <a:extLst>
            <a:ext uri="{FF2B5EF4-FFF2-40B4-BE49-F238E27FC236}">
              <a16:creationId xmlns:a16="http://schemas.microsoft.com/office/drawing/2014/main" id="{00000000-0008-0000-0400-0000A6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27" name="Text Box 2">
          <a:extLst>
            <a:ext uri="{FF2B5EF4-FFF2-40B4-BE49-F238E27FC236}">
              <a16:creationId xmlns:a16="http://schemas.microsoft.com/office/drawing/2014/main" id="{00000000-0008-0000-0400-0000A7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28" name="Text Box 2">
          <a:extLst>
            <a:ext uri="{FF2B5EF4-FFF2-40B4-BE49-F238E27FC236}">
              <a16:creationId xmlns:a16="http://schemas.microsoft.com/office/drawing/2014/main" id="{00000000-0008-0000-0400-0000A8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29" name="Text Box 2">
          <a:extLst>
            <a:ext uri="{FF2B5EF4-FFF2-40B4-BE49-F238E27FC236}">
              <a16:creationId xmlns:a16="http://schemas.microsoft.com/office/drawing/2014/main" id="{00000000-0008-0000-0400-0000A9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30" name="Text Box 2">
          <a:extLst>
            <a:ext uri="{FF2B5EF4-FFF2-40B4-BE49-F238E27FC236}">
              <a16:creationId xmlns:a16="http://schemas.microsoft.com/office/drawing/2014/main" id="{00000000-0008-0000-0400-0000AA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31" name="Text Box 2">
          <a:extLst>
            <a:ext uri="{FF2B5EF4-FFF2-40B4-BE49-F238E27FC236}">
              <a16:creationId xmlns:a16="http://schemas.microsoft.com/office/drawing/2014/main" id="{00000000-0008-0000-0400-0000AB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32" name="Text Box 2">
          <a:extLst>
            <a:ext uri="{FF2B5EF4-FFF2-40B4-BE49-F238E27FC236}">
              <a16:creationId xmlns:a16="http://schemas.microsoft.com/office/drawing/2014/main" id="{00000000-0008-0000-0400-0000AC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33" name="Text Box 2">
          <a:extLst>
            <a:ext uri="{FF2B5EF4-FFF2-40B4-BE49-F238E27FC236}">
              <a16:creationId xmlns:a16="http://schemas.microsoft.com/office/drawing/2014/main" id="{00000000-0008-0000-0400-0000AD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34" name="Text Box 2">
          <a:extLst>
            <a:ext uri="{FF2B5EF4-FFF2-40B4-BE49-F238E27FC236}">
              <a16:creationId xmlns:a16="http://schemas.microsoft.com/office/drawing/2014/main" id="{00000000-0008-0000-0400-0000AE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35" name="Text Box 2">
          <a:extLst>
            <a:ext uri="{FF2B5EF4-FFF2-40B4-BE49-F238E27FC236}">
              <a16:creationId xmlns:a16="http://schemas.microsoft.com/office/drawing/2014/main" id="{00000000-0008-0000-0400-0000AF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36" name="Text Box 2">
          <a:extLst>
            <a:ext uri="{FF2B5EF4-FFF2-40B4-BE49-F238E27FC236}">
              <a16:creationId xmlns:a16="http://schemas.microsoft.com/office/drawing/2014/main" id="{00000000-0008-0000-0400-0000B0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37" name="Text Box 2">
          <a:extLst>
            <a:ext uri="{FF2B5EF4-FFF2-40B4-BE49-F238E27FC236}">
              <a16:creationId xmlns:a16="http://schemas.microsoft.com/office/drawing/2014/main" id="{00000000-0008-0000-0400-0000B1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738" name="Text Box 2">
          <a:extLst>
            <a:ext uri="{FF2B5EF4-FFF2-40B4-BE49-F238E27FC236}">
              <a16:creationId xmlns:a16="http://schemas.microsoft.com/office/drawing/2014/main" id="{00000000-0008-0000-0400-0000B20A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39" name="Text Box 2">
          <a:extLst>
            <a:ext uri="{FF2B5EF4-FFF2-40B4-BE49-F238E27FC236}">
              <a16:creationId xmlns:a16="http://schemas.microsoft.com/office/drawing/2014/main" id="{00000000-0008-0000-0400-0000B3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40" name="Text Box 2">
          <a:extLst>
            <a:ext uri="{FF2B5EF4-FFF2-40B4-BE49-F238E27FC236}">
              <a16:creationId xmlns:a16="http://schemas.microsoft.com/office/drawing/2014/main" id="{00000000-0008-0000-0400-0000B4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41" name="Text Box 2">
          <a:extLst>
            <a:ext uri="{FF2B5EF4-FFF2-40B4-BE49-F238E27FC236}">
              <a16:creationId xmlns:a16="http://schemas.microsoft.com/office/drawing/2014/main" id="{00000000-0008-0000-0400-0000B5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42" name="Text Box 2">
          <a:extLst>
            <a:ext uri="{FF2B5EF4-FFF2-40B4-BE49-F238E27FC236}">
              <a16:creationId xmlns:a16="http://schemas.microsoft.com/office/drawing/2014/main" id="{00000000-0008-0000-0400-0000B6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43" name="Text Box 2">
          <a:extLst>
            <a:ext uri="{FF2B5EF4-FFF2-40B4-BE49-F238E27FC236}">
              <a16:creationId xmlns:a16="http://schemas.microsoft.com/office/drawing/2014/main" id="{00000000-0008-0000-0400-0000B7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44" name="Text Box 2">
          <a:extLst>
            <a:ext uri="{FF2B5EF4-FFF2-40B4-BE49-F238E27FC236}">
              <a16:creationId xmlns:a16="http://schemas.microsoft.com/office/drawing/2014/main" id="{00000000-0008-0000-0400-0000B8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45" name="Text Box 2">
          <a:extLst>
            <a:ext uri="{FF2B5EF4-FFF2-40B4-BE49-F238E27FC236}">
              <a16:creationId xmlns:a16="http://schemas.microsoft.com/office/drawing/2014/main" id="{00000000-0008-0000-0400-0000B9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46" name="Text Box 2">
          <a:extLst>
            <a:ext uri="{FF2B5EF4-FFF2-40B4-BE49-F238E27FC236}">
              <a16:creationId xmlns:a16="http://schemas.microsoft.com/office/drawing/2014/main" id="{00000000-0008-0000-0400-0000BA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47" name="Text Box 2">
          <a:extLst>
            <a:ext uri="{FF2B5EF4-FFF2-40B4-BE49-F238E27FC236}">
              <a16:creationId xmlns:a16="http://schemas.microsoft.com/office/drawing/2014/main" id="{00000000-0008-0000-0400-0000BB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48" name="Text Box 2">
          <a:extLst>
            <a:ext uri="{FF2B5EF4-FFF2-40B4-BE49-F238E27FC236}">
              <a16:creationId xmlns:a16="http://schemas.microsoft.com/office/drawing/2014/main" id="{00000000-0008-0000-0400-0000BC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49" name="Text Box 2">
          <a:extLst>
            <a:ext uri="{FF2B5EF4-FFF2-40B4-BE49-F238E27FC236}">
              <a16:creationId xmlns:a16="http://schemas.microsoft.com/office/drawing/2014/main" id="{00000000-0008-0000-0400-0000BD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50" name="Text Box 2">
          <a:extLst>
            <a:ext uri="{FF2B5EF4-FFF2-40B4-BE49-F238E27FC236}">
              <a16:creationId xmlns:a16="http://schemas.microsoft.com/office/drawing/2014/main" id="{00000000-0008-0000-0400-0000BE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51" name="Text Box 2">
          <a:extLst>
            <a:ext uri="{FF2B5EF4-FFF2-40B4-BE49-F238E27FC236}">
              <a16:creationId xmlns:a16="http://schemas.microsoft.com/office/drawing/2014/main" id="{00000000-0008-0000-0400-0000BF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52" name="Text Box 2">
          <a:extLst>
            <a:ext uri="{FF2B5EF4-FFF2-40B4-BE49-F238E27FC236}">
              <a16:creationId xmlns:a16="http://schemas.microsoft.com/office/drawing/2014/main" id="{00000000-0008-0000-0400-0000C0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53" name="Text Box 2">
          <a:extLst>
            <a:ext uri="{FF2B5EF4-FFF2-40B4-BE49-F238E27FC236}">
              <a16:creationId xmlns:a16="http://schemas.microsoft.com/office/drawing/2014/main" id="{00000000-0008-0000-0400-0000C1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54" name="Text Box 2">
          <a:extLst>
            <a:ext uri="{FF2B5EF4-FFF2-40B4-BE49-F238E27FC236}">
              <a16:creationId xmlns:a16="http://schemas.microsoft.com/office/drawing/2014/main" id="{00000000-0008-0000-0400-0000C2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55" name="Text Box 2">
          <a:extLst>
            <a:ext uri="{FF2B5EF4-FFF2-40B4-BE49-F238E27FC236}">
              <a16:creationId xmlns:a16="http://schemas.microsoft.com/office/drawing/2014/main" id="{00000000-0008-0000-0400-0000C3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56" name="Text Box 2">
          <a:extLst>
            <a:ext uri="{FF2B5EF4-FFF2-40B4-BE49-F238E27FC236}">
              <a16:creationId xmlns:a16="http://schemas.microsoft.com/office/drawing/2014/main" id="{00000000-0008-0000-0400-0000C4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57" name="Text Box 2">
          <a:extLst>
            <a:ext uri="{FF2B5EF4-FFF2-40B4-BE49-F238E27FC236}">
              <a16:creationId xmlns:a16="http://schemas.microsoft.com/office/drawing/2014/main" id="{00000000-0008-0000-0400-0000C5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58" name="Text Box 2">
          <a:extLst>
            <a:ext uri="{FF2B5EF4-FFF2-40B4-BE49-F238E27FC236}">
              <a16:creationId xmlns:a16="http://schemas.microsoft.com/office/drawing/2014/main" id="{00000000-0008-0000-0400-0000C6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59" name="Text Box 2">
          <a:extLst>
            <a:ext uri="{FF2B5EF4-FFF2-40B4-BE49-F238E27FC236}">
              <a16:creationId xmlns:a16="http://schemas.microsoft.com/office/drawing/2014/main" id="{00000000-0008-0000-0400-0000C7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60" name="Text Box 2">
          <a:extLst>
            <a:ext uri="{FF2B5EF4-FFF2-40B4-BE49-F238E27FC236}">
              <a16:creationId xmlns:a16="http://schemas.microsoft.com/office/drawing/2014/main" id="{00000000-0008-0000-0400-0000C8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61" name="Text Box 2">
          <a:extLst>
            <a:ext uri="{FF2B5EF4-FFF2-40B4-BE49-F238E27FC236}">
              <a16:creationId xmlns:a16="http://schemas.microsoft.com/office/drawing/2014/main" id="{00000000-0008-0000-0400-0000C9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62" name="Text Box 2">
          <a:extLst>
            <a:ext uri="{FF2B5EF4-FFF2-40B4-BE49-F238E27FC236}">
              <a16:creationId xmlns:a16="http://schemas.microsoft.com/office/drawing/2014/main" id="{00000000-0008-0000-0400-0000CA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63" name="Text Box 2">
          <a:extLst>
            <a:ext uri="{FF2B5EF4-FFF2-40B4-BE49-F238E27FC236}">
              <a16:creationId xmlns:a16="http://schemas.microsoft.com/office/drawing/2014/main" id="{00000000-0008-0000-0400-0000CB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64" name="Text Box 2">
          <a:extLst>
            <a:ext uri="{FF2B5EF4-FFF2-40B4-BE49-F238E27FC236}">
              <a16:creationId xmlns:a16="http://schemas.microsoft.com/office/drawing/2014/main" id="{00000000-0008-0000-0400-0000CC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65" name="Text Box 2">
          <a:extLst>
            <a:ext uri="{FF2B5EF4-FFF2-40B4-BE49-F238E27FC236}">
              <a16:creationId xmlns:a16="http://schemas.microsoft.com/office/drawing/2014/main" id="{00000000-0008-0000-0400-0000CD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66" name="Text Box 2">
          <a:extLst>
            <a:ext uri="{FF2B5EF4-FFF2-40B4-BE49-F238E27FC236}">
              <a16:creationId xmlns:a16="http://schemas.microsoft.com/office/drawing/2014/main" id="{00000000-0008-0000-0400-0000CE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67" name="Text Box 2">
          <a:extLst>
            <a:ext uri="{FF2B5EF4-FFF2-40B4-BE49-F238E27FC236}">
              <a16:creationId xmlns:a16="http://schemas.microsoft.com/office/drawing/2014/main" id="{00000000-0008-0000-0400-0000CF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68" name="Text Box 2">
          <a:extLst>
            <a:ext uri="{FF2B5EF4-FFF2-40B4-BE49-F238E27FC236}">
              <a16:creationId xmlns:a16="http://schemas.microsoft.com/office/drawing/2014/main" id="{00000000-0008-0000-0400-0000D0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69" name="Text Box 2">
          <a:extLst>
            <a:ext uri="{FF2B5EF4-FFF2-40B4-BE49-F238E27FC236}">
              <a16:creationId xmlns:a16="http://schemas.microsoft.com/office/drawing/2014/main" id="{00000000-0008-0000-0400-0000D1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70" name="Text Box 2">
          <a:extLst>
            <a:ext uri="{FF2B5EF4-FFF2-40B4-BE49-F238E27FC236}">
              <a16:creationId xmlns:a16="http://schemas.microsoft.com/office/drawing/2014/main" id="{00000000-0008-0000-0400-0000D2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71" name="Text Box 2">
          <a:extLst>
            <a:ext uri="{FF2B5EF4-FFF2-40B4-BE49-F238E27FC236}">
              <a16:creationId xmlns:a16="http://schemas.microsoft.com/office/drawing/2014/main" id="{00000000-0008-0000-0400-0000D3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72" name="Text Box 2">
          <a:extLst>
            <a:ext uri="{FF2B5EF4-FFF2-40B4-BE49-F238E27FC236}">
              <a16:creationId xmlns:a16="http://schemas.microsoft.com/office/drawing/2014/main" id="{00000000-0008-0000-0400-0000D4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73" name="Text Box 2">
          <a:extLst>
            <a:ext uri="{FF2B5EF4-FFF2-40B4-BE49-F238E27FC236}">
              <a16:creationId xmlns:a16="http://schemas.microsoft.com/office/drawing/2014/main" id="{00000000-0008-0000-0400-0000D5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74" name="Text Box 2">
          <a:extLst>
            <a:ext uri="{FF2B5EF4-FFF2-40B4-BE49-F238E27FC236}">
              <a16:creationId xmlns:a16="http://schemas.microsoft.com/office/drawing/2014/main" id="{00000000-0008-0000-0400-0000D6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75" name="Text Box 2">
          <a:extLst>
            <a:ext uri="{FF2B5EF4-FFF2-40B4-BE49-F238E27FC236}">
              <a16:creationId xmlns:a16="http://schemas.microsoft.com/office/drawing/2014/main" id="{00000000-0008-0000-0400-0000D7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76" name="Text Box 2">
          <a:extLst>
            <a:ext uri="{FF2B5EF4-FFF2-40B4-BE49-F238E27FC236}">
              <a16:creationId xmlns:a16="http://schemas.microsoft.com/office/drawing/2014/main" id="{00000000-0008-0000-0400-0000D8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77" name="Text Box 2">
          <a:extLst>
            <a:ext uri="{FF2B5EF4-FFF2-40B4-BE49-F238E27FC236}">
              <a16:creationId xmlns:a16="http://schemas.microsoft.com/office/drawing/2014/main" id="{00000000-0008-0000-0400-0000D9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78" name="Text Box 2">
          <a:extLst>
            <a:ext uri="{FF2B5EF4-FFF2-40B4-BE49-F238E27FC236}">
              <a16:creationId xmlns:a16="http://schemas.microsoft.com/office/drawing/2014/main" id="{00000000-0008-0000-0400-0000DA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79" name="Text Box 2">
          <a:extLst>
            <a:ext uri="{FF2B5EF4-FFF2-40B4-BE49-F238E27FC236}">
              <a16:creationId xmlns:a16="http://schemas.microsoft.com/office/drawing/2014/main" id="{00000000-0008-0000-0400-0000DB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80" name="Text Box 2">
          <a:extLst>
            <a:ext uri="{FF2B5EF4-FFF2-40B4-BE49-F238E27FC236}">
              <a16:creationId xmlns:a16="http://schemas.microsoft.com/office/drawing/2014/main" id="{00000000-0008-0000-0400-0000DC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81" name="Text Box 2">
          <a:extLst>
            <a:ext uri="{FF2B5EF4-FFF2-40B4-BE49-F238E27FC236}">
              <a16:creationId xmlns:a16="http://schemas.microsoft.com/office/drawing/2014/main" id="{00000000-0008-0000-0400-0000DD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82" name="Text Box 2">
          <a:extLst>
            <a:ext uri="{FF2B5EF4-FFF2-40B4-BE49-F238E27FC236}">
              <a16:creationId xmlns:a16="http://schemas.microsoft.com/office/drawing/2014/main" id="{00000000-0008-0000-0400-0000DE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83" name="Text Box 2">
          <a:extLst>
            <a:ext uri="{FF2B5EF4-FFF2-40B4-BE49-F238E27FC236}">
              <a16:creationId xmlns:a16="http://schemas.microsoft.com/office/drawing/2014/main" id="{00000000-0008-0000-0400-0000DF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84" name="Text Box 2">
          <a:extLst>
            <a:ext uri="{FF2B5EF4-FFF2-40B4-BE49-F238E27FC236}">
              <a16:creationId xmlns:a16="http://schemas.microsoft.com/office/drawing/2014/main" id="{00000000-0008-0000-0400-0000E0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85" name="Text Box 2">
          <a:extLst>
            <a:ext uri="{FF2B5EF4-FFF2-40B4-BE49-F238E27FC236}">
              <a16:creationId xmlns:a16="http://schemas.microsoft.com/office/drawing/2014/main" id="{00000000-0008-0000-0400-0000E1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86" name="Text Box 2">
          <a:extLst>
            <a:ext uri="{FF2B5EF4-FFF2-40B4-BE49-F238E27FC236}">
              <a16:creationId xmlns:a16="http://schemas.microsoft.com/office/drawing/2014/main" id="{00000000-0008-0000-0400-0000E2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87" name="Text Box 2">
          <a:extLst>
            <a:ext uri="{FF2B5EF4-FFF2-40B4-BE49-F238E27FC236}">
              <a16:creationId xmlns:a16="http://schemas.microsoft.com/office/drawing/2014/main" id="{00000000-0008-0000-0400-0000E3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88" name="Text Box 2">
          <a:extLst>
            <a:ext uri="{FF2B5EF4-FFF2-40B4-BE49-F238E27FC236}">
              <a16:creationId xmlns:a16="http://schemas.microsoft.com/office/drawing/2014/main" id="{00000000-0008-0000-0400-0000E4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89" name="Text Box 2">
          <a:extLst>
            <a:ext uri="{FF2B5EF4-FFF2-40B4-BE49-F238E27FC236}">
              <a16:creationId xmlns:a16="http://schemas.microsoft.com/office/drawing/2014/main" id="{00000000-0008-0000-0400-0000E5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90" name="Text Box 2">
          <a:extLst>
            <a:ext uri="{FF2B5EF4-FFF2-40B4-BE49-F238E27FC236}">
              <a16:creationId xmlns:a16="http://schemas.microsoft.com/office/drawing/2014/main" id="{00000000-0008-0000-0400-0000E6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91" name="Text Box 2">
          <a:extLst>
            <a:ext uri="{FF2B5EF4-FFF2-40B4-BE49-F238E27FC236}">
              <a16:creationId xmlns:a16="http://schemas.microsoft.com/office/drawing/2014/main" id="{00000000-0008-0000-0400-0000E7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92" name="Text Box 2">
          <a:extLst>
            <a:ext uri="{FF2B5EF4-FFF2-40B4-BE49-F238E27FC236}">
              <a16:creationId xmlns:a16="http://schemas.microsoft.com/office/drawing/2014/main" id="{00000000-0008-0000-0400-0000E8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93" name="Text Box 2">
          <a:extLst>
            <a:ext uri="{FF2B5EF4-FFF2-40B4-BE49-F238E27FC236}">
              <a16:creationId xmlns:a16="http://schemas.microsoft.com/office/drawing/2014/main" id="{00000000-0008-0000-0400-0000E9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94" name="Text Box 2">
          <a:extLst>
            <a:ext uri="{FF2B5EF4-FFF2-40B4-BE49-F238E27FC236}">
              <a16:creationId xmlns:a16="http://schemas.microsoft.com/office/drawing/2014/main" id="{00000000-0008-0000-0400-0000EA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95" name="Text Box 2">
          <a:extLst>
            <a:ext uri="{FF2B5EF4-FFF2-40B4-BE49-F238E27FC236}">
              <a16:creationId xmlns:a16="http://schemas.microsoft.com/office/drawing/2014/main" id="{00000000-0008-0000-0400-0000EB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96" name="Text Box 2">
          <a:extLst>
            <a:ext uri="{FF2B5EF4-FFF2-40B4-BE49-F238E27FC236}">
              <a16:creationId xmlns:a16="http://schemas.microsoft.com/office/drawing/2014/main" id="{00000000-0008-0000-0400-0000EC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165101</xdr:rowOff>
    </xdr:to>
    <xdr:sp macro="" textlink="">
      <xdr:nvSpPr>
        <xdr:cNvPr id="2797" name="Text Box 2">
          <a:extLst>
            <a:ext uri="{FF2B5EF4-FFF2-40B4-BE49-F238E27FC236}">
              <a16:creationId xmlns:a16="http://schemas.microsoft.com/office/drawing/2014/main" id="{00000000-0008-0000-0400-0000ED0A0000}"/>
            </a:ext>
          </a:extLst>
        </xdr:cNvPr>
        <xdr:cNvSpPr txBox="1">
          <a:spLocks noChangeArrowheads="1"/>
        </xdr:cNvSpPr>
      </xdr:nvSpPr>
      <xdr:spPr bwMode="auto">
        <a:xfrm>
          <a:off x="3943350" y="50673000"/>
          <a:ext cx="95250" cy="3619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165101</xdr:rowOff>
    </xdr:to>
    <xdr:sp macro="" textlink="">
      <xdr:nvSpPr>
        <xdr:cNvPr id="2798" name="Text Box 2">
          <a:extLst>
            <a:ext uri="{FF2B5EF4-FFF2-40B4-BE49-F238E27FC236}">
              <a16:creationId xmlns:a16="http://schemas.microsoft.com/office/drawing/2014/main" id="{00000000-0008-0000-0400-0000EE0A0000}"/>
            </a:ext>
          </a:extLst>
        </xdr:cNvPr>
        <xdr:cNvSpPr txBox="1">
          <a:spLocks noChangeArrowheads="1"/>
        </xdr:cNvSpPr>
      </xdr:nvSpPr>
      <xdr:spPr bwMode="auto">
        <a:xfrm>
          <a:off x="3943350" y="50673000"/>
          <a:ext cx="95250" cy="3619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799" name="Text Box 2">
          <a:extLst>
            <a:ext uri="{FF2B5EF4-FFF2-40B4-BE49-F238E27FC236}">
              <a16:creationId xmlns:a16="http://schemas.microsoft.com/office/drawing/2014/main" id="{00000000-0008-0000-0400-0000EF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00" name="Text Box 2">
          <a:extLst>
            <a:ext uri="{FF2B5EF4-FFF2-40B4-BE49-F238E27FC236}">
              <a16:creationId xmlns:a16="http://schemas.microsoft.com/office/drawing/2014/main" id="{00000000-0008-0000-0400-0000F0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01" name="Text Box 2">
          <a:extLst>
            <a:ext uri="{FF2B5EF4-FFF2-40B4-BE49-F238E27FC236}">
              <a16:creationId xmlns:a16="http://schemas.microsoft.com/office/drawing/2014/main" id="{00000000-0008-0000-0400-0000F1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02" name="Text Box 2">
          <a:extLst>
            <a:ext uri="{FF2B5EF4-FFF2-40B4-BE49-F238E27FC236}">
              <a16:creationId xmlns:a16="http://schemas.microsoft.com/office/drawing/2014/main" id="{00000000-0008-0000-0400-0000F2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03" name="Text Box 2">
          <a:extLst>
            <a:ext uri="{FF2B5EF4-FFF2-40B4-BE49-F238E27FC236}">
              <a16:creationId xmlns:a16="http://schemas.microsoft.com/office/drawing/2014/main" id="{00000000-0008-0000-0400-0000F3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04" name="Text Box 2">
          <a:extLst>
            <a:ext uri="{FF2B5EF4-FFF2-40B4-BE49-F238E27FC236}">
              <a16:creationId xmlns:a16="http://schemas.microsoft.com/office/drawing/2014/main" id="{00000000-0008-0000-0400-0000F4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05" name="Text Box 2">
          <a:extLst>
            <a:ext uri="{FF2B5EF4-FFF2-40B4-BE49-F238E27FC236}">
              <a16:creationId xmlns:a16="http://schemas.microsoft.com/office/drawing/2014/main" id="{00000000-0008-0000-0400-0000F5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06" name="Text Box 2">
          <a:extLst>
            <a:ext uri="{FF2B5EF4-FFF2-40B4-BE49-F238E27FC236}">
              <a16:creationId xmlns:a16="http://schemas.microsoft.com/office/drawing/2014/main" id="{00000000-0008-0000-0400-0000F6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07" name="Text Box 2">
          <a:extLst>
            <a:ext uri="{FF2B5EF4-FFF2-40B4-BE49-F238E27FC236}">
              <a16:creationId xmlns:a16="http://schemas.microsoft.com/office/drawing/2014/main" id="{00000000-0008-0000-0400-0000F7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08" name="Text Box 2">
          <a:extLst>
            <a:ext uri="{FF2B5EF4-FFF2-40B4-BE49-F238E27FC236}">
              <a16:creationId xmlns:a16="http://schemas.microsoft.com/office/drawing/2014/main" id="{00000000-0008-0000-0400-0000F8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09" name="Text Box 2">
          <a:extLst>
            <a:ext uri="{FF2B5EF4-FFF2-40B4-BE49-F238E27FC236}">
              <a16:creationId xmlns:a16="http://schemas.microsoft.com/office/drawing/2014/main" id="{00000000-0008-0000-0400-0000F9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10" name="Text Box 2">
          <a:extLst>
            <a:ext uri="{FF2B5EF4-FFF2-40B4-BE49-F238E27FC236}">
              <a16:creationId xmlns:a16="http://schemas.microsoft.com/office/drawing/2014/main" id="{00000000-0008-0000-0400-0000FA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11" name="Text Box 2">
          <a:extLst>
            <a:ext uri="{FF2B5EF4-FFF2-40B4-BE49-F238E27FC236}">
              <a16:creationId xmlns:a16="http://schemas.microsoft.com/office/drawing/2014/main" id="{00000000-0008-0000-0400-0000FB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12" name="Text Box 2">
          <a:extLst>
            <a:ext uri="{FF2B5EF4-FFF2-40B4-BE49-F238E27FC236}">
              <a16:creationId xmlns:a16="http://schemas.microsoft.com/office/drawing/2014/main" id="{00000000-0008-0000-0400-0000FC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13" name="Text Box 2">
          <a:extLst>
            <a:ext uri="{FF2B5EF4-FFF2-40B4-BE49-F238E27FC236}">
              <a16:creationId xmlns:a16="http://schemas.microsoft.com/office/drawing/2014/main" id="{00000000-0008-0000-0400-0000FD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14" name="Text Box 2">
          <a:extLst>
            <a:ext uri="{FF2B5EF4-FFF2-40B4-BE49-F238E27FC236}">
              <a16:creationId xmlns:a16="http://schemas.microsoft.com/office/drawing/2014/main" id="{00000000-0008-0000-0400-0000FE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15" name="Text Box 2">
          <a:extLst>
            <a:ext uri="{FF2B5EF4-FFF2-40B4-BE49-F238E27FC236}">
              <a16:creationId xmlns:a16="http://schemas.microsoft.com/office/drawing/2014/main" id="{00000000-0008-0000-0400-0000FF0A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16" name="Text Box 2">
          <a:extLst>
            <a:ext uri="{FF2B5EF4-FFF2-40B4-BE49-F238E27FC236}">
              <a16:creationId xmlns:a16="http://schemas.microsoft.com/office/drawing/2014/main" id="{00000000-0008-0000-0400-000000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17" name="Text Box 2">
          <a:extLst>
            <a:ext uri="{FF2B5EF4-FFF2-40B4-BE49-F238E27FC236}">
              <a16:creationId xmlns:a16="http://schemas.microsoft.com/office/drawing/2014/main" id="{00000000-0008-0000-0400-000001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18" name="Text Box 2">
          <a:extLst>
            <a:ext uri="{FF2B5EF4-FFF2-40B4-BE49-F238E27FC236}">
              <a16:creationId xmlns:a16="http://schemas.microsoft.com/office/drawing/2014/main" id="{00000000-0008-0000-0400-000002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19" name="Text Box 2">
          <a:extLst>
            <a:ext uri="{FF2B5EF4-FFF2-40B4-BE49-F238E27FC236}">
              <a16:creationId xmlns:a16="http://schemas.microsoft.com/office/drawing/2014/main" id="{00000000-0008-0000-0400-000003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20" name="Text Box 2">
          <a:extLst>
            <a:ext uri="{FF2B5EF4-FFF2-40B4-BE49-F238E27FC236}">
              <a16:creationId xmlns:a16="http://schemas.microsoft.com/office/drawing/2014/main" id="{00000000-0008-0000-0400-000004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21" name="Text Box 2">
          <a:extLst>
            <a:ext uri="{FF2B5EF4-FFF2-40B4-BE49-F238E27FC236}">
              <a16:creationId xmlns:a16="http://schemas.microsoft.com/office/drawing/2014/main" id="{00000000-0008-0000-0400-000005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22" name="Text Box 2">
          <a:extLst>
            <a:ext uri="{FF2B5EF4-FFF2-40B4-BE49-F238E27FC236}">
              <a16:creationId xmlns:a16="http://schemas.microsoft.com/office/drawing/2014/main" id="{00000000-0008-0000-0400-000006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23" name="Text Box 2">
          <a:extLst>
            <a:ext uri="{FF2B5EF4-FFF2-40B4-BE49-F238E27FC236}">
              <a16:creationId xmlns:a16="http://schemas.microsoft.com/office/drawing/2014/main" id="{00000000-0008-0000-0400-000007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24" name="Text Box 2">
          <a:extLst>
            <a:ext uri="{FF2B5EF4-FFF2-40B4-BE49-F238E27FC236}">
              <a16:creationId xmlns:a16="http://schemas.microsoft.com/office/drawing/2014/main" id="{00000000-0008-0000-0400-000008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25" name="Text Box 2">
          <a:extLst>
            <a:ext uri="{FF2B5EF4-FFF2-40B4-BE49-F238E27FC236}">
              <a16:creationId xmlns:a16="http://schemas.microsoft.com/office/drawing/2014/main" id="{00000000-0008-0000-0400-000009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26" name="Text Box 2">
          <a:extLst>
            <a:ext uri="{FF2B5EF4-FFF2-40B4-BE49-F238E27FC236}">
              <a16:creationId xmlns:a16="http://schemas.microsoft.com/office/drawing/2014/main" id="{00000000-0008-0000-0400-00000A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27" name="Text Box 2">
          <a:extLst>
            <a:ext uri="{FF2B5EF4-FFF2-40B4-BE49-F238E27FC236}">
              <a16:creationId xmlns:a16="http://schemas.microsoft.com/office/drawing/2014/main" id="{00000000-0008-0000-0400-00000B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28" name="Text Box 2">
          <a:extLst>
            <a:ext uri="{FF2B5EF4-FFF2-40B4-BE49-F238E27FC236}">
              <a16:creationId xmlns:a16="http://schemas.microsoft.com/office/drawing/2014/main" id="{00000000-0008-0000-0400-00000C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29" name="Text Box 2">
          <a:extLst>
            <a:ext uri="{FF2B5EF4-FFF2-40B4-BE49-F238E27FC236}">
              <a16:creationId xmlns:a16="http://schemas.microsoft.com/office/drawing/2014/main" id="{00000000-0008-0000-0400-00000D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30" name="Text Box 2">
          <a:extLst>
            <a:ext uri="{FF2B5EF4-FFF2-40B4-BE49-F238E27FC236}">
              <a16:creationId xmlns:a16="http://schemas.microsoft.com/office/drawing/2014/main" id="{00000000-0008-0000-0400-00000E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31" name="Text Box 2">
          <a:extLst>
            <a:ext uri="{FF2B5EF4-FFF2-40B4-BE49-F238E27FC236}">
              <a16:creationId xmlns:a16="http://schemas.microsoft.com/office/drawing/2014/main" id="{00000000-0008-0000-0400-00000F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32" name="Text Box 2">
          <a:extLst>
            <a:ext uri="{FF2B5EF4-FFF2-40B4-BE49-F238E27FC236}">
              <a16:creationId xmlns:a16="http://schemas.microsoft.com/office/drawing/2014/main" id="{00000000-0008-0000-0400-000010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33" name="Text Box 2">
          <a:extLst>
            <a:ext uri="{FF2B5EF4-FFF2-40B4-BE49-F238E27FC236}">
              <a16:creationId xmlns:a16="http://schemas.microsoft.com/office/drawing/2014/main" id="{00000000-0008-0000-0400-000011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34" name="Text Box 2">
          <a:extLst>
            <a:ext uri="{FF2B5EF4-FFF2-40B4-BE49-F238E27FC236}">
              <a16:creationId xmlns:a16="http://schemas.microsoft.com/office/drawing/2014/main" id="{00000000-0008-0000-0400-000012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35" name="Text Box 2">
          <a:extLst>
            <a:ext uri="{FF2B5EF4-FFF2-40B4-BE49-F238E27FC236}">
              <a16:creationId xmlns:a16="http://schemas.microsoft.com/office/drawing/2014/main" id="{00000000-0008-0000-0400-000013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36" name="Text Box 2">
          <a:extLst>
            <a:ext uri="{FF2B5EF4-FFF2-40B4-BE49-F238E27FC236}">
              <a16:creationId xmlns:a16="http://schemas.microsoft.com/office/drawing/2014/main" id="{00000000-0008-0000-0400-000014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37" name="Text Box 2">
          <a:extLst>
            <a:ext uri="{FF2B5EF4-FFF2-40B4-BE49-F238E27FC236}">
              <a16:creationId xmlns:a16="http://schemas.microsoft.com/office/drawing/2014/main" id="{00000000-0008-0000-0400-000015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38" name="Text Box 2">
          <a:extLst>
            <a:ext uri="{FF2B5EF4-FFF2-40B4-BE49-F238E27FC236}">
              <a16:creationId xmlns:a16="http://schemas.microsoft.com/office/drawing/2014/main" id="{00000000-0008-0000-0400-000016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39" name="Text Box 2">
          <a:extLst>
            <a:ext uri="{FF2B5EF4-FFF2-40B4-BE49-F238E27FC236}">
              <a16:creationId xmlns:a16="http://schemas.microsoft.com/office/drawing/2014/main" id="{00000000-0008-0000-0400-000017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40" name="Text Box 2">
          <a:extLst>
            <a:ext uri="{FF2B5EF4-FFF2-40B4-BE49-F238E27FC236}">
              <a16:creationId xmlns:a16="http://schemas.microsoft.com/office/drawing/2014/main" id="{00000000-0008-0000-0400-000018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41" name="Text Box 2">
          <a:extLst>
            <a:ext uri="{FF2B5EF4-FFF2-40B4-BE49-F238E27FC236}">
              <a16:creationId xmlns:a16="http://schemas.microsoft.com/office/drawing/2014/main" id="{00000000-0008-0000-0400-000019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42" name="Text Box 2">
          <a:extLst>
            <a:ext uri="{FF2B5EF4-FFF2-40B4-BE49-F238E27FC236}">
              <a16:creationId xmlns:a16="http://schemas.microsoft.com/office/drawing/2014/main" id="{00000000-0008-0000-0400-00001A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43" name="Text Box 2">
          <a:extLst>
            <a:ext uri="{FF2B5EF4-FFF2-40B4-BE49-F238E27FC236}">
              <a16:creationId xmlns:a16="http://schemas.microsoft.com/office/drawing/2014/main" id="{00000000-0008-0000-0400-00001B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44" name="Text Box 2">
          <a:extLst>
            <a:ext uri="{FF2B5EF4-FFF2-40B4-BE49-F238E27FC236}">
              <a16:creationId xmlns:a16="http://schemas.microsoft.com/office/drawing/2014/main" id="{00000000-0008-0000-0400-00001C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45" name="Text Box 2">
          <a:extLst>
            <a:ext uri="{FF2B5EF4-FFF2-40B4-BE49-F238E27FC236}">
              <a16:creationId xmlns:a16="http://schemas.microsoft.com/office/drawing/2014/main" id="{00000000-0008-0000-0400-00001D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46" name="Text Box 2">
          <a:extLst>
            <a:ext uri="{FF2B5EF4-FFF2-40B4-BE49-F238E27FC236}">
              <a16:creationId xmlns:a16="http://schemas.microsoft.com/office/drawing/2014/main" id="{00000000-0008-0000-0400-00001E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47" name="Text Box 2">
          <a:extLst>
            <a:ext uri="{FF2B5EF4-FFF2-40B4-BE49-F238E27FC236}">
              <a16:creationId xmlns:a16="http://schemas.microsoft.com/office/drawing/2014/main" id="{00000000-0008-0000-0400-00001F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48" name="Text Box 2">
          <a:extLst>
            <a:ext uri="{FF2B5EF4-FFF2-40B4-BE49-F238E27FC236}">
              <a16:creationId xmlns:a16="http://schemas.microsoft.com/office/drawing/2014/main" id="{00000000-0008-0000-0400-000020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49" name="Text Box 2">
          <a:extLst>
            <a:ext uri="{FF2B5EF4-FFF2-40B4-BE49-F238E27FC236}">
              <a16:creationId xmlns:a16="http://schemas.microsoft.com/office/drawing/2014/main" id="{00000000-0008-0000-0400-000021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50" name="Text Box 2">
          <a:extLst>
            <a:ext uri="{FF2B5EF4-FFF2-40B4-BE49-F238E27FC236}">
              <a16:creationId xmlns:a16="http://schemas.microsoft.com/office/drawing/2014/main" id="{00000000-0008-0000-0400-000022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51" name="Text Box 2">
          <a:extLst>
            <a:ext uri="{FF2B5EF4-FFF2-40B4-BE49-F238E27FC236}">
              <a16:creationId xmlns:a16="http://schemas.microsoft.com/office/drawing/2014/main" id="{00000000-0008-0000-0400-000023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52" name="Text Box 2">
          <a:extLst>
            <a:ext uri="{FF2B5EF4-FFF2-40B4-BE49-F238E27FC236}">
              <a16:creationId xmlns:a16="http://schemas.microsoft.com/office/drawing/2014/main" id="{00000000-0008-0000-0400-000024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53" name="Text Box 2">
          <a:extLst>
            <a:ext uri="{FF2B5EF4-FFF2-40B4-BE49-F238E27FC236}">
              <a16:creationId xmlns:a16="http://schemas.microsoft.com/office/drawing/2014/main" id="{00000000-0008-0000-0400-000025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54" name="Text Box 2">
          <a:extLst>
            <a:ext uri="{FF2B5EF4-FFF2-40B4-BE49-F238E27FC236}">
              <a16:creationId xmlns:a16="http://schemas.microsoft.com/office/drawing/2014/main" id="{00000000-0008-0000-0400-000026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55" name="Text Box 2">
          <a:extLst>
            <a:ext uri="{FF2B5EF4-FFF2-40B4-BE49-F238E27FC236}">
              <a16:creationId xmlns:a16="http://schemas.microsoft.com/office/drawing/2014/main" id="{00000000-0008-0000-0400-000027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56" name="Text Box 2">
          <a:extLst>
            <a:ext uri="{FF2B5EF4-FFF2-40B4-BE49-F238E27FC236}">
              <a16:creationId xmlns:a16="http://schemas.microsoft.com/office/drawing/2014/main" id="{00000000-0008-0000-0400-000028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57" name="Text Box 2">
          <a:extLst>
            <a:ext uri="{FF2B5EF4-FFF2-40B4-BE49-F238E27FC236}">
              <a16:creationId xmlns:a16="http://schemas.microsoft.com/office/drawing/2014/main" id="{00000000-0008-0000-0400-000029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58" name="Text Box 2">
          <a:extLst>
            <a:ext uri="{FF2B5EF4-FFF2-40B4-BE49-F238E27FC236}">
              <a16:creationId xmlns:a16="http://schemas.microsoft.com/office/drawing/2014/main" id="{00000000-0008-0000-0400-00002A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59" name="Text Box 2">
          <a:extLst>
            <a:ext uri="{FF2B5EF4-FFF2-40B4-BE49-F238E27FC236}">
              <a16:creationId xmlns:a16="http://schemas.microsoft.com/office/drawing/2014/main" id="{00000000-0008-0000-0400-00002B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60" name="Text Box 2">
          <a:extLst>
            <a:ext uri="{FF2B5EF4-FFF2-40B4-BE49-F238E27FC236}">
              <a16:creationId xmlns:a16="http://schemas.microsoft.com/office/drawing/2014/main" id="{00000000-0008-0000-0400-00002C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61" name="Text Box 2">
          <a:extLst>
            <a:ext uri="{FF2B5EF4-FFF2-40B4-BE49-F238E27FC236}">
              <a16:creationId xmlns:a16="http://schemas.microsoft.com/office/drawing/2014/main" id="{00000000-0008-0000-0400-00002D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62" name="Text Box 2">
          <a:extLst>
            <a:ext uri="{FF2B5EF4-FFF2-40B4-BE49-F238E27FC236}">
              <a16:creationId xmlns:a16="http://schemas.microsoft.com/office/drawing/2014/main" id="{00000000-0008-0000-0400-00002E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63" name="Text Box 2">
          <a:extLst>
            <a:ext uri="{FF2B5EF4-FFF2-40B4-BE49-F238E27FC236}">
              <a16:creationId xmlns:a16="http://schemas.microsoft.com/office/drawing/2014/main" id="{00000000-0008-0000-0400-00002F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64" name="Text Box 2">
          <a:extLst>
            <a:ext uri="{FF2B5EF4-FFF2-40B4-BE49-F238E27FC236}">
              <a16:creationId xmlns:a16="http://schemas.microsoft.com/office/drawing/2014/main" id="{00000000-0008-0000-0400-000030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65" name="Text Box 2">
          <a:extLst>
            <a:ext uri="{FF2B5EF4-FFF2-40B4-BE49-F238E27FC236}">
              <a16:creationId xmlns:a16="http://schemas.microsoft.com/office/drawing/2014/main" id="{00000000-0008-0000-0400-000031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66" name="Text Box 2">
          <a:extLst>
            <a:ext uri="{FF2B5EF4-FFF2-40B4-BE49-F238E27FC236}">
              <a16:creationId xmlns:a16="http://schemas.microsoft.com/office/drawing/2014/main" id="{00000000-0008-0000-0400-000032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67" name="Text Box 2">
          <a:extLst>
            <a:ext uri="{FF2B5EF4-FFF2-40B4-BE49-F238E27FC236}">
              <a16:creationId xmlns:a16="http://schemas.microsoft.com/office/drawing/2014/main" id="{00000000-0008-0000-0400-000033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68" name="Text Box 2">
          <a:extLst>
            <a:ext uri="{FF2B5EF4-FFF2-40B4-BE49-F238E27FC236}">
              <a16:creationId xmlns:a16="http://schemas.microsoft.com/office/drawing/2014/main" id="{00000000-0008-0000-0400-000034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69" name="Text Box 2">
          <a:extLst>
            <a:ext uri="{FF2B5EF4-FFF2-40B4-BE49-F238E27FC236}">
              <a16:creationId xmlns:a16="http://schemas.microsoft.com/office/drawing/2014/main" id="{00000000-0008-0000-0400-000035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70" name="Text Box 2">
          <a:extLst>
            <a:ext uri="{FF2B5EF4-FFF2-40B4-BE49-F238E27FC236}">
              <a16:creationId xmlns:a16="http://schemas.microsoft.com/office/drawing/2014/main" id="{00000000-0008-0000-0400-000036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71" name="Text Box 2">
          <a:extLst>
            <a:ext uri="{FF2B5EF4-FFF2-40B4-BE49-F238E27FC236}">
              <a16:creationId xmlns:a16="http://schemas.microsoft.com/office/drawing/2014/main" id="{00000000-0008-0000-0400-000037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72" name="Text Box 2">
          <a:extLst>
            <a:ext uri="{FF2B5EF4-FFF2-40B4-BE49-F238E27FC236}">
              <a16:creationId xmlns:a16="http://schemas.microsoft.com/office/drawing/2014/main" id="{00000000-0008-0000-0400-000038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73" name="Text Box 2">
          <a:extLst>
            <a:ext uri="{FF2B5EF4-FFF2-40B4-BE49-F238E27FC236}">
              <a16:creationId xmlns:a16="http://schemas.microsoft.com/office/drawing/2014/main" id="{00000000-0008-0000-0400-000039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74" name="Text Box 2">
          <a:extLst>
            <a:ext uri="{FF2B5EF4-FFF2-40B4-BE49-F238E27FC236}">
              <a16:creationId xmlns:a16="http://schemas.microsoft.com/office/drawing/2014/main" id="{00000000-0008-0000-0400-00003A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75" name="Text Box 2">
          <a:extLst>
            <a:ext uri="{FF2B5EF4-FFF2-40B4-BE49-F238E27FC236}">
              <a16:creationId xmlns:a16="http://schemas.microsoft.com/office/drawing/2014/main" id="{00000000-0008-0000-0400-00003B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76" name="Text Box 2">
          <a:extLst>
            <a:ext uri="{FF2B5EF4-FFF2-40B4-BE49-F238E27FC236}">
              <a16:creationId xmlns:a16="http://schemas.microsoft.com/office/drawing/2014/main" id="{00000000-0008-0000-0400-00003C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77" name="Text Box 2">
          <a:extLst>
            <a:ext uri="{FF2B5EF4-FFF2-40B4-BE49-F238E27FC236}">
              <a16:creationId xmlns:a16="http://schemas.microsoft.com/office/drawing/2014/main" id="{00000000-0008-0000-0400-00003D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78" name="Text Box 2">
          <a:extLst>
            <a:ext uri="{FF2B5EF4-FFF2-40B4-BE49-F238E27FC236}">
              <a16:creationId xmlns:a16="http://schemas.microsoft.com/office/drawing/2014/main" id="{00000000-0008-0000-0400-00003E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79" name="Text Box 2">
          <a:extLst>
            <a:ext uri="{FF2B5EF4-FFF2-40B4-BE49-F238E27FC236}">
              <a16:creationId xmlns:a16="http://schemas.microsoft.com/office/drawing/2014/main" id="{00000000-0008-0000-0400-00003F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80" name="Text Box 2">
          <a:extLst>
            <a:ext uri="{FF2B5EF4-FFF2-40B4-BE49-F238E27FC236}">
              <a16:creationId xmlns:a16="http://schemas.microsoft.com/office/drawing/2014/main" id="{00000000-0008-0000-0400-000040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81" name="Text Box 2">
          <a:extLst>
            <a:ext uri="{FF2B5EF4-FFF2-40B4-BE49-F238E27FC236}">
              <a16:creationId xmlns:a16="http://schemas.microsoft.com/office/drawing/2014/main" id="{00000000-0008-0000-0400-000041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82" name="Text Box 2">
          <a:extLst>
            <a:ext uri="{FF2B5EF4-FFF2-40B4-BE49-F238E27FC236}">
              <a16:creationId xmlns:a16="http://schemas.microsoft.com/office/drawing/2014/main" id="{00000000-0008-0000-0400-000042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83" name="Text Box 2">
          <a:extLst>
            <a:ext uri="{FF2B5EF4-FFF2-40B4-BE49-F238E27FC236}">
              <a16:creationId xmlns:a16="http://schemas.microsoft.com/office/drawing/2014/main" id="{00000000-0008-0000-0400-000043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84" name="Text Box 2">
          <a:extLst>
            <a:ext uri="{FF2B5EF4-FFF2-40B4-BE49-F238E27FC236}">
              <a16:creationId xmlns:a16="http://schemas.microsoft.com/office/drawing/2014/main" id="{00000000-0008-0000-0400-000044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85" name="Text Box 2">
          <a:extLst>
            <a:ext uri="{FF2B5EF4-FFF2-40B4-BE49-F238E27FC236}">
              <a16:creationId xmlns:a16="http://schemas.microsoft.com/office/drawing/2014/main" id="{00000000-0008-0000-0400-000045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86" name="Text Box 2">
          <a:extLst>
            <a:ext uri="{FF2B5EF4-FFF2-40B4-BE49-F238E27FC236}">
              <a16:creationId xmlns:a16="http://schemas.microsoft.com/office/drawing/2014/main" id="{00000000-0008-0000-0400-000046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87" name="Text Box 2">
          <a:extLst>
            <a:ext uri="{FF2B5EF4-FFF2-40B4-BE49-F238E27FC236}">
              <a16:creationId xmlns:a16="http://schemas.microsoft.com/office/drawing/2014/main" id="{00000000-0008-0000-0400-000047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88" name="Text Box 2">
          <a:extLst>
            <a:ext uri="{FF2B5EF4-FFF2-40B4-BE49-F238E27FC236}">
              <a16:creationId xmlns:a16="http://schemas.microsoft.com/office/drawing/2014/main" id="{00000000-0008-0000-0400-000048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89" name="Text Box 2">
          <a:extLst>
            <a:ext uri="{FF2B5EF4-FFF2-40B4-BE49-F238E27FC236}">
              <a16:creationId xmlns:a16="http://schemas.microsoft.com/office/drawing/2014/main" id="{00000000-0008-0000-0400-000049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90" name="Text Box 2">
          <a:extLst>
            <a:ext uri="{FF2B5EF4-FFF2-40B4-BE49-F238E27FC236}">
              <a16:creationId xmlns:a16="http://schemas.microsoft.com/office/drawing/2014/main" id="{00000000-0008-0000-0400-00004A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91" name="Text Box 2">
          <a:extLst>
            <a:ext uri="{FF2B5EF4-FFF2-40B4-BE49-F238E27FC236}">
              <a16:creationId xmlns:a16="http://schemas.microsoft.com/office/drawing/2014/main" id="{00000000-0008-0000-0400-00004B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92" name="Text Box 2">
          <a:extLst>
            <a:ext uri="{FF2B5EF4-FFF2-40B4-BE49-F238E27FC236}">
              <a16:creationId xmlns:a16="http://schemas.microsoft.com/office/drawing/2014/main" id="{00000000-0008-0000-0400-00004C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93" name="Text Box 2">
          <a:extLst>
            <a:ext uri="{FF2B5EF4-FFF2-40B4-BE49-F238E27FC236}">
              <a16:creationId xmlns:a16="http://schemas.microsoft.com/office/drawing/2014/main" id="{00000000-0008-0000-0400-00004D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94" name="Text Box 2">
          <a:extLst>
            <a:ext uri="{FF2B5EF4-FFF2-40B4-BE49-F238E27FC236}">
              <a16:creationId xmlns:a16="http://schemas.microsoft.com/office/drawing/2014/main" id="{00000000-0008-0000-0400-00004E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95" name="Text Box 2">
          <a:extLst>
            <a:ext uri="{FF2B5EF4-FFF2-40B4-BE49-F238E27FC236}">
              <a16:creationId xmlns:a16="http://schemas.microsoft.com/office/drawing/2014/main" id="{00000000-0008-0000-0400-00004F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96" name="Text Box 2">
          <a:extLst>
            <a:ext uri="{FF2B5EF4-FFF2-40B4-BE49-F238E27FC236}">
              <a16:creationId xmlns:a16="http://schemas.microsoft.com/office/drawing/2014/main" id="{00000000-0008-0000-0400-000050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97" name="Text Box 2">
          <a:extLst>
            <a:ext uri="{FF2B5EF4-FFF2-40B4-BE49-F238E27FC236}">
              <a16:creationId xmlns:a16="http://schemas.microsoft.com/office/drawing/2014/main" id="{00000000-0008-0000-0400-000051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98" name="Text Box 2">
          <a:extLst>
            <a:ext uri="{FF2B5EF4-FFF2-40B4-BE49-F238E27FC236}">
              <a16:creationId xmlns:a16="http://schemas.microsoft.com/office/drawing/2014/main" id="{00000000-0008-0000-0400-000052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899" name="Text Box 2">
          <a:extLst>
            <a:ext uri="{FF2B5EF4-FFF2-40B4-BE49-F238E27FC236}">
              <a16:creationId xmlns:a16="http://schemas.microsoft.com/office/drawing/2014/main" id="{00000000-0008-0000-0400-000053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00" name="Text Box 2">
          <a:extLst>
            <a:ext uri="{FF2B5EF4-FFF2-40B4-BE49-F238E27FC236}">
              <a16:creationId xmlns:a16="http://schemas.microsoft.com/office/drawing/2014/main" id="{00000000-0008-0000-0400-000054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01" name="Text Box 2">
          <a:extLst>
            <a:ext uri="{FF2B5EF4-FFF2-40B4-BE49-F238E27FC236}">
              <a16:creationId xmlns:a16="http://schemas.microsoft.com/office/drawing/2014/main" id="{00000000-0008-0000-0400-000055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02" name="Text Box 2">
          <a:extLst>
            <a:ext uri="{FF2B5EF4-FFF2-40B4-BE49-F238E27FC236}">
              <a16:creationId xmlns:a16="http://schemas.microsoft.com/office/drawing/2014/main" id="{00000000-0008-0000-0400-000056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03" name="Text Box 2">
          <a:extLst>
            <a:ext uri="{FF2B5EF4-FFF2-40B4-BE49-F238E27FC236}">
              <a16:creationId xmlns:a16="http://schemas.microsoft.com/office/drawing/2014/main" id="{00000000-0008-0000-0400-000057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04" name="Text Box 2">
          <a:extLst>
            <a:ext uri="{FF2B5EF4-FFF2-40B4-BE49-F238E27FC236}">
              <a16:creationId xmlns:a16="http://schemas.microsoft.com/office/drawing/2014/main" id="{00000000-0008-0000-0400-000058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05" name="Text Box 2">
          <a:extLst>
            <a:ext uri="{FF2B5EF4-FFF2-40B4-BE49-F238E27FC236}">
              <a16:creationId xmlns:a16="http://schemas.microsoft.com/office/drawing/2014/main" id="{00000000-0008-0000-0400-000059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06" name="Text Box 2">
          <a:extLst>
            <a:ext uri="{FF2B5EF4-FFF2-40B4-BE49-F238E27FC236}">
              <a16:creationId xmlns:a16="http://schemas.microsoft.com/office/drawing/2014/main" id="{00000000-0008-0000-0400-00005A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07" name="Text Box 2">
          <a:extLst>
            <a:ext uri="{FF2B5EF4-FFF2-40B4-BE49-F238E27FC236}">
              <a16:creationId xmlns:a16="http://schemas.microsoft.com/office/drawing/2014/main" id="{00000000-0008-0000-0400-00005B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08" name="Text Box 2">
          <a:extLst>
            <a:ext uri="{FF2B5EF4-FFF2-40B4-BE49-F238E27FC236}">
              <a16:creationId xmlns:a16="http://schemas.microsoft.com/office/drawing/2014/main" id="{00000000-0008-0000-0400-00005C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09" name="Text Box 2">
          <a:extLst>
            <a:ext uri="{FF2B5EF4-FFF2-40B4-BE49-F238E27FC236}">
              <a16:creationId xmlns:a16="http://schemas.microsoft.com/office/drawing/2014/main" id="{00000000-0008-0000-0400-00005D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10" name="Text Box 2">
          <a:extLst>
            <a:ext uri="{FF2B5EF4-FFF2-40B4-BE49-F238E27FC236}">
              <a16:creationId xmlns:a16="http://schemas.microsoft.com/office/drawing/2014/main" id="{00000000-0008-0000-0400-00005E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11" name="Text Box 2">
          <a:extLst>
            <a:ext uri="{FF2B5EF4-FFF2-40B4-BE49-F238E27FC236}">
              <a16:creationId xmlns:a16="http://schemas.microsoft.com/office/drawing/2014/main" id="{00000000-0008-0000-0400-00005F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12" name="Text Box 2">
          <a:extLst>
            <a:ext uri="{FF2B5EF4-FFF2-40B4-BE49-F238E27FC236}">
              <a16:creationId xmlns:a16="http://schemas.microsoft.com/office/drawing/2014/main" id="{00000000-0008-0000-0400-000060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13" name="Text Box 2">
          <a:extLst>
            <a:ext uri="{FF2B5EF4-FFF2-40B4-BE49-F238E27FC236}">
              <a16:creationId xmlns:a16="http://schemas.microsoft.com/office/drawing/2014/main" id="{00000000-0008-0000-0400-000061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14" name="Text Box 2">
          <a:extLst>
            <a:ext uri="{FF2B5EF4-FFF2-40B4-BE49-F238E27FC236}">
              <a16:creationId xmlns:a16="http://schemas.microsoft.com/office/drawing/2014/main" id="{00000000-0008-0000-0400-000062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15" name="Text Box 2">
          <a:extLst>
            <a:ext uri="{FF2B5EF4-FFF2-40B4-BE49-F238E27FC236}">
              <a16:creationId xmlns:a16="http://schemas.microsoft.com/office/drawing/2014/main" id="{00000000-0008-0000-0400-000063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16" name="Text Box 2">
          <a:extLst>
            <a:ext uri="{FF2B5EF4-FFF2-40B4-BE49-F238E27FC236}">
              <a16:creationId xmlns:a16="http://schemas.microsoft.com/office/drawing/2014/main" id="{00000000-0008-0000-0400-000064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17" name="Text Box 2">
          <a:extLst>
            <a:ext uri="{FF2B5EF4-FFF2-40B4-BE49-F238E27FC236}">
              <a16:creationId xmlns:a16="http://schemas.microsoft.com/office/drawing/2014/main" id="{00000000-0008-0000-0400-000065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18" name="Text Box 2">
          <a:extLst>
            <a:ext uri="{FF2B5EF4-FFF2-40B4-BE49-F238E27FC236}">
              <a16:creationId xmlns:a16="http://schemas.microsoft.com/office/drawing/2014/main" id="{00000000-0008-0000-0400-000066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19" name="Text Box 2">
          <a:extLst>
            <a:ext uri="{FF2B5EF4-FFF2-40B4-BE49-F238E27FC236}">
              <a16:creationId xmlns:a16="http://schemas.microsoft.com/office/drawing/2014/main" id="{00000000-0008-0000-0400-000067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20" name="Text Box 2">
          <a:extLst>
            <a:ext uri="{FF2B5EF4-FFF2-40B4-BE49-F238E27FC236}">
              <a16:creationId xmlns:a16="http://schemas.microsoft.com/office/drawing/2014/main" id="{00000000-0008-0000-0400-000068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21" name="Text Box 2">
          <a:extLst>
            <a:ext uri="{FF2B5EF4-FFF2-40B4-BE49-F238E27FC236}">
              <a16:creationId xmlns:a16="http://schemas.microsoft.com/office/drawing/2014/main" id="{00000000-0008-0000-0400-000069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22" name="Text Box 2">
          <a:extLst>
            <a:ext uri="{FF2B5EF4-FFF2-40B4-BE49-F238E27FC236}">
              <a16:creationId xmlns:a16="http://schemas.microsoft.com/office/drawing/2014/main" id="{00000000-0008-0000-0400-00006A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23" name="Text Box 2">
          <a:extLst>
            <a:ext uri="{FF2B5EF4-FFF2-40B4-BE49-F238E27FC236}">
              <a16:creationId xmlns:a16="http://schemas.microsoft.com/office/drawing/2014/main" id="{00000000-0008-0000-0400-00006B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24" name="Text Box 2">
          <a:extLst>
            <a:ext uri="{FF2B5EF4-FFF2-40B4-BE49-F238E27FC236}">
              <a16:creationId xmlns:a16="http://schemas.microsoft.com/office/drawing/2014/main" id="{00000000-0008-0000-0400-00006C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25" name="Text Box 2">
          <a:extLst>
            <a:ext uri="{FF2B5EF4-FFF2-40B4-BE49-F238E27FC236}">
              <a16:creationId xmlns:a16="http://schemas.microsoft.com/office/drawing/2014/main" id="{00000000-0008-0000-0400-00006D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26" name="Text Box 2">
          <a:extLst>
            <a:ext uri="{FF2B5EF4-FFF2-40B4-BE49-F238E27FC236}">
              <a16:creationId xmlns:a16="http://schemas.microsoft.com/office/drawing/2014/main" id="{00000000-0008-0000-0400-00006E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27" name="Text Box 2">
          <a:extLst>
            <a:ext uri="{FF2B5EF4-FFF2-40B4-BE49-F238E27FC236}">
              <a16:creationId xmlns:a16="http://schemas.microsoft.com/office/drawing/2014/main" id="{00000000-0008-0000-0400-00006F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28" name="Text Box 2">
          <a:extLst>
            <a:ext uri="{FF2B5EF4-FFF2-40B4-BE49-F238E27FC236}">
              <a16:creationId xmlns:a16="http://schemas.microsoft.com/office/drawing/2014/main" id="{00000000-0008-0000-0400-000070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29" name="Text Box 2">
          <a:extLst>
            <a:ext uri="{FF2B5EF4-FFF2-40B4-BE49-F238E27FC236}">
              <a16:creationId xmlns:a16="http://schemas.microsoft.com/office/drawing/2014/main" id="{00000000-0008-0000-0400-000071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30" name="Text Box 2">
          <a:extLst>
            <a:ext uri="{FF2B5EF4-FFF2-40B4-BE49-F238E27FC236}">
              <a16:creationId xmlns:a16="http://schemas.microsoft.com/office/drawing/2014/main" id="{00000000-0008-0000-0400-000072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31" name="Text Box 2">
          <a:extLst>
            <a:ext uri="{FF2B5EF4-FFF2-40B4-BE49-F238E27FC236}">
              <a16:creationId xmlns:a16="http://schemas.microsoft.com/office/drawing/2014/main" id="{00000000-0008-0000-0400-000073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32" name="Text Box 2">
          <a:extLst>
            <a:ext uri="{FF2B5EF4-FFF2-40B4-BE49-F238E27FC236}">
              <a16:creationId xmlns:a16="http://schemas.microsoft.com/office/drawing/2014/main" id="{00000000-0008-0000-0400-000074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33" name="Text Box 2">
          <a:extLst>
            <a:ext uri="{FF2B5EF4-FFF2-40B4-BE49-F238E27FC236}">
              <a16:creationId xmlns:a16="http://schemas.microsoft.com/office/drawing/2014/main" id="{00000000-0008-0000-0400-000075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34" name="Text Box 2">
          <a:extLst>
            <a:ext uri="{FF2B5EF4-FFF2-40B4-BE49-F238E27FC236}">
              <a16:creationId xmlns:a16="http://schemas.microsoft.com/office/drawing/2014/main" id="{00000000-0008-0000-0400-000076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35" name="Text Box 2">
          <a:extLst>
            <a:ext uri="{FF2B5EF4-FFF2-40B4-BE49-F238E27FC236}">
              <a16:creationId xmlns:a16="http://schemas.microsoft.com/office/drawing/2014/main" id="{00000000-0008-0000-0400-000077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36" name="Text Box 2">
          <a:extLst>
            <a:ext uri="{FF2B5EF4-FFF2-40B4-BE49-F238E27FC236}">
              <a16:creationId xmlns:a16="http://schemas.microsoft.com/office/drawing/2014/main" id="{00000000-0008-0000-0400-000078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37" name="Text Box 2">
          <a:extLst>
            <a:ext uri="{FF2B5EF4-FFF2-40B4-BE49-F238E27FC236}">
              <a16:creationId xmlns:a16="http://schemas.microsoft.com/office/drawing/2014/main" id="{00000000-0008-0000-0400-000079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38" name="Text Box 2">
          <a:extLst>
            <a:ext uri="{FF2B5EF4-FFF2-40B4-BE49-F238E27FC236}">
              <a16:creationId xmlns:a16="http://schemas.microsoft.com/office/drawing/2014/main" id="{00000000-0008-0000-0400-00007A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39" name="Text Box 2">
          <a:extLst>
            <a:ext uri="{FF2B5EF4-FFF2-40B4-BE49-F238E27FC236}">
              <a16:creationId xmlns:a16="http://schemas.microsoft.com/office/drawing/2014/main" id="{00000000-0008-0000-0400-00007B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40" name="Text Box 2">
          <a:extLst>
            <a:ext uri="{FF2B5EF4-FFF2-40B4-BE49-F238E27FC236}">
              <a16:creationId xmlns:a16="http://schemas.microsoft.com/office/drawing/2014/main" id="{00000000-0008-0000-0400-00007C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41" name="Text Box 2">
          <a:extLst>
            <a:ext uri="{FF2B5EF4-FFF2-40B4-BE49-F238E27FC236}">
              <a16:creationId xmlns:a16="http://schemas.microsoft.com/office/drawing/2014/main" id="{00000000-0008-0000-0400-00007D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42" name="Text Box 2">
          <a:extLst>
            <a:ext uri="{FF2B5EF4-FFF2-40B4-BE49-F238E27FC236}">
              <a16:creationId xmlns:a16="http://schemas.microsoft.com/office/drawing/2014/main" id="{00000000-0008-0000-0400-00007E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43" name="Text Box 2">
          <a:extLst>
            <a:ext uri="{FF2B5EF4-FFF2-40B4-BE49-F238E27FC236}">
              <a16:creationId xmlns:a16="http://schemas.microsoft.com/office/drawing/2014/main" id="{00000000-0008-0000-0400-00007F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44" name="Text Box 2">
          <a:extLst>
            <a:ext uri="{FF2B5EF4-FFF2-40B4-BE49-F238E27FC236}">
              <a16:creationId xmlns:a16="http://schemas.microsoft.com/office/drawing/2014/main" id="{00000000-0008-0000-0400-000080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45" name="Text Box 2">
          <a:extLst>
            <a:ext uri="{FF2B5EF4-FFF2-40B4-BE49-F238E27FC236}">
              <a16:creationId xmlns:a16="http://schemas.microsoft.com/office/drawing/2014/main" id="{00000000-0008-0000-0400-000081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46" name="Text Box 2">
          <a:extLst>
            <a:ext uri="{FF2B5EF4-FFF2-40B4-BE49-F238E27FC236}">
              <a16:creationId xmlns:a16="http://schemas.microsoft.com/office/drawing/2014/main" id="{00000000-0008-0000-0400-000082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47" name="Text Box 2">
          <a:extLst>
            <a:ext uri="{FF2B5EF4-FFF2-40B4-BE49-F238E27FC236}">
              <a16:creationId xmlns:a16="http://schemas.microsoft.com/office/drawing/2014/main" id="{00000000-0008-0000-0400-000083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48" name="Text Box 2">
          <a:extLst>
            <a:ext uri="{FF2B5EF4-FFF2-40B4-BE49-F238E27FC236}">
              <a16:creationId xmlns:a16="http://schemas.microsoft.com/office/drawing/2014/main" id="{00000000-0008-0000-0400-000084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49" name="Text Box 2">
          <a:extLst>
            <a:ext uri="{FF2B5EF4-FFF2-40B4-BE49-F238E27FC236}">
              <a16:creationId xmlns:a16="http://schemas.microsoft.com/office/drawing/2014/main" id="{00000000-0008-0000-0400-000085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50" name="Text Box 2">
          <a:extLst>
            <a:ext uri="{FF2B5EF4-FFF2-40B4-BE49-F238E27FC236}">
              <a16:creationId xmlns:a16="http://schemas.microsoft.com/office/drawing/2014/main" id="{00000000-0008-0000-0400-000086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51" name="Text Box 2">
          <a:extLst>
            <a:ext uri="{FF2B5EF4-FFF2-40B4-BE49-F238E27FC236}">
              <a16:creationId xmlns:a16="http://schemas.microsoft.com/office/drawing/2014/main" id="{00000000-0008-0000-0400-000087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52" name="Text Box 2">
          <a:extLst>
            <a:ext uri="{FF2B5EF4-FFF2-40B4-BE49-F238E27FC236}">
              <a16:creationId xmlns:a16="http://schemas.microsoft.com/office/drawing/2014/main" id="{00000000-0008-0000-0400-000088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53" name="Text Box 2">
          <a:extLst>
            <a:ext uri="{FF2B5EF4-FFF2-40B4-BE49-F238E27FC236}">
              <a16:creationId xmlns:a16="http://schemas.microsoft.com/office/drawing/2014/main" id="{00000000-0008-0000-0400-000089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54" name="Text Box 2">
          <a:extLst>
            <a:ext uri="{FF2B5EF4-FFF2-40B4-BE49-F238E27FC236}">
              <a16:creationId xmlns:a16="http://schemas.microsoft.com/office/drawing/2014/main" id="{00000000-0008-0000-0400-00008A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55" name="Text Box 2">
          <a:extLst>
            <a:ext uri="{FF2B5EF4-FFF2-40B4-BE49-F238E27FC236}">
              <a16:creationId xmlns:a16="http://schemas.microsoft.com/office/drawing/2014/main" id="{00000000-0008-0000-0400-00008B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56" name="Text Box 2">
          <a:extLst>
            <a:ext uri="{FF2B5EF4-FFF2-40B4-BE49-F238E27FC236}">
              <a16:creationId xmlns:a16="http://schemas.microsoft.com/office/drawing/2014/main" id="{00000000-0008-0000-0400-00008C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57" name="Text Box 2">
          <a:extLst>
            <a:ext uri="{FF2B5EF4-FFF2-40B4-BE49-F238E27FC236}">
              <a16:creationId xmlns:a16="http://schemas.microsoft.com/office/drawing/2014/main" id="{00000000-0008-0000-0400-00008D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58" name="Text Box 2">
          <a:extLst>
            <a:ext uri="{FF2B5EF4-FFF2-40B4-BE49-F238E27FC236}">
              <a16:creationId xmlns:a16="http://schemas.microsoft.com/office/drawing/2014/main" id="{00000000-0008-0000-0400-00008E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59" name="Text Box 2">
          <a:extLst>
            <a:ext uri="{FF2B5EF4-FFF2-40B4-BE49-F238E27FC236}">
              <a16:creationId xmlns:a16="http://schemas.microsoft.com/office/drawing/2014/main" id="{00000000-0008-0000-0400-00008F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60" name="Text Box 2">
          <a:extLst>
            <a:ext uri="{FF2B5EF4-FFF2-40B4-BE49-F238E27FC236}">
              <a16:creationId xmlns:a16="http://schemas.microsoft.com/office/drawing/2014/main" id="{00000000-0008-0000-0400-000090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61" name="Text Box 2">
          <a:extLst>
            <a:ext uri="{FF2B5EF4-FFF2-40B4-BE49-F238E27FC236}">
              <a16:creationId xmlns:a16="http://schemas.microsoft.com/office/drawing/2014/main" id="{00000000-0008-0000-0400-000091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62" name="Text Box 2">
          <a:extLst>
            <a:ext uri="{FF2B5EF4-FFF2-40B4-BE49-F238E27FC236}">
              <a16:creationId xmlns:a16="http://schemas.microsoft.com/office/drawing/2014/main" id="{00000000-0008-0000-0400-000092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63" name="Text Box 2">
          <a:extLst>
            <a:ext uri="{FF2B5EF4-FFF2-40B4-BE49-F238E27FC236}">
              <a16:creationId xmlns:a16="http://schemas.microsoft.com/office/drawing/2014/main" id="{00000000-0008-0000-0400-000093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64" name="Text Box 2">
          <a:extLst>
            <a:ext uri="{FF2B5EF4-FFF2-40B4-BE49-F238E27FC236}">
              <a16:creationId xmlns:a16="http://schemas.microsoft.com/office/drawing/2014/main" id="{00000000-0008-0000-0400-000094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65" name="Text Box 2">
          <a:extLst>
            <a:ext uri="{FF2B5EF4-FFF2-40B4-BE49-F238E27FC236}">
              <a16:creationId xmlns:a16="http://schemas.microsoft.com/office/drawing/2014/main" id="{00000000-0008-0000-0400-000095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66" name="Text Box 2">
          <a:extLst>
            <a:ext uri="{FF2B5EF4-FFF2-40B4-BE49-F238E27FC236}">
              <a16:creationId xmlns:a16="http://schemas.microsoft.com/office/drawing/2014/main" id="{00000000-0008-0000-0400-000096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67" name="Text Box 2">
          <a:extLst>
            <a:ext uri="{FF2B5EF4-FFF2-40B4-BE49-F238E27FC236}">
              <a16:creationId xmlns:a16="http://schemas.microsoft.com/office/drawing/2014/main" id="{00000000-0008-0000-0400-000097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68" name="Text Box 2">
          <a:extLst>
            <a:ext uri="{FF2B5EF4-FFF2-40B4-BE49-F238E27FC236}">
              <a16:creationId xmlns:a16="http://schemas.microsoft.com/office/drawing/2014/main" id="{00000000-0008-0000-0400-000098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69" name="Text Box 2">
          <a:extLst>
            <a:ext uri="{FF2B5EF4-FFF2-40B4-BE49-F238E27FC236}">
              <a16:creationId xmlns:a16="http://schemas.microsoft.com/office/drawing/2014/main" id="{00000000-0008-0000-0400-000099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70" name="Text Box 2">
          <a:extLst>
            <a:ext uri="{FF2B5EF4-FFF2-40B4-BE49-F238E27FC236}">
              <a16:creationId xmlns:a16="http://schemas.microsoft.com/office/drawing/2014/main" id="{00000000-0008-0000-0400-00009A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71" name="Text Box 2">
          <a:extLst>
            <a:ext uri="{FF2B5EF4-FFF2-40B4-BE49-F238E27FC236}">
              <a16:creationId xmlns:a16="http://schemas.microsoft.com/office/drawing/2014/main" id="{00000000-0008-0000-0400-00009B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72" name="Text Box 2">
          <a:extLst>
            <a:ext uri="{FF2B5EF4-FFF2-40B4-BE49-F238E27FC236}">
              <a16:creationId xmlns:a16="http://schemas.microsoft.com/office/drawing/2014/main" id="{00000000-0008-0000-0400-00009C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973" name="Text Box 2">
          <a:extLst>
            <a:ext uri="{FF2B5EF4-FFF2-40B4-BE49-F238E27FC236}">
              <a16:creationId xmlns:a16="http://schemas.microsoft.com/office/drawing/2014/main" id="{00000000-0008-0000-0400-00009D0B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974" name="Text Box 2">
          <a:extLst>
            <a:ext uri="{FF2B5EF4-FFF2-40B4-BE49-F238E27FC236}">
              <a16:creationId xmlns:a16="http://schemas.microsoft.com/office/drawing/2014/main" id="{00000000-0008-0000-0400-00009E0B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975" name="Text Box 2">
          <a:extLst>
            <a:ext uri="{FF2B5EF4-FFF2-40B4-BE49-F238E27FC236}">
              <a16:creationId xmlns:a16="http://schemas.microsoft.com/office/drawing/2014/main" id="{00000000-0008-0000-0400-00009F0B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976" name="Text Box 2">
          <a:extLst>
            <a:ext uri="{FF2B5EF4-FFF2-40B4-BE49-F238E27FC236}">
              <a16:creationId xmlns:a16="http://schemas.microsoft.com/office/drawing/2014/main" id="{00000000-0008-0000-0400-0000A00B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977" name="Text Box 2">
          <a:extLst>
            <a:ext uri="{FF2B5EF4-FFF2-40B4-BE49-F238E27FC236}">
              <a16:creationId xmlns:a16="http://schemas.microsoft.com/office/drawing/2014/main" id="{00000000-0008-0000-0400-0000A10B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978" name="Text Box 2">
          <a:extLst>
            <a:ext uri="{FF2B5EF4-FFF2-40B4-BE49-F238E27FC236}">
              <a16:creationId xmlns:a16="http://schemas.microsoft.com/office/drawing/2014/main" id="{00000000-0008-0000-0400-0000A20B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979" name="Text Box 2">
          <a:extLst>
            <a:ext uri="{FF2B5EF4-FFF2-40B4-BE49-F238E27FC236}">
              <a16:creationId xmlns:a16="http://schemas.microsoft.com/office/drawing/2014/main" id="{00000000-0008-0000-0400-0000A30B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980" name="Text Box 2">
          <a:extLst>
            <a:ext uri="{FF2B5EF4-FFF2-40B4-BE49-F238E27FC236}">
              <a16:creationId xmlns:a16="http://schemas.microsoft.com/office/drawing/2014/main" id="{00000000-0008-0000-0400-0000A40B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2981" name="Text Box 2">
          <a:extLst>
            <a:ext uri="{FF2B5EF4-FFF2-40B4-BE49-F238E27FC236}">
              <a16:creationId xmlns:a16="http://schemas.microsoft.com/office/drawing/2014/main" id="{00000000-0008-0000-0400-0000A50B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82" name="Text Box 2">
          <a:extLst>
            <a:ext uri="{FF2B5EF4-FFF2-40B4-BE49-F238E27FC236}">
              <a16:creationId xmlns:a16="http://schemas.microsoft.com/office/drawing/2014/main" id="{00000000-0008-0000-0400-0000A6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83" name="Text Box 2">
          <a:extLst>
            <a:ext uri="{FF2B5EF4-FFF2-40B4-BE49-F238E27FC236}">
              <a16:creationId xmlns:a16="http://schemas.microsoft.com/office/drawing/2014/main" id="{00000000-0008-0000-0400-0000A7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84" name="Text Box 2">
          <a:extLst>
            <a:ext uri="{FF2B5EF4-FFF2-40B4-BE49-F238E27FC236}">
              <a16:creationId xmlns:a16="http://schemas.microsoft.com/office/drawing/2014/main" id="{00000000-0008-0000-0400-0000A8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85" name="Text Box 2">
          <a:extLst>
            <a:ext uri="{FF2B5EF4-FFF2-40B4-BE49-F238E27FC236}">
              <a16:creationId xmlns:a16="http://schemas.microsoft.com/office/drawing/2014/main" id="{00000000-0008-0000-0400-0000A9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86" name="Text Box 2">
          <a:extLst>
            <a:ext uri="{FF2B5EF4-FFF2-40B4-BE49-F238E27FC236}">
              <a16:creationId xmlns:a16="http://schemas.microsoft.com/office/drawing/2014/main" id="{00000000-0008-0000-0400-0000AA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87" name="Text Box 2">
          <a:extLst>
            <a:ext uri="{FF2B5EF4-FFF2-40B4-BE49-F238E27FC236}">
              <a16:creationId xmlns:a16="http://schemas.microsoft.com/office/drawing/2014/main" id="{00000000-0008-0000-0400-0000AB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88" name="Text Box 2">
          <a:extLst>
            <a:ext uri="{FF2B5EF4-FFF2-40B4-BE49-F238E27FC236}">
              <a16:creationId xmlns:a16="http://schemas.microsoft.com/office/drawing/2014/main" id="{00000000-0008-0000-0400-0000AC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89" name="Text Box 2">
          <a:extLst>
            <a:ext uri="{FF2B5EF4-FFF2-40B4-BE49-F238E27FC236}">
              <a16:creationId xmlns:a16="http://schemas.microsoft.com/office/drawing/2014/main" id="{00000000-0008-0000-0400-0000AD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90" name="Text Box 2">
          <a:extLst>
            <a:ext uri="{FF2B5EF4-FFF2-40B4-BE49-F238E27FC236}">
              <a16:creationId xmlns:a16="http://schemas.microsoft.com/office/drawing/2014/main" id="{00000000-0008-0000-0400-0000AE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91" name="Text Box 2">
          <a:extLst>
            <a:ext uri="{FF2B5EF4-FFF2-40B4-BE49-F238E27FC236}">
              <a16:creationId xmlns:a16="http://schemas.microsoft.com/office/drawing/2014/main" id="{00000000-0008-0000-0400-0000AF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92" name="Text Box 2">
          <a:extLst>
            <a:ext uri="{FF2B5EF4-FFF2-40B4-BE49-F238E27FC236}">
              <a16:creationId xmlns:a16="http://schemas.microsoft.com/office/drawing/2014/main" id="{00000000-0008-0000-0400-0000B0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93" name="Text Box 2">
          <a:extLst>
            <a:ext uri="{FF2B5EF4-FFF2-40B4-BE49-F238E27FC236}">
              <a16:creationId xmlns:a16="http://schemas.microsoft.com/office/drawing/2014/main" id="{00000000-0008-0000-0400-0000B1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94" name="Text Box 2">
          <a:extLst>
            <a:ext uri="{FF2B5EF4-FFF2-40B4-BE49-F238E27FC236}">
              <a16:creationId xmlns:a16="http://schemas.microsoft.com/office/drawing/2014/main" id="{00000000-0008-0000-0400-0000B2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95" name="Text Box 2">
          <a:extLst>
            <a:ext uri="{FF2B5EF4-FFF2-40B4-BE49-F238E27FC236}">
              <a16:creationId xmlns:a16="http://schemas.microsoft.com/office/drawing/2014/main" id="{00000000-0008-0000-0400-0000B3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96" name="Text Box 2">
          <a:extLst>
            <a:ext uri="{FF2B5EF4-FFF2-40B4-BE49-F238E27FC236}">
              <a16:creationId xmlns:a16="http://schemas.microsoft.com/office/drawing/2014/main" id="{00000000-0008-0000-0400-0000B4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97" name="Text Box 2">
          <a:extLst>
            <a:ext uri="{FF2B5EF4-FFF2-40B4-BE49-F238E27FC236}">
              <a16:creationId xmlns:a16="http://schemas.microsoft.com/office/drawing/2014/main" id="{00000000-0008-0000-0400-0000B5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98" name="Text Box 2">
          <a:extLst>
            <a:ext uri="{FF2B5EF4-FFF2-40B4-BE49-F238E27FC236}">
              <a16:creationId xmlns:a16="http://schemas.microsoft.com/office/drawing/2014/main" id="{00000000-0008-0000-0400-0000B6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2999" name="Text Box 2">
          <a:extLst>
            <a:ext uri="{FF2B5EF4-FFF2-40B4-BE49-F238E27FC236}">
              <a16:creationId xmlns:a16="http://schemas.microsoft.com/office/drawing/2014/main" id="{00000000-0008-0000-0400-0000B7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00" name="Text Box 2">
          <a:extLst>
            <a:ext uri="{FF2B5EF4-FFF2-40B4-BE49-F238E27FC236}">
              <a16:creationId xmlns:a16="http://schemas.microsoft.com/office/drawing/2014/main" id="{00000000-0008-0000-0400-0000B8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01" name="Text Box 2">
          <a:extLst>
            <a:ext uri="{FF2B5EF4-FFF2-40B4-BE49-F238E27FC236}">
              <a16:creationId xmlns:a16="http://schemas.microsoft.com/office/drawing/2014/main" id="{00000000-0008-0000-0400-0000B9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02" name="Text Box 2">
          <a:extLst>
            <a:ext uri="{FF2B5EF4-FFF2-40B4-BE49-F238E27FC236}">
              <a16:creationId xmlns:a16="http://schemas.microsoft.com/office/drawing/2014/main" id="{00000000-0008-0000-0400-0000BA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03" name="Text Box 2">
          <a:extLst>
            <a:ext uri="{FF2B5EF4-FFF2-40B4-BE49-F238E27FC236}">
              <a16:creationId xmlns:a16="http://schemas.microsoft.com/office/drawing/2014/main" id="{00000000-0008-0000-0400-0000BB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04" name="Text Box 2">
          <a:extLst>
            <a:ext uri="{FF2B5EF4-FFF2-40B4-BE49-F238E27FC236}">
              <a16:creationId xmlns:a16="http://schemas.microsoft.com/office/drawing/2014/main" id="{00000000-0008-0000-0400-0000BC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05" name="Text Box 2">
          <a:extLst>
            <a:ext uri="{FF2B5EF4-FFF2-40B4-BE49-F238E27FC236}">
              <a16:creationId xmlns:a16="http://schemas.microsoft.com/office/drawing/2014/main" id="{00000000-0008-0000-0400-0000BD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06" name="Text Box 2">
          <a:extLst>
            <a:ext uri="{FF2B5EF4-FFF2-40B4-BE49-F238E27FC236}">
              <a16:creationId xmlns:a16="http://schemas.microsoft.com/office/drawing/2014/main" id="{00000000-0008-0000-0400-0000BE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07" name="Text Box 2">
          <a:extLst>
            <a:ext uri="{FF2B5EF4-FFF2-40B4-BE49-F238E27FC236}">
              <a16:creationId xmlns:a16="http://schemas.microsoft.com/office/drawing/2014/main" id="{00000000-0008-0000-0400-0000BF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08" name="Text Box 2">
          <a:extLst>
            <a:ext uri="{FF2B5EF4-FFF2-40B4-BE49-F238E27FC236}">
              <a16:creationId xmlns:a16="http://schemas.microsoft.com/office/drawing/2014/main" id="{00000000-0008-0000-0400-0000C0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09" name="Text Box 2">
          <a:extLst>
            <a:ext uri="{FF2B5EF4-FFF2-40B4-BE49-F238E27FC236}">
              <a16:creationId xmlns:a16="http://schemas.microsoft.com/office/drawing/2014/main" id="{00000000-0008-0000-0400-0000C1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10" name="Text Box 2">
          <a:extLst>
            <a:ext uri="{FF2B5EF4-FFF2-40B4-BE49-F238E27FC236}">
              <a16:creationId xmlns:a16="http://schemas.microsoft.com/office/drawing/2014/main" id="{00000000-0008-0000-0400-0000C2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11" name="Text Box 2">
          <a:extLst>
            <a:ext uri="{FF2B5EF4-FFF2-40B4-BE49-F238E27FC236}">
              <a16:creationId xmlns:a16="http://schemas.microsoft.com/office/drawing/2014/main" id="{00000000-0008-0000-0400-0000C3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12" name="Text Box 2">
          <a:extLst>
            <a:ext uri="{FF2B5EF4-FFF2-40B4-BE49-F238E27FC236}">
              <a16:creationId xmlns:a16="http://schemas.microsoft.com/office/drawing/2014/main" id="{00000000-0008-0000-0400-0000C4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13" name="Text Box 2">
          <a:extLst>
            <a:ext uri="{FF2B5EF4-FFF2-40B4-BE49-F238E27FC236}">
              <a16:creationId xmlns:a16="http://schemas.microsoft.com/office/drawing/2014/main" id="{00000000-0008-0000-0400-0000C5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14" name="Text Box 2">
          <a:extLst>
            <a:ext uri="{FF2B5EF4-FFF2-40B4-BE49-F238E27FC236}">
              <a16:creationId xmlns:a16="http://schemas.microsoft.com/office/drawing/2014/main" id="{00000000-0008-0000-0400-0000C6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15" name="Text Box 2">
          <a:extLst>
            <a:ext uri="{FF2B5EF4-FFF2-40B4-BE49-F238E27FC236}">
              <a16:creationId xmlns:a16="http://schemas.microsoft.com/office/drawing/2014/main" id="{00000000-0008-0000-0400-0000C7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16" name="Text Box 2">
          <a:extLst>
            <a:ext uri="{FF2B5EF4-FFF2-40B4-BE49-F238E27FC236}">
              <a16:creationId xmlns:a16="http://schemas.microsoft.com/office/drawing/2014/main" id="{00000000-0008-0000-0400-0000C8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17" name="Text Box 2">
          <a:extLst>
            <a:ext uri="{FF2B5EF4-FFF2-40B4-BE49-F238E27FC236}">
              <a16:creationId xmlns:a16="http://schemas.microsoft.com/office/drawing/2014/main" id="{00000000-0008-0000-0400-0000C9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18" name="Text Box 2">
          <a:extLst>
            <a:ext uri="{FF2B5EF4-FFF2-40B4-BE49-F238E27FC236}">
              <a16:creationId xmlns:a16="http://schemas.microsoft.com/office/drawing/2014/main" id="{00000000-0008-0000-0400-0000CA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19" name="Text Box 2">
          <a:extLst>
            <a:ext uri="{FF2B5EF4-FFF2-40B4-BE49-F238E27FC236}">
              <a16:creationId xmlns:a16="http://schemas.microsoft.com/office/drawing/2014/main" id="{00000000-0008-0000-0400-0000CB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20" name="Text Box 2">
          <a:extLst>
            <a:ext uri="{FF2B5EF4-FFF2-40B4-BE49-F238E27FC236}">
              <a16:creationId xmlns:a16="http://schemas.microsoft.com/office/drawing/2014/main" id="{00000000-0008-0000-0400-0000CC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21" name="Text Box 2">
          <a:extLst>
            <a:ext uri="{FF2B5EF4-FFF2-40B4-BE49-F238E27FC236}">
              <a16:creationId xmlns:a16="http://schemas.microsoft.com/office/drawing/2014/main" id="{00000000-0008-0000-0400-0000CD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22" name="Text Box 2">
          <a:extLst>
            <a:ext uri="{FF2B5EF4-FFF2-40B4-BE49-F238E27FC236}">
              <a16:creationId xmlns:a16="http://schemas.microsoft.com/office/drawing/2014/main" id="{00000000-0008-0000-0400-0000CE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23" name="Text Box 2">
          <a:extLst>
            <a:ext uri="{FF2B5EF4-FFF2-40B4-BE49-F238E27FC236}">
              <a16:creationId xmlns:a16="http://schemas.microsoft.com/office/drawing/2014/main" id="{00000000-0008-0000-0400-0000CF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24" name="Text Box 2">
          <a:extLst>
            <a:ext uri="{FF2B5EF4-FFF2-40B4-BE49-F238E27FC236}">
              <a16:creationId xmlns:a16="http://schemas.microsoft.com/office/drawing/2014/main" id="{00000000-0008-0000-0400-0000D0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25" name="Text Box 2">
          <a:extLst>
            <a:ext uri="{FF2B5EF4-FFF2-40B4-BE49-F238E27FC236}">
              <a16:creationId xmlns:a16="http://schemas.microsoft.com/office/drawing/2014/main" id="{00000000-0008-0000-0400-0000D1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26" name="Text Box 2">
          <a:extLst>
            <a:ext uri="{FF2B5EF4-FFF2-40B4-BE49-F238E27FC236}">
              <a16:creationId xmlns:a16="http://schemas.microsoft.com/office/drawing/2014/main" id="{00000000-0008-0000-0400-0000D2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27" name="Text Box 2">
          <a:extLst>
            <a:ext uri="{FF2B5EF4-FFF2-40B4-BE49-F238E27FC236}">
              <a16:creationId xmlns:a16="http://schemas.microsoft.com/office/drawing/2014/main" id="{00000000-0008-0000-0400-0000D3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28" name="Text Box 2">
          <a:extLst>
            <a:ext uri="{FF2B5EF4-FFF2-40B4-BE49-F238E27FC236}">
              <a16:creationId xmlns:a16="http://schemas.microsoft.com/office/drawing/2014/main" id="{00000000-0008-0000-0400-0000D4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29" name="Text Box 2">
          <a:extLst>
            <a:ext uri="{FF2B5EF4-FFF2-40B4-BE49-F238E27FC236}">
              <a16:creationId xmlns:a16="http://schemas.microsoft.com/office/drawing/2014/main" id="{00000000-0008-0000-0400-0000D5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30" name="Text Box 2">
          <a:extLst>
            <a:ext uri="{FF2B5EF4-FFF2-40B4-BE49-F238E27FC236}">
              <a16:creationId xmlns:a16="http://schemas.microsoft.com/office/drawing/2014/main" id="{00000000-0008-0000-0400-0000D6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31" name="Text Box 2">
          <a:extLst>
            <a:ext uri="{FF2B5EF4-FFF2-40B4-BE49-F238E27FC236}">
              <a16:creationId xmlns:a16="http://schemas.microsoft.com/office/drawing/2014/main" id="{00000000-0008-0000-0400-0000D7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32" name="Text Box 2">
          <a:extLst>
            <a:ext uri="{FF2B5EF4-FFF2-40B4-BE49-F238E27FC236}">
              <a16:creationId xmlns:a16="http://schemas.microsoft.com/office/drawing/2014/main" id="{00000000-0008-0000-0400-0000D8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33" name="Text Box 2">
          <a:extLst>
            <a:ext uri="{FF2B5EF4-FFF2-40B4-BE49-F238E27FC236}">
              <a16:creationId xmlns:a16="http://schemas.microsoft.com/office/drawing/2014/main" id="{00000000-0008-0000-0400-0000D9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34" name="Text Box 2">
          <a:extLst>
            <a:ext uri="{FF2B5EF4-FFF2-40B4-BE49-F238E27FC236}">
              <a16:creationId xmlns:a16="http://schemas.microsoft.com/office/drawing/2014/main" id="{00000000-0008-0000-0400-0000DA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35" name="Text Box 2">
          <a:extLst>
            <a:ext uri="{FF2B5EF4-FFF2-40B4-BE49-F238E27FC236}">
              <a16:creationId xmlns:a16="http://schemas.microsoft.com/office/drawing/2014/main" id="{00000000-0008-0000-0400-0000DB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36" name="Text Box 2">
          <a:extLst>
            <a:ext uri="{FF2B5EF4-FFF2-40B4-BE49-F238E27FC236}">
              <a16:creationId xmlns:a16="http://schemas.microsoft.com/office/drawing/2014/main" id="{00000000-0008-0000-0400-0000DC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37" name="Text Box 2">
          <a:extLst>
            <a:ext uri="{FF2B5EF4-FFF2-40B4-BE49-F238E27FC236}">
              <a16:creationId xmlns:a16="http://schemas.microsoft.com/office/drawing/2014/main" id="{00000000-0008-0000-0400-0000DD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38" name="Text Box 2">
          <a:extLst>
            <a:ext uri="{FF2B5EF4-FFF2-40B4-BE49-F238E27FC236}">
              <a16:creationId xmlns:a16="http://schemas.microsoft.com/office/drawing/2014/main" id="{00000000-0008-0000-0400-0000DE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39" name="Text Box 2">
          <a:extLst>
            <a:ext uri="{FF2B5EF4-FFF2-40B4-BE49-F238E27FC236}">
              <a16:creationId xmlns:a16="http://schemas.microsoft.com/office/drawing/2014/main" id="{00000000-0008-0000-0400-0000DF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40" name="Text Box 2">
          <a:extLst>
            <a:ext uri="{FF2B5EF4-FFF2-40B4-BE49-F238E27FC236}">
              <a16:creationId xmlns:a16="http://schemas.microsoft.com/office/drawing/2014/main" id="{00000000-0008-0000-0400-0000E0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41" name="Text Box 2">
          <a:extLst>
            <a:ext uri="{FF2B5EF4-FFF2-40B4-BE49-F238E27FC236}">
              <a16:creationId xmlns:a16="http://schemas.microsoft.com/office/drawing/2014/main" id="{00000000-0008-0000-0400-0000E1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42" name="Text Box 2">
          <a:extLst>
            <a:ext uri="{FF2B5EF4-FFF2-40B4-BE49-F238E27FC236}">
              <a16:creationId xmlns:a16="http://schemas.microsoft.com/office/drawing/2014/main" id="{00000000-0008-0000-0400-0000E2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43" name="Text Box 2">
          <a:extLst>
            <a:ext uri="{FF2B5EF4-FFF2-40B4-BE49-F238E27FC236}">
              <a16:creationId xmlns:a16="http://schemas.microsoft.com/office/drawing/2014/main" id="{00000000-0008-0000-0400-0000E3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44" name="Text Box 2">
          <a:extLst>
            <a:ext uri="{FF2B5EF4-FFF2-40B4-BE49-F238E27FC236}">
              <a16:creationId xmlns:a16="http://schemas.microsoft.com/office/drawing/2014/main" id="{00000000-0008-0000-0400-0000E4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45" name="Text Box 2">
          <a:extLst>
            <a:ext uri="{FF2B5EF4-FFF2-40B4-BE49-F238E27FC236}">
              <a16:creationId xmlns:a16="http://schemas.microsoft.com/office/drawing/2014/main" id="{00000000-0008-0000-0400-0000E5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46" name="Text Box 2">
          <a:extLst>
            <a:ext uri="{FF2B5EF4-FFF2-40B4-BE49-F238E27FC236}">
              <a16:creationId xmlns:a16="http://schemas.microsoft.com/office/drawing/2014/main" id="{00000000-0008-0000-0400-0000E6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47" name="Text Box 2">
          <a:extLst>
            <a:ext uri="{FF2B5EF4-FFF2-40B4-BE49-F238E27FC236}">
              <a16:creationId xmlns:a16="http://schemas.microsoft.com/office/drawing/2014/main" id="{00000000-0008-0000-0400-0000E7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48" name="Text Box 2">
          <a:extLst>
            <a:ext uri="{FF2B5EF4-FFF2-40B4-BE49-F238E27FC236}">
              <a16:creationId xmlns:a16="http://schemas.microsoft.com/office/drawing/2014/main" id="{00000000-0008-0000-0400-0000E8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49" name="Text Box 2">
          <a:extLst>
            <a:ext uri="{FF2B5EF4-FFF2-40B4-BE49-F238E27FC236}">
              <a16:creationId xmlns:a16="http://schemas.microsoft.com/office/drawing/2014/main" id="{00000000-0008-0000-0400-0000E9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50" name="Text Box 2">
          <a:extLst>
            <a:ext uri="{FF2B5EF4-FFF2-40B4-BE49-F238E27FC236}">
              <a16:creationId xmlns:a16="http://schemas.microsoft.com/office/drawing/2014/main" id="{00000000-0008-0000-0400-0000EA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51" name="Text Box 2">
          <a:extLst>
            <a:ext uri="{FF2B5EF4-FFF2-40B4-BE49-F238E27FC236}">
              <a16:creationId xmlns:a16="http://schemas.microsoft.com/office/drawing/2014/main" id="{00000000-0008-0000-0400-0000EB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52" name="Text Box 2">
          <a:extLst>
            <a:ext uri="{FF2B5EF4-FFF2-40B4-BE49-F238E27FC236}">
              <a16:creationId xmlns:a16="http://schemas.microsoft.com/office/drawing/2014/main" id="{00000000-0008-0000-0400-0000EC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53" name="Text Box 2">
          <a:extLst>
            <a:ext uri="{FF2B5EF4-FFF2-40B4-BE49-F238E27FC236}">
              <a16:creationId xmlns:a16="http://schemas.microsoft.com/office/drawing/2014/main" id="{00000000-0008-0000-0400-0000ED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54" name="Text Box 2">
          <a:extLst>
            <a:ext uri="{FF2B5EF4-FFF2-40B4-BE49-F238E27FC236}">
              <a16:creationId xmlns:a16="http://schemas.microsoft.com/office/drawing/2014/main" id="{00000000-0008-0000-0400-0000EE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55" name="Text Box 2">
          <a:extLst>
            <a:ext uri="{FF2B5EF4-FFF2-40B4-BE49-F238E27FC236}">
              <a16:creationId xmlns:a16="http://schemas.microsoft.com/office/drawing/2014/main" id="{00000000-0008-0000-0400-0000EF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56" name="Text Box 2">
          <a:extLst>
            <a:ext uri="{FF2B5EF4-FFF2-40B4-BE49-F238E27FC236}">
              <a16:creationId xmlns:a16="http://schemas.microsoft.com/office/drawing/2014/main" id="{00000000-0008-0000-0400-0000F0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57" name="Text Box 2">
          <a:extLst>
            <a:ext uri="{FF2B5EF4-FFF2-40B4-BE49-F238E27FC236}">
              <a16:creationId xmlns:a16="http://schemas.microsoft.com/office/drawing/2014/main" id="{00000000-0008-0000-0400-0000F1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58" name="Text Box 2">
          <a:extLst>
            <a:ext uri="{FF2B5EF4-FFF2-40B4-BE49-F238E27FC236}">
              <a16:creationId xmlns:a16="http://schemas.microsoft.com/office/drawing/2014/main" id="{00000000-0008-0000-0400-0000F2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59" name="Text Box 2">
          <a:extLst>
            <a:ext uri="{FF2B5EF4-FFF2-40B4-BE49-F238E27FC236}">
              <a16:creationId xmlns:a16="http://schemas.microsoft.com/office/drawing/2014/main" id="{00000000-0008-0000-0400-0000F3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60" name="Text Box 2">
          <a:extLst>
            <a:ext uri="{FF2B5EF4-FFF2-40B4-BE49-F238E27FC236}">
              <a16:creationId xmlns:a16="http://schemas.microsoft.com/office/drawing/2014/main" id="{00000000-0008-0000-0400-0000F4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61" name="Text Box 2">
          <a:extLst>
            <a:ext uri="{FF2B5EF4-FFF2-40B4-BE49-F238E27FC236}">
              <a16:creationId xmlns:a16="http://schemas.microsoft.com/office/drawing/2014/main" id="{00000000-0008-0000-0400-0000F5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62" name="Text Box 2">
          <a:extLst>
            <a:ext uri="{FF2B5EF4-FFF2-40B4-BE49-F238E27FC236}">
              <a16:creationId xmlns:a16="http://schemas.microsoft.com/office/drawing/2014/main" id="{00000000-0008-0000-0400-0000F6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63" name="Text Box 2">
          <a:extLst>
            <a:ext uri="{FF2B5EF4-FFF2-40B4-BE49-F238E27FC236}">
              <a16:creationId xmlns:a16="http://schemas.microsoft.com/office/drawing/2014/main" id="{00000000-0008-0000-0400-0000F7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64" name="Text Box 2">
          <a:extLst>
            <a:ext uri="{FF2B5EF4-FFF2-40B4-BE49-F238E27FC236}">
              <a16:creationId xmlns:a16="http://schemas.microsoft.com/office/drawing/2014/main" id="{00000000-0008-0000-0400-0000F8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65" name="Text Box 2">
          <a:extLst>
            <a:ext uri="{FF2B5EF4-FFF2-40B4-BE49-F238E27FC236}">
              <a16:creationId xmlns:a16="http://schemas.microsoft.com/office/drawing/2014/main" id="{00000000-0008-0000-0400-0000F9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66" name="Text Box 2">
          <a:extLst>
            <a:ext uri="{FF2B5EF4-FFF2-40B4-BE49-F238E27FC236}">
              <a16:creationId xmlns:a16="http://schemas.microsoft.com/office/drawing/2014/main" id="{00000000-0008-0000-0400-0000FA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67" name="Text Box 2">
          <a:extLst>
            <a:ext uri="{FF2B5EF4-FFF2-40B4-BE49-F238E27FC236}">
              <a16:creationId xmlns:a16="http://schemas.microsoft.com/office/drawing/2014/main" id="{00000000-0008-0000-0400-0000FB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68" name="Text Box 2">
          <a:extLst>
            <a:ext uri="{FF2B5EF4-FFF2-40B4-BE49-F238E27FC236}">
              <a16:creationId xmlns:a16="http://schemas.microsoft.com/office/drawing/2014/main" id="{00000000-0008-0000-0400-0000FC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69" name="Text Box 2">
          <a:extLst>
            <a:ext uri="{FF2B5EF4-FFF2-40B4-BE49-F238E27FC236}">
              <a16:creationId xmlns:a16="http://schemas.microsoft.com/office/drawing/2014/main" id="{00000000-0008-0000-0400-0000FD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70" name="Text Box 2">
          <a:extLst>
            <a:ext uri="{FF2B5EF4-FFF2-40B4-BE49-F238E27FC236}">
              <a16:creationId xmlns:a16="http://schemas.microsoft.com/office/drawing/2014/main" id="{00000000-0008-0000-0400-0000FE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71" name="Text Box 2">
          <a:extLst>
            <a:ext uri="{FF2B5EF4-FFF2-40B4-BE49-F238E27FC236}">
              <a16:creationId xmlns:a16="http://schemas.microsoft.com/office/drawing/2014/main" id="{00000000-0008-0000-0400-0000FF0B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72" name="Text Box 2">
          <a:extLst>
            <a:ext uri="{FF2B5EF4-FFF2-40B4-BE49-F238E27FC236}">
              <a16:creationId xmlns:a16="http://schemas.microsoft.com/office/drawing/2014/main" id="{00000000-0008-0000-0400-000000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73" name="Text Box 2">
          <a:extLst>
            <a:ext uri="{FF2B5EF4-FFF2-40B4-BE49-F238E27FC236}">
              <a16:creationId xmlns:a16="http://schemas.microsoft.com/office/drawing/2014/main" id="{00000000-0008-0000-0400-000001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74" name="Text Box 2">
          <a:extLst>
            <a:ext uri="{FF2B5EF4-FFF2-40B4-BE49-F238E27FC236}">
              <a16:creationId xmlns:a16="http://schemas.microsoft.com/office/drawing/2014/main" id="{00000000-0008-0000-0400-000002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75" name="Text Box 2">
          <a:extLst>
            <a:ext uri="{FF2B5EF4-FFF2-40B4-BE49-F238E27FC236}">
              <a16:creationId xmlns:a16="http://schemas.microsoft.com/office/drawing/2014/main" id="{00000000-0008-0000-0400-000003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76" name="Text Box 2">
          <a:extLst>
            <a:ext uri="{FF2B5EF4-FFF2-40B4-BE49-F238E27FC236}">
              <a16:creationId xmlns:a16="http://schemas.microsoft.com/office/drawing/2014/main" id="{00000000-0008-0000-0400-000004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77" name="Text Box 2">
          <a:extLst>
            <a:ext uri="{FF2B5EF4-FFF2-40B4-BE49-F238E27FC236}">
              <a16:creationId xmlns:a16="http://schemas.microsoft.com/office/drawing/2014/main" id="{00000000-0008-0000-0400-000005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78" name="Text Box 2">
          <a:extLst>
            <a:ext uri="{FF2B5EF4-FFF2-40B4-BE49-F238E27FC236}">
              <a16:creationId xmlns:a16="http://schemas.microsoft.com/office/drawing/2014/main" id="{00000000-0008-0000-0400-000006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79" name="Text Box 2">
          <a:extLst>
            <a:ext uri="{FF2B5EF4-FFF2-40B4-BE49-F238E27FC236}">
              <a16:creationId xmlns:a16="http://schemas.microsoft.com/office/drawing/2014/main" id="{00000000-0008-0000-0400-000007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80" name="Text Box 2">
          <a:extLst>
            <a:ext uri="{FF2B5EF4-FFF2-40B4-BE49-F238E27FC236}">
              <a16:creationId xmlns:a16="http://schemas.microsoft.com/office/drawing/2014/main" id="{00000000-0008-0000-0400-000008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81" name="Text Box 2">
          <a:extLst>
            <a:ext uri="{FF2B5EF4-FFF2-40B4-BE49-F238E27FC236}">
              <a16:creationId xmlns:a16="http://schemas.microsoft.com/office/drawing/2014/main" id="{00000000-0008-0000-0400-000009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82" name="Text Box 2">
          <a:extLst>
            <a:ext uri="{FF2B5EF4-FFF2-40B4-BE49-F238E27FC236}">
              <a16:creationId xmlns:a16="http://schemas.microsoft.com/office/drawing/2014/main" id="{00000000-0008-0000-0400-00000A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83" name="Text Box 2">
          <a:extLst>
            <a:ext uri="{FF2B5EF4-FFF2-40B4-BE49-F238E27FC236}">
              <a16:creationId xmlns:a16="http://schemas.microsoft.com/office/drawing/2014/main" id="{00000000-0008-0000-0400-00000B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84" name="Text Box 2">
          <a:extLst>
            <a:ext uri="{FF2B5EF4-FFF2-40B4-BE49-F238E27FC236}">
              <a16:creationId xmlns:a16="http://schemas.microsoft.com/office/drawing/2014/main" id="{00000000-0008-0000-0400-00000C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85" name="Text Box 2">
          <a:extLst>
            <a:ext uri="{FF2B5EF4-FFF2-40B4-BE49-F238E27FC236}">
              <a16:creationId xmlns:a16="http://schemas.microsoft.com/office/drawing/2014/main" id="{00000000-0008-0000-0400-00000D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86" name="Text Box 2">
          <a:extLst>
            <a:ext uri="{FF2B5EF4-FFF2-40B4-BE49-F238E27FC236}">
              <a16:creationId xmlns:a16="http://schemas.microsoft.com/office/drawing/2014/main" id="{00000000-0008-0000-0400-00000E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87" name="Text Box 2">
          <a:extLst>
            <a:ext uri="{FF2B5EF4-FFF2-40B4-BE49-F238E27FC236}">
              <a16:creationId xmlns:a16="http://schemas.microsoft.com/office/drawing/2014/main" id="{00000000-0008-0000-0400-00000F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88" name="Text Box 2">
          <a:extLst>
            <a:ext uri="{FF2B5EF4-FFF2-40B4-BE49-F238E27FC236}">
              <a16:creationId xmlns:a16="http://schemas.microsoft.com/office/drawing/2014/main" id="{00000000-0008-0000-0400-000010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89" name="Text Box 2">
          <a:extLst>
            <a:ext uri="{FF2B5EF4-FFF2-40B4-BE49-F238E27FC236}">
              <a16:creationId xmlns:a16="http://schemas.microsoft.com/office/drawing/2014/main" id="{00000000-0008-0000-0400-000011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90" name="Text Box 2">
          <a:extLst>
            <a:ext uri="{FF2B5EF4-FFF2-40B4-BE49-F238E27FC236}">
              <a16:creationId xmlns:a16="http://schemas.microsoft.com/office/drawing/2014/main" id="{00000000-0008-0000-0400-000012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91" name="Text Box 2">
          <a:extLst>
            <a:ext uri="{FF2B5EF4-FFF2-40B4-BE49-F238E27FC236}">
              <a16:creationId xmlns:a16="http://schemas.microsoft.com/office/drawing/2014/main" id="{00000000-0008-0000-0400-000013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92" name="Text Box 2">
          <a:extLst>
            <a:ext uri="{FF2B5EF4-FFF2-40B4-BE49-F238E27FC236}">
              <a16:creationId xmlns:a16="http://schemas.microsoft.com/office/drawing/2014/main" id="{00000000-0008-0000-0400-000014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93" name="Text Box 2">
          <a:extLst>
            <a:ext uri="{FF2B5EF4-FFF2-40B4-BE49-F238E27FC236}">
              <a16:creationId xmlns:a16="http://schemas.microsoft.com/office/drawing/2014/main" id="{00000000-0008-0000-0400-000015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94" name="Text Box 2">
          <a:extLst>
            <a:ext uri="{FF2B5EF4-FFF2-40B4-BE49-F238E27FC236}">
              <a16:creationId xmlns:a16="http://schemas.microsoft.com/office/drawing/2014/main" id="{00000000-0008-0000-0400-000016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95" name="Text Box 2">
          <a:extLst>
            <a:ext uri="{FF2B5EF4-FFF2-40B4-BE49-F238E27FC236}">
              <a16:creationId xmlns:a16="http://schemas.microsoft.com/office/drawing/2014/main" id="{00000000-0008-0000-0400-000017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96" name="Text Box 2">
          <a:extLst>
            <a:ext uri="{FF2B5EF4-FFF2-40B4-BE49-F238E27FC236}">
              <a16:creationId xmlns:a16="http://schemas.microsoft.com/office/drawing/2014/main" id="{00000000-0008-0000-0400-000018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097" name="Text Box 2">
          <a:extLst>
            <a:ext uri="{FF2B5EF4-FFF2-40B4-BE49-F238E27FC236}">
              <a16:creationId xmlns:a16="http://schemas.microsoft.com/office/drawing/2014/main" id="{00000000-0008-0000-0400-000019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213</xdr:row>
      <xdr:rowOff>120650</xdr:rowOff>
    </xdr:to>
    <xdr:sp macro="" textlink="">
      <xdr:nvSpPr>
        <xdr:cNvPr id="3098" name="Text Box 2">
          <a:extLst>
            <a:ext uri="{FF2B5EF4-FFF2-40B4-BE49-F238E27FC236}">
              <a16:creationId xmlns:a16="http://schemas.microsoft.com/office/drawing/2014/main" id="{00000000-0008-0000-0400-00001A0C0000}"/>
            </a:ext>
          </a:extLst>
        </xdr:cNvPr>
        <xdr:cNvSpPr txBox="1">
          <a:spLocks noChangeArrowheads="1"/>
        </xdr:cNvSpPr>
      </xdr:nvSpPr>
      <xdr:spPr bwMode="auto">
        <a:xfrm>
          <a:off x="3943350" y="50673000"/>
          <a:ext cx="95250" cy="5143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213</xdr:row>
      <xdr:rowOff>120650</xdr:rowOff>
    </xdr:to>
    <xdr:sp macro="" textlink="">
      <xdr:nvSpPr>
        <xdr:cNvPr id="3099" name="Text Box 2">
          <a:extLst>
            <a:ext uri="{FF2B5EF4-FFF2-40B4-BE49-F238E27FC236}">
              <a16:creationId xmlns:a16="http://schemas.microsoft.com/office/drawing/2014/main" id="{00000000-0008-0000-0400-00001B0C0000}"/>
            </a:ext>
          </a:extLst>
        </xdr:cNvPr>
        <xdr:cNvSpPr txBox="1">
          <a:spLocks noChangeArrowheads="1"/>
        </xdr:cNvSpPr>
      </xdr:nvSpPr>
      <xdr:spPr bwMode="auto">
        <a:xfrm>
          <a:off x="3943350" y="50673000"/>
          <a:ext cx="95250" cy="5143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213</xdr:row>
      <xdr:rowOff>120650</xdr:rowOff>
    </xdr:to>
    <xdr:sp macro="" textlink="">
      <xdr:nvSpPr>
        <xdr:cNvPr id="3100" name="Text Box 2">
          <a:extLst>
            <a:ext uri="{FF2B5EF4-FFF2-40B4-BE49-F238E27FC236}">
              <a16:creationId xmlns:a16="http://schemas.microsoft.com/office/drawing/2014/main" id="{00000000-0008-0000-0400-00001C0C0000}"/>
            </a:ext>
          </a:extLst>
        </xdr:cNvPr>
        <xdr:cNvSpPr txBox="1">
          <a:spLocks noChangeArrowheads="1"/>
        </xdr:cNvSpPr>
      </xdr:nvSpPr>
      <xdr:spPr bwMode="auto">
        <a:xfrm>
          <a:off x="3943350" y="50673000"/>
          <a:ext cx="95250" cy="5143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213</xdr:row>
      <xdr:rowOff>120650</xdr:rowOff>
    </xdr:to>
    <xdr:sp macro="" textlink="">
      <xdr:nvSpPr>
        <xdr:cNvPr id="3101" name="Text Box 2">
          <a:extLst>
            <a:ext uri="{FF2B5EF4-FFF2-40B4-BE49-F238E27FC236}">
              <a16:creationId xmlns:a16="http://schemas.microsoft.com/office/drawing/2014/main" id="{00000000-0008-0000-0400-00001D0C0000}"/>
            </a:ext>
          </a:extLst>
        </xdr:cNvPr>
        <xdr:cNvSpPr txBox="1">
          <a:spLocks noChangeArrowheads="1"/>
        </xdr:cNvSpPr>
      </xdr:nvSpPr>
      <xdr:spPr bwMode="auto">
        <a:xfrm>
          <a:off x="3943350" y="50673000"/>
          <a:ext cx="95250" cy="5143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213</xdr:row>
      <xdr:rowOff>120650</xdr:rowOff>
    </xdr:to>
    <xdr:sp macro="" textlink="">
      <xdr:nvSpPr>
        <xdr:cNvPr id="3102" name="Text Box 2">
          <a:extLst>
            <a:ext uri="{FF2B5EF4-FFF2-40B4-BE49-F238E27FC236}">
              <a16:creationId xmlns:a16="http://schemas.microsoft.com/office/drawing/2014/main" id="{00000000-0008-0000-0400-00001E0C0000}"/>
            </a:ext>
          </a:extLst>
        </xdr:cNvPr>
        <xdr:cNvSpPr txBox="1">
          <a:spLocks noChangeArrowheads="1"/>
        </xdr:cNvSpPr>
      </xdr:nvSpPr>
      <xdr:spPr bwMode="auto">
        <a:xfrm>
          <a:off x="3943350" y="50673000"/>
          <a:ext cx="95250" cy="5143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213</xdr:row>
      <xdr:rowOff>120650</xdr:rowOff>
    </xdr:to>
    <xdr:sp macro="" textlink="">
      <xdr:nvSpPr>
        <xdr:cNvPr id="3103" name="Text Box 2">
          <a:extLst>
            <a:ext uri="{FF2B5EF4-FFF2-40B4-BE49-F238E27FC236}">
              <a16:creationId xmlns:a16="http://schemas.microsoft.com/office/drawing/2014/main" id="{00000000-0008-0000-0400-00001F0C0000}"/>
            </a:ext>
          </a:extLst>
        </xdr:cNvPr>
        <xdr:cNvSpPr txBox="1">
          <a:spLocks noChangeArrowheads="1"/>
        </xdr:cNvSpPr>
      </xdr:nvSpPr>
      <xdr:spPr bwMode="auto">
        <a:xfrm>
          <a:off x="3943350" y="50673000"/>
          <a:ext cx="95250" cy="5143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213</xdr:row>
      <xdr:rowOff>120650</xdr:rowOff>
    </xdr:to>
    <xdr:sp macro="" textlink="">
      <xdr:nvSpPr>
        <xdr:cNvPr id="3104" name="Text Box 2">
          <a:extLst>
            <a:ext uri="{FF2B5EF4-FFF2-40B4-BE49-F238E27FC236}">
              <a16:creationId xmlns:a16="http://schemas.microsoft.com/office/drawing/2014/main" id="{00000000-0008-0000-0400-0000200C0000}"/>
            </a:ext>
          </a:extLst>
        </xdr:cNvPr>
        <xdr:cNvSpPr txBox="1">
          <a:spLocks noChangeArrowheads="1"/>
        </xdr:cNvSpPr>
      </xdr:nvSpPr>
      <xdr:spPr bwMode="auto">
        <a:xfrm>
          <a:off x="3943350" y="50673000"/>
          <a:ext cx="95250" cy="5143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165101</xdr:rowOff>
    </xdr:to>
    <xdr:sp macro="" textlink="">
      <xdr:nvSpPr>
        <xdr:cNvPr id="3105" name="Text Box 2">
          <a:extLst>
            <a:ext uri="{FF2B5EF4-FFF2-40B4-BE49-F238E27FC236}">
              <a16:creationId xmlns:a16="http://schemas.microsoft.com/office/drawing/2014/main" id="{00000000-0008-0000-0400-0000210C0000}"/>
            </a:ext>
          </a:extLst>
        </xdr:cNvPr>
        <xdr:cNvSpPr txBox="1">
          <a:spLocks noChangeArrowheads="1"/>
        </xdr:cNvSpPr>
      </xdr:nvSpPr>
      <xdr:spPr bwMode="auto">
        <a:xfrm>
          <a:off x="3943350" y="50673000"/>
          <a:ext cx="95250" cy="3619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165101</xdr:rowOff>
    </xdr:to>
    <xdr:sp macro="" textlink="">
      <xdr:nvSpPr>
        <xdr:cNvPr id="3106" name="Text Box 2">
          <a:extLst>
            <a:ext uri="{FF2B5EF4-FFF2-40B4-BE49-F238E27FC236}">
              <a16:creationId xmlns:a16="http://schemas.microsoft.com/office/drawing/2014/main" id="{00000000-0008-0000-0400-0000220C0000}"/>
            </a:ext>
          </a:extLst>
        </xdr:cNvPr>
        <xdr:cNvSpPr txBox="1">
          <a:spLocks noChangeArrowheads="1"/>
        </xdr:cNvSpPr>
      </xdr:nvSpPr>
      <xdr:spPr bwMode="auto">
        <a:xfrm>
          <a:off x="3943350" y="50673000"/>
          <a:ext cx="95250" cy="3619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07" name="Text Box 2">
          <a:extLst>
            <a:ext uri="{FF2B5EF4-FFF2-40B4-BE49-F238E27FC236}">
              <a16:creationId xmlns:a16="http://schemas.microsoft.com/office/drawing/2014/main" id="{00000000-0008-0000-0400-000023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213</xdr:row>
      <xdr:rowOff>120650</xdr:rowOff>
    </xdr:to>
    <xdr:sp macro="" textlink="">
      <xdr:nvSpPr>
        <xdr:cNvPr id="3108" name="Text Box 2">
          <a:extLst>
            <a:ext uri="{FF2B5EF4-FFF2-40B4-BE49-F238E27FC236}">
              <a16:creationId xmlns:a16="http://schemas.microsoft.com/office/drawing/2014/main" id="{00000000-0008-0000-0400-0000240C0000}"/>
            </a:ext>
          </a:extLst>
        </xdr:cNvPr>
        <xdr:cNvSpPr txBox="1">
          <a:spLocks noChangeArrowheads="1"/>
        </xdr:cNvSpPr>
      </xdr:nvSpPr>
      <xdr:spPr bwMode="auto">
        <a:xfrm>
          <a:off x="3943350" y="50673000"/>
          <a:ext cx="95250" cy="5143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09" name="Text Box 2">
          <a:extLst>
            <a:ext uri="{FF2B5EF4-FFF2-40B4-BE49-F238E27FC236}">
              <a16:creationId xmlns:a16="http://schemas.microsoft.com/office/drawing/2014/main" id="{00000000-0008-0000-0400-000025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10" name="Text Box 2">
          <a:extLst>
            <a:ext uri="{FF2B5EF4-FFF2-40B4-BE49-F238E27FC236}">
              <a16:creationId xmlns:a16="http://schemas.microsoft.com/office/drawing/2014/main" id="{00000000-0008-0000-0400-000026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213</xdr:row>
      <xdr:rowOff>120650</xdr:rowOff>
    </xdr:to>
    <xdr:sp macro="" textlink="">
      <xdr:nvSpPr>
        <xdr:cNvPr id="3111" name="Text Box 2">
          <a:extLst>
            <a:ext uri="{FF2B5EF4-FFF2-40B4-BE49-F238E27FC236}">
              <a16:creationId xmlns:a16="http://schemas.microsoft.com/office/drawing/2014/main" id="{00000000-0008-0000-0400-0000270C0000}"/>
            </a:ext>
          </a:extLst>
        </xdr:cNvPr>
        <xdr:cNvSpPr txBox="1">
          <a:spLocks noChangeArrowheads="1"/>
        </xdr:cNvSpPr>
      </xdr:nvSpPr>
      <xdr:spPr bwMode="auto">
        <a:xfrm>
          <a:off x="3943350" y="50673000"/>
          <a:ext cx="95250" cy="5143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165101</xdr:rowOff>
    </xdr:to>
    <xdr:sp macro="" textlink="">
      <xdr:nvSpPr>
        <xdr:cNvPr id="3112" name="Text Box 2">
          <a:extLst>
            <a:ext uri="{FF2B5EF4-FFF2-40B4-BE49-F238E27FC236}">
              <a16:creationId xmlns:a16="http://schemas.microsoft.com/office/drawing/2014/main" id="{00000000-0008-0000-0400-0000280C0000}"/>
            </a:ext>
          </a:extLst>
        </xdr:cNvPr>
        <xdr:cNvSpPr txBox="1">
          <a:spLocks noChangeArrowheads="1"/>
        </xdr:cNvSpPr>
      </xdr:nvSpPr>
      <xdr:spPr bwMode="auto">
        <a:xfrm>
          <a:off x="3943350" y="50673000"/>
          <a:ext cx="95250" cy="3619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165101</xdr:rowOff>
    </xdr:to>
    <xdr:sp macro="" textlink="">
      <xdr:nvSpPr>
        <xdr:cNvPr id="3113" name="Text Box 2">
          <a:extLst>
            <a:ext uri="{FF2B5EF4-FFF2-40B4-BE49-F238E27FC236}">
              <a16:creationId xmlns:a16="http://schemas.microsoft.com/office/drawing/2014/main" id="{00000000-0008-0000-0400-0000290C0000}"/>
            </a:ext>
          </a:extLst>
        </xdr:cNvPr>
        <xdr:cNvSpPr txBox="1">
          <a:spLocks noChangeArrowheads="1"/>
        </xdr:cNvSpPr>
      </xdr:nvSpPr>
      <xdr:spPr bwMode="auto">
        <a:xfrm>
          <a:off x="3943350" y="50673000"/>
          <a:ext cx="95250" cy="3619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165101</xdr:rowOff>
    </xdr:to>
    <xdr:sp macro="" textlink="">
      <xdr:nvSpPr>
        <xdr:cNvPr id="3114" name="Text Box 2">
          <a:extLst>
            <a:ext uri="{FF2B5EF4-FFF2-40B4-BE49-F238E27FC236}">
              <a16:creationId xmlns:a16="http://schemas.microsoft.com/office/drawing/2014/main" id="{00000000-0008-0000-0400-00002A0C0000}"/>
            </a:ext>
          </a:extLst>
        </xdr:cNvPr>
        <xdr:cNvSpPr txBox="1">
          <a:spLocks noChangeArrowheads="1"/>
        </xdr:cNvSpPr>
      </xdr:nvSpPr>
      <xdr:spPr bwMode="auto">
        <a:xfrm>
          <a:off x="3943350" y="50673000"/>
          <a:ext cx="95250" cy="3619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165101</xdr:rowOff>
    </xdr:to>
    <xdr:sp macro="" textlink="">
      <xdr:nvSpPr>
        <xdr:cNvPr id="3115" name="Text Box 2">
          <a:extLst>
            <a:ext uri="{FF2B5EF4-FFF2-40B4-BE49-F238E27FC236}">
              <a16:creationId xmlns:a16="http://schemas.microsoft.com/office/drawing/2014/main" id="{00000000-0008-0000-0400-00002B0C0000}"/>
            </a:ext>
          </a:extLst>
        </xdr:cNvPr>
        <xdr:cNvSpPr txBox="1">
          <a:spLocks noChangeArrowheads="1"/>
        </xdr:cNvSpPr>
      </xdr:nvSpPr>
      <xdr:spPr bwMode="auto">
        <a:xfrm>
          <a:off x="3943350" y="50673000"/>
          <a:ext cx="95250" cy="3619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16" name="Text Box 2">
          <a:extLst>
            <a:ext uri="{FF2B5EF4-FFF2-40B4-BE49-F238E27FC236}">
              <a16:creationId xmlns:a16="http://schemas.microsoft.com/office/drawing/2014/main" id="{00000000-0008-0000-0400-00002C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17" name="Text Box 2">
          <a:extLst>
            <a:ext uri="{FF2B5EF4-FFF2-40B4-BE49-F238E27FC236}">
              <a16:creationId xmlns:a16="http://schemas.microsoft.com/office/drawing/2014/main" id="{00000000-0008-0000-0400-00002D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18" name="Text Box 2">
          <a:extLst>
            <a:ext uri="{FF2B5EF4-FFF2-40B4-BE49-F238E27FC236}">
              <a16:creationId xmlns:a16="http://schemas.microsoft.com/office/drawing/2014/main" id="{00000000-0008-0000-0400-00002E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19" name="Text Box 2">
          <a:extLst>
            <a:ext uri="{FF2B5EF4-FFF2-40B4-BE49-F238E27FC236}">
              <a16:creationId xmlns:a16="http://schemas.microsoft.com/office/drawing/2014/main" id="{00000000-0008-0000-0400-00002F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20" name="Text Box 2">
          <a:extLst>
            <a:ext uri="{FF2B5EF4-FFF2-40B4-BE49-F238E27FC236}">
              <a16:creationId xmlns:a16="http://schemas.microsoft.com/office/drawing/2014/main" id="{00000000-0008-0000-0400-000030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21" name="Text Box 2">
          <a:extLst>
            <a:ext uri="{FF2B5EF4-FFF2-40B4-BE49-F238E27FC236}">
              <a16:creationId xmlns:a16="http://schemas.microsoft.com/office/drawing/2014/main" id="{00000000-0008-0000-0400-000031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22" name="Text Box 2">
          <a:extLst>
            <a:ext uri="{FF2B5EF4-FFF2-40B4-BE49-F238E27FC236}">
              <a16:creationId xmlns:a16="http://schemas.microsoft.com/office/drawing/2014/main" id="{00000000-0008-0000-0400-000032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23" name="Text Box 2">
          <a:extLst>
            <a:ext uri="{FF2B5EF4-FFF2-40B4-BE49-F238E27FC236}">
              <a16:creationId xmlns:a16="http://schemas.microsoft.com/office/drawing/2014/main" id="{00000000-0008-0000-0400-000033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24" name="Text Box 2">
          <a:extLst>
            <a:ext uri="{FF2B5EF4-FFF2-40B4-BE49-F238E27FC236}">
              <a16:creationId xmlns:a16="http://schemas.microsoft.com/office/drawing/2014/main" id="{00000000-0008-0000-0400-000034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125" name="Text Box 2">
          <a:extLst>
            <a:ext uri="{FF2B5EF4-FFF2-40B4-BE49-F238E27FC236}">
              <a16:creationId xmlns:a16="http://schemas.microsoft.com/office/drawing/2014/main" id="{00000000-0008-0000-0400-000035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26" name="Text Box 2">
          <a:extLst>
            <a:ext uri="{FF2B5EF4-FFF2-40B4-BE49-F238E27FC236}">
              <a16:creationId xmlns:a16="http://schemas.microsoft.com/office/drawing/2014/main" id="{00000000-0008-0000-0400-000036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27" name="Text Box 2">
          <a:extLst>
            <a:ext uri="{FF2B5EF4-FFF2-40B4-BE49-F238E27FC236}">
              <a16:creationId xmlns:a16="http://schemas.microsoft.com/office/drawing/2014/main" id="{00000000-0008-0000-0400-000037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28" name="Text Box 2">
          <a:extLst>
            <a:ext uri="{FF2B5EF4-FFF2-40B4-BE49-F238E27FC236}">
              <a16:creationId xmlns:a16="http://schemas.microsoft.com/office/drawing/2014/main" id="{00000000-0008-0000-0400-000038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29" name="Text Box 2">
          <a:extLst>
            <a:ext uri="{FF2B5EF4-FFF2-40B4-BE49-F238E27FC236}">
              <a16:creationId xmlns:a16="http://schemas.microsoft.com/office/drawing/2014/main" id="{00000000-0008-0000-0400-000039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30" name="Text Box 2">
          <a:extLst>
            <a:ext uri="{FF2B5EF4-FFF2-40B4-BE49-F238E27FC236}">
              <a16:creationId xmlns:a16="http://schemas.microsoft.com/office/drawing/2014/main" id="{00000000-0008-0000-0400-00003A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31" name="Text Box 2">
          <a:extLst>
            <a:ext uri="{FF2B5EF4-FFF2-40B4-BE49-F238E27FC236}">
              <a16:creationId xmlns:a16="http://schemas.microsoft.com/office/drawing/2014/main" id="{00000000-0008-0000-0400-00003B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32" name="Text Box 2">
          <a:extLst>
            <a:ext uri="{FF2B5EF4-FFF2-40B4-BE49-F238E27FC236}">
              <a16:creationId xmlns:a16="http://schemas.microsoft.com/office/drawing/2014/main" id="{00000000-0008-0000-0400-00003C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33" name="Text Box 2">
          <a:extLst>
            <a:ext uri="{FF2B5EF4-FFF2-40B4-BE49-F238E27FC236}">
              <a16:creationId xmlns:a16="http://schemas.microsoft.com/office/drawing/2014/main" id="{00000000-0008-0000-0400-00003D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34" name="Text Box 2">
          <a:extLst>
            <a:ext uri="{FF2B5EF4-FFF2-40B4-BE49-F238E27FC236}">
              <a16:creationId xmlns:a16="http://schemas.microsoft.com/office/drawing/2014/main" id="{00000000-0008-0000-0400-00003E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35" name="Text Box 2">
          <a:extLst>
            <a:ext uri="{FF2B5EF4-FFF2-40B4-BE49-F238E27FC236}">
              <a16:creationId xmlns:a16="http://schemas.microsoft.com/office/drawing/2014/main" id="{00000000-0008-0000-0400-00003F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36" name="Text Box 2">
          <a:extLst>
            <a:ext uri="{FF2B5EF4-FFF2-40B4-BE49-F238E27FC236}">
              <a16:creationId xmlns:a16="http://schemas.microsoft.com/office/drawing/2014/main" id="{00000000-0008-0000-0400-000040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37" name="Text Box 2">
          <a:extLst>
            <a:ext uri="{FF2B5EF4-FFF2-40B4-BE49-F238E27FC236}">
              <a16:creationId xmlns:a16="http://schemas.microsoft.com/office/drawing/2014/main" id="{00000000-0008-0000-0400-000041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38" name="Text Box 2">
          <a:extLst>
            <a:ext uri="{FF2B5EF4-FFF2-40B4-BE49-F238E27FC236}">
              <a16:creationId xmlns:a16="http://schemas.microsoft.com/office/drawing/2014/main" id="{00000000-0008-0000-0400-000042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39" name="Text Box 2">
          <a:extLst>
            <a:ext uri="{FF2B5EF4-FFF2-40B4-BE49-F238E27FC236}">
              <a16:creationId xmlns:a16="http://schemas.microsoft.com/office/drawing/2014/main" id="{00000000-0008-0000-0400-000043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40" name="Text Box 2">
          <a:extLst>
            <a:ext uri="{FF2B5EF4-FFF2-40B4-BE49-F238E27FC236}">
              <a16:creationId xmlns:a16="http://schemas.microsoft.com/office/drawing/2014/main" id="{00000000-0008-0000-0400-000044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41" name="Text Box 2">
          <a:extLst>
            <a:ext uri="{FF2B5EF4-FFF2-40B4-BE49-F238E27FC236}">
              <a16:creationId xmlns:a16="http://schemas.microsoft.com/office/drawing/2014/main" id="{00000000-0008-0000-0400-000045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42" name="Text Box 2">
          <a:extLst>
            <a:ext uri="{FF2B5EF4-FFF2-40B4-BE49-F238E27FC236}">
              <a16:creationId xmlns:a16="http://schemas.microsoft.com/office/drawing/2014/main" id="{00000000-0008-0000-0400-000046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43" name="Text Box 2">
          <a:extLst>
            <a:ext uri="{FF2B5EF4-FFF2-40B4-BE49-F238E27FC236}">
              <a16:creationId xmlns:a16="http://schemas.microsoft.com/office/drawing/2014/main" id="{00000000-0008-0000-0400-000047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44" name="Text Box 2">
          <a:extLst>
            <a:ext uri="{FF2B5EF4-FFF2-40B4-BE49-F238E27FC236}">
              <a16:creationId xmlns:a16="http://schemas.microsoft.com/office/drawing/2014/main" id="{00000000-0008-0000-0400-000048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45" name="Text Box 2">
          <a:extLst>
            <a:ext uri="{FF2B5EF4-FFF2-40B4-BE49-F238E27FC236}">
              <a16:creationId xmlns:a16="http://schemas.microsoft.com/office/drawing/2014/main" id="{00000000-0008-0000-0400-000049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46" name="Text Box 2">
          <a:extLst>
            <a:ext uri="{FF2B5EF4-FFF2-40B4-BE49-F238E27FC236}">
              <a16:creationId xmlns:a16="http://schemas.microsoft.com/office/drawing/2014/main" id="{00000000-0008-0000-0400-00004A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47" name="Text Box 2">
          <a:extLst>
            <a:ext uri="{FF2B5EF4-FFF2-40B4-BE49-F238E27FC236}">
              <a16:creationId xmlns:a16="http://schemas.microsoft.com/office/drawing/2014/main" id="{00000000-0008-0000-0400-00004B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48" name="Text Box 2">
          <a:extLst>
            <a:ext uri="{FF2B5EF4-FFF2-40B4-BE49-F238E27FC236}">
              <a16:creationId xmlns:a16="http://schemas.microsoft.com/office/drawing/2014/main" id="{00000000-0008-0000-0400-00004C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49" name="Text Box 2">
          <a:extLst>
            <a:ext uri="{FF2B5EF4-FFF2-40B4-BE49-F238E27FC236}">
              <a16:creationId xmlns:a16="http://schemas.microsoft.com/office/drawing/2014/main" id="{00000000-0008-0000-0400-00004D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50" name="Text Box 2">
          <a:extLst>
            <a:ext uri="{FF2B5EF4-FFF2-40B4-BE49-F238E27FC236}">
              <a16:creationId xmlns:a16="http://schemas.microsoft.com/office/drawing/2014/main" id="{00000000-0008-0000-0400-00004E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51" name="Text Box 2">
          <a:extLst>
            <a:ext uri="{FF2B5EF4-FFF2-40B4-BE49-F238E27FC236}">
              <a16:creationId xmlns:a16="http://schemas.microsoft.com/office/drawing/2014/main" id="{00000000-0008-0000-0400-00004F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52" name="Text Box 2">
          <a:extLst>
            <a:ext uri="{FF2B5EF4-FFF2-40B4-BE49-F238E27FC236}">
              <a16:creationId xmlns:a16="http://schemas.microsoft.com/office/drawing/2014/main" id="{00000000-0008-0000-0400-000050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53" name="Text Box 2">
          <a:extLst>
            <a:ext uri="{FF2B5EF4-FFF2-40B4-BE49-F238E27FC236}">
              <a16:creationId xmlns:a16="http://schemas.microsoft.com/office/drawing/2014/main" id="{00000000-0008-0000-0400-000051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54" name="Text Box 2">
          <a:extLst>
            <a:ext uri="{FF2B5EF4-FFF2-40B4-BE49-F238E27FC236}">
              <a16:creationId xmlns:a16="http://schemas.microsoft.com/office/drawing/2014/main" id="{00000000-0008-0000-0400-000052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55" name="Text Box 2">
          <a:extLst>
            <a:ext uri="{FF2B5EF4-FFF2-40B4-BE49-F238E27FC236}">
              <a16:creationId xmlns:a16="http://schemas.microsoft.com/office/drawing/2014/main" id="{00000000-0008-0000-0400-000053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56" name="Text Box 2">
          <a:extLst>
            <a:ext uri="{FF2B5EF4-FFF2-40B4-BE49-F238E27FC236}">
              <a16:creationId xmlns:a16="http://schemas.microsoft.com/office/drawing/2014/main" id="{00000000-0008-0000-0400-000054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57" name="Text Box 2">
          <a:extLst>
            <a:ext uri="{FF2B5EF4-FFF2-40B4-BE49-F238E27FC236}">
              <a16:creationId xmlns:a16="http://schemas.microsoft.com/office/drawing/2014/main" id="{00000000-0008-0000-0400-000055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58" name="Text Box 2">
          <a:extLst>
            <a:ext uri="{FF2B5EF4-FFF2-40B4-BE49-F238E27FC236}">
              <a16:creationId xmlns:a16="http://schemas.microsoft.com/office/drawing/2014/main" id="{00000000-0008-0000-0400-000056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59" name="Text Box 2">
          <a:extLst>
            <a:ext uri="{FF2B5EF4-FFF2-40B4-BE49-F238E27FC236}">
              <a16:creationId xmlns:a16="http://schemas.microsoft.com/office/drawing/2014/main" id="{00000000-0008-0000-0400-000057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60" name="Text Box 2">
          <a:extLst>
            <a:ext uri="{FF2B5EF4-FFF2-40B4-BE49-F238E27FC236}">
              <a16:creationId xmlns:a16="http://schemas.microsoft.com/office/drawing/2014/main" id="{00000000-0008-0000-0400-000058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61" name="Text Box 2">
          <a:extLst>
            <a:ext uri="{FF2B5EF4-FFF2-40B4-BE49-F238E27FC236}">
              <a16:creationId xmlns:a16="http://schemas.microsoft.com/office/drawing/2014/main" id="{00000000-0008-0000-0400-000059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62" name="Text Box 2">
          <a:extLst>
            <a:ext uri="{FF2B5EF4-FFF2-40B4-BE49-F238E27FC236}">
              <a16:creationId xmlns:a16="http://schemas.microsoft.com/office/drawing/2014/main" id="{00000000-0008-0000-0400-00005A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63" name="Text Box 2">
          <a:extLst>
            <a:ext uri="{FF2B5EF4-FFF2-40B4-BE49-F238E27FC236}">
              <a16:creationId xmlns:a16="http://schemas.microsoft.com/office/drawing/2014/main" id="{00000000-0008-0000-0400-00005B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64" name="Text Box 2">
          <a:extLst>
            <a:ext uri="{FF2B5EF4-FFF2-40B4-BE49-F238E27FC236}">
              <a16:creationId xmlns:a16="http://schemas.microsoft.com/office/drawing/2014/main" id="{00000000-0008-0000-0400-00005C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65" name="Text Box 2">
          <a:extLst>
            <a:ext uri="{FF2B5EF4-FFF2-40B4-BE49-F238E27FC236}">
              <a16:creationId xmlns:a16="http://schemas.microsoft.com/office/drawing/2014/main" id="{00000000-0008-0000-0400-00005D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66" name="Text Box 2">
          <a:extLst>
            <a:ext uri="{FF2B5EF4-FFF2-40B4-BE49-F238E27FC236}">
              <a16:creationId xmlns:a16="http://schemas.microsoft.com/office/drawing/2014/main" id="{00000000-0008-0000-0400-00005E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67" name="Text Box 2">
          <a:extLst>
            <a:ext uri="{FF2B5EF4-FFF2-40B4-BE49-F238E27FC236}">
              <a16:creationId xmlns:a16="http://schemas.microsoft.com/office/drawing/2014/main" id="{00000000-0008-0000-0400-00005F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68" name="Text Box 2">
          <a:extLst>
            <a:ext uri="{FF2B5EF4-FFF2-40B4-BE49-F238E27FC236}">
              <a16:creationId xmlns:a16="http://schemas.microsoft.com/office/drawing/2014/main" id="{00000000-0008-0000-0400-000060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69" name="Text Box 2">
          <a:extLst>
            <a:ext uri="{FF2B5EF4-FFF2-40B4-BE49-F238E27FC236}">
              <a16:creationId xmlns:a16="http://schemas.microsoft.com/office/drawing/2014/main" id="{00000000-0008-0000-0400-000061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70" name="Text Box 2">
          <a:extLst>
            <a:ext uri="{FF2B5EF4-FFF2-40B4-BE49-F238E27FC236}">
              <a16:creationId xmlns:a16="http://schemas.microsoft.com/office/drawing/2014/main" id="{00000000-0008-0000-0400-000062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71" name="Text Box 2">
          <a:extLst>
            <a:ext uri="{FF2B5EF4-FFF2-40B4-BE49-F238E27FC236}">
              <a16:creationId xmlns:a16="http://schemas.microsoft.com/office/drawing/2014/main" id="{00000000-0008-0000-0400-000063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72" name="Text Box 2">
          <a:extLst>
            <a:ext uri="{FF2B5EF4-FFF2-40B4-BE49-F238E27FC236}">
              <a16:creationId xmlns:a16="http://schemas.microsoft.com/office/drawing/2014/main" id="{00000000-0008-0000-0400-000064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73" name="Text Box 2">
          <a:extLst>
            <a:ext uri="{FF2B5EF4-FFF2-40B4-BE49-F238E27FC236}">
              <a16:creationId xmlns:a16="http://schemas.microsoft.com/office/drawing/2014/main" id="{00000000-0008-0000-0400-000065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74" name="Text Box 2">
          <a:extLst>
            <a:ext uri="{FF2B5EF4-FFF2-40B4-BE49-F238E27FC236}">
              <a16:creationId xmlns:a16="http://schemas.microsoft.com/office/drawing/2014/main" id="{00000000-0008-0000-0400-000066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75" name="Text Box 2">
          <a:extLst>
            <a:ext uri="{FF2B5EF4-FFF2-40B4-BE49-F238E27FC236}">
              <a16:creationId xmlns:a16="http://schemas.microsoft.com/office/drawing/2014/main" id="{00000000-0008-0000-0400-000067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76" name="Text Box 2">
          <a:extLst>
            <a:ext uri="{FF2B5EF4-FFF2-40B4-BE49-F238E27FC236}">
              <a16:creationId xmlns:a16="http://schemas.microsoft.com/office/drawing/2014/main" id="{00000000-0008-0000-0400-000068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77" name="Text Box 2">
          <a:extLst>
            <a:ext uri="{FF2B5EF4-FFF2-40B4-BE49-F238E27FC236}">
              <a16:creationId xmlns:a16="http://schemas.microsoft.com/office/drawing/2014/main" id="{00000000-0008-0000-0400-000069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78" name="Text Box 2">
          <a:extLst>
            <a:ext uri="{FF2B5EF4-FFF2-40B4-BE49-F238E27FC236}">
              <a16:creationId xmlns:a16="http://schemas.microsoft.com/office/drawing/2014/main" id="{00000000-0008-0000-0400-00006A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79" name="Text Box 2">
          <a:extLst>
            <a:ext uri="{FF2B5EF4-FFF2-40B4-BE49-F238E27FC236}">
              <a16:creationId xmlns:a16="http://schemas.microsoft.com/office/drawing/2014/main" id="{00000000-0008-0000-0400-00006B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80" name="Text Box 2">
          <a:extLst>
            <a:ext uri="{FF2B5EF4-FFF2-40B4-BE49-F238E27FC236}">
              <a16:creationId xmlns:a16="http://schemas.microsoft.com/office/drawing/2014/main" id="{00000000-0008-0000-0400-00006C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81" name="Text Box 2">
          <a:extLst>
            <a:ext uri="{FF2B5EF4-FFF2-40B4-BE49-F238E27FC236}">
              <a16:creationId xmlns:a16="http://schemas.microsoft.com/office/drawing/2014/main" id="{00000000-0008-0000-0400-00006D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82" name="Text Box 2">
          <a:extLst>
            <a:ext uri="{FF2B5EF4-FFF2-40B4-BE49-F238E27FC236}">
              <a16:creationId xmlns:a16="http://schemas.microsoft.com/office/drawing/2014/main" id="{00000000-0008-0000-0400-00006E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83" name="Text Box 2">
          <a:extLst>
            <a:ext uri="{FF2B5EF4-FFF2-40B4-BE49-F238E27FC236}">
              <a16:creationId xmlns:a16="http://schemas.microsoft.com/office/drawing/2014/main" id="{00000000-0008-0000-0400-00006F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84" name="Text Box 2">
          <a:extLst>
            <a:ext uri="{FF2B5EF4-FFF2-40B4-BE49-F238E27FC236}">
              <a16:creationId xmlns:a16="http://schemas.microsoft.com/office/drawing/2014/main" id="{00000000-0008-0000-0400-000070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85" name="Text Box 2">
          <a:extLst>
            <a:ext uri="{FF2B5EF4-FFF2-40B4-BE49-F238E27FC236}">
              <a16:creationId xmlns:a16="http://schemas.microsoft.com/office/drawing/2014/main" id="{00000000-0008-0000-0400-000071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86" name="Text Box 2">
          <a:extLst>
            <a:ext uri="{FF2B5EF4-FFF2-40B4-BE49-F238E27FC236}">
              <a16:creationId xmlns:a16="http://schemas.microsoft.com/office/drawing/2014/main" id="{00000000-0008-0000-0400-000072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87" name="Text Box 2">
          <a:extLst>
            <a:ext uri="{FF2B5EF4-FFF2-40B4-BE49-F238E27FC236}">
              <a16:creationId xmlns:a16="http://schemas.microsoft.com/office/drawing/2014/main" id="{00000000-0008-0000-0400-000073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88" name="Text Box 2">
          <a:extLst>
            <a:ext uri="{FF2B5EF4-FFF2-40B4-BE49-F238E27FC236}">
              <a16:creationId xmlns:a16="http://schemas.microsoft.com/office/drawing/2014/main" id="{00000000-0008-0000-0400-000074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89" name="Text Box 2">
          <a:extLst>
            <a:ext uri="{FF2B5EF4-FFF2-40B4-BE49-F238E27FC236}">
              <a16:creationId xmlns:a16="http://schemas.microsoft.com/office/drawing/2014/main" id="{00000000-0008-0000-0400-000075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90" name="Text Box 2">
          <a:extLst>
            <a:ext uri="{FF2B5EF4-FFF2-40B4-BE49-F238E27FC236}">
              <a16:creationId xmlns:a16="http://schemas.microsoft.com/office/drawing/2014/main" id="{00000000-0008-0000-0400-000076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91" name="Text Box 2">
          <a:extLst>
            <a:ext uri="{FF2B5EF4-FFF2-40B4-BE49-F238E27FC236}">
              <a16:creationId xmlns:a16="http://schemas.microsoft.com/office/drawing/2014/main" id="{00000000-0008-0000-0400-000077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92" name="Text Box 2">
          <a:extLst>
            <a:ext uri="{FF2B5EF4-FFF2-40B4-BE49-F238E27FC236}">
              <a16:creationId xmlns:a16="http://schemas.microsoft.com/office/drawing/2014/main" id="{00000000-0008-0000-0400-000078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93" name="Text Box 2">
          <a:extLst>
            <a:ext uri="{FF2B5EF4-FFF2-40B4-BE49-F238E27FC236}">
              <a16:creationId xmlns:a16="http://schemas.microsoft.com/office/drawing/2014/main" id="{00000000-0008-0000-0400-000079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94" name="Text Box 2">
          <a:extLst>
            <a:ext uri="{FF2B5EF4-FFF2-40B4-BE49-F238E27FC236}">
              <a16:creationId xmlns:a16="http://schemas.microsoft.com/office/drawing/2014/main" id="{00000000-0008-0000-0400-00007A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95" name="Text Box 2">
          <a:extLst>
            <a:ext uri="{FF2B5EF4-FFF2-40B4-BE49-F238E27FC236}">
              <a16:creationId xmlns:a16="http://schemas.microsoft.com/office/drawing/2014/main" id="{00000000-0008-0000-0400-00007B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96" name="Text Box 2">
          <a:extLst>
            <a:ext uri="{FF2B5EF4-FFF2-40B4-BE49-F238E27FC236}">
              <a16:creationId xmlns:a16="http://schemas.microsoft.com/office/drawing/2014/main" id="{00000000-0008-0000-0400-00007C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97" name="Text Box 2">
          <a:extLst>
            <a:ext uri="{FF2B5EF4-FFF2-40B4-BE49-F238E27FC236}">
              <a16:creationId xmlns:a16="http://schemas.microsoft.com/office/drawing/2014/main" id="{00000000-0008-0000-0400-00007D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98" name="Text Box 2">
          <a:extLst>
            <a:ext uri="{FF2B5EF4-FFF2-40B4-BE49-F238E27FC236}">
              <a16:creationId xmlns:a16="http://schemas.microsoft.com/office/drawing/2014/main" id="{00000000-0008-0000-0400-00007E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199" name="Text Box 2">
          <a:extLst>
            <a:ext uri="{FF2B5EF4-FFF2-40B4-BE49-F238E27FC236}">
              <a16:creationId xmlns:a16="http://schemas.microsoft.com/office/drawing/2014/main" id="{00000000-0008-0000-0400-00007F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00" name="Text Box 2">
          <a:extLst>
            <a:ext uri="{FF2B5EF4-FFF2-40B4-BE49-F238E27FC236}">
              <a16:creationId xmlns:a16="http://schemas.microsoft.com/office/drawing/2014/main" id="{00000000-0008-0000-0400-000080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01" name="Text Box 2">
          <a:extLst>
            <a:ext uri="{FF2B5EF4-FFF2-40B4-BE49-F238E27FC236}">
              <a16:creationId xmlns:a16="http://schemas.microsoft.com/office/drawing/2014/main" id="{00000000-0008-0000-0400-000081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02" name="Text Box 2">
          <a:extLst>
            <a:ext uri="{FF2B5EF4-FFF2-40B4-BE49-F238E27FC236}">
              <a16:creationId xmlns:a16="http://schemas.microsoft.com/office/drawing/2014/main" id="{00000000-0008-0000-0400-000082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03" name="Text Box 2">
          <a:extLst>
            <a:ext uri="{FF2B5EF4-FFF2-40B4-BE49-F238E27FC236}">
              <a16:creationId xmlns:a16="http://schemas.microsoft.com/office/drawing/2014/main" id="{00000000-0008-0000-0400-000083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04" name="Text Box 2">
          <a:extLst>
            <a:ext uri="{FF2B5EF4-FFF2-40B4-BE49-F238E27FC236}">
              <a16:creationId xmlns:a16="http://schemas.microsoft.com/office/drawing/2014/main" id="{00000000-0008-0000-0400-000084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05" name="Text Box 2">
          <a:extLst>
            <a:ext uri="{FF2B5EF4-FFF2-40B4-BE49-F238E27FC236}">
              <a16:creationId xmlns:a16="http://schemas.microsoft.com/office/drawing/2014/main" id="{00000000-0008-0000-0400-000085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06" name="Text Box 2">
          <a:extLst>
            <a:ext uri="{FF2B5EF4-FFF2-40B4-BE49-F238E27FC236}">
              <a16:creationId xmlns:a16="http://schemas.microsoft.com/office/drawing/2014/main" id="{00000000-0008-0000-0400-000086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07" name="Text Box 2">
          <a:extLst>
            <a:ext uri="{FF2B5EF4-FFF2-40B4-BE49-F238E27FC236}">
              <a16:creationId xmlns:a16="http://schemas.microsoft.com/office/drawing/2014/main" id="{00000000-0008-0000-0400-000087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08" name="Text Box 2">
          <a:extLst>
            <a:ext uri="{FF2B5EF4-FFF2-40B4-BE49-F238E27FC236}">
              <a16:creationId xmlns:a16="http://schemas.microsoft.com/office/drawing/2014/main" id="{00000000-0008-0000-0400-000088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09" name="Text Box 2">
          <a:extLst>
            <a:ext uri="{FF2B5EF4-FFF2-40B4-BE49-F238E27FC236}">
              <a16:creationId xmlns:a16="http://schemas.microsoft.com/office/drawing/2014/main" id="{00000000-0008-0000-0400-000089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10" name="Text Box 2">
          <a:extLst>
            <a:ext uri="{FF2B5EF4-FFF2-40B4-BE49-F238E27FC236}">
              <a16:creationId xmlns:a16="http://schemas.microsoft.com/office/drawing/2014/main" id="{00000000-0008-0000-0400-00008A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11" name="Text Box 2">
          <a:extLst>
            <a:ext uri="{FF2B5EF4-FFF2-40B4-BE49-F238E27FC236}">
              <a16:creationId xmlns:a16="http://schemas.microsoft.com/office/drawing/2014/main" id="{00000000-0008-0000-0400-00008B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12" name="Text Box 2">
          <a:extLst>
            <a:ext uri="{FF2B5EF4-FFF2-40B4-BE49-F238E27FC236}">
              <a16:creationId xmlns:a16="http://schemas.microsoft.com/office/drawing/2014/main" id="{00000000-0008-0000-0400-00008C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13" name="Text Box 2">
          <a:extLst>
            <a:ext uri="{FF2B5EF4-FFF2-40B4-BE49-F238E27FC236}">
              <a16:creationId xmlns:a16="http://schemas.microsoft.com/office/drawing/2014/main" id="{00000000-0008-0000-0400-00008D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14" name="Text Box 2">
          <a:extLst>
            <a:ext uri="{FF2B5EF4-FFF2-40B4-BE49-F238E27FC236}">
              <a16:creationId xmlns:a16="http://schemas.microsoft.com/office/drawing/2014/main" id="{00000000-0008-0000-0400-00008E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15" name="Text Box 2">
          <a:extLst>
            <a:ext uri="{FF2B5EF4-FFF2-40B4-BE49-F238E27FC236}">
              <a16:creationId xmlns:a16="http://schemas.microsoft.com/office/drawing/2014/main" id="{00000000-0008-0000-0400-00008F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16" name="Text Box 2">
          <a:extLst>
            <a:ext uri="{FF2B5EF4-FFF2-40B4-BE49-F238E27FC236}">
              <a16:creationId xmlns:a16="http://schemas.microsoft.com/office/drawing/2014/main" id="{00000000-0008-0000-0400-000090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17" name="Text Box 2">
          <a:extLst>
            <a:ext uri="{FF2B5EF4-FFF2-40B4-BE49-F238E27FC236}">
              <a16:creationId xmlns:a16="http://schemas.microsoft.com/office/drawing/2014/main" id="{00000000-0008-0000-0400-000091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18" name="Text Box 2">
          <a:extLst>
            <a:ext uri="{FF2B5EF4-FFF2-40B4-BE49-F238E27FC236}">
              <a16:creationId xmlns:a16="http://schemas.microsoft.com/office/drawing/2014/main" id="{00000000-0008-0000-0400-000092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19" name="Text Box 2">
          <a:extLst>
            <a:ext uri="{FF2B5EF4-FFF2-40B4-BE49-F238E27FC236}">
              <a16:creationId xmlns:a16="http://schemas.microsoft.com/office/drawing/2014/main" id="{00000000-0008-0000-0400-000093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20" name="Text Box 2">
          <a:extLst>
            <a:ext uri="{FF2B5EF4-FFF2-40B4-BE49-F238E27FC236}">
              <a16:creationId xmlns:a16="http://schemas.microsoft.com/office/drawing/2014/main" id="{00000000-0008-0000-0400-000094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21" name="Text Box 2">
          <a:extLst>
            <a:ext uri="{FF2B5EF4-FFF2-40B4-BE49-F238E27FC236}">
              <a16:creationId xmlns:a16="http://schemas.microsoft.com/office/drawing/2014/main" id="{00000000-0008-0000-0400-000095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22" name="Text Box 2">
          <a:extLst>
            <a:ext uri="{FF2B5EF4-FFF2-40B4-BE49-F238E27FC236}">
              <a16:creationId xmlns:a16="http://schemas.microsoft.com/office/drawing/2014/main" id="{00000000-0008-0000-0400-000096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23" name="Text Box 2">
          <a:extLst>
            <a:ext uri="{FF2B5EF4-FFF2-40B4-BE49-F238E27FC236}">
              <a16:creationId xmlns:a16="http://schemas.microsoft.com/office/drawing/2014/main" id="{00000000-0008-0000-0400-000097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24" name="Text Box 2">
          <a:extLst>
            <a:ext uri="{FF2B5EF4-FFF2-40B4-BE49-F238E27FC236}">
              <a16:creationId xmlns:a16="http://schemas.microsoft.com/office/drawing/2014/main" id="{00000000-0008-0000-0400-000098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25" name="Text Box 2">
          <a:extLst>
            <a:ext uri="{FF2B5EF4-FFF2-40B4-BE49-F238E27FC236}">
              <a16:creationId xmlns:a16="http://schemas.microsoft.com/office/drawing/2014/main" id="{00000000-0008-0000-0400-000099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26" name="Text Box 2">
          <a:extLst>
            <a:ext uri="{FF2B5EF4-FFF2-40B4-BE49-F238E27FC236}">
              <a16:creationId xmlns:a16="http://schemas.microsoft.com/office/drawing/2014/main" id="{00000000-0008-0000-0400-00009A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27" name="Text Box 2">
          <a:extLst>
            <a:ext uri="{FF2B5EF4-FFF2-40B4-BE49-F238E27FC236}">
              <a16:creationId xmlns:a16="http://schemas.microsoft.com/office/drawing/2014/main" id="{00000000-0008-0000-0400-00009B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28" name="Text Box 2">
          <a:extLst>
            <a:ext uri="{FF2B5EF4-FFF2-40B4-BE49-F238E27FC236}">
              <a16:creationId xmlns:a16="http://schemas.microsoft.com/office/drawing/2014/main" id="{00000000-0008-0000-0400-00009C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29" name="Text Box 2">
          <a:extLst>
            <a:ext uri="{FF2B5EF4-FFF2-40B4-BE49-F238E27FC236}">
              <a16:creationId xmlns:a16="http://schemas.microsoft.com/office/drawing/2014/main" id="{00000000-0008-0000-0400-00009D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30" name="Text Box 2">
          <a:extLst>
            <a:ext uri="{FF2B5EF4-FFF2-40B4-BE49-F238E27FC236}">
              <a16:creationId xmlns:a16="http://schemas.microsoft.com/office/drawing/2014/main" id="{00000000-0008-0000-0400-00009E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31" name="Text Box 2">
          <a:extLst>
            <a:ext uri="{FF2B5EF4-FFF2-40B4-BE49-F238E27FC236}">
              <a16:creationId xmlns:a16="http://schemas.microsoft.com/office/drawing/2014/main" id="{00000000-0008-0000-0400-00009F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32" name="Text Box 2">
          <a:extLst>
            <a:ext uri="{FF2B5EF4-FFF2-40B4-BE49-F238E27FC236}">
              <a16:creationId xmlns:a16="http://schemas.microsoft.com/office/drawing/2014/main" id="{00000000-0008-0000-0400-0000A0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33" name="Text Box 2">
          <a:extLst>
            <a:ext uri="{FF2B5EF4-FFF2-40B4-BE49-F238E27FC236}">
              <a16:creationId xmlns:a16="http://schemas.microsoft.com/office/drawing/2014/main" id="{00000000-0008-0000-0400-0000A1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34" name="Text Box 2">
          <a:extLst>
            <a:ext uri="{FF2B5EF4-FFF2-40B4-BE49-F238E27FC236}">
              <a16:creationId xmlns:a16="http://schemas.microsoft.com/office/drawing/2014/main" id="{00000000-0008-0000-0400-0000A2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35" name="Text Box 2">
          <a:extLst>
            <a:ext uri="{FF2B5EF4-FFF2-40B4-BE49-F238E27FC236}">
              <a16:creationId xmlns:a16="http://schemas.microsoft.com/office/drawing/2014/main" id="{00000000-0008-0000-0400-0000A3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36" name="Text Box 2">
          <a:extLst>
            <a:ext uri="{FF2B5EF4-FFF2-40B4-BE49-F238E27FC236}">
              <a16:creationId xmlns:a16="http://schemas.microsoft.com/office/drawing/2014/main" id="{00000000-0008-0000-0400-0000A4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37" name="Text Box 2">
          <a:extLst>
            <a:ext uri="{FF2B5EF4-FFF2-40B4-BE49-F238E27FC236}">
              <a16:creationId xmlns:a16="http://schemas.microsoft.com/office/drawing/2014/main" id="{00000000-0008-0000-0400-0000A5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38" name="Text Box 2">
          <a:extLst>
            <a:ext uri="{FF2B5EF4-FFF2-40B4-BE49-F238E27FC236}">
              <a16:creationId xmlns:a16="http://schemas.microsoft.com/office/drawing/2014/main" id="{00000000-0008-0000-0400-0000A6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39" name="Text Box 2">
          <a:extLst>
            <a:ext uri="{FF2B5EF4-FFF2-40B4-BE49-F238E27FC236}">
              <a16:creationId xmlns:a16="http://schemas.microsoft.com/office/drawing/2014/main" id="{00000000-0008-0000-0400-0000A7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40" name="Text Box 2">
          <a:extLst>
            <a:ext uri="{FF2B5EF4-FFF2-40B4-BE49-F238E27FC236}">
              <a16:creationId xmlns:a16="http://schemas.microsoft.com/office/drawing/2014/main" id="{00000000-0008-0000-0400-0000A8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41" name="Text Box 2">
          <a:extLst>
            <a:ext uri="{FF2B5EF4-FFF2-40B4-BE49-F238E27FC236}">
              <a16:creationId xmlns:a16="http://schemas.microsoft.com/office/drawing/2014/main" id="{00000000-0008-0000-0400-0000A9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42" name="Text Box 2">
          <a:extLst>
            <a:ext uri="{FF2B5EF4-FFF2-40B4-BE49-F238E27FC236}">
              <a16:creationId xmlns:a16="http://schemas.microsoft.com/office/drawing/2014/main" id="{00000000-0008-0000-0400-0000AA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43" name="Text Box 2">
          <a:extLst>
            <a:ext uri="{FF2B5EF4-FFF2-40B4-BE49-F238E27FC236}">
              <a16:creationId xmlns:a16="http://schemas.microsoft.com/office/drawing/2014/main" id="{00000000-0008-0000-0400-0000AB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44" name="Text Box 2">
          <a:extLst>
            <a:ext uri="{FF2B5EF4-FFF2-40B4-BE49-F238E27FC236}">
              <a16:creationId xmlns:a16="http://schemas.microsoft.com/office/drawing/2014/main" id="{00000000-0008-0000-0400-0000AC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45" name="Text Box 2">
          <a:extLst>
            <a:ext uri="{FF2B5EF4-FFF2-40B4-BE49-F238E27FC236}">
              <a16:creationId xmlns:a16="http://schemas.microsoft.com/office/drawing/2014/main" id="{00000000-0008-0000-0400-0000AD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46" name="Text Box 2">
          <a:extLst>
            <a:ext uri="{FF2B5EF4-FFF2-40B4-BE49-F238E27FC236}">
              <a16:creationId xmlns:a16="http://schemas.microsoft.com/office/drawing/2014/main" id="{00000000-0008-0000-0400-0000AE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47" name="Text Box 2">
          <a:extLst>
            <a:ext uri="{FF2B5EF4-FFF2-40B4-BE49-F238E27FC236}">
              <a16:creationId xmlns:a16="http://schemas.microsoft.com/office/drawing/2014/main" id="{00000000-0008-0000-0400-0000AF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48" name="Text Box 2">
          <a:extLst>
            <a:ext uri="{FF2B5EF4-FFF2-40B4-BE49-F238E27FC236}">
              <a16:creationId xmlns:a16="http://schemas.microsoft.com/office/drawing/2014/main" id="{00000000-0008-0000-0400-0000B0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49" name="Text Box 2">
          <a:extLst>
            <a:ext uri="{FF2B5EF4-FFF2-40B4-BE49-F238E27FC236}">
              <a16:creationId xmlns:a16="http://schemas.microsoft.com/office/drawing/2014/main" id="{00000000-0008-0000-0400-0000B1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50" name="Text Box 2">
          <a:extLst>
            <a:ext uri="{FF2B5EF4-FFF2-40B4-BE49-F238E27FC236}">
              <a16:creationId xmlns:a16="http://schemas.microsoft.com/office/drawing/2014/main" id="{00000000-0008-0000-0400-0000B2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51" name="Text Box 2">
          <a:extLst>
            <a:ext uri="{FF2B5EF4-FFF2-40B4-BE49-F238E27FC236}">
              <a16:creationId xmlns:a16="http://schemas.microsoft.com/office/drawing/2014/main" id="{00000000-0008-0000-0400-0000B3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52" name="Text Box 2">
          <a:extLst>
            <a:ext uri="{FF2B5EF4-FFF2-40B4-BE49-F238E27FC236}">
              <a16:creationId xmlns:a16="http://schemas.microsoft.com/office/drawing/2014/main" id="{00000000-0008-0000-0400-0000B4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53" name="Text Box 2">
          <a:extLst>
            <a:ext uri="{FF2B5EF4-FFF2-40B4-BE49-F238E27FC236}">
              <a16:creationId xmlns:a16="http://schemas.microsoft.com/office/drawing/2014/main" id="{00000000-0008-0000-0400-0000B5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54" name="Text Box 2">
          <a:extLst>
            <a:ext uri="{FF2B5EF4-FFF2-40B4-BE49-F238E27FC236}">
              <a16:creationId xmlns:a16="http://schemas.microsoft.com/office/drawing/2014/main" id="{00000000-0008-0000-0400-0000B6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55" name="Text Box 2">
          <a:extLst>
            <a:ext uri="{FF2B5EF4-FFF2-40B4-BE49-F238E27FC236}">
              <a16:creationId xmlns:a16="http://schemas.microsoft.com/office/drawing/2014/main" id="{00000000-0008-0000-0400-0000B7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56" name="Text Box 2">
          <a:extLst>
            <a:ext uri="{FF2B5EF4-FFF2-40B4-BE49-F238E27FC236}">
              <a16:creationId xmlns:a16="http://schemas.microsoft.com/office/drawing/2014/main" id="{00000000-0008-0000-0400-0000B8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57" name="Text Box 2">
          <a:extLst>
            <a:ext uri="{FF2B5EF4-FFF2-40B4-BE49-F238E27FC236}">
              <a16:creationId xmlns:a16="http://schemas.microsoft.com/office/drawing/2014/main" id="{00000000-0008-0000-0400-0000B9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58" name="Text Box 2">
          <a:extLst>
            <a:ext uri="{FF2B5EF4-FFF2-40B4-BE49-F238E27FC236}">
              <a16:creationId xmlns:a16="http://schemas.microsoft.com/office/drawing/2014/main" id="{00000000-0008-0000-0400-0000BA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59" name="Text Box 2">
          <a:extLst>
            <a:ext uri="{FF2B5EF4-FFF2-40B4-BE49-F238E27FC236}">
              <a16:creationId xmlns:a16="http://schemas.microsoft.com/office/drawing/2014/main" id="{00000000-0008-0000-0400-0000BB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60" name="Text Box 2">
          <a:extLst>
            <a:ext uri="{FF2B5EF4-FFF2-40B4-BE49-F238E27FC236}">
              <a16:creationId xmlns:a16="http://schemas.microsoft.com/office/drawing/2014/main" id="{00000000-0008-0000-0400-0000BC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61" name="Text Box 2">
          <a:extLst>
            <a:ext uri="{FF2B5EF4-FFF2-40B4-BE49-F238E27FC236}">
              <a16:creationId xmlns:a16="http://schemas.microsoft.com/office/drawing/2014/main" id="{00000000-0008-0000-0400-0000BD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62" name="Text Box 2">
          <a:extLst>
            <a:ext uri="{FF2B5EF4-FFF2-40B4-BE49-F238E27FC236}">
              <a16:creationId xmlns:a16="http://schemas.microsoft.com/office/drawing/2014/main" id="{00000000-0008-0000-0400-0000BE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63" name="Text Box 2">
          <a:extLst>
            <a:ext uri="{FF2B5EF4-FFF2-40B4-BE49-F238E27FC236}">
              <a16:creationId xmlns:a16="http://schemas.microsoft.com/office/drawing/2014/main" id="{00000000-0008-0000-0400-0000BF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64" name="Text Box 2">
          <a:extLst>
            <a:ext uri="{FF2B5EF4-FFF2-40B4-BE49-F238E27FC236}">
              <a16:creationId xmlns:a16="http://schemas.microsoft.com/office/drawing/2014/main" id="{00000000-0008-0000-0400-0000C0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65" name="Text Box 2">
          <a:extLst>
            <a:ext uri="{FF2B5EF4-FFF2-40B4-BE49-F238E27FC236}">
              <a16:creationId xmlns:a16="http://schemas.microsoft.com/office/drawing/2014/main" id="{00000000-0008-0000-0400-0000C1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66" name="Text Box 2">
          <a:extLst>
            <a:ext uri="{FF2B5EF4-FFF2-40B4-BE49-F238E27FC236}">
              <a16:creationId xmlns:a16="http://schemas.microsoft.com/office/drawing/2014/main" id="{00000000-0008-0000-0400-0000C2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67" name="Text Box 2">
          <a:extLst>
            <a:ext uri="{FF2B5EF4-FFF2-40B4-BE49-F238E27FC236}">
              <a16:creationId xmlns:a16="http://schemas.microsoft.com/office/drawing/2014/main" id="{00000000-0008-0000-0400-0000C3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68" name="Text Box 2">
          <a:extLst>
            <a:ext uri="{FF2B5EF4-FFF2-40B4-BE49-F238E27FC236}">
              <a16:creationId xmlns:a16="http://schemas.microsoft.com/office/drawing/2014/main" id="{00000000-0008-0000-0400-0000C4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69" name="Text Box 2">
          <a:extLst>
            <a:ext uri="{FF2B5EF4-FFF2-40B4-BE49-F238E27FC236}">
              <a16:creationId xmlns:a16="http://schemas.microsoft.com/office/drawing/2014/main" id="{00000000-0008-0000-0400-0000C5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70" name="Text Box 2">
          <a:extLst>
            <a:ext uri="{FF2B5EF4-FFF2-40B4-BE49-F238E27FC236}">
              <a16:creationId xmlns:a16="http://schemas.microsoft.com/office/drawing/2014/main" id="{00000000-0008-0000-0400-0000C6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71" name="Text Box 2">
          <a:extLst>
            <a:ext uri="{FF2B5EF4-FFF2-40B4-BE49-F238E27FC236}">
              <a16:creationId xmlns:a16="http://schemas.microsoft.com/office/drawing/2014/main" id="{00000000-0008-0000-0400-0000C7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72" name="Text Box 2">
          <a:extLst>
            <a:ext uri="{FF2B5EF4-FFF2-40B4-BE49-F238E27FC236}">
              <a16:creationId xmlns:a16="http://schemas.microsoft.com/office/drawing/2014/main" id="{00000000-0008-0000-0400-0000C8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73" name="Text Box 2">
          <a:extLst>
            <a:ext uri="{FF2B5EF4-FFF2-40B4-BE49-F238E27FC236}">
              <a16:creationId xmlns:a16="http://schemas.microsoft.com/office/drawing/2014/main" id="{00000000-0008-0000-0400-0000C9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74" name="Text Box 2">
          <a:extLst>
            <a:ext uri="{FF2B5EF4-FFF2-40B4-BE49-F238E27FC236}">
              <a16:creationId xmlns:a16="http://schemas.microsoft.com/office/drawing/2014/main" id="{00000000-0008-0000-0400-0000CA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75" name="Text Box 2">
          <a:extLst>
            <a:ext uri="{FF2B5EF4-FFF2-40B4-BE49-F238E27FC236}">
              <a16:creationId xmlns:a16="http://schemas.microsoft.com/office/drawing/2014/main" id="{00000000-0008-0000-0400-0000CB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76" name="Text Box 2">
          <a:extLst>
            <a:ext uri="{FF2B5EF4-FFF2-40B4-BE49-F238E27FC236}">
              <a16:creationId xmlns:a16="http://schemas.microsoft.com/office/drawing/2014/main" id="{00000000-0008-0000-0400-0000CC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77" name="Text Box 2">
          <a:extLst>
            <a:ext uri="{FF2B5EF4-FFF2-40B4-BE49-F238E27FC236}">
              <a16:creationId xmlns:a16="http://schemas.microsoft.com/office/drawing/2014/main" id="{00000000-0008-0000-0400-0000CD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78" name="Text Box 2">
          <a:extLst>
            <a:ext uri="{FF2B5EF4-FFF2-40B4-BE49-F238E27FC236}">
              <a16:creationId xmlns:a16="http://schemas.microsoft.com/office/drawing/2014/main" id="{00000000-0008-0000-0400-0000CE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79" name="Text Box 2">
          <a:extLst>
            <a:ext uri="{FF2B5EF4-FFF2-40B4-BE49-F238E27FC236}">
              <a16:creationId xmlns:a16="http://schemas.microsoft.com/office/drawing/2014/main" id="{00000000-0008-0000-0400-0000CF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80" name="Text Box 2">
          <a:extLst>
            <a:ext uri="{FF2B5EF4-FFF2-40B4-BE49-F238E27FC236}">
              <a16:creationId xmlns:a16="http://schemas.microsoft.com/office/drawing/2014/main" id="{00000000-0008-0000-0400-0000D0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81" name="Text Box 2">
          <a:extLst>
            <a:ext uri="{FF2B5EF4-FFF2-40B4-BE49-F238E27FC236}">
              <a16:creationId xmlns:a16="http://schemas.microsoft.com/office/drawing/2014/main" id="{00000000-0008-0000-0400-0000D1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82" name="Text Box 2">
          <a:extLst>
            <a:ext uri="{FF2B5EF4-FFF2-40B4-BE49-F238E27FC236}">
              <a16:creationId xmlns:a16="http://schemas.microsoft.com/office/drawing/2014/main" id="{00000000-0008-0000-0400-0000D2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83" name="Text Box 2">
          <a:extLst>
            <a:ext uri="{FF2B5EF4-FFF2-40B4-BE49-F238E27FC236}">
              <a16:creationId xmlns:a16="http://schemas.microsoft.com/office/drawing/2014/main" id="{00000000-0008-0000-0400-0000D3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84" name="Text Box 2">
          <a:extLst>
            <a:ext uri="{FF2B5EF4-FFF2-40B4-BE49-F238E27FC236}">
              <a16:creationId xmlns:a16="http://schemas.microsoft.com/office/drawing/2014/main" id="{00000000-0008-0000-0400-0000D4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85" name="Text Box 2">
          <a:extLst>
            <a:ext uri="{FF2B5EF4-FFF2-40B4-BE49-F238E27FC236}">
              <a16:creationId xmlns:a16="http://schemas.microsoft.com/office/drawing/2014/main" id="{00000000-0008-0000-0400-0000D5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86" name="Text Box 2">
          <a:extLst>
            <a:ext uri="{FF2B5EF4-FFF2-40B4-BE49-F238E27FC236}">
              <a16:creationId xmlns:a16="http://schemas.microsoft.com/office/drawing/2014/main" id="{00000000-0008-0000-0400-0000D6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87" name="Text Box 2">
          <a:extLst>
            <a:ext uri="{FF2B5EF4-FFF2-40B4-BE49-F238E27FC236}">
              <a16:creationId xmlns:a16="http://schemas.microsoft.com/office/drawing/2014/main" id="{00000000-0008-0000-0400-0000D7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88" name="Text Box 2">
          <a:extLst>
            <a:ext uri="{FF2B5EF4-FFF2-40B4-BE49-F238E27FC236}">
              <a16:creationId xmlns:a16="http://schemas.microsoft.com/office/drawing/2014/main" id="{00000000-0008-0000-0400-0000D8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89" name="Text Box 2">
          <a:extLst>
            <a:ext uri="{FF2B5EF4-FFF2-40B4-BE49-F238E27FC236}">
              <a16:creationId xmlns:a16="http://schemas.microsoft.com/office/drawing/2014/main" id="{00000000-0008-0000-0400-0000D9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90" name="Text Box 2">
          <a:extLst>
            <a:ext uri="{FF2B5EF4-FFF2-40B4-BE49-F238E27FC236}">
              <a16:creationId xmlns:a16="http://schemas.microsoft.com/office/drawing/2014/main" id="{00000000-0008-0000-0400-0000DA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91" name="Text Box 2">
          <a:extLst>
            <a:ext uri="{FF2B5EF4-FFF2-40B4-BE49-F238E27FC236}">
              <a16:creationId xmlns:a16="http://schemas.microsoft.com/office/drawing/2014/main" id="{00000000-0008-0000-0400-0000DB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92" name="Text Box 2">
          <a:extLst>
            <a:ext uri="{FF2B5EF4-FFF2-40B4-BE49-F238E27FC236}">
              <a16:creationId xmlns:a16="http://schemas.microsoft.com/office/drawing/2014/main" id="{00000000-0008-0000-0400-0000DC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93" name="Text Box 2">
          <a:extLst>
            <a:ext uri="{FF2B5EF4-FFF2-40B4-BE49-F238E27FC236}">
              <a16:creationId xmlns:a16="http://schemas.microsoft.com/office/drawing/2014/main" id="{00000000-0008-0000-0400-0000DD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94" name="Text Box 2">
          <a:extLst>
            <a:ext uri="{FF2B5EF4-FFF2-40B4-BE49-F238E27FC236}">
              <a16:creationId xmlns:a16="http://schemas.microsoft.com/office/drawing/2014/main" id="{00000000-0008-0000-0400-0000DE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95" name="Text Box 2">
          <a:extLst>
            <a:ext uri="{FF2B5EF4-FFF2-40B4-BE49-F238E27FC236}">
              <a16:creationId xmlns:a16="http://schemas.microsoft.com/office/drawing/2014/main" id="{00000000-0008-0000-0400-0000DF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96" name="Text Box 2">
          <a:extLst>
            <a:ext uri="{FF2B5EF4-FFF2-40B4-BE49-F238E27FC236}">
              <a16:creationId xmlns:a16="http://schemas.microsoft.com/office/drawing/2014/main" id="{00000000-0008-0000-0400-0000E0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97" name="Text Box 2">
          <a:extLst>
            <a:ext uri="{FF2B5EF4-FFF2-40B4-BE49-F238E27FC236}">
              <a16:creationId xmlns:a16="http://schemas.microsoft.com/office/drawing/2014/main" id="{00000000-0008-0000-0400-0000E1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98" name="Text Box 2">
          <a:extLst>
            <a:ext uri="{FF2B5EF4-FFF2-40B4-BE49-F238E27FC236}">
              <a16:creationId xmlns:a16="http://schemas.microsoft.com/office/drawing/2014/main" id="{00000000-0008-0000-0400-0000E2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299" name="Text Box 2">
          <a:extLst>
            <a:ext uri="{FF2B5EF4-FFF2-40B4-BE49-F238E27FC236}">
              <a16:creationId xmlns:a16="http://schemas.microsoft.com/office/drawing/2014/main" id="{00000000-0008-0000-0400-0000E3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300" name="Text Box 2">
          <a:extLst>
            <a:ext uri="{FF2B5EF4-FFF2-40B4-BE49-F238E27FC236}">
              <a16:creationId xmlns:a16="http://schemas.microsoft.com/office/drawing/2014/main" id="{00000000-0008-0000-0400-0000E4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301" name="Text Box 2">
          <a:extLst>
            <a:ext uri="{FF2B5EF4-FFF2-40B4-BE49-F238E27FC236}">
              <a16:creationId xmlns:a16="http://schemas.microsoft.com/office/drawing/2014/main" id="{00000000-0008-0000-0400-0000E5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302" name="Text Box 2">
          <a:extLst>
            <a:ext uri="{FF2B5EF4-FFF2-40B4-BE49-F238E27FC236}">
              <a16:creationId xmlns:a16="http://schemas.microsoft.com/office/drawing/2014/main" id="{00000000-0008-0000-0400-0000E6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303" name="Text Box 2">
          <a:extLst>
            <a:ext uri="{FF2B5EF4-FFF2-40B4-BE49-F238E27FC236}">
              <a16:creationId xmlns:a16="http://schemas.microsoft.com/office/drawing/2014/main" id="{00000000-0008-0000-0400-0000E7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304" name="Text Box 2">
          <a:extLst>
            <a:ext uri="{FF2B5EF4-FFF2-40B4-BE49-F238E27FC236}">
              <a16:creationId xmlns:a16="http://schemas.microsoft.com/office/drawing/2014/main" id="{00000000-0008-0000-0400-0000E8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305" name="Text Box 2">
          <a:extLst>
            <a:ext uri="{FF2B5EF4-FFF2-40B4-BE49-F238E27FC236}">
              <a16:creationId xmlns:a16="http://schemas.microsoft.com/office/drawing/2014/main" id="{00000000-0008-0000-0400-0000E9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165101</xdr:rowOff>
    </xdr:to>
    <xdr:sp macro="" textlink="">
      <xdr:nvSpPr>
        <xdr:cNvPr id="3306" name="Text Box 2">
          <a:extLst>
            <a:ext uri="{FF2B5EF4-FFF2-40B4-BE49-F238E27FC236}">
              <a16:creationId xmlns:a16="http://schemas.microsoft.com/office/drawing/2014/main" id="{00000000-0008-0000-0400-0000EA0C0000}"/>
            </a:ext>
          </a:extLst>
        </xdr:cNvPr>
        <xdr:cNvSpPr txBox="1">
          <a:spLocks noChangeArrowheads="1"/>
        </xdr:cNvSpPr>
      </xdr:nvSpPr>
      <xdr:spPr bwMode="auto">
        <a:xfrm>
          <a:off x="3943350" y="50673000"/>
          <a:ext cx="95250" cy="3619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165101</xdr:rowOff>
    </xdr:to>
    <xdr:sp macro="" textlink="">
      <xdr:nvSpPr>
        <xdr:cNvPr id="3307" name="Text Box 2">
          <a:extLst>
            <a:ext uri="{FF2B5EF4-FFF2-40B4-BE49-F238E27FC236}">
              <a16:creationId xmlns:a16="http://schemas.microsoft.com/office/drawing/2014/main" id="{00000000-0008-0000-0400-0000EB0C0000}"/>
            </a:ext>
          </a:extLst>
        </xdr:cNvPr>
        <xdr:cNvSpPr txBox="1">
          <a:spLocks noChangeArrowheads="1"/>
        </xdr:cNvSpPr>
      </xdr:nvSpPr>
      <xdr:spPr bwMode="auto">
        <a:xfrm>
          <a:off x="3943350" y="50673000"/>
          <a:ext cx="95250" cy="3619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165101</xdr:rowOff>
    </xdr:to>
    <xdr:sp macro="" textlink="">
      <xdr:nvSpPr>
        <xdr:cNvPr id="3308" name="Text Box 2">
          <a:extLst>
            <a:ext uri="{FF2B5EF4-FFF2-40B4-BE49-F238E27FC236}">
              <a16:creationId xmlns:a16="http://schemas.microsoft.com/office/drawing/2014/main" id="{00000000-0008-0000-0400-0000EC0C0000}"/>
            </a:ext>
          </a:extLst>
        </xdr:cNvPr>
        <xdr:cNvSpPr txBox="1">
          <a:spLocks noChangeArrowheads="1"/>
        </xdr:cNvSpPr>
      </xdr:nvSpPr>
      <xdr:spPr bwMode="auto">
        <a:xfrm>
          <a:off x="3943350" y="50673000"/>
          <a:ext cx="95250" cy="3619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309" name="Text Box 2">
          <a:extLst>
            <a:ext uri="{FF2B5EF4-FFF2-40B4-BE49-F238E27FC236}">
              <a16:creationId xmlns:a16="http://schemas.microsoft.com/office/drawing/2014/main" id="{00000000-0008-0000-0400-0000ED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310" name="Text Box 2">
          <a:extLst>
            <a:ext uri="{FF2B5EF4-FFF2-40B4-BE49-F238E27FC236}">
              <a16:creationId xmlns:a16="http://schemas.microsoft.com/office/drawing/2014/main" id="{00000000-0008-0000-0400-0000EE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311" name="Text Box 2">
          <a:extLst>
            <a:ext uri="{FF2B5EF4-FFF2-40B4-BE49-F238E27FC236}">
              <a16:creationId xmlns:a16="http://schemas.microsoft.com/office/drawing/2014/main" id="{00000000-0008-0000-0400-0000EF0C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12" name="Text Box 2">
          <a:extLst>
            <a:ext uri="{FF2B5EF4-FFF2-40B4-BE49-F238E27FC236}">
              <a16:creationId xmlns:a16="http://schemas.microsoft.com/office/drawing/2014/main" id="{00000000-0008-0000-0400-0000F0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13" name="Text Box 2">
          <a:extLst>
            <a:ext uri="{FF2B5EF4-FFF2-40B4-BE49-F238E27FC236}">
              <a16:creationId xmlns:a16="http://schemas.microsoft.com/office/drawing/2014/main" id="{00000000-0008-0000-0400-0000F1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14" name="Text Box 2">
          <a:extLst>
            <a:ext uri="{FF2B5EF4-FFF2-40B4-BE49-F238E27FC236}">
              <a16:creationId xmlns:a16="http://schemas.microsoft.com/office/drawing/2014/main" id="{00000000-0008-0000-0400-0000F2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15" name="Text Box 2">
          <a:extLst>
            <a:ext uri="{FF2B5EF4-FFF2-40B4-BE49-F238E27FC236}">
              <a16:creationId xmlns:a16="http://schemas.microsoft.com/office/drawing/2014/main" id="{00000000-0008-0000-0400-0000F3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16" name="Text Box 2">
          <a:extLst>
            <a:ext uri="{FF2B5EF4-FFF2-40B4-BE49-F238E27FC236}">
              <a16:creationId xmlns:a16="http://schemas.microsoft.com/office/drawing/2014/main" id="{00000000-0008-0000-0400-0000F4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17" name="Text Box 2">
          <a:extLst>
            <a:ext uri="{FF2B5EF4-FFF2-40B4-BE49-F238E27FC236}">
              <a16:creationId xmlns:a16="http://schemas.microsoft.com/office/drawing/2014/main" id="{00000000-0008-0000-0400-0000F5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18" name="Text Box 2">
          <a:extLst>
            <a:ext uri="{FF2B5EF4-FFF2-40B4-BE49-F238E27FC236}">
              <a16:creationId xmlns:a16="http://schemas.microsoft.com/office/drawing/2014/main" id="{00000000-0008-0000-0400-0000F6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19" name="Text Box 2">
          <a:extLst>
            <a:ext uri="{FF2B5EF4-FFF2-40B4-BE49-F238E27FC236}">
              <a16:creationId xmlns:a16="http://schemas.microsoft.com/office/drawing/2014/main" id="{00000000-0008-0000-0400-0000F7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20" name="Text Box 2">
          <a:extLst>
            <a:ext uri="{FF2B5EF4-FFF2-40B4-BE49-F238E27FC236}">
              <a16:creationId xmlns:a16="http://schemas.microsoft.com/office/drawing/2014/main" id="{00000000-0008-0000-0400-0000F8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21" name="Text Box 2">
          <a:extLst>
            <a:ext uri="{FF2B5EF4-FFF2-40B4-BE49-F238E27FC236}">
              <a16:creationId xmlns:a16="http://schemas.microsoft.com/office/drawing/2014/main" id="{00000000-0008-0000-0400-0000F9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22" name="Text Box 2">
          <a:extLst>
            <a:ext uri="{FF2B5EF4-FFF2-40B4-BE49-F238E27FC236}">
              <a16:creationId xmlns:a16="http://schemas.microsoft.com/office/drawing/2014/main" id="{00000000-0008-0000-0400-0000FA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23" name="Text Box 2">
          <a:extLst>
            <a:ext uri="{FF2B5EF4-FFF2-40B4-BE49-F238E27FC236}">
              <a16:creationId xmlns:a16="http://schemas.microsoft.com/office/drawing/2014/main" id="{00000000-0008-0000-0400-0000FB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24" name="Text Box 2">
          <a:extLst>
            <a:ext uri="{FF2B5EF4-FFF2-40B4-BE49-F238E27FC236}">
              <a16:creationId xmlns:a16="http://schemas.microsoft.com/office/drawing/2014/main" id="{00000000-0008-0000-0400-0000FC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25" name="Text Box 2">
          <a:extLst>
            <a:ext uri="{FF2B5EF4-FFF2-40B4-BE49-F238E27FC236}">
              <a16:creationId xmlns:a16="http://schemas.microsoft.com/office/drawing/2014/main" id="{00000000-0008-0000-0400-0000FD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26" name="Text Box 2">
          <a:extLst>
            <a:ext uri="{FF2B5EF4-FFF2-40B4-BE49-F238E27FC236}">
              <a16:creationId xmlns:a16="http://schemas.microsoft.com/office/drawing/2014/main" id="{00000000-0008-0000-0400-0000FE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27" name="Text Box 2">
          <a:extLst>
            <a:ext uri="{FF2B5EF4-FFF2-40B4-BE49-F238E27FC236}">
              <a16:creationId xmlns:a16="http://schemas.microsoft.com/office/drawing/2014/main" id="{00000000-0008-0000-0400-0000FF0C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28" name="Text Box 2">
          <a:extLst>
            <a:ext uri="{FF2B5EF4-FFF2-40B4-BE49-F238E27FC236}">
              <a16:creationId xmlns:a16="http://schemas.microsoft.com/office/drawing/2014/main" id="{00000000-0008-0000-0400-000000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29" name="Text Box 2">
          <a:extLst>
            <a:ext uri="{FF2B5EF4-FFF2-40B4-BE49-F238E27FC236}">
              <a16:creationId xmlns:a16="http://schemas.microsoft.com/office/drawing/2014/main" id="{00000000-0008-0000-0400-000001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30" name="Text Box 2">
          <a:extLst>
            <a:ext uri="{FF2B5EF4-FFF2-40B4-BE49-F238E27FC236}">
              <a16:creationId xmlns:a16="http://schemas.microsoft.com/office/drawing/2014/main" id="{00000000-0008-0000-0400-000002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31" name="Text Box 2">
          <a:extLst>
            <a:ext uri="{FF2B5EF4-FFF2-40B4-BE49-F238E27FC236}">
              <a16:creationId xmlns:a16="http://schemas.microsoft.com/office/drawing/2014/main" id="{00000000-0008-0000-0400-000003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32" name="Text Box 2">
          <a:extLst>
            <a:ext uri="{FF2B5EF4-FFF2-40B4-BE49-F238E27FC236}">
              <a16:creationId xmlns:a16="http://schemas.microsoft.com/office/drawing/2014/main" id="{00000000-0008-0000-0400-000004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33" name="Text Box 2">
          <a:extLst>
            <a:ext uri="{FF2B5EF4-FFF2-40B4-BE49-F238E27FC236}">
              <a16:creationId xmlns:a16="http://schemas.microsoft.com/office/drawing/2014/main" id="{00000000-0008-0000-0400-000005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34" name="Text Box 2">
          <a:extLst>
            <a:ext uri="{FF2B5EF4-FFF2-40B4-BE49-F238E27FC236}">
              <a16:creationId xmlns:a16="http://schemas.microsoft.com/office/drawing/2014/main" id="{00000000-0008-0000-0400-000006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35" name="Text Box 2">
          <a:extLst>
            <a:ext uri="{FF2B5EF4-FFF2-40B4-BE49-F238E27FC236}">
              <a16:creationId xmlns:a16="http://schemas.microsoft.com/office/drawing/2014/main" id="{00000000-0008-0000-0400-000007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36" name="Text Box 2">
          <a:extLst>
            <a:ext uri="{FF2B5EF4-FFF2-40B4-BE49-F238E27FC236}">
              <a16:creationId xmlns:a16="http://schemas.microsoft.com/office/drawing/2014/main" id="{00000000-0008-0000-0400-000008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37" name="Text Box 2">
          <a:extLst>
            <a:ext uri="{FF2B5EF4-FFF2-40B4-BE49-F238E27FC236}">
              <a16:creationId xmlns:a16="http://schemas.microsoft.com/office/drawing/2014/main" id="{00000000-0008-0000-0400-000009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38" name="Text Box 2">
          <a:extLst>
            <a:ext uri="{FF2B5EF4-FFF2-40B4-BE49-F238E27FC236}">
              <a16:creationId xmlns:a16="http://schemas.microsoft.com/office/drawing/2014/main" id="{00000000-0008-0000-0400-00000A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39" name="Text Box 2">
          <a:extLst>
            <a:ext uri="{FF2B5EF4-FFF2-40B4-BE49-F238E27FC236}">
              <a16:creationId xmlns:a16="http://schemas.microsoft.com/office/drawing/2014/main" id="{00000000-0008-0000-0400-00000B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40" name="Text Box 2">
          <a:extLst>
            <a:ext uri="{FF2B5EF4-FFF2-40B4-BE49-F238E27FC236}">
              <a16:creationId xmlns:a16="http://schemas.microsoft.com/office/drawing/2014/main" id="{00000000-0008-0000-0400-00000C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41" name="Text Box 2">
          <a:extLst>
            <a:ext uri="{FF2B5EF4-FFF2-40B4-BE49-F238E27FC236}">
              <a16:creationId xmlns:a16="http://schemas.microsoft.com/office/drawing/2014/main" id="{00000000-0008-0000-0400-00000D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42" name="Text Box 2">
          <a:extLst>
            <a:ext uri="{FF2B5EF4-FFF2-40B4-BE49-F238E27FC236}">
              <a16:creationId xmlns:a16="http://schemas.microsoft.com/office/drawing/2014/main" id="{00000000-0008-0000-0400-00000E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43" name="Text Box 2">
          <a:extLst>
            <a:ext uri="{FF2B5EF4-FFF2-40B4-BE49-F238E27FC236}">
              <a16:creationId xmlns:a16="http://schemas.microsoft.com/office/drawing/2014/main" id="{00000000-0008-0000-0400-00000F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44" name="Text Box 2">
          <a:extLst>
            <a:ext uri="{FF2B5EF4-FFF2-40B4-BE49-F238E27FC236}">
              <a16:creationId xmlns:a16="http://schemas.microsoft.com/office/drawing/2014/main" id="{00000000-0008-0000-0400-000010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45" name="Text Box 2">
          <a:extLst>
            <a:ext uri="{FF2B5EF4-FFF2-40B4-BE49-F238E27FC236}">
              <a16:creationId xmlns:a16="http://schemas.microsoft.com/office/drawing/2014/main" id="{00000000-0008-0000-0400-000011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46" name="Text Box 2">
          <a:extLst>
            <a:ext uri="{FF2B5EF4-FFF2-40B4-BE49-F238E27FC236}">
              <a16:creationId xmlns:a16="http://schemas.microsoft.com/office/drawing/2014/main" id="{00000000-0008-0000-0400-000012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47" name="Text Box 2">
          <a:extLst>
            <a:ext uri="{FF2B5EF4-FFF2-40B4-BE49-F238E27FC236}">
              <a16:creationId xmlns:a16="http://schemas.microsoft.com/office/drawing/2014/main" id="{00000000-0008-0000-0400-000013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48" name="Text Box 2">
          <a:extLst>
            <a:ext uri="{FF2B5EF4-FFF2-40B4-BE49-F238E27FC236}">
              <a16:creationId xmlns:a16="http://schemas.microsoft.com/office/drawing/2014/main" id="{00000000-0008-0000-0400-000014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49" name="Text Box 2">
          <a:extLst>
            <a:ext uri="{FF2B5EF4-FFF2-40B4-BE49-F238E27FC236}">
              <a16:creationId xmlns:a16="http://schemas.microsoft.com/office/drawing/2014/main" id="{00000000-0008-0000-0400-000015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50" name="Text Box 2">
          <a:extLst>
            <a:ext uri="{FF2B5EF4-FFF2-40B4-BE49-F238E27FC236}">
              <a16:creationId xmlns:a16="http://schemas.microsoft.com/office/drawing/2014/main" id="{00000000-0008-0000-0400-000016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51" name="Text Box 2">
          <a:extLst>
            <a:ext uri="{FF2B5EF4-FFF2-40B4-BE49-F238E27FC236}">
              <a16:creationId xmlns:a16="http://schemas.microsoft.com/office/drawing/2014/main" id="{00000000-0008-0000-0400-000017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52" name="Text Box 2">
          <a:extLst>
            <a:ext uri="{FF2B5EF4-FFF2-40B4-BE49-F238E27FC236}">
              <a16:creationId xmlns:a16="http://schemas.microsoft.com/office/drawing/2014/main" id="{00000000-0008-0000-0400-000018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53" name="Text Box 2">
          <a:extLst>
            <a:ext uri="{FF2B5EF4-FFF2-40B4-BE49-F238E27FC236}">
              <a16:creationId xmlns:a16="http://schemas.microsoft.com/office/drawing/2014/main" id="{00000000-0008-0000-0400-000019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54" name="Text Box 2">
          <a:extLst>
            <a:ext uri="{FF2B5EF4-FFF2-40B4-BE49-F238E27FC236}">
              <a16:creationId xmlns:a16="http://schemas.microsoft.com/office/drawing/2014/main" id="{00000000-0008-0000-0400-00001A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55" name="Text Box 2">
          <a:extLst>
            <a:ext uri="{FF2B5EF4-FFF2-40B4-BE49-F238E27FC236}">
              <a16:creationId xmlns:a16="http://schemas.microsoft.com/office/drawing/2014/main" id="{00000000-0008-0000-0400-00001B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56" name="Text Box 2">
          <a:extLst>
            <a:ext uri="{FF2B5EF4-FFF2-40B4-BE49-F238E27FC236}">
              <a16:creationId xmlns:a16="http://schemas.microsoft.com/office/drawing/2014/main" id="{00000000-0008-0000-0400-00001C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57" name="Text Box 2">
          <a:extLst>
            <a:ext uri="{FF2B5EF4-FFF2-40B4-BE49-F238E27FC236}">
              <a16:creationId xmlns:a16="http://schemas.microsoft.com/office/drawing/2014/main" id="{00000000-0008-0000-0400-00001D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58" name="Text Box 2">
          <a:extLst>
            <a:ext uri="{FF2B5EF4-FFF2-40B4-BE49-F238E27FC236}">
              <a16:creationId xmlns:a16="http://schemas.microsoft.com/office/drawing/2014/main" id="{00000000-0008-0000-0400-00001E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59" name="Text Box 2">
          <a:extLst>
            <a:ext uri="{FF2B5EF4-FFF2-40B4-BE49-F238E27FC236}">
              <a16:creationId xmlns:a16="http://schemas.microsoft.com/office/drawing/2014/main" id="{00000000-0008-0000-0400-00001F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60" name="Text Box 2">
          <a:extLst>
            <a:ext uri="{FF2B5EF4-FFF2-40B4-BE49-F238E27FC236}">
              <a16:creationId xmlns:a16="http://schemas.microsoft.com/office/drawing/2014/main" id="{00000000-0008-0000-0400-000020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61" name="Text Box 2">
          <a:extLst>
            <a:ext uri="{FF2B5EF4-FFF2-40B4-BE49-F238E27FC236}">
              <a16:creationId xmlns:a16="http://schemas.microsoft.com/office/drawing/2014/main" id="{00000000-0008-0000-0400-000021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62" name="Text Box 2">
          <a:extLst>
            <a:ext uri="{FF2B5EF4-FFF2-40B4-BE49-F238E27FC236}">
              <a16:creationId xmlns:a16="http://schemas.microsoft.com/office/drawing/2014/main" id="{00000000-0008-0000-0400-000022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63" name="Text Box 2">
          <a:extLst>
            <a:ext uri="{FF2B5EF4-FFF2-40B4-BE49-F238E27FC236}">
              <a16:creationId xmlns:a16="http://schemas.microsoft.com/office/drawing/2014/main" id="{00000000-0008-0000-0400-000023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64" name="Text Box 2">
          <a:extLst>
            <a:ext uri="{FF2B5EF4-FFF2-40B4-BE49-F238E27FC236}">
              <a16:creationId xmlns:a16="http://schemas.microsoft.com/office/drawing/2014/main" id="{00000000-0008-0000-0400-000024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65" name="Text Box 2">
          <a:extLst>
            <a:ext uri="{FF2B5EF4-FFF2-40B4-BE49-F238E27FC236}">
              <a16:creationId xmlns:a16="http://schemas.microsoft.com/office/drawing/2014/main" id="{00000000-0008-0000-0400-000025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66" name="Text Box 2">
          <a:extLst>
            <a:ext uri="{FF2B5EF4-FFF2-40B4-BE49-F238E27FC236}">
              <a16:creationId xmlns:a16="http://schemas.microsoft.com/office/drawing/2014/main" id="{00000000-0008-0000-0400-000026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67" name="Text Box 2">
          <a:extLst>
            <a:ext uri="{FF2B5EF4-FFF2-40B4-BE49-F238E27FC236}">
              <a16:creationId xmlns:a16="http://schemas.microsoft.com/office/drawing/2014/main" id="{00000000-0008-0000-0400-000027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68" name="Text Box 2">
          <a:extLst>
            <a:ext uri="{FF2B5EF4-FFF2-40B4-BE49-F238E27FC236}">
              <a16:creationId xmlns:a16="http://schemas.microsoft.com/office/drawing/2014/main" id="{00000000-0008-0000-0400-000028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69" name="Text Box 2">
          <a:extLst>
            <a:ext uri="{FF2B5EF4-FFF2-40B4-BE49-F238E27FC236}">
              <a16:creationId xmlns:a16="http://schemas.microsoft.com/office/drawing/2014/main" id="{00000000-0008-0000-0400-000029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70" name="Text Box 2">
          <a:extLst>
            <a:ext uri="{FF2B5EF4-FFF2-40B4-BE49-F238E27FC236}">
              <a16:creationId xmlns:a16="http://schemas.microsoft.com/office/drawing/2014/main" id="{00000000-0008-0000-0400-00002A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71" name="Text Box 2">
          <a:extLst>
            <a:ext uri="{FF2B5EF4-FFF2-40B4-BE49-F238E27FC236}">
              <a16:creationId xmlns:a16="http://schemas.microsoft.com/office/drawing/2014/main" id="{00000000-0008-0000-0400-00002B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72" name="Text Box 2">
          <a:extLst>
            <a:ext uri="{FF2B5EF4-FFF2-40B4-BE49-F238E27FC236}">
              <a16:creationId xmlns:a16="http://schemas.microsoft.com/office/drawing/2014/main" id="{00000000-0008-0000-0400-00002C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73" name="Text Box 2">
          <a:extLst>
            <a:ext uri="{FF2B5EF4-FFF2-40B4-BE49-F238E27FC236}">
              <a16:creationId xmlns:a16="http://schemas.microsoft.com/office/drawing/2014/main" id="{00000000-0008-0000-0400-00002D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74" name="Text Box 2">
          <a:extLst>
            <a:ext uri="{FF2B5EF4-FFF2-40B4-BE49-F238E27FC236}">
              <a16:creationId xmlns:a16="http://schemas.microsoft.com/office/drawing/2014/main" id="{00000000-0008-0000-0400-00002E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75" name="Text Box 2">
          <a:extLst>
            <a:ext uri="{FF2B5EF4-FFF2-40B4-BE49-F238E27FC236}">
              <a16:creationId xmlns:a16="http://schemas.microsoft.com/office/drawing/2014/main" id="{00000000-0008-0000-0400-00002F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76" name="Text Box 2">
          <a:extLst>
            <a:ext uri="{FF2B5EF4-FFF2-40B4-BE49-F238E27FC236}">
              <a16:creationId xmlns:a16="http://schemas.microsoft.com/office/drawing/2014/main" id="{00000000-0008-0000-0400-000030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77" name="Text Box 2">
          <a:extLst>
            <a:ext uri="{FF2B5EF4-FFF2-40B4-BE49-F238E27FC236}">
              <a16:creationId xmlns:a16="http://schemas.microsoft.com/office/drawing/2014/main" id="{00000000-0008-0000-0400-000031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78" name="Text Box 2">
          <a:extLst>
            <a:ext uri="{FF2B5EF4-FFF2-40B4-BE49-F238E27FC236}">
              <a16:creationId xmlns:a16="http://schemas.microsoft.com/office/drawing/2014/main" id="{00000000-0008-0000-0400-000032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79" name="Text Box 2">
          <a:extLst>
            <a:ext uri="{FF2B5EF4-FFF2-40B4-BE49-F238E27FC236}">
              <a16:creationId xmlns:a16="http://schemas.microsoft.com/office/drawing/2014/main" id="{00000000-0008-0000-0400-000033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80" name="Text Box 2">
          <a:extLst>
            <a:ext uri="{FF2B5EF4-FFF2-40B4-BE49-F238E27FC236}">
              <a16:creationId xmlns:a16="http://schemas.microsoft.com/office/drawing/2014/main" id="{00000000-0008-0000-0400-000034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81" name="Text Box 2">
          <a:extLst>
            <a:ext uri="{FF2B5EF4-FFF2-40B4-BE49-F238E27FC236}">
              <a16:creationId xmlns:a16="http://schemas.microsoft.com/office/drawing/2014/main" id="{00000000-0008-0000-0400-000035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82" name="Text Box 2">
          <a:extLst>
            <a:ext uri="{FF2B5EF4-FFF2-40B4-BE49-F238E27FC236}">
              <a16:creationId xmlns:a16="http://schemas.microsoft.com/office/drawing/2014/main" id="{00000000-0008-0000-0400-000036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83" name="Text Box 2">
          <a:extLst>
            <a:ext uri="{FF2B5EF4-FFF2-40B4-BE49-F238E27FC236}">
              <a16:creationId xmlns:a16="http://schemas.microsoft.com/office/drawing/2014/main" id="{00000000-0008-0000-0400-000037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84" name="Text Box 2">
          <a:extLst>
            <a:ext uri="{FF2B5EF4-FFF2-40B4-BE49-F238E27FC236}">
              <a16:creationId xmlns:a16="http://schemas.microsoft.com/office/drawing/2014/main" id="{00000000-0008-0000-0400-000038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85" name="Text Box 2">
          <a:extLst>
            <a:ext uri="{FF2B5EF4-FFF2-40B4-BE49-F238E27FC236}">
              <a16:creationId xmlns:a16="http://schemas.microsoft.com/office/drawing/2014/main" id="{00000000-0008-0000-0400-000039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86" name="Text Box 2">
          <a:extLst>
            <a:ext uri="{FF2B5EF4-FFF2-40B4-BE49-F238E27FC236}">
              <a16:creationId xmlns:a16="http://schemas.microsoft.com/office/drawing/2014/main" id="{00000000-0008-0000-0400-00003A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87" name="Text Box 2">
          <a:extLst>
            <a:ext uri="{FF2B5EF4-FFF2-40B4-BE49-F238E27FC236}">
              <a16:creationId xmlns:a16="http://schemas.microsoft.com/office/drawing/2014/main" id="{00000000-0008-0000-0400-00003B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88" name="Text Box 2">
          <a:extLst>
            <a:ext uri="{FF2B5EF4-FFF2-40B4-BE49-F238E27FC236}">
              <a16:creationId xmlns:a16="http://schemas.microsoft.com/office/drawing/2014/main" id="{00000000-0008-0000-0400-00003C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89" name="Text Box 2">
          <a:extLst>
            <a:ext uri="{FF2B5EF4-FFF2-40B4-BE49-F238E27FC236}">
              <a16:creationId xmlns:a16="http://schemas.microsoft.com/office/drawing/2014/main" id="{00000000-0008-0000-0400-00003D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90" name="Text Box 2">
          <a:extLst>
            <a:ext uri="{FF2B5EF4-FFF2-40B4-BE49-F238E27FC236}">
              <a16:creationId xmlns:a16="http://schemas.microsoft.com/office/drawing/2014/main" id="{00000000-0008-0000-0400-00003E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91" name="Text Box 2">
          <a:extLst>
            <a:ext uri="{FF2B5EF4-FFF2-40B4-BE49-F238E27FC236}">
              <a16:creationId xmlns:a16="http://schemas.microsoft.com/office/drawing/2014/main" id="{00000000-0008-0000-0400-00003F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92" name="Text Box 2">
          <a:extLst>
            <a:ext uri="{FF2B5EF4-FFF2-40B4-BE49-F238E27FC236}">
              <a16:creationId xmlns:a16="http://schemas.microsoft.com/office/drawing/2014/main" id="{00000000-0008-0000-0400-000040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93" name="Text Box 2">
          <a:extLst>
            <a:ext uri="{FF2B5EF4-FFF2-40B4-BE49-F238E27FC236}">
              <a16:creationId xmlns:a16="http://schemas.microsoft.com/office/drawing/2014/main" id="{00000000-0008-0000-0400-000041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94" name="Text Box 2">
          <a:extLst>
            <a:ext uri="{FF2B5EF4-FFF2-40B4-BE49-F238E27FC236}">
              <a16:creationId xmlns:a16="http://schemas.microsoft.com/office/drawing/2014/main" id="{00000000-0008-0000-0400-000042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95" name="Text Box 2">
          <a:extLst>
            <a:ext uri="{FF2B5EF4-FFF2-40B4-BE49-F238E27FC236}">
              <a16:creationId xmlns:a16="http://schemas.microsoft.com/office/drawing/2014/main" id="{00000000-0008-0000-0400-000043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96" name="Text Box 2">
          <a:extLst>
            <a:ext uri="{FF2B5EF4-FFF2-40B4-BE49-F238E27FC236}">
              <a16:creationId xmlns:a16="http://schemas.microsoft.com/office/drawing/2014/main" id="{00000000-0008-0000-0400-000044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97" name="Text Box 2">
          <a:extLst>
            <a:ext uri="{FF2B5EF4-FFF2-40B4-BE49-F238E27FC236}">
              <a16:creationId xmlns:a16="http://schemas.microsoft.com/office/drawing/2014/main" id="{00000000-0008-0000-0400-000045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88901</xdr:rowOff>
    </xdr:to>
    <xdr:sp macro="" textlink="">
      <xdr:nvSpPr>
        <xdr:cNvPr id="3398" name="Text Box 2">
          <a:extLst>
            <a:ext uri="{FF2B5EF4-FFF2-40B4-BE49-F238E27FC236}">
              <a16:creationId xmlns:a16="http://schemas.microsoft.com/office/drawing/2014/main" id="{00000000-0008-0000-0400-0000460D0000}"/>
            </a:ext>
          </a:extLst>
        </xdr:cNvPr>
        <xdr:cNvSpPr txBox="1">
          <a:spLocks noChangeArrowheads="1"/>
        </xdr:cNvSpPr>
      </xdr:nvSpPr>
      <xdr:spPr bwMode="auto">
        <a:xfrm>
          <a:off x="3943350" y="50673000"/>
          <a:ext cx="95250" cy="285750"/>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399" name="Text Box 2">
          <a:extLst>
            <a:ext uri="{FF2B5EF4-FFF2-40B4-BE49-F238E27FC236}">
              <a16:creationId xmlns:a16="http://schemas.microsoft.com/office/drawing/2014/main" id="{00000000-0008-0000-0400-000047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00" name="Text Box 2">
          <a:extLst>
            <a:ext uri="{FF2B5EF4-FFF2-40B4-BE49-F238E27FC236}">
              <a16:creationId xmlns:a16="http://schemas.microsoft.com/office/drawing/2014/main" id="{00000000-0008-0000-0400-000048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01" name="Text Box 2">
          <a:extLst>
            <a:ext uri="{FF2B5EF4-FFF2-40B4-BE49-F238E27FC236}">
              <a16:creationId xmlns:a16="http://schemas.microsoft.com/office/drawing/2014/main" id="{00000000-0008-0000-0400-000049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02" name="Text Box 2">
          <a:extLst>
            <a:ext uri="{FF2B5EF4-FFF2-40B4-BE49-F238E27FC236}">
              <a16:creationId xmlns:a16="http://schemas.microsoft.com/office/drawing/2014/main" id="{00000000-0008-0000-0400-00004A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03" name="Text Box 2">
          <a:extLst>
            <a:ext uri="{FF2B5EF4-FFF2-40B4-BE49-F238E27FC236}">
              <a16:creationId xmlns:a16="http://schemas.microsoft.com/office/drawing/2014/main" id="{00000000-0008-0000-0400-00004B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04" name="Text Box 2">
          <a:extLst>
            <a:ext uri="{FF2B5EF4-FFF2-40B4-BE49-F238E27FC236}">
              <a16:creationId xmlns:a16="http://schemas.microsoft.com/office/drawing/2014/main" id="{00000000-0008-0000-0400-00004C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05" name="Text Box 2">
          <a:extLst>
            <a:ext uri="{FF2B5EF4-FFF2-40B4-BE49-F238E27FC236}">
              <a16:creationId xmlns:a16="http://schemas.microsoft.com/office/drawing/2014/main" id="{00000000-0008-0000-0400-00004D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06" name="Text Box 2">
          <a:extLst>
            <a:ext uri="{FF2B5EF4-FFF2-40B4-BE49-F238E27FC236}">
              <a16:creationId xmlns:a16="http://schemas.microsoft.com/office/drawing/2014/main" id="{00000000-0008-0000-0400-00004E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07" name="Text Box 2">
          <a:extLst>
            <a:ext uri="{FF2B5EF4-FFF2-40B4-BE49-F238E27FC236}">
              <a16:creationId xmlns:a16="http://schemas.microsoft.com/office/drawing/2014/main" id="{00000000-0008-0000-0400-00004F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08" name="Text Box 2">
          <a:extLst>
            <a:ext uri="{FF2B5EF4-FFF2-40B4-BE49-F238E27FC236}">
              <a16:creationId xmlns:a16="http://schemas.microsoft.com/office/drawing/2014/main" id="{00000000-0008-0000-0400-000050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09" name="Text Box 2">
          <a:extLst>
            <a:ext uri="{FF2B5EF4-FFF2-40B4-BE49-F238E27FC236}">
              <a16:creationId xmlns:a16="http://schemas.microsoft.com/office/drawing/2014/main" id="{00000000-0008-0000-0400-000051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10" name="Text Box 2">
          <a:extLst>
            <a:ext uri="{FF2B5EF4-FFF2-40B4-BE49-F238E27FC236}">
              <a16:creationId xmlns:a16="http://schemas.microsoft.com/office/drawing/2014/main" id="{00000000-0008-0000-0400-000052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11" name="Text Box 2">
          <a:extLst>
            <a:ext uri="{FF2B5EF4-FFF2-40B4-BE49-F238E27FC236}">
              <a16:creationId xmlns:a16="http://schemas.microsoft.com/office/drawing/2014/main" id="{00000000-0008-0000-0400-000053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12" name="Text Box 2">
          <a:extLst>
            <a:ext uri="{FF2B5EF4-FFF2-40B4-BE49-F238E27FC236}">
              <a16:creationId xmlns:a16="http://schemas.microsoft.com/office/drawing/2014/main" id="{00000000-0008-0000-0400-000054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13" name="Text Box 2">
          <a:extLst>
            <a:ext uri="{FF2B5EF4-FFF2-40B4-BE49-F238E27FC236}">
              <a16:creationId xmlns:a16="http://schemas.microsoft.com/office/drawing/2014/main" id="{00000000-0008-0000-0400-000055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14" name="Text Box 2">
          <a:extLst>
            <a:ext uri="{FF2B5EF4-FFF2-40B4-BE49-F238E27FC236}">
              <a16:creationId xmlns:a16="http://schemas.microsoft.com/office/drawing/2014/main" id="{00000000-0008-0000-0400-000056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15" name="Text Box 2">
          <a:extLst>
            <a:ext uri="{FF2B5EF4-FFF2-40B4-BE49-F238E27FC236}">
              <a16:creationId xmlns:a16="http://schemas.microsoft.com/office/drawing/2014/main" id="{00000000-0008-0000-0400-000057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16" name="Text Box 2">
          <a:extLst>
            <a:ext uri="{FF2B5EF4-FFF2-40B4-BE49-F238E27FC236}">
              <a16:creationId xmlns:a16="http://schemas.microsoft.com/office/drawing/2014/main" id="{00000000-0008-0000-0400-000058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17" name="Text Box 2">
          <a:extLst>
            <a:ext uri="{FF2B5EF4-FFF2-40B4-BE49-F238E27FC236}">
              <a16:creationId xmlns:a16="http://schemas.microsoft.com/office/drawing/2014/main" id="{00000000-0008-0000-0400-000059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18" name="Text Box 2">
          <a:extLst>
            <a:ext uri="{FF2B5EF4-FFF2-40B4-BE49-F238E27FC236}">
              <a16:creationId xmlns:a16="http://schemas.microsoft.com/office/drawing/2014/main" id="{00000000-0008-0000-0400-00005A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19" name="Text Box 2">
          <a:extLst>
            <a:ext uri="{FF2B5EF4-FFF2-40B4-BE49-F238E27FC236}">
              <a16:creationId xmlns:a16="http://schemas.microsoft.com/office/drawing/2014/main" id="{00000000-0008-0000-0400-00005B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20" name="Text Box 2">
          <a:extLst>
            <a:ext uri="{FF2B5EF4-FFF2-40B4-BE49-F238E27FC236}">
              <a16:creationId xmlns:a16="http://schemas.microsoft.com/office/drawing/2014/main" id="{00000000-0008-0000-0400-00005C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21" name="Text Box 2">
          <a:extLst>
            <a:ext uri="{FF2B5EF4-FFF2-40B4-BE49-F238E27FC236}">
              <a16:creationId xmlns:a16="http://schemas.microsoft.com/office/drawing/2014/main" id="{00000000-0008-0000-0400-00005D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22" name="Text Box 2">
          <a:extLst>
            <a:ext uri="{FF2B5EF4-FFF2-40B4-BE49-F238E27FC236}">
              <a16:creationId xmlns:a16="http://schemas.microsoft.com/office/drawing/2014/main" id="{00000000-0008-0000-0400-00005E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23" name="Text Box 2">
          <a:extLst>
            <a:ext uri="{FF2B5EF4-FFF2-40B4-BE49-F238E27FC236}">
              <a16:creationId xmlns:a16="http://schemas.microsoft.com/office/drawing/2014/main" id="{00000000-0008-0000-0400-00005F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24" name="Text Box 2">
          <a:extLst>
            <a:ext uri="{FF2B5EF4-FFF2-40B4-BE49-F238E27FC236}">
              <a16:creationId xmlns:a16="http://schemas.microsoft.com/office/drawing/2014/main" id="{00000000-0008-0000-0400-000060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25" name="Text Box 2">
          <a:extLst>
            <a:ext uri="{FF2B5EF4-FFF2-40B4-BE49-F238E27FC236}">
              <a16:creationId xmlns:a16="http://schemas.microsoft.com/office/drawing/2014/main" id="{00000000-0008-0000-0400-000061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26" name="Text Box 2">
          <a:extLst>
            <a:ext uri="{FF2B5EF4-FFF2-40B4-BE49-F238E27FC236}">
              <a16:creationId xmlns:a16="http://schemas.microsoft.com/office/drawing/2014/main" id="{00000000-0008-0000-0400-000062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twoCellAnchor editAs="oneCell">
    <xdr:from>
      <xdr:col>3</xdr:col>
      <xdr:colOff>0</xdr:colOff>
      <xdr:row>211</xdr:row>
      <xdr:rowOff>0</xdr:rowOff>
    </xdr:from>
    <xdr:to>
      <xdr:col>3</xdr:col>
      <xdr:colOff>6614</xdr:colOff>
      <xdr:row>212</xdr:row>
      <xdr:rowOff>98426</xdr:rowOff>
    </xdr:to>
    <xdr:sp macro="" textlink="">
      <xdr:nvSpPr>
        <xdr:cNvPr id="3427" name="Text Box 2">
          <a:extLst>
            <a:ext uri="{FF2B5EF4-FFF2-40B4-BE49-F238E27FC236}">
              <a16:creationId xmlns:a16="http://schemas.microsoft.com/office/drawing/2014/main" id="{00000000-0008-0000-0400-0000630D0000}"/>
            </a:ext>
          </a:extLst>
        </xdr:cNvPr>
        <xdr:cNvSpPr txBox="1">
          <a:spLocks noChangeArrowheads="1"/>
        </xdr:cNvSpPr>
      </xdr:nvSpPr>
      <xdr:spPr bwMode="auto">
        <a:xfrm>
          <a:off x="3943350" y="50673000"/>
          <a:ext cx="95250" cy="295275"/>
        </a:xfrm>
        <a:prstGeom prst="rect">
          <a:avLst/>
        </a:prstGeom>
        <a:noFill/>
        <a:ln w="9525">
          <a:no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68580</xdr:colOff>
          <xdr:row>28</xdr:row>
          <xdr:rowOff>114300</xdr:rowOff>
        </xdr:from>
        <xdr:to>
          <xdr:col>4</xdr:col>
          <xdr:colOff>365760</xdr:colOff>
          <xdr:row>31</xdr:row>
          <xdr:rowOff>30480</xdr:rowOff>
        </xdr:to>
        <xdr:sp macro="" textlink="">
          <xdr:nvSpPr>
            <xdr:cNvPr id="5158" name="cmd_SolveProductCost" hidden="1">
              <a:extLst>
                <a:ext uri="{63B3BB69-23CF-44E3-9099-C40C66FF867C}">
                  <a14:compatExt spid="_x0000_s5158"/>
                </a:ext>
                <a:ext uri="{FF2B5EF4-FFF2-40B4-BE49-F238E27FC236}">
                  <a16:creationId xmlns:a16="http://schemas.microsoft.com/office/drawing/2014/main" id="{00000000-0008-0000-0500-00002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24</xdr:col>
      <xdr:colOff>476248</xdr:colOff>
      <xdr:row>30</xdr:row>
      <xdr:rowOff>47627</xdr:rowOff>
    </xdr:from>
    <xdr:to>
      <xdr:col>29</xdr:col>
      <xdr:colOff>590548</xdr:colOff>
      <xdr:row>54</xdr:row>
      <xdr:rowOff>35721</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440531</xdr:colOff>
      <xdr:row>81</xdr:row>
      <xdr:rowOff>119063</xdr:rowOff>
    </xdr:from>
    <xdr:to>
      <xdr:col>13</xdr:col>
      <xdr:colOff>238125</xdr:colOff>
      <xdr:row>104</xdr:row>
      <xdr:rowOff>71437</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cdr:x>
      <cdr:y>0.93134</cdr:y>
    </cdr:from>
    <cdr:to>
      <cdr:x>0.15517</cdr:x>
      <cdr:y>1</cdr:y>
    </cdr:to>
    <cdr:sp macro="" textlink="CASEID">
      <cdr:nvSpPr>
        <cdr:cNvPr id="2" name="TextBox 1"/>
        <cdr:cNvSpPr txBox="1"/>
      </cdr:nvSpPr>
      <cdr:spPr>
        <a:xfrm xmlns:a="http://schemas.openxmlformats.org/drawingml/2006/main">
          <a:off x="0" y="3774281"/>
          <a:ext cx="857250" cy="27384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DC50FFF0-4A24-4812-9D66-B5B3ADB39B84}" type="TxLink">
            <a:rPr lang="en-US" sz="1100"/>
            <a:pPr/>
            <a:t>DW1102A</a:t>
          </a:fld>
          <a:endParaRPr lang="en-US" sz="1100"/>
        </a:p>
      </cdr:txBody>
    </cdr:sp>
  </cdr:relSizeAnchor>
  <cdr:relSizeAnchor xmlns:cdr="http://schemas.openxmlformats.org/drawingml/2006/chartDrawing">
    <cdr:from>
      <cdr:x>0.24142</cdr:x>
      <cdr:y>0.0207</cdr:y>
    </cdr:from>
    <cdr:to>
      <cdr:x>0.7792</cdr:x>
      <cdr:y>0.09122</cdr:y>
    </cdr:to>
    <cdr:sp macro="" textlink="'Operating Summaries'!$Z$19">
      <cdr:nvSpPr>
        <cdr:cNvPr id="4" name="TextBox 3"/>
        <cdr:cNvSpPr txBox="1"/>
      </cdr:nvSpPr>
      <cdr:spPr>
        <a:xfrm xmlns:a="http://schemas.openxmlformats.org/drawingml/2006/main">
          <a:off x="1326842" y="82577"/>
          <a:ext cx="2955598" cy="281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26DD6973-880D-4398-9557-9BEBE26FEE50}" type="TxLink">
            <a:rPr lang="en-US" sz="1100" b="0" i="0" u="none" strike="noStrike">
              <a:solidFill>
                <a:srgbClr val="000000"/>
              </a:solidFill>
              <a:latin typeface="Calibri"/>
            </a:rPr>
            <a:pPr/>
            <a:t>Total Duty = 97 MMkcal/hr (385 MMBtu/hr)</a:t>
          </a:fld>
          <a:endParaRPr lang="en-US" sz="1100"/>
        </a:p>
      </cdr:txBody>
    </cdr:sp>
  </cdr:relSizeAnchor>
</c:userShapes>
</file>

<file path=xl/drawings/drawing6.xml><?xml version="1.0" encoding="utf-8"?>
<c:userShapes xmlns:c="http://schemas.openxmlformats.org/drawingml/2006/chart">
  <cdr:relSizeAnchor xmlns:cdr="http://schemas.openxmlformats.org/drawingml/2006/chartDrawing">
    <cdr:from>
      <cdr:x>0</cdr:x>
      <cdr:y>0.91445</cdr:y>
    </cdr:from>
    <cdr:to>
      <cdr:x>0.17982</cdr:x>
      <cdr:y>1</cdr:y>
    </cdr:to>
    <cdr:sp macro="" textlink="CASEID">
      <cdr:nvSpPr>
        <cdr:cNvPr id="2" name="TextBox 1"/>
        <cdr:cNvSpPr txBox="1"/>
      </cdr:nvSpPr>
      <cdr:spPr>
        <a:xfrm xmlns:a="http://schemas.openxmlformats.org/drawingml/2006/main">
          <a:off x="0" y="3513041"/>
          <a:ext cx="909917" cy="32390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0646460-CD3C-4489-B431-40DA50CA7F2D}" type="TxLink">
            <a:rPr lang="en-US" sz="1100"/>
            <a:pPr/>
            <a:t>DW1102A</a:t>
          </a:fld>
          <a:endParaRPr lang="en-US" sz="1100"/>
        </a:p>
      </cdr:txBody>
    </cdr:sp>
  </cdr:relSizeAnchor>
  <cdr:relSizeAnchor xmlns:cdr="http://schemas.openxmlformats.org/drawingml/2006/chartDrawing">
    <cdr:from>
      <cdr:x>0.1389</cdr:x>
      <cdr:y>0.03582</cdr:y>
    </cdr:from>
    <cdr:to>
      <cdr:x>0.85739</cdr:x>
      <cdr:y>0.12431</cdr:y>
    </cdr:to>
    <cdr:sp macro="" textlink="'Operating Summaries'!$G$97">
      <cdr:nvSpPr>
        <cdr:cNvPr id="3" name="TextBox 2"/>
        <cdr:cNvSpPr txBox="1"/>
      </cdr:nvSpPr>
      <cdr:spPr>
        <a:xfrm xmlns:a="http://schemas.openxmlformats.org/drawingml/2006/main">
          <a:off x="702870" y="135620"/>
          <a:ext cx="3635672" cy="33503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fld id="{52963BDE-3EFB-4E77-B46B-8CCEEA014027}" type="TxLink">
            <a:rPr lang="en-US" sz="1100" b="0" i="0" u="none" strike="noStrike">
              <a:solidFill>
                <a:srgbClr val="000000"/>
              </a:solidFill>
              <a:latin typeface="Calibri"/>
            </a:rPr>
            <a:pPr algn="ctr"/>
            <a:t>Total Power Generated = 41 MW</a:t>
          </a:fld>
          <a:endParaRPr lang="en-US" sz="1100" b="0"/>
        </a:p>
      </cdr:txBody>
    </cdr:sp>
  </cdr:relSizeAnchor>
</c:userShapes>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60960</xdr:colOff>
          <xdr:row>0</xdr:row>
          <xdr:rowOff>30480</xdr:rowOff>
        </xdr:from>
        <xdr:to>
          <xdr:col>1</xdr:col>
          <xdr:colOff>0</xdr:colOff>
          <xdr:row>1</xdr:row>
          <xdr:rowOff>121920</xdr:rowOff>
        </xdr:to>
        <xdr:sp macro="" textlink="">
          <xdr:nvSpPr>
            <xdr:cNvPr id="116737" name="cmd_GetSumData" hidden="1">
              <a:extLst>
                <a:ext uri="{63B3BB69-23CF-44E3-9099-C40C66FF867C}">
                  <a14:compatExt spid="_x0000_s116737"/>
                </a:ext>
                <a:ext uri="{FF2B5EF4-FFF2-40B4-BE49-F238E27FC236}">
                  <a16:creationId xmlns:a16="http://schemas.microsoft.com/office/drawing/2014/main" id="{00000000-0008-0000-0800-000001C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2</xdr:row>
          <xdr:rowOff>45720</xdr:rowOff>
        </xdr:from>
        <xdr:to>
          <xdr:col>0</xdr:col>
          <xdr:colOff>1341120</xdr:colOff>
          <xdr:row>3</xdr:row>
          <xdr:rowOff>152400</xdr:rowOff>
        </xdr:to>
        <xdr:sp macro="" textlink="">
          <xdr:nvSpPr>
            <xdr:cNvPr id="116738" name="cmd_ClearSumData" hidden="1">
              <a:extLst>
                <a:ext uri="{63B3BB69-23CF-44E3-9099-C40C66FF867C}">
                  <a14:compatExt spid="_x0000_s116738"/>
                </a:ext>
                <a:ext uri="{FF2B5EF4-FFF2-40B4-BE49-F238E27FC236}">
                  <a16:creationId xmlns:a16="http://schemas.microsoft.com/office/drawing/2014/main" id="{00000000-0008-0000-0800-000002C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68580</xdr:colOff>
          <xdr:row>4</xdr:row>
          <xdr:rowOff>83820</xdr:rowOff>
        </xdr:from>
        <xdr:to>
          <xdr:col>0</xdr:col>
          <xdr:colOff>1074420</xdr:colOff>
          <xdr:row>4</xdr:row>
          <xdr:rowOff>297180</xdr:rowOff>
        </xdr:to>
        <xdr:sp macro="" textlink="">
          <xdr:nvSpPr>
            <xdr:cNvPr id="116739" name="Button 3" hidden="1">
              <a:extLst>
                <a:ext uri="{63B3BB69-23CF-44E3-9099-C40C66FF867C}">
                  <a14:compatExt spid="_x0000_s116739"/>
                </a:ext>
                <a:ext uri="{FF2B5EF4-FFF2-40B4-BE49-F238E27FC236}">
                  <a16:creationId xmlns:a16="http://schemas.microsoft.com/office/drawing/2014/main" id="{00000000-0008-0000-0800-000003C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Solve DCFROR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8</xdr:col>
      <xdr:colOff>838200</xdr:colOff>
      <xdr:row>23</xdr:row>
      <xdr:rowOff>83343</xdr:rowOff>
    </xdr:from>
    <xdr:to>
      <xdr:col>10</xdr:col>
      <xdr:colOff>83344</xdr:colOff>
      <xdr:row>23</xdr:row>
      <xdr:rowOff>85725</xdr:rowOff>
    </xdr:to>
    <xdr:sp macro="" textlink="">
      <xdr:nvSpPr>
        <xdr:cNvPr id="14734819" name="Line 1">
          <a:extLst>
            <a:ext uri="{FF2B5EF4-FFF2-40B4-BE49-F238E27FC236}">
              <a16:creationId xmlns:a16="http://schemas.microsoft.com/office/drawing/2014/main" id="{00000000-0008-0000-0900-0000E3D5E000}"/>
            </a:ext>
          </a:extLst>
        </xdr:cNvPr>
        <xdr:cNvSpPr>
          <a:spLocks noChangeShapeType="1"/>
        </xdr:cNvSpPr>
      </xdr:nvSpPr>
      <xdr:spPr bwMode="auto">
        <a:xfrm flipH="1">
          <a:off x="13101638" y="4583906"/>
          <a:ext cx="971550" cy="2382"/>
        </a:xfrm>
        <a:prstGeom prst="line">
          <a:avLst/>
        </a:prstGeom>
        <a:noFill/>
        <a:ln w="9525">
          <a:solidFill>
            <a:srgbClr val="000000"/>
          </a:solidFill>
          <a:round/>
          <a:headEnd/>
          <a:tailEnd type="triangle" w="med" len="med"/>
        </a:ln>
      </xdr:spPr>
    </xdr:sp>
    <xdr:clientData/>
  </xdr:twoCellAnchor>
  <xdr:twoCellAnchor>
    <xdr:from>
      <xdr:col>15</xdr:col>
      <xdr:colOff>76201</xdr:colOff>
      <xdr:row>13</xdr:row>
      <xdr:rowOff>85725</xdr:rowOff>
    </xdr:from>
    <xdr:to>
      <xdr:col>19</xdr:col>
      <xdr:colOff>476250</xdr:colOff>
      <xdr:row>35</xdr:row>
      <xdr:rowOff>47625</xdr:rowOff>
    </xdr:to>
    <xdr:graphicFrame macro="">
      <xdr:nvGraphicFramePr>
        <xdr:cNvPr id="6" name="Chart 5">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1295400</xdr:colOff>
      <xdr:row>24</xdr:row>
      <xdr:rowOff>57150</xdr:rowOff>
    </xdr:from>
    <xdr:to>
      <xdr:col>11</xdr:col>
      <xdr:colOff>905933</xdr:colOff>
      <xdr:row>51</xdr:row>
      <xdr:rowOff>130175</xdr:rowOff>
    </xdr:to>
    <xdr:graphicFrame macro="">
      <xdr:nvGraphicFramePr>
        <xdr:cNvPr id="8" name="Chart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25</xdr:row>
      <xdr:rowOff>0</xdr:rowOff>
    </xdr:from>
    <xdr:to>
      <xdr:col>4</xdr:col>
      <xdr:colOff>1100667</xdr:colOff>
      <xdr:row>52</xdr:row>
      <xdr:rowOff>76200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1362074</xdr:colOff>
      <xdr:row>52</xdr:row>
      <xdr:rowOff>152399</xdr:rowOff>
    </xdr:from>
    <xdr:to>
      <xdr:col>8</xdr:col>
      <xdr:colOff>323850</xdr:colOff>
      <xdr:row>86</xdr:row>
      <xdr:rowOff>85724</xdr:rowOff>
    </xdr:to>
    <xdr:graphicFrame macro="">
      <xdr:nvGraphicFramePr>
        <xdr:cNvPr id="7" name="Chart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cdr:x>
      <cdr:y>0.13747</cdr:y>
    </cdr:from>
    <cdr:to>
      <cdr:x>0.27922</cdr:x>
      <cdr:y>0.21833</cdr:y>
    </cdr:to>
    <cdr:sp macro="" textlink="'Cost Breakdown'!$R$8">
      <cdr:nvSpPr>
        <cdr:cNvPr id="6" name="TextBox 5"/>
        <cdr:cNvSpPr txBox="1"/>
      </cdr:nvSpPr>
      <cdr:spPr>
        <a:xfrm xmlns:a="http://schemas.openxmlformats.org/drawingml/2006/main">
          <a:off x="0" y="479241"/>
          <a:ext cx="1281913" cy="28189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A475CF61-A1D2-477B-BE45-7F24EF63CD88}" type="TxLink">
            <a:rPr lang="en-US" sz="1100" b="0" i="0" u="none" strike="noStrike">
              <a:solidFill>
                <a:srgbClr val="000000"/>
              </a:solidFill>
              <a:latin typeface="Arialer"/>
            </a:rPr>
            <a:pPr/>
            <a:t>$0.41/gal ethanol</a:t>
          </a:fld>
          <a:endParaRPr lang="en-US" sz="1100"/>
        </a:p>
      </cdr:txBody>
    </cdr:sp>
  </cdr:relSizeAnchor>
  <cdr:relSizeAnchor xmlns:cdr="http://schemas.openxmlformats.org/drawingml/2006/chartDrawing">
    <cdr:from>
      <cdr:x>0</cdr:x>
      <cdr:y>0.19946</cdr:y>
    </cdr:from>
    <cdr:to>
      <cdr:x>0.27922</cdr:x>
      <cdr:y>0.28032</cdr:y>
    </cdr:to>
    <cdr:sp macro="" textlink="'Cost Breakdown'!$R$10">
      <cdr:nvSpPr>
        <cdr:cNvPr id="7" name="TextBox 1"/>
        <cdr:cNvSpPr txBox="1"/>
      </cdr:nvSpPr>
      <cdr:spPr>
        <a:xfrm xmlns:a="http://schemas.openxmlformats.org/drawingml/2006/main">
          <a:off x="0" y="704850"/>
          <a:ext cx="1228725" cy="2857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32C18F4F-C347-4531-B723-9F874457A0A7}" type="TxLink">
            <a:rPr lang="en-US" sz="1100" b="0" i="0" u="none" strike="noStrike">
              <a:solidFill>
                <a:srgbClr val="000000"/>
              </a:solidFill>
              <a:latin typeface="Arialer"/>
            </a:rPr>
            <a:pPr/>
            <a:t>$5.16/kg protein</a:t>
          </a:fld>
          <a:endParaRPr lang="en-US" sz="1100"/>
        </a:p>
      </cdr:txBody>
    </cdr:sp>
  </cdr:relSizeAnchor>
  <cdr:relSizeAnchor xmlns:cdr="http://schemas.openxmlformats.org/drawingml/2006/chartDrawing">
    <cdr:from>
      <cdr:x>0.72078</cdr:x>
      <cdr:y>0.91914</cdr:y>
    </cdr:from>
    <cdr:to>
      <cdr:x>1</cdr:x>
      <cdr:y>1</cdr:y>
    </cdr:to>
    <cdr:sp macro="" textlink="CASEID">
      <cdr:nvSpPr>
        <cdr:cNvPr id="5" name="TextBox 1"/>
        <cdr:cNvSpPr txBox="1"/>
      </cdr:nvSpPr>
      <cdr:spPr>
        <a:xfrm xmlns:a="http://schemas.openxmlformats.org/drawingml/2006/main">
          <a:off x="3457575" y="3371850"/>
          <a:ext cx="1279253" cy="28574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fld id="{B7CBF8B6-41B8-4282-A239-E98FECF9ED12}" type="TxLink">
            <a:rPr lang="en-US" sz="1000"/>
            <a:pPr algn="r"/>
            <a:t>DW1102A</a:t>
          </a:fld>
          <a:endParaRPr lang="en-US" sz="1000"/>
        </a:p>
      </cdr:txBody>
    </cdr:sp>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0.12985</cdr:x>
      <cdr:y>0.0621</cdr:y>
    </cdr:to>
    <cdr:sp macro="" textlink="CASEID">
      <cdr:nvSpPr>
        <cdr:cNvPr id="2" name="TextBox 1"/>
        <cdr:cNvSpPr txBox="1"/>
      </cdr:nvSpPr>
      <cdr:spPr>
        <a:xfrm xmlns:a="http://schemas.openxmlformats.org/drawingml/2006/main">
          <a:off x="0" y="0"/>
          <a:ext cx="923924" cy="2762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212F5B0A-CBCD-4802-92A0-00ACC3A999A6}" type="TxLink">
            <a:rPr lang="en-US" sz="1100"/>
            <a:pPr/>
            <a:t>DW1102A</a:t>
          </a:fld>
          <a:endParaRPr lang="en-US" sz="1100"/>
        </a:p>
      </cdr:txBody>
    </cdr:sp>
  </cdr:relSizeAnchor>
  <cdr:relSizeAnchor xmlns:cdr="http://schemas.openxmlformats.org/drawingml/2006/chartDrawing">
    <cdr:from>
      <cdr:x>0</cdr:x>
      <cdr:y>0</cdr:y>
    </cdr:from>
    <cdr:to>
      <cdr:x>0.12985</cdr:x>
      <cdr:y>0.0621</cdr:y>
    </cdr:to>
    <cdr:sp macro="" textlink="CASEID">
      <cdr:nvSpPr>
        <cdr:cNvPr id="3" name="TextBox 1"/>
        <cdr:cNvSpPr txBox="1"/>
      </cdr:nvSpPr>
      <cdr:spPr>
        <a:xfrm xmlns:a="http://schemas.openxmlformats.org/drawingml/2006/main">
          <a:off x="0" y="0"/>
          <a:ext cx="923924" cy="2762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212F5B0A-CBCD-4802-92A0-00ACC3A999A6}" type="TxLink">
            <a:rPr lang="en-US" sz="1100"/>
            <a:pPr/>
            <a:t>DW1102A</a:t>
          </a:fld>
          <a:endParaRPr lang="en-US" sz="1100"/>
        </a:p>
      </cdr:txBody>
    </cdr:sp>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0.12985</cdr:x>
      <cdr:y>0.0621</cdr:y>
    </cdr:to>
    <cdr:sp macro="" textlink="CASEID">
      <cdr:nvSpPr>
        <cdr:cNvPr id="2" name="TextBox 1"/>
        <cdr:cNvSpPr txBox="1"/>
      </cdr:nvSpPr>
      <cdr:spPr>
        <a:xfrm xmlns:a="http://schemas.openxmlformats.org/drawingml/2006/main">
          <a:off x="0" y="0"/>
          <a:ext cx="923924" cy="2762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212F5B0A-CBCD-4802-92A0-00ACC3A999A6}" type="TxLink">
            <a:rPr lang="en-US" sz="1100"/>
            <a:pPr/>
            <a:t>DW1102A</a:t>
          </a:fld>
          <a:endParaRPr lang="en-US" sz="1100"/>
        </a:p>
      </cdr:txBody>
    </cdr:sp>
  </cdr:relSizeAnchor>
  <cdr:relSizeAnchor xmlns:cdr="http://schemas.openxmlformats.org/drawingml/2006/chartDrawing">
    <cdr:from>
      <cdr:x>0</cdr:x>
      <cdr:y>0</cdr:y>
    </cdr:from>
    <cdr:to>
      <cdr:x>0.12985</cdr:x>
      <cdr:y>0.0621</cdr:y>
    </cdr:to>
    <cdr:sp macro="" textlink="CASEID">
      <cdr:nvSpPr>
        <cdr:cNvPr id="3" name="TextBox 1"/>
        <cdr:cNvSpPr txBox="1"/>
      </cdr:nvSpPr>
      <cdr:spPr>
        <a:xfrm xmlns:a="http://schemas.openxmlformats.org/drawingml/2006/main">
          <a:off x="0" y="0"/>
          <a:ext cx="923924" cy="2762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212F5B0A-CBCD-4802-92A0-00ACC3A999A6}" type="TxLink">
            <a:rPr lang="en-US" sz="1100"/>
            <a:pPr/>
            <a:t>DW1102A</a:t>
          </a:fld>
          <a:endParaRPr lang="en-US" sz="1100"/>
        </a:p>
      </cdr:txBody>
    </cdr:sp>
  </cdr:relSizeAnchor>
</c:userShapes>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822960</xdr:colOff>
          <xdr:row>1</xdr:row>
          <xdr:rowOff>121920</xdr:rowOff>
        </xdr:to>
        <xdr:sp macro="" textlink="">
          <xdr:nvSpPr>
            <xdr:cNvPr id="119809" name="cmd_GetData" hidden="1">
              <a:extLst>
                <a:ext uri="{63B3BB69-23CF-44E3-9099-C40C66FF867C}">
                  <a14:compatExt spid="_x0000_s119809"/>
                </a:ext>
                <a:ext uri="{FF2B5EF4-FFF2-40B4-BE49-F238E27FC236}">
                  <a16:creationId xmlns:a16="http://schemas.microsoft.com/office/drawing/2014/main" id="{00000000-0008-0000-0B00-000001D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xdr:row>
          <xdr:rowOff>114300</xdr:rowOff>
        </xdr:from>
        <xdr:to>
          <xdr:col>1</xdr:col>
          <xdr:colOff>579120</xdr:colOff>
          <xdr:row>3</xdr:row>
          <xdr:rowOff>99060</xdr:rowOff>
        </xdr:to>
        <xdr:sp macro="" textlink="">
          <xdr:nvSpPr>
            <xdr:cNvPr id="119810" name="cmd_ClearData" hidden="1">
              <a:extLst>
                <a:ext uri="{63B3BB69-23CF-44E3-9099-C40C66FF867C}">
                  <a14:compatExt spid="_x0000_s119810"/>
                </a:ext>
                <a:ext uri="{FF2B5EF4-FFF2-40B4-BE49-F238E27FC236}">
                  <a16:creationId xmlns:a16="http://schemas.microsoft.com/office/drawing/2014/main" id="{00000000-0008-0000-0B00-000002D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xdr:colOff>
          <xdr:row>0</xdr:row>
          <xdr:rowOff>7620</xdr:rowOff>
        </xdr:from>
        <xdr:to>
          <xdr:col>0</xdr:col>
          <xdr:colOff>1447800</xdr:colOff>
          <xdr:row>2</xdr:row>
          <xdr:rowOff>7620</xdr:rowOff>
        </xdr:to>
        <xdr:sp macro="" textlink="">
          <xdr:nvSpPr>
            <xdr:cNvPr id="129026" name="cmd_GetData" hidden="1">
              <a:extLst>
                <a:ext uri="{63B3BB69-23CF-44E3-9099-C40C66FF867C}">
                  <a14:compatExt spid="_x0000_s129026"/>
                </a:ext>
                <a:ext uri="{FF2B5EF4-FFF2-40B4-BE49-F238E27FC236}">
                  <a16:creationId xmlns:a16="http://schemas.microsoft.com/office/drawing/2014/main" id="{00000000-0008-0000-0C00-000002F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2</xdr:row>
          <xdr:rowOff>30480</xdr:rowOff>
        </xdr:from>
        <xdr:to>
          <xdr:col>0</xdr:col>
          <xdr:colOff>1470660</xdr:colOff>
          <xdr:row>4</xdr:row>
          <xdr:rowOff>68580</xdr:rowOff>
        </xdr:to>
        <xdr:sp macro="" textlink="">
          <xdr:nvSpPr>
            <xdr:cNvPr id="129027" name="cmd_ClearData" hidden="1">
              <a:extLst>
                <a:ext uri="{63B3BB69-23CF-44E3-9099-C40C66FF867C}">
                  <a14:compatExt spid="_x0000_s129027"/>
                </a:ext>
                <a:ext uri="{FF2B5EF4-FFF2-40B4-BE49-F238E27FC236}">
                  <a16:creationId xmlns:a16="http://schemas.microsoft.com/office/drawing/2014/main" id="{00000000-0008-0000-0C00-000003F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48</xdr:col>
      <xdr:colOff>0</xdr:colOff>
      <xdr:row>195</xdr:row>
      <xdr:rowOff>0</xdr:rowOff>
    </xdr:from>
    <xdr:to>
      <xdr:col>49</xdr:col>
      <xdr:colOff>95250</xdr:colOff>
      <xdr:row>196</xdr:row>
      <xdr:rowOff>35605</xdr:rowOff>
    </xdr:to>
    <xdr:sp macro="" textlink="">
      <xdr:nvSpPr>
        <xdr:cNvPr id="2" name="Text Box 2">
          <a:extLst>
            <a:ext uri="{FF2B5EF4-FFF2-40B4-BE49-F238E27FC236}">
              <a16:creationId xmlns:a16="http://schemas.microsoft.com/office/drawing/2014/main" id="{00000000-0008-0000-0D00-000002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 name="Text Box 2">
          <a:extLst>
            <a:ext uri="{FF2B5EF4-FFF2-40B4-BE49-F238E27FC236}">
              <a16:creationId xmlns:a16="http://schemas.microsoft.com/office/drawing/2014/main" id="{00000000-0008-0000-0D00-000003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 name="Text Box 2">
          <a:extLst>
            <a:ext uri="{FF2B5EF4-FFF2-40B4-BE49-F238E27FC236}">
              <a16:creationId xmlns:a16="http://schemas.microsoft.com/office/drawing/2014/main" id="{00000000-0008-0000-0D00-000004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 name="Text Box 2">
          <a:extLst>
            <a:ext uri="{FF2B5EF4-FFF2-40B4-BE49-F238E27FC236}">
              <a16:creationId xmlns:a16="http://schemas.microsoft.com/office/drawing/2014/main" id="{00000000-0008-0000-0D00-000005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 name="Text Box 2">
          <a:extLst>
            <a:ext uri="{FF2B5EF4-FFF2-40B4-BE49-F238E27FC236}">
              <a16:creationId xmlns:a16="http://schemas.microsoft.com/office/drawing/2014/main" id="{00000000-0008-0000-0D00-000006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 name="Text Box 2">
          <a:extLst>
            <a:ext uri="{FF2B5EF4-FFF2-40B4-BE49-F238E27FC236}">
              <a16:creationId xmlns:a16="http://schemas.microsoft.com/office/drawing/2014/main" id="{00000000-0008-0000-0D00-000007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 name="Text Box 2">
          <a:extLst>
            <a:ext uri="{FF2B5EF4-FFF2-40B4-BE49-F238E27FC236}">
              <a16:creationId xmlns:a16="http://schemas.microsoft.com/office/drawing/2014/main" id="{00000000-0008-0000-0D00-000008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 name="Text Box 2">
          <a:extLst>
            <a:ext uri="{FF2B5EF4-FFF2-40B4-BE49-F238E27FC236}">
              <a16:creationId xmlns:a16="http://schemas.microsoft.com/office/drawing/2014/main" id="{00000000-0008-0000-0D00-000009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 name="Text Box 2">
          <a:extLst>
            <a:ext uri="{FF2B5EF4-FFF2-40B4-BE49-F238E27FC236}">
              <a16:creationId xmlns:a16="http://schemas.microsoft.com/office/drawing/2014/main" id="{00000000-0008-0000-0D00-00000A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 name="Text Box 2">
          <a:extLst>
            <a:ext uri="{FF2B5EF4-FFF2-40B4-BE49-F238E27FC236}">
              <a16:creationId xmlns:a16="http://schemas.microsoft.com/office/drawing/2014/main" id="{00000000-0008-0000-0D00-00000B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 name="Text Box 2">
          <a:extLst>
            <a:ext uri="{FF2B5EF4-FFF2-40B4-BE49-F238E27FC236}">
              <a16:creationId xmlns:a16="http://schemas.microsoft.com/office/drawing/2014/main" id="{00000000-0008-0000-0D00-00000C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 name="Text Box 2">
          <a:extLst>
            <a:ext uri="{FF2B5EF4-FFF2-40B4-BE49-F238E27FC236}">
              <a16:creationId xmlns:a16="http://schemas.microsoft.com/office/drawing/2014/main" id="{00000000-0008-0000-0D00-00000D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 name="Text Box 2">
          <a:extLst>
            <a:ext uri="{FF2B5EF4-FFF2-40B4-BE49-F238E27FC236}">
              <a16:creationId xmlns:a16="http://schemas.microsoft.com/office/drawing/2014/main" id="{00000000-0008-0000-0D00-00000E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 name="Text Box 2">
          <a:extLst>
            <a:ext uri="{FF2B5EF4-FFF2-40B4-BE49-F238E27FC236}">
              <a16:creationId xmlns:a16="http://schemas.microsoft.com/office/drawing/2014/main" id="{00000000-0008-0000-0D00-00000F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 name="Text Box 2">
          <a:extLst>
            <a:ext uri="{FF2B5EF4-FFF2-40B4-BE49-F238E27FC236}">
              <a16:creationId xmlns:a16="http://schemas.microsoft.com/office/drawing/2014/main" id="{00000000-0008-0000-0D00-000010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 name="Text Box 2">
          <a:extLst>
            <a:ext uri="{FF2B5EF4-FFF2-40B4-BE49-F238E27FC236}">
              <a16:creationId xmlns:a16="http://schemas.microsoft.com/office/drawing/2014/main" id="{00000000-0008-0000-0D00-000011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8" name="Text Box 2">
          <a:extLst>
            <a:ext uri="{FF2B5EF4-FFF2-40B4-BE49-F238E27FC236}">
              <a16:creationId xmlns:a16="http://schemas.microsoft.com/office/drawing/2014/main" id="{00000000-0008-0000-0D00-000012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9" name="Text Box 2">
          <a:extLst>
            <a:ext uri="{FF2B5EF4-FFF2-40B4-BE49-F238E27FC236}">
              <a16:creationId xmlns:a16="http://schemas.microsoft.com/office/drawing/2014/main" id="{00000000-0008-0000-0D00-000013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0" name="Text Box 2">
          <a:extLst>
            <a:ext uri="{FF2B5EF4-FFF2-40B4-BE49-F238E27FC236}">
              <a16:creationId xmlns:a16="http://schemas.microsoft.com/office/drawing/2014/main" id="{00000000-0008-0000-0D00-000014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1" name="Text Box 2">
          <a:extLst>
            <a:ext uri="{FF2B5EF4-FFF2-40B4-BE49-F238E27FC236}">
              <a16:creationId xmlns:a16="http://schemas.microsoft.com/office/drawing/2014/main" id="{00000000-0008-0000-0D00-000015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2" name="Text Box 2">
          <a:extLst>
            <a:ext uri="{FF2B5EF4-FFF2-40B4-BE49-F238E27FC236}">
              <a16:creationId xmlns:a16="http://schemas.microsoft.com/office/drawing/2014/main" id="{00000000-0008-0000-0D00-000016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3" name="Text Box 2">
          <a:extLst>
            <a:ext uri="{FF2B5EF4-FFF2-40B4-BE49-F238E27FC236}">
              <a16:creationId xmlns:a16="http://schemas.microsoft.com/office/drawing/2014/main" id="{00000000-0008-0000-0D00-000017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4" name="Text Box 2">
          <a:extLst>
            <a:ext uri="{FF2B5EF4-FFF2-40B4-BE49-F238E27FC236}">
              <a16:creationId xmlns:a16="http://schemas.microsoft.com/office/drawing/2014/main" id="{00000000-0008-0000-0D00-000018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5" name="Text Box 2">
          <a:extLst>
            <a:ext uri="{FF2B5EF4-FFF2-40B4-BE49-F238E27FC236}">
              <a16:creationId xmlns:a16="http://schemas.microsoft.com/office/drawing/2014/main" id="{00000000-0008-0000-0D00-000019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6" name="Text Box 2">
          <a:extLst>
            <a:ext uri="{FF2B5EF4-FFF2-40B4-BE49-F238E27FC236}">
              <a16:creationId xmlns:a16="http://schemas.microsoft.com/office/drawing/2014/main" id="{00000000-0008-0000-0D00-00001A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7" name="Text Box 2">
          <a:extLst>
            <a:ext uri="{FF2B5EF4-FFF2-40B4-BE49-F238E27FC236}">
              <a16:creationId xmlns:a16="http://schemas.microsoft.com/office/drawing/2014/main" id="{00000000-0008-0000-0D00-00001B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8" name="Text Box 2">
          <a:extLst>
            <a:ext uri="{FF2B5EF4-FFF2-40B4-BE49-F238E27FC236}">
              <a16:creationId xmlns:a16="http://schemas.microsoft.com/office/drawing/2014/main" id="{00000000-0008-0000-0D00-00001C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9" name="Text Box 2">
          <a:extLst>
            <a:ext uri="{FF2B5EF4-FFF2-40B4-BE49-F238E27FC236}">
              <a16:creationId xmlns:a16="http://schemas.microsoft.com/office/drawing/2014/main" id="{00000000-0008-0000-0D00-00001D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0" name="Text Box 2">
          <a:extLst>
            <a:ext uri="{FF2B5EF4-FFF2-40B4-BE49-F238E27FC236}">
              <a16:creationId xmlns:a16="http://schemas.microsoft.com/office/drawing/2014/main" id="{00000000-0008-0000-0D00-00001E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1" name="Text Box 2">
          <a:extLst>
            <a:ext uri="{FF2B5EF4-FFF2-40B4-BE49-F238E27FC236}">
              <a16:creationId xmlns:a16="http://schemas.microsoft.com/office/drawing/2014/main" id="{00000000-0008-0000-0D00-00001F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2" name="Text Box 2">
          <a:extLst>
            <a:ext uri="{FF2B5EF4-FFF2-40B4-BE49-F238E27FC236}">
              <a16:creationId xmlns:a16="http://schemas.microsoft.com/office/drawing/2014/main" id="{00000000-0008-0000-0D00-000020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3" name="Text Box 2">
          <a:extLst>
            <a:ext uri="{FF2B5EF4-FFF2-40B4-BE49-F238E27FC236}">
              <a16:creationId xmlns:a16="http://schemas.microsoft.com/office/drawing/2014/main" id="{00000000-0008-0000-0D00-000021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4" name="Text Box 2">
          <a:extLst>
            <a:ext uri="{FF2B5EF4-FFF2-40B4-BE49-F238E27FC236}">
              <a16:creationId xmlns:a16="http://schemas.microsoft.com/office/drawing/2014/main" id="{00000000-0008-0000-0D00-000022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5" name="Text Box 2">
          <a:extLst>
            <a:ext uri="{FF2B5EF4-FFF2-40B4-BE49-F238E27FC236}">
              <a16:creationId xmlns:a16="http://schemas.microsoft.com/office/drawing/2014/main" id="{00000000-0008-0000-0D00-000023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6" name="Text Box 2">
          <a:extLst>
            <a:ext uri="{FF2B5EF4-FFF2-40B4-BE49-F238E27FC236}">
              <a16:creationId xmlns:a16="http://schemas.microsoft.com/office/drawing/2014/main" id="{00000000-0008-0000-0D00-000024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7" name="Text Box 2">
          <a:extLst>
            <a:ext uri="{FF2B5EF4-FFF2-40B4-BE49-F238E27FC236}">
              <a16:creationId xmlns:a16="http://schemas.microsoft.com/office/drawing/2014/main" id="{00000000-0008-0000-0D00-000025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8" name="Text Box 2">
          <a:extLst>
            <a:ext uri="{FF2B5EF4-FFF2-40B4-BE49-F238E27FC236}">
              <a16:creationId xmlns:a16="http://schemas.microsoft.com/office/drawing/2014/main" id="{00000000-0008-0000-0D00-000026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9" name="Text Box 2">
          <a:extLst>
            <a:ext uri="{FF2B5EF4-FFF2-40B4-BE49-F238E27FC236}">
              <a16:creationId xmlns:a16="http://schemas.microsoft.com/office/drawing/2014/main" id="{00000000-0008-0000-0D00-000027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40" name="Text Box 2">
          <a:extLst>
            <a:ext uri="{FF2B5EF4-FFF2-40B4-BE49-F238E27FC236}">
              <a16:creationId xmlns:a16="http://schemas.microsoft.com/office/drawing/2014/main" id="{00000000-0008-0000-0D00-000028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41" name="Text Box 2">
          <a:extLst>
            <a:ext uri="{FF2B5EF4-FFF2-40B4-BE49-F238E27FC236}">
              <a16:creationId xmlns:a16="http://schemas.microsoft.com/office/drawing/2014/main" id="{00000000-0008-0000-0D00-000029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42" name="Text Box 2">
          <a:extLst>
            <a:ext uri="{FF2B5EF4-FFF2-40B4-BE49-F238E27FC236}">
              <a16:creationId xmlns:a16="http://schemas.microsoft.com/office/drawing/2014/main" id="{00000000-0008-0000-0D00-00002A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43" name="Text Box 2">
          <a:extLst>
            <a:ext uri="{FF2B5EF4-FFF2-40B4-BE49-F238E27FC236}">
              <a16:creationId xmlns:a16="http://schemas.microsoft.com/office/drawing/2014/main" id="{00000000-0008-0000-0D00-00002B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44" name="Text Box 2">
          <a:extLst>
            <a:ext uri="{FF2B5EF4-FFF2-40B4-BE49-F238E27FC236}">
              <a16:creationId xmlns:a16="http://schemas.microsoft.com/office/drawing/2014/main" id="{00000000-0008-0000-0D00-00002C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45" name="Text Box 2">
          <a:extLst>
            <a:ext uri="{FF2B5EF4-FFF2-40B4-BE49-F238E27FC236}">
              <a16:creationId xmlns:a16="http://schemas.microsoft.com/office/drawing/2014/main" id="{00000000-0008-0000-0D00-00002D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46" name="Text Box 2">
          <a:extLst>
            <a:ext uri="{FF2B5EF4-FFF2-40B4-BE49-F238E27FC236}">
              <a16:creationId xmlns:a16="http://schemas.microsoft.com/office/drawing/2014/main" id="{00000000-0008-0000-0D00-00002E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47" name="Text Box 2">
          <a:extLst>
            <a:ext uri="{FF2B5EF4-FFF2-40B4-BE49-F238E27FC236}">
              <a16:creationId xmlns:a16="http://schemas.microsoft.com/office/drawing/2014/main" id="{00000000-0008-0000-0D00-00002F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48" name="Text Box 2">
          <a:extLst>
            <a:ext uri="{FF2B5EF4-FFF2-40B4-BE49-F238E27FC236}">
              <a16:creationId xmlns:a16="http://schemas.microsoft.com/office/drawing/2014/main" id="{00000000-0008-0000-0D00-000030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49" name="Text Box 2">
          <a:extLst>
            <a:ext uri="{FF2B5EF4-FFF2-40B4-BE49-F238E27FC236}">
              <a16:creationId xmlns:a16="http://schemas.microsoft.com/office/drawing/2014/main" id="{00000000-0008-0000-0D00-000031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0" name="Text Box 2">
          <a:extLst>
            <a:ext uri="{FF2B5EF4-FFF2-40B4-BE49-F238E27FC236}">
              <a16:creationId xmlns:a16="http://schemas.microsoft.com/office/drawing/2014/main" id="{00000000-0008-0000-0D00-000032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1" name="Text Box 2">
          <a:extLst>
            <a:ext uri="{FF2B5EF4-FFF2-40B4-BE49-F238E27FC236}">
              <a16:creationId xmlns:a16="http://schemas.microsoft.com/office/drawing/2014/main" id="{00000000-0008-0000-0D00-000033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2" name="Text Box 2">
          <a:extLst>
            <a:ext uri="{FF2B5EF4-FFF2-40B4-BE49-F238E27FC236}">
              <a16:creationId xmlns:a16="http://schemas.microsoft.com/office/drawing/2014/main" id="{00000000-0008-0000-0D00-000034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3" name="Text Box 2">
          <a:extLst>
            <a:ext uri="{FF2B5EF4-FFF2-40B4-BE49-F238E27FC236}">
              <a16:creationId xmlns:a16="http://schemas.microsoft.com/office/drawing/2014/main" id="{00000000-0008-0000-0D00-000035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4" name="Text Box 2">
          <a:extLst>
            <a:ext uri="{FF2B5EF4-FFF2-40B4-BE49-F238E27FC236}">
              <a16:creationId xmlns:a16="http://schemas.microsoft.com/office/drawing/2014/main" id="{00000000-0008-0000-0D00-000036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5" name="Text Box 2">
          <a:extLst>
            <a:ext uri="{FF2B5EF4-FFF2-40B4-BE49-F238E27FC236}">
              <a16:creationId xmlns:a16="http://schemas.microsoft.com/office/drawing/2014/main" id="{00000000-0008-0000-0D00-000037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6" name="Text Box 2">
          <a:extLst>
            <a:ext uri="{FF2B5EF4-FFF2-40B4-BE49-F238E27FC236}">
              <a16:creationId xmlns:a16="http://schemas.microsoft.com/office/drawing/2014/main" id="{00000000-0008-0000-0D00-000038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7" name="Text Box 2">
          <a:extLst>
            <a:ext uri="{FF2B5EF4-FFF2-40B4-BE49-F238E27FC236}">
              <a16:creationId xmlns:a16="http://schemas.microsoft.com/office/drawing/2014/main" id="{00000000-0008-0000-0D00-000039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8" name="Text Box 2">
          <a:extLst>
            <a:ext uri="{FF2B5EF4-FFF2-40B4-BE49-F238E27FC236}">
              <a16:creationId xmlns:a16="http://schemas.microsoft.com/office/drawing/2014/main" id="{00000000-0008-0000-0D00-00003A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9" name="Text Box 2">
          <a:extLst>
            <a:ext uri="{FF2B5EF4-FFF2-40B4-BE49-F238E27FC236}">
              <a16:creationId xmlns:a16="http://schemas.microsoft.com/office/drawing/2014/main" id="{00000000-0008-0000-0D00-00003B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0" name="Text Box 2">
          <a:extLst>
            <a:ext uri="{FF2B5EF4-FFF2-40B4-BE49-F238E27FC236}">
              <a16:creationId xmlns:a16="http://schemas.microsoft.com/office/drawing/2014/main" id="{00000000-0008-0000-0D00-00003C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1" name="Text Box 2">
          <a:extLst>
            <a:ext uri="{FF2B5EF4-FFF2-40B4-BE49-F238E27FC236}">
              <a16:creationId xmlns:a16="http://schemas.microsoft.com/office/drawing/2014/main" id="{00000000-0008-0000-0D00-00003D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2" name="Text Box 2">
          <a:extLst>
            <a:ext uri="{FF2B5EF4-FFF2-40B4-BE49-F238E27FC236}">
              <a16:creationId xmlns:a16="http://schemas.microsoft.com/office/drawing/2014/main" id="{00000000-0008-0000-0D00-00003E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3" name="Text Box 2">
          <a:extLst>
            <a:ext uri="{FF2B5EF4-FFF2-40B4-BE49-F238E27FC236}">
              <a16:creationId xmlns:a16="http://schemas.microsoft.com/office/drawing/2014/main" id="{00000000-0008-0000-0D00-00003F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4" name="Text Box 2">
          <a:extLst>
            <a:ext uri="{FF2B5EF4-FFF2-40B4-BE49-F238E27FC236}">
              <a16:creationId xmlns:a16="http://schemas.microsoft.com/office/drawing/2014/main" id="{00000000-0008-0000-0D00-000040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5" name="Text Box 2">
          <a:extLst>
            <a:ext uri="{FF2B5EF4-FFF2-40B4-BE49-F238E27FC236}">
              <a16:creationId xmlns:a16="http://schemas.microsoft.com/office/drawing/2014/main" id="{00000000-0008-0000-0D00-000041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6" name="Text Box 2">
          <a:extLst>
            <a:ext uri="{FF2B5EF4-FFF2-40B4-BE49-F238E27FC236}">
              <a16:creationId xmlns:a16="http://schemas.microsoft.com/office/drawing/2014/main" id="{00000000-0008-0000-0D00-000042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7" name="Text Box 2">
          <a:extLst>
            <a:ext uri="{FF2B5EF4-FFF2-40B4-BE49-F238E27FC236}">
              <a16:creationId xmlns:a16="http://schemas.microsoft.com/office/drawing/2014/main" id="{00000000-0008-0000-0D00-000043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8" name="Text Box 2">
          <a:extLst>
            <a:ext uri="{FF2B5EF4-FFF2-40B4-BE49-F238E27FC236}">
              <a16:creationId xmlns:a16="http://schemas.microsoft.com/office/drawing/2014/main" id="{00000000-0008-0000-0D00-000044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9" name="Text Box 2">
          <a:extLst>
            <a:ext uri="{FF2B5EF4-FFF2-40B4-BE49-F238E27FC236}">
              <a16:creationId xmlns:a16="http://schemas.microsoft.com/office/drawing/2014/main" id="{00000000-0008-0000-0D00-000045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0" name="Text Box 2">
          <a:extLst>
            <a:ext uri="{FF2B5EF4-FFF2-40B4-BE49-F238E27FC236}">
              <a16:creationId xmlns:a16="http://schemas.microsoft.com/office/drawing/2014/main" id="{00000000-0008-0000-0D00-000046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1" name="Text Box 2">
          <a:extLst>
            <a:ext uri="{FF2B5EF4-FFF2-40B4-BE49-F238E27FC236}">
              <a16:creationId xmlns:a16="http://schemas.microsoft.com/office/drawing/2014/main" id="{00000000-0008-0000-0D00-000047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2" name="Text Box 2">
          <a:extLst>
            <a:ext uri="{FF2B5EF4-FFF2-40B4-BE49-F238E27FC236}">
              <a16:creationId xmlns:a16="http://schemas.microsoft.com/office/drawing/2014/main" id="{00000000-0008-0000-0D00-000048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3" name="Text Box 2">
          <a:extLst>
            <a:ext uri="{FF2B5EF4-FFF2-40B4-BE49-F238E27FC236}">
              <a16:creationId xmlns:a16="http://schemas.microsoft.com/office/drawing/2014/main" id="{00000000-0008-0000-0D00-000049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4" name="Text Box 2">
          <a:extLst>
            <a:ext uri="{FF2B5EF4-FFF2-40B4-BE49-F238E27FC236}">
              <a16:creationId xmlns:a16="http://schemas.microsoft.com/office/drawing/2014/main" id="{00000000-0008-0000-0D00-00004A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5" name="Text Box 2">
          <a:extLst>
            <a:ext uri="{FF2B5EF4-FFF2-40B4-BE49-F238E27FC236}">
              <a16:creationId xmlns:a16="http://schemas.microsoft.com/office/drawing/2014/main" id="{00000000-0008-0000-0D00-00004B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6" name="Text Box 2">
          <a:extLst>
            <a:ext uri="{FF2B5EF4-FFF2-40B4-BE49-F238E27FC236}">
              <a16:creationId xmlns:a16="http://schemas.microsoft.com/office/drawing/2014/main" id="{00000000-0008-0000-0D00-00004C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7" name="Text Box 2">
          <a:extLst>
            <a:ext uri="{FF2B5EF4-FFF2-40B4-BE49-F238E27FC236}">
              <a16:creationId xmlns:a16="http://schemas.microsoft.com/office/drawing/2014/main" id="{00000000-0008-0000-0D00-00004D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8" name="Text Box 2">
          <a:extLst>
            <a:ext uri="{FF2B5EF4-FFF2-40B4-BE49-F238E27FC236}">
              <a16:creationId xmlns:a16="http://schemas.microsoft.com/office/drawing/2014/main" id="{00000000-0008-0000-0D00-00004E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9" name="Text Box 2">
          <a:extLst>
            <a:ext uri="{FF2B5EF4-FFF2-40B4-BE49-F238E27FC236}">
              <a16:creationId xmlns:a16="http://schemas.microsoft.com/office/drawing/2014/main" id="{00000000-0008-0000-0D00-00004F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0" name="Text Box 2">
          <a:extLst>
            <a:ext uri="{FF2B5EF4-FFF2-40B4-BE49-F238E27FC236}">
              <a16:creationId xmlns:a16="http://schemas.microsoft.com/office/drawing/2014/main" id="{00000000-0008-0000-0D00-000050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1" name="Text Box 2">
          <a:extLst>
            <a:ext uri="{FF2B5EF4-FFF2-40B4-BE49-F238E27FC236}">
              <a16:creationId xmlns:a16="http://schemas.microsoft.com/office/drawing/2014/main" id="{00000000-0008-0000-0D00-000051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2" name="Text Box 2">
          <a:extLst>
            <a:ext uri="{FF2B5EF4-FFF2-40B4-BE49-F238E27FC236}">
              <a16:creationId xmlns:a16="http://schemas.microsoft.com/office/drawing/2014/main" id="{00000000-0008-0000-0D00-000052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3" name="Text Box 2">
          <a:extLst>
            <a:ext uri="{FF2B5EF4-FFF2-40B4-BE49-F238E27FC236}">
              <a16:creationId xmlns:a16="http://schemas.microsoft.com/office/drawing/2014/main" id="{00000000-0008-0000-0D00-000053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4" name="Text Box 2">
          <a:extLst>
            <a:ext uri="{FF2B5EF4-FFF2-40B4-BE49-F238E27FC236}">
              <a16:creationId xmlns:a16="http://schemas.microsoft.com/office/drawing/2014/main" id="{00000000-0008-0000-0D00-000054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5" name="Text Box 2">
          <a:extLst>
            <a:ext uri="{FF2B5EF4-FFF2-40B4-BE49-F238E27FC236}">
              <a16:creationId xmlns:a16="http://schemas.microsoft.com/office/drawing/2014/main" id="{00000000-0008-0000-0D00-000055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6" name="Text Box 2">
          <a:extLst>
            <a:ext uri="{FF2B5EF4-FFF2-40B4-BE49-F238E27FC236}">
              <a16:creationId xmlns:a16="http://schemas.microsoft.com/office/drawing/2014/main" id="{00000000-0008-0000-0D00-000056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7" name="Text Box 2">
          <a:extLst>
            <a:ext uri="{FF2B5EF4-FFF2-40B4-BE49-F238E27FC236}">
              <a16:creationId xmlns:a16="http://schemas.microsoft.com/office/drawing/2014/main" id="{00000000-0008-0000-0D00-000057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8" name="Text Box 2">
          <a:extLst>
            <a:ext uri="{FF2B5EF4-FFF2-40B4-BE49-F238E27FC236}">
              <a16:creationId xmlns:a16="http://schemas.microsoft.com/office/drawing/2014/main" id="{00000000-0008-0000-0D00-000058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9" name="Text Box 2">
          <a:extLst>
            <a:ext uri="{FF2B5EF4-FFF2-40B4-BE49-F238E27FC236}">
              <a16:creationId xmlns:a16="http://schemas.microsoft.com/office/drawing/2014/main" id="{00000000-0008-0000-0D00-000059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0" name="Text Box 2">
          <a:extLst>
            <a:ext uri="{FF2B5EF4-FFF2-40B4-BE49-F238E27FC236}">
              <a16:creationId xmlns:a16="http://schemas.microsoft.com/office/drawing/2014/main" id="{00000000-0008-0000-0D00-00005A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1" name="Text Box 2">
          <a:extLst>
            <a:ext uri="{FF2B5EF4-FFF2-40B4-BE49-F238E27FC236}">
              <a16:creationId xmlns:a16="http://schemas.microsoft.com/office/drawing/2014/main" id="{00000000-0008-0000-0D00-00005B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2" name="Text Box 2">
          <a:extLst>
            <a:ext uri="{FF2B5EF4-FFF2-40B4-BE49-F238E27FC236}">
              <a16:creationId xmlns:a16="http://schemas.microsoft.com/office/drawing/2014/main" id="{00000000-0008-0000-0D00-00005C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3" name="Text Box 2">
          <a:extLst>
            <a:ext uri="{FF2B5EF4-FFF2-40B4-BE49-F238E27FC236}">
              <a16:creationId xmlns:a16="http://schemas.microsoft.com/office/drawing/2014/main" id="{00000000-0008-0000-0D00-00005D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4" name="Text Box 2">
          <a:extLst>
            <a:ext uri="{FF2B5EF4-FFF2-40B4-BE49-F238E27FC236}">
              <a16:creationId xmlns:a16="http://schemas.microsoft.com/office/drawing/2014/main" id="{00000000-0008-0000-0D00-00005E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5" name="Text Box 2">
          <a:extLst>
            <a:ext uri="{FF2B5EF4-FFF2-40B4-BE49-F238E27FC236}">
              <a16:creationId xmlns:a16="http://schemas.microsoft.com/office/drawing/2014/main" id="{00000000-0008-0000-0D00-00005F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6" name="Text Box 2">
          <a:extLst>
            <a:ext uri="{FF2B5EF4-FFF2-40B4-BE49-F238E27FC236}">
              <a16:creationId xmlns:a16="http://schemas.microsoft.com/office/drawing/2014/main" id="{00000000-0008-0000-0D00-000060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7" name="Text Box 2">
          <a:extLst>
            <a:ext uri="{FF2B5EF4-FFF2-40B4-BE49-F238E27FC236}">
              <a16:creationId xmlns:a16="http://schemas.microsoft.com/office/drawing/2014/main" id="{00000000-0008-0000-0D00-000061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8" name="Text Box 2">
          <a:extLst>
            <a:ext uri="{FF2B5EF4-FFF2-40B4-BE49-F238E27FC236}">
              <a16:creationId xmlns:a16="http://schemas.microsoft.com/office/drawing/2014/main" id="{00000000-0008-0000-0D00-000062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9" name="Text Box 2">
          <a:extLst>
            <a:ext uri="{FF2B5EF4-FFF2-40B4-BE49-F238E27FC236}">
              <a16:creationId xmlns:a16="http://schemas.microsoft.com/office/drawing/2014/main" id="{00000000-0008-0000-0D00-000063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0" name="Text Box 2">
          <a:extLst>
            <a:ext uri="{FF2B5EF4-FFF2-40B4-BE49-F238E27FC236}">
              <a16:creationId xmlns:a16="http://schemas.microsoft.com/office/drawing/2014/main" id="{00000000-0008-0000-0D00-000064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1" name="Text Box 2">
          <a:extLst>
            <a:ext uri="{FF2B5EF4-FFF2-40B4-BE49-F238E27FC236}">
              <a16:creationId xmlns:a16="http://schemas.microsoft.com/office/drawing/2014/main" id="{00000000-0008-0000-0D00-000065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2" name="Text Box 2">
          <a:extLst>
            <a:ext uri="{FF2B5EF4-FFF2-40B4-BE49-F238E27FC236}">
              <a16:creationId xmlns:a16="http://schemas.microsoft.com/office/drawing/2014/main" id="{00000000-0008-0000-0D00-000066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3" name="Text Box 2">
          <a:extLst>
            <a:ext uri="{FF2B5EF4-FFF2-40B4-BE49-F238E27FC236}">
              <a16:creationId xmlns:a16="http://schemas.microsoft.com/office/drawing/2014/main" id="{00000000-0008-0000-0D00-000067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4" name="Text Box 2">
          <a:extLst>
            <a:ext uri="{FF2B5EF4-FFF2-40B4-BE49-F238E27FC236}">
              <a16:creationId xmlns:a16="http://schemas.microsoft.com/office/drawing/2014/main" id="{00000000-0008-0000-0D00-000068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5" name="Text Box 2">
          <a:extLst>
            <a:ext uri="{FF2B5EF4-FFF2-40B4-BE49-F238E27FC236}">
              <a16:creationId xmlns:a16="http://schemas.microsoft.com/office/drawing/2014/main" id="{00000000-0008-0000-0D00-000069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6" name="Text Box 2">
          <a:extLst>
            <a:ext uri="{FF2B5EF4-FFF2-40B4-BE49-F238E27FC236}">
              <a16:creationId xmlns:a16="http://schemas.microsoft.com/office/drawing/2014/main" id="{00000000-0008-0000-0D00-00006A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7" name="Text Box 2">
          <a:extLst>
            <a:ext uri="{FF2B5EF4-FFF2-40B4-BE49-F238E27FC236}">
              <a16:creationId xmlns:a16="http://schemas.microsoft.com/office/drawing/2014/main" id="{00000000-0008-0000-0D00-00006B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8" name="Text Box 2">
          <a:extLst>
            <a:ext uri="{FF2B5EF4-FFF2-40B4-BE49-F238E27FC236}">
              <a16:creationId xmlns:a16="http://schemas.microsoft.com/office/drawing/2014/main" id="{00000000-0008-0000-0D00-00006C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9" name="Text Box 2">
          <a:extLst>
            <a:ext uri="{FF2B5EF4-FFF2-40B4-BE49-F238E27FC236}">
              <a16:creationId xmlns:a16="http://schemas.microsoft.com/office/drawing/2014/main" id="{00000000-0008-0000-0D00-00006D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0" name="Text Box 2">
          <a:extLst>
            <a:ext uri="{FF2B5EF4-FFF2-40B4-BE49-F238E27FC236}">
              <a16:creationId xmlns:a16="http://schemas.microsoft.com/office/drawing/2014/main" id="{00000000-0008-0000-0D00-00006E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1" name="Text Box 2">
          <a:extLst>
            <a:ext uri="{FF2B5EF4-FFF2-40B4-BE49-F238E27FC236}">
              <a16:creationId xmlns:a16="http://schemas.microsoft.com/office/drawing/2014/main" id="{00000000-0008-0000-0D00-00006F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2" name="Text Box 2">
          <a:extLst>
            <a:ext uri="{FF2B5EF4-FFF2-40B4-BE49-F238E27FC236}">
              <a16:creationId xmlns:a16="http://schemas.microsoft.com/office/drawing/2014/main" id="{00000000-0008-0000-0D00-000070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3" name="Text Box 2">
          <a:extLst>
            <a:ext uri="{FF2B5EF4-FFF2-40B4-BE49-F238E27FC236}">
              <a16:creationId xmlns:a16="http://schemas.microsoft.com/office/drawing/2014/main" id="{00000000-0008-0000-0D00-000071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4" name="Text Box 2">
          <a:extLst>
            <a:ext uri="{FF2B5EF4-FFF2-40B4-BE49-F238E27FC236}">
              <a16:creationId xmlns:a16="http://schemas.microsoft.com/office/drawing/2014/main" id="{00000000-0008-0000-0D00-000072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5" name="Text Box 2">
          <a:extLst>
            <a:ext uri="{FF2B5EF4-FFF2-40B4-BE49-F238E27FC236}">
              <a16:creationId xmlns:a16="http://schemas.microsoft.com/office/drawing/2014/main" id="{00000000-0008-0000-0D00-000073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6" name="Text Box 2">
          <a:extLst>
            <a:ext uri="{FF2B5EF4-FFF2-40B4-BE49-F238E27FC236}">
              <a16:creationId xmlns:a16="http://schemas.microsoft.com/office/drawing/2014/main" id="{00000000-0008-0000-0D00-000074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7" name="Text Box 2">
          <a:extLst>
            <a:ext uri="{FF2B5EF4-FFF2-40B4-BE49-F238E27FC236}">
              <a16:creationId xmlns:a16="http://schemas.microsoft.com/office/drawing/2014/main" id="{00000000-0008-0000-0D00-000075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8" name="Text Box 2">
          <a:extLst>
            <a:ext uri="{FF2B5EF4-FFF2-40B4-BE49-F238E27FC236}">
              <a16:creationId xmlns:a16="http://schemas.microsoft.com/office/drawing/2014/main" id="{00000000-0008-0000-0D00-000076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9" name="Text Box 2">
          <a:extLst>
            <a:ext uri="{FF2B5EF4-FFF2-40B4-BE49-F238E27FC236}">
              <a16:creationId xmlns:a16="http://schemas.microsoft.com/office/drawing/2014/main" id="{00000000-0008-0000-0D00-000077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0" name="Text Box 2">
          <a:extLst>
            <a:ext uri="{FF2B5EF4-FFF2-40B4-BE49-F238E27FC236}">
              <a16:creationId xmlns:a16="http://schemas.microsoft.com/office/drawing/2014/main" id="{00000000-0008-0000-0D00-000078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1" name="Text Box 2">
          <a:extLst>
            <a:ext uri="{FF2B5EF4-FFF2-40B4-BE49-F238E27FC236}">
              <a16:creationId xmlns:a16="http://schemas.microsoft.com/office/drawing/2014/main" id="{00000000-0008-0000-0D00-000079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2" name="Text Box 2">
          <a:extLst>
            <a:ext uri="{FF2B5EF4-FFF2-40B4-BE49-F238E27FC236}">
              <a16:creationId xmlns:a16="http://schemas.microsoft.com/office/drawing/2014/main" id="{00000000-0008-0000-0D00-00007A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3" name="Text Box 2">
          <a:extLst>
            <a:ext uri="{FF2B5EF4-FFF2-40B4-BE49-F238E27FC236}">
              <a16:creationId xmlns:a16="http://schemas.microsoft.com/office/drawing/2014/main" id="{00000000-0008-0000-0D00-00007B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4" name="Text Box 2">
          <a:extLst>
            <a:ext uri="{FF2B5EF4-FFF2-40B4-BE49-F238E27FC236}">
              <a16:creationId xmlns:a16="http://schemas.microsoft.com/office/drawing/2014/main" id="{00000000-0008-0000-0D00-00007C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5" name="Text Box 2">
          <a:extLst>
            <a:ext uri="{FF2B5EF4-FFF2-40B4-BE49-F238E27FC236}">
              <a16:creationId xmlns:a16="http://schemas.microsoft.com/office/drawing/2014/main" id="{00000000-0008-0000-0D00-00007D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6" name="Text Box 2">
          <a:extLst>
            <a:ext uri="{FF2B5EF4-FFF2-40B4-BE49-F238E27FC236}">
              <a16:creationId xmlns:a16="http://schemas.microsoft.com/office/drawing/2014/main" id="{00000000-0008-0000-0D00-00007E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7" name="Text Box 2">
          <a:extLst>
            <a:ext uri="{FF2B5EF4-FFF2-40B4-BE49-F238E27FC236}">
              <a16:creationId xmlns:a16="http://schemas.microsoft.com/office/drawing/2014/main" id="{00000000-0008-0000-0D00-00007F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8" name="Text Box 2">
          <a:extLst>
            <a:ext uri="{FF2B5EF4-FFF2-40B4-BE49-F238E27FC236}">
              <a16:creationId xmlns:a16="http://schemas.microsoft.com/office/drawing/2014/main" id="{00000000-0008-0000-0D00-000080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9" name="Text Box 2">
          <a:extLst>
            <a:ext uri="{FF2B5EF4-FFF2-40B4-BE49-F238E27FC236}">
              <a16:creationId xmlns:a16="http://schemas.microsoft.com/office/drawing/2014/main" id="{00000000-0008-0000-0D00-000081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0" name="Text Box 2">
          <a:extLst>
            <a:ext uri="{FF2B5EF4-FFF2-40B4-BE49-F238E27FC236}">
              <a16:creationId xmlns:a16="http://schemas.microsoft.com/office/drawing/2014/main" id="{00000000-0008-0000-0D00-000082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1" name="Text Box 2">
          <a:extLst>
            <a:ext uri="{FF2B5EF4-FFF2-40B4-BE49-F238E27FC236}">
              <a16:creationId xmlns:a16="http://schemas.microsoft.com/office/drawing/2014/main" id="{00000000-0008-0000-0D00-000083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2" name="Text Box 2">
          <a:extLst>
            <a:ext uri="{FF2B5EF4-FFF2-40B4-BE49-F238E27FC236}">
              <a16:creationId xmlns:a16="http://schemas.microsoft.com/office/drawing/2014/main" id="{00000000-0008-0000-0D00-000084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3" name="Text Box 2">
          <a:extLst>
            <a:ext uri="{FF2B5EF4-FFF2-40B4-BE49-F238E27FC236}">
              <a16:creationId xmlns:a16="http://schemas.microsoft.com/office/drawing/2014/main" id="{00000000-0008-0000-0D00-000085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4" name="Text Box 2">
          <a:extLst>
            <a:ext uri="{FF2B5EF4-FFF2-40B4-BE49-F238E27FC236}">
              <a16:creationId xmlns:a16="http://schemas.microsoft.com/office/drawing/2014/main" id="{00000000-0008-0000-0D00-000086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5" name="Text Box 2">
          <a:extLst>
            <a:ext uri="{FF2B5EF4-FFF2-40B4-BE49-F238E27FC236}">
              <a16:creationId xmlns:a16="http://schemas.microsoft.com/office/drawing/2014/main" id="{00000000-0008-0000-0D00-000087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6" name="Text Box 2">
          <a:extLst>
            <a:ext uri="{FF2B5EF4-FFF2-40B4-BE49-F238E27FC236}">
              <a16:creationId xmlns:a16="http://schemas.microsoft.com/office/drawing/2014/main" id="{00000000-0008-0000-0D00-000088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7" name="Text Box 2">
          <a:extLst>
            <a:ext uri="{FF2B5EF4-FFF2-40B4-BE49-F238E27FC236}">
              <a16:creationId xmlns:a16="http://schemas.microsoft.com/office/drawing/2014/main" id="{00000000-0008-0000-0D00-000089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8" name="Text Box 2">
          <a:extLst>
            <a:ext uri="{FF2B5EF4-FFF2-40B4-BE49-F238E27FC236}">
              <a16:creationId xmlns:a16="http://schemas.microsoft.com/office/drawing/2014/main" id="{00000000-0008-0000-0D00-00008A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9" name="Text Box 2">
          <a:extLst>
            <a:ext uri="{FF2B5EF4-FFF2-40B4-BE49-F238E27FC236}">
              <a16:creationId xmlns:a16="http://schemas.microsoft.com/office/drawing/2014/main" id="{00000000-0008-0000-0D00-00008B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0" name="Text Box 2">
          <a:extLst>
            <a:ext uri="{FF2B5EF4-FFF2-40B4-BE49-F238E27FC236}">
              <a16:creationId xmlns:a16="http://schemas.microsoft.com/office/drawing/2014/main" id="{00000000-0008-0000-0D00-00008C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1" name="Text Box 2">
          <a:extLst>
            <a:ext uri="{FF2B5EF4-FFF2-40B4-BE49-F238E27FC236}">
              <a16:creationId xmlns:a16="http://schemas.microsoft.com/office/drawing/2014/main" id="{00000000-0008-0000-0D00-00008D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2" name="Text Box 2">
          <a:extLst>
            <a:ext uri="{FF2B5EF4-FFF2-40B4-BE49-F238E27FC236}">
              <a16:creationId xmlns:a16="http://schemas.microsoft.com/office/drawing/2014/main" id="{00000000-0008-0000-0D00-00008E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3" name="Text Box 2">
          <a:extLst>
            <a:ext uri="{FF2B5EF4-FFF2-40B4-BE49-F238E27FC236}">
              <a16:creationId xmlns:a16="http://schemas.microsoft.com/office/drawing/2014/main" id="{00000000-0008-0000-0D00-00008F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4" name="Text Box 2">
          <a:extLst>
            <a:ext uri="{FF2B5EF4-FFF2-40B4-BE49-F238E27FC236}">
              <a16:creationId xmlns:a16="http://schemas.microsoft.com/office/drawing/2014/main" id="{00000000-0008-0000-0D00-000090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5" name="Text Box 2">
          <a:extLst>
            <a:ext uri="{FF2B5EF4-FFF2-40B4-BE49-F238E27FC236}">
              <a16:creationId xmlns:a16="http://schemas.microsoft.com/office/drawing/2014/main" id="{00000000-0008-0000-0D00-000091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6" name="Text Box 2">
          <a:extLst>
            <a:ext uri="{FF2B5EF4-FFF2-40B4-BE49-F238E27FC236}">
              <a16:creationId xmlns:a16="http://schemas.microsoft.com/office/drawing/2014/main" id="{00000000-0008-0000-0D00-000092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7" name="Text Box 2">
          <a:extLst>
            <a:ext uri="{FF2B5EF4-FFF2-40B4-BE49-F238E27FC236}">
              <a16:creationId xmlns:a16="http://schemas.microsoft.com/office/drawing/2014/main" id="{00000000-0008-0000-0D00-000093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8" name="Text Box 2">
          <a:extLst>
            <a:ext uri="{FF2B5EF4-FFF2-40B4-BE49-F238E27FC236}">
              <a16:creationId xmlns:a16="http://schemas.microsoft.com/office/drawing/2014/main" id="{00000000-0008-0000-0D00-000094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9" name="Text Box 2">
          <a:extLst>
            <a:ext uri="{FF2B5EF4-FFF2-40B4-BE49-F238E27FC236}">
              <a16:creationId xmlns:a16="http://schemas.microsoft.com/office/drawing/2014/main" id="{00000000-0008-0000-0D00-000095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0" name="Text Box 2">
          <a:extLst>
            <a:ext uri="{FF2B5EF4-FFF2-40B4-BE49-F238E27FC236}">
              <a16:creationId xmlns:a16="http://schemas.microsoft.com/office/drawing/2014/main" id="{00000000-0008-0000-0D00-000096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1" name="Text Box 2">
          <a:extLst>
            <a:ext uri="{FF2B5EF4-FFF2-40B4-BE49-F238E27FC236}">
              <a16:creationId xmlns:a16="http://schemas.microsoft.com/office/drawing/2014/main" id="{00000000-0008-0000-0D00-000097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2" name="Text Box 2">
          <a:extLst>
            <a:ext uri="{FF2B5EF4-FFF2-40B4-BE49-F238E27FC236}">
              <a16:creationId xmlns:a16="http://schemas.microsoft.com/office/drawing/2014/main" id="{00000000-0008-0000-0D00-000098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3" name="Text Box 2">
          <a:extLst>
            <a:ext uri="{FF2B5EF4-FFF2-40B4-BE49-F238E27FC236}">
              <a16:creationId xmlns:a16="http://schemas.microsoft.com/office/drawing/2014/main" id="{00000000-0008-0000-0D00-000099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4" name="Text Box 2">
          <a:extLst>
            <a:ext uri="{FF2B5EF4-FFF2-40B4-BE49-F238E27FC236}">
              <a16:creationId xmlns:a16="http://schemas.microsoft.com/office/drawing/2014/main" id="{00000000-0008-0000-0D00-00009A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5" name="Text Box 2">
          <a:extLst>
            <a:ext uri="{FF2B5EF4-FFF2-40B4-BE49-F238E27FC236}">
              <a16:creationId xmlns:a16="http://schemas.microsoft.com/office/drawing/2014/main" id="{00000000-0008-0000-0D00-00009B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6" name="Text Box 2">
          <a:extLst>
            <a:ext uri="{FF2B5EF4-FFF2-40B4-BE49-F238E27FC236}">
              <a16:creationId xmlns:a16="http://schemas.microsoft.com/office/drawing/2014/main" id="{00000000-0008-0000-0D00-00009C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7" name="Text Box 2">
          <a:extLst>
            <a:ext uri="{FF2B5EF4-FFF2-40B4-BE49-F238E27FC236}">
              <a16:creationId xmlns:a16="http://schemas.microsoft.com/office/drawing/2014/main" id="{00000000-0008-0000-0D00-00009D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8" name="Text Box 2">
          <a:extLst>
            <a:ext uri="{FF2B5EF4-FFF2-40B4-BE49-F238E27FC236}">
              <a16:creationId xmlns:a16="http://schemas.microsoft.com/office/drawing/2014/main" id="{00000000-0008-0000-0D00-00009E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9" name="Text Box 2">
          <a:extLst>
            <a:ext uri="{FF2B5EF4-FFF2-40B4-BE49-F238E27FC236}">
              <a16:creationId xmlns:a16="http://schemas.microsoft.com/office/drawing/2014/main" id="{00000000-0008-0000-0D00-00009F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0" name="Text Box 2">
          <a:extLst>
            <a:ext uri="{FF2B5EF4-FFF2-40B4-BE49-F238E27FC236}">
              <a16:creationId xmlns:a16="http://schemas.microsoft.com/office/drawing/2014/main" id="{00000000-0008-0000-0D00-0000A0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1" name="Text Box 2">
          <a:extLst>
            <a:ext uri="{FF2B5EF4-FFF2-40B4-BE49-F238E27FC236}">
              <a16:creationId xmlns:a16="http://schemas.microsoft.com/office/drawing/2014/main" id="{00000000-0008-0000-0D00-0000A1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2" name="Text Box 2">
          <a:extLst>
            <a:ext uri="{FF2B5EF4-FFF2-40B4-BE49-F238E27FC236}">
              <a16:creationId xmlns:a16="http://schemas.microsoft.com/office/drawing/2014/main" id="{00000000-0008-0000-0D00-0000A2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3" name="Text Box 2">
          <a:extLst>
            <a:ext uri="{FF2B5EF4-FFF2-40B4-BE49-F238E27FC236}">
              <a16:creationId xmlns:a16="http://schemas.microsoft.com/office/drawing/2014/main" id="{00000000-0008-0000-0D00-0000A3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4" name="Text Box 2">
          <a:extLst>
            <a:ext uri="{FF2B5EF4-FFF2-40B4-BE49-F238E27FC236}">
              <a16:creationId xmlns:a16="http://schemas.microsoft.com/office/drawing/2014/main" id="{00000000-0008-0000-0D00-0000A4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5" name="Text Box 2">
          <a:extLst>
            <a:ext uri="{FF2B5EF4-FFF2-40B4-BE49-F238E27FC236}">
              <a16:creationId xmlns:a16="http://schemas.microsoft.com/office/drawing/2014/main" id="{00000000-0008-0000-0D00-0000A5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6" name="Text Box 2">
          <a:extLst>
            <a:ext uri="{FF2B5EF4-FFF2-40B4-BE49-F238E27FC236}">
              <a16:creationId xmlns:a16="http://schemas.microsoft.com/office/drawing/2014/main" id="{00000000-0008-0000-0D00-0000A6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7" name="Text Box 2">
          <a:extLst>
            <a:ext uri="{FF2B5EF4-FFF2-40B4-BE49-F238E27FC236}">
              <a16:creationId xmlns:a16="http://schemas.microsoft.com/office/drawing/2014/main" id="{00000000-0008-0000-0D00-0000A7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8" name="Text Box 2">
          <a:extLst>
            <a:ext uri="{FF2B5EF4-FFF2-40B4-BE49-F238E27FC236}">
              <a16:creationId xmlns:a16="http://schemas.microsoft.com/office/drawing/2014/main" id="{00000000-0008-0000-0D00-0000A8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9" name="Text Box 2">
          <a:extLst>
            <a:ext uri="{FF2B5EF4-FFF2-40B4-BE49-F238E27FC236}">
              <a16:creationId xmlns:a16="http://schemas.microsoft.com/office/drawing/2014/main" id="{00000000-0008-0000-0D00-0000A9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0" name="Text Box 2">
          <a:extLst>
            <a:ext uri="{FF2B5EF4-FFF2-40B4-BE49-F238E27FC236}">
              <a16:creationId xmlns:a16="http://schemas.microsoft.com/office/drawing/2014/main" id="{00000000-0008-0000-0D00-0000AA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1" name="Text Box 2">
          <a:extLst>
            <a:ext uri="{FF2B5EF4-FFF2-40B4-BE49-F238E27FC236}">
              <a16:creationId xmlns:a16="http://schemas.microsoft.com/office/drawing/2014/main" id="{00000000-0008-0000-0D00-0000AB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2" name="Text Box 2">
          <a:extLst>
            <a:ext uri="{FF2B5EF4-FFF2-40B4-BE49-F238E27FC236}">
              <a16:creationId xmlns:a16="http://schemas.microsoft.com/office/drawing/2014/main" id="{00000000-0008-0000-0D00-0000AC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3" name="Text Box 2">
          <a:extLst>
            <a:ext uri="{FF2B5EF4-FFF2-40B4-BE49-F238E27FC236}">
              <a16:creationId xmlns:a16="http://schemas.microsoft.com/office/drawing/2014/main" id="{00000000-0008-0000-0D00-0000AD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4" name="Text Box 2">
          <a:extLst>
            <a:ext uri="{FF2B5EF4-FFF2-40B4-BE49-F238E27FC236}">
              <a16:creationId xmlns:a16="http://schemas.microsoft.com/office/drawing/2014/main" id="{00000000-0008-0000-0D00-0000AE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5" name="Text Box 2">
          <a:extLst>
            <a:ext uri="{FF2B5EF4-FFF2-40B4-BE49-F238E27FC236}">
              <a16:creationId xmlns:a16="http://schemas.microsoft.com/office/drawing/2014/main" id="{00000000-0008-0000-0D00-0000AF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6" name="Text Box 2">
          <a:extLst>
            <a:ext uri="{FF2B5EF4-FFF2-40B4-BE49-F238E27FC236}">
              <a16:creationId xmlns:a16="http://schemas.microsoft.com/office/drawing/2014/main" id="{00000000-0008-0000-0D00-0000B0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7" name="Text Box 2">
          <a:extLst>
            <a:ext uri="{FF2B5EF4-FFF2-40B4-BE49-F238E27FC236}">
              <a16:creationId xmlns:a16="http://schemas.microsoft.com/office/drawing/2014/main" id="{00000000-0008-0000-0D00-0000B1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8" name="Text Box 2">
          <a:extLst>
            <a:ext uri="{FF2B5EF4-FFF2-40B4-BE49-F238E27FC236}">
              <a16:creationId xmlns:a16="http://schemas.microsoft.com/office/drawing/2014/main" id="{00000000-0008-0000-0D00-0000B2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9" name="Text Box 2">
          <a:extLst>
            <a:ext uri="{FF2B5EF4-FFF2-40B4-BE49-F238E27FC236}">
              <a16:creationId xmlns:a16="http://schemas.microsoft.com/office/drawing/2014/main" id="{00000000-0008-0000-0D00-0000B3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80" name="Text Box 2">
          <a:extLst>
            <a:ext uri="{FF2B5EF4-FFF2-40B4-BE49-F238E27FC236}">
              <a16:creationId xmlns:a16="http://schemas.microsoft.com/office/drawing/2014/main" id="{00000000-0008-0000-0D00-0000B4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81" name="Text Box 2">
          <a:extLst>
            <a:ext uri="{FF2B5EF4-FFF2-40B4-BE49-F238E27FC236}">
              <a16:creationId xmlns:a16="http://schemas.microsoft.com/office/drawing/2014/main" id="{00000000-0008-0000-0D00-0000B5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82" name="Text Box 2">
          <a:extLst>
            <a:ext uri="{FF2B5EF4-FFF2-40B4-BE49-F238E27FC236}">
              <a16:creationId xmlns:a16="http://schemas.microsoft.com/office/drawing/2014/main" id="{00000000-0008-0000-0D00-0000B6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83" name="Text Box 2">
          <a:extLst>
            <a:ext uri="{FF2B5EF4-FFF2-40B4-BE49-F238E27FC236}">
              <a16:creationId xmlns:a16="http://schemas.microsoft.com/office/drawing/2014/main" id="{00000000-0008-0000-0D00-0000B7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84" name="Text Box 2">
          <a:extLst>
            <a:ext uri="{FF2B5EF4-FFF2-40B4-BE49-F238E27FC236}">
              <a16:creationId xmlns:a16="http://schemas.microsoft.com/office/drawing/2014/main" id="{00000000-0008-0000-0D00-0000B8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85" name="Text Box 2">
          <a:extLst>
            <a:ext uri="{FF2B5EF4-FFF2-40B4-BE49-F238E27FC236}">
              <a16:creationId xmlns:a16="http://schemas.microsoft.com/office/drawing/2014/main" id="{00000000-0008-0000-0D00-0000B9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86" name="Text Box 2">
          <a:extLst>
            <a:ext uri="{FF2B5EF4-FFF2-40B4-BE49-F238E27FC236}">
              <a16:creationId xmlns:a16="http://schemas.microsoft.com/office/drawing/2014/main" id="{00000000-0008-0000-0D00-0000BA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87" name="Text Box 2">
          <a:extLst>
            <a:ext uri="{FF2B5EF4-FFF2-40B4-BE49-F238E27FC236}">
              <a16:creationId xmlns:a16="http://schemas.microsoft.com/office/drawing/2014/main" id="{00000000-0008-0000-0D00-0000BB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88" name="Text Box 2">
          <a:extLst>
            <a:ext uri="{FF2B5EF4-FFF2-40B4-BE49-F238E27FC236}">
              <a16:creationId xmlns:a16="http://schemas.microsoft.com/office/drawing/2014/main" id="{00000000-0008-0000-0D00-0000BC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89" name="Text Box 2">
          <a:extLst>
            <a:ext uri="{FF2B5EF4-FFF2-40B4-BE49-F238E27FC236}">
              <a16:creationId xmlns:a16="http://schemas.microsoft.com/office/drawing/2014/main" id="{00000000-0008-0000-0D00-0000BD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90" name="Text Box 2">
          <a:extLst>
            <a:ext uri="{FF2B5EF4-FFF2-40B4-BE49-F238E27FC236}">
              <a16:creationId xmlns:a16="http://schemas.microsoft.com/office/drawing/2014/main" id="{00000000-0008-0000-0D00-0000BE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91" name="Text Box 2">
          <a:extLst>
            <a:ext uri="{FF2B5EF4-FFF2-40B4-BE49-F238E27FC236}">
              <a16:creationId xmlns:a16="http://schemas.microsoft.com/office/drawing/2014/main" id="{00000000-0008-0000-0D00-0000BF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92" name="Text Box 2">
          <a:extLst>
            <a:ext uri="{FF2B5EF4-FFF2-40B4-BE49-F238E27FC236}">
              <a16:creationId xmlns:a16="http://schemas.microsoft.com/office/drawing/2014/main" id="{00000000-0008-0000-0D00-0000C0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93" name="Text Box 2">
          <a:extLst>
            <a:ext uri="{FF2B5EF4-FFF2-40B4-BE49-F238E27FC236}">
              <a16:creationId xmlns:a16="http://schemas.microsoft.com/office/drawing/2014/main" id="{00000000-0008-0000-0D00-0000C1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94" name="Text Box 2">
          <a:extLst>
            <a:ext uri="{FF2B5EF4-FFF2-40B4-BE49-F238E27FC236}">
              <a16:creationId xmlns:a16="http://schemas.microsoft.com/office/drawing/2014/main" id="{00000000-0008-0000-0D00-0000C2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95" name="Text Box 2">
          <a:extLst>
            <a:ext uri="{FF2B5EF4-FFF2-40B4-BE49-F238E27FC236}">
              <a16:creationId xmlns:a16="http://schemas.microsoft.com/office/drawing/2014/main" id="{00000000-0008-0000-0D00-0000C3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96" name="Text Box 2">
          <a:extLst>
            <a:ext uri="{FF2B5EF4-FFF2-40B4-BE49-F238E27FC236}">
              <a16:creationId xmlns:a16="http://schemas.microsoft.com/office/drawing/2014/main" id="{00000000-0008-0000-0D00-0000C4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97" name="Text Box 2">
          <a:extLst>
            <a:ext uri="{FF2B5EF4-FFF2-40B4-BE49-F238E27FC236}">
              <a16:creationId xmlns:a16="http://schemas.microsoft.com/office/drawing/2014/main" id="{00000000-0008-0000-0D00-0000C5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98" name="Text Box 2">
          <a:extLst>
            <a:ext uri="{FF2B5EF4-FFF2-40B4-BE49-F238E27FC236}">
              <a16:creationId xmlns:a16="http://schemas.microsoft.com/office/drawing/2014/main" id="{00000000-0008-0000-0D00-0000C6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99" name="Text Box 2">
          <a:extLst>
            <a:ext uri="{FF2B5EF4-FFF2-40B4-BE49-F238E27FC236}">
              <a16:creationId xmlns:a16="http://schemas.microsoft.com/office/drawing/2014/main" id="{00000000-0008-0000-0D00-0000C7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00" name="Text Box 2">
          <a:extLst>
            <a:ext uri="{FF2B5EF4-FFF2-40B4-BE49-F238E27FC236}">
              <a16:creationId xmlns:a16="http://schemas.microsoft.com/office/drawing/2014/main" id="{00000000-0008-0000-0D00-0000C8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01" name="Text Box 2">
          <a:extLst>
            <a:ext uri="{FF2B5EF4-FFF2-40B4-BE49-F238E27FC236}">
              <a16:creationId xmlns:a16="http://schemas.microsoft.com/office/drawing/2014/main" id="{00000000-0008-0000-0D00-0000C9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02" name="Text Box 2">
          <a:extLst>
            <a:ext uri="{FF2B5EF4-FFF2-40B4-BE49-F238E27FC236}">
              <a16:creationId xmlns:a16="http://schemas.microsoft.com/office/drawing/2014/main" id="{00000000-0008-0000-0D00-0000CA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03" name="Text Box 2">
          <a:extLst>
            <a:ext uri="{FF2B5EF4-FFF2-40B4-BE49-F238E27FC236}">
              <a16:creationId xmlns:a16="http://schemas.microsoft.com/office/drawing/2014/main" id="{00000000-0008-0000-0D00-0000CB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04" name="Text Box 2">
          <a:extLst>
            <a:ext uri="{FF2B5EF4-FFF2-40B4-BE49-F238E27FC236}">
              <a16:creationId xmlns:a16="http://schemas.microsoft.com/office/drawing/2014/main" id="{00000000-0008-0000-0D00-0000CC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05" name="Text Box 2">
          <a:extLst>
            <a:ext uri="{FF2B5EF4-FFF2-40B4-BE49-F238E27FC236}">
              <a16:creationId xmlns:a16="http://schemas.microsoft.com/office/drawing/2014/main" id="{00000000-0008-0000-0D00-0000CD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06" name="Text Box 2">
          <a:extLst>
            <a:ext uri="{FF2B5EF4-FFF2-40B4-BE49-F238E27FC236}">
              <a16:creationId xmlns:a16="http://schemas.microsoft.com/office/drawing/2014/main" id="{00000000-0008-0000-0D00-0000CE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07" name="Text Box 2">
          <a:extLst>
            <a:ext uri="{FF2B5EF4-FFF2-40B4-BE49-F238E27FC236}">
              <a16:creationId xmlns:a16="http://schemas.microsoft.com/office/drawing/2014/main" id="{00000000-0008-0000-0D00-0000CF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08" name="Text Box 2">
          <a:extLst>
            <a:ext uri="{FF2B5EF4-FFF2-40B4-BE49-F238E27FC236}">
              <a16:creationId xmlns:a16="http://schemas.microsoft.com/office/drawing/2014/main" id="{00000000-0008-0000-0D00-0000D0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09" name="Text Box 2">
          <a:extLst>
            <a:ext uri="{FF2B5EF4-FFF2-40B4-BE49-F238E27FC236}">
              <a16:creationId xmlns:a16="http://schemas.microsoft.com/office/drawing/2014/main" id="{00000000-0008-0000-0D00-0000D1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10" name="Text Box 2">
          <a:extLst>
            <a:ext uri="{FF2B5EF4-FFF2-40B4-BE49-F238E27FC236}">
              <a16:creationId xmlns:a16="http://schemas.microsoft.com/office/drawing/2014/main" id="{00000000-0008-0000-0D00-0000D2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11" name="Text Box 2">
          <a:extLst>
            <a:ext uri="{FF2B5EF4-FFF2-40B4-BE49-F238E27FC236}">
              <a16:creationId xmlns:a16="http://schemas.microsoft.com/office/drawing/2014/main" id="{00000000-0008-0000-0D00-0000D3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12" name="Text Box 2">
          <a:extLst>
            <a:ext uri="{FF2B5EF4-FFF2-40B4-BE49-F238E27FC236}">
              <a16:creationId xmlns:a16="http://schemas.microsoft.com/office/drawing/2014/main" id="{00000000-0008-0000-0D00-0000D4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13" name="Text Box 2">
          <a:extLst>
            <a:ext uri="{FF2B5EF4-FFF2-40B4-BE49-F238E27FC236}">
              <a16:creationId xmlns:a16="http://schemas.microsoft.com/office/drawing/2014/main" id="{00000000-0008-0000-0D00-0000D5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14" name="Text Box 2">
          <a:extLst>
            <a:ext uri="{FF2B5EF4-FFF2-40B4-BE49-F238E27FC236}">
              <a16:creationId xmlns:a16="http://schemas.microsoft.com/office/drawing/2014/main" id="{00000000-0008-0000-0D00-0000D6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15" name="Text Box 2">
          <a:extLst>
            <a:ext uri="{FF2B5EF4-FFF2-40B4-BE49-F238E27FC236}">
              <a16:creationId xmlns:a16="http://schemas.microsoft.com/office/drawing/2014/main" id="{00000000-0008-0000-0D00-0000D7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16" name="Text Box 2">
          <a:extLst>
            <a:ext uri="{FF2B5EF4-FFF2-40B4-BE49-F238E27FC236}">
              <a16:creationId xmlns:a16="http://schemas.microsoft.com/office/drawing/2014/main" id="{00000000-0008-0000-0D00-0000D8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17" name="Text Box 2">
          <a:extLst>
            <a:ext uri="{FF2B5EF4-FFF2-40B4-BE49-F238E27FC236}">
              <a16:creationId xmlns:a16="http://schemas.microsoft.com/office/drawing/2014/main" id="{00000000-0008-0000-0D00-0000D9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18" name="Text Box 2">
          <a:extLst>
            <a:ext uri="{FF2B5EF4-FFF2-40B4-BE49-F238E27FC236}">
              <a16:creationId xmlns:a16="http://schemas.microsoft.com/office/drawing/2014/main" id="{00000000-0008-0000-0D00-0000DA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19" name="Text Box 2">
          <a:extLst>
            <a:ext uri="{FF2B5EF4-FFF2-40B4-BE49-F238E27FC236}">
              <a16:creationId xmlns:a16="http://schemas.microsoft.com/office/drawing/2014/main" id="{00000000-0008-0000-0D00-0000DB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20" name="Text Box 2">
          <a:extLst>
            <a:ext uri="{FF2B5EF4-FFF2-40B4-BE49-F238E27FC236}">
              <a16:creationId xmlns:a16="http://schemas.microsoft.com/office/drawing/2014/main" id="{00000000-0008-0000-0D00-0000DC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21" name="Text Box 2">
          <a:extLst>
            <a:ext uri="{FF2B5EF4-FFF2-40B4-BE49-F238E27FC236}">
              <a16:creationId xmlns:a16="http://schemas.microsoft.com/office/drawing/2014/main" id="{00000000-0008-0000-0D00-0000DD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22" name="Text Box 2">
          <a:extLst>
            <a:ext uri="{FF2B5EF4-FFF2-40B4-BE49-F238E27FC236}">
              <a16:creationId xmlns:a16="http://schemas.microsoft.com/office/drawing/2014/main" id="{00000000-0008-0000-0D00-0000DE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23" name="Text Box 2">
          <a:extLst>
            <a:ext uri="{FF2B5EF4-FFF2-40B4-BE49-F238E27FC236}">
              <a16:creationId xmlns:a16="http://schemas.microsoft.com/office/drawing/2014/main" id="{00000000-0008-0000-0D00-0000DF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24" name="Text Box 2">
          <a:extLst>
            <a:ext uri="{FF2B5EF4-FFF2-40B4-BE49-F238E27FC236}">
              <a16:creationId xmlns:a16="http://schemas.microsoft.com/office/drawing/2014/main" id="{00000000-0008-0000-0D00-0000E0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25" name="Text Box 2">
          <a:extLst>
            <a:ext uri="{FF2B5EF4-FFF2-40B4-BE49-F238E27FC236}">
              <a16:creationId xmlns:a16="http://schemas.microsoft.com/office/drawing/2014/main" id="{00000000-0008-0000-0D00-0000E1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26" name="Text Box 2">
          <a:extLst>
            <a:ext uri="{FF2B5EF4-FFF2-40B4-BE49-F238E27FC236}">
              <a16:creationId xmlns:a16="http://schemas.microsoft.com/office/drawing/2014/main" id="{00000000-0008-0000-0D00-0000E2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27" name="Text Box 2">
          <a:extLst>
            <a:ext uri="{FF2B5EF4-FFF2-40B4-BE49-F238E27FC236}">
              <a16:creationId xmlns:a16="http://schemas.microsoft.com/office/drawing/2014/main" id="{00000000-0008-0000-0D00-0000E3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28" name="Text Box 2">
          <a:extLst>
            <a:ext uri="{FF2B5EF4-FFF2-40B4-BE49-F238E27FC236}">
              <a16:creationId xmlns:a16="http://schemas.microsoft.com/office/drawing/2014/main" id="{00000000-0008-0000-0D00-0000E4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29" name="Text Box 2">
          <a:extLst>
            <a:ext uri="{FF2B5EF4-FFF2-40B4-BE49-F238E27FC236}">
              <a16:creationId xmlns:a16="http://schemas.microsoft.com/office/drawing/2014/main" id="{00000000-0008-0000-0D00-0000E5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30" name="Text Box 2">
          <a:extLst>
            <a:ext uri="{FF2B5EF4-FFF2-40B4-BE49-F238E27FC236}">
              <a16:creationId xmlns:a16="http://schemas.microsoft.com/office/drawing/2014/main" id="{00000000-0008-0000-0D00-0000E6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31" name="Text Box 2">
          <a:extLst>
            <a:ext uri="{FF2B5EF4-FFF2-40B4-BE49-F238E27FC236}">
              <a16:creationId xmlns:a16="http://schemas.microsoft.com/office/drawing/2014/main" id="{00000000-0008-0000-0D00-0000E7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32" name="Text Box 2">
          <a:extLst>
            <a:ext uri="{FF2B5EF4-FFF2-40B4-BE49-F238E27FC236}">
              <a16:creationId xmlns:a16="http://schemas.microsoft.com/office/drawing/2014/main" id="{00000000-0008-0000-0D00-0000E8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33" name="Text Box 2">
          <a:extLst>
            <a:ext uri="{FF2B5EF4-FFF2-40B4-BE49-F238E27FC236}">
              <a16:creationId xmlns:a16="http://schemas.microsoft.com/office/drawing/2014/main" id="{00000000-0008-0000-0D00-0000E9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34" name="Text Box 2">
          <a:extLst>
            <a:ext uri="{FF2B5EF4-FFF2-40B4-BE49-F238E27FC236}">
              <a16:creationId xmlns:a16="http://schemas.microsoft.com/office/drawing/2014/main" id="{00000000-0008-0000-0D00-0000EA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35" name="Text Box 2">
          <a:extLst>
            <a:ext uri="{FF2B5EF4-FFF2-40B4-BE49-F238E27FC236}">
              <a16:creationId xmlns:a16="http://schemas.microsoft.com/office/drawing/2014/main" id="{00000000-0008-0000-0D00-0000EB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36" name="Text Box 2">
          <a:extLst>
            <a:ext uri="{FF2B5EF4-FFF2-40B4-BE49-F238E27FC236}">
              <a16:creationId xmlns:a16="http://schemas.microsoft.com/office/drawing/2014/main" id="{00000000-0008-0000-0D00-0000EC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37" name="Text Box 2">
          <a:extLst>
            <a:ext uri="{FF2B5EF4-FFF2-40B4-BE49-F238E27FC236}">
              <a16:creationId xmlns:a16="http://schemas.microsoft.com/office/drawing/2014/main" id="{00000000-0008-0000-0D00-0000ED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38" name="Text Box 2">
          <a:extLst>
            <a:ext uri="{FF2B5EF4-FFF2-40B4-BE49-F238E27FC236}">
              <a16:creationId xmlns:a16="http://schemas.microsoft.com/office/drawing/2014/main" id="{00000000-0008-0000-0D00-0000EE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39" name="Text Box 2">
          <a:extLst>
            <a:ext uri="{FF2B5EF4-FFF2-40B4-BE49-F238E27FC236}">
              <a16:creationId xmlns:a16="http://schemas.microsoft.com/office/drawing/2014/main" id="{00000000-0008-0000-0D00-0000EF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40" name="Text Box 2">
          <a:extLst>
            <a:ext uri="{FF2B5EF4-FFF2-40B4-BE49-F238E27FC236}">
              <a16:creationId xmlns:a16="http://schemas.microsoft.com/office/drawing/2014/main" id="{00000000-0008-0000-0D00-0000F0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41" name="Text Box 2">
          <a:extLst>
            <a:ext uri="{FF2B5EF4-FFF2-40B4-BE49-F238E27FC236}">
              <a16:creationId xmlns:a16="http://schemas.microsoft.com/office/drawing/2014/main" id="{00000000-0008-0000-0D00-0000F1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42" name="Text Box 2">
          <a:extLst>
            <a:ext uri="{FF2B5EF4-FFF2-40B4-BE49-F238E27FC236}">
              <a16:creationId xmlns:a16="http://schemas.microsoft.com/office/drawing/2014/main" id="{00000000-0008-0000-0D00-0000F2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43" name="Text Box 2">
          <a:extLst>
            <a:ext uri="{FF2B5EF4-FFF2-40B4-BE49-F238E27FC236}">
              <a16:creationId xmlns:a16="http://schemas.microsoft.com/office/drawing/2014/main" id="{00000000-0008-0000-0D00-0000F3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244" name="Text Box 2">
          <a:extLst>
            <a:ext uri="{FF2B5EF4-FFF2-40B4-BE49-F238E27FC236}">
              <a16:creationId xmlns:a16="http://schemas.microsoft.com/office/drawing/2014/main" id="{00000000-0008-0000-0D00-0000F400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45" name="Text Box 2">
          <a:extLst>
            <a:ext uri="{FF2B5EF4-FFF2-40B4-BE49-F238E27FC236}">
              <a16:creationId xmlns:a16="http://schemas.microsoft.com/office/drawing/2014/main" id="{00000000-0008-0000-0D00-0000F5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46" name="Text Box 2">
          <a:extLst>
            <a:ext uri="{FF2B5EF4-FFF2-40B4-BE49-F238E27FC236}">
              <a16:creationId xmlns:a16="http://schemas.microsoft.com/office/drawing/2014/main" id="{00000000-0008-0000-0D00-0000F6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47" name="Text Box 2">
          <a:extLst>
            <a:ext uri="{FF2B5EF4-FFF2-40B4-BE49-F238E27FC236}">
              <a16:creationId xmlns:a16="http://schemas.microsoft.com/office/drawing/2014/main" id="{00000000-0008-0000-0D00-0000F7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48" name="Text Box 2">
          <a:extLst>
            <a:ext uri="{FF2B5EF4-FFF2-40B4-BE49-F238E27FC236}">
              <a16:creationId xmlns:a16="http://schemas.microsoft.com/office/drawing/2014/main" id="{00000000-0008-0000-0D00-0000F8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49" name="Text Box 2">
          <a:extLst>
            <a:ext uri="{FF2B5EF4-FFF2-40B4-BE49-F238E27FC236}">
              <a16:creationId xmlns:a16="http://schemas.microsoft.com/office/drawing/2014/main" id="{00000000-0008-0000-0D00-0000F9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50" name="Text Box 2">
          <a:extLst>
            <a:ext uri="{FF2B5EF4-FFF2-40B4-BE49-F238E27FC236}">
              <a16:creationId xmlns:a16="http://schemas.microsoft.com/office/drawing/2014/main" id="{00000000-0008-0000-0D00-0000FA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51" name="Text Box 2">
          <a:extLst>
            <a:ext uri="{FF2B5EF4-FFF2-40B4-BE49-F238E27FC236}">
              <a16:creationId xmlns:a16="http://schemas.microsoft.com/office/drawing/2014/main" id="{00000000-0008-0000-0D00-0000FB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52" name="Text Box 2">
          <a:extLst>
            <a:ext uri="{FF2B5EF4-FFF2-40B4-BE49-F238E27FC236}">
              <a16:creationId xmlns:a16="http://schemas.microsoft.com/office/drawing/2014/main" id="{00000000-0008-0000-0D00-0000FC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53" name="Text Box 2">
          <a:extLst>
            <a:ext uri="{FF2B5EF4-FFF2-40B4-BE49-F238E27FC236}">
              <a16:creationId xmlns:a16="http://schemas.microsoft.com/office/drawing/2014/main" id="{00000000-0008-0000-0D00-0000FD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54" name="Text Box 2">
          <a:extLst>
            <a:ext uri="{FF2B5EF4-FFF2-40B4-BE49-F238E27FC236}">
              <a16:creationId xmlns:a16="http://schemas.microsoft.com/office/drawing/2014/main" id="{00000000-0008-0000-0D00-0000FE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55" name="Text Box 2">
          <a:extLst>
            <a:ext uri="{FF2B5EF4-FFF2-40B4-BE49-F238E27FC236}">
              <a16:creationId xmlns:a16="http://schemas.microsoft.com/office/drawing/2014/main" id="{00000000-0008-0000-0D00-0000FF00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56" name="Text Box 2">
          <a:extLst>
            <a:ext uri="{FF2B5EF4-FFF2-40B4-BE49-F238E27FC236}">
              <a16:creationId xmlns:a16="http://schemas.microsoft.com/office/drawing/2014/main" id="{00000000-0008-0000-0D00-000000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57" name="Text Box 2">
          <a:extLst>
            <a:ext uri="{FF2B5EF4-FFF2-40B4-BE49-F238E27FC236}">
              <a16:creationId xmlns:a16="http://schemas.microsoft.com/office/drawing/2014/main" id="{00000000-0008-0000-0D00-000001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58" name="Text Box 2">
          <a:extLst>
            <a:ext uri="{FF2B5EF4-FFF2-40B4-BE49-F238E27FC236}">
              <a16:creationId xmlns:a16="http://schemas.microsoft.com/office/drawing/2014/main" id="{00000000-0008-0000-0D00-000002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59" name="Text Box 2">
          <a:extLst>
            <a:ext uri="{FF2B5EF4-FFF2-40B4-BE49-F238E27FC236}">
              <a16:creationId xmlns:a16="http://schemas.microsoft.com/office/drawing/2014/main" id="{00000000-0008-0000-0D00-000003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60" name="Text Box 2">
          <a:extLst>
            <a:ext uri="{FF2B5EF4-FFF2-40B4-BE49-F238E27FC236}">
              <a16:creationId xmlns:a16="http://schemas.microsoft.com/office/drawing/2014/main" id="{00000000-0008-0000-0D00-000004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61" name="Text Box 2">
          <a:extLst>
            <a:ext uri="{FF2B5EF4-FFF2-40B4-BE49-F238E27FC236}">
              <a16:creationId xmlns:a16="http://schemas.microsoft.com/office/drawing/2014/main" id="{00000000-0008-0000-0D00-000005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62" name="Text Box 2">
          <a:extLst>
            <a:ext uri="{FF2B5EF4-FFF2-40B4-BE49-F238E27FC236}">
              <a16:creationId xmlns:a16="http://schemas.microsoft.com/office/drawing/2014/main" id="{00000000-0008-0000-0D00-000006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63" name="Text Box 2">
          <a:extLst>
            <a:ext uri="{FF2B5EF4-FFF2-40B4-BE49-F238E27FC236}">
              <a16:creationId xmlns:a16="http://schemas.microsoft.com/office/drawing/2014/main" id="{00000000-0008-0000-0D00-000007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64" name="Text Box 2">
          <a:extLst>
            <a:ext uri="{FF2B5EF4-FFF2-40B4-BE49-F238E27FC236}">
              <a16:creationId xmlns:a16="http://schemas.microsoft.com/office/drawing/2014/main" id="{00000000-0008-0000-0D00-000008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65" name="Text Box 2">
          <a:extLst>
            <a:ext uri="{FF2B5EF4-FFF2-40B4-BE49-F238E27FC236}">
              <a16:creationId xmlns:a16="http://schemas.microsoft.com/office/drawing/2014/main" id="{00000000-0008-0000-0D00-000009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66" name="Text Box 2">
          <a:extLst>
            <a:ext uri="{FF2B5EF4-FFF2-40B4-BE49-F238E27FC236}">
              <a16:creationId xmlns:a16="http://schemas.microsoft.com/office/drawing/2014/main" id="{00000000-0008-0000-0D00-00000A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67" name="Text Box 2">
          <a:extLst>
            <a:ext uri="{FF2B5EF4-FFF2-40B4-BE49-F238E27FC236}">
              <a16:creationId xmlns:a16="http://schemas.microsoft.com/office/drawing/2014/main" id="{00000000-0008-0000-0D00-00000B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68" name="Text Box 2">
          <a:extLst>
            <a:ext uri="{FF2B5EF4-FFF2-40B4-BE49-F238E27FC236}">
              <a16:creationId xmlns:a16="http://schemas.microsoft.com/office/drawing/2014/main" id="{00000000-0008-0000-0D00-00000C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69" name="Text Box 2">
          <a:extLst>
            <a:ext uri="{FF2B5EF4-FFF2-40B4-BE49-F238E27FC236}">
              <a16:creationId xmlns:a16="http://schemas.microsoft.com/office/drawing/2014/main" id="{00000000-0008-0000-0D00-00000D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70" name="Text Box 2">
          <a:extLst>
            <a:ext uri="{FF2B5EF4-FFF2-40B4-BE49-F238E27FC236}">
              <a16:creationId xmlns:a16="http://schemas.microsoft.com/office/drawing/2014/main" id="{00000000-0008-0000-0D00-00000E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71" name="Text Box 2">
          <a:extLst>
            <a:ext uri="{FF2B5EF4-FFF2-40B4-BE49-F238E27FC236}">
              <a16:creationId xmlns:a16="http://schemas.microsoft.com/office/drawing/2014/main" id="{00000000-0008-0000-0D00-00000F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72" name="Text Box 2">
          <a:extLst>
            <a:ext uri="{FF2B5EF4-FFF2-40B4-BE49-F238E27FC236}">
              <a16:creationId xmlns:a16="http://schemas.microsoft.com/office/drawing/2014/main" id="{00000000-0008-0000-0D00-000010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73" name="Text Box 2">
          <a:extLst>
            <a:ext uri="{FF2B5EF4-FFF2-40B4-BE49-F238E27FC236}">
              <a16:creationId xmlns:a16="http://schemas.microsoft.com/office/drawing/2014/main" id="{00000000-0008-0000-0D00-000011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74" name="Text Box 2">
          <a:extLst>
            <a:ext uri="{FF2B5EF4-FFF2-40B4-BE49-F238E27FC236}">
              <a16:creationId xmlns:a16="http://schemas.microsoft.com/office/drawing/2014/main" id="{00000000-0008-0000-0D00-000012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75" name="Text Box 2">
          <a:extLst>
            <a:ext uri="{FF2B5EF4-FFF2-40B4-BE49-F238E27FC236}">
              <a16:creationId xmlns:a16="http://schemas.microsoft.com/office/drawing/2014/main" id="{00000000-0008-0000-0D00-000013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76" name="Text Box 2">
          <a:extLst>
            <a:ext uri="{FF2B5EF4-FFF2-40B4-BE49-F238E27FC236}">
              <a16:creationId xmlns:a16="http://schemas.microsoft.com/office/drawing/2014/main" id="{00000000-0008-0000-0D00-000014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77" name="Text Box 2">
          <a:extLst>
            <a:ext uri="{FF2B5EF4-FFF2-40B4-BE49-F238E27FC236}">
              <a16:creationId xmlns:a16="http://schemas.microsoft.com/office/drawing/2014/main" id="{00000000-0008-0000-0D00-000015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78" name="Text Box 2">
          <a:extLst>
            <a:ext uri="{FF2B5EF4-FFF2-40B4-BE49-F238E27FC236}">
              <a16:creationId xmlns:a16="http://schemas.microsoft.com/office/drawing/2014/main" id="{00000000-0008-0000-0D00-000016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79" name="Text Box 2">
          <a:extLst>
            <a:ext uri="{FF2B5EF4-FFF2-40B4-BE49-F238E27FC236}">
              <a16:creationId xmlns:a16="http://schemas.microsoft.com/office/drawing/2014/main" id="{00000000-0008-0000-0D00-000017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80" name="Text Box 2">
          <a:extLst>
            <a:ext uri="{FF2B5EF4-FFF2-40B4-BE49-F238E27FC236}">
              <a16:creationId xmlns:a16="http://schemas.microsoft.com/office/drawing/2014/main" id="{00000000-0008-0000-0D00-000018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81" name="Text Box 2">
          <a:extLst>
            <a:ext uri="{FF2B5EF4-FFF2-40B4-BE49-F238E27FC236}">
              <a16:creationId xmlns:a16="http://schemas.microsoft.com/office/drawing/2014/main" id="{00000000-0008-0000-0D00-000019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82" name="Text Box 2">
          <a:extLst>
            <a:ext uri="{FF2B5EF4-FFF2-40B4-BE49-F238E27FC236}">
              <a16:creationId xmlns:a16="http://schemas.microsoft.com/office/drawing/2014/main" id="{00000000-0008-0000-0D00-00001A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83" name="Text Box 2">
          <a:extLst>
            <a:ext uri="{FF2B5EF4-FFF2-40B4-BE49-F238E27FC236}">
              <a16:creationId xmlns:a16="http://schemas.microsoft.com/office/drawing/2014/main" id="{00000000-0008-0000-0D00-00001B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84" name="Text Box 2">
          <a:extLst>
            <a:ext uri="{FF2B5EF4-FFF2-40B4-BE49-F238E27FC236}">
              <a16:creationId xmlns:a16="http://schemas.microsoft.com/office/drawing/2014/main" id="{00000000-0008-0000-0D00-00001C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85" name="Text Box 2">
          <a:extLst>
            <a:ext uri="{FF2B5EF4-FFF2-40B4-BE49-F238E27FC236}">
              <a16:creationId xmlns:a16="http://schemas.microsoft.com/office/drawing/2014/main" id="{00000000-0008-0000-0D00-00001D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86" name="Text Box 2">
          <a:extLst>
            <a:ext uri="{FF2B5EF4-FFF2-40B4-BE49-F238E27FC236}">
              <a16:creationId xmlns:a16="http://schemas.microsoft.com/office/drawing/2014/main" id="{00000000-0008-0000-0D00-00001E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87" name="Text Box 2">
          <a:extLst>
            <a:ext uri="{FF2B5EF4-FFF2-40B4-BE49-F238E27FC236}">
              <a16:creationId xmlns:a16="http://schemas.microsoft.com/office/drawing/2014/main" id="{00000000-0008-0000-0D00-00001F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88" name="Text Box 2">
          <a:extLst>
            <a:ext uri="{FF2B5EF4-FFF2-40B4-BE49-F238E27FC236}">
              <a16:creationId xmlns:a16="http://schemas.microsoft.com/office/drawing/2014/main" id="{00000000-0008-0000-0D00-000020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89" name="Text Box 2">
          <a:extLst>
            <a:ext uri="{FF2B5EF4-FFF2-40B4-BE49-F238E27FC236}">
              <a16:creationId xmlns:a16="http://schemas.microsoft.com/office/drawing/2014/main" id="{00000000-0008-0000-0D00-000021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90" name="Text Box 2">
          <a:extLst>
            <a:ext uri="{FF2B5EF4-FFF2-40B4-BE49-F238E27FC236}">
              <a16:creationId xmlns:a16="http://schemas.microsoft.com/office/drawing/2014/main" id="{00000000-0008-0000-0D00-000022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91" name="Text Box 2">
          <a:extLst>
            <a:ext uri="{FF2B5EF4-FFF2-40B4-BE49-F238E27FC236}">
              <a16:creationId xmlns:a16="http://schemas.microsoft.com/office/drawing/2014/main" id="{00000000-0008-0000-0D00-000023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92" name="Text Box 2">
          <a:extLst>
            <a:ext uri="{FF2B5EF4-FFF2-40B4-BE49-F238E27FC236}">
              <a16:creationId xmlns:a16="http://schemas.microsoft.com/office/drawing/2014/main" id="{00000000-0008-0000-0D00-000024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93" name="Text Box 2">
          <a:extLst>
            <a:ext uri="{FF2B5EF4-FFF2-40B4-BE49-F238E27FC236}">
              <a16:creationId xmlns:a16="http://schemas.microsoft.com/office/drawing/2014/main" id="{00000000-0008-0000-0D00-000025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94" name="Text Box 2">
          <a:extLst>
            <a:ext uri="{FF2B5EF4-FFF2-40B4-BE49-F238E27FC236}">
              <a16:creationId xmlns:a16="http://schemas.microsoft.com/office/drawing/2014/main" id="{00000000-0008-0000-0D00-000026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95" name="Text Box 2">
          <a:extLst>
            <a:ext uri="{FF2B5EF4-FFF2-40B4-BE49-F238E27FC236}">
              <a16:creationId xmlns:a16="http://schemas.microsoft.com/office/drawing/2014/main" id="{00000000-0008-0000-0D00-000027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96" name="Text Box 2">
          <a:extLst>
            <a:ext uri="{FF2B5EF4-FFF2-40B4-BE49-F238E27FC236}">
              <a16:creationId xmlns:a16="http://schemas.microsoft.com/office/drawing/2014/main" id="{00000000-0008-0000-0D00-000028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97" name="Text Box 2">
          <a:extLst>
            <a:ext uri="{FF2B5EF4-FFF2-40B4-BE49-F238E27FC236}">
              <a16:creationId xmlns:a16="http://schemas.microsoft.com/office/drawing/2014/main" id="{00000000-0008-0000-0D00-000029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98" name="Text Box 2">
          <a:extLst>
            <a:ext uri="{FF2B5EF4-FFF2-40B4-BE49-F238E27FC236}">
              <a16:creationId xmlns:a16="http://schemas.microsoft.com/office/drawing/2014/main" id="{00000000-0008-0000-0D00-00002A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299" name="Text Box 2">
          <a:extLst>
            <a:ext uri="{FF2B5EF4-FFF2-40B4-BE49-F238E27FC236}">
              <a16:creationId xmlns:a16="http://schemas.microsoft.com/office/drawing/2014/main" id="{00000000-0008-0000-0D00-00002B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00" name="Text Box 2">
          <a:extLst>
            <a:ext uri="{FF2B5EF4-FFF2-40B4-BE49-F238E27FC236}">
              <a16:creationId xmlns:a16="http://schemas.microsoft.com/office/drawing/2014/main" id="{00000000-0008-0000-0D00-00002C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01" name="Text Box 2">
          <a:extLst>
            <a:ext uri="{FF2B5EF4-FFF2-40B4-BE49-F238E27FC236}">
              <a16:creationId xmlns:a16="http://schemas.microsoft.com/office/drawing/2014/main" id="{00000000-0008-0000-0D00-00002D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02" name="Text Box 2">
          <a:extLst>
            <a:ext uri="{FF2B5EF4-FFF2-40B4-BE49-F238E27FC236}">
              <a16:creationId xmlns:a16="http://schemas.microsoft.com/office/drawing/2014/main" id="{00000000-0008-0000-0D00-00002E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03" name="Text Box 2">
          <a:extLst>
            <a:ext uri="{FF2B5EF4-FFF2-40B4-BE49-F238E27FC236}">
              <a16:creationId xmlns:a16="http://schemas.microsoft.com/office/drawing/2014/main" id="{00000000-0008-0000-0D00-00002F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04" name="Text Box 2">
          <a:extLst>
            <a:ext uri="{FF2B5EF4-FFF2-40B4-BE49-F238E27FC236}">
              <a16:creationId xmlns:a16="http://schemas.microsoft.com/office/drawing/2014/main" id="{00000000-0008-0000-0D00-000030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05" name="Text Box 2">
          <a:extLst>
            <a:ext uri="{FF2B5EF4-FFF2-40B4-BE49-F238E27FC236}">
              <a16:creationId xmlns:a16="http://schemas.microsoft.com/office/drawing/2014/main" id="{00000000-0008-0000-0D00-000031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06" name="Text Box 2">
          <a:extLst>
            <a:ext uri="{FF2B5EF4-FFF2-40B4-BE49-F238E27FC236}">
              <a16:creationId xmlns:a16="http://schemas.microsoft.com/office/drawing/2014/main" id="{00000000-0008-0000-0D00-000032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07" name="Text Box 2">
          <a:extLst>
            <a:ext uri="{FF2B5EF4-FFF2-40B4-BE49-F238E27FC236}">
              <a16:creationId xmlns:a16="http://schemas.microsoft.com/office/drawing/2014/main" id="{00000000-0008-0000-0D00-000033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08" name="Text Box 2">
          <a:extLst>
            <a:ext uri="{FF2B5EF4-FFF2-40B4-BE49-F238E27FC236}">
              <a16:creationId xmlns:a16="http://schemas.microsoft.com/office/drawing/2014/main" id="{00000000-0008-0000-0D00-000034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09" name="Text Box 2">
          <a:extLst>
            <a:ext uri="{FF2B5EF4-FFF2-40B4-BE49-F238E27FC236}">
              <a16:creationId xmlns:a16="http://schemas.microsoft.com/office/drawing/2014/main" id="{00000000-0008-0000-0D00-000035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10" name="Text Box 2">
          <a:extLst>
            <a:ext uri="{FF2B5EF4-FFF2-40B4-BE49-F238E27FC236}">
              <a16:creationId xmlns:a16="http://schemas.microsoft.com/office/drawing/2014/main" id="{00000000-0008-0000-0D00-000036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11" name="Text Box 2">
          <a:extLst>
            <a:ext uri="{FF2B5EF4-FFF2-40B4-BE49-F238E27FC236}">
              <a16:creationId xmlns:a16="http://schemas.microsoft.com/office/drawing/2014/main" id="{00000000-0008-0000-0D00-000037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12" name="Text Box 2">
          <a:extLst>
            <a:ext uri="{FF2B5EF4-FFF2-40B4-BE49-F238E27FC236}">
              <a16:creationId xmlns:a16="http://schemas.microsoft.com/office/drawing/2014/main" id="{00000000-0008-0000-0D00-000038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13" name="Text Box 2">
          <a:extLst>
            <a:ext uri="{FF2B5EF4-FFF2-40B4-BE49-F238E27FC236}">
              <a16:creationId xmlns:a16="http://schemas.microsoft.com/office/drawing/2014/main" id="{00000000-0008-0000-0D00-000039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14" name="Text Box 2">
          <a:extLst>
            <a:ext uri="{FF2B5EF4-FFF2-40B4-BE49-F238E27FC236}">
              <a16:creationId xmlns:a16="http://schemas.microsoft.com/office/drawing/2014/main" id="{00000000-0008-0000-0D00-00003A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15" name="Text Box 2">
          <a:extLst>
            <a:ext uri="{FF2B5EF4-FFF2-40B4-BE49-F238E27FC236}">
              <a16:creationId xmlns:a16="http://schemas.microsoft.com/office/drawing/2014/main" id="{00000000-0008-0000-0D00-00003B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16" name="Text Box 2">
          <a:extLst>
            <a:ext uri="{FF2B5EF4-FFF2-40B4-BE49-F238E27FC236}">
              <a16:creationId xmlns:a16="http://schemas.microsoft.com/office/drawing/2014/main" id="{00000000-0008-0000-0D00-00003C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17" name="Text Box 2">
          <a:extLst>
            <a:ext uri="{FF2B5EF4-FFF2-40B4-BE49-F238E27FC236}">
              <a16:creationId xmlns:a16="http://schemas.microsoft.com/office/drawing/2014/main" id="{00000000-0008-0000-0D00-00003D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18" name="Text Box 2">
          <a:extLst>
            <a:ext uri="{FF2B5EF4-FFF2-40B4-BE49-F238E27FC236}">
              <a16:creationId xmlns:a16="http://schemas.microsoft.com/office/drawing/2014/main" id="{00000000-0008-0000-0D00-00003E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19" name="Text Box 2">
          <a:extLst>
            <a:ext uri="{FF2B5EF4-FFF2-40B4-BE49-F238E27FC236}">
              <a16:creationId xmlns:a16="http://schemas.microsoft.com/office/drawing/2014/main" id="{00000000-0008-0000-0D00-00003F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20" name="Text Box 2">
          <a:extLst>
            <a:ext uri="{FF2B5EF4-FFF2-40B4-BE49-F238E27FC236}">
              <a16:creationId xmlns:a16="http://schemas.microsoft.com/office/drawing/2014/main" id="{00000000-0008-0000-0D00-000040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21" name="Text Box 2">
          <a:extLst>
            <a:ext uri="{FF2B5EF4-FFF2-40B4-BE49-F238E27FC236}">
              <a16:creationId xmlns:a16="http://schemas.microsoft.com/office/drawing/2014/main" id="{00000000-0008-0000-0D00-000041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22" name="Text Box 2">
          <a:extLst>
            <a:ext uri="{FF2B5EF4-FFF2-40B4-BE49-F238E27FC236}">
              <a16:creationId xmlns:a16="http://schemas.microsoft.com/office/drawing/2014/main" id="{00000000-0008-0000-0D00-000042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23" name="Text Box 2">
          <a:extLst>
            <a:ext uri="{FF2B5EF4-FFF2-40B4-BE49-F238E27FC236}">
              <a16:creationId xmlns:a16="http://schemas.microsoft.com/office/drawing/2014/main" id="{00000000-0008-0000-0D00-000043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24" name="Text Box 2">
          <a:extLst>
            <a:ext uri="{FF2B5EF4-FFF2-40B4-BE49-F238E27FC236}">
              <a16:creationId xmlns:a16="http://schemas.microsoft.com/office/drawing/2014/main" id="{00000000-0008-0000-0D00-000044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25" name="Text Box 2">
          <a:extLst>
            <a:ext uri="{FF2B5EF4-FFF2-40B4-BE49-F238E27FC236}">
              <a16:creationId xmlns:a16="http://schemas.microsoft.com/office/drawing/2014/main" id="{00000000-0008-0000-0D00-000045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26" name="Text Box 2">
          <a:extLst>
            <a:ext uri="{FF2B5EF4-FFF2-40B4-BE49-F238E27FC236}">
              <a16:creationId xmlns:a16="http://schemas.microsoft.com/office/drawing/2014/main" id="{00000000-0008-0000-0D00-000046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27" name="Text Box 2">
          <a:extLst>
            <a:ext uri="{FF2B5EF4-FFF2-40B4-BE49-F238E27FC236}">
              <a16:creationId xmlns:a16="http://schemas.microsoft.com/office/drawing/2014/main" id="{00000000-0008-0000-0D00-000047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28" name="Text Box 2">
          <a:extLst>
            <a:ext uri="{FF2B5EF4-FFF2-40B4-BE49-F238E27FC236}">
              <a16:creationId xmlns:a16="http://schemas.microsoft.com/office/drawing/2014/main" id="{00000000-0008-0000-0D00-000048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29" name="Text Box 2">
          <a:extLst>
            <a:ext uri="{FF2B5EF4-FFF2-40B4-BE49-F238E27FC236}">
              <a16:creationId xmlns:a16="http://schemas.microsoft.com/office/drawing/2014/main" id="{00000000-0008-0000-0D00-000049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30" name="Text Box 2">
          <a:extLst>
            <a:ext uri="{FF2B5EF4-FFF2-40B4-BE49-F238E27FC236}">
              <a16:creationId xmlns:a16="http://schemas.microsoft.com/office/drawing/2014/main" id="{00000000-0008-0000-0D00-00004A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31" name="Text Box 2">
          <a:extLst>
            <a:ext uri="{FF2B5EF4-FFF2-40B4-BE49-F238E27FC236}">
              <a16:creationId xmlns:a16="http://schemas.microsoft.com/office/drawing/2014/main" id="{00000000-0008-0000-0D00-00004B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32" name="Text Box 2">
          <a:extLst>
            <a:ext uri="{FF2B5EF4-FFF2-40B4-BE49-F238E27FC236}">
              <a16:creationId xmlns:a16="http://schemas.microsoft.com/office/drawing/2014/main" id="{00000000-0008-0000-0D00-00004C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33" name="Text Box 2">
          <a:extLst>
            <a:ext uri="{FF2B5EF4-FFF2-40B4-BE49-F238E27FC236}">
              <a16:creationId xmlns:a16="http://schemas.microsoft.com/office/drawing/2014/main" id="{00000000-0008-0000-0D00-00004D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34" name="Text Box 2">
          <a:extLst>
            <a:ext uri="{FF2B5EF4-FFF2-40B4-BE49-F238E27FC236}">
              <a16:creationId xmlns:a16="http://schemas.microsoft.com/office/drawing/2014/main" id="{00000000-0008-0000-0D00-00004E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35" name="Text Box 2">
          <a:extLst>
            <a:ext uri="{FF2B5EF4-FFF2-40B4-BE49-F238E27FC236}">
              <a16:creationId xmlns:a16="http://schemas.microsoft.com/office/drawing/2014/main" id="{00000000-0008-0000-0D00-00004F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36" name="Text Box 2">
          <a:extLst>
            <a:ext uri="{FF2B5EF4-FFF2-40B4-BE49-F238E27FC236}">
              <a16:creationId xmlns:a16="http://schemas.microsoft.com/office/drawing/2014/main" id="{00000000-0008-0000-0D00-000050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37" name="Text Box 2">
          <a:extLst>
            <a:ext uri="{FF2B5EF4-FFF2-40B4-BE49-F238E27FC236}">
              <a16:creationId xmlns:a16="http://schemas.microsoft.com/office/drawing/2014/main" id="{00000000-0008-0000-0D00-000051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38" name="Text Box 2">
          <a:extLst>
            <a:ext uri="{FF2B5EF4-FFF2-40B4-BE49-F238E27FC236}">
              <a16:creationId xmlns:a16="http://schemas.microsoft.com/office/drawing/2014/main" id="{00000000-0008-0000-0D00-000052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39" name="Text Box 2">
          <a:extLst>
            <a:ext uri="{FF2B5EF4-FFF2-40B4-BE49-F238E27FC236}">
              <a16:creationId xmlns:a16="http://schemas.microsoft.com/office/drawing/2014/main" id="{00000000-0008-0000-0D00-000053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40" name="Text Box 2">
          <a:extLst>
            <a:ext uri="{FF2B5EF4-FFF2-40B4-BE49-F238E27FC236}">
              <a16:creationId xmlns:a16="http://schemas.microsoft.com/office/drawing/2014/main" id="{00000000-0008-0000-0D00-000054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41" name="Text Box 2">
          <a:extLst>
            <a:ext uri="{FF2B5EF4-FFF2-40B4-BE49-F238E27FC236}">
              <a16:creationId xmlns:a16="http://schemas.microsoft.com/office/drawing/2014/main" id="{00000000-0008-0000-0D00-000055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42" name="Text Box 2">
          <a:extLst>
            <a:ext uri="{FF2B5EF4-FFF2-40B4-BE49-F238E27FC236}">
              <a16:creationId xmlns:a16="http://schemas.microsoft.com/office/drawing/2014/main" id="{00000000-0008-0000-0D00-000056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43" name="Text Box 2">
          <a:extLst>
            <a:ext uri="{FF2B5EF4-FFF2-40B4-BE49-F238E27FC236}">
              <a16:creationId xmlns:a16="http://schemas.microsoft.com/office/drawing/2014/main" id="{00000000-0008-0000-0D00-000057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44" name="Text Box 2">
          <a:extLst>
            <a:ext uri="{FF2B5EF4-FFF2-40B4-BE49-F238E27FC236}">
              <a16:creationId xmlns:a16="http://schemas.microsoft.com/office/drawing/2014/main" id="{00000000-0008-0000-0D00-000058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45" name="Text Box 2">
          <a:extLst>
            <a:ext uri="{FF2B5EF4-FFF2-40B4-BE49-F238E27FC236}">
              <a16:creationId xmlns:a16="http://schemas.microsoft.com/office/drawing/2014/main" id="{00000000-0008-0000-0D00-000059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46" name="Text Box 2">
          <a:extLst>
            <a:ext uri="{FF2B5EF4-FFF2-40B4-BE49-F238E27FC236}">
              <a16:creationId xmlns:a16="http://schemas.microsoft.com/office/drawing/2014/main" id="{00000000-0008-0000-0D00-00005A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47" name="Text Box 2">
          <a:extLst>
            <a:ext uri="{FF2B5EF4-FFF2-40B4-BE49-F238E27FC236}">
              <a16:creationId xmlns:a16="http://schemas.microsoft.com/office/drawing/2014/main" id="{00000000-0008-0000-0D00-00005B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48" name="Text Box 2">
          <a:extLst>
            <a:ext uri="{FF2B5EF4-FFF2-40B4-BE49-F238E27FC236}">
              <a16:creationId xmlns:a16="http://schemas.microsoft.com/office/drawing/2014/main" id="{00000000-0008-0000-0D00-00005C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49" name="Text Box 2">
          <a:extLst>
            <a:ext uri="{FF2B5EF4-FFF2-40B4-BE49-F238E27FC236}">
              <a16:creationId xmlns:a16="http://schemas.microsoft.com/office/drawing/2014/main" id="{00000000-0008-0000-0D00-00005D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50" name="Text Box 2">
          <a:extLst>
            <a:ext uri="{FF2B5EF4-FFF2-40B4-BE49-F238E27FC236}">
              <a16:creationId xmlns:a16="http://schemas.microsoft.com/office/drawing/2014/main" id="{00000000-0008-0000-0D00-00005E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51" name="Text Box 2">
          <a:extLst>
            <a:ext uri="{FF2B5EF4-FFF2-40B4-BE49-F238E27FC236}">
              <a16:creationId xmlns:a16="http://schemas.microsoft.com/office/drawing/2014/main" id="{00000000-0008-0000-0D00-00005F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52" name="Text Box 2">
          <a:extLst>
            <a:ext uri="{FF2B5EF4-FFF2-40B4-BE49-F238E27FC236}">
              <a16:creationId xmlns:a16="http://schemas.microsoft.com/office/drawing/2014/main" id="{00000000-0008-0000-0D00-000060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53" name="Text Box 2">
          <a:extLst>
            <a:ext uri="{FF2B5EF4-FFF2-40B4-BE49-F238E27FC236}">
              <a16:creationId xmlns:a16="http://schemas.microsoft.com/office/drawing/2014/main" id="{00000000-0008-0000-0D00-000061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54" name="Text Box 2">
          <a:extLst>
            <a:ext uri="{FF2B5EF4-FFF2-40B4-BE49-F238E27FC236}">
              <a16:creationId xmlns:a16="http://schemas.microsoft.com/office/drawing/2014/main" id="{00000000-0008-0000-0D00-000062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55" name="Text Box 2">
          <a:extLst>
            <a:ext uri="{FF2B5EF4-FFF2-40B4-BE49-F238E27FC236}">
              <a16:creationId xmlns:a16="http://schemas.microsoft.com/office/drawing/2014/main" id="{00000000-0008-0000-0D00-000063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56" name="Text Box 2">
          <a:extLst>
            <a:ext uri="{FF2B5EF4-FFF2-40B4-BE49-F238E27FC236}">
              <a16:creationId xmlns:a16="http://schemas.microsoft.com/office/drawing/2014/main" id="{00000000-0008-0000-0D00-000064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57" name="Text Box 2">
          <a:extLst>
            <a:ext uri="{FF2B5EF4-FFF2-40B4-BE49-F238E27FC236}">
              <a16:creationId xmlns:a16="http://schemas.microsoft.com/office/drawing/2014/main" id="{00000000-0008-0000-0D00-000065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58" name="Text Box 2">
          <a:extLst>
            <a:ext uri="{FF2B5EF4-FFF2-40B4-BE49-F238E27FC236}">
              <a16:creationId xmlns:a16="http://schemas.microsoft.com/office/drawing/2014/main" id="{00000000-0008-0000-0D00-000066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59" name="Text Box 2">
          <a:extLst>
            <a:ext uri="{FF2B5EF4-FFF2-40B4-BE49-F238E27FC236}">
              <a16:creationId xmlns:a16="http://schemas.microsoft.com/office/drawing/2014/main" id="{00000000-0008-0000-0D00-000067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60" name="Text Box 2">
          <a:extLst>
            <a:ext uri="{FF2B5EF4-FFF2-40B4-BE49-F238E27FC236}">
              <a16:creationId xmlns:a16="http://schemas.microsoft.com/office/drawing/2014/main" id="{00000000-0008-0000-0D00-000068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61" name="Text Box 2">
          <a:extLst>
            <a:ext uri="{FF2B5EF4-FFF2-40B4-BE49-F238E27FC236}">
              <a16:creationId xmlns:a16="http://schemas.microsoft.com/office/drawing/2014/main" id="{00000000-0008-0000-0D00-000069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62" name="Text Box 2">
          <a:extLst>
            <a:ext uri="{FF2B5EF4-FFF2-40B4-BE49-F238E27FC236}">
              <a16:creationId xmlns:a16="http://schemas.microsoft.com/office/drawing/2014/main" id="{00000000-0008-0000-0D00-00006A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63" name="Text Box 2">
          <a:extLst>
            <a:ext uri="{FF2B5EF4-FFF2-40B4-BE49-F238E27FC236}">
              <a16:creationId xmlns:a16="http://schemas.microsoft.com/office/drawing/2014/main" id="{00000000-0008-0000-0D00-00006B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64" name="Text Box 2">
          <a:extLst>
            <a:ext uri="{FF2B5EF4-FFF2-40B4-BE49-F238E27FC236}">
              <a16:creationId xmlns:a16="http://schemas.microsoft.com/office/drawing/2014/main" id="{00000000-0008-0000-0D00-00006C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65" name="Text Box 2">
          <a:extLst>
            <a:ext uri="{FF2B5EF4-FFF2-40B4-BE49-F238E27FC236}">
              <a16:creationId xmlns:a16="http://schemas.microsoft.com/office/drawing/2014/main" id="{00000000-0008-0000-0D00-00006D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66" name="Text Box 2">
          <a:extLst>
            <a:ext uri="{FF2B5EF4-FFF2-40B4-BE49-F238E27FC236}">
              <a16:creationId xmlns:a16="http://schemas.microsoft.com/office/drawing/2014/main" id="{00000000-0008-0000-0D00-00006E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67" name="Text Box 2">
          <a:extLst>
            <a:ext uri="{FF2B5EF4-FFF2-40B4-BE49-F238E27FC236}">
              <a16:creationId xmlns:a16="http://schemas.microsoft.com/office/drawing/2014/main" id="{00000000-0008-0000-0D00-00006F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68" name="Text Box 2">
          <a:extLst>
            <a:ext uri="{FF2B5EF4-FFF2-40B4-BE49-F238E27FC236}">
              <a16:creationId xmlns:a16="http://schemas.microsoft.com/office/drawing/2014/main" id="{00000000-0008-0000-0D00-000070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69" name="Text Box 2">
          <a:extLst>
            <a:ext uri="{FF2B5EF4-FFF2-40B4-BE49-F238E27FC236}">
              <a16:creationId xmlns:a16="http://schemas.microsoft.com/office/drawing/2014/main" id="{00000000-0008-0000-0D00-000071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70" name="Text Box 2">
          <a:extLst>
            <a:ext uri="{FF2B5EF4-FFF2-40B4-BE49-F238E27FC236}">
              <a16:creationId xmlns:a16="http://schemas.microsoft.com/office/drawing/2014/main" id="{00000000-0008-0000-0D00-000072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71" name="Text Box 2">
          <a:extLst>
            <a:ext uri="{FF2B5EF4-FFF2-40B4-BE49-F238E27FC236}">
              <a16:creationId xmlns:a16="http://schemas.microsoft.com/office/drawing/2014/main" id="{00000000-0008-0000-0D00-000073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72" name="Text Box 2">
          <a:extLst>
            <a:ext uri="{FF2B5EF4-FFF2-40B4-BE49-F238E27FC236}">
              <a16:creationId xmlns:a16="http://schemas.microsoft.com/office/drawing/2014/main" id="{00000000-0008-0000-0D00-000074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73" name="Text Box 2">
          <a:extLst>
            <a:ext uri="{FF2B5EF4-FFF2-40B4-BE49-F238E27FC236}">
              <a16:creationId xmlns:a16="http://schemas.microsoft.com/office/drawing/2014/main" id="{00000000-0008-0000-0D00-000075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74" name="Text Box 2">
          <a:extLst>
            <a:ext uri="{FF2B5EF4-FFF2-40B4-BE49-F238E27FC236}">
              <a16:creationId xmlns:a16="http://schemas.microsoft.com/office/drawing/2014/main" id="{00000000-0008-0000-0D00-000076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75" name="Text Box 2">
          <a:extLst>
            <a:ext uri="{FF2B5EF4-FFF2-40B4-BE49-F238E27FC236}">
              <a16:creationId xmlns:a16="http://schemas.microsoft.com/office/drawing/2014/main" id="{00000000-0008-0000-0D00-000077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76" name="Text Box 2">
          <a:extLst>
            <a:ext uri="{FF2B5EF4-FFF2-40B4-BE49-F238E27FC236}">
              <a16:creationId xmlns:a16="http://schemas.microsoft.com/office/drawing/2014/main" id="{00000000-0008-0000-0D00-000078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77" name="Text Box 2">
          <a:extLst>
            <a:ext uri="{FF2B5EF4-FFF2-40B4-BE49-F238E27FC236}">
              <a16:creationId xmlns:a16="http://schemas.microsoft.com/office/drawing/2014/main" id="{00000000-0008-0000-0D00-000079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78" name="Text Box 2">
          <a:extLst>
            <a:ext uri="{FF2B5EF4-FFF2-40B4-BE49-F238E27FC236}">
              <a16:creationId xmlns:a16="http://schemas.microsoft.com/office/drawing/2014/main" id="{00000000-0008-0000-0D00-00007A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79" name="Text Box 2">
          <a:extLst>
            <a:ext uri="{FF2B5EF4-FFF2-40B4-BE49-F238E27FC236}">
              <a16:creationId xmlns:a16="http://schemas.microsoft.com/office/drawing/2014/main" id="{00000000-0008-0000-0D00-00007B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80" name="Text Box 2">
          <a:extLst>
            <a:ext uri="{FF2B5EF4-FFF2-40B4-BE49-F238E27FC236}">
              <a16:creationId xmlns:a16="http://schemas.microsoft.com/office/drawing/2014/main" id="{00000000-0008-0000-0D00-00007C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81" name="Text Box 2">
          <a:extLst>
            <a:ext uri="{FF2B5EF4-FFF2-40B4-BE49-F238E27FC236}">
              <a16:creationId xmlns:a16="http://schemas.microsoft.com/office/drawing/2014/main" id="{00000000-0008-0000-0D00-00007D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82" name="Text Box 2">
          <a:extLst>
            <a:ext uri="{FF2B5EF4-FFF2-40B4-BE49-F238E27FC236}">
              <a16:creationId xmlns:a16="http://schemas.microsoft.com/office/drawing/2014/main" id="{00000000-0008-0000-0D00-00007E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83" name="Text Box 2">
          <a:extLst>
            <a:ext uri="{FF2B5EF4-FFF2-40B4-BE49-F238E27FC236}">
              <a16:creationId xmlns:a16="http://schemas.microsoft.com/office/drawing/2014/main" id="{00000000-0008-0000-0D00-00007F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84" name="Text Box 2">
          <a:extLst>
            <a:ext uri="{FF2B5EF4-FFF2-40B4-BE49-F238E27FC236}">
              <a16:creationId xmlns:a16="http://schemas.microsoft.com/office/drawing/2014/main" id="{00000000-0008-0000-0D00-000080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85" name="Text Box 2">
          <a:extLst>
            <a:ext uri="{FF2B5EF4-FFF2-40B4-BE49-F238E27FC236}">
              <a16:creationId xmlns:a16="http://schemas.microsoft.com/office/drawing/2014/main" id="{00000000-0008-0000-0D00-000081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86" name="Text Box 2">
          <a:extLst>
            <a:ext uri="{FF2B5EF4-FFF2-40B4-BE49-F238E27FC236}">
              <a16:creationId xmlns:a16="http://schemas.microsoft.com/office/drawing/2014/main" id="{00000000-0008-0000-0D00-000082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87" name="Text Box 2">
          <a:extLst>
            <a:ext uri="{FF2B5EF4-FFF2-40B4-BE49-F238E27FC236}">
              <a16:creationId xmlns:a16="http://schemas.microsoft.com/office/drawing/2014/main" id="{00000000-0008-0000-0D00-000083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88" name="Text Box 2">
          <a:extLst>
            <a:ext uri="{FF2B5EF4-FFF2-40B4-BE49-F238E27FC236}">
              <a16:creationId xmlns:a16="http://schemas.microsoft.com/office/drawing/2014/main" id="{00000000-0008-0000-0D00-000084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389" name="Text Box 2">
          <a:extLst>
            <a:ext uri="{FF2B5EF4-FFF2-40B4-BE49-F238E27FC236}">
              <a16:creationId xmlns:a16="http://schemas.microsoft.com/office/drawing/2014/main" id="{00000000-0008-0000-0D00-00008501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90" name="Text Box 2">
          <a:extLst>
            <a:ext uri="{FF2B5EF4-FFF2-40B4-BE49-F238E27FC236}">
              <a16:creationId xmlns:a16="http://schemas.microsoft.com/office/drawing/2014/main" id="{00000000-0008-0000-0D00-000086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91" name="Text Box 2">
          <a:extLst>
            <a:ext uri="{FF2B5EF4-FFF2-40B4-BE49-F238E27FC236}">
              <a16:creationId xmlns:a16="http://schemas.microsoft.com/office/drawing/2014/main" id="{00000000-0008-0000-0D00-000087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92" name="Text Box 2">
          <a:extLst>
            <a:ext uri="{FF2B5EF4-FFF2-40B4-BE49-F238E27FC236}">
              <a16:creationId xmlns:a16="http://schemas.microsoft.com/office/drawing/2014/main" id="{00000000-0008-0000-0D00-000088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93" name="Text Box 2">
          <a:extLst>
            <a:ext uri="{FF2B5EF4-FFF2-40B4-BE49-F238E27FC236}">
              <a16:creationId xmlns:a16="http://schemas.microsoft.com/office/drawing/2014/main" id="{00000000-0008-0000-0D00-000089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94" name="Text Box 2">
          <a:extLst>
            <a:ext uri="{FF2B5EF4-FFF2-40B4-BE49-F238E27FC236}">
              <a16:creationId xmlns:a16="http://schemas.microsoft.com/office/drawing/2014/main" id="{00000000-0008-0000-0D00-00008A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95" name="Text Box 2">
          <a:extLst>
            <a:ext uri="{FF2B5EF4-FFF2-40B4-BE49-F238E27FC236}">
              <a16:creationId xmlns:a16="http://schemas.microsoft.com/office/drawing/2014/main" id="{00000000-0008-0000-0D00-00008B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96" name="Text Box 2">
          <a:extLst>
            <a:ext uri="{FF2B5EF4-FFF2-40B4-BE49-F238E27FC236}">
              <a16:creationId xmlns:a16="http://schemas.microsoft.com/office/drawing/2014/main" id="{00000000-0008-0000-0D00-00008C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97" name="Text Box 2">
          <a:extLst>
            <a:ext uri="{FF2B5EF4-FFF2-40B4-BE49-F238E27FC236}">
              <a16:creationId xmlns:a16="http://schemas.microsoft.com/office/drawing/2014/main" id="{00000000-0008-0000-0D00-00008D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98" name="Text Box 2">
          <a:extLst>
            <a:ext uri="{FF2B5EF4-FFF2-40B4-BE49-F238E27FC236}">
              <a16:creationId xmlns:a16="http://schemas.microsoft.com/office/drawing/2014/main" id="{00000000-0008-0000-0D00-00008E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399" name="Text Box 2">
          <a:extLst>
            <a:ext uri="{FF2B5EF4-FFF2-40B4-BE49-F238E27FC236}">
              <a16:creationId xmlns:a16="http://schemas.microsoft.com/office/drawing/2014/main" id="{00000000-0008-0000-0D00-00008F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00" name="Text Box 2">
          <a:extLst>
            <a:ext uri="{FF2B5EF4-FFF2-40B4-BE49-F238E27FC236}">
              <a16:creationId xmlns:a16="http://schemas.microsoft.com/office/drawing/2014/main" id="{00000000-0008-0000-0D00-000090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01" name="Text Box 2">
          <a:extLst>
            <a:ext uri="{FF2B5EF4-FFF2-40B4-BE49-F238E27FC236}">
              <a16:creationId xmlns:a16="http://schemas.microsoft.com/office/drawing/2014/main" id="{00000000-0008-0000-0D00-000091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02" name="Text Box 2">
          <a:extLst>
            <a:ext uri="{FF2B5EF4-FFF2-40B4-BE49-F238E27FC236}">
              <a16:creationId xmlns:a16="http://schemas.microsoft.com/office/drawing/2014/main" id="{00000000-0008-0000-0D00-000092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03" name="Text Box 2">
          <a:extLst>
            <a:ext uri="{FF2B5EF4-FFF2-40B4-BE49-F238E27FC236}">
              <a16:creationId xmlns:a16="http://schemas.microsoft.com/office/drawing/2014/main" id="{00000000-0008-0000-0D00-000093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04" name="Text Box 2">
          <a:extLst>
            <a:ext uri="{FF2B5EF4-FFF2-40B4-BE49-F238E27FC236}">
              <a16:creationId xmlns:a16="http://schemas.microsoft.com/office/drawing/2014/main" id="{00000000-0008-0000-0D00-000094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05" name="Text Box 2">
          <a:extLst>
            <a:ext uri="{FF2B5EF4-FFF2-40B4-BE49-F238E27FC236}">
              <a16:creationId xmlns:a16="http://schemas.microsoft.com/office/drawing/2014/main" id="{00000000-0008-0000-0D00-000095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06" name="Text Box 2">
          <a:extLst>
            <a:ext uri="{FF2B5EF4-FFF2-40B4-BE49-F238E27FC236}">
              <a16:creationId xmlns:a16="http://schemas.microsoft.com/office/drawing/2014/main" id="{00000000-0008-0000-0D00-000096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07" name="Text Box 2">
          <a:extLst>
            <a:ext uri="{FF2B5EF4-FFF2-40B4-BE49-F238E27FC236}">
              <a16:creationId xmlns:a16="http://schemas.microsoft.com/office/drawing/2014/main" id="{00000000-0008-0000-0D00-000097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08" name="Text Box 2">
          <a:extLst>
            <a:ext uri="{FF2B5EF4-FFF2-40B4-BE49-F238E27FC236}">
              <a16:creationId xmlns:a16="http://schemas.microsoft.com/office/drawing/2014/main" id="{00000000-0008-0000-0D00-000098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09" name="Text Box 2">
          <a:extLst>
            <a:ext uri="{FF2B5EF4-FFF2-40B4-BE49-F238E27FC236}">
              <a16:creationId xmlns:a16="http://schemas.microsoft.com/office/drawing/2014/main" id="{00000000-0008-0000-0D00-000099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10" name="Text Box 2">
          <a:extLst>
            <a:ext uri="{FF2B5EF4-FFF2-40B4-BE49-F238E27FC236}">
              <a16:creationId xmlns:a16="http://schemas.microsoft.com/office/drawing/2014/main" id="{00000000-0008-0000-0D00-00009A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11" name="Text Box 2">
          <a:extLst>
            <a:ext uri="{FF2B5EF4-FFF2-40B4-BE49-F238E27FC236}">
              <a16:creationId xmlns:a16="http://schemas.microsoft.com/office/drawing/2014/main" id="{00000000-0008-0000-0D00-00009B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12" name="Text Box 2">
          <a:extLst>
            <a:ext uri="{FF2B5EF4-FFF2-40B4-BE49-F238E27FC236}">
              <a16:creationId xmlns:a16="http://schemas.microsoft.com/office/drawing/2014/main" id="{00000000-0008-0000-0D00-00009C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13" name="Text Box 2">
          <a:extLst>
            <a:ext uri="{FF2B5EF4-FFF2-40B4-BE49-F238E27FC236}">
              <a16:creationId xmlns:a16="http://schemas.microsoft.com/office/drawing/2014/main" id="{00000000-0008-0000-0D00-00009D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14" name="Text Box 2">
          <a:extLst>
            <a:ext uri="{FF2B5EF4-FFF2-40B4-BE49-F238E27FC236}">
              <a16:creationId xmlns:a16="http://schemas.microsoft.com/office/drawing/2014/main" id="{00000000-0008-0000-0D00-00009E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15" name="Text Box 2">
          <a:extLst>
            <a:ext uri="{FF2B5EF4-FFF2-40B4-BE49-F238E27FC236}">
              <a16:creationId xmlns:a16="http://schemas.microsoft.com/office/drawing/2014/main" id="{00000000-0008-0000-0D00-00009F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16" name="Text Box 2">
          <a:extLst>
            <a:ext uri="{FF2B5EF4-FFF2-40B4-BE49-F238E27FC236}">
              <a16:creationId xmlns:a16="http://schemas.microsoft.com/office/drawing/2014/main" id="{00000000-0008-0000-0D00-0000A0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17" name="Text Box 2">
          <a:extLst>
            <a:ext uri="{FF2B5EF4-FFF2-40B4-BE49-F238E27FC236}">
              <a16:creationId xmlns:a16="http://schemas.microsoft.com/office/drawing/2014/main" id="{00000000-0008-0000-0D00-0000A1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18" name="Text Box 2">
          <a:extLst>
            <a:ext uri="{FF2B5EF4-FFF2-40B4-BE49-F238E27FC236}">
              <a16:creationId xmlns:a16="http://schemas.microsoft.com/office/drawing/2014/main" id="{00000000-0008-0000-0D00-0000A2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19" name="Text Box 2">
          <a:extLst>
            <a:ext uri="{FF2B5EF4-FFF2-40B4-BE49-F238E27FC236}">
              <a16:creationId xmlns:a16="http://schemas.microsoft.com/office/drawing/2014/main" id="{00000000-0008-0000-0D00-0000A3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20" name="Text Box 2">
          <a:extLst>
            <a:ext uri="{FF2B5EF4-FFF2-40B4-BE49-F238E27FC236}">
              <a16:creationId xmlns:a16="http://schemas.microsoft.com/office/drawing/2014/main" id="{00000000-0008-0000-0D00-0000A4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21" name="Text Box 2">
          <a:extLst>
            <a:ext uri="{FF2B5EF4-FFF2-40B4-BE49-F238E27FC236}">
              <a16:creationId xmlns:a16="http://schemas.microsoft.com/office/drawing/2014/main" id="{00000000-0008-0000-0D00-0000A5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22" name="Text Box 2">
          <a:extLst>
            <a:ext uri="{FF2B5EF4-FFF2-40B4-BE49-F238E27FC236}">
              <a16:creationId xmlns:a16="http://schemas.microsoft.com/office/drawing/2014/main" id="{00000000-0008-0000-0D00-0000A6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23" name="Text Box 2">
          <a:extLst>
            <a:ext uri="{FF2B5EF4-FFF2-40B4-BE49-F238E27FC236}">
              <a16:creationId xmlns:a16="http://schemas.microsoft.com/office/drawing/2014/main" id="{00000000-0008-0000-0D00-0000A7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24" name="Text Box 2">
          <a:extLst>
            <a:ext uri="{FF2B5EF4-FFF2-40B4-BE49-F238E27FC236}">
              <a16:creationId xmlns:a16="http://schemas.microsoft.com/office/drawing/2014/main" id="{00000000-0008-0000-0D00-0000A8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25" name="Text Box 2">
          <a:extLst>
            <a:ext uri="{FF2B5EF4-FFF2-40B4-BE49-F238E27FC236}">
              <a16:creationId xmlns:a16="http://schemas.microsoft.com/office/drawing/2014/main" id="{00000000-0008-0000-0D00-0000A9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26" name="Text Box 2">
          <a:extLst>
            <a:ext uri="{FF2B5EF4-FFF2-40B4-BE49-F238E27FC236}">
              <a16:creationId xmlns:a16="http://schemas.microsoft.com/office/drawing/2014/main" id="{00000000-0008-0000-0D00-0000AA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27" name="Text Box 2">
          <a:extLst>
            <a:ext uri="{FF2B5EF4-FFF2-40B4-BE49-F238E27FC236}">
              <a16:creationId xmlns:a16="http://schemas.microsoft.com/office/drawing/2014/main" id="{00000000-0008-0000-0D00-0000AB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28" name="Text Box 2">
          <a:extLst>
            <a:ext uri="{FF2B5EF4-FFF2-40B4-BE49-F238E27FC236}">
              <a16:creationId xmlns:a16="http://schemas.microsoft.com/office/drawing/2014/main" id="{00000000-0008-0000-0D00-0000AC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29" name="Text Box 2">
          <a:extLst>
            <a:ext uri="{FF2B5EF4-FFF2-40B4-BE49-F238E27FC236}">
              <a16:creationId xmlns:a16="http://schemas.microsoft.com/office/drawing/2014/main" id="{00000000-0008-0000-0D00-0000AD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30" name="Text Box 2">
          <a:extLst>
            <a:ext uri="{FF2B5EF4-FFF2-40B4-BE49-F238E27FC236}">
              <a16:creationId xmlns:a16="http://schemas.microsoft.com/office/drawing/2014/main" id="{00000000-0008-0000-0D00-0000AE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31" name="Text Box 2">
          <a:extLst>
            <a:ext uri="{FF2B5EF4-FFF2-40B4-BE49-F238E27FC236}">
              <a16:creationId xmlns:a16="http://schemas.microsoft.com/office/drawing/2014/main" id="{00000000-0008-0000-0D00-0000AF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32" name="Text Box 2">
          <a:extLst>
            <a:ext uri="{FF2B5EF4-FFF2-40B4-BE49-F238E27FC236}">
              <a16:creationId xmlns:a16="http://schemas.microsoft.com/office/drawing/2014/main" id="{00000000-0008-0000-0D00-0000B0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33" name="Text Box 2">
          <a:extLst>
            <a:ext uri="{FF2B5EF4-FFF2-40B4-BE49-F238E27FC236}">
              <a16:creationId xmlns:a16="http://schemas.microsoft.com/office/drawing/2014/main" id="{00000000-0008-0000-0D00-0000B1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34" name="Text Box 2">
          <a:extLst>
            <a:ext uri="{FF2B5EF4-FFF2-40B4-BE49-F238E27FC236}">
              <a16:creationId xmlns:a16="http://schemas.microsoft.com/office/drawing/2014/main" id="{00000000-0008-0000-0D00-0000B2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35" name="Text Box 2">
          <a:extLst>
            <a:ext uri="{FF2B5EF4-FFF2-40B4-BE49-F238E27FC236}">
              <a16:creationId xmlns:a16="http://schemas.microsoft.com/office/drawing/2014/main" id="{00000000-0008-0000-0D00-0000B3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36" name="Text Box 2">
          <a:extLst>
            <a:ext uri="{FF2B5EF4-FFF2-40B4-BE49-F238E27FC236}">
              <a16:creationId xmlns:a16="http://schemas.microsoft.com/office/drawing/2014/main" id="{00000000-0008-0000-0D00-0000B4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37" name="Text Box 2">
          <a:extLst>
            <a:ext uri="{FF2B5EF4-FFF2-40B4-BE49-F238E27FC236}">
              <a16:creationId xmlns:a16="http://schemas.microsoft.com/office/drawing/2014/main" id="{00000000-0008-0000-0D00-0000B5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38" name="Text Box 2">
          <a:extLst>
            <a:ext uri="{FF2B5EF4-FFF2-40B4-BE49-F238E27FC236}">
              <a16:creationId xmlns:a16="http://schemas.microsoft.com/office/drawing/2014/main" id="{00000000-0008-0000-0D00-0000B6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39" name="Text Box 2">
          <a:extLst>
            <a:ext uri="{FF2B5EF4-FFF2-40B4-BE49-F238E27FC236}">
              <a16:creationId xmlns:a16="http://schemas.microsoft.com/office/drawing/2014/main" id="{00000000-0008-0000-0D00-0000B7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40" name="Text Box 2">
          <a:extLst>
            <a:ext uri="{FF2B5EF4-FFF2-40B4-BE49-F238E27FC236}">
              <a16:creationId xmlns:a16="http://schemas.microsoft.com/office/drawing/2014/main" id="{00000000-0008-0000-0D00-0000B8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41" name="Text Box 2">
          <a:extLst>
            <a:ext uri="{FF2B5EF4-FFF2-40B4-BE49-F238E27FC236}">
              <a16:creationId xmlns:a16="http://schemas.microsoft.com/office/drawing/2014/main" id="{00000000-0008-0000-0D00-0000B9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42" name="Text Box 2">
          <a:extLst>
            <a:ext uri="{FF2B5EF4-FFF2-40B4-BE49-F238E27FC236}">
              <a16:creationId xmlns:a16="http://schemas.microsoft.com/office/drawing/2014/main" id="{00000000-0008-0000-0D00-0000BA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43" name="Text Box 2">
          <a:extLst>
            <a:ext uri="{FF2B5EF4-FFF2-40B4-BE49-F238E27FC236}">
              <a16:creationId xmlns:a16="http://schemas.microsoft.com/office/drawing/2014/main" id="{00000000-0008-0000-0D00-0000BB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44" name="Text Box 2">
          <a:extLst>
            <a:ext uri="{FF2B5EF4-FFF2-40B4-BE49-F238E27FC236}">
              <a16:creationId xmlns:a16="http://schemas.microsoft.com/office/drawing/2014/main" id="{00000000-0008-0000-0D00-0000BC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45" name="Text Box 2">
          <a:extLst>
            <a:ext uri="{FF2B5EF4-FFF2-40B4-BE49-F238E27FC236}">
              <a16:creationId xmlns:a16="http://schemas.microsoft.com/office/drawing/2014/main" id="{00000000-0008-0000-0D00-0000BD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46" name="Text Box 2">
          <a:extLst>
            <a:ext uri="{FF2B5EF4-FFF2-40B4-BE49-F238E27FC236}">
              <a16:creationId xmlns:a16="http://schemas.microsoft.com/office/drawing/2014/main" id="{00000000-0008-0000-0D00-0000BE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47" name="Text Box 2">
          <a:extLst>
            <a:ext uri="{FF2B5EF4-FFF2-40B4-BE49-F238E27FC236}">
              <a16:creationId xmlns:a16="http://schemas.microsoft.com/office/drawing/2014/main" id="{00000000-0008-0000-0D00-0000BF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48" name="Text Box 2">
          <a:extLst>
            <a:ext uri="{FF2B5EF4-FFF2-40B4-BE49-F238E27FC236}">
              <a16:creationId xmlns:a16="http://schemas.microsoft.com/office/drawing/2014/main" id="{00000000-0008-0000-0D00-0000C0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49" name="Text Box 2">
          <a:extLst>
            <a:ext uri="{FF2B5EF4-FFF2-40B4-BE49-F238E27FC236}">
              <a16:creationId xmlns:a16="http://schemas.microsoft.com/office/drawing/2014/main" id="{00000000-0008-0000-0D00-0000C1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50" name="Text Box 2">
          <a:extLst>
            <a:ext uri="{FF2B5EF4-FFF2-40B4-BE49-F238E27FC236}">
              <a16:creationId xmlns:a16="http://schemas.microsoft.com/office/drawing/2014/main" id="{00000000-0008-0000-0D00-0000C2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51" name="Text Box 2">
          <a:extLst>
            <a:ext uri="{FF2B5EF4-FFF2-40B4-BE49-F238E27FC236}">
              <a16:creationId xmlns:a16="http://schemas.microsoft.com/office/drawing/2014/main" id="{00000000-0008-0000-0D00-0000C3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52" name="Text Box 2">
          <a:extLst>
            <a:ext uri="{FF2B5EF4-FFF2-40B4-BE49-F238E27FC236}">
              <a16:creationId xmlns:a16="http://schemas.microsoft.com/office/drawing/2014/main" id="{00000000-0008-0000-0D00-0000C4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53" name="Text Box 2">
          <a:extLst>
            <a:ext uri="{FF2B5EF4-FFF2-40B4-BE49-F238E27FC236}">
              <a16:creationId xmlns:a16="http://schemas.microsoft.com/office/drawing/2014/main" id="{00000000-0008-0000-0D00-0000C5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54" name="Text Box 2">
          <a:extLst>
            <a:ext uri="{FF2B5EF4-FFF2-40B4-BE49-F238E27FC236}">
              <a16:creationId xmlns:a16="http://schemas.microsoft.com/office/drawing/2014/main" id="{00000000-0008-0000-0D00-0000C6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55" name="Text Box 2">
          <a:extLst>
            <a:ext uri="{FF2B5EF4-FFF2-40B4-BE49-F238E27FC236}">
              <a16:creationId xmlns:a16="http://schemas.microsoft.com/office/drawing/2014/main" id="{00000000-0008-0000-0D00-0000C7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56" name="Text Box 2">
          <a:extLst>
            <a:ext uri="{FF2B5EF4-FFF2-40B4-BE49-F238E27FC236}">
              <a16:creationId xmlns:a16="http://schemas.microsoft.com/office/drawing/2014/main" id="{00000000-0008-0000-0D00-0000C8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57" name="Text Box 2">
          <a:extLst>
            <a:ext uri="{FF2B5EF4-FFF2-40B4-BE49-F238E27FC236}">
              <a16:creationId xmlns:a16="http://schemas.microsoft.com/office/drawing/2014/main" id="{00000000-0008-0000-0D00-0000C9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58" name="Text Box 2">
          <a:extLst>
            <a:ext uri="{FF2B5EF4-FFF2-40B4-BE49-F238E27FC236}">
              <a16:creationId xmlns:a16="http://schemas.microsoft.com/office/drawing/2014/main" id="{00000000-0008-0000-0D00-0000CA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59" name="Text Box 2">
          <a:extLst>
            <a:ext uri="{FF2B5EF4-FFF2-40B4-BE49-F238E27FC236}">
              <a16:creationId xmlns:a16="http://schemas.microsoft.com/office/drawing/2014/main" id="{00000000-0008-0000-0D00-0000CB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60" name="Text Box 2">
          <a:extLst>
            <a:ext uri="{FF2B5EF4-FFF2-40B4-BE49-F238E27FC236}">
              <a16:creationId xmlns:a16="http://schemas.microsoft.com/office/drawing/2014/main" id="{00000000-0008-0000-0D00-0000CC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61" name="Text Box 2">
          <a:extLst>
            <a:ext uri="{FF2B5EF4-FFF2-40B4-BE49-F238E27FC236}">
              <a16:creationId xmlns:a16="http://schemas.microsoft.com/office/drawing/2014/main" id="{00000000-0008-0000-0D00-0000CD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62" name="Text Box 2">
          <a:extLst>
            <a:ext uri="{FF2B5EF4-FFF2-40B4-BE49-F238E27FC236}">
              <a16:creationId xmlns:a16="http://schemas.microsoft.com/office/drawing/2014/main" id="{00000000-0008-0000-0D00-0000CE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63" name="Text Box 2">
          <a:extLst>
            <a:ext uri="{FF2B5EF4-FFF2-40B4-BE49-F238E27FC236}">
              <a16:creationId xmlns:a16="http://schemas.microsoft.com/office/drawing/2014/main" id="{00000000-0008-0000-0D00-0000CF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64" name="Text Box 2">
          <a:extLst>
            <a:ext uri="{FF2B5EF4-FFF2-40B4-BE49-F238E27FC236}">
              <a16:creationId xmlns:a16="http://schemas.microsoft.com/office/drawing/2014/main" id="{00000000-0008-0000-0D00-0000D0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65" name="Text Box 2">
          <a:extLst>
            <a:ext uri="{FF2B5EF4-FFF2-40B4-BE49-F238E27FC236}">
              <a16:creationId xmlns:a16="http://schemas.microsoft.com/office/drawing/2014/main" id="{00000000-0008-0000-0D00-0000D1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66" name="Text Box 2">
          <a:extLst>
            <a:ext uri="{FF2B5EF4-FFF2-40B4-BE49-F238E27FC236}">
              <a16:creationId xmlns:a16="http://schemas.microsoft.com/office/drawing/2014/main" id="{00000000-0008-0000-0D00-0000D2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67" name="Text Box 2">
          <a:extLst>
            <a:ext uri="{FF2B5EF4-FFF2-40B4-BE49-F238E27FC236}">
              <a16:creationId xmlns:a16="http://schemas.microsoft.com/office/drawing/2014/main" id="{00000000-0008-0000-0D00-0000D3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68" name="Text Box 2">
          <a:extLst>
            <a:ext uri="{FF2B5EF4-FFF2-40B4-BE49-F238E27FC236}">
              <a16:creationId xmlns:a16="http://schemas.microsoft.com/office/drawing/2014/main" id="{00000000-0008-0000-0D00-0000D4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69" name="Text Box 2">
          <a:extLst>
            <a:ext uri="{FF2B5EF4-FFF2-40B4-BE49-F238E27FC236}">
              <a16:creationId xmlns:a16="http://schemas.microsoft.com/office/drawing/2014/main" id="{00000000-0008-0000-0D00-0000D5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70" name="Text Box 2">
          <a:extLst>
            <a:ext uri="{FF2B5EF4-FFF2-40B4-BE49-F238E27FC236}">
              <a16:creationId xmlns:a16="http://schemas.microsoft.com/office/drawing/2014/main" id="{00000000-0008-0000-0D00-0000D6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71" name="Text Box 2">
          <a:extLst>
            <a:ext uri="{FF2B5EF4-FFF2-40B4-BE49-F238E27FC236}">
              <a16:creationId xmlns:a16="http://schemas.microsoft.com/office/drawing/2014/main" id="{00000000-0008-0000-0D00-0000D7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72" name="Text Box 2">
          <a:extLst>
            <a:ext uri="{FF2B5EF4-FFF2-40B4-BE49-F238E27FC236}">
              <a16:creationId xmlns:a16="http://schemas.microsoft.com/office/drawing/2014/main" id="{00000000-0008-0000-0D00-0000D8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73" name="Text Box 2">
          <a:extLst>
            <a:ext uri="{FF2B5EF4-FFF2-40B4-BE49-F238E27FC236}">
              <a16:creationId xmlns:a16="http://schemas.microsoft.com/office/drawing/2014/main" id="{00000000-0008-0000-0D00-0000D9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74" name="Text Box 2">
          <a:extLst>
            <a:ext uri="{FF2B5EF4-FFF2-40B4-BE49-F238E27FC236}">
              <a16:creationId xmlns:a16="http://schemas.microsoft.com/office/drawing/2014/main" id="{00000000-0008-0000-0D00-0000DA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75" name="Text Box 2">
          <a:extLst>
            <a:ext uri="{FF2B5EF4-FFF2-40B4-BE49-F238E27FC236}">
              <a16:creationId xmlns:a16="http://schemas.microsoft.com/office/drawing/2014/main" id="{00000000-0008-0000-0D00-0000DB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76" name="Text Box 2">
          <a:extLst>
            <a:ext uri="{FF2B5EF4-FFF2-40B4-BE49-F238E27FC236}">
              <a16:creationId xmlns:a16="http://schemas.microsoft.com/office/drawing/2014/main" id="{00000000-0008-0000-0D00-0000DC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77" name="Text Box 2">
          <a:extLst>
            <a:ext uri="{FF2B5EF4-FFF2-40B4-BE49-F238E27FC236}">
              <a16:creationId xmlns:a16="http://schemas.microsoft.com/office/drawing/2014/main" id="{00000000-0008-0000-0D00-0000DD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78" name="Text Box 2">
          <a:extLst>
            <a:ext uri="{FF2B5EF4-FFF2-40B4-BE49-F238E27FC236}">
              <a16:creationId xmlns:a16="http://schemas.microsoft.com/office/drawing/2014/main" id="{00000000-0008-0000-0D00-0000DE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79" name="Text Box 2">
          <a:extLst>
            <a:ext uri="{FF2B5EF4-FFF2-40B4-BE49-F238E27FC236}">
              <a16:creationId xmlns:a16="http://schemas.microsoft.com/office/drawing/2014/main" id="{00000000-0008-0000-0D00-0000DF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80" name="Text Box 2">
          <a:extLst>
            <a:ext uri="{FF2B5EF4-FFF2-40B4-BE49-F238E27FC236}">
              <a16:creationId xmlns:a16="http://schemas.microsoft.com/office/drawing/2014/main" id="{00000000-0008-0000-0D00-0000E0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81" name="Text Box 2">
          <a:extLst>
            <a:ext uri="{FF2B5EF4-FFF2-40B4-BE49-F238E27FC236}">
              <a16:creationId xmlns:a16="http://schemas.microsoft.com/office/drawing/2014/main" id="{00000000-0008-0000-0D00-0000E1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82" name="Text Box 2">
          <a:extLst>
            <a:ext uri="{FF2B5EF4-FFF2-40B4-BE49-F238E27FC236}">
              <a16:creationId xmlns:a16="http://schemas.microsoft.com/office/drawing/2014/main" id="{00000000-0008-0000-0D00-0000E2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83" name="Text Box 2">
          <a:extLst>
            <a:ext uri="{FF2B5EF4-FFF2-40B4-BE49-F238E27FC236}">
              <a16:creationId xmlns:a16="http://schemas.microsoft.com/office/drawing/2014/main" id="{00000000-0008-0000-0D00-0000E3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84" name="Text Box 2">
          <a:extLst>
            <a:ext uri="{FF2B5EF4-FFF2-40B4-BE49-F238E27FC236}">
              <a16:creationId xmlns:a16="http://schemas.microsoft.com/office/drawing/2014/main" id="{00000000-0008-0000-0D00-0000E4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85" name="Text Box 2">
          <a:extLst>
            <a:ext uri="{FF2B5EF4-FFF2-40B4-BE49-F238E27FC236}">
              <a16:creationId xmlns:a16="http://schemas.microsoft.com/office/drawing/2014/main" id="{00000000-0008-0000-0D00-0000E5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86" name="Text Box 2">
          <a:extLst>
            <a:ext uri="{FF2B5EF4-FFF2-40B4-BE49-F238E27FC236}">
              <a16:creationId xmlns:a16="http://schemas.microsoft.com/office/drawing/2014/main" id="{00000000-0008-0000-0D00-0000E6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87" name="Text Box 2">
          <a:extLst>
            <a:ext uri="{FF2B5EF4-FFF2-40B4-BE49-F238E27FC236}">
              <a16:creationId xmlns:a16="http://schemas.microsoft.com/office/drawing/2014/main" id="{00000000-0008-0000-0D00-0000E7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88" name="Text Box 2">
          <a:extLst>
            <a:ext uri="{FF2B5EF4-FFF2-40B4-BE49-F238E27FC236}">
              <a16:creationId xmlns:a16="http://schemas.microsoft.com/office/drawing/2014/main" id="{00000000-0008-0000-0D00-0000E8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89" name="Text Box 2">
          <a:extLst>
            <a:ext uri="{FF2B5EF4-FFF2-40B4-BE49-F238E27FC236}">
              <a16:creationId xmlns:a16="http://schemas.microsoft.com/office/drawing/2014/main" id="{00000000-0008-0000-0D00-0000E9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90" name="Text Box 2">
          <a:extLst>
            <a:ext uri="{FF2B5EF4-FFF2-40B4-BE49-F238E27FC236}">
              <a16:creationId xmlns:a16="http://schemas.microsoft.com/office/drawing/2014/main" id="{00000000-0008-0000-0D00-0000EA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91" name="Text Box 2">
          <a:extLst>
            <a:ext uri="{FF2B5EF4-FFF2-40B4-BE49-F238E27FC236}">
              <a16:creationId xmlns:a16="http://schemas.microsoft.com/office/drawing/2014/main" id="{00000000-0008-0000-0D00-0000EB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92" name="Text Box 2">
          <a:extLst>
            <a:ext uri="{FF2B5EF4-FFF2-40B4-BE49-F238E27FC236}">
              <a16:creationId xmlns:a16="http://schemas.microsoft.com/office/drawing/2014/main" id="{00000000-0008-0000-0D00-0000EC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93" name="Text Box 2">
          <a:extLst>
            <a:ext uri="{FF2B5EF4-FFF2-40B4-BE49-F238E27FC236}">
              <a16:creationId xmlns:a16="http://schemas.microsoft.com/office/drawing/2014/main" id="{00000000-0008-0000-0D00-0000ED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94" name="Text Box 2">
          <a:extLst>
            <a:ext uri="{FF2B5EF4-FFF2-40B4-BE49-F238E27FC236}">
              <a16:creationId xmlns:a16="http://schemas.microsoft.com/office/drawing/2014/main" id="{00000000-0008-0000-0D00-0000EE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95" name="Text Box 2">
          <a:extLst>
            <a:ext uri="{FF2B5EF4-FFF2-40B4-BE49-F238E27FC236}">
              <a16:creationId xmlns:a16="http://schemas.microsoft.com/office/drawing/2014/main" id="{00000000-0008-0000-0D00-0000EF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96" name="Text Box 2">
          <a:extLst>
            <a:ext uri="{FF2B5EF4-FFF2-40B4-BE49-F238E27FC236}">
              <a16:creationId xmlns:a16="http://schemas.microsoft.com/office/drawing/2014/main" id="{00000000-0008-0000-0D00-0000F0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97" name="Text Box 2">
          <a:extLst>
            <a:ext uri="{FF2B5EF4-FFF2-40B4-BE49-F238E27FC236}">
              <a16:creationId xmlns:a16="http://schemas.microsoft.com/office/drawing/2014/main" id="{00000000-0008-0000-0D00-0000F1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98" name="Text Box 2">
          <a:extLst>
            <a:ext uri="{FF2B5EF4-FFF2-40B4-BE49-F238E27FC236}">
              <a16:creationId xmlns:a16="http://schemas.microsoft.com/office/drawing/2014/main" id="{00000000-0008-0000-0D00-0000F2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499" name="Text Box 2">
          <a:extLst>
            <a:ext uri="{FF2B5EF4-FFF2-40B4-BE49-F238E27FC236}">
              <a16:creationId xmlns:a16="http://schemas.microsoft.com/office/drawing/2014/main" id="{00000000-0008-0000-0D00-0000F3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00" name="Text Box 2">
          <a:extLst>
            <a:ext uri="{FF2B5EF4-FFF2-40B4-BE49-F238E27FC236}">
              <a16:creationId xmlns:a16="http://schemas.microsoft.com/office/drawing/2014/main" id="{00000000-0008-0000-0D00-0000F4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01" name="Text Box 2">
          <a:extLst>
            <a:ext uri="{FF2B5EF4-FFF2-40B4-BE49-F238E27FC236}">
              <a16:creationId xmlns:a16="http://schemas.microsoft.com/office/drawing/2014/main" id="{00000000-0008-0000-0D00-0000F5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02" name="Text Box 2">
          <a:extLst>
            <a:ext uri="{FF2B5EF4-FFF2-40B4-BE49-F238E27FC236}">
              <a16:creationId xmlns:a16="http://schemas.microsoft.com/office/drawing/2014/main" id="{00000000-0008-0000-0D00-0000F6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03" name="Text Box 2">
          <a:extLst>
            <a:ext uri="{FF2B5EF4-FFF2-40B4-BE49-F238E27FC236}">
              <a16:creationId xmlns:a16="http://schemas.microsoft.com/office/drawing/2014/main" id="{00000000-0008-0000-0D00-0000F7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04" name="Text Box 2">
          <a:extLst>
            <a:ext uri="{FF2B5EF4-FFF2-40B4-BE49-F238E27FC236}">
              <a16:creationId xmlns:a16="http://schemas.microsoft.com/office/drawing/2014/main" id="{00000000-0008-0000-0D00-0000F8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05" name="Text Box 2">
          <a:extLst>
            <a:ext uri="{FF2B5EF4-FFF2-40B4-BE49-F238E27FC236}">
              <a16:creationId xmlns:a16="http://schemas.microsoft.com/office/drawing/2014/main" id="{00000000-0008-0000-0D00-0000F9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06" name="Text Box 2">
          <a:extLst>
            <a:ext uri="{FF2B5EF4-FFF2-40B4-BE49-F238E27FC236}">
              <a16:creationId xmlns:a16="http://schemas.microsoft.com/office/drawing/2014/main" id="{00000000-0008-0000-0D00-0000FA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07" name="Text Box 2">
          <a:extLst>
            <a:ext uri="{FF2B5EF4-FFF2-40B4-BE49-F238E27FC236}">
              <a16:creationId xmlns:a16="http://schemas.microsoft.com/office/drawing/2014/main" id="{00000000-0008-0000-0D00-0000FB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08" name="Text Box 2">
          <a:extLst>
            <a:ext uri="{FF2B5EF4-FFF2-40B4-BE49-F238E27FC236}">
              <a16:creationId xmlns:a16="http://schemas.microsoft.com/office/drawing/2014/main" id="{00000000-0008-0000-0D00-0000FC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09" name="Text Box 2">
          <a:extLst>
            <a:ext uri="{FF2B5EF4-FFF2-40B4-BE49-F238E27FC236}">
              <a16:creationId xmlns:a16="http://schemas.microsoft.com/office/drawing/2014/main" id="{00000000-0008-0000-0D00-0000FD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10" name="Text Box 2">
          <a:extLst>
            <a:ext uri="{FF2B5EF4-FFF2-40B4-BE49-F238E27FC236}">
              <a16:creationId xmlns:a16="http://schemas.microsoft.com/office/drawing/2014/main" id="{00000000-0008-0000-0D00-0000FE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11" name="Text Box 2">
          <a:extLst>
            <a:ext uri="{FF2B5EF4-FFF2-40B4-BE49-F238E27FC236}">
              <a16:creationId xmlns:a16="http://schemas.microsoft.com/office/drawing/2014/main" id="{00000000-0008-0000-0D00-0000FF01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12" name="Text Box 2">
          <a:extLst>
            <a:ext uri="{FF2B5EF4-FFF2-40B4-BE49-F238E27FC236}">
              <a16:creationId xmlns:a16="http://schemas.microsoft.com/office/drawing/2014/main" id="{00000000-0008-0000-0D00-000000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13" name="Text Box 2">
          <a:extLst>
            <a:ext uri="{FF2B5EF4-FFF2-40B4-BE49-F238E27FC236}">
              <a16:creationId xmlns:a16="http://schemas.microsoft.com/office/drawing/2014/main" id="{00000000-0008-0000-0D00-000001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14" name="Text Box 2">
          <a:extLst>
            <a:ext uri="{FF2B5EF4-FFF2-40B4-BE49-F238E27FC236}">
              <a16:creationId xmlns:a16="http://schemas.microsoft.com/office/drawing/2014/main" id="{00000000-0008-0000-0D00-000002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15" name="Text Box 2">
          <a:extLst>
            <a:ext uri="{FF2B5EF4-FFF2-40B4-BE49-F238E27FC236}">
              <a16:creationId xmlns:a16="http://schemas.microsoft.com/office/drawing/2014/main" id="{00000000-0008-0000-0D00-000003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16" name="Text Box 2">
          <a:extLst>
            <a:ext uri="{FF2B5EF4-FFF2-40B4-BE49-F238E27FC236}">
              <a16:creationId xmlns:a16="http://schemas.microsoft.com/office/drawing/2014/main" id="{00000000-0008-0000-0D00-000004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17" name="Text Box 2">
          <a:extLst>
            <a:ext uri="{FF2B5EF4-FFF2-40B4-BE49-F238E27FC236}">
              <a16:creationId xmlns:a16="http://schemas.microsoft.com/office/drawing/2014/main" id="{00000000-0008-0000-0D00-000005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18" name="Text Box 2">
          <a:extLst>
            <a:ext uri="{FF2B5EF4-FFF2-40B4-BE49-F238E27FC236}">
              <a16:creationId xmlns:a16="http://schemas.microsoft.com/office/drawing/2014/main" id="{00000000-0008-0000-0D00-000006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19" name="Text Box 2">
          <a:extLst>
            <a:ext uri="{FF2B5EF4-FFF2-40B4-BE49-F238E27FC236}">
              <a16:creationId xmlns:a16="http://schemas.microsoft.com/office/drawing/2014/main" id="{00000000-0008-0000-0D00-000007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20" name="Text Box 2">
          <a:extLst>
            <a:ext uri="{FF2B5EF4-FFF2-40B4-BE49-F238E27FC236}">
              <a16:creationId xmlns:a16="http://schemas.microsoft.com/office/drawing/2014/main" id="{00000000-0008-0000-0D00-000008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21" name="Text Box 2">
          <a:extLst>
            <a:ext uri="{FF2B5EF4-FFF2-40B4-BE49-F238E27FC236}">
              <a16:creationId xmlns:a16="http://schemas.microsoft.com/office/drawing/2014/main" id="{00000000-0008-0000-0D00-000009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22" name="Text Box 2">
          <a:extLst>
            <a:ext uri="{FF2B5EF4-FFF2-40B4-BE49-F238E27FC236}">
              <a16:creationId xmlns:a16="http://schemas.microsoft.com/office/drawing/2014/main" id="{00000000-0008-0000-0D00-00000A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23" name="Text Box 2">
          <a:extLst>
            <a:ext uri="{FF2B5EF4-FFF2-40B4-BE49-F238E27FC236}">
              <a16:creationId xmlns:a16="http://schemas.microsoft.com/office/drawing/2014/main" id="{00000000-0008-0000-0D00-00000B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24" name="Text Box 2">
          <a:extLst>
            <a:ext uri="{FF2B5EF4-FFF2-40B4-BE49-F238E27FC236}">
              <a16:creationId xmlns:a16="http://schemas.microsoft.com/office/drawing/2014/main" id="{00000000-0008-0000-0D00-00000C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25" name="Text Box 2">
          <a:extLst>
            <a:ext uri="{FF2B5EF4-FFF2-40B4-BE49-F238E27FC236}">
              <a16:creationId xmlns:a16="http://schemas.microsoft.com/office/drawing/2014/main" id="{00000000-0008-0000-0D00-00000D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26" name="Text Box 2">
          <a:extLst>
            <a:ext uri="{FF2B5EF4-FFF2-40B4-BE49-F238E27FC236}">
              <a16:creationId xmlns:a16="http://schemas.microsoft.com/office/drawing/2014/main" id="{00000000-0008-0000-0D00-00000E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27" name="Text Box 2">
          <a:extLst>
            <a:ext uri="{FF2B5EF4-FFF2-40B4-BE49-F238E27FC236}">
              <a16:creationId xmlns:a16="http://schemas.microsoft.com/office/drawing/2014/main" id="{00000000-0008-0000-0D00-00000F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28" name="Text Box 2">
          <a:extLst>
            <a:ext uri="{FF2B5EF4-FFF2-40B4-BE49-F238E27FC236}">
              <a16:creationId xmlns:a16="http://schemas.microsoft.com/office/drawing/2014/main" id="{00000000-0008-0000-0D00-000010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29" name="Text Box 2">
          <a:extLst>
            <a:ext uri="{FF2B5EF4-FFF2-40B4-BE49-F238E27FC236}">
              <a16:creationId xmlns:a16="http://schemas.microsoft.com/office/drawing/2014/main" id="{00000000-0008-0000-0D00-000011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30" name="Text Box 2">
          <a:extLst>
            <a:ext uri="{FF2B5EF4-FFF2-40B4-BE49-F238E27FC236}">
              <a16:creationId xmlns:a16="http://schemas.microsoft.com/office/drawing/2014/main" id="{00000000-0008-0000-0D00-000012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31" name="Text Box 2">
          <a:extLst>
            <a:ext uri="{FF2B5EF4-FFF2-40B4-BE49-F238E27FC236}">
              <a16:creationId xmlns:a16="http://schemas.microsoft.com/office/drawing/2014/main" id="{00000000-0008-0000-0D00-000013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32" name="Text Box 2">
          <a:extLst>
            <a:ext uri="{FF2B5EF4-FFF2-40B4-BE49-F238E27FC236}">
              <a16:creationId xmlns:a16="http://schemas.microsoft.com/office/drawing/2014/main" id="{00000000-0008-0000-0D00-000014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33" name="Text Box 2">
          <a:extLst>
            <a:ext uri="{FF2B5EF4-FFF2-40B4-BE49-F238E27FC236}">
              <a16:creationId xmlns:a16="http://schemas.microsoft.com/office/drawing/2014/main" id="{00000000-0008-0000-0D00-000015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34" name="Text Box 2">
          <a:extLst>
            <a:ext uri="{FF2B5EF4-FFF2-40B4-BE49-F238E27FC236}">
              <a16:creationId xmlns:a16="http://schemas.microsoft.com/office/drawing/2014/main" id="{00000000-0008-0000-0D00-000016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35" name="Text Box 2">
          <a:extLst>
            <a:ext uri="{FF2B5EF4-FFF2-40B4-BE49-F238E27FC236}">
              <a16:creationId xmlns:a16="http://schemas.microsoft.com/office/drawing/2014/main" id="{00000000-0008-0000-0D00-000017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36" name="Text Box 2">
          <a:extLst>
            <a:ext uri="{FF2B5EF4-FFF2-40B4-BE49-F238E27FC236}">
              <a16:creationId xmlns:a16="http://schemas.microsoft.com/office/drawing/2014/main" id="{00000000-0008-0000-0D00-000018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37" name="Text Box 2">
          <a:extLst>
            <a:ext uri="{FF2B5EF4-FFF2-40B4-BE49-F238E27FC236}">
              <a16:creationId xmlns:a16="http://schemas.microsoft.com/office/drawing/2014/main" id="{00000000-0008-0000-0D00-000019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38" name="Text Box 2">
          <a:extLst>
            <a:ext uri="{FF2B5EF4-FFF2-40B4-BE49-F238E27FC236}">
              <a16:creationId xmlns:a16="http://schemas.microsoft.com/office/drawing/2014/main" id="{00000000-0008-0000-0D00-00001A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39" name="Text Box 2">
          <a:extLst>
            <a:ext uri="{FF2B5EF4-FFF2-40B4-BE49-F238E27FC236}">
              <a16:creationId xmlns:a16="http://schemas.microsoft.com/office/drawing/2014/main" id="{00000000-0008-0000-0D00-00001B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40" name="Text Box 2">
          <a:extLst>
            <a:ext uri="{FF2B5EF4-FFF2-40B4-BE49-F238E27FC236}">
              <a16:creationId xmlns:a16="http://schemas.microsoft.com/office/drawing/2014/main" id="{00000000-0008-0000-0D00-00001C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41" name="Text Box 2">
          <a:extLst>
            <a:ext uri="{FF2B5EF4-FFF2-40B4-BE49-F238E27FC236}">
              <a16:creationId xmlns:a16="http://schemas.microsoft.com/office/drawing/2014/main" id="{00000000-0008-0000-0D00-00001D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42" name="Text Box 2">
          <a:extLst>
            <a:ext uri="{FF2B5EF4-FFF2-40B4-BE49-F238E27FC236}">
              <a16:creationId xmlns:a16="http://schemas.microsoft.com/office/drawing/2014/main" id="{00000000-0008-0000-0D00-00001E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43" name="Text Box 2">
          <a:extLst>
            <a:ext uri="{FF2B5EF4-FFF2-40B4-BE49-F238E27FC236}">
              <a16:creationId xmlns:a16="http://schemas.microsoft.com/office/drawing/2014/main" id="{00000000-0008-0000-0D00-00001F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44" name="Text Box 2">
          <a:extLst>
            <a:ext uri="{FF2B5EF4-FFF2-40B4-BE49-F238E27FC236}">
              <a16:creationId xmlns:a16="http://schemas.microsoft.com/office/drawing/2014/main" id="{00000000-0008-0000-0D00-000020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45" name="Text Box 2">
          <a:extLst>
            <a:ext uri="{FF2B5EF4-FFF2-40B4-BE49-F238E27FC236}">
              <a16:creationId xmlns:a16="http://schemas.microsoft.com/office/drawing/2014/main" id="{00000000-0008-0000-0D00-000021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46" name="Text Box 2">
          <a:extLst>
            <a:ext uri="{FF2B5EF4-FFF2-40B4-BE49-F238E27FC236}">
              <a16:creationId xmlns:a16="http://schemas.microsoft.com/office/drawing/2014/main" id="{00000000-0008-0000-0D00-000022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47" name="Text Box 2">
          <a:extLst>
            <a:ext uri="{FF2B5EF4-FFF2-40B4-BE49-F238E27FC236}">
              <a16:creationId xmlns:a16="http://schemas.microsoft.com/office/drawing/2014/main" id="{00000000-0008-0000-0D00-000023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48" name="Text Box 2">
          <a:extLst>
            <a:ext uri="{FF2B5EF4-FFF2-40B4-BE49-F238E27FC236}">
              <a16:creationId xmlns:a16="http://schemas.microsoft.com/office/drawing/2014/main" id="{00000000-0008-0000-0D00-000024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49" name="Text Box 2">
          <a:extLst>
            <a:ext uri="{FF2B5EF4-FFF2-40B4-BE49-F238E27FC236}">
              <a16:creationId xmlns:a16="http://schemas.microsoft.com/office/drawing/2014/main" id="{00000000-0008-0000-0D00-000025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50" name="Text Box 2">
          <a:extLst>
            <a:ext uri="{FF2B5EF4-FFF2-40B4-BE49-F238E27FC236}">
              <a16:creationId xmlns:a16="http://schemas.microsoft.com/office/drawing/2014/main" id="{00000000-0008-0000-0D00-000026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51" name="Text Box 2">
          <a:extLst>
            <a:ext uri="{FF2B5EF4-FFF2-40B4-BE49-F238E27FC236}">
              <a16:creationId xmlns:a16="http://schemas.microsoft.com/office/drawing/2014/main" id="{00000000-0008-0000-0D00-000027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52" name="Text Box 2">
          <a:extLst>
            <a:ext uri="{FF2B5EF4-FFF2-40B4-BE49-F238E27FC236}">
              <a16:creationId xmlns:a16="http://schemas.microsoft.com/office/drawing/2014/main" id="{00000000-0008-0000-0D00-000028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53" name="Text Box 2">
          <a:extLst>
            <a:ext uri="{FF2B5EF4-FFF2-40B4-BE49-F238E27FC236}">
              <a16:creationId xmlns:a16="http://schemas.microsoft.com/office/drawing/2014/main" id="{00000000-0008-0000-0D00-000029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54" name="Text Box 2">
          <a:extLst>
            <a:ext uri="{FF2B5EF4-FFF2-40B4-BE49-F238E27FC236}">
              <a16:creationId xmlns:a16="http://schemas.microsoft.com/office/drawing/2014/main" id="{00000000-0008-0000-0D00-00002A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55" name="Text Box 2">
          <a:extLst>
            <a:ext uri="{FF2B5EF4-FFF2-40B4-BE49-F238E27FC236}">
              <a16:creationId xmlns:a16="http://schemas.microsoft.com/office/drawing/2014/main" id="{00000000-0008-0000-0D00-00002B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56" name="Text Box 2">
          <a:extLst>
            <a:ext uri="{FF2B5EF4-FFF2-40B4-BE49-F238E27FC236}">
              <a16:creationId xmlns:a16="http://schemas.microsoft.com/office/drawing/2014/main" id="{00000000-0008-0000-0D00-00002C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57" name="Text Box 2">
          <a:extLst>
            <a:ext uri="{FF2B5EF4-FFF2-40B4-BE49-F238E27FC236}">
              <a16:creationId xmlns:a16="http://schemas.microsoft.com/office/drawing/2014/main" id="{00000000-0008-0000-0D00-00002D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58" name="Text Box 2">
          <a:extLst>
            <a:ext uri="{FF2B5EF4-FFF2-40B4-BE49-F238E27FC236}">
              <a16:creationId xmlns:a16="http://schemas.microsoft.com/office/drawing/2014/main" id="{00000000-0008-0000-0D00-00002E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59" name="Text Box 2">
          <a:extLst>
            <a:ext uri="{FF2B5EF4-FFF2-40B4-BE49-F238E27FC236}">
              <a16:creationId xmlns:a16="http://schemas.microsoft.com/office/drawing/2014/main" id="{00000000-0008-0000-0D00-00002F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60" name="Text Box 2">
          <a:extLst>
            <a:ext uri="{FF2B5EF4-FFF2-40B4-BE49-F238E27FC236}">
              <a16:creationId xmlns:a16="http://schemas.microsoft.com/office/drawing/2014/main" id="{00000000-0008-0000-0D00-000030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61" name="Text Box 2">
          <a:extLst>
            <a:ext uri="{FF2B5EF4-FFF2-40B4-BE49-F238E27FC236}">
              <a16:creationId xmlns:a16="http://schemas.microsoft.com/office/drawing/2014/main" id="{00000000-0008-0000-0D00-000031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62" name="Text Box 2">
          <a:extLst>
            <a:ext uri="{FF2B5EF4-FFF2-40B4-BE49-F238E27FC236}">
              <a16:creationId xmlns:a16="http://schemas.microsoft.com/office/drawing/2014/main" id="{00000000-0008-0000-0D00-000032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63" name="Text Box 2">
          <a:extLst>
            <a:ext uri="{FF2B5EF4-FFF2-40B4-BE49-F238E27FC236}">
              <a16:creationId xmlns:a16="http://schemas.microsoft.com/office/drawing/2014/main" id="{00000000-0008-0000-0D00-000033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64" name="Text Box 2">
          <a:extLst>
            <a:ext uri="{FF2B5EF4-FFF2-40B4-BE49-F238E27FC236}">
              <a16:creationId xmlns:a16="http://schemas.microsoft.com/office/drawing/2014/main" id="{00000000-0008-0000-0D00-000034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65" name="Text Box 2">
          <a:extLst>
            <a:ext uri="{FF2B5EF4-FFF2-40B4-BE49-F238E27FC236}">
              <a16:creationId xmlns:a16="http://schemas.microsoft.com/office/drawing/2014/main" id="{00000000-0008-0000-0D00-000035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66" name="Text Box 2">
          <a:extLst>
            <a:ext uri="{FF2B5EF4-FFF2-40B4-BE49-F238E27FC236}">
              <a16:creationId xmlns:a16="http://schemas.microsoft.com/office/drawing/2014/main" id="{00000000-0008-0000-0D00-000036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67" name="Text Box 2">
          <a:extLst>
            <a:ext uri="{FF2B5EF4-FFF2-40B4-BE49-F238E27FC236}">
              <a16:creationId xmlns:a16="http://schemas.microsoft.com/office/drawing/2014/main" id="{00000000-0008-0000-0D00-000037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68" name="Text Box 2">
          <a:extLst>
            <a:ext uri="{FF2B5EF4-FFF2-40B4-BE49-F238E27FC236}">
              <a16:creationId xmlns:a16="http://schemas.microsoft.com/office/drawing/2014/main" id="{00000000-0008-0000-0D00-000038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69" name="Text Box 2">
          <a:extLst>
            <a:ext uri="{FF2B5EF4-FFF2-40B4-BE49-F238E27FC236}">
              <a16:creationId xmlns:a16="http://schemas.microsoft.com/office/drawing/2014/main" id="{00000000-0008-0000-0D00-000039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70" name="Text Box 2">
          <a:extLst>
            <a:ext uri="{FF2B5EF4-FFF2-40B4-BE49-F238E27FC236}">
              <a16:creationId xmlns:a16="http://schemas.microsoft.com/office/drawing/2014/main" id="{00000000-0008-0000-0D00-00003A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71" name="Text Box 2">
          <a:extLst>
            <a:ext uri="{FF2B5EF4-FFF2-40B4-BE49-F238E27FC236}">
              <a16:creationId xmlns:a16="http://schemas.microsoft.com/office/drawing/2014/main" id="{00000000-0008-0000-0D00-00003B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72" name="Text Box 2">
          <a:extLst>
            <a:ext uri="{FF2B5EF4-FFF2-40B4-BE49-F238E27FC236}">
              <a16:creationId xmlns:a16="http://schemas.microsoft.com/office/drawing/2014/main" id="{00000000-0008-0000-0D00-00003C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73" name="Text Box 2">
          <a:extLst>
            <a:ext uri="{FF2B5EF4-FFF2-40B4-BE49-F238E27FC236}">
              <a16:creationId xmlns:a16="http://schemas.microsoft.com/office/drawing/2014/main" id="{00000000-0008-0000-0D00-00003D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74" name="Text Box 2">
          <a:extLst>
            <a:ext uri="{FF2B5EF4-FFF2-40B4-BE49-F238E27FC236}">
              <a16:creationId xmlns:a16="http://schemas.microsoft.com/office/drawing/2014/main" id="{00000000-0008-0000-0D00-00003E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575" name="Text Box 2">
          <a:extLst>
            <a:ext uri="{FF2B5EF4-FFF2-40B4-BE49-F238E27FC236}">
              <a16:creationId xmlns:a16="http://schemas.microsoft.com/office/drawing/2014/main" id="{00000000-0008-0000-0D00-00003F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76" name="Text Box 2">
          <a:extLst>
            <a:ext uri="{FF2B5EF4-FFF2-40B4-BE49-F238E27FC236}">
              <a16:creationId xmlns:a16="http://schemas.microsoft.com/office/drawing/2014/main" id="{00000000-0008-0000-0D00-000040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77" name="Text Box 2">
          <a:extLst>
            <a:ext uri="{FF2B5EF4-FFF2-40B4-BE49-F238E27FC236}">
              <a16:creationId xmlns:a16="http://schemas.microsoft.com/office/drawing/2014/main" id="{00000000-0008-0000-0D00-000041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78" name="Text Box 2">
          <a:extLst>
            <a:ext uri="{FF2B5EF4-FFF2-40B4-BE49-F238E27FC236}">
              <a16:creationId xmlns:a16="http://schemas.microsoft.com/office/drawing/2014/main" id="{00000000-0008-0000-0D00-000042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79" name="Text Box 2">
          <a:extLst>
            <a:ext uri="{FF2B5EF4-FFF2-40B4-BE49-F238E27FC236}">
              <a16:creationId xmlns:a16="http://schemas.microsoft.com/office/drawing/2014/main" id="{00000000-0008-0000-0D00-000043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80" name="Text Box 2">
          <a:extLst>
            <a:ext uri="{FF2B5EF4-FFF2-40B4-BE49-F238E27FC236}">
              <a16:creationId xmlns:a16="http://schemas.microsoft.com/office/drawing/2014/main" id="{00000000-0008-0000-0D00-000044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81" name="Text Box 2">
          <a:extLst>
            <a:ext uri="{FF2B5EF4-FFF2-40B4-BE49-F238E27FC236}">
              <a16:creationId xmlns:a16="http://schemas.microsoft.com/office/drawing/2014/main" id="{00000000-0008-0000-0D00-000045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82" name="Text Box 2">
          <a:extLst>
            <a:ext uri="{FF2B5EF4-FFF2-40B4-BE49-F238E27FC236}">
              <a16:creationId xmlns:a16="http://schemas.microsoft.com/office/drawing/2014/main" id="{00000000-0008-0000-0D00-000046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83" name="Text Box 2">
          <a:extLst>
            <a:ext uri="{FF2B5EF4-FFF2-40B4-BE49-F238E27FC236}">
              <a16:creationId xmlns:a16="http://schemas.microsoft.com/office/drawing/2014/main" id="{00000000-0008-0000-0D00-000047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84" name="Text Box 2">
          <a:extLst>
            <a:ext uri="{FF2B5EF4-FFF2-40B4-BE49-F238E27FC236}">
              <a16:creationId xmlns:a16="http://schemas.microsoft.com/office/drawing/2014/main" id="{00000000-0008-0000-0D00-000048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85" name="Text Box 2">
          <a:extLst>
            <a:ext uri="{FF2B5EF4-FFF2-40B4-BE49-F238E27FC236}">
              <a16:creationId xmlns:a16="http://schemas.microsoft.com/office/drawing/2014/main" id="{00000000-0008-0000-0D00-000049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86" name="Text Box 2">
          <a:extLst>
            <a:ext uri="{FF2B5EF4-FFF2-40B4-BE49-F238E27FC236}">
              <a16:creationId xmlns:a16="http://schemas.microsoft.com/office/drawing/2014/main" id="{00000000-0008-0000-0D00-00004A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87" name="Text Box 2">
          <a:extLst>
            <a:ext uri="{FF2B5EF4-FFF2-40B4-BE49-F238E27FC236}">
              <a16:creationId xmlns:a16="http://schemas.microsoft.com/office/drawing/2014/main" id="{00000000-0008-0000-0D00-00004B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88" name="Text Box 2">
          <a:extLst>
            <a:ext uri="{FF2B5EF4-FFF2-40B4-BE49-F238E27FC236}">
              <a16:creationId xmlns:a16="http://schemas.microsoft.com/office/drawing/2014/main" id="{00000000-0008-0000-0D00-00004C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89" name="Text Box 2">
          <a:extLst>
            <a:ext uri="{FF2B5EF4-FFF2-40B4-BE49-F238E27FC236}">
              <a16:creationId xmlns:a16="http://schemas.microsoft.com/office/drawing/2014/main" id="{00000000-0008-0000-0D00-00004D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90" name="Text Box 2">
          <a:extLst>
            <a:ext uri="{FF2B5EF4-FFF2-40B4-BE49-F238E27FC236}">
              <a16:creationId xmlns:a16="http://schemas.microsoft.com/office/drawing/2014/main" id="{00000000-0008-0000-0D00-00004E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91" name="Text Box 2">
          <a:extLst>
            <a:ext uri="{FF2B5EF4-FFF2-40B4-BE49-F238E27FC236}">
              <a16:creationId xmlns:a16="http://schemas.microsoft.com/office/drawing/2014/main" id="{00000000-0008-0000-0D00-00004F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92" name="Text Box 2">
          <a:extLst>
            <a:ext uri="{FF2B5EF4-FFF2-40B4-BE49-F238E27FC236}">
              <a16:creationId xmlns:a16="http://schemas.microsoft.com/office/drawing/2014/main" id="{00000000-0008-0000-0D00-000050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93" name="Text Box 2">
          <a:extLst>
            <a:ext uri="{FF2B5EF4-FFF2-40B4-BE49-F238E27FC236}">
              <a16:creationId xmlns:a16="http://schemas.microsoft.com/office/drawing/2014/main" id="{00000000-0008-0000-0D00-000051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94" name="Text Box 2">
          <a:extLst>
            <a:ext uri="{FF2B5EF4-FFF2-40B4-BE49-F238E27FC236}">
              <a16:creationId xmlns:a16="http://schemas.microsoft.com/office/drawing/2014/main" id="{00000000-0008-0000-0D00-000052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95" name="Text Box 2">
          <a:extLst>
            <a:ext uri="{FF2B5EF4-FFF2-40B4-BE49-F238E27FC236}">
              <a16:creationId xmlns:a16="http://schemas.microsoft.com/office/drawing/2014/main" id="{00000000-0008-0000-0D00-000053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96" name="Text Box 2">
          <a:extLst>
            <a:ext uri="{FF2B5EF4-FFF2-40B4-BE49-F238E27FC236}">
              <a16:creationId xmlns:a16="http://schemas.microsoft.com/office/drawing/2014/main" id="{00000000-0008-0000-0D00-000054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97" name="Text Box 2">
          <a:extLst>
            <a:ext uri="{FF2B5EF4-FFF2-40B4-BE49-F238E27FC236}">
              <a16:creationId xmlns:a16="http://schemas.microsoft.com/office/drawing/2014/main" id="{00000000-0008-0000-0D00-000055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98" name="Text Box 2">
          <a:extLst>
            <a:ext uri="{FF2B5EF4-FFF2-40B4-BE49-F238E27FC236}">
              <a16:creationId xmlns:a16="http://schemas.microsoft.com/office/drawing/2014/main" id="{00000000-0008-0000-0D00-000056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599" name="Text Box 2">
          <a:extLst>
            <a:ext uri="{FF2B5EF4-FFF2-40B4-BE49-F238E27FC236}">
              <a16:creationId xmlns:a16="http://schemas.microsoft.com/office/drawing/2014/main" id="{00000000-0008-0000-0D00-000057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00" name="Text Box 2">
          <a:extLst>
            <a:ext uri="{FF2B5EF4-FFF2-40B4-BE49-F238E27FC236}">
              <a16:creationId xmlns:a16="http://schemas.microsoft.com/office/drawing/2014/main" id="{00000000-0008-0000-0D00-000058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01" name="Text Box 2">
          <a:extLst>
            <a:ext uri="{FF2B5EF4-FFF2-40B4-BE49-F238E27FC236}">
              <a16:creationId xmlns:a16="http://schemas.microsoft.com/office/drawing/2014/main" id="{00000000-0008-0000-0D00-000059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02" name="Text Box 2">
          <a:extLst>
            <a:ext uri="{FF2B5EF4-FFF2-40B4-BE49-F238E27FC236}">
              <a16:creationId xmlns:a16="http://schemas.microsoft.com/office/drawing/2014/main" id="{00000000-0008-0000-0D00-00005A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03" name="Text Box 2">
          <a:extLst>
            <a:ext uri="{FF2B5EF4-FFF2-40B4-BE49-F238E27FC236}">
              <a16:creationId xmlns:a16="http://schemas.microsoft.com/office/drawing/2014/main" id="{00000000-0008-0000-0D00-00005B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04" name="Text Box 2">
          <a:extLst>
            <a:ext uri="{FF2B5EF4-FFF2-40B4-BE49-F238E27FC236}">
              <a16:creationId xmlns:a16="http://schemas.microsoft.com/office/drawing/2014/main" id="{00000000-0008-0000-0D00-00005C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05" name="Text Box 2">
          <a:extLst>
            <a:ext uri="{FF2B5EF4-FFF2-40B4-BE49-F238E27FC236}">
              <a16:creationId xmlns:a16="http://schemas.microsoft.com/office/drawing/2014/main" id="{00000000-0008-0000-0D00-00005D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06" name="Text Box 2">
          <a:extLst>
            <a:ext uri="{FF2B5EF4-FFF2-40B4-BE49-F238E27FC236}">
              <a16:creationId xmlns:a16="http://schemas.microsoft.com/office/drawing/2014/main" id="{00000000-0008-0000-0D00-00005E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07" name="Text Box 2">
          <a:extLst>
            <a:ext uri="{FF2B5EF4-FFF2-40B4-BE49-F238E27FC236}">
              <a16:creationId xmlns:a16="http://schemas.microsoft.com/office/drawing/2014/main" id="{00000000-0008-0000-0D00-00005F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08" name="Text Box 2">
          <a:extLst>
            <a:ext uri="{FF2B5EF4-FFF2-40B4-BE49-F238E27FC236}">
              <a16:creationId xmlns:a16="http://schemas.microsoft.com/office/drawing/2014/main" id="{00000000-0008-0000-0D00-000060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09" name="Text Box 2">
          <a:extLst>
            <a:ext uri="{FF2B5EF4-FFF2-40B4-BE49-F238E27FC236}">
              <a16:creationId xmlns:a16="http://schemas.microsoft.com/office/drawing/2014/main" id="{00000000-0008-0000-0D00-000061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10" name="Text Box 2">
          <a:extLst>
            <a:ext uri="{FF2B5EF4-FFF2-40B4-BE49-F238E27FC236}">
              <a16:creationId xmlns:a16="http://schemas.microsoft.com/office/drawing/2014/main" id="{00000000-0008-0000-0D00-000062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11" name="Text Box 2">
          <a:extLst>
            <a:ext uri="{FF2B5EF4-FFF2-40B4-BE49-F238E27FC236}">
              <a16:creationId xmlns:a16="http://schemas.microsoft.com/office/drawing/2014/main" id="{00000000-0008-0000-0D00-000063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12" name="Text Box 2">
          <a:extLst>
            <a:ext uri="{FF2B5EF4-FFF2-40B4-BE49-F238E27FC236}">
              <a16:creationId xmlns:a16="http://schemas.microsoft.com/office/drawing/2014/main" id="{00000000-0008-0000-0D00-000064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13" name="Text Box 2">
          <a:extLst>
            <a:ext uri="{FF2B5EF4-FFF2-40B4-BE49-F238E27FC236}">
              <a16:creationId xmlns:a16="http://schemas.microsoft.com/office/drawing/2014/main" id="{00000000-0008-0000-0D00-000065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14" name="Text Box 2">
          <a:extLst>
            <a:ext uri="{FF2B5EF4-FFF2-40B4-BE49-F238E27FC236}">
              <a16:creationId xmlns:a16="http://schemas.microsoft.com/office/drawing/2014/main" id="{00000000-0008-0000-0D00-000066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15" name="Text Box 2">
          <a:extLst>
            <a:ext uri="{FF2B5EF4-FFF2-40B4-BE49-F238E27FC236}">
              <a16:creationId xmlns:a16="http://schemas.microsoft.com/office/drawing/2014/main" id="{00000000-0008-0000-0D00-000067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16" name="Text Box 2">
          <a:extLst>
            <a:ext uri="{FF2B5EF4-FFF2-40B4-BE49-F238E27FC236}">
              <a16:creationId xmlns:a16="http://schemas.microsoft.com/office/drawing/2014/main" id="{00000000-0008-0000-0D00-000068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17" name="Text Box 2">
          <a:extLst>
            <a:ext uri="{FF2B5EF4-FFF2-40B4-BE49-F238E27FC236}">
              <a16:creationId xmlns:a16="http://schemas.microsoft.com/office/drawing/2014/main" id="{00000000-0008-0000-0D00-000069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18" name="Text Box 2">
          <a:extLst>
            <a:ext uri="{FF2B5EF4-FFF2-40B4-BE49-F238E27FC236}">
              <a16:creationId xmlns:a16="http://schemas.microsoft.com/office/drawing/2014/main" id="{00000000-0008-0000-0D00-00006A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19" name="Text Box 2">
          <a:extLst>
            <a:ext uri="{FF2B5EF4-FFF2-40B4-BE49-F238E27FC236}">
              <a16:creationId xmlns:a16="http://schemas.microsoft.com/office/drawing/2014/main" id="{00000000-0008-0000-0D00-00006B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20" name="Text Box 2">
          <a:extLst>
            <a:ext uri="{FF2B5EF4-FFF2-40B4-BE49-F238E27FC236}">
              <a16:creationId xmlns:a16="http://schemas.microsoft.com/office/drawing/2014/main" id="{00000000-0008-0000-0D00-00006C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21" name="Text Box 2">
          <a:extLst>
            <a:ext uri="{FF2B5EF4-FFF2-40B4-BE49-F238E27FC236}">
              <a16:creationId xmlns:a16="http://schemas.microsoft.com/office/drawing/2014/main" id="{00000000-0008-0000-0D00-00006D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22" name="Text Box 2">
          <a:extLst>
            <a:ext uri="{FF2B5EF4-FFF2-40B4-BE49-F238E27FC236}">
              <a16:creationId xmlns:a16="http://schemas.microsoft.com/office/drawing/2014/main" id="{00000000-0008-0000-0D00-00006E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23" name="Text Box 2">
          <a:extLst>
            <a:ext uri="{FF2B5EF4-FFF2-40B4-BE49-F238E27FC236}">
              <a16:creationId xmlns:a16="http://schemas.microsoft.com/office/drawing/2014/main" id="{00000000-0008-0000-0D00-00006F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24" name="Text Box 2">
          <a:extLst>
            <a:ext uri="{FF2B5EF4-FFF2-40B4-BE49-F238E27FC236}">
              <a16:creationId xmlns:a16="http://schemas.microsoft.com/office/drawing/2014/main" id="{00000000-0008-0000-0D00-000070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25" name="Text Box 2">
          <a:extLst>
            <a:ext uri="{FF2B5EF4-FFF2-40B4-BE49-F238E27FC236}">
              <a16:creationId xmlns:a16="http://schemas.microsoft.com/office/drawing/2014/main" id="{00000000-0008-0000-0D00-000071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26" name="Text Box 2">
          <a:extLst>
            <a:ext uri="{FF2B5EF4-FFF2-40B4-BE49-F238E27FC236}">
              <a16:creationId xmlns:a16="http://schemas.microsoft.com/office/drawing/2014/main" id="{00000000-0008-0000-0D00-000072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27" name="Text Box 2">
          <a:extLst>
            <a:ext uri="{FF2B5EF4-FFF2-40B4-BE49-F238E27FC236}">
              <a16:creationId xmlns:a16="http://schemas.microsoft.com/office/drawing/2014/main" id="{00000000-0008-0000-0D00-000073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28" name="Text Box 2">
          <a:extLst>
            <a:ext uri="{FF2B5EF4-FFF2-40B4-BE49-F238E27FC236}">
              <a16:creationId xmlns:a16="http://schemas.microsoft.com/office/drawing/2014/main" id="{00000000-0008-0000-0D00-000074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29" name="Text Box 2">
          <a:extLst>
            <a:ext uri="{FF2B5EF4-FFF2-40B4-BE49-F238E27FC236}">
              <a16:creationId xmlns:a16="http://schemas.microsoft.com/office/drawing/2014/main" id="{00000000-0008-0000-0D00-000075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30" name="Text Box 2">
          <a:extLst>
            <a:ext uri="{FF2B5EF4-FFF2-40B4-BE49-F238E27FC236}">
              <a16:creationId xmlns:a16="http://schemas.microsoft.com/office/drawing/2014/main" id="{00000000-0008-0000-0D00-000076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31" name="Text Box 2">
          <a:extLst>
            <a:ext uri="{FF2B5EF4-FFF2-40B4-BE49-F238E27FC236}">
              <a16:creationId xmlns:a16="http://schemas.microsoft.com/office/drawing/2014/main" id="{00000000-0008-0000-0D00-000077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32" name="Text Box 2">
          <a:extLst>
            <a:ext uri="{FF2B5EF4-FFF2-40B4-BE49-F238E27FC236}">
              <a16:creationId xmlns:a16="http://schemas.microsoft.com/office/drawing/2014/main" id="{00000000-0008-0000-0D00-000078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33" name="Text Box 2">
          <a:extLst>
            <a:ext uri="{FF2B5EF4-FFF2-40B4-BE49-F238E27FC236}">
              <a16:creationId xmlns:a16="http://schemas.microsoft.com/office/drawing/2014/main" id="{00000000-0008-0000-0D00-000079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34" name="Text Box 2">
          <a:extLst>
            <a:ext uri="{FF2B5EF4-FFF2-40B4-BE49-F238E27FC236}">
              <a16:creationId xmlns:a16="http://schemas.microsoft.com/office/drawing/2014/main" id="{00000000-0008-0000-0D00-00007A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35" name="Text Box 2">
          <a:extLst>
            <a:ext uri="{FF2B5EF4-FFF2-40B4-BE49-F238E27FC236}">
              <a16:creationId xmlns:a16="http://schemas.microsoft.com/office/drawing/2014/main" id="{00000000-0008-0000-0D00-00007B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36" name="Text Box 2">
          <a:extLst>
            <a:ext uri="{FF2B5EF4-FFF2-40B4-BE49-F238E27FC236}">
              <a16:creationId xmlns:a16="http://schemas.microsoft.com/office/drawing/2014/main" id="{00000000-0008-0000-0D00-00007C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37" name="Text Box 2">
          <a:extLst>
            <a:ext uri="{FF2B5EF4-FFF2-40B4-BE49-F238E27FC236}">
              <a16:creationId xmlns:a16="http://schemas.microsoft.com/office/drawing/2014/main" id="{00000000-0008-0000-0D00-00007D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38" name="Text Box 2">
          <a:extLst>
            <a:ext uri="{FF2B5EF4-FFF2-40B4-BE49-F238E27FC236}">
              <a16:creationId xmlns:a16="http://schemas.microsoft.com/office/drawing/2014/main" id="{00000000-0008-0000-0D00-00007E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39" name="Text Box 2">
          <a:extLst>
            <a:ext uri="{FF2B5EF4-FFF2-40B4-BE49-F238E27FC236}">
              <a16:creationId xmlns:a16="http://schemas.microsoft.com/office/drawing/2014/main" id="{00000000-0008-0000-0D00-00007F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40" name="Text Box 2">
          <a:extLst>
            <a:ext uri="{FF2B5EF4-FFF2-40B4-BE49-F238E27FC236}">
              <a16:creationId xmlns:a16="http://schemas.microsoft.com/office/drawing/2014/main" id="{00000000-0008-0000-0D00-000080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41" name="Text Box 2">
          <a:extLst>
            <a:ext uri="{FF2B5EF4-FFF2-40B4-BE49-F238E27FC236}">
              <a16:creationId xmlns:a16="http://schemas.microsoft.com/office/drawing/2014/main" id="{00000000-0008-0000-0D00-000081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42" name="Text Box 2">
          <a:extLst>
            <a:ext uri="{FF2B5EF4-FFF2-40B4-BE49-F238E27FC236}">
              <a16:creationId xmlns:a16="http://schemas.microsoft.com/office/drawing/2014/main" id="{00000000-0008-0000-0D00-000082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43" name="Text Box 2">
          <a:extLst>
            <a:ext uri="{FF2B5EF4-FFF2-40B4-BE49-F238E27FC236}">
              <a16:creationId xmlns:a16="http://schemas.microsoft.com/office/drawing/2014/main" id="{00000000-0008-0000-0D00-000083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44" name="Text Box 2">
          <a:extLst>
            <a:ext uri="{FF2B5EF4-FFF2-40B4-BE49-F238E27FC236}">
              <a16:creationId xmlns:a16="http://schemas.microsoft.com/office/drawing/2014/main" id="{00000000-0008-0000-0D00-000084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45" name="Text Box 2">
          <a:extLst>
            <a:ext uri="{FF2B5EF4-FFF2-40B4-BE49-F238E27FC236}">
              <a16:creationId xmlns:a16="http://schemas.microsoft.com/office/drawing/2014/main" id="{00000000-0008-0000-0D00-000085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46" name="Text Box 2">
          <a:extLst>
            <a:ext uri="{FF2B5EF4-FFF2-40B4-BE49-F238E27FC236}">
              <a16:creationId xmlns:a16="http://schemas.microsoft.com/office/drawing/2014/main" id="{00000000-0008-0000-0D00-000086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47" name="Text Box 2">
          <a:extLst>
            <a:ext uri="{FF2B5EF4-FFF2-40B4-BE49-F238E27FC236}">
              <a16:creationId xmlns:a16="http://schemas.microsoft.com/office/drawing/2014/main" id="{00000000-0008-0000-0D00-000087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48" name="Text Box 2">
          <a:extLst>
            <a:ext uri="{FF2B5EF4-FFF2-40B4-BE49-F238E27FC236}">
              <a16:creationId xmlns:a16="http://schemas.microsoft.com/office/drawing/2014/main" id="{00000000-0008-0000-0D00-000088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49" name="Text Box 2">
          <a:extLst>
            <a:ext uri="{FF2B5EF4-FFF2-40B4-BE49-F238E27FC236}">
              <a16:creationId xmlns:a16="http://schemas.microsoft.com/office/drawing/2014/main" id="{00000000-0008-0000-0D00-000089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50" name="Text Box 2">
          <a:extLst>
            <a:ext uri="{FF2B5EF4-FFF2-40B4-BE49-F238E27FC236}">
              <a16:creationId xmlns:a16="http://schemas.microsoft.com/office/drawing/2014/main" id="{00000000-0008-0000-0D00-00008A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51" name="Text Box 2">
          <a:extLst>
            <a:ext uri="{FF2B5EF4-FFF2-40B4-BE49-F238E27FC236}">
              <a16:creationId xmlns:a16="http://schemas.microsoft.com/office/drawing/2014/main" id="{00000000-0008-0000-0D00-00008B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52" name="Text Box 2">
          <a:extLst>
            <a:ext uri="{FF2B5EF4-FFF2-40B4-BE49-F238E27FC236}">
              <a16:creationId xmlns:a16="http://schemas.microsoft.com/office/drawing/2014/main" id="{00000000-0008-0000-0D00-00008C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53" name="Text Box 2">
          <a:extLst>
            <a:ext uri="{FF2B5EF4-FFF2-40B4-BE49-F238E27FC236}">
              <a16:creationId xmlns:a16="http://schemas.microsoft.com/office/drawing/2014/main" id="{00000000-0008-0000-0D00-00008D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54" name="Text Box 2">
          <a:extLst>
            <a:ext uri="{FF2B5EF4-FFF2-40B4-BE49-F238E27FC236}">
              <a16:creationId xmlns:a16="http://schemas.microsoft.com/office/drawing/2014/main" id="{00000000-0008-0000-0D00-00008E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55" name="Text Box 2">
          <a:extLst>
            <a:ext uri="{FF2B5EF4-FFF2-40B4-BE49-F238E27FC236}">
              <a16:creationId xmlns:a16="http://schemas.microsoft.com/office/drawing/2014/main" id="{00000000-0008-0000-0D00-00008F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56" name="Text Box 2">
          <a:extLst>
            <a:ext uri="{FF2B5EF4-FFF2-40B4-BE49-F238E27FC236}">
              <a16:creationId xmlns:a16="http://schemas.microsoft.com/office/drawing/2014/main" id="{00000000-0008-0000-0D00-000090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57" name="Text Box 2">
          <a:extLst>
            <a:ext uri="{FF2B5EF4-FFF2-40B4-BE49-F238E27FC236}">
              <a16:creationId xmlns:a16="http://schemas.microsoft.com/office/drawing/2014/main" id="{00000000-0008-0000-0D00-000091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58" name="Text Box 2">
          <a:extLst>
            <a:ext uri="{FF2B5EF4-FFF2-40B4-BE49-F238E27FC236}">
              <a16:creationId xmlns:a16="http://schemas.microsoft.com/office/drawing/2014/main" id="{00000000-0008-0000-0D00-000092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59" name="Text Box 2">
          <a:extLst>
            <a:ext uri="{FF2B5EF4-FFF2-40B4-BE49-F238E27FC236}">
              <a16:creationId xmlns:a16="http://schemas.microsoft.com/office/drawing/2014/main" id="{00000000-0008-0000-0D00-000093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60" name="Text Box 2">
          <a:extLst>
            <a:ext uri="{FF2B5EF4-FFF2-40B4-BE49-F238E27FC236}">
              <a16:creationId xmlns:a16="http://schemas.microsoft.com/office/drawing/2014/main" id="{00000000-0008-0000-0D00-000094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61" name="Text Box 2">
          <a:extLst>
            <a:ext uri="{FF2B5EF4-FFF2-40B4-BE49-F238E27FC236}">
              <a16:creationId xmlns:a16="http://schemas.microsoft.com/office/drawing/2014/main" id="{00000000-0008-0000-0D00-000095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62" name="Text Box 2">
          <a:extLst>
            <a:ext uri="{FF2B5EF4-FFF2-40B4-BE49-F238E27FC236}">
              <a16:creationId xmlns:a16="http://schemas.microsoft.com/office/drawing/2014/main" id="{00000000-0008-0000-0D00-000096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663" name="Text Box 2">
          <a:extLst>
            <a:ext uri="{FF2B5EF4-FFF2-40B4-BE49-F238E27FC236}">
              <a16:creationId xmlns:a16="http://schemas.microsoft.com/office/drawing/2014/main" id="{00000000-0008-0000-0D00-000097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64" name="Text Box 2">
          <a:extLst>
            <a:ext uri="{FF2B5EF4-FFF2-40B4-BE49-F238E27FC236}">
              <a16:creationId xmlns:a16="http://schemas.microsoft.com/office/drawing/2014/main" id="{00000000-0008-0000-0D00-000098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65" name="Text Box 2">
          <a:extLst>
            <a:ext uri="{FF2B5EF4-FFF2-40B4-BE49-F238E27FC236}">
              <a16:creationId xmlns:a16="http://schemas.microsoft.com/office/drawing/2014/main" id="{00000000-0008-0000-0D00-000099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66" name="Text Box 2">
          <a:extLst>
            <a:ext uri="{FF2B5EF4-FFF2-40B4-BE49-F238E27FC236}">
              <a16:creationId xmlns:a16="http://schemas.microsoft.com/office/drawing/2014/main" id="{00000000-0008-0000-0D00-00009A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67" name="Text Box 2">
          <a:extLst>
            <a:ext uri="{FF2B5EF4-FFF2-40B4-BE49-F238E27FC236}">
              <a16:creationId xmlns:a16="http://schemas.microsoft.com/office/drawing/2014/main" id="{00000000-0008-0000-0D00-00009B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68" name="Text Box 2">
          <a:extLst>
            <a:ext uri="{FF2B5EF4-FFF2-40B4-BE49-F238E27FC236}">
              <a16:creationId xmlns:a16="http://schemas.microsoft.com/office/drawing/2014/main" id="{00000000-0008-0000-0D00-00009C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69" name="Text Box 2">
          <a:extLst>
            <a:ext uri="{FF2B5EF4-FFF2-40B4-BE49-F238E27FC236}">
              <a16:creationId xmlns:a16="http://schemas.microsoft.com/office/drawing/2014/main" id="{00000000-0008-0000-0D00-00009D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70" name="Text Box 2">
          <a:extLst>
            <a:ext uri="{FF2B5EF4-FFF2-40B4-BE49-F238E27FC236}">
              <a16:creationId xmlns:a16="http://schemas.microsoft.com/office/drawing/2014/main" id="{00000000-0008-0000-0D00-00009E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71" name="Text Box 2">
          <a:extLst>
            <a:ext uri="{FF2B5EF4-FFF2-40B4-BE49-F238E27FC236}">
              <a16:creationId xmlns:a16="http://schemas.microsoft.com/office/drawing/2014/main" id="{00000000-0008-0000-0D00-00009F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72" name="Text Box 2">
          <a:extLst>
            <a:ext uri="{FF2B5EF4-FFF2-40B4-BE49-F238E27FC236}">
              <a16:creationId xmlns:a16="http://schemas.microsoft.com/office/drawing/2014/main" id="{00000000-0008-0000-0D00-0000A0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73" name="Text Box 2">
          <a:extLst>
            <a:ext uri="{FF2B5EF4-FFF2-40B4-BE49-F238E27FC236}">
              <a16:creationId xmlns:a16="http://schemas.microsoft.com/office/drawing/2014/main" id="{00000000-0008-0000-0D00-0000A1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74" name="Text Box 2">
          <a:extLst>
            <a:ext uri="{FF2B5EF4-FFF2-40B4-BE49-F238E27FC236}">
              <a16:creationId xmlns:a16="http://schemas.microsoft.com/office/drawing/2014/main" id="{00000000-0008-0000-0D00-0000A2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75" name="Text Box 2">
          <a:extLst>
            <a:ext uri="{FF2B5EF4-FFF2-40B4-BE49-F238E27FC236}">
              <a16:creationId xmlns:a16="http://schemas.microsoft.com/office/drawing/2014/main" id="{00000000-0008-0000-0D00-0000A3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76" name="Text Box 2">
          <a:extLst>
            <a:ext uri="{FF2B5EF4-FFF2-40B4-BE49-F238E27FC236}">
              <a16:creationId xmlns:a16="http://schemas.microsoft.com/office/drawing/2014/main" id="{00000000-0008-0000-0D00-0000A4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77" name="Text Box 2">
          <a:extLst>
            <a:ext uri="{FF2B5EF4-FFF2-40B4-BE49-F238E27FC236}">
              <a16:creationId xmlns:a16="http://schemas.microsoft.com/office/drawing/2014/main" id="{00000000-0008-0000-0D00-0000A5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78" name="Text Box 2">
          <a:extLst>
            <a:ext uri="{FF2B5EF4-FFF2-40B4-BE49-F238E27FC236}">
              <a16:creationId xmlns:a16="http://schemas.microsoft.com/office/drawing/2014/main" id="{00000000-0008-0000-0D00-0000A6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79" name="Text Box 2">
          <a:extLst>
            <a:ext uri="{FF2B5EF4-FFF2-40B4-BE49-F238E27FC236}">
              <a16:creationId xmlns:a16="http://schemas.microsoft.com/office/drawing/2014/main" id="{00000000-0008-0000-0D00-0000A7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80" name="Text Box 2">
          <a:extLst>
            <a:ext uri="{FF2B5EF4-FFF2-40B4-BE49-F238E27FC236}">
              <a16:creationId xmlns:a16="http://schemas.microsoft.com/office/drawing/2014/main" id="{00000000-0008-0000-0D00-0000A8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81" name="Text Box 2">
          <a:extLst>
            <a:ext uri="{FF2B5EF4-FFF2-40B4-BE49-F238E27FC236}">
              <a16:creationId xmlns:a16="http://schemas.microsoft.com/office/drawing/2014/main" id="{00000000-0008-0000-0D00-0000A9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82" name="Text Box 2">
          <a:extLst>
            <a:ext uri="{FF2B5EF4-FFF2-40B4-BE49-F238E27FC236}">
              <a16:creationId xmlns:a16="http://schemas.microsoft.com/office/drawing/2014/main" id="{00000000-0008-0000-0D00-0000AA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83" name="Text Box 2">
          <a:extLst>
            <a:ext uri="{FF2B5EF4-FFF2-40B4-BE49-F238E27FC236}">
              <a16:creationId xmlns:a16="http://schemas.microsoft.com/office/drawing/2014/main" id="{00000000-0008-0000-0D00-0000AB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84" name="Text Box 2">
          <a:extLst>
            <a:ext uri="{FF2B5EF4-FFF2-40B4-BE49-F238E27FC236}">
              <a16:creationId xmlns:a16="http://schemas.microsoft.com/office/drawing/2014/main" id="{00000000-0008-0000-0D00-0000AC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85" name="Text Box 2">
          <a:extLst>
            <a:ext uri="{FF2B5EF4-FFF2-40B4-BE49-F238E27FC236}">
              <a16:creationId xmlns:a16="http://schemas.microsoft.com/office/drawing/2014/main" id="{00000000-0008-0000-0D00-0000AD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86" name="Text Box 2">
          <a:extLst>
            <a:ext uri="{FF2B5EF4-FFF2-40B4-BE49-F238E27FC236}">
              <a16:creationId xmlns:a16="http://schemas.microsoft.com/office/drawing/2014/main" id="{00000000-0008-0000-0D00-0000AE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87" name="Text Box 2">
          <a:extLst>
            <a:ext uri="{FF2B5EF4-FFF2-40B4-BE49-F238E27FC236}">
              <a16:creationId xmlns:a16="http://schemas.microsoft.com/office/drawing/2014/main" id="{00000000-0008-0000-0D00-0000AF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88" name="Text Box 2">
          <a:extLst>
            <a:ext uri="{FF2B5EF4-FFF2-40B4-BE49-F238E27FC236}">
              <a16:creationId xmlns:a16="http://schemas.microsoft.com/office/drawing/2014/main" id="{00000000-0008-0000-0D00-0000B0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89" name="Text Box 2">
          <a:extLst>
            <a:ext uri="{FF2B5EF4-FFF2-40B4-BE49-F238E27FC236}">
              <a16:creationId xmlns:a16="http://schemas.microsoft.com/office/drawing/2014/main" id="{00000000-0008-0000-0D00-0000B1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90" name="Text Box 2">
          <a:extLst>
            <a:ext uri="{FF2B5EF4-FFF2-40B4-BE49-F238E27FC236}">
              <a16:creationId xmlns:a16="http://schemas.microsoft.com/office/drawing/2014/main" id="{00000000-0008-0000-0D00-0000B2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91" name="Text Box 2">
          <a:extLst>
            <a:ext uri="{FF2B5EF4-FFF2-40B4-BE49-F238E27FC236}">
              <a16:creationId xmlns:a16="http://schemas.microsoft.com/office/drawing/2014/main" id="{00000000-0008-0000-0D00-0000B3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692" name="Text Box 2">
          <a:extLst>
            <a:ext uri="{FF2B5EF4-FFF2-40B4-BE49-F238E27FC236}">
              <a16:creationId xmlns:a16="http://schemas.microsoft.com/office/drawing/2014/main" id="{00000000-0008-0000-0D00-0000B402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93" name="Text Box 2">
          <a:extLst>
            <a:ext uri="{FF2B5EF4-FFF2-40B4-BE49-F238E27FC236}">
              <a16:creationId xmlns:a16="http://schemas.microsoft.com/office/drawing/2014/main" id="{00000000-0008-0000-0D00-0000B5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94" name="Text Box 2">
          <a:extLst>
            <a:ext uri="{FF2B5EF4-FFF2-40B4-BE49-F238E27FC236}">
              <a16:creationId xmlns:a16="http://schemas.microsoft.com/office/drawing/2014/main" id="{00000000-0008-0000-0D00-0000B6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95" name="Text Box 2">
          <a:extLst>
            <a:ext uri="{FF2B5EF4-FFF2-40B4-BE49-F238E27FC236}">
              <a16:creationId xmlns:a16="http://schemas.microsoft.com/office/drawing/2014/main" id="{00000000-0008-0000-0D00-0000B7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96" name="Text Box 2">
          <a:extLst>
            <a:ext uri="{FF2B5EF4-FFF2-40B4-BE49-F238E27FC236}">
              <a16:creationId xmlns:a16="http://schemas.microsoft.com/office/drawing/2014/main" id="{00000000-0008-0000-0D00-0000B8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97" name="Text Box 2">
          <a:extLst>
            <a:ext uri="{FF2B5EF4-FFF2-40B4-BE49-F238E27FC236}">
              <a16:creationId xmlns:a16="http://schemas.microsoft.com/office/drawing/2014/main" id="{00000000-0008-0000-0D00-0000B9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98" name="Text Box 2">
          <a:extLst>
            <a:ext uri="{FF2B5EF4-FFF2-40B4-BE49-F238E27FC236}">
              <a16:creationId xmlns:a16="http://schemas.microsoft.com/office/drawing/2014/main" id="{00000000-0008-0000-0D00-0000BA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699" name="Text Box 2">
          <a:extLst>
            <a:ext uri="{FF2B5EF4-FFF2-40B4-BE49-F238E27FC236}">
              <a16:creationId xmlns:a16="http://schemas.microsoft.com/office/drawing/2014/main" id="{00000000-0008-0000-0D00-0000BB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00" name="Text Box 2">
          <a:extLst>
            <a:ext uri="{FF2B5EF4-FFF2-40B4-BE49-F238E27FC236}">
              <a16:creationId xmlns:a16="http://schemas.microsoft.com/office/drawing/2014/main" id="{00000000-0008-0000-0D00-0000BC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01" name="Text Box 2">
          <a:extLst>
            <a:ext uri="{FF2B5EF4-FFF2-40B4-BE49-F238E27FC236}">
              <a16:creationId xmlns:a16="http://schemas.microsoft.com/office/drawing/2014/main" id="{00000000-0008-0000-0D00-0000BD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02" name="Text Box 2">
          <a:extLst>
            <a:ext uri="{FF2B5EF4-FFF2-40B4-BE49-F238E27FC236}">
              <a16:creationId xmlns:a16="http://schemas.microsoft.com/office/drawing/2014/main" id="{00000000-0008-0000-0D00-0000BE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03" name="Text Box 2">
          <a:extLst>
            <a:ext uri="{FF2B5EF4-FFF2-40B4-BE49-F238E27FC236}">
              <a16:creationId xmlns:a16="http://schemas.microsoft.com/office/drawing/2014/main" id="{00000000-0008-0000-0D00-0000BF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04" name="Text Box 2">
          <a:extLst>
            <a:ext uri="{FF2B5EF4-FFF2-40B4-BE49-F238E27FC236}">
              <a16:creationId xmlns:a16="http://schemas.microsoft.com/office/drawing/2014/main" id="{00000000-0008-0000-0D00-0000C0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05" name="Text Box 2">
          <a:extLst>
            <a:ext uri="{FF2B5EF4-FFF2-40B4-BE49-F238E27FC236}">
              <a16:creationId xmlns:a16="http://schemas.microsoft.com/office/drawing/2014/main" id="{00000000-0008-0000-0D00-0000C1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06" name="Text Box 2">
          <a:extLst>
            <a:ext uri="{FF2B5EF4-FFF2-40B4-BE49-F238E27FC236}">
              <a16:creationId xmlns:a16="http://schemas.microsoft.com/office/drawing/2014/main" id="{00000000-0008-0000-0D00-0000C2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07" name="Text Box 2">
          <a:extLst>
            <a:ext uri="{FF2B5EF4-FFF2-40B4-BE49-F238E27FC236}">
              <a16:creationId xmlns:a16="http://schemas.microsoft.com/office/drawing/2014/main" id="{00000000-0008-0000-0D00-0000C3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08" name="Text Box 2">
          <a:extLst>
            <a:ext uri="{FF2B5EF4-FFF2-40B4-BE49-F238E27FC236}">
              <a16:creationId xmlns:a16="http://schemas.microsoft.com/office/drawing/2014/main" id="{00000000-0008-0000-0D00-0000C4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09" name="Text Box 2">
          <a:extLst>
            <a:ext uri="{FF2B5EF4-FFF2-40B4-BE49-F238E27FC236}">
              <a16:creationId xmlns:a16="http://schemas.microsoft.com/office/drawing/2014/main" id="{00000000-0008-0000-0D00-0000C5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10" name="Text Box 2">
          <a:extLst>
            <a:ext uri="{FF2B5EF4-FFF2-40B4-BE49-F238E27FC236}">
              <a16:creationId xmlns:a16="http://schemas.microsoft.com/office/drawing/2014/main" id="{00000000-0008-0000-0D00-0000C6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11" name="Text Box 2">
          <a:extLst>
            <a:ext uri="{FF2B5EF4-FFF2-40B4-BE49-F238E27FC236}">
              <a16:creationId xmlns:a16="http://schemas.microsoft.com/office/drawing/2014/main" id="{00000000-0008-0000-0D00-0000C7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12" name="Text Box 2">
          <a:extLst>
            <a:ext uri="{FF2B5EF4-FFF2-40B4-BE49-F238E27FC236}">
              <a16:creationId xmlns:a16="http://schemas.microsoft.com/office/drawing/2014/main" id="{00000000-0008-0000-0D00-0000C8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13" name="Text Box 2">
          <a:extLst>
            <a:ext uri="{FF2B5EF4-FFF2-40B4-BE49-F238E27FC236}">
              <a16:creationId xmlns:a16="http://schemas.microsoft.com/office/drawing/2014/main" id="{00000000-0008-0000-0D00-0000C9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14" name="Text Box 2">
          <a:extLst>
            <a:ext uri="{FF2B5EF4-FFF2-40B4-BE49-F238E27FC236}">
              <a16:creationId xmlns:a16="http://schemas.microsoft.com/office/drawing/2014/main" id="{00000000-0008-0000-0D00-0000CA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15" name="Text Box 2">
          <a:extLst>
            <a:ext uri="{FF2B5EF4-FFF2-40B4-BE49-F238E27FC236}">
              <a16:creationId xmlns:a16="http://schemas.microsoft.com/office/drawing/2014/main" id="{00000000-0008-0000-0D00-0000CB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16" name="Text Box 2">
          <a:extLst>
            <a:ext uri="{FF2B5EF4-FFF2-40B4-BE49-F238E27FC236}">
              <a16:creationId xmlns:a16="http://schemas.microsoft.com/office/drawing/2014/main" id="{00000000-0008-0000-0D00-0000CC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17" name="Text Box 2">
          <a:extLst>
            <a:ext uri="{FF2B5EF4-FFF2-40B4-BE49-F238E27FC236}">
              <a16:creationId xmlns:a16="http://schemas.microsoft.com/office/drawing/2014/main" id="{00000000-0008-0000-0D00-0000CD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18" name="Text Box 2">
          <a:extLst>
            <a:ext uri="{FF2B5EF4-FFF2-40B4-BE49-F238E27FC236}">
              <a16:creationId xmlns:a16="http://schemas.microsoft.com/office/drawing/2014/main" id="{00000000-0008-0000-0D00-0000CE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19" name="Text Box 2">
          <a:extLst>
            <a:ext uri="{FF2B5EF4-FFF2-40B4-BE49-F238E27FC236}">
              <a16:creationId xmlns:a16="http://schemas.microsoft.com/office/drawing/2014/main" id="{00000000-0008-0000-0D00-0000CF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20" name="Text Box 2">
          <a:extLst>
            <a:ext uri="{FF2B5EF4-FFF2-40B4-BE49-F238E27FC236}">
              <a16:creationId xmlns:a16="http://schemas.microsoft.com/office/drawing/2014/main" id="{00000000-0008-0000-0D00-0000D0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21" name="Text Box 2">
          <a:extLst>
            <a:ext uri="{FF2B5EF4-FFF2-40B4-BE49-F238E27FC236}">
              <a16:creationId xmlns:a16="http://schemas.microsoft.com/office/drawing/2014/main" id="{00000000-0008-0000-0D00-0000D1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22" name="Text Box 2">
          <a:extLst>
            <a:ext uri="{FF2B5EF4-FFF2-40B4-BE49-F238E27FC236}">
              <a16:creationId xmlns:a16="http://schemas.microsoft.com/office/drawing/2014/main" id="{00000000-0008-0000-0D00-0000D2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23" name="Text Box 2">
          <a:extLst>
            <a:ext uri="{FF2B5EF4-FFF2-40B4-BE49-F238E27FC236}">
              <a16:creationId xmlns:a16="http://schemas.microsoft.com/office/drawing/2014/main" id="{00000000-0008-0000-0D00-0000D3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24" name="Text Box 2">
          <a:extLst>
            <a:ext uri="{FF2B5EF4-FFF2-40B4-BE49-F238E27FC236}">
              <a16:creationId xmlns:a16="http://schemas.microsoft.com/office/drawing/2014/main" id="{00000000-0008-0000-0D00-0000D4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25" name="Text Box 2">
          <a:extLst>
            <a:ext uri="{FF2B5EF4-FFF2-40B4-BE49-F238E27FC236}">
              <a16:creationId xmlns:a16="http://schemas.microsoft.com/office/drawing/2014/main" id="{00000000-0008-0000-0D00-0000D5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26" name="Text Box 2">
          <a:extLst>
            <a:ext uri="{FF2B5EF4-FFF2-40B4-BE49-F238E27FC236}">
              <a16:creationId xmlns:a16="http://schemas.microsoft.com/office/drawing/2014/main" id="{00000000-0008-0000-0D00-0000D6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27" name="Text Box 2">
          <a:extLst>
            <a:ext uri="{FF2B5EF4-FFF2-40B4-BE49-F238E27FC236}">
              <a16:creationId xmlns:a16="http://schemas.microsoft.com/office/drawing/2014/main" id="{00000000-0008-0000-0D00-0000D7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28" name="Text Box 2">
          <a:extLst>
            <a:ext uri="{FF2B5EF4-FFF2-40B4-BE49-F238E27FC236}">
              <a16:creationId xmlns:a16="http://schemas.microsoft.com/office/drawing/2014/main" id="{00000000-0008-0000-0D00-0000D8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29" name="Text Box 2">
          <a:extLst>
            <a:ext uri="{FF2B5EF4-FFF2-40B4-BE49-F238E27FC236}">
              <a16:creationId xmlns:a16="http://schemas.microsoft.com/office/drawing/2014/main" id="{00000000-0008-0000-0D00-0000D9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30" name="Text Box 2">
          <a:extLst>
            <a:ext uri="{FF2B5EF4-FFF2-40B4-BE49-F238E27FC236}">
              <a16:creationId xmlns:a16="http://schemas.microsoft.com/office/drawing/2014/main" id="{00000000-0008-0000-0D00-0000DA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31" name="Text Box 2">
          <a:extLst>
            <a:ext uri="{FF2B5EF4-FFF2-40B4-BE49-F238E27FC236}">
              <a16:creationId xmlns:a16="http://schemas.microsoft.com/office/drawing/2014/main" id="{00000000-0008-0000-0D00-0000DB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32" name="Text Box 2">
          <a:extLst>
            <a:ext uri="{FF2B5EF4-FFF2-40B4-BE49-F238E27FC236}">
              <a16:creationId xmlns:a16="http://schemas.microsoft.com/office/drawing/2014/main" id="{00000000-0008-0000-0D00-0000DC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33" name="Text Box 2">
          <a:extLst>
            <a:ext uri="{FF2B5EF4-FFF2-40B4-BE49-F238E27FC236}">
              <a16:creationId xmlns:a16="http://schemas.microsoft.com/office/drawing/2014/main" id="{00000000-0008-0000-0D00-0000DD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34" name="Text Box 2">
          <a:extLst>
            <a:ext uri="{FF2B5EF4-FFF2-40B4-BE49-F238E27FC236}">
              <a16:creationId xmlns:a16="http://schemas.microsoft.com/office/drawing/2014/main" id="{00000000-0008-0000-0D00-0000DE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35" name="Text Box 2">
          <a:extLst>
            <a:ext uri="{FF2B5EF4-FFF2-40B4-BE49-F238E27FC236}">
              <a16:creationId xmlns:a16="http://schemas.microsoft.com/office/drawing/2014/main" id="{00000000-0008-0000-0D00-0000DF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36" name="Text Box 2">
          <a:extLst>
            <a:ext uri="{FF2B5EF4-FFF2-40B4-BE49-F238E27FC236}">
              <a16:creationId xmlns:a16="http://schemas.microsoft.com/office/drawing/2014/main" id="{00000000-0008-0000-0D00-0000E0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37" name="Text Box 2">
          <a:extLst>
            <a:ext uri="{FF2B5EF4-FFF2-40B4-BE49-F238E27FC236}">
              <a16:creationId xmlns:a16="http://schemas.microsoft.com/office/drawing/2014/main" id="{00000000-0008-0000-0D00-0000E1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38" name="Text Box 2">
          <a:extLst>
            <a:ext uri="{FF2B5EF4-FFF2-40B4-BE49-F238E27FC236}">
              <a16:creationId xmlns:a16="http://schemas.microsoft.com/office/drawing/2014/main" id="{00000000-0008-0000-0D00-0000E2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39" name="Text Box 2">
          <a:extLst>
            <a:ext uri="{FF2B5EF4-FFF2-40B4-BE49-F238E27FC236}">
              <a16:creationId xmlns:a16="http://schemas.microsoft.com/office/drawing/2014/main" id="{00000000-0008-0000-0D00-0000E3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40" name="Text Box 2">
          <a:extLst>
            <a:ext uri="{FF2B5EF4-FFF2-40B4-BE49-F238E27FC236}">
              <a16:creationId xmlns:a16="http://schemas.microsoft.com/office/drawing/2014/main" id="{00000000-0008-0000-0D00-0000E4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41" name="Text Box 2">
          <a:extLst>
            <a:ext uri="{FF2B5EF4-FFF2-40B4-BE49-F238E27FC236}">
              <a16:creationId xmlns:a16="http://schemas.microsoft.com/office/drawing/2014/main" id="{00000000-0008-0000-0D00-0000E5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42" name="Text Box 2">
          <a:extLst>
            <a:ext uri="{FF2B5EF4-FFF2-40B4-BE49-F238E27FC236}">
              <a16:creationId xmlns:a16="http://schemas.microsoft.com/office/drawing/2014/main" id="{00000000-0008-0000-0D00-0000E6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43" name="Text Box 2">
          <a:extLst>
            <a:ext uri="{FF2B5EF4-FFF2-40B4-BE49-F238E27FC236}">
              <a16:creationId xmlns:a16="http://schemas.microsoft.com/office/drawing/2014/main" id="{00000000-0008-0000-0D00-0000E7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44" name="Text Box 2">
          <a:extLst>
            <a:ext uri="{FF2B5EF4-FFF2-40B4-BE49-F238E27FC236}">
              <a16:creationId xmlns:a16="http://schemas.microsoft.com/office/drawing/2014/main" id="{00000000-0008-0000-0D00-0000E8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45" name="Text Box 2">
          <a:extLst>
            <a:ext uri="{FF2B5EF4-FFF2-40B4-BE49-F238E27FC236}">
              <a16:creationId xmlns:a16="http://schemas.microsoft.com/office/drawing/2014/main" id="{00000000-0008-0000-0D00-0000E9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46" name="Text Box 2">
          <a:extLst>
            <a:ext uri="{FF2B5EF4-FFF2-40B4-BE49-F238E27FC236}">
              <a16:creationId xmlns:a16="http://schemas.microsoft.com/office/drawing/2014/main" id="{00000000-0008-0000-0D00-0000EA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47" name="Text Box 2">
          <a:extLst>
            <a:ext uri="{FF2B5EF4-FFF2-40B4-BE49-F238E27FC236}">
              <a16:creationId xmlns:a16="http://schemas.microsoft.com/office/drawing/2014/main" id="{00000000-0008-0000-0D00-0000EB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48" name="Text Box 2">
          <a:extLst>
            <a:ext uri="{FF2B5EF4-FFF2-40B4-BE49-F238E27FC236}">
              <a16:creationId xmlns:a16="http://schemas.microsoft.com/office/drawing/2014/main" id="{00000000-0008-0000-0D00-0000EC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749" name="Text Box 2">
          <a:extLst>
            <a:ext uri="{FF2B5EF4-FFF2-40B4-BE49-F238E27FC236}">
              <a16:creationId xmlns:a16="http://schemas.microsoft.com/office/drawing/2014/main" id="{00000000-0008-0000-0D00-0000ED02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50" name="Text Box 2">
          <a:extLst>
            <a:ext uri="{FF2B5EF4-FFF2-40B4-BE49-F238E27FC236}">
              <a16:creationId xmlns:a16="http://schemas.microsoft.com/office/drawing/2014/main" id="{00000000-0008-0000-0D00-0000EE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51" name="Text Box 2">
          <a:extLst>
            <a:ext uri="{FF2B5EF4-FFF2-40B4-BE49-F238E27FC236}">
              <a16:creationId xmlns:a16="http://schemas.microsoft.com/office/drawing/2014/main" id="{00000000-0008-0000-0D00-0000EF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52" name="Text Box 2">
          <a:extLst>
            <a:ext uri="{FF2B5EF4-FFF2-40B4-BE49-F238E27FC236}">
              <a16:creationId xmlns:a16="http://schemas.microsoft.com/office/drawing/2014/main" id="{00000000-0008-0000-0D00-0000F0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53" name="Text Box 2">
          <a:extLst>
            <a:ext uri="{FF2B5EF4-FFF2-40B4-BE49-F238E27FC236}">
              <a16:creationId xmlns:a16="http://schemas.microsoft.com/office/drawing/2014/main" id="{00000000-0008-0000-0D00-0000F1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54" name="Text Box 2">
          <a:extLst>
            <a:ext uri="{FF2B5EF4-FFF2-40B4-BE49-F238E27FC236}">
              <a16:creationId xmlns:a16="http://schemas.microsoft.com/office/drawing/2014/main" id="{00000000-0008-0000-0D00-0000F2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55" name="Text Box 2">
          <a:extLst>
            <a:ext uri="{FF2B5EF4-FFF2-40B4-BE49-F238E27FC236}">
              <a16:creationId xmlns:a16="http://schemas.microsoft.com/office/drawing/2014/main" id="{00000000-0008-0000-0D00-0000F3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56" name="Text Box 2">
          <a:extLst>
            <a:ext uri="{FF2B5EF4-FFF2-40B4-BE49-F238E27FC236}">
              <a16:creationId xmlns:a16="http://schemas.microsoft.com/office/drawing/2014/main" id="{00000000-0008-0000-0D00-0000F4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57" name="Text Box 2">
          <a:extLst>
            <a:ext uri="{FF2B5EF4-FFF2-40B4-BE49-F238E27FC236}">
              <a16:creationId xmlns:a16="http://schemas.microsoft.com/office/drawing/2014/main" id="{00000000-0008-0000-0D00-0000F5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58" name="Text Box 2">
          <a:extLst>
            <a:ext uri="{FF2B5EF4-FFF2-40B4-BE49-F238E27FC236}">
              <a16:creationId xmlns:a16="http://schemas.microsoft.com/office/drawing/2014/main" id="{00000000-0008-0000-0D00-0000F6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59" name="Text Box 2">
          <a:extLst>
            <a:ext uri="{FF2B5EF4-FFF2-40B4-BE49-F238E27FC236}">
              <a16:creationId xmlns:a16="http://schemas.microsoft.com/office/drawing/2014/main" id="{00000000-0008-0000-0D00-0000F7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60" name="Text Box 2">
          <a:extLst>
            <a:ext uri="{FF2B5EF4-FFF2-40B4-BE49-F238E27FC236}">
              <a16:creationId xmlns:a16="http://schemas.microsoft.com/office/drawing/2014/main" id="{00000000-0008-0000-0D00-0000F8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61" name="Text Box 2">
          <a:extLst>
            <a:ext uri="{FF2B5EF4-FFF2-40B4-BE49-F238E27FC236}">
              <a16:creationId xmlns:a16="http://schemas.microsoft.com/office/drawing/2014/main" id="{00000000-0008-0000-0D00-0000F9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62" name="Text Box 2">
          <a:extLst>
            <a:ext uri="{FF2B5EF4-FFF2-40B4-BE49-F238E27FC236}">
              <a16:creationId xmlns:a16="http://schemas.microsoft.com/office/drawing/2014/main" id="{00000000-0008-0000-0D00-0000FA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63" name="Text Box 2">
          <a:extLst>
            <a:ext uri="{FF2B5EF4-FFF2-40B4-BE49-F238E27FC236}">
              <a16:creationId xmlns:a16="http://schemas.microsoft.com/office/drawing/2014/main" id="{00000000-0008-0000-0D00-0000FB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64" name="Text Box 2">
          <a:extLst>
            <a:ext uri="{FF2B5EF4-FFF2-40B4-BE49-F238E27FC236}">
              <a16:creationId xmlns:a16="http://schemas.microsoft.com/office/drawing/2014/main" id="{00000000-0008-0000-0D00-0000FC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65" name="Text Box 2">
          <a:extLst>
            <a:ext uri="{FF2B5EF4-FFF2-40B4-BE49-F238E27FC236}">
              <a16:creationId xmlns:a16="http://schemas.microsoft.com/office/drawing/2014/main" id="{00000000-0008-0000-0D00-0000FD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66" name="Text Box 2">
          <a:extLst>
            <a:ext uri="{FF2B5EF4-FFF2-40B4-BE49-F238E27FC236}">
              <a16:creationId xmlns:a16="http://schemas.microsoft.com/office/drawing/2014/main" id="{00000000-0008-0000-0D00-0000FE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67" name="Text Box 2">
          <a:extLst>
            <a:ext uri="{FF2B5EF4-FFF2-40B4-BE49-F238E27FC236}">
              <a16:creationId xmlns:a16="http://schemas.microsoft.com/office/drawing/2014/main" id="{00000000-0008-0000-0D00-0000FF02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68" name="Text Box 2">
          <a:extLst>
            <a:ext uri="{FF2B5EF4-FFF2-40B4-BE49-F238E27FC236}">
              <a16:creationId xmlns:a16="http://schemas.microsoft.com/office/drawing/2014/main" id="{00000000-0008-0000-0D00-000000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69" name="Text Box 2">
          <a:extLst>
            <a:ext uri="{FF2B5EF4-FFF2-40B4-BE49-F238E27FC236}">
              <a16:creationId xmlns:a16="http://schemas.microsoft.com/office/drawing/2014/main" id="{00000000-0008-0000-0D00-000001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70" name="Text Box 2">
          <a:extLst>
            <a:ext uri="{FF2B5EF4-FFF2-40B4-BE49-F238E27FC236}">
              <a16:creationId xmlns:a16="http://schemas.microsoft.com/office/drawing/2014/main" id="{00000000-0008-0000-0D00-000002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71" name="Text Box 2">
          <a:extLst>
            <a:ext uri="{FF2B5EF4-FFF2-40B4-BE49-F238E27FC236}">
              <a16:creationId xmlns:a16="http://schemas.microsoft.com/office/drawing/2014/main" id="{00000000-0008-0000-0D00-000003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72" name="Text Box 2">
          <a:extLst>
            <a:ext uri="{FF2B5EF4-FFF2-40B4-BE49-F238E27FC236}">
              <a16:creationId xmlns:a16="http://schemas.microsoft.com/office/drawing/2014/main" id="{00000000-0008-0000-0D00-000004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73" name="Text Box 2">
          <a:extLst>
            <a:ext uri="{FF2B5EF4-FFF2-40B4-BE49-F238E27FC236}">
              <a16:creationId xmlns:a16="http://schemas.microsoft.com/office/drawing/2014/main" id="{00000000-0008-0000-0D00-000005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74" name="Text Box 2">
          <a:extLst>
            <a:ext uri="{FF2B5EF4-FFF2-40B4-BE49-F238E27FC236}">
              <a16:creationId xmlns:a16="http://schemas.microsoft.com/office/drawing/2014/main" id="{00000000-0008-0000-0D00-000006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75" name="Text Box 2">
          <a:extLst>
            <a:ext uri="{FF2B5EF4-FFF2-40B4-BE49-F238E27FC236}">
              <a16:creationId xmlns:a16="http://schemas.microsoft.com/office/drawing/2014/main" id="{00000000-0008-0000-0D00-000007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76" name="Text Box 2">
          <a:extLst>
            <a:ext uri="{FF2B5EF4-FFF2-40B4-BE49-F238E27FC236}">
              <a16:creationId xmlns:a16="http://schemas.microsoft.com/office/drawing/2014/main" id="{00000000-0008-0000-0D00-000008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77" name="Text Box 2">
          <a:extLst>
            <a:ext uri="{FF2B5EF4-FFF2-40B4-BE49-F238E27FC236}">
              <a16:creationId xmlns:a16="http://schemas.microsoft.com/office/drawing/2014/main" id="{00000000-0008-0000-0D00-000009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78" name="Text Box 2">
          <a:extLst>
            <a:ext uri="{FF2B5EF4-FFF2-40B4-BE49-F238E27FC236}">
              <a16:creationId xmlns:a16="http://schemas.microsoft.com/office/drawing/2014/main" id="{00000000-0008-0000-0D00-00000A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79" name="Text Box 2">
          <a:extLst>
            <a:ext uri="{FF2B5EF4-FFF2-40B4-BE49-F238E27FC236}">
              <a16:creationId xmlns:a16="http://schemas.microsoft.com/office/drawing/2014/main" id="{00000000-0008-0000-0D00-00000B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80" name="Text Box 2">
          <a:extLst>
            <a:ext uri="{FF2B5EF4-FFF2-40B4-BE49-F238E27FC236}">
              <a16:creationId xmlns:a16="http://schemas.microsoft.com/office/drawing/2014/main" id="{00000000-0008-0000-0D00-00000C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81" name="Text Box 2">
          <a:extLst>
            <a:ext uri="{FF2B5EF4-FFF2-40B4-BE49-F238E27FC236}">
              <a16:creationId xmlns:a16="http://schemas.microsoft.com/office/drawing/2014/main" id="{00000000-0008-0000-0D00-00000D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82" name="Text Box 2">
          <a:extLst>
            <a:ext uri="{FF2B5EF4-FFF2-40B4-BE49-F238E27FC236}">
              <a16:creationId xmlns:a16="http://schemas.microsoft.com/office/drawing/2014/main" id="{00000000-0008-0000-0D00-00000E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83" name="Text Box 2">
          <a:extLst>
            <a:ext uri="{FF2B5EF4-FFF2-40B4-BE49-F238E27FC236}">
              <a16:creationId xmlns:a16="http://schemas.microsoft.com/office/drawing/2014/main" id="{00000000-0008-0000-0D00-00000F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84" name="Text Box 2">
          <a:extLst>
            <a:ext uri="{FF2B5EF4-FFF2-40B4-BE49-F238E27FC236}">
              <a16:creationId xmlns:a16="http://schemas.microsoft.com/office/drawing/2014/main" id="{00000000-0008-0000-0D00-000010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85" name="Text Box 2">
          <a:extLst>
            <a:ext uri="{FF2B5EF4-FFF2-40B4-BE49-F238E27FC236}">
              <a16:creationId xmlns:a16="http://schemas.microsoft.com/office/drawing/2014/main" id="{00000000-0008-0000-0D00-000011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86" name="Text Box 2">
          <a:extLst>
            <a:ext uri="{FF2B5EF4-FFF2-40B4-BE49-F238E27FC236}">
              <a16:creationId xmlns:a16="http://schemas.microsoft.com/office/drawing/2014/main" id="{00000000-0008-0000-0D00-000012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87" name="Text Box 2">
          <a:extLst>
            <a:ext uri="{FF2B5EF4-FFF2-40B4-BE49-F238E27FC236}">
              <a16:creationId xmlns:a16="http://schemas.microsoft.com/office/drawing/2014/main" id="{00000000-0008-0000-0D00-000013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88" name="Text Box 2">
          <a:extLst>
            <a:ext uri="{FF2B5EF4-FFF2-40B4-BE49-F238E27FC236}">
              <a16:creationId xmlns:a16="http://schemas.microsoft.com/office/drawing/2014/main" id="{00000000-0008-0000-0D00-000014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89" name="Text Box 2">
          <a:extLst>
            <a:ext uri="{FF2B5EF4-FFF2-40B4-BE49-F238E27FC236}">
              <a16:creationId xmlns:a16="http://schemas.microsoft.com/office/drawing/2014/main" id="{00000000-0008-0000-0D00-000015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90" name="Text Box 2">
          <a:extLst>
            <a:ext uri="{FF2B5EF4-FFF2-40B4-BE49-F238E27FC236}">
              <a16:creationId xmlns:a16="http://schemas.microsoft.com/office/drawing/2014/main" id="{00000000-0008-0000-0D00-000016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91" name="Text Box 2">
          <a:extLst>
            <a:ext uri="{FF2B5EF4-FFF2-40B4-BE49-F238E27FC236}">
              <a16:creationId xmlns:a16="http://schemas.microsoft.com/office/drawing/2014/main" id="{00000000-0008-0000-0D00-000017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92" name="Text Box 2">
          <a:extLst>
            <a:ext uri="{FF2B5EF4-FFF2-40B4-BE49-F238E27FC236}">
              <a16:creationId xmlns:a16="http://schemas.microsoft.com/office/drawing/2014/main" id="{00000000-0008-0000-0D00-000018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93" name="Text Box 2">
          <a:extLst>
            <a:ext uri="{FF2B5EF4-FFF2-40B4-BE49-F238E27FC236}">
              <a16:creationId xmlns:a16="http://schemas.microsoft.com/office/drawing/2014/main" id="{00000000-0008-0000-0D00-000019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94" name="Text Box 2">
          <a:extLst>
            <a:ext uri="{FF2B5EF4-FFF2-40B4-BE49-F238E27FC236}">
              <a16:creationId xmlns:a16="http://schemas.microsoft.com/office/drawing/2014/main" id="{00000000-0008-0000-0D00-00001A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95" name="Text Box 2">
          <a:extLst>
            <a:ext uri="{FF2B5EF4-FFF2-40B4-BE49-F238E27FC236}">
              <a16:creationId xmlns:a16="http://schemas.microsoft.com/office/drawing/2014/main" id="{00000000-0008-0000-0D00-00001B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96" name="Text Box 2">
          <a:extLst>
            <a:ext uri="{FF2B5EF4-FFF2-40B4-BE49-F238E27FC236}">
              <a16:creationId xmlns:a16="http://schemas.microsoft.com/office/drawing/2014/main" id="{00000000-0008-0000-0D00-00001C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97" name="Text Box 2">
          <a:extLst>
            <a:ext uri="{FF2B5EF4-FFF2-40B4-BE49-F238E27FC236}">
              <a16:creationId xmlns:a16="http://schemas.microsoft.com/office/drawing/2014/main" id="{00000000-0008-0000-0D00-00001D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98" name="Text Box 2">
          <a:extLst>
            <a:ext uri="{FF2B5EF4-FFF2-40B4-BE49-F238E27FC236}">
              <a16:creationId xmlns:a16="http://schemas.microsoft.com/office/drawing/2014/main" id="{00000000-0008-0000-0D00-00001E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799" name="Text Box 2">
          <a:extLst>
            <a:ext uri="{FF2B5EF4-FFF2-40B4-BE49-F238E27FC236}">
              <a16:creationId xmlns:a16="http://schemas.microsoft.com/office/drawing/2014/main" id="{00000000-0008-0000-0D00-00001F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00" name="Text Box 2">
          <a:extLst>
            <a:ext uri="{FF2B5EF4-FFF2-40B4-BE49-F238E27FC236}">
              <a16:creationId xmlns:a16="http://schemas.microsoft.com/office/drawing/2014/main" id="{00000000-0008-0000-0D00-000020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01" name="Text Box 2">
          <a:extLst>
            <a:ext uri="{FF2B5EF4-FFF2-40B4-BE49-F238E27FC236}">
              <a16:creationId xmlns:a16="http://schemas.microsoft.com/office/drawing/2014/main" id="{00000000-0008-0000-0D00-000021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02" name="Text Box 2">
          <a:extLst>
            <a:ext uri="{FF2B5EF4-FFF2-40B4-BE49-F238E27FC236}">
              <a16:creationId xmlns:a16="http://schemas.microsoft.com/office/drawing/2014/main" id="{00000000-0008-0000-0D00-000022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03" name="Text Box 2">
          <a:extLst>
            <a:ext uri="{FF2B5EF4-FFF2-40B4-BE49-F238E27FC236}">
              <a16:creationId xmlns:a16="http://schemas.microsoft.com/office/drawing/2014/main" id="{00000000-0008-0000-0D00-000023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04" name="Text Box 2">
          <a:extLst>
            <a:ext uri="{FF2B5EF4-FFF2-40B4-BE49-F238E27FC236}">
              <a16:creationId xmlns:a16="http://schemas.microsoft.com/office/drawing/2014/main" id="{00000000-0008-0000-0D00-000024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05" name="Text Box 2">
          <a:extLst>
            <a:ext uri="{FF2B5EF4-FFF2-40B4-BE49-F238E27FC236}">
              <a16:creationId xmlns:a16="http://schemas.microsoft.com/office/drawing/2014/main" id="{00000000-0008-0000-0D00-000025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06" name="Text Box 2">
          <a:extLst>
            <a:ext uri="{FF2B5EF4-FFF2-40B4-BE49-F238E27FC236}">
              <a16:creationId xmlns:a16="http://schemas.microsoft.com/office/drawing/2014/main" id="{00000000-0008-0000-0D00-000026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07" name="Text Box 2">
          <a:extLst>
            <a:ext uri="{FF2B5EF4-FFF2-40B4-BE49-F238E27FC236}">
              <a16:creationId xmlns:a16="http://schemas.microsoft.com/office/drawing/2014/main" id="{00000000-0008-0000-0D00-000027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08" name="Text Box 2">
          <a:extLst>
            <a:ext uri="{FF2B5EF4-FFF2-40B4-BE49-F238E27FC236}">
              <a16:creationId xmlns:a16="http://schemas.microsoft.com/office/drawing/2014/main" id="{00000000-0008-0000-0D00-000028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09" name="Text Box 2">
          <a:extLst>
            <a:ext uri="{FF2B5EF4-FFF2-40B4-BE49-F238E27FC236}">
              <a16:creationId xmlns:a16="http://schemas.microsoft.com/office/drawing/2014/main" id="{00000000-0008-0000-0D00-000029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10" name="Text Box 2">
          <a:extLst>
            <a:ext uri="{FF2B5EF4-FFF2-40B4-BE49-F238E27FC236}">
              <a16:creationId xmlns:a16="http://schemas.microsoft.com/office/drawing/2014/main" id="{00000000-0008-0000-0D00-00002A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11" name="Text Box 2">
          <a:extLst>
            <a:ext uri="{FF2B5EF4-FFF2-40B4-BE49-F238E27FC236}">
              <a16:creationId xmlns:a16="http://schemas.microsoft.com/office/drawing/2014/main" id="{00000000-0008-0000-0D00-00002B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12" name="Text Box 2">
          <a:extLst>
            <a:ext uri="{FF2B5EF4-FFF2-40B4-BE49-F238E27FC236}">
              <a16:creationId xmlns:a16="http://schemas.microsoft.com/office/drawing/2014/main" id="{00000000-0008-0000-0D00-00002C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13" name="Text Box 2">
          <a:extLst>
            <a:ext uri="{FF2B5EF4-FFF2-40B4-BE49-F238E27FC236}">
              <a16:creationId xmlns:a16="http://schemas.microsoft.com/office/drawing/2014/main" id="{00000000-0008-0000-0D00-00002D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14" name="Text Box 2">
          <a:extLst>
            <a:ext uri="{FF2B5EF4-FFF2-40B4-BE49-F238E27FC236}">
              <a16:creationId xmlns:a16="http://schemas.microsoft.com/office/drawing/2014/main" id="{00000000-0008-0000-0D00-00002E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15" name="Text Box 2">
          <a:extLst>
            <a:ext uri="{FF2B5EF4-FFF2-40B4-BE49-F238E27FC236}">
              <a16:creationId xmlns:a16="http://schemas.microsoft.com/office/drawing/2014/main" id="{00000000-0008-0000-0D00-00002F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16" name="Text Box 2">
          <a:extLst>
            <a:ext uri="{FF2B5EF4-FFF2-40B4-BE49-F238E27FC236}">
              <a16:creationId xmlns:a16="http://schemas.microsoft.com/office/drawing/2014/main" id="{00000000-0008-0000-0D00-000030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17" name="Text Box 2">
          <a:extLst>
            <a:ext uri="{FF2B5EF4-FFF2-40B4-BE49-F238E27FC236}">
              <a16:creationId xmlns:a16="http://schemas.microsoft.com/office/drawing/2014/main" id="{00000000-0008-0000-0D00-000031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18" name="Text Box 2">
          <a:extLst>
            <a:ext uri="{FF2B5EF4-FFF2-40B4-BE49-F238E27FC236}">
              <a16:creationId xmlns:a16="http://schemas.microsoft.com/office/drawing/2014/main" id="{00000000-0008-0000-0D00-000032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19" name="Text Box 2">
          <a:extLst>
            <a:ext uri="{FF2B5EF4-FFF2-40B4-BE49-F238E27FC236}">
              <a16:creationId xmlns:a16="http://schemas.microsoft.com/office/drawing/2014/main" id="{00000000-0008-0000-0D00-000033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20" name="Text Box 2">
          <a:extLst>
            <a:ext uri="{FF2B5EF4-FFF2-40B4-BE49-F238E27FC236}">
              <a16:creationId xmlns:a16="http://schemas.microsoft.com/office/drawing/2014/main" id="{00000000-0008-0000-0D00-000034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21" name="Text Box 2">
          <a:extLst>
            <a:ext uri="{FF2B5EF4-FFF2-40B4-BE49-F238E27FC236}">
              <a16:creationId xmlns:a16="http://schemas.microsoft.com/office/drawing/2014/main" id="{00000000-0008-0000-0D00-000035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22" name="Text Box 2">
          <a:extLst>
            <a:ext uri="{FF2B5EF4-FFF2-40B4-BE49-F238E27FC236}">
              <a16:creationId xmlns:a16="http://schemas.microsoft.com/office/drawing/2014/main" id="{00000000-0008-0000-0D00-000036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23" name="Text Box 2">
          <a:extLst>
            <a:ext uri="{FF2B5EF4-FFF2-40B4-BE49-F238E27FC236}">
              <a16:creationId xmlns:a16="http://schemas.microsoft.com/office/drawing/2014/main" id="{00000000-0008-0000-0D00-000037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24" name="Text Box 2">
          <a:extLst>
            <a:ext uri="{FF2B5EF4-FFF2-40B4-BE49-F238E27FC236}">
              <a16:creationId xmlns:a16="http://schemas.microsoft.com/office/drawing/2014/main" id="{00000000-0008-0000-0D00-000038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25" name="Text Box 2">
          <a:extLst>
            <a:ext uri="{FF2B5EF4-FFF2-40B4-BE49-F238E27FC236}">
              <a16:creationId xmlns:a16="http://schemas.microsoft.com/office/drawing/2014/main" id="{00000000-0008-0000-0D00-000039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26" name="Text Box 2">
          <a:extLst>
            <a:ext uri="{FF2B5EF4-FFF2-40B4-BE49-F238E27FC236}">
              <a16:creationId xmlns:a16="http://schemas.microsoft.com/office/drawing/2014/main" id="{00000000-0008-0000-0D00-00003A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27" name="Text Box 2">
          <a:extLst>
            <a:ext uri="{FF2B5EF4-FFF2-40B4-BE49-F238E27FC236}">
              <a16:creationId xmlns:a16="http://schemas.microsoft.com/office/drawing/2014/main" id="{00000000-0008-0000-0D00-00003B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28" name="Text Box 2">
          <a:extLst>
            <a:ext uri="{FF2B5EF4-FFF2-40B4-BE49-F238E27FC236}">
              <a16:creationId xmlns:a16="http://schemas.microsoft.com/office/drawing/2014/main" id="{00000000-0008-0000-0D00-00003C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29" name="Text Box 2">
          <a:extLst>
            <a:ext uri="{FF2B5EF4-FFF2-40B4-BE49-F238E27FC236}">
              <a16:creationId xmlns:a16="http://schemas.microsoft.com/office/drawing/2014/main" id="{00000000-0008-0000-0D00-00003D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30" name="Text Box 2">
          <a:extLst>
            <a:ext uri="{FF2B5EF4-FFF2-40B4-BE49-F238E27FC236}">
              <a16:creationId xmlns:a16="http://schemas.microsoft.com/office/drawing/2014/main" id="{00000000-0008-0000-0D00-00003E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31" name="Text Box 2">
          <a:extLst>
            <a:ext uri="{FF2B5EF4-FFF2-40B4-BE49-F238E27FC236}">
              <a16:creationId xmlns:a16="http://schemas.microsoft.com/office/drawing/2014/main" id="{00000000-0008-0000-0D00-00003F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32" name="Text Box 2">
          <a:extLst>
            <a:ext uri="{FF2B5EF4-FFF2-40B4-BE49-F238E27FC236}">
              <a16:creationId xmlns:a16="http://schemas.microsoft.com/office/drawing/2014/main" id="{00000000-0008-0000-0D00-000040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33" name="Text Box 2">
          <a:extLst>
            <a:ext uri="{FF2B5EF4-FFF2-40B4-BE49-F238E27FC236}">
              <a16:creationId xmlns:a16="http://schemas.microsoft.com/office/drawing/2014/main" id="{00000000-0008-0000-0D00-000041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34" name="Text Box 2">
          <a:extLst>
            <a:ext uri="{FF2B5EF4-FFF2-40B4-BE49-F238E27FC236}">
              <a16:creationId xmlns:a16="http://schemas.microsoft.com/office/drawing/2014/main" id="{00000000-0008-0000-0D00-000042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35" name="Text Box 2">
          <a:extLst>
            <a:ext uri="{FF2B5EF4-FFF2-40B4-BE49-F238E27FC236}">
              <a16:creationId xmlns:a16="http://schemas.microsoft.com/office/drawing/2014/main" id="{00000000-0008-0000-0D00-000043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36" name="Text Box 2">
          <a:extLst>
            <a:ext uri="{FF2B5EF4-FFF2-40B4-BE49-F238E27FC236}">
              <a16:creationId xmlns:a16="http://schemas.microsoft.com/office/drawing/2014/main" id="{00000000-0008-0000-0D00-000044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37" name="Text Box 2">
          <a:extLst>
            <a:ext uri="{FF2B5EF4-FFF2-40B4-BE49-F238E27FC236}">
              <a16:creationId xmlns:a16="http://schemas.microsoft.com/office/drawing/2014/main" id="{00000000-0008-0000-0D00-000045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38" name="Text Box 2">
          <a:extLst>
            <a:ext uri="{FF2B5EF4-FFF2-40B4-BE49-F238E27FC236}">
              <a16:creationId xmlns:a16="http://schemas.microsoft.com/office/drawing/2014/main" id="{00000000-0008-0000-0D00-000046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39" name="Text Box 2">
          <a:extLst>
            <a:ext uri="{FF2B5EF4-FFF2-40B4-BE49-F238E27FC236}">
              <a16:creationId xmlns:a16="http://schemas.microsoft.com/office/drawing/2014/main" id="{00000000-0008-0000-0D00-000047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40" name="Text Box 2">
          <a:extLst>
            <a:ext uri="{FF2B5EF4-FFF2-40B4-BE49-F238E27FC236}">
              <a16:creationId xmlns:a16="http://schemas.microsoft.com/office/drawing/2014/main" id="{00000000-0008-0000-0D00-000048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41" name="Text Box 2">
          <a:extLst>
            <a:ext uri="{FF2B5EF4-FFF2-40B4-BE49-F238E27FC236}">
              <a16:creationId xmlns:a16="http://schemas.microsoft.com/office/drawing/2014/main" id="{00000000-0008-0000-0D00-000049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42" name="Text Box 2">
          <a:extLst>
            <a:ext uri="{FF2B5EF4-FFF2-40B4-BE49-F238E27FC236}">
              <a16:creationId xmlns:a16="http://schemas.microsoft.com/office/drawing/2014/main" id="{00000000-0008-0000-0D00-00004A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43" name="Text Box 2">
          <a:extLst>
            <a:ext uri="{FF2B5EF4-FFF2-40B4-BE49-F238E27FC236}">
              <a16:creationId xmlns:a16="http://schemas.microsoft.com/office/drawing/2014/main" id="{00000000-0008-0000-0D00-00004B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44" name="Text Box 2">
          <a:extLst>
            <a:ext uri="{FF2B5EF4-FFF2-40B4-BE49-F238E27FC236}">
              <a16:creationId xmlns:a16="http://schemas.microsoft.com/office/drawing/2014/main" id="{00000000-0008-0000-0D00-00004C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45" name="Text Box 2">
          <a:extLst>
            <a:ext uri="{FF2B5EF4-FFF2-40B4-BE49-F238E27FC236}">
              <a16:creationId xmlns:a16="http://schemas.microsoft.com/office/drawing/2014/main" id="{00000000-0008-0000-0D00-00004D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46" name="Text Box 2">
          <a:extLst>
            <a:ext uri="{FF2B5EF4-FFF2-40B4-BE49-F238E27FC236}">
              <a16:creationId xmlns:a16="http://schemas.microsoft.com/office/drawing/2014/main" id="{00000000-0008-0000-0D00-00004E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47" name="Text Box 2">
          <a:extLst>
            <a:ext uri="{FF2B5EF4-FFF2-40B4-BE49-F238E27FC236}">
              <a16:creationId xmlns:a16="http://schemas.microsoft.com/office/drawing/2014/main" id="{00000000-0008-0000-0D00-00004F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48" name="Text Box 2">
          <a:extLst>
            <a:ext uri="{FF2B5EF4-FFF2-40B4-BE49-F238E27FC236}">
              <a16:creationId xmlns:a16="http://schemas.microsoft.com/office/drawing/2014/main" id="{00000000-0008-0000-0D00-000050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49" name="Text Box 2">
          <a:extLst>
            <a:ext uri="{FF2B5EF4-FFF2-40B4-BE49-F238E27FC236}">
              <a16:creationId xmlns:a16="http://schemas.microsoft.com/office/drawing/2014/main" id="{00000000-0008-0000-0D00-000051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50" name="Text Box 2">
          <a:extLst>
            <a:ext uri="{FF2B5EF4-FFF2-40B4-BE49-F238E27FC236}">
              <a16:creationId xmlns:a16="http://schemas.microsoft.com/office/drawing/2014/main" id="{00000000-0008-0000-0D00-000052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51" name="Text Box 2">
          <a:extLst>
            <a:ext uri="{FF2B5EF4-FFF2-40B4-BE49-F238E27FC236}">
              <a16:creationId xmlns:a16="http://schemas.microsoft.com/office/drawing/2014/main" id="{00000000-0008-0000-0D00-000053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52" name="Text Box 2">
          <a:extLst>
            <a:ext uri="{FF2B5EF4-FFF2-40B4-BE49-F238E27FC236}">
              <a16:creationId xmlns:a16="http://schemas.microsoft.com/office/drawing/2014/main" id="{00000000-0008-0000-0D00-000054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53" name="Text Box 2">
          <a:extLst>
            <a:ext uri="{FF2B5EF4-FFF2-40B4-BE49-F238E27FC236}">
              <a16:creationId xmlns:a16="http://schemas.microsoft.com/office/drawing/2014/main" id="{00000000-0008-0000-0D00-000055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54" name="Text Box 2">
          <a:extLst>
            <a:ext uri="{FF2B5EF4-FFF2-40B4-BE49-F238E27FC236}">
              <a16:creationId xmlns:a16="http://schemas.microsoft.com/office/drawing/2014/main" id="{00000000-0008-0000-0D00-000056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55" name="Text Box 2">
          <a:extLst>
            <a:ext uri="{FF2B5EF4-FFF2-40B4-BE49-F238E27FC236}">
              <a16:creationId xmlns:a16="http://schemas.microsoft.com/office/drawing/2014/main" id="{00000000-0008-0000-0D00-000057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56" name="Text Box 2">
          <a:extLst>
            <a:ext uri="{FF2B5EF4-FFF2-40B4-BE49-F238E27FC236}">
              <a16:creationId xmlns:a16="http://schemas.microsoft.com/office/drawing/2014/main" id="{00000000-0008-0000-0D00-000058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57" name="Text Box 2">
          <a:extLst>
            <a:ext uri="{FF2B5EF4-FFF2-40B4-BE49-F238E27FC236}">
              <a16:creationId xmlns:a16="http://schemas.microsoft.com/office/drawing/2014/main" id="{00000000-0008-0000-0D00-000059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58" name="Text Box 2">
          <a:extLst>
            <a:ext uri="{FF2B5EF4-FFF2-40B4-BE49-F238E27FC236}">
              <a16:creationId xmlns:a16="http://schemas.microsoft.com/office/drawing/2014/main" id="{00000000-0008-0000-0D00-00005A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59" name="Text Box 2">
          <a:extLst>
            <a:ext uri="{FF2B5EF4-FFF2-40B4-BE49-F238E27FC236}">
              <a16:creationId xmlns:a16="http://schemas.microsoft.com/office/drawing/2014/main" id="{00000000-0008-0000-0D00-00005B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60" name="Text Box 2">
          <a:extLst>
            <a:ext uri="{FF2B5EF4-FFF2-40B4-BE49-F238E27FC236}">
              <a16:creationId xmlns:a16="http://schemas.microsoft.com/office/drawing/2014/main" id="{00000000-0008-0000-0D00-00005C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61" name="Text Box 2">
          <a:extLst>
            <a:ext uri="{FF2B5EF4-FFF2-40B4-BE49-F238E27FC236}">
              <a16:creationId xmlns:a16="http://schemas.microsoft.com/office/drawing/2014/main" id="{00000000-0008-0000-0D00-00005D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62" name="Text Box 2">
          <a:extLst>
            <a:ext uri="{FF2B5EF4-FFF2-40B4-BE49-F238E27FC236}">
              <a16:creationId xmlns:a16="http://schemas.microsoft.com/office/drawing/2014/main" id="{00000000-0008-0000-0D00-00005E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63" name="Text Box 2">
          <a:extLst>
            <a:ext uri="{FF2B5EF4-FFF2-40B4-BE49-F238E27FC236}">
              <a16:creationId xmlns:a16="http://schemas.microsoft.com/office/drawing/2014/main" id="{00000000-0008-0000-0D00-00005F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64" name="Text Box 2">
          <a:extLst>
            <a:ext uri="{FF2B5EF4-FFF2-40B4-BE49-F238E27FC236}">
              <a16:creationId xmlns:a16="http://schemas.microsoft.com/office/drawing/2014/main" id="{00000000-0008-0000-0D00-000060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65" name="Text Box 2">
          <a:extLst>
            <a:ext uri="{FF2B5EF4-FFF2-40B4-BE49-F238E27FC236}">
              <a16:creationId xmlns:a16="http://schemas.microsoft.com/office/drawing/2014/main" id="{00000000-0008-0000-0D00-000061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66" name="Text Box 2">
          <a:extLst>
            <a:ext uri="{FF2B5EF4-FFF2-40B4-BE49-F238E27FC236}">
              <a16:creationId xmlns:a16="http://schemas.microsoft.com/office/drawing/2014/main" id="{00000000-0008-0000-0D00-000062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67" name="Text Box 2">
          <a:extLst>
            <a:ext uri="{FF2B5EF4-FFF2-40B4-BE49-F238E27FC236}">
              <a16:creationId xmlns:a16="http://schemas.microsoft.com/office/drawing/2014/main" id="{00000000-0008-0000-0D00-000063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68" name="Text Box 2">
          <a:extLst>
            <a:ext uri="{FF2B5EF4-FFF2-40B4-BE49-F238E27FC236}">
              <a16:creationId xmlns:a16="http://schemas.microsoft.com/office/drawing/2014/main" id="{00000000-0008-0000-0D00-000064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69" name="Text Box 2">
          <a:extLst>
            <a:ext uri="{FF2B5EF4-FFF2-40B4-BE49-F238E27FC236}">
              <a16:creationId xmlns:a16="http://schemas.microsoft.com/office/drawing/2014/main" id="{00000000-0008-0000-0D00-000065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70" name="Text Box 2">
          <a:extLst>
            <a:ext uri="{FF2B5EF4-FFF2-40B4-BE49-F238E27FC236}">
              <a16:creationId xmlns:a16="http://schemas.microsoft.com/office/drawing/2014/main" id="{00000000-0008-0000-0D00-000066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71" name="Text Box 2">
          <a:extLst>
            <a:ext uri="{FF2B5EF4-FFF2-40B4-BE49-F238E27FC236}">
              <a16:creationId xmlns:a16="http://schemas.microsoft.com/office/drawing/2014/main" id="{00000000-0008-0000-0D00-000067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72" name="Text Box 2">
          <a:extLst>
            <a:ext uri="{FF2B5EF4-FFF2-40B4-BE49-F238E27FC236}">
              <a16:creationId xmlns:a16="http://schemas.microsoft.com/office/drawing/2014/main" id="{00000000-0008-0000-0D00-000068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73" name="Text Box 2">
          <a:extLst>
            <a:ext uri="{FF2B5EF4-FFF2-40B4-BE49-F238E27FC236}">
              <a16:creationId xmlns:a16="http://schemas.microsoft.com/office/drawing/2014/main" id="{00000000-0008-0000-0D00-000069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74" name="Text Box 2">
          <a:extLst>
            <a:ext uri="{FF2B5EF4-FFF2-40B4-BE49-F238E27FC236}">
              <a16:creationId xmlns:a16="http://schemas.microsoft.com/office/drawing/2014/main" id="{00000000-0008-0000-0D00-00006A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75" name="Text Box 2">
          <a:extLst>
            <a:ext uri="{FF2B5EF4-FFF2-40B4-BE49-F238E27FC236}">
              <a16:creationId xmlns:a16="http://schemas.microsoft.com/office/drawing/2014/main" id="{00000000-0008-0000-0D00-00006B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76" name="Text Box 2">
          <a:extLst>
            <a:ext uri="{FF2B5EF4-FFF2-40B4-BE49-F238E27FC236}">
              <a16:creationId xmlns:a16="http://schemas.microsoft.com/office/drawing/2014/main" id="{00000000-0008-0000-0D00-00006C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77" name="Text Box 2">
          <a:extLst>
            <a:ext uri="{FF2B5EF4-FFF2-40B4-BE49-F238E27FC236}">
              <a16:creationId xmlns:a16="http://schemas.microsoft.com/office/drawing/2014/main" id="{00000000-0008-0000-0D00-00006D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78" name="Text Box 2">
          <a:extLst>
            <a:ext uri="{FF2B5EF4-FFF2-40B4-BE49-F238E27FC236}">
              <a16:creationId xmlns:a16="http://schemas.microsoft.com/office/drawing/2014/main" id="{00000000-0008-0000-0D00-00006E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79" name="Text Box 2">
          <a:extLst>
            <a:ext uri="{FF2B5EF4-FFF2-40B4-BE49-F238E27FC236}">
              <a16:creationId xmlns:a16="http://schemas.microsoft.com/office/drawing/2014/main" id="{00000000-0008-0000-0D00-00006F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80" name="Text Box 2">
          <a:extLst>
            <a:ext uri="{FF2B5EF4-FFF2-40B4-BE49-F238E27FC236}">
              <a16:creationId xmlns:a16="http://schemas.microsoft.com/office/drawing/2014/main" id="{00000000-0008-0000-0D00-000070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81" name="Text Box 2">
          <a:extLst>
            <a:ext uri="{FF2B5EF4-FFF2-40B4-BE49-F238E27FC236}">
              <a16:creationId xmlns:a16="http://schemas.microsoft.com/office/drawing/2014/main" id="{00000000-0008-0000-0D00-000071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82" name="Text Box 2">
          <a:extLst>
            <a:ext uri="{FF2B5EF4-FFF2-40B4-BE49-F238E27FC236}">
              <a16:creationId xmlns:a16="http://schemas.microsoft.com/office/drawing/2014/main" id="{00000000-0008-0000-0D00-000072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83" name="Text Box 2">
          <a:extLst>
            <a:ext uri="{FF2B5EF4-FFF2-40B4-BE49-F238E27FC236}">
              <a16:creationId xmlns:a16="http://schemas.microsoft.com/office/drawing/2014/main" id="{00000000-0008-0000-0D00-000073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84" name="Text Box 2">
          <a:extLst>
            <a:ext uri="{FF2B5EF4-FFF2-40B4-BE49-F238E27FC236}">
              <a16:creationId xmlns:a16="http://schemas.microsoft.com/office/drawing/2014/main" id="{00000000-0008-0000-0D00-000074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85" name="Text Box 2">
          <a:extLst>
            <a:ext uri="{FF2B5EF4-FFF2-40B4-BE49-F238E27FC236}">
              <a16:creationId xmlns:a16="http://schemas.microsoft.com/office/drawing/2014/main" id="{00000000-0008-0000-0D00-000075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86" name="Text Box 2">
          <a:extLst>
            <a:ext uri="{FF2B5EF4-FFF2-40B4-BE49-F238E27FC236}">
              <a16:creationId xmlns:a16="http://schemas.microsoft.com/office/drawing/2014/main" id="{00000000-0008-0000-0D00-000076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87" name="Text Box 2">
          <a:extLst>
            <a:ext uri="{FF2B5EF4-FFF2-40B4-BE49-F238E27FC236}">
              <a16:creationId xmlns:a16="http://schemas.microsoft.com/office/drawing/2014/main" id="{00000000-0008-0000-0D00-000077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88" name="Text Box 2">
          <a:extLst>
            <a:ext uri="{FF2B5EF4-FFF2-40B4-BE49-F238E27FC236}">
              <a16:creationId xmlns:a16="http://schemas.microsoft.com/office/drawing/2014/main" id="{00000000-0008-0000-0D00-000078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89" name="Text Box 2">
          <a:extLst>
            <a:ext uri="{FF2B5EF4-FFF2-40B4-BE49-F238E27FC236}">
              <a16:creationId xmlns:a16="http://schemas.microsoft.com/office/drawing/2014/main" id="{00000000-0008-0000-0D00-000079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90" name="Text Box 2">
          <a:extLst>
            <a:ext uri="{FF2B5EF4-FFF2-40B4-BE49-F238E27FC236}">
              <a16:creationId xmlns:a16="http://schemas.microsoft.com/office/drawing/2014/main" id="{00000000-0008-0000-0D00-00007A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91" name="Text Box 2">
          <a:extLst>
            <a:ext uri="{FF2B5EF4-FFF2-40B4-BE49-F238E27FC236}">
              <a16:creationId xmlns:a16="http://schemas.microsoft.com/office/drawing/2014/main" id="{00000000-0008-0000-0D00-00007B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92" name="Text Box 2">
          <a:extLst>
            <a:ext uri="{FF2B5EF4-FFF2-40B4-BE49-F238E27FC236}">
              <a16:creationId xmlns:a16="http://schemas.microsoft.com/office/drawing/2014/main" id="{00000000-0008-0000-0D00-00007C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93" name="Text Box 2">
          <a:extLst>
            <a:ext uri="{FF2B5EF4-FFF2-40B4-BE49-F238E27FC236}">
              <a16:creationId xmlns:a16="http://schemas.microsoft.com/office/drawing/2014/main" id="{00000000-0008-0000-0D00-00007D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94" name="Text Box 2">
          <a:extLst>
            <a:ext uri="{FF2B5EF4-FFF2-40B4-BE49-F238E27FC236}">
              <a16:creationId xmlns:a16="http://schemas.microsoft.com/office/drawing/2014/main" id="{00000000-0008-0000-0D00-00007E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95" name="Text Box 2">
          <a:extLst>
            <a:ext uri="{FF2B5EF4-FFF2-40B4-BE49-F238E27FC236}">
              <a16:creationId xmlns:a16="http://schemas.microsoft.com/office/drawing/2014/main" id="{00000000-0008-0000-0D00-00007F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96" name="Text Box 2">
          <a:extLst>
            <a:ext uri="{FF2B5EF4-FFF2-40B4-BE49-F238E27FC236}">
              <a16:creationId xmlns:a16="http://schemas.microsoft.com/office/drawing/2014/main" id="{00000000-0008-0000-0D00-000080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97" name="Text Box 2">
          <a:extLst>
            <a:ext uri="{FF2B5EF4-FFF2-40B4-BE49-F238E27FC236}">
              <a16:creationId xmlns:a16="http://schemas.microsoft.com/office/drawing/2014/main" id="{00000000-0008-0000-0D00-000081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98" name="Text Box 2">
          <a:extLst>
            <a:ext uri="{FF2B5EF4-FFF2-40B4-BE49-F238E27FC236}">
              <a16:creationId xmlns:a16="http://schemas.microsoft.com/office/drawing/2014/main" id="{00000000-0008-0000-0D00-000082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899" name="Text Box 2">
          <a:extLst>
            <a:ext uri="{FF2B5EF4-FFF2-40B4-BE49-F238E27FC236}">
              <a16:creationId xmlns:a16="http://schemas.microsoft.com/office/drawing/2014/main" id="{00000000-0008-0000-0D00-000083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00" name="Text Box 2">
          <a:extLst>
            <a:ext uri="{FF2B5EF4-FFF2-40B4-BE49-F238E27FC236}">
              <a16:creationId xmlns:a16="http://schemas.microsoft.com/office/drawing/2014/main" id="{00000000-0008-0000-0D00-000084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01" name="Text Box 2">
          <a:extLst>
            <a:ext uri="{FF2B5EF4-FFF2-40B4-BE49-F238E27FC236}">
              <a16:creationId xmlns:a16="http://schemas.microsoft.com/office/drawing/2014/main" id="{00000000-0008-0000-0D00-000085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02" name="Text Box 2">
          <a:extLst>
            <a:ext uri="{FF2B5EF4-FFF2-40B4-BE49-F238E27FC236}">
              <a16:creationId xmlns:a16="http://schemas.microsoft.com/office/drawing/2014/main" id="{00000000-0008-0000-0D00-000086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03" name="Text Box 2">
          <a:extLst>
            <a:ext uri="{FF2B5EF4-FFF2-40B4-BE49-F238E27FC236}">
              <a16:creationId xmlns:a16="http://schemas.microsoft.com/office/drawing/2014/main" id="{00000000-0008-0000-0D00-000087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04" name="Text Box 2">
          <a:extLst>
            <a:ext uri="{FF2B5EF4-FFF2-40B4-BE49-F238E27FC236}">
              <a16:creationId xmlns:a16="http://schemas.microsoft.com/office/drawing/2014/main" id="{00000000-0008-0000-0D00-000088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05" name="Text Box 2">
          <a:extLst>
            <a:ext uri="{FF2B5EF4-FFF2-40B4-BE49-F238E27FC236}">
              <a16:creationId xmlns:a16="http://schemas.microsoft.com/office/drawing/2014/main" id="{00000000-0008-0000-0D00-000089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06" name="Text Box 2">
          <a:extLst>
            <a:ext uri="{FF2B5EF4-FFF2-40B4-BE49-F238E27FC236}">
              <a16:creationId xmlns:a16="http://schemas.microsoft.com/office/drawing/2014/main" id="{00000000-0008-0000-0D00-00008A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07" name="Text Box 2">
          <a:extLst>
            <a:ext uri="{FF2B5EF4-FFF2-40B4-BE49-F238E27FC236}">
              <a16:creationId xmlns:a16="http://schemas.microsoft.com/office/drawing/2014/main" id="{00000000-0008-0000-0D00-00008B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08" name="Text Box 2">
          <a:extLst>
            <a:ext uri="{FF2B5EF4-FFF2-40B4-BE49-F238E27FC236}">
              <a16:creationId xmlns:a16="http://schemas.microsoft.com/office/drawing/2014/main" id="{00000000-0008-0000-0D00-00008C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09" name="Text Box 2">
          <a:extLst>
            <a:ext uri="{FF2B5EF4-FFF2-40B4-BE49-F238E27FC236}">
              <a16:creationId xmlns:a16="http://schemas.microsoft.com/office/drawing/2014/main" id="{00000000-0008-0000-0D00-00008D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10" name="Text Box 2">
          <a:extLst>
            <a:ext uri="{FF2B5EF4-FFF2-40B4-BE49-F238E27FC236}">
              <a16:creationId xmlns:a16="http://schemas.microsoft.com/office/drawing/2014/main" id="{00000000-0008-0000-0D00-00008E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11" name="Text Box 2">
          <a:extLst>
            <a:ext uri="{FF2B5EF4-FFF2-40B4-BE49-F238E27FC236}">
              <a16:creationId xmlns:a16="http://schemas.microsoft.com/office/drawing/2014/main" id="{00000000-0008-0000-0D00-00008F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12" name="Text Box 2">
          <a:extLst>
            <a:ext uri="{FF2B5EF4-FFF2-40B4-BE49-F238E27FC236}">
              <a16:creationId xmlns:a16="http://schemas.microsoft.com/office/drawing/2014/main" id="{00000000-0008-0000-0D00-000090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13" name="Text Box 2">
          <a:extLst>
            <a:ext uri="{FF2B5EF4-FFF2-40B4-BE49-F238E27FC236}">
              <a16:creationId xmlns:a16="http://schemas.microsoft.com/office/drawing/2014/main" id="{00000000-0008-0000-0D00-000091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14" name="Text Box 2">
          <a:extLst>
            <a:ext uri="{FF2B5EF4-FFF2-40B4-BE49-F238E27FC236}">
              <a16:creationId xmlns:a16="http://schemas.microsoft.com/office/drawing/2014/main" id="{00000000-0008-0000-0D00-000092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15" name="Text Box 2">
          <a:extLst>
            <a:ext uri="{FF2B5EF4-FFF2-40B4-BE49-F238E27FC236}">
              <a16:creationId xmlns:a16="http://schemas.microsoft.com/office/drawing/2014/main" id="{00000000-0008-0000-0D00-000093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16" name="Text Box 2">
          <a:extLst>
            <a:ext uri="{FF2B5EF4-FFF2-40B4-BE49-F238E27FC236}">
              <a16:creationId xmlns:a16="http://schemas.microsoft.com/office/drawing/2014/main" id="{00000000-0008-0000-0D00-000094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17" name="Text Box 2">
          <a:extLst>
            <a:ext uri="{FF2B5EF4-FFF2-40B4-BE49-F238E27FC236}">
              <a16:creationId xmlns:a16="http://schemas.microsoft.com/office/drawing/2014/main" id="{00000000-0008-0000-0D00-000095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18" name="Text Box 2">
          <a:extLst>
            <a:ext uri="{FF2B5EF4-FFF2-40B4-BE49-F238E27FC236}">
              <a16:creationId xmlns:a16="http://schemas.microsoft.com/office/drawing/2014/main" id="{00000000-0008-0000-0D00-000096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19" name="Text Box 2">
          <a:extLst>
            <a:ext uri="{FF2B5EF4-FFF2-40B4-BE49-F238E27FC236}">
              <a16:creationId xmlns:a16="http://schemas.microsoft.com/office/drawing/2014/main" id="{00000000-0008-0000-0D00-000097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20" name="Text Box 2">
          <a:extLst>
            <a:ext uri="{FF2B5EF4-FFF2-40B4-BE49-F238E27FC236}">
              <a16:creationId xmlns:a16="http://schemas.microsoft.com/office/drawing/2014/main" id="{00000000-0008-0000-0D00-000098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21" name="Text Box 2">
          <a:extLst>
            <a:ext uri="{FF2B5EF4-FFF2-40B4-BE49-F238E27FC236}">
              <a16:creationId xmlns:a16="http://schemas.microsoft.com/office/drawing/2014/main" id="{00000000-0008-0000-0D00-000099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22" name="Text Box 2">
          <a:extLst>
            <a:ext uri="{FF2B5EF4-FFF2-40B4-BE49-F238E27FC236}">
              <a16:creationId xmlns:a16="http://schemas.microsoft.com/office/drawing/2014/main" id="{00000000-0008-0000-0D00-00009A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23" name="Text Box 2">
          <a:extLst>
            <a:ext uri="{FF2B5EF4-FFF2-40B4-BE49-F238E27FC236}">
              <a16:creationId xmlns:a16="http://schemas.microsoft.com/office/drawing/2014/main" id="{00000000-0008-0000-0D00-00009B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24" name="Text Box 2">
          <a:extLst>
            <a:ext uri="{FF2B5EF4-FFF2-40B4-BE49-F238E27FC236}">
              <a16:creationId xmlns:a16="http://schemas.microsoft.com/office/drawing/2014/main" id="{00000000-0008-0000-0D00-00009C03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25" name="Text Box 2">
          <a:extLst>
            <a:ext uri="{FF2B5EF4-FFF2-40B4-BE49-F238E27FC236}">
              <a16:creationId xmlns:a16="http://schemas.microsoft.com/office/drawing/2014/main" id="{00000000-0008-0000-0D00-00009D03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26" name="Text Box 2">
          <a:extLst>
            <a:ext uri="{FF2B5EF4-FFF2-40B4-BE49-F238E27FC236}">
              <a16:creationId xmlns:a16="http://schemas.microsoft.com/office/drawing/2014/main" id="{00000000-0008-0000-0D00-00009E03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27" name="Text Box 2">
          <a:extLst>
            <a:ext uri="{FF2B5EF4-FFF2-40B4-BE49-F238E27FC236}">
              <a16:creationId xmlns:a16="http://schemas.microsoft.com/office/drawing/2014/main" id="{00000000-0008-0000-0D00-00009F03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28" name="Text Box 2">
          <a:extLst>
            <a:ext uri="{FF2B5EF4-FFF2-40B4-BE49-F238E27FC236}">
              <a16:creationId xmlns:a16="http://schemas.microsoft.com/office/drawing/2014/main" id="{00000000-0008-0000-0D00-0000A003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29" name="Text Box 2">
          <a:extLst>
            <a:ext uri="{FF2B5EF4-FFF2-40B4-BE49-F238E27FC236}">
              <a16:creationId xmlns:a16="http://schemas.microsoft.com/office/drawing/2014/main" id="{00000000-0008-0000-0D00-0000A103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30" name="Text Box 2">
          <a:extLst>
            <a:ext uri="{FF2B5EF4-FFF2-40B4-BE49-F238E27FC236}">
              <a16:creationId xmlns:a16="http://schemas.microsoft.com/office/drawing/2014/main" id="{00000000-0008-0000-0D00-0000A203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31" name="Text Box 2">
          <a:extLst>
            <a:ext uri="{FF2B5EF4-FFF2-40B4-BE49-F238E27FC236}">
              <a16:creationId xmlns:a16="http://schemas.microsoft.com/office/drawing/2014/main" id="{00000000-0008-0000-0D00-0000A303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32" name="Text Box 2">
          <a:extLst>
            <a:ext uri="{FF2B5EF4-FFF2-40B4-BE49-F238E27FC236}">
              <a16:creationId xmlns:a16="http://schemas.microsoft.com/office/drawing/2014/main" id="{00000000-0008-0000-0D00-0000A403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33" name="Text Box 2">
          <a:extLst>
            <a:ext uri="{FF2B5EF4-FFF2-40B4-BE49-F238E27FC236}">
              <a16:creationId xmlns:a16="http://schemas.microsoft.com/office/drawing/2014/main" id="{00000000-0008-0000-0D00-0000A503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34" name="Text Box 2">
          <a:extLst>
            <a:ext uri="{FF2B5EF4-FFF2-40B4-BE49-F238E27FC236}">
              <a16:creationId xmlns:a16="http://schemas.microsoft.com/office/drawing/2014/main" id="{00000000-0008-0000-0D00-0000A603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935" name="Text Box 2">
          <a:extLst>
            <a:ext uri="{FF2B5EF4-FFF2-40B4-BE49-F238E27FC236}">
              <a16:creationId xmlns:a16="http://schemas.microsoft.com/office/drawing/2014/main" id="{00000000-0008-0000-0D00-0000A703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36" name="Text Box 2">
          <a:extLst>
            <a:ext uri="{FF2B5EF4-FFF2-40B4-BE49-F238E27FC236}">
              <a16:creationId xmlns:a16="http://schemas.microsoft.com/office/drawing/2014/main" id="{00000000-0008-0000-0D00-0000A8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37" name="Text Box 2">
          <a:extLst>
            <a:ext uri="{FF2B5EF4-FFF2-40B4-BE49-F238E27FC236}">
              <a16:creationId xmlns:a16="http://schemas.microsoft.com/office/drawing/2014/main" id="{00000000-0008-0000-0D00-0000A9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38" name="Text Box 2">
          <a:extLst>
            <a:ext uri="{FF2B5EF4-FFF2-40B4-BE49-F238E27FC236}">
              <a16:creationId xmlns:a16="http://schemas.microsoft.com/office/drawing/2014/main" id="{00000000-0008-0000-0D00-0000AA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39" name="Text Box 2">
          <a:extLst>
            <a:ext uri="{FF2B5EF4-FFF2-40B4-BE49-F238E27FC236}">
              <a16:creationId xmlns:a16="http://schemas.microsoft.com/office/drawing/2014/main" id="{00000000-0008-0000-0D00-0000AB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40" name="Text Box 2">
          <a:extLst>
            <a:ext uri="{FF2B5EF4-FFF2-40B4-BE49-F238E27FC236}">
              <a16:creationId xmlns:a16="http://schemas.microsoft.com/office/drawing/2014/main" id="{00000000-0008-0000-0D00-0000AC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41" name="Text Box 2">
          <a:extLst>
            <a:ext uri="{FF2B5EF4-FFF2-40B4-BE49-F238E27FC236}">
              <a16:creationId xmlns:a16="http://schemas.microsoft.com/office/drawing/2014/main" id="{00000000-0008-0000-0D00-0000AD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42" name="Text Box 2">
          <a:extLst>
            <a:ext uri="{FF2B5EF4-FFF2-40B4-BE49-F238E27FC236}">
              <a16:creationId xmlns:a16="http://schemas.microsoft.com/office/drawing/2014/main" id="{00000000-0008-0000-0D00-0000AE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43" name="Text Box 2">
          <a:extLst>
            <a:ext uri="{FF2B5EF4-FFF2-40B4-BE49-F238E27FC236}">
              <a16:creationId xmlns:a16="http://schemas.microsoft.com/office/drawing/2014/main" id="{00000000-0008-0000-0D00-0000AF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44" name="Text Box 2">
          <a:extLst>
            <a:ext uri="{FF2B5EF4-FFF2-40B4-BE49-F238E27FC236}">
              <a16:creationId xmlns:a16="http://schemas.microsoft.com/office/drawing/2014/main" id="{00000000-0008-0000-0D00-0000B0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45" name="Text Box 2">
          <a:extLst>
            <a:ext uri="{FF2B5EF4-FFF2-40B4-BE49-F238E27FC236}">
              <a16:creationId xmlns:a16="http://schemas.microsoft.com/office/drawing/2014/main" id="{00000000-0008-0000-0D00-0000B1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46" name="Text Box 2">
          <a:extLst>
            <a:ext uri="{FF2B5EF4-FFF2-40B4-BE49-F238E27FC236}">
              <a16:creationId xmlns:a16="http://schemas.microsoft.com/office/drawing/2014/main" id="{00000000-0008-0000-0D00-0000B2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47" name="Text Box 2">
          <a:extLst>
            <a:ext uri="{FF2B5EF4-FFF2-40B4-BE49-F238E27FC236}">
              <a16:creationId xmlns:a16="http://schemas.microsoft.com/office/drawing/2014/main" id="{00000000-0008-0000-0D00-0000B3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48" name="Text Box 2">
          <a:extLst>
            <a:ext uri="{FF2B5EF4-FFF2-40B4-BE49-F238E27FC236}">
              <a16:creationId xmlns:a16="http://schemas.microsoft.com/office/drawing/2014/main" id="{00000000-0008-0000-0D00-0000B4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49" name="Text Box 2">
          <a:extLst>
            <a:ext uri="{FF2B5EF4-FFF2-40B4-BE49-F238E27FC236}">
              <a16:creationId xmlns:a16="http://schemas.microsoft.com/office/drawing/2014/main" id="{00000000-0008-0000-0D00-0000B5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50" name="Text Box 2">
          <a:extLst>
            <a:ext uri="{FF2B5EF4-FFF2-40B4-BE49-F238E27FC236}">
              <a16:creationId xmlns:a16="http://schemas.microsoft.com/office/drawing/2014/main" id="{00000000-0008-0000-0D00-0000B6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51" name="Text Box 2">
          <a:extLst>
            <a:ext uri="{FF2B5EF4-FFF2-40B4-BE49-F238E27FC236}">
              <a16:creationId xmlns:a16="http://schemas.microsoft.com/office/drawing/2014/main" id="{00000000-0008-0000-0D00-0000B7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52" name="Text Box 2">
          <a:extLst>
            <a:ext uri="{FF2B5EF4-FFF2-40B4-BE49-F238E27FC236}">
              <a16:creationId xmlns:a16="http://schemas.microsoft.com/office/drawing/2014/main" id="{00000000-0008-0000-0D00-0000B8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53" name="Text Box 2">
          <a:extLst>
            <a:ext uri="{FF2B5EF4-FFF2-40B4-BE49-F238E27FC236}">
              <a16:creationId xmlns:a16="http://schemas.microsoft.com/office/drawing/2014/main" id="{00000000-0008-0000-0D00-0000B9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54" name="Text Box 2">
          <a:extLst>
            <a:ext uri="{FF2B5EF4-FFF2-40B4-BE49-F238E27FC236}">
              <a16:creationId xmlns:a16="http://schemas.microsoft.com/office/drawing/2014/main" id="{00000000-0008-0000-0D00-0000BA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55" name="Text Box 2">
          <a:extLst>
            <a:ext uri="{FF2B5EF4-FFF2-40B4-BE49-F238E27FC236}">
              <a16:creationId xmlns:a16="http://schemas.microsoft.com/office/drawing/2014/main" id="{00000000-0008-0000-0D00-0000BB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56" name="Text Box 2">
          <a:extLst>
            <a:ext uri="{FF2B5EF4-FFF2-40B4-BE49-F238E27FC236}">
              <a16:creationId xmlns:a16="http://schemas.microsoft.com/office/drawing/2014/main" id="{00000000-0008-0000-0D00-0000BC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57" name="Text Box 2">
          <a:extLst>
            <a:ext uri="{FF2B5EF4-FFF2-40B4-BE49-F238E27FC236}">
              <a16:creationId xmlns:a16="http://schemas.microsoft.com/office/drawing/2014/main" id="{00000000-0008-0000-0D00-0000BD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58" name="Text Box 2">
          <a:extLst>
            <a:ext uri="{FF2B5EF4-FFF2-40B4-BE49-F238E27FC236}">
              <a16:creationId xmlns:a16="http://schemas.microsoft.com/office/drawing/2014/main" id="{00000000-0008-0000-0D00-0000BE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59" name="Text Box 2">
          <a:extLst>
            <a:ext uri="{FF2B5EF4-FFF2-40B4-BE49-F238E27FC236}">
              <a16:creationId xmlns:a16="http://schemas.microsoft.com/office/drawing/2014/main" id="{00000000-0008-0000-0D00-0000BF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60" name="Text Box 2">
          <a:extLst>
            <a:ext uri="{FF2B5EF4-FFF2-40B4-BE49-F238E27FC236}">
              <a16:creationId xmlns:a16="http://schemas.microsoft.com/office/drawing/2014/main" id="{00000000-0008-0000-0D00-0000C0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61" name="Text Box 2">
          <a:extLst>
            <a:ext uri="{FF2B5EF4-FFF2-40B4-BE49-F238E27FC236}">
              <a16:creationId xmlns:a16="http://schemas.microsoft.com/office/drawing/2014/main" id="{00000000-0008-0000-0D00-0000C1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62" name="Text Box 2">
          <a:extLst>
            <a:ext uri="{FF2B5EF4-FFF2-40B4-BE49-F238E27FC236}">
              <a16:creationId xmlns:a16="http://schemas.microsoft.com/office/drawing/2014/main" id="{00000000-0008-0000-0D00-0000C2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63" name="Text Box 2">
          <a:extLst>
            <a:ext uri="{FF2B5EF4-FFF2-40B4-BE49-F238E27FC236}">
              <a16:creationId xmlns:a16="http://schemas.microsoft.com/office/drawing/2014/main" id="{00000000-0008-0000-0D00-0000C3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64" name="Text Box 2">
          <a:extLst>
            <a:ext uri="{FF2B5EF4-FFF2-40B4-BE49-F238E27FC236}">
              <a16:creationId xmlns:a16="http://schemas.microsoft.com/office/drawing/2014/main" id="{00000000-0008-0000-0D00-0000C4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65" name="Text Box 2">
          <a:extLst>
            <a:ext uri="{FF2B5EF4-FFF2-40B4-BE49-F238E27FC236}">
              <a16:creationId xmlns:a16="http://schemas.microsoft.com/office/drawing/2014/main" id="{00000000-0008-0000-0D00-0000C5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66" name="Text Box 2">
          <a:extLst>
            <a:ext uri="{FF2B5EF4-FFF2-40B4-BE49-F238E27FC236}">
              <a16:creationId xmlns:a16="http://schemas.microsoft.com/office/drawing/2014/main" id="{00000000-0008-0000-0D00-0000C6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67" name="Text Box 2">
          <a:extLst>
            <a:ext uri="{FF2B5EF4-FFF2-40B4-BE49-F238E27FC236}">
              <a16:creationId xmlns:a16="http://schemas.microsoft.com/office/drawing/2014/main" id="{00000000-0008-0000-0D00-0000C7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68" name="Text Box 2">
          <a:extLst>
            <a:ext uri="{FF2B5EF4-FFF2-40B4-BE49-F238E27FC236}">
              <a16:creationId xmlns:a16="http://schemas.microsoft.com/office/drawing/2014/main" id="{00000000-0008-0000-0D00-0000C8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69" name="Text Box 2">
          <a:extLst>
            <a:ext uri="{FF2B5EF4-FFF2-40B4-BE49-F238E27FC236}">
              <a16:creationId xmlns:a16="http://schemas.microsoft.com/office/drawing/2014/main" id="{00000000-0008-0000-0D00-0000C9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70" name="Text Box 2">
          <a:extLst>
            <a:ext uri="{FF2B5EF4-FFF2-40B4-BE49-F238E27FC236}">
              <a16:creationId xmlns:a16="http://schemas.microsoft.com/office/drawing/2014/main" id="{00000000-0008-0000-0D00-0000CA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71" name="Text Box 2">
          <a:extLst>
            <a:ext uri="{FF2B5EF4-FFF2-40B4-BE49-F238E27FC236}">
              <a16:creationId xmlns:a16="http://schemas.microsoft.com/office/drawing/2014/main" id="{00000000-0008-0000-0D00-0000CB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72" name="Text Box 2">
          <a:extLst>
            <a:ext uri="{FF2B5EF4-FFF2-40B4-BE49-F238E27FC236}">
              <a16:creationId xmlns:a16="http://schemas.microsoft.com/office/drawing/2014/main" id="{00000000-0008-0000-0D00-0000CC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73" name="Text Box 2">
          <a:extLst>
            <a:ext uri="{FF2B5EF4-FFF2-40B4-BE49-F238E27FC236}">
              <a16:creationId xmlns:a16="http://schemas.microsoft.com/office/drawing/2014/main" id="{00000000-0008-0000-0D00-0000CD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74" name="Text Box 2">
          <a:extLst>
            <a:ext uri="{FF2B5EF4-FFF2-40B4-BE49-F238E27FC236}">
              <a16:creationId xmlns:a16="http://schemas.microsoft.com/office/drawing/2014/main" id="{00000000-0008-0000-0D00-0000CE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75" name="Text Box 2">
          <a:extLst>
            <a:ext uri="{FF2B5EF4-FFF2-40B4-BE49-F238E27FC236}">
              <a16:creationId xmlns:a16="http://schemas.microsoft.com/office/drawing/2014/main" id="{00000000-0008-0000-0D00-0000CF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76" name="Text Box 2">
          <a:extLst>
            <a:ext uri="{FF2B5EF4-FFF2-40B4-BE49-F238E27FC236}">
              <a16:creationId xmlns:a16="http://schemas.microsoft.com/office/drawing/2014/main" id="{00000000-0008-0000-0D00-0000D0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77" name="Text Box 2">
          <a:extLst>
            <a:ext uri="{FF2B5EF4-FFF2-40B4-BE49-F238E27FC236}">
              <a16:creationId xmlns:a16="http://schemas.microsoft.com/office/drawing/2014/main" id="{00000000-0008-0000-0D00-0000D1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78" name="Text Box 2">
          <a:extLst>
            <a:ext uri="{FF2B5EF4-FFF2-40B4-BE49-F238E27FC236}">
              <a16:creationId xmlns:a16="http://schemas.microsoft.com/office/drawing/2014/main" id="{00000000-0008-0000-0D00-0000D2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79" name="Text Box 2">
          <a:extLst>
            <a:ext uri="{FF2B5EF4-FFF2-40B4-BE49-F238E27FC236}">
              <a16:creationId xmlns:a16="http://schemas.microsoft.com/office/drawing/2014/main" id="{00000000-0008-0000-0D00-0000D3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80" name="Text Box 2">
          <a:extLst>
            <a:ext uri="{FF2B5EF4-FFF2-40B4-BE49-F238E27FC236}">
              <a16:creationId xmlns:a16="http://schemas.microsoft.com/office/drawing/2014/main" id="{00000000-0008-0000-0D00-0000D4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81" name="Text Box 2">
          <a:extLst>
            <a:ext uri="{FF2B5EF4-FFF2-40B4-BE49-F238E27FC236}">
              <a16:creationId xmlns:a16="http://schemas.microsoft.com/office/drawing/2014/main" id="{00000000-0008-0000-0D00-0000D5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82" name="Text Box 2">
          <a:extLst>
            <a:ext uri="{FF2B5EF4-FFF2-40B4-BE49-F238E27FC236}">
              <a16:creationId xmlns:a16="http://schemas.microsoft.com/office/drawing/2014/main" id="{00000000-0008-0000-0D00-0000D6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83" name="Text Box 2">
          <a:extLst>
            <a:ext uri="{FF2B5EF4-FFF2-40B4-BE49-F238E27FC236}">
              <a16:creationId xmlns:a16="http://schemas.microsoft.com/office/drawing/2014/main" id="{00000000-0008-0000-0D00-0000D7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84" name="Text Box 2">
          <a:extLst>
            <a:ext uri="{FF2B5EF4-FFF2-40B4-BE49-F238E27FC236}">
              <a16:creationId xmlns:a16="http://schemas.microsoft.com/office/drawing/2014/main" id="{00000000-0008-0000-0D00-0000D8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85" name="Text Box 2">
          <a:extLst>
            <a:ext uri="{FF2B5EF4-FFF2-40B4-BE49-F238E27FC236}">
              <a16:creationId xmlns:a16="http://schemas.microsoft.com/office/drawing/2014/main" id="{00000000-0008-0000-0D00-0000D9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86" name="Text Box 2">
          <a:extLst>
            <a:ext uri="{FF2B5EF4-FFF2-40B4-BE49-F238E27FC236}">
              <a16:creationId xmlns:a16="http://schemas.microsoft.com/office/drawing/2014/main" id="{00000000-0008-0000-0D00-0000DA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87" name="Text Box 2">
          <a:extLst>
            <a:ext uri="{FF2B5EF4-FFF2-40B4-BE49-F238E27FC236}">
              <a16:creationId xmlns:a16="http://schemas.microsoft.com/office/drawing/2014/main" id="{00000000-0008-0000-0D00-0000DB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88" name="Text Box 2">
          <a:extLst>
            <a:ext uri="{FF2B5EF4-FFF2-40B4-BE49-F238E27FC236}">
              <a16:creationId xmlns:a16="http://schemas.microsoft.com/office/drawing/2014/main" id="{00000000-0008-0000-0D00-0000DC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89" name="Text Box 2">
          <a:extLst>
            <a:ext uri="{FF2B5EF4-FFF2-40B4-BE49-F238E27FC236}">
              <a16:creationId xmlns:a16="http://schemas.microsoft.com/office/drawing/2014/main" id="{00000000-0008-0000-0D00-0000DD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90" name="Text Box 2">
          <a:extLst>
            <a:ext uri="{FF2B5EF4-FFF2-40B4-BE49-F238E27FC236}">
              <a16:creationId xmlns:a16="http://schemas.microsoft.com/office/drawing/2014/main" id="{00000000-0008-0000-0D00-0000DE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91" name="Text Box 2">
          <a:extLst>
            <a:ext uri="{FF2B5EF4-FFF2-40B4-BE49-F238E27FC236}">
              <a16:creationId xmlns:a16="http://schemas.microsoft.com/office/drawing/2014/main" id="{00000000-0008-0000-0D00-0000DF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92" name="Text Box 2">
          <a:extLst>
            <a:ext uri="{FF2B5EF4-FFF2-40B4-BE49-F238E27FC236}">
              <a16:creationId xmlns:a16="http://schemas.microsoft.com/office/drawing/2014/main" id="{00000000-0008-0000-0D00-0000E0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93" name="Text Box 2">
          <a:extLst>
            <a:ext uri="{FF2B5EF4-FFF2-40B4-BE49-F238E27FC236}">
              <a16:creationId xmlns:a16="http://schemas.microsoft.com/office/drawing/2014/main" id="{00000000-0008-0000-0D00-0000E1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94" name="Text Box 2">
          <a:extLst>
            <a:ext uri="{FF2B5EF4-FFF2-40B4-BE49-F238E27FC236}">
              <a16:creationId xmlns:a16="http://schemas.microsoft.com/office/drawing/2014/main" id="{00000000-0008-0000-0D00-0000E2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95" name="Text Box 2">
          <a:extLst>
            <a:ext uri="{FF2B5EF4-FFF2-40B4-BE49-F238E27FC236}">
              <a16:creationId xmlns:a16="http://schemas.microsoft.com/office/drawing/2014/main" id="{00000000-0008-0000-0D00-0000E3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96" name="Text Box 2">
          <a:extLst>
            <a:ext uri="{FF2B5EF4-FFF2-40B4-BE49-F238E27FC236}">
              <a16:creationId xmlns:a16="http://schemas.microsoft.com/office/drawing/2014/main" id="{00000000-0008-0000-0D00-0000E4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97" name="Text Box 2">
          <a:extLst>
            <a:ext uri="{FF2B5EF4-FFF2-40B4-BE49-F238E27FC236}">
              <a16:creationId xmlns:a16="http://schemas.microsoft.com/office/drawing/2014/main" id="{00000000-0008-0000-0D00-0000E5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98" name="Text Box 2">
          <a:extLst>
            <a:ext uri="{FF2B5EF4-FFF2-40B4-BE49-F238E27FC236}">
              <a16:creationId xmlns:a16="http://schemas.microsoft.com/office/drawing/2014/main" id="{00000000-0008-0000-0D00-0000E6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999" name="Text Box 2">
          <a:extLst>
            <a:ext uri="{FF2B5EF4-FFF2-40B4-BE49-F238E27FC236}">
              <a16:creationId xmlns:a16="http://schemas.microsoft.com/office/drawing/2014/main" id="{00000000-0008-0000-0D00-0000E7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00" name="Text Box 2">
          <a:extLst>
            <a:ext uri="{FF2B5EF4-FFF2-40B4-BE49-F238E27FC236}">
              <a16:creationId xmlns:a16="http://schemas.microsoft.com/office/drawing/2014/main" id="{00000000-0008-0000-0D00-0000E8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01" name="Text Box 2">
          <a:extLst>
            <a:ext uri="{FF2B5EF4-FFF2-40B4-BE49-F238E27FC236}">
              <a16:creationId xmlns:a16="http://schemas.microsoft.com/office/drawing/2014/main" id="{00000000-0008-0000-0D00-0000E9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02" name="Text Box 2">
          <a:extLst>
            <a:ext uri="{FF2B5EF4-FFF2-40B4-BE49-F238E27FC236}">
              <a16:creationId xmlns:a16="http://schemas.microsoft.com/office/drawing/2014/main" id="{00000000-0008-0000-0D00-0000EA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03" name="Text Box 2">
          <a:extLst>
            <a:ext uri="{FF2B5EF4-FFF2-40B4-BE49-F238E27FC236}">
              <a16:creationId xmlns:a16="http://schemas.microsoft.com/office/drawing/2014/main" id="{00000000-0008-0000-0D00-0000EB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04" name="Text Box 2">
          <a:extLst>
            <a:ext uri="{FF2B5EF4-FFF2-40B4-BE49-F238E27FC236}">
              <a16:creationId xmlns:a16="http://schemas.microsoft.com/office/drawing/2014/main" id="{00000000-0008-0000-0D00-0000EC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05" name="Text Box 2">
          <a:extLst>
            <a:ext uri="{FF2B5EF4-FFF2-40B4-BE49-F238E27FC236}">
              <a16:creationId xmlns:a16="http://schemas.microsoft.com/office/drawing/2014/main" id="{00000000-0008-0000-0D00-0000ED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06" name="Text Box 2">
          <a:extLst>
            <a:ext uri="{FF2B5EF4-FFF2-40B4-BE49-F238E27FC236}">
              <a16:creationId xmlns:a16="http://schemas.microsoft.com/office/drawing/2014/main" id="{00000000-0008-0000-0D00-0000EE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07" name="Text Box 2">
          <a:extLst>
            <a:ext uri="{FF2B5EF4-FFF2-40B4-BE49-F238E27FC236}">
              <a16:creationId xmlns:a16="http://schemas.microsoft.com/office/drawing/2014/main" id="{00000000-0008-0000-0D00-0000EF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08" name="Text Box 2">
          <a:extLst>
            <a:ext uri="{FF2B5EF4-FFF2-40B4-BE49-F238E27FC236}">
              <a16:creationId xmlns:a16="http://schemas.microsoft.com/office/drawing/2014/main" id="{00000000-0008-0000-0D00-0000F0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09" name="Text Box 2">
          <a:extLst>
            <a:ext uri="{FF2B5EF4-FFF2-40B4-BE49-F238E27FC236}">
              <a16:creationId xmlns:a16="http://schemas.microsoft.com/office/drawing/2014/main" id="{00000000-0008-0000-0D00-0000F1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10" name="Text Box 2">
          <a:extLst>
            <a:ext uri="{FF2B5EF4-FFF2-40B4-BE49-F238E27FC236}">
              <a16:creationId xmlns:a16="http://schemas.microsoft.com/office/drawing/2014/main" id="{00000000-0008-0000-0D00-0000F2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11" name="Text Box 2">
          <a:extLst>
            <a:ext uri="{FF2B5EF4-FFF2-40B4-BE49-F238E27FC236}">
              <a16:creationId xmlns:a16="http://schemas.microsoft.com/office/drawing/2014/main" id="{00000000-0008-0000-0D00-0000F3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12" name="Text Box 2">
          <a:extLst>
            <a:ext uri="{FF2B5EF4-FFF2-40B4-BE49-F238E27FC236}">
              <a16:creationId xmlns:a16="http://schemas.microsoft.com/office/drawing/2014/main" id="{00000000-0008-0000-0D00-0000F4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13" name="Text Box 2">
          <a:extLst>
            <a:ext uri="{FF2B5EF4-FFF2-40B4-BE49-F238E27FC236}">
              <a16:creationId xmlns:a16="http://schemas.microsoft.com/office/drawing/2014/main" id="{00000000-0008-0000-0D00-0000F5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14" name="Text Box 2">
          <a:extLst>
            <a:ext uri="{FF2B5EF4-FFF2-40B4-BE49-F238E27FC236}">
              <a16:creationId xmlns:a16="http://schemas.microsoft.com/office/drawing/2014/main" id="{00000000-0008-0000-0D00-0000F6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15" name="Text Box 2">
          <a:extLst>
            <a:ext uri="{FF2B5EF4-FFF2-40B4-BE49-F238E27FC236}">
              <a16:creationId xmlns:a16="http://schemas.microsoft.com/office/drawing/2014/main" id="{00000000-0008-0000-0D00-0000F7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16" name="Text Box 2">
          <a:extLst>
            <a:ext uri="{FF2B5EF4-FFF2-40B4-BE49-F238E27FC236}">
              <a16:creationId xmlns:a16="http://schemas.microsoft.com/office/drawing/2014/main" id="{00000000-0008-0000-0D00-0000F8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17" name="Text Box 2">
          <a:extLst>
            <a:ext uri="{FF2B5EF4-FFF2-40B4-BE49-F238E27FC236}">
              <a16:creationId xmlns:a16="http://schemas.microsoft.com/office/drawing/2014/main" id="{00000000-0008-0000-0D00-0000F9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18" name="Text Box 2">
          <a:extLst>
            <a:ext uri="{FF2B5EF4-FFF2-40B4-BE49-F238E27FC236}">
              <a16:creationId xmlns:a16="http://schemas.microsoft.com/office/drawing/2014/main" id="{00000000-0008-0000-0D00-0000FA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19" name="Text Box 2">
          <a:extLst>
            <a:ext uri="{FF2B5EF4-FFF2-40B4-BE49-F238E27FC236}">
              <a16:creationId xmlns:a16="http://schemas.microsoft.com/office/drawing/2014/main" id="{00000000-0008-0000-0D00-0000FB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20" name="Text Box 2">
          <a:extLst>
            <a:ext uri="{FF2B5EF4-FFF2-40B4-BE49-F238E27FC236}">
              <a16:creationId xmlns:a16="http://schemas.microsoft.com/office/drawing/2014/main" id="{00000000-0008-0000-0D00-0000FC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21" name="Text Box 2">
          <a:extLst>
            <a:ext uri="{FF2B5EF4-FFF2-40B4-BE49-F238E27FC236}">
              <a16:creationId xmlns:a16="http://schemas.microsoft.com/office/drawing/2014/main" id="{00000000-0008-0000-0D00-0000FD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22" name="Text Box 2">
          <a:extLst>
            <a:ext uri="{FF2B5EF4-FFF2-40B4-BE49-F238E27FC236}">
              <a16:creationId xmlns:a16="http://schemas.microsoft.com/office/drawing/2014/main" id="{00000000-0008-0000-0D00-0000FE03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023" name="Text Box 2">
          <a:extLst>
            <a:ext uri="{FF2B5EF4-FFF2-40B4-BE49-F238E27FC236}">
              <a16:creationId xmlns:a16="http://schemas.microsoft.com/office/drawing/2014/main" id="{00000000-0008-0000-0D00-0000FF03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24" name="Text Box 2">
          <a:extLst>
            <a:ext uri="{FF2B5EF4-FFF2-40B4-BE49-F238E27FC236}">
              <a16:creationId xmlns:a16="http://schemas.microsoft.com/office/drawing/2014/main" id="{00000000-0008-0000-0D00-000000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25" name="Text Box 2">
          <a:extLst>
            <a:ext uri="{FF2B5EF4-FFF2-40B4-BE49-F238E27FC236}">
              <a16:creationId xmlns:a16="http://schemas.microsoft.com/office/drawing/2014/main" id="{00000000-0008-0000-0D00-000001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26" name="Text Box 2">
          <a:extLst>
            <a:ext uri="{FF2B5EF4-FFF2-40B4-BE49-F238E27FC236}">
              <a16:creationId xmlns:a16="http://schemas.microsoft.com/office/drawing/2014/main" id="{00000000-0008-0000-0D00-000002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27" name="Text Box 2">
          <a:extLst>
            <a:ext uri="{FF2B5EF4-FFF2-40B4-BE49-F238E27FC236}">
              <a16:creationId xmlns:a16="http://schemas.microsoft.com/office/drawing/2014/main" id="{00000000-0008-0000-0D00-000003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28" name="Text Box 2">
          <a:extLst>
            <a:ext uri="{FF2B5EF4-FFF2-40B4-BE49-F238E27FC236}">
              <a16:creationId xmlns:a16="http://schemas.microsoft.com/office/drawing/2014/main" id="{00000000-0008-0000-0D00-000004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29" name="Text Box 2">
          <a:extLst>
            <a:ext uri="{FF2B5EF4-FFF2-40B4-BE49-F238E27FC236}">
              <a16:creationId xmlns:a16="http://schemas.microsoft.com/office/drawing/2014/main" id="{00000000-0008-0000-0D00-000005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30" name="Text Box 2">
          <a:extLst>
            <a:ext uri="{FF2B5EF4-FFF2-40B4-BE49-F238E27FC236}">
              <a16:creationId xmlns:a16="http://schemas.microsoft.com/office/drawing/2014/main" id="{00000000-0008-0000-0D00-000006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31" name="Text Box 2">
          <a:extLst>
            <a:ext uri="{FF2B5EF4-FFF2-40B4-BE49-F238E27FC236}">
              <a16:creationId xmlns:a16="http://schemas.microsoft.com/office/drawing/2014/main" id="{00000000-0008-0000-0D00-000007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32" name="Text Box 2">
          <a:extLst>
            <a:ext uri="{FF2B5EF4-FFF2-40B4-BE49-F238E27FC236}">
              <a16:creationId xmlns:a16="http://schemas.microsoft.com/office/drawing/2014/main" id="{00000000-0008-0000-0D00-000008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33" name="Text Box 2">
          <a:extLst>
            <a:ext uri="{FF2B5EF4-FFF2-40B4-BE49-F238E27FC236}">
              <a16:creationId xmlns:a16="http://schemas.microsoft.com/office/drawing/2014/main" id="{00000000-0008-0000-0D00-000009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34" name="Text Box 2">
          <a:extLst>
            <a:ext uri="{FF2B5EF4-FFF2-40B4-BE49-F238E27FC236}">
              <a16:creationId xmlns:a16="http://schemas.microsoft.com/office/drawing/2014/main" id="{00000000-0008-0000-0D00-00000A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35" name="Text Box 2">
          <a:extLst>
            <a:ext uri="{FF2B5EF4-FFF2-40B4-BE49-F238E27FC236}">
              <a16:creationId xmlns:a16="http://schemas.microsoft.com/office/drawing/2014/main" id="{00000000-0008-0000-0D00-00000B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36" name="Text Box 2">
          <a:extLst>
            <a:ext uri="{FF2B5EF4-FFF2-40B4-BE49-F238E27FC236}">
              <a16:creationId xmlns:a16="http://schemas.microsoft.com/office/drawing/2014/main" id="{00000000-0008-0000-0D00-00000C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37" name="Text Box 2">
          <a:extLst>
            <a:ext uri="{FF2B5EF4-FFF2-40B4-BE49-F238E27FC236}">
              <a16:creationId xmlns:a16="http://schemas.microsoft.com/office/drawing/2014/main" id="{00000000-0008-0000-0D00-00000D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38" name="Text Box 2">
          <a:extLst>
            <a:ext uri="{FF2B5EF4-FFF2-40B4-BE49-F238E27FC236}">
              <a16:creationId xmlns:a16="http://schemas.microsoft.com/office/drawing/2014/main" id="{00000000-0008-0000-0D00-00000E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39" name="Text Box 2">
          <a:extLst>
            <a:ext uri="{FF2B5EF4-FFF2-40B4-BE49-F238E27FC236}">
              <a16:creationId xmlns:a16="http://schemas.microsoft.com/office/drawing/2014/main" id="{00000000-0008-0000-0D00-00000F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40" name="Text Box 2">
          <a:extLst>
            <a:ext uri="{FF2B5EF4-FFF2-40B4-BE49-F238E27FC236}">
              <a16:creationId xmlns:a16="http://schemas.microsoft.com/office/drawing/2014/main" id="{00000000-0008-0000-0D00-000010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41" name="Text Box 2">
          <a:extLst>
            <a:ext uri="{FF2B5EF4-FFF2-40B4-BE49-F238E27FC236}">
              <a16:creationId xmlns:a16="http://schemas.microsoft.com/office/drawing/2014/main" id="{00000000-0008-0000-0D00-000011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42" name="Text Box 2">
          <a:extLst>
            <a:ext uri="{FF2B5EF4-FFF2-40B4-BE49-F238E27FC236}">
              <a16:creationId xmlns:a16="http://schemas.microsoft.com/office/drawing/2014/main" id="{00000000-0008-0000-0D00-000012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43" name="Text Box 2">
          <a:extLst>
            <a:ext uri="{FF2B5EF4-FFF2-40B4-BE49-F238E27FC236}">
              <a16:creationId xmlns:a16="http://schemas.microsoft.com/office/drawing/2014/main" id="{00000000-0008-0000-0D00-000013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44" name="Text Box 2">
          <a:extLst>
            <a:ext uri="{FF2B5EF4-FFF2-40B4-BE49-F238E27FC236}">
              <a16:creationId xmlns:a16="http://schemas.microsoft.com/office/drawing/2014/main" id="{00000000-0008-0000-0D00-000014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45" name="Text Box 2">
          <a:extLst>
            <a:ext uri="{FF2B5EF4-FFF2-40B4-BE49-F238E27FC236}">
              <a16:creationId xmlns:a16="http://schemas.microsoft.com/office/drawing/2014/main" id="{00000000-0008-0000-0D00-000015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46" name="Text Box 2">
          <a:extLst>
            <a:ext uri="{FF2B5EF4-FFF2-40B4-BE49-F238E27FC236}">
              <a16:creationId xmlns:a16="http://schemas.microsoft.com/office/drawing/2014/main" id="{00000000-0008-0000-0D00-000016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47" name="Text Box 2">
          <a:extLst>
            <a:ext uri="{FF2B5EF4-FFF2-40B4-BE49-F238E27FC236}">
              <a16:creationId xmlns:a16="http://schemas.microsoft.com/office/drawing/2014/main" id="{00000000-0008-0000-0D00-000017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48" name="Text Box 2">
          <a:extLst>
            <a:ext uri="{FF2B5EF4-FFF2-40B4-BE49-F238E27FC236}">
              <a16:creationId xmlns:a16="http://schemas.microsoft.com/office/drawing/2014/main" id="{00000000-0008-0000-0D00-000018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49" name="Text Box 2">
          <a:extLst>
            <a:ext uri="{FF2B5EF4-FFF2-40B4-BE49-F238E27FC236}">
              <a16:creationId xmlns:a16="http://schemas.microsoft.com/office/drawing/2014/main" id="{00000000-0008-0000-0D00-000019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50" name="Text Box 2">
          <a:extLst>
            <a:ext uri="{FF2B5EF4-FFF2-40B4-BE49-F238E27FC236}">
              <a16:creationId xmlns:a16="http://schemas.microsoft.com/office/drawing/2014/main" id="{00000000-0008-0000-0D00-00001A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51" name="Text Box 2">
          <a:extLst>
            <a:ext uri="{FF2B5EF4-FFF2-40B4-BE49-F238E27FC236}">
              <a16:creationId xmlns:a16="http://schemas.microsoft.com/office/drawing/2014/main" id="{00000000-0008-0000-0D00-00001B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52" name="Text Box 2">
          <a:extLst>
            <a:ext uri="{FF2B5EF4-FFF2-40B4-BE49-F238E27FC236}">
              <a16:creationId xmlns:a16="http://schemas.microsoft.com/office/drawing/2014/main" id="{00000000-0008-0000-0D00-00001C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53" name="Text Box 2">
          <a:extLst>
            <a:ext uri="{FF2B5EF4-FFF2-40B4-BE49-F238E27FC236}">
              <a16:creationId xmlns:a16="http://schemas.microsoft.com/office/drawing/2014/main" id="{00000000-0008-0000-0D00-00001D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54" name="Text Box 2">
          <a:extLst>
            <a:ext uri="{FF2B5EF4-FFF2-40B4-BE49-F238E27FC236}">
              <a16:creationId xmlns:a16="http://schemas.microsoft.com/office/drawing/2014/main" id="{00000000-0008-0000-0D00-00001E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55" name="Text Box 2">
          <a:extLst>
            <a:ext uri="{FF2B5EF4-FFF2-40B4-BE49-F238E27FC236}">
              <a16:creationId xmlns:a16="http://schemas.microsoft.com/office/drawing/2014/main" id="{00000000-0008-0000-0D00-00001F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56" name="Text Box 2">
          <a:extLst>
            <a:ext uri="{FF2B5EF4-FFF2-40B4-BE49-F238E27FC236}">
              <a16:creationId xmlns:a16="http://schemas.microsoft.com/office/drawing/2014/main" id="{00000000-0008-0000-0D00-000020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57" name="Text Box 2">
          <a:extLst>
            <a:ext uri="{FF2B5EF4-FFF2-40B4-BE49-F238E27FC236}">
              <a16:creationId xmlns:a16="http://schemas.microsoft.com/office/drawing/2014/main" id="{00000000-0008-0000-0D00-000021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58" name="Text Box 2">
          <a:extLst>
            <a:ext uri="{FF2B5EF4-FFF2-40B4-BE49-F238E27FC236}">
              <a16:creationId xmlns:a16="http://schemas.microsoft.com/office/drawing/2014/main" id="{00000000-0008-0000-0D00-000022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59" name="Text Box 2">
          <a:extLst>
            <a:ext uri="{FF2B5EF4-FFF2-40B4-BE49-F238E27FC236}">
              <a16:creationId xmlns:a16="http://schemas.microsoft.com/office/drawing/2014/main" id="{00000000-0008-0000-0D00-000023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60" name="Text Box 2">
          <a:extLst>
            <a:ext uri="{FF2B5EF4-FFF2-40B4-BE49-F238E27FC236}">
              <a16:creationId xmlns:a16="http://schemas.microsoft.com/office/drawing/2014/main" id="{00000000-0008-0000-0D00-000024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61" name="Text Box 2">
          <a:extLst>
            <a:ext uri="{FF2B5EF4-FFF2-40B4-BE49-F238E27FC236}">
              <a16:creationId xmlns:a16="http://schemas.microsoft.com/office/drawing/2014/main" id="{00000000-0008-0000-0D00-000025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62" name="Text Box 2">
          <a:extLst>
            <a:ext uri="{FF2B5EF4-FFF2-40B4-BE49-F238E27FC236}">
              <a16:creationId xmlns:a16="http://schemas.microsoft.com/office/drawing/2014/main" id="{00000000-0008-0000-0D00-000026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63" name="Text Box 2">
          <a:extLst>
            <a:ext uri="{FF2B5EF4-FFF2-40B4-BE49-F238E27FC236}">
              <a16:creationId xmlns:a16="http://schemas.microsoft.com/office/drawing/2014/main" id="{00000000-0008-0000-0D00-000027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64" name="Text Box 2">
          <a:extLst>
            <a:ext uri="{FF2B5EF4-FFF2-40B4-BE49-F238E27FC236}">
              <a16:creationId xmlns:a16="http://schemas.microsoft.com/office/drawing/2014/main" id="{00000000-0008-0000-0D00-000028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65" name="Text Box 2">
          <a:extLst>
            <a:ext uri="{FF2B5EF4-FFF2-40B4-BE49-F238E27FC236}">
              <a16:creationId xmlns:a16="http://schemas.microsoft.com/office/drawing/2014/main" id="{00000000-0008-0000-0D00-000029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66" name="Text Box 2">
          <a:extLst>
            <a:ext uri="{FF2B5EF4-FFF2-40B4-BE49-F238E27FC236}">
              <a16:creationId xmlns:a16="http://schemas.microsoft.com/office/drawing/2014/main" id="{00000000-0008-0000-0D00-00002A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67" name="Text Box 2">
          <a:extLst>
            <a:ext uri="{FF2B5EF4-FFF2-40B4-BE49-F238E27FC236}">
              <a16:creationId xmlns:a16="http://schemas.microsoft.com/office/drawing/2014/main" id="{00000000-0008-0000-0D00-00002B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68" name="Text Box 2">
          <a:extLst>
            <a:ext uri="{FF2B5EF4-FFF2-40B4-BE49-F238E27FC236}">
              <a16:creationId xmlns:a16="http://schemas.microsoft.com/office/drawing/2014/main" id="{00000000-0008-0000-0D00-00002C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69" name="Text Box 2">
          <a:extLst>
            <a:ext uri="{FF2B5EF4-FFF2-40B4-BE49-F238E27FC236}">
              <a16:creationId xmlns:a16="http://schemas.microsoft.com/office/drawing/2014/main" id="{00000000-0008-0000-0D00-00002D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70" name="Text Box 2">
          <a:extLst>
            <a:ext uri="{FF2B5EF4-FFF2-40B4-BE49-F238E27FC236}">
              <a16:creationId xmlns:a16="http://schemas.microsoft.com/office/drawing/2014/main" id="{00000000-0008-0000-0D00-00002E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71" name="Text Box 2">
          <a:extLst>
            <a:ext uri="{FF2B5EF4-FFF2-40B4-BE49-F238E27FC236}">
              <a16:creationId xmlns:a16="http://schemas.microsoft.com/office/drawing/2014/main" id="{00000000-0008-0000-0D00-00002F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72" name="Text Box 2">
          <a:extLst>
            <a:ext uri="{FF2B5EF4-FFF2-40B4-BE49-F238E27FC236}">
              <a16:creationId xmlns:a16="http://schemas.microsoft.com/office/drawing/2014/main" id="{00000000-0008-0000-0D00-000030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73" name="Text Box 2">
          <a:extLst>
            <a:ext uri="{FF2B5EF4-FFF2-40B4-BE49-F238E27FC236}">
              <a16:creationId xmlns:a16="http://schemas.microsoft.com/office/drawing/2014/main" id="{00000000-0008-0000-0D00-000031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74" name="Text Box 2">
          <a:extLst>
            <a:ext uri="{FF2B5EF4-FFF2-40B4-BE49-F238E27FC236}">
              <a16:creationId xmlns:a16="http://schemas.microsoft.com/office/drawing/2014/main" id="{00000000-0008-0000-0D00-000032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75" name="Text Box 2">
          <a:extLst>
            <a:ext uri="{FF2B5EF4-FFF2-40B4-BE49-F238E27FC236}">
              <a16:creationId xmlns:a16="http://schemas.microsoft.com/office/drawing/2014/main" id="{00000000-0008-0000-0D00-000033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76" name="Text Box 2">
          <a:extLst>
            <a:ext uri="{FF2B5EF4-FFF2-40B4-BE49-F238E27FC236}">
              <a16:creationId xmlns:a16="http://schemas.microsoft.com/office/drawing/2014/main" id="{00000000-0008-0000-0D00-000034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77" name="Text Box 2">
          <a:extLst>
            <a:ext uri="{FF2B5EF4-FFF2-40B4-BE49-F238E27FC236}">
              <a16:creationId xmlns:a16="http://schemas.microsoft.com/office/drawing/2014/main" id="{00000000-0008-0000-0D00-000035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78" name="Text Box 2">
          <a:extLst>
            <a:ext uri="{FF2B5EF4-FFF2-40B4-BE49-F238E27FC236}">
              <a16:creationId xmlns:a16="http://schemas.microsoft.com/office/drawing/2014/main" id="{00000000-0008-0000-0D00-000036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79" name="Text Box 2">
          <a:extLst>
            <a:ext uri="{FF2B5EF4-FFF2-40B4-BE49-F238E27FC236}">
              <a16:creationId xmlns:a16="http://schemas.microsoft.com/office/drawing/2014/main" id="{00000000-0008-0000-0D00-000037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80" name="Text Box 2">
          <a:extLst>
            <a:ext uri="{FF2B5EF4-FFF2-40B4-BE49-F238E27FC236}">
              <a16:creationId xmlns:a16="http://schemas.microsoft.com/office/drawing/2014/main" id="{00000000-0008-0000-0D00-000038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81" name="Text Box 2">
          <a:extLst>
            <a:ext uri="{FF2B5EF4-FFF2-40B4-BE49-F238E27FC236}">
              <a16:creationId xmlns:a16="http://schemas.microsoft.com/office/drawing/2014/main" id="{00000000-0008-0000-0D00-000039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82" name="Text Box 2">
          <a:extLst>
            <a:ext uri="{FF2B5EF4-FFF2-40B4-BE49-F238E27FC236}">
              <a16:creationId xmlns:a16="http://schemas.microsoft.com/office/drawing/2014/main" id="{00000000-0008-0000-0D00-00003A04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83" name="Text Box 2">
          <a:extLst>
            <a:ext uri="{FF2B5EF4-FFF2-40B4-BE49-F238E27FC236}">
              <a16:creationId xmlns:a16="http://schemas.microsoft.com/office/drawing/2014/main" id="{00000000-0008-0000-0D00-00003B04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84" name="Text Box 2">
          <a:extLst>
            <a:ext uri="{FF2B5EF4-FFF2-40B4-BE49-F238E27FC236}">
              <a16:creationId xmlns:a16="http://schemas.microsoft.com/office/drawing/2014/main" id="{00000000-0008-0000-0D00-00003C04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85" name="Text Box 2">
          <a:extLst>
            <a:ext uri="{FF2B5EF4-FFF2-40B4-BE49-F238E27FC236}">
              <a16:creationId xmlns:a16="http://schemas.microsoft.com/office/drawing/2014/main" id="{00000000-0008-0000-0D00-00003D04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86" name="Text Box 2">
          <a:extLst>
            <a:ext uri="{FF2B5EF4-FFF2-40B4-BE49-F238E27FC236}">
              <a16:creationId xmlns:a16="http://schemas.microsoft.com/office/drawing/2014/main" id="{00000000-0008-0000-0D00-00003E04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87" name="Text Box 2">
          <a:extLst>
            <a:ext uri="{FF2B5EF4-FFF2-40B4-BE49-F238E27FC236}">
              <a16:creationId xmlns:a16="http://schemas.microsoft.com/office/drawing/2014/main" id="{00000000-0008-0000-0D00-00003F04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88" name="Text Box 2">
          <a:extLst>
            <a:ext uri="{FF2B5EF4-FFF2-40B4-BE49-F238E27FC236}">
              <a16:creationId xmlns:a16="http://schemas.microsoft.com/office/drawing/2014/main" id="{00000000-0008-0000-0D00-00004004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89" name="Text Box 2">
          <a:extLst>
            <a:ext uri="{FF2B5EF4-FFF2-40B4-BE49-F238E27FC236}">
              <a16:creationId xmlns:a16="http://schemas.microsoft.com/office/drawing/2014/main" id="{00000000-0008-0000-0D00-00004104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90" name="Text Box 2">
          <a:extLst>
            <a:ext uri="{FF2B5EF4-FFF2-40B4-BE49-F238E27FC236}">
              <a16:creationId xmlns:a16="http://schemas.microsoft.com/office/drawing/2014/main" id="{00000000-0008-0000-0D00-00004204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91" name="Text Box 2">
          <a:extLst>
            <a:ext uri="{FF2B5EF4-FFF2-40B4-BE49-F238E27FC236}">
              <a16:creationId xmlns:a16="http://schemas.microsoft.com/office/drawing/2014/main" id="{00000000-0008-0000-0D00-00004304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92" name="Text Box 2">
          <a:extLst>
            <a:ext uri="{FF2B5EF4-FFF2-40B4-BE49-F238E27FC236}">
              <a16:creationId xmlns:a16="http://schemas.microsoft.com/office/drawing/2014/main" id="{00000000-0008-0000-0D00-00004404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93" name="Text Box 2">
          <a:extLst>
            <a:ext uri="{FF2B5EF4-FFF2-40B4-BE49-F238E27FC236}">
              <a16:creationId xmlns:a16="http://schemas.microsoft.com/office/drawing/2014/main" id="{00000000-0008-0000-0D00-00004504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94" name="Text Box 2">
          <a:extLst>
            <a:ext uri="{FF2B5EF4-FFF2-40B4-BE49-F238E27FC236}">
              <a16:creationId xmlns:a16="http://schemas.microsoft.com/office/drawing/2014/main" id="{00000000-0008-0000-0D00-00004604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95" name="Text Box 2">
          <a:extLst>
            <a:ext uri="{FF2B5EF4-FFF2-40B4-BE49-F238E27FC236}">
              <a16:creationId xmlns:a16="http://schemas.microsoft.com/office/drawing/2014/main" id="{00000000-0008-0000-0D00-00004704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096" name="Text Box 2">
          <a:extLst>
            <a:ext uri="{FF2B5EF4-FFF2-40B4-BE49-F238E27FC236}">
              <a16:creationId xmlns:a16="http://schemas.microsoft.com/office/drawing/2014/main" id="{00000000-0008-0000-0D00-00004804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103867</xdr:rowOff>
    </xdr:to>
    <xdr:sp macro="" textlink="">
      <xdr:nvSpPr>
        <xdr:cNvPr id="1097" name="Text Box 2">
          <a:extLst>
            <a:ext uri="{FF2B5EF4-FFF2-40B4-BE49-F238E27FC236}">
              <a16:creationId xmlns:a16="http://schemas.microsoft.com/office/drawing/2014/main" id="{00000000-0008-0000-0D00-000049040000}"/>
            </a:ext>
          </a:extLst>
        </xdr:cNvPr>
        <xdr:cNvSpPr txBox="1">
          <a:spLocks noChangeArrowheads="1"/>
        </xdr:cNvSpPr>
      </xdr:nvSpPr>
      <xdr:spPr bwMode="auto">
        <a:xfrm>
          <a:off x="44815125" y="36871275"/>
          <a:ext cx="95250" cy="288924"/>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103867</xdr:rowOff>
    </xdr:to>
    <xdr:sp macro="" textlink="">
      <xdr:nvSpPr>
        <xdr:cNvPr id="1098" name="Text Box 2">
          <a:extLst>
            <a:ext uri="{FF2B5EF4-FFF2-40B4-BE49-F238E27FC236}">
              <a16:creationId xmlns:a16="http://schemas.microsoft.com/office/drawing/2014/main" id="{00000000-0008-0000-0D00-00004A040000}"/>
            </a:ext>
          </a:extLst>
        </xdr:cNvPr>
        <xdr:cNvSpPr txBox="1">
          <a:spLocks noChangeArrowheads="1"/>
        </xdr:cNvSpPr>
      </xdr:nvSpPr>
      <xdr:spPr bwMode="auto">
        <a:xfrm>
          <a:off x="44815125" y="36871275"/>
          <a:ext cx="95250" cy="288924"/>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099" name="Text Box 2">
          <a:extLst>
            <a:ext uri="{FF2B5EF4-FFF2-40B4-BE49-F238E27FC236}">
              <a16:creationId xmlns:a16="http://schemas.microsoft.com/office/drawing/2014/main" id="{00000000-0008-0000-0D00-00004B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00" name="Text Box 2">
          <a:extLst>
            <a:ext uri="{FF2B5EF4-FFF2-40B4-BE49-F238E27FC236}">
              <a16:creationId xmlns:a16="http://schemas.microsoft.com/office/drawing/2014/main" id="{00000000-0008-0000-0D00-00004C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01" name="Text Box 2">
          <a:extLst>
            <a:ext uri="{FF2B5EF4-FFF2-40B4-BE49-F238E27FC236}">
              <a16:creationId xmlns:a16="http://schemas.microsoft.com/office/drawing/2014/main" id="{00000000-0008-0000-0D00-00004D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02" name="Text Box 2">
          <a:extLst>
            <a:ext uri="{FF2B5EF4-FFF2-40B4-BE49-F238E27FC236}">
              <a16:creationId xmlns:a16="http://schemas.microsoft.com/office/drawing/2014/main" id="{00000000-0008-0000-0D00-00004E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03" name="Text Box 2">
          <a:extLst>
            <a:ext uri="{FF2B5EF4-FFF2-40B4-BE49-F238E27FC236}">
              <a16:creationId xmlns:a16="http://schemas.microsoft.com/office/drawing/2014/main" id="{00000000-0008-0000-0D00-00004F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04" name="Text Box 2">
          <a:extLst>
            <a:ext uri="{FF2B5EF4-FFF2-40B4-BE49-F238E27FC236}">
              <a16:creationId xmlns:a16="http://schemas.microsoft.com/office/drawing/2014/main" id="{00000000-0008-0000-0D00-000050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05" name="Text Box 2">
          <a:extLst>
            <a:ext uri="{FF2B5EF4-FFF2-40B4-BE49-F238E27FC236}">
              <a16:creationId xmlns:a16="http://schemas.microsoft.com/office/drawing/2014/main" id="{00000000-0008-0000-0D00-000051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06" name="Text Box 2">
          <a:extLst>
            <a:ext uri="{FF2B5EF4-FFF2-40B4-BE49-F238E27FC236}">
              <a16:creationId xmlns:a16="http://schemas.microsoft.com/office/drawing/2014/main" id="{00000000-0008-0000-0D00-000052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07" name="Text Box 2">
          <a:extLst>
            <a:ext uri="{FF2B5EF4-FFF2-40B4-BE49-F238E27FC236}">
              <a16:creationId xmlns:a16="http://schemas.microsoft.com/office/drawing/2014/main" id="{00000000-0008-0000-0D00-000053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08" name="Text Box 2">
          <a:extLst>
            <a:ext uri="{FF2B5EF4-FFF2-40B4-BE49-F238E27FC236}">
              <a16:creationId xmlns:a16="http://schemas.microsoft.com/office/drawing/2014/main" id="{00000000-0008-0000-0D00-000054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09" name="Text Box 2">
          <a:extLst>
            <a:ext uri="{FF2B5EF4-FFF2-40B4-BE49-F238E27FC236}">
              <a16:creationId xmlns:a16="http://schemas.microsoft.com/office/drawing/2014/main" id="{00000000-0008-0000-0D00-000055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10" name="Text Box 2">
          <a:extLst>
            <a:ext uri="{FF2B5EF4-FFF2-40B4-BE49-F238E27FC236}">
              <a16:creationId xmlns:a16="http://schemas.microsoft.com/office/drawing/2014/main" id="{00000000-0008-0000-0D00-000056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11" name="Text Box 2">
          <a:extLst>
            <a:ext uri="{FF2B5EF4-FFF2-40B4-BE49-F238E27FC236}">
              <a16:creationId xmlns:a16="http://schemas.microsoft.com/office/drawing/2014/main" id="{00000000-0008-0000-0D00-000057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12" name="Text Box 2">
          <a:extLst>
            <a:ext uri="{FF2B5EF4-FFF2-40B4-BE49-F238E27FC236}">
              <a16:creationId xmlns:a16="http://schemas.microsoft.com/office/drawing/2014/main" id="{00000000-0008-0000-0D00-000058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13" name="Text Box 2">
          <a:extLst>
            <a:ext uri="{FF2B5EF4-FFF2-40B4-BE49-F238E27FC236}">
              <a16:creationId xmlns:a16="http://schemas.microsoft.com/office/drawing/2014/main" id="{00000000-0008-0000-0D00-000059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14" name="Text Box 2">
          <a:extLst>
            <a:ext uri="{FF2B5EF4-FFF2-40B4-BE49-F238E27FC236}">
              <a16:creationId xmlns:a16="http://schemas.microsoft.com/office/drawing/2014/main" id="{00000000-0008-0000-0D00-00005A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15" name="Text Box 2">
          <a:extLst>
            <a:ext uri="{FF2B5EF4-FFF2-40B4-BE49-F238E27FC236}">
              <a16:creationId xmlns:a16="http://schemas.microsoft.com/office/drawing/2014/main" id="{00000000-0008-0000-0D00-00005B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16" name="Text Box 2">
          <a:extLst>
            <a:ext uri="{FF2B5EF4-FFF2-40B4-BE49-F238E27FC236}">
              <a16:creationId xmlns:a16="http://schemas.microsoft.com/office/drawing/2014/main" id="{00000000-0008-0000-0D00-00005C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17" name="Text Box 2">
          <a:extLst>
            <a:ext uri="{FF2B5EF4-FFF2-40B4-BE49-F238E27FC236}">
              <a16:creationId xmlns:a16="http://schemas.microsoft.com/office/drawing/2014/main" id="{00000000-0008-0000-0D00-00005D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18" name="Text Box 2">
          <a:extLst>
            <a:ext uri="{FF2B5EF4-FFF2-40B4-BE49-F238E27FC236}">
              <a16:creationId xmlns:a16="http://schemas.microsoft.com/office/drawing/2014/main" id="{00000000-0008-0000-0D00-00005E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19" name="Text Box 2">
          <a:extLst>
            <a:ext uri="{FF2B5EF4-FFF2-40B4-BE49-F238E27FC236}">
              <a16:creationId xmlns:a16="http://schemas.microsoft.com/office/drawing/2014/main" id="{00000000-0008-0000-0D00-00005F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20" name="Text Box 2">
          <a:extLst>
            <a:ext uri="{FF2B5EF4-FFF2-40B4-BE49-F238E27FC236}">
              <a16:creationId xmlns:a16="http://schemas.microsoft.com/office/drawing/2014/main" id="{00000000-0008-0000-0D00-000060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21" name="Text Box 2">
          <a:extLst>
            <a:ext uri="{FF2B5EF4-FFF2-40B4-BE49-F238E27FC236}">
              <a16:creationId xmlns:a16="http://schemas.microsoft.com/office/drawing/2014/main" id="{00000000-0008-0000-0D00-000061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22" name="Text Box 2">
          <a:extLst>
            <a:ext uri="{FF2B5EF4-FFF2-40B4-BE49-F238E27FC236}">
              <a16:creationId xmlns:a16="http://schemas.microsoft.com/office/drawing/2014/main" id="{00000000-0008-0000-0D00-000062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23" name="Text Box 2">
          <a:extLst>
            <a:ext uri="{FF2B5EF4-FFF2-40B4-BE49-F238E27FC236}">
              <a16:creationId xmlns:a16="http://schemas.microsoft.com/office/drawing/2014/main" id="{00000000-0008-0000-0D00-000063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24" name="Text Box 2">
          <a:extLst>
            <a:ext uri="{FF2B5EF4-FFF2-40B4-BE49-F238E27FC236}">
              <a16:creationId xmlns:a16="http://schemas.microsoft.com/office/drawing/2014/main" id="{00000000-0008-0000-0D00-000064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25" name="Text Box 2">
          <a:extLst>
            <a:ext uri="{FF2B5EF4-FFF2-40B4-BE49-F238E27FC236}">
              <a16:creationId xmlns:a16="http://schemas.microsoft.com/office/drawing/2014/main" id="{00000000-0008-0000-0D00-000065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26" name="Text Box 2">
          <a:extLst>
            <a:ext uri="{FF2B5EF4-FFF2-40B4-BE49-F238E27FC236}">
              <a16:creationId xmlns:a16="http://schemas.microsoft.com/office/drawing/2014/main" id="{00000000-0008-0000-0D00-000066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27" name="Text Box 2">
          <a:extLst>
            <a:ext uri="{FF2B5EF4-FFF2-40B4-BE49-F238E27FC236}">
              <a16:creationId xmlns:a16="http://schemas.microsoft.com/office/drawing/2014/main" id="{00000000-0008-0000-0D00-000067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28" name="Text Box 2">
          <a:extLst>
            <a:ext uri="{FF2B5EF4-FFF2-40B4-BE49-F238E27FC236}">
              <a16:creationId xmlns:a16="http://schemas.microsoft.com/office/drawing/2014/main" id="{00000000-0008-0000-0D00-000068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29" name="Text Box 2">
          <a:extLst>
            <a:ext uri="{FF2B5EF4-FFF2-40B4-BE49-F238E27FC236}">
              <a16:creationId xmlns:a16="http://schemas.microsoft.com/office/drawing/2014/main" id="{00000000-0008-0000-0D00-000069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30" name="Text Box 2">
          <a:extLst>
            <a:ext uri="{FF2B5EF4-FFF2-40B4-BE49-F238E27FC236}">
              <a16:creationId xmlns:a16="http://schemas.microsoft.com/office/drawing/2014/main" id="{00000000-0008-0000-0D00-00006A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31" name="Text Box 2">
          <a:extLst>
            <a:ext uri="{FF2B5EF4-FFF2-40B4-BE49-F238E27FC236}">
              <a16:creationId xmlns:a16="http://schemas.microsoft.com/office/drawing/2014/main" id="{00000000-0008-0000-0D00-00006B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32" name="Text Box 2">
          <a:extLst>
            <a:ext uri="{FF2B5EF4-FFF2-40B4-BE49-F238E27FC236}">
              <a16:creationId xmlns:a16="http://schemas.microsoft.com/office/drawing/2014/main" id="{00000000-0008-0000-0D00-00006C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33" name="Text Box 2">
          <a:extLst>
            <a:ext uri="{FF2B5EF4-FFF2-40B4-BE49-F238E27FC236}">
              <a16:creationId xmlns:a16="http://schemas.microsoft.com/office/drawing/2014/main" id="{00000000-0008-0000-0D00-00006D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34" name="Text Box 2">
          <a:extLst>
            <a:ext uri="{FF2B5EF4-FFF2-40B4-BE49-F238E27FC236}">
              <a16:creationId xmlns:a16="http://schemas.microsoft.com/office/drawing/2014/main" id="{00000000-0008-0000-0D00-00006E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35" name="Text Box 2">
          <a:extLst>
            <a:ext uri="{FF2B5EF4-FFF2-40B4-BE49-F238E27FC236}">
              <a16:creationId xmlns:a16="http://schemas.microsoft.com/office/drawing/2014/main" id="{00000000-0008-0000-0D00-00006F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36" name="Text Box 2">
          <a:extLst>
            <a:ext uri="{FF2B5EF4-FFF2-40B4-BE49-F238E27FC236}">
              <a16:creationId xmlns:a16="http://schemas.microsoft.com/office/drawing/2014/main" id="{00000000-0008-0000-0D00-000070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37" name="Text Box 2">
          <a:extLst>
            <a:ext uri="{FF2B5EF4-FFF2-40B4-BE49-F238E27FC236}">
              <a16:creationId xmlns:a16="http://schemas.microsoft.com/office/drawing/2014/main" id="{00000000-0008-0000-0D00-000071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38" name="Text Box 2">
          <a:extLst>
            <a:ext uri="{FF2B5EF4-FFF2-40B4-BE49-F238E27FC236}">
              <a16:creationId xmlns:a16="http://schemas.microsoft.com/office/drawing/2014/main" id="{00000000-0008-0000-0D00-000072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39" name="Text Box 2">
          <a:extLst>
            <a:ext uri="{FF2B5EF4-FFF2-40B4-BE49-F238E27FC236}">
              <a16:creationId xmlns:a16="http://schemas.microsoft.com/office/drawing/2014/main" id="{00000000-0008-0000-0D00-000073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40" name="Text Box 2">
          <a:extLst>
            <a:ext uri="{FF2B5EF4-FFF2-40B4-BE49-F238E27FC236}">
              <a16:creationId xmlns:a16="http://schemas.microsoft.com/office/drawing/2014/main" id="{00000000-0008-0000-0D00-000074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41" name="Text Box 2">
          <a:extLst>
            <a:ext uri="{FF2B5EF4-FFF2-40B4-BE49-F238E27FC236}">
              <a16:creationId xmlns:a16="http://schemas.microsoft.com/office/drawing/2014/main" id="{00000000-0008-0000-0D00-000075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42" name="Text Box 2">
          <a:extLst>
            <a:ext uri="{FF2B5EF4-FFF2-40B4-BE49-F238E27FC236}">
              <a16:creationId xmlns:a16="http://schemas.microsoft.com/office/drawing/2014/main" id="{00000000-0008-0000-0D00-000076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43" name="Text Box 2">
          <a:extLst>
            <a:ext uri="{FF2B5EF4-FFF2-40B4-BE49-F238E27FC236}">
              <a16:creationId xmlns:a16="http://schemas.microsoft.com/office/drawing/2014/main" id="{00000000-0008-0000-0D00-000077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44" name="Text Box 2">
          <a:extLst>
            <a:ext uri="{FF2B5EF4-FFF2-40B4-BE49-F238E27FC236}">
              <a16:creationId xmlns:a16="http://schemas.microsoft.com/office/drawing/2014/main" id="{00000000-0008-0000-0D00-000078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45" name="Text Box 2">
          <a:extLst>
            <a:ext uri="{FF2B5EF4-FFF2-40B4-BE49-F238E27FC236}">
              <a16:creationId xmlns:a16="http://schemas.microsoft.com/office/drawing/2014/main" id="{00000000-0008-0000-0D00-000079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46" name="Text Box 2">
          <a:extLst>
            <a:ext uri="{FF2B5EF4-FFF2-40B4-BE49-F238E27FC236}">
              <a16:creationId xmlns:a16="http://schemas.microsoft.com/office/drawing/2014/main" id="{00000000-0008-0000-0D00-00007A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47" name="Text Box 2">
          <a:extLst>
            <a:ext uri="{FF2B5EF4-FFF2-40B4-BE49-F238E27FC236}">
              <a16:creationId xmlns:a16="http://schemas.microsoft.com/office/drawing/2014/main" id="{00000000-0008-0000-0D00-00007B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48" name="Text Box 2">
          <a:extLst>
            <a:ext uri="{FF2B5EF4-FFF2-40B4-BE49-F238E27FC236}">
              <a16:creationId xmlns:a16="http://schemas.microsoft.com/office/drawing/2014/main" id="{00000000-0008-0000-0D00-00007C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49" name="Text Box 2">
          <a:extLst>
            <a:ext uri="{FF2B5EF4-FFF2-40B4-BE49-F238E27FC236}">
              <a16:creationId xmlns:a16="http://schemas.microsoft.com/office/drawing/2014/main" id="{00000000-0008-0000-0D00-00007D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50" name="Text Box 2">
          <a:extLst>
            <a:ext uri="{FF2B5EF4-FFF2-40B4-BE49-F238E27FC236}">
              <a16:creationId xmlns:a16="http://schemas.microsoft.com/office/drawing/2014/main" id="{00000000-0008-0000-0D00-00007E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51" name="Text Box 2">
          <a:extLst>
            <a:ext uri="{FF2B5EF4-FFF2-40B4-BE49-F238E27FC236}">
              <a16:creationId xmlns:a16="http://schemas.microsoft.com/office/drawing/2014/main" id="{00000000-0008-0000-0D00-00007F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52" name="Text Box 2">
          <a:extLst>
            <a:ext uri="{FF2B5EF4-FFF2-40B4-BE49-F238E27FC236}">
              <a16:creationId xmlns:a16="http://schemas.microsoft.com/office/drawing/2014/main" id="{00000000-0008-0000-0D00-000080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53" name="Text Box 2">
          <a:extLst>
            <a:ext uri="{FF2B5EF4-FFF2-40B4-BE49-F238E27FC236}">
              <a16:creationId xmlns:a16="http://schemas.microsoft.com/office/drawing/2014/main" id="{00000000-0008-0000-0D00-000081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54" name="Text Box 2">
          <a:extLst>
            <a:ext uri="{FF2B5EF4-FFF2-40B4-BE49-F238E27FC236}">
              <a16:creationId xmlns:a16="http://schemas.microsoft.com/office/drawing/2014/main" id="{00000000-0008-0000-0D00-000082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55" name="Text Box 2">
          <a:extLst>
            <a:ext uri="{FF2B5EF4-FFF2-40B4-BE49-F238E27FC236}">
              <a16:creationId xmlns:a16="http://schemas.microsoft.com/office/drawing/2014/main" id="{00000000-0008-0000-0D00-000083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56" name="Text Box 2">
          <a:extLst>
            <a:ext uri="{FF2B5EF4-FFF2-40B4-BE49-F238E27FC236}">
              <a16:creationId xmlns:a16="http://schemas.microsoft.com/office/drawing/2014/main" id="{00000000-0008-0000-0D00-000084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57" name="Text Box 2">
          <a:extLst>
            <a:ext uri="{FF2B5EF4-FFF2-40B4-BE49-F238E27FC236}">
              <a16:creationId xmlns:a16="http://schemas.microsoft.com/office/drawing/2014/main" id="{00000000-0008-0000-0D00-000085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58" name="Text Box 2">
          <a:extLst>
            <a:ext uri="{FF2B5EF4-FFF2-40B4-BE49-F238E27FC236}">
              <a16:creationId xmlns:a16="http://schemas.microsoft.com/office/drawing/2014/main" id="{00000000-0008-0000-0D00-000086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59" name="Text Box 2">
          <a:extLst>
            <a:ext uri="{FF2B5EF4-FFF2-40B4-BE49-F238E27FC236}">
              <a16:creationId xmlns:a16="http://schemas.microsoft.com/office/drawing/2014/main" id="{00000000-0008-0000-0D00-000087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60" name="Text Box 2">
          <a:extLst>
            <a:ext uri="{FF2B5EF4-FFF2-40B4-BE49-F238E27FC236}">
              <a16:creationId xmlns:a16="http://schemas.microsoft.com/office/drawing/2014/main" id="{00000000-0008-0000-0D00-000088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61" name="Text Box 2">
          <a:extLst>
            <a:ext uri="{FF2B5EF4-FFF2-40B4-BE49-F238E27FC236}">
              <a16:creationId xmlns:a16="http://schemas.microsoft.com/office/drawing/2014/main" id="{00000000-0008-0000-0D00-000089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62" name="Text Box 2">
          <a:extLst>
            <a:ext uri="{FF2B5EF4-FFF2-40B4-BE49-F238E27FC236}">
              <a16:creationId xmlns:a16="http://schemas.microsoft.com/office/drawing/2014/main" id="{00000000-0008-0000-0D00-00008A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63" name="Text Box 2">
          <a:extLst>
            <a:ext uri="{FF2B5EF4-FFF2-40B4-BE49-F238E27FC236}">
              <a16:creationId xmlns:a16="http://schemas.microsoft.com/office/drawing/2014/main" id="{00000000-0008-0000-0D00-00008B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64" name="Text Box 2">
          <a:extLst>
            <a:ext uri="{FF2B5EF4-FFF2-40B4-BE49-F238E27FC236}">
              <a16:creationId xmlns:a16="http://schemas.microsoft.com/office/drawing/2014/main" id="{00000000-0008-0000-0D00-00008C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65" name="Text Box 2">
          <a:extLst>
            <a:ext uri="{FF2B5EF4-FFF2-40B4-BE49-F238E27FC236}">
              <a16:creationId xmlns:a16="http://schemas.microsoft.com/office/drawing/2014/main" id="{00000000-0008-0000-0D00-00008D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66" name="Text Box 2">
          <a:extLst>
            <a:ext uri="{FF2B5EF4-FFF2-40B4-BE49-F238E27FC236}">
              <a16:creationId xmlns:a16="http://schemas.microsoft.com/office/drawing/2014/main" id="{00000000-0008-0000-0D00-00008E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67" name="Text Box 2">
          <a:extLst>
            <a:ext uri="{FF2B5EF4-FFF2-40B4-BE49-F238E27FC236}">
              <a16:creationId xmlns:a16="http://schemas.microsoft.com/office/drawing/2014/main" id="{00000000-0008-0000-0D00-00008F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68" name="Text Box 2">
          <a:extLst>
            <a:ext uri="{FF2B5EF4-FFF2-40B4-BE49-F238E27FC236}">
              <a16:creationId xmlns:a16="http://schemas.microsoft.com/office/drawing/2014/main" id="{00000000-0008-0000-0D00-000090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69" name="Text Box 2">
          <a:extLst>
            <a:ext uri="{FF2B5EF4-FFF2-40B4-BE49-F238E27FC236}">
              <a16:creationId xmlns:a16="http://schemas.microsoft.com/office/drawing/2014/main" id="{00000000-0008-0000-0D00-000091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70" name="Text Box 2">
          <a:extLst>
            <a:ext uri="{FF2B5EF4-FFF2-40B4-BE49-F238E27FC236}">
              <a16:creationId xmlns:a16="http://schemas.microsoft.com/office/drawing/2014/main" id="{00000000-0008-0000-0D00-000092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71" name="Text Box 2">
          <a:extLst>
            <a:ext uri="{FF2B5EF4-FFF2-40B4-BE49-F238E27FC236}">
              <a16:creationId xmlns:a16="http://schemas.microsoft.com/office/drawing/2014/main" id="{00000000-0008-0000-0D00-000093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72" name="Text Box 2">
          <a:extLst>
            <a:ext uri="{FF2B5EF4-FFF2-40B4-BE49-F238E27FC236}">
              <a16:creationId xmlns:a16="http://schemas.microsoft.com/office/drawing/2014/main" id="{00000000-0008-0000-0D00-000094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73" name="Text Box 2">
          <a:extLst>
            <a:ext uri="{FF2B5EF4-FFF2-40B4-BE49-F238E27FC236}">
              <a16:creationId xmlns:a16="http://schemas.microsoft.com/office/drawing/2014/main" id="{00000000-0008-0000-0D00-000095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74" name="Text Box 2">
          <a:extLst>
            <a:ext uri="{FF2B5EF4-FFF2-40B4-BE49-F238E27FC236}">
              <a16:creationId xmlns:a16="http://schemas.microsoft.com/office/drawing/2014/main" id="{00000000-0008-0000-0D00-000096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75" name="Text Box 2">
          <a:extLst>
            <a:ext uri="{FF2B5EF4-FFF2-40B4-BE49-F238E27FC236}">
              <a16:creationId xmlns:a16="http://schemas.microsoft.com/office/drawing/2014/main" id="{00000000-0008-0000-0D00-000097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76" name="Text Box 2">
          <a:extLst>
            <a:ext uri="{FF2B5EF4-FFF2-40B4-BE49-F238E27FC236}">
              <a16:creationId xmlns:a16="http://schemas.microsoft.com/office/drawing/2014/main" id="{00000000-0008-0000-0D00-000098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77" name="Text Box 2">
          <a:extLst>
            <a:ext uri="{FF2B5EF4-FFF2-40B4-BE49-F238E27FC236}">
              <a16:creationId xmlns:a16="http://schemas.microsoft.com/office/drawing/2014/main" id="{00000000-0008-0000-0D00-000099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78" name="Text Box 2">
          <a:extLst>
            <a:ext uri="{FF2B5EF4-FFF2-40B4-BE49-F238E27FC236}">
              <a16:creationId xmlns:a16="http://schemas.microsoft.com/office/drawing/2014/main" id="{00000000-0008-0000-0D00-00009A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79" name="Text Box 2">
          <a:extLst>
            <a:ext uri="{FF2B5EF4-FFF2-40B4-BE49-F238E27FC236}">
              <a16:creationId xmlns:a16="http://schemas.microsoft.com/office/drawing/2014/main" id="{00000000-0008-0000-0D00-00009B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80" name="Text Box 2">
          <a:extLst>
            <a:ext uri="{FF2B5EF4-FFF2-40B4-BE49-F238E27FC236}">
              <a16:creationId xmlns:a16="http://schemas.microsoft.com/office/drawing/2014/main" id="{00000000-0008-0000-0D00-00009C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81" name="Text Box 2">
          <a:extLst>
            <a:ext uri="{FF2B5EF4-FFF2-40B4-BE49-F238E27FC236}">
              <a16:creationId xmlns:a16="http://schemas.microsoft.com/office/drawing/2014/main" id="{00000000-0008-0000-0D00-00009D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82" name="Text Box 2">
          <a:extLst>
            <a:ext uri="{FF2B5EF4-FFF2-40B4-BE49-F238E27FC236}">
              <a16:creationId xmlns:a16="http://schemas.microsoft.com/office/drawing/2014/main" id="{00000000-0008-0000-0D00-00009E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83" name="Text Box 2">
          <a:extLst>
            <a:ext uri="{FF2B5EF4-FFF2-40B4-BE49-F238E27FC236}">
              <a16:creationId xmlns:a16="http://schemas.microsoft.com/office/drawing/2014/main" id="{00000000-0008-0000-0D00-00009F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84" name="Text Box 2">
          <a:extLst>
            <a:ext uri="{FF2B5EF4-FFF2-40B4-BE49-F238E27FC236}">
              <a16:creationId xmlns:a16="http://schemas.microsoft.com/office/drawing/2014/main" id="{00000000-0008-0000-0D00-0000A0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85" name="Text Box 2">
          <a:extLst>
            <a:ext uri="{FF2B5EF4-FFF2-40B4-BE49-F238E27FC236}">
              <a16:creationId xmlns:a16="http://schemas.microsoft.com/office/drawing/2014/main" id="{00000000-0008-0000-0D00-0000A1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86" name="Text Box 2">
          <a:extLst>
            <a:ext uri="{FF2B5EF4-FFF2-40B4-BE49-F238E27FC236}">
              <a16:creationId xmlns:a16="http://schemas.microsoft.com/office/drawing/2014/main" id="{00000000-0008-0000-0D00-0000A2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87" name="Text Box 2">
          <a:extLst>
            <a:ext uri="{FF2B5EF4-FFF2-40B4-BE49-F238E27FC236}">
              <a16:creationId xmlns:a16="http://schemas.microsoft.com/office/drawing/2014/main" id="{00000000-0008-0000-0D00-0000A3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88" name="Text Box 2">
          <a:extLst>
            <a:ext uri="{FF2B5EF4-FFF2-40B4-BE49-F238E27FC236}">
              <a16:creationId xmlns:a16="http://schemas.microsoft.com/office/drawing/2014/main" id="{00000000-0008-0000-0D00-0000A4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89" name="Text Box 2">
          <a:extLst>
            <a:ext uri="{FF2B5EF4-FFF2-40B4-BE49-F238E27FC236}">
              <a16:creationId xmlns:a16="http://schemas.microsoft.com/office/drawing/2014/main" id="{00000000-0008-0000-0D00-0000A5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90" name="Text Box 2">
          <a:extLst>
            <a:ext uri="{FF2B5EF4-FFF2-40B4-BE49-F238E27FC236}">
              <a16:creationId xmlns:a16="http://schemas.microsoft.com/office/drawing/2014/main" id="{00000000-0008-0000-0D00-0000A6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91" name="Text Box 2">
          <a:extLst>
            <a:ext uri="{FF2B5EF4-FFF2-40B4-BE49-F238E27FC236}">
              <a16:creationId xmlns:a16="http://schemas.microsoft.com/office/drawing/2014/main" id="{00000000-0008-0000-0D00-0000A7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92" name="Text Box 2">
          <a:extLst>
            <a:ext uri="{FF2B5EF4-FFF2-40B4-BE49-F238E27FC236}">
              <a16:creationId xmlns:a16="http://schemas.microsoft.com/office/drawing/2014/main" id="{00000000-0008-0000-0D00-0000A8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93" name="Text Box 2">
          <a:extLst>
            <a:ext uri="{FF2B5EF4-FFF2-40B4-BE49-F238E27FC236}">
              <a16:creationId xmlns:a16="http://schemas.microsoft.com/office/drawing/2014/main" id="{00000000-0008-0000-0D00-0000A9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94" name="Text Box 2">
          <a:extLst>
            <a:ext uri="{FF2B5EF4-FFF2-40B4-BE49-F238E27FC236}">
              <a16:creationId xmlns:a16="http://schemas.microsoft.com/office/drawing/2014/main" id="{00000000-0008-0000-0D00-0000AA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95" name="Text Box 2">
          <a:extLst>
            <a:ext uri="{FF2B5EF4-FFF2-40B4-BE49-F238E27FC236}">
              <a16:creationId xmlns:a16="http://schemas.microsoft.com/office/drawing/2014/main" id="{00000000-0008-0000-0D00-0000AB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96" name="Text Box 2">
          <a:extLst>
            <a:ext uri="{FF2B5EF4-FFF2-40B4-BE49-F238E27FC236}">
              <a16:creationId xmlns:a16="http://schemas.microsoft.com/office/drawing/2014/main" id="{00000000-0008-0000-0D00-0000AC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97" name="Text Box 2">
          <a:extLst>
            <a:ext uri="{FF2B5EF4-FFF2-40B4-BE49-F238E27FC236}">
              <a16:creationId xmlns:a16="http://schemas.microsoft.com/office/drawing/2014/main" id="{00000000-0008-0000-0D00-0000AD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98" name="Text Box 2">
          <a:extLst>
            <a:ext uri="{FF2B5EF4-FFF2-40B4-BE49-F238E27FC236}">
              <a16:creationId xmlns:a16="http://schemas.microsoft.com/office/drawing/2014/main" id="{00000000-0008-0000-0D00-0000AE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199" name="Text Box 2">
          <a:extLst>
            <a:ext uri="{FF2B5EF4-FFF2-40B4-BE49-F238E27FC236}">
              <a16:creationId xmlns:a16="http://schemas.microsoft.com/office/drawing/2014/main" id="{00000000-0008-0000-0D00-0000AF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00" name="Text Box 2">
          <a:extLst>
            <a:ext uri="{FF2B5EF4-FFF2-40B4-BE49-F238E27FC236}">
              <a16:creationId xmlns:a16="http://schemas.microsoft.com/office/drawing/2014/main" id="{00000000-0008-0000-0D00-0000B0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01" name="Text Box 2">
          <a:extLst>
            <a:ext uri="{FF2B5EF4-FFF2-40B4-BE49-F238E27FC236}">
              <a16:creationId xmlns:a16="http://schemas.microsoft.com/office/drawing/2014/main" id="{00000000-0008-0000-0D00-0000B1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02" name="Text Box 2">
          <a:extLst>
            <a:ext uri="{FF2B5EF4-FFF2-40B4-BE49-F238E27FC236}">
              <a16:creationId xmlns:a16="http://schemas.microsoft.com/office/drawing/2014/main" id="{00000000-0008-0000-0D00-0000B2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03" name="Text Box 2">
          <a:extLst>
            <a:ext uri="{FF2B5EF4-FFF2-40B4-BE49-F238E27FC236}">
              <a16:creationId xmlns:a16="http://schemas.microsoft.com/office/drawing/2014/main" id="{00000000-0008-0000-0D00-0000B3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04" name="Text Box 2">
          <a:extLst>
            <a:ext uri="{FF2B5EF4-FFF2-40B4-BE49-F238E27FC236}">
              <a16:creationId xmlns:a16="http://schemas.microsoft.com/office/drawing/2014/main" id="{00000000-0008-0000-0D00-0000B4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05" name="Text Box 2">
          <a:extLst>
            <a:ext uri="{FF2B5EF4-FFF2-40B4-BE49-F238E27FC236}">
              <a16:creationId xmlns:a16="http://schemas.microsoft.com/office/drawing/2014/main" id="{00000000-0008-0000-0D00-0000B5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06" name="Text Box 2">
          <a:extLst>
            <a:ext uri="{FF2B5EF4-FFF2-40B4-BE49-F238E27FC236}">
              <a16:creationId xmlns:a16="http://schemas.microsoft.com/office/drawing/2014/main" id="{00000000-0008-0000-0D00-0000B6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07" name="Text Box 2">
          <a:extLst>
            <a:ext uri="{FF2B5EF4-FFF2-40B4-BE49-F238E27FC236}">
              <a16:creationId xmlns:a16="http://schemas.microsoft.com/office/drawing/2014/main" id="{00000000-0008-0000-0D00-0000B7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08" name="Text Box 2">
          <a:extLst>
            <a:ext uri="{FF2B5EF4-FFF2-40B4-BE49-F238E27FC236}">
              <a16:creationId xmlns:a16="http://schemas.microsoft.com/office/drawing/2014/main" id="{00000000-0008-0000-0D00-0000B8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09" name="Text Box 2">
          <a:extLst>
            <a:ext uri="{FF2B5EF4-FFF2-40B4-BE49-F238E27FC236}">
              <a16:creationId xmlns:a16="http://schemas.microsoft.com/office/drawing/2014/main" id="{00000000-0008-0000-0D00-0000B9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10" name="Text Box 2">
          <a:extLst>
            <a:ext uri="{FF2B5EF4-FFF2-40B4-BE49-F238E27FC236}">
              <a16:creationId xmlns:a16="http://schemas.microsoft.com/office/drawing/2014/main" id="{00000000-0008-0000-0D00-0000BA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11" name="Text Box 2">
          <a:extLst>
            <a:ext uri="{FF2B5EF4-FFF2-40B4-BE49-F238E27FC236}">
              <a16:creationId xmlns:a16="http://schemas.microsoft.com/office/drawing/2014/main" id="{00000000-0008-0000-0D00-0000BB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12" name="Text Box 2">
          <a:extLst>
            <a:ext uri="{FF2B5EF4-FFF2-40B4-BE49-F238E27FC236}">
              <a16:creationId xmlns:a16="http://schemas.microsoft.com/office/drawing/2014/main" id="{00000000-0008-0000-0D00-0000BC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13" name="Text Box 2">
          <a:extLst>
            <a:ext uri="{FF2B5EF4-FFF2-40B4-BE49-F238E27FC236}">
              <a16:creationId xmlns:a16="http://schemas.microsoft.com/office/drawing/2014/main" id="{00000000-0008-0000-0D00-0000BD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14" name="Text Box 2">
          <a:extLst>
            <a:ext uri="{FF2B5EF4-FFF2-40B4-BE49-F238E27FC236}">
              <a16:creationId xmlns:a16="http://schemas.microsoft.com/office/drawing/2014/main" id="{00000000-0008-0000-0D00-0000BE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15" name="Text Box 2">
          <a:extLst>
            <a:ext uri="{FF2B5EF4-FFF2-40B4-BE49-F238E27FC236}">
              <a16:creationId xmlns:a16="http://schemas.microsoft.com/office/drawing/2014/main" id="{00000000-0008-0000-0D00-0000BF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16" name="Text Box 2">
          <a:extLst>
            <a:ext uri="{FF2B5EF4-FFF2-40B4-BE49-F238E27FC236}">
              <a16:creationId xmlns:a16="http://schemas.microsoft.com/office/drawing/2014/main" id="{00000000-0008-0000-0D00-0000C0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17" name="Text Box 2">
          <a:extLst>
            <a:ext uri="{FF2B5EF4-FFF2-40B4-BE49-F238E27FC236}">
              <a16:creationId xmlns:a16="http://schemas.microsoft.com/office/drawing/2014/main" id="{00000000-0008-0000-0D00-0000C1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18" name="Text Box 2">
          <a:extLst>
            <a:ext uri="{FF2B5EF4-FFF2-40B4-BE49-F238E27FC236}">
              <a16:creationId xmlns:a16="http://schemas.microsoft.com/office/drawing/2014/main" id="{00000000-0008-0000-0D00-0000C2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19" name="Text Box 2">
          <a:extLst>
            <a:ext uri="{FF2B5EF4-FFF2-40B4-BE49-F238E27FC236}">
              <a16:creationId xmlns:a16="http://schemas.microsoft.com/office/drawing/2014/main" id="{00000000-0008-0000-0D00-0000C3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20" name="Text Box 2">
          <a:extLst>
            <a:ext uri="{FF2B5EF4-FFF2-40B4-BE49-F238E27FC236}">
              <a16:creationId xmlns:a16="http://schemas.microsoft.com/office/drawing/2014/main" id="{00000000-0008-0000-0D00-0000C4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21" name="Text Box 2">
          <a:extLst>
            <a:ext uri="{FF2B5EF4-FFF2-40B4-BE49-F238E27FC236}">
              <a16:creationId xmlns:a16="http://schemas.microsoft.com/office/drawing/2014/main" id="{00000000-0008-0000-0D00-0000C5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22" name="Text Box 2">
          <a:extLst>
            <a:ext uri="{FF2B5EF4-FFF2-40B4-BE49-F238E27FC236}">
              <a16:creationId xmlns:a16="http://schemas.microsoft.com/office/drawing/2014/main" id="{00000000-0008-0000-0D00-0000C6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23" name="Text Box 2">
          <a:extLst>
            <a:ext uri="{FF2B5EF4-FFF2-40B4-BE49-F238E27FC236}">
              <a16:creationId xmlns:a16="http://schemas.microsoft.com/office/drawing/2014/main" id="{00000000-0008-0000-0D00-0000C7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24" name="Text Box 2">
          <a:extLst>
            <a:ext uri="{FF2B5EF4-FFF2-40B4-BE49-F238E27FC236}">
              <a16:creationId xmlns:a16="http://schemas.microsoft.com/office/drawing/2014/main" id="{00000000-0008-0000-0D00-0000C8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25" name="Text Box 2">
          <a:extLst>
            <a:ext uri="{FF2B5EF4-FFF2-40B4-BE49-F238E27FC236}">
              <a16:creationId xmlns:a16="http://schemas.microsoft.com/office/drawing/2014/main" id="{00000000-0008-0000-0D00-0000C9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26" name="Text Box 2">
          <a:extLst>
            <a:ext uri="{FF2B5EF4-FFF2-40B4-BE49-F238E27FC236}">
              <a16:creationId xmlns:a16="http://schemas.microsoft.com/office/drawing/2014/main" id="{00000000-0008-0000-0D00-0000CA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27" name="Text Box 2">
          <a:extLst>
            <a:ext uri="{FF2B5EF4-FFF2-40B4-BE49-F238E27FC236}">
              <a16:creationId xmlns:a16="http://schemas.microsoft.com/office/drawing/2014/main" id="{00000000-0008-0000-0D00-0000CB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28" name="Text Box 2">
          <a:extLst>
            <a:ext uri="{FF2B5EF4-FFF2-40B4-BE49-F238E27FC236}">
              <a16:creationId xmlns:a16="http://schemas.microsoft.com/office/drawing/2014/main" id="{00000000-0008-0000-0D00-0000CC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29" name="Text Box 2">
          <a:extLst>
            <a:ext uri="{FF2B5EF4-FFF2-40B4-BE49-F238E27FC236}">
              <a16:creationId xmlns:a16="http://schemas.microsoft.com/office/drawing/2014/main" id="{00000000-0008-0000-0D00-0000CD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30" name="Text Box 2">
          <a:extLst>
            <a:ext uri="{FF2B5EF4-FFF2-40B4-BE49-F238E27FC236}">
              <a16:creationId xmlns:a16="http://schemas.microsoft.com/office/drawing/2014/main" id="{00000000-0008-0000-0D00-0000CE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31" name="Text Box 2">
          <a:extLst>
            <a:ext uri="{FF2B5EF4-FFF2-40B4-BE49-F238E27FC236}">
              <a16:creationId xmlns:a16="http://schemas.microsoft.com/office/drawing/2014/main" id="{00000000-0008-0000-0D00-0000CF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32" name="Text Box 2">
          <a:extLst>
            <a:ext uri="{FF2B5EF4-FFF2-40B4-BE49-F238E27FC236}">
              <a16:creationId xmlns:a16="http://schemas.microsoft.com/office/drawing/2014/main" id="{00000000-0008-0000-0D00-0000D0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33" name="Text Box 2">
          <a:extLst>
            <a:ext uri="{FF2B5EF4-FFF2-40B4-BE49-F238E27FC236}">
              <a16:creationId xmlns:a16="http://schemas.microsoft.com/office/drawing/2014/main" id="{00000000-0008-0000-0D00-0000D1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34" name="Text Box 2">
          <a:extLst>
            <a:ext uri="{FF2B5EF4-FFF2-40B4-BE49-F238E27FC236}">
              <a16:creationId xmlns:a16="http://schemas.microsoft.com/office/drawing/2014/main" id="{00000000-0008-0000-0D00-0000D2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35" name="Text Box 2">
          <a:extLst>
            <a:ext uri="{FF2B5EF4-FFF2-40B4-BE49-F238E27FC236}">
              <a16:creationId xmlns:a16="http://schemas.microsoft.com/office/drawing/2014/main" id="{00000000-0008-0000-0D00-0000D3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36" name="Text Box 2">
          <a:extLst>
            <a:ext uri="{FF2B5EF4-FFF2-40B4-BE49-F238E27FC236}">
              <a16:creationId xmlns:a16="http://schemas.microsoft.com/office/drawing/2014/main" id="{00000000-0008-0000-0D00-0000D4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37" name="Text Box 2">
          <a:extLst>
            <a:ext uri="{FF2B5EF4-FFF2-40B4-BE49-F238E27FC236}">
              <a16:creationId xmlns:a16="http://schemas.microsoft.com/office/drawing/2014/main" id="{00000000-0008-0000-0D00-0000D5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38" name="Text Box 2">
          <a:extLst>
            <a:ext uri="{FF2B5EF4-FFF2-40B4-BE49-F238E27FC236}">
              <a16:creationId xmlns:a16="http://schemas.microsoft.com/office/drawing/2014/main" id="{00000000-0008-0000-0D00-0000D6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39" name="Text Box 2">
          <a:extLst>
            <a:ext uri="{FF2B5EF4-FFF2-40B4-BE49-F238E27FC236}">
              <a16:creationId xmlns:a16="http://schemas.microsoft.com/office/drawing/2014/main" id="{00000000-0008-0000-0D00-0000D7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40" name="Text Box 2">
          <a:extLst>
            <a:ext uri="{FF2B5EF4-FFF2-40B4-BE49-F238E27FC236}">
              <a16:creationId xmlns:a16="http://schemas.microsoft.com/office/drawing/2014/main" id="{00000000-0008-0000-0D00-0000D8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41" name="Text Box 2">
          <a:extLst>
            <a:ext uri="{FF2B5EF4-FFF2-40B4-BE49-F238E27FC236}">
              <a16:creationId xmlns:a16="http://schemas.microsoft.com/office/drawing/2014/main" id="{00000000-0008-0000-0D00-0000D9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42" name="Text Box 2">
          <a:extLst>
            <a:ext uri="{FF2B5EF4-FFF2-40B4-BE49-F238E27FC236}">
              <a16:creationId xmlns:a16="http://schemas.microsoft.com/office/drawing/2014/main" id="{00000000-0008-0000-0D00-0000DA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43" name="Text Box 2">
          <a:extLst>
            <a:ext uri="{FF2B5EF4-FFF2-40B4-BE49-F238E27FC236}">
              <a16:creationId xmlns:a16="http://schemas.microsoft.com/office/drawing/2014/main" id="{00000000-0008-0000-0D00-0000DB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44" name="Text Box 2">
          <a:extLst>
            <a:ext uri="{FF2B5EF4-FFF2-40B4-BE49-F238E27FC236}">
              <a16:creationId xmlns:a16="http://schemas.microsoft.com/office/drawing/2014/main" id="{00000000-0008-0000-0D00-0000DC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45" name="Text Box 2">
          <a:extLst>
            <a:ext uri="{FF2B5EF4-FFF2-40B4-BE49-F238E27FC236}">
              <a16:creationId xmlns:a16="http://schemas.microsoft.com/office/drawing/2014/main" id="{00000000-0008-0000-0D00-0000DD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46" name="Text Box 2">
          <a:extLst>
            <a:ext uri="{FF2B5EF4-FFF2-40B4-BE49-F238E27FC236}">
              <a16:creationId xmlns:a16="http://schemas.microsoft.com/office/drawing/2014/main" id="{00000000-0008-0000-0D00-0000DE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47" name="Text Box 2">
          <a:extLst>
            <a:ext uri="{FF2B5EF4-FFF2-40B4-BE49-F238E27FC236}">
              <a16:creationId xmlns:a16="http://schemas.microsoft.com/office/drawing/2014/main" id="{00000000-0008-0000-0D00-0000DF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48" name="Text Box 2">
          <a:extLst>
            <a:ext uri="{FF2B5EF4-FFF2-40B4-BE49-F238E27FC236}">
              <a16:creationId xmlns:a16="http://schemas.microsoft.com/office/drawing/2014/main" id="{00000000-0008-0000-0D00-0000E0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49" name="Text Box 2">
          <a:extLst>
            <a:ext uri="{FF2B5EF4-FFF2-40B4-BE49-F238E27FC236}">
              <a16:creationId xmlns:a16="http://schemas.microsoft.com/office/drawing/2014/main" id="{00000000-0008-0000-0D00-0000E1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50" name="Text Box 2">
          <a:extLst>
            <a:ext uri="{FF2B5EF4-FFF2-40B4-BE49-F238E27FC236}">
              <a16:creationId xmlns:a16="http://schemas.microsoft.com/office/drawing/2014/main" id="{00000000-0008-0000-0D00-0000E2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51" name="Text Box 2">
          <a:extLst>
            <a:ext uri="{FF2B5EF4-FFF2-40B4-BE49-F238E27FC236}">
              <a16:creationId xmlns:a16="http://schemas.microsoft.com/office/drawing/2014/main" id="{00000000-0008-0000-0D00-0000E3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52" name="Text Box 2">
          <a:extLst>
            <a:ext uri="{FF2B5EF4-FFF2-40B4-BE49-F238E27FC236}">
              <a16:creationId xmlns:a16="http://schemas.microsoft.com/office/drawing/2014/main" id="{00000000-0008-0000-0D00-0000E4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53" name="Text Box 2">
          <a:extLst>
            <a:ext uri="{FF2B5EF4-FFF2-40B4-BE49-F238E27FC236}">
              <a16:creationId xmlns:a16="http://schemas.microsoft.com/office/drawing/2014/main" id="{00000000-0008-0000-0D00-0000E5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54" name="Text Box 2">
          <a:extLst>
            <a:ext uri="{FF2B5EF4-FFF2-40B4-BE49-F238E27FC236}">
              <a16:creationId xmlns:a16="http://schemas.microsoft.com/office/drawing/2014/main" id="{00000000-0008-0000-0D00-0000E6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55" name="Text Box 2">
          <a:extLst>
            <a:ext uri="{FF2B5EF4-FFF2-40B4-BE49-F238E27FC236}">
              <a16:creationId xmlns:a16="http://schemas.microsoft.com/office/drawing/2014/main" id="{00000000-0008-0000-0D00-0000E7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56" name="Text Box 2">
          <a:extLst>
            <a:ext uri="{FF2B5EF4-FFF2-40B4-BE49-F238E27FC236}">
              <a16:creationId xmlns:a16="http://schemas.microsoft.com/office/drawing/2014/main" id="{00000000-0008-0000-0D00-0000E8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57" name="Text Box 2">
          <a:extLst>
            <a:ext uri="{FF2B5EF4-FFF2-40B4-BE49-F238E27FC236}">
              <a16:creationId xmlns:a16="http://schemas.microsoft.com/office/drawing/2014/main" id="{00000000-0008-0000-0D00-0000E9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58" name="Text Box 2">
          <a:extLst>
            <a:ext uri="{FF2B5EF4-FFF2-40B4-BE49-F238E27FC236}">
              <a16:creationId xmlns:a16="http://schemas.microsoft.com/office/drawing/2014/main" id="{00000000-0008-0000-0D00-0000EA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59" name="Text Box 2">
          <a:extLst>
            <a:ext uri="{FF2B5EF4-FFF2-40B4-BE49-F238E27FC236}">
              <a16:creationId xmlns:a16="http://schemas.microsoft.com/office/drawing/2014/main" id="{00000000-0008-0000-0D00-0000EB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60" name="Text Box 2">
          <a:extLst>
            <a:ext uri="{FF2B5EF4-FFF2-40B4-BE49-F238E27FC236}">
              <a16:creationId xmlns:a16="http://schemas.microsoft.com/office/drawing/2014/main" id="{00000000-0008-0000-0D00-0000EC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61" name="Text Box 2">
          <a:extLst>
            <a:ext uri="{FF2B5EF4-FFF2-40B4-BE49-F238E27FC236}">
              <a16:creationId xmlns:a16="http://schemas.microsoft.com/office/drawing/2014/main" id="{00000000-0008-0000-0D00-0000ED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62" name="Text Box 2">
          <a:extLst>
            <a:ext uri="{FF2B5EF4-FFF2-40B4-BE49-F238E27FC236}">
              <a16:creationId xmlns:a16="http://schemas.microsoft.com/office/drawing/2014/main" id="{00000000-0008-0000-0D00-0000EE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63" name="Text Box 2">
          <a:extLst>
            <a:ext uri="{FF2B5EF4-FFF2-40B4-BE49-F238E27FC236}">
              <a16:creationId xmlns:a16="http://schemas.microsoft.com/office/drawing/2014/main" id="{00000000-0008-0000-0D00-0000EF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64" name="Text Box 2">
          <a:extLst>
            <a:ext uri="{FF2B5EF4-FFF2-40B4-BE49-F238E27FC236}">
              <a16:creationId xmlns:a16="http://schemas.microsoft.com/office/drawing/2014/main" id="{00000000-0008-0000-0D00-0000F0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65" name="Text Box 2">
          <a:extLst>
            <a:ext uri="{FF2B5EF4-FFF2-40B4-BE49-F238E27FC236}">
              <a16:creationId xmlns:a16="http://schemas.microsoft.com/office/drawing/2014/main" id="{00000000-0008-0000-0D00-0000F1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66" name="Text Box 2">
          <a:extLst>
            <a:ext uri="{FF2B5EF4-FFF2-40B4-BE49-F238E27FC236}">
              <a16:creationId xmlns:a16="http://schemas.microsoft.com/office/drawing/2014/main" id="{00000000-0008-0000-0D00-0000F2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67" name="Text Box 2">
          <a:extLst>
            <a:ext uri="{FF2B5EF4-FFF2-40B4-BE49-F238E27FC236}">
              <a16:creationId xmlns:a16="http://schemas.microsoft.com/office/drawing/2014/main" id="{00000000-0008-0000-0D00-0000F3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68" name="Text Box 2">
          <a:extLst>
            <a:ext uri="{FF2B5EF4-FFF2-40B4-BE49-F238E27FC236}">
              <a16:creationId xmlns:a16="http://schemas.microsoft.com/office/drawing/2014/main" id="{00000000-0008-0000-0D00-0000F4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69" name="Text Box 2">
          <a:extLst>
            <a:ext uri="{FF2B5EF4-FFF2-40B4-BE49-F238E27FC236}">
              <a16:creationId xmlns:a16="http://schemas.microsoft.com/office/drawing/2014/main" id="{00000000-0008-0000-0D00-0000F5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70" name="Text Box 2">
          <a:extLst>
            <a:ext uri="{FF2B5EF4-FFF2-40B4-BE49-F238E27FC236}">
              <a16:creationId xmlns:a16="http://schemas.microsoft.com/office/drawing/2014/main" id="{00000000-0008-0000-0D00-0000F6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71" name="Text Box 2">
          <a:extLst>
            <a:ext uri="{FF2B5EF4-FFF2-40B4-BE49-F238E27FC236}">
              <a16:creationId xmlns:a16="http://schemas.microsoft.com/office/drawing/2014/main" id="{00000000-0008-0000-0D00-0000F7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72" name="Text Box 2">
          <a:extLst>
            <a:ext uri="{FF2B5EF4-FFF2-40B4-BE49-F238E27FC236}">
              <a16:creationId xmlns:a16="http://schemas.microsoft.com/office/drawing/2014/main" id="{00000000-0008-0000-0D00-0000F804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273" name="Text Box 2">
          <a:extLst>
            <a:ext uri="{FF2B5EF4-FFF2-40B4-BE49-F238E27FC236}">
              <a16:creationId xmlns:a16="http://schemas.microsoft.com/office/drawing/2014/main" id="{00000000-0008-0000-0D00-0000F904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274" name="Text Box 2">
          <a:extLst>
            <a:ext uri="{FF2B5EF4-FFF2-40B4-BE49-F238E27FC236}">
              <a16:creationId xmlns:a16="http://schemas.microsoft.com/office/drawing/2014/main" id="{00000000-0008-0000-0D00-0000FA04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275" name="Text Box 2">
          <a:extLst>
            <a:ext uri="{FF2B5EF4-FFF2-40B4-BE49-F238E27FC236}">
              <a16:creationId xmlns:a16="http://schemas.microsoft.com/office/drawing/2014/main" id="{00000000-0008-0000-0D00-0000FB04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276" name="Text Box 2">
          <a:extLst>
            <a:ext uri="{FF2B5EF4-FFF2-40B4-BE49-F238E27FC236}">
              <a16:creationId xmlns:a16="http://schemas.microsoft.com/office/drawing/2014/main" id="{00000000-0008-0000-0D00-0000FC04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277" name="Text Box 2">
          <a:extLst>
            <a:ext uri="{FF2B5EF4-FFF2-40B4-BE49-F238E27FC236}">
              <a16:creationId xmlns:a16="http://schemas.microsoft.com/office/drawing/2014/main" id="{00000000-0008-0000-0D00-0000FD04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278" name="Text Box 2">
          <a:extLst>
            <a:ext uri="{FF2B5EF4-FFF2-40B4-BE49-F238E27FC236}">
              <a16:creationId xmlns:a16="http://schemas.microsoft.com/office/drawing/2014/main" id="{00000000-0008-0000-0D00-0000FE04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279" name="Text Box 2">
          <a:extLst>
            <a:ext uri="{FF2B5EF4-FFF2-40B4-BE49-F238E27FC236}">
              <a16:creationId xmlns:a16="http://schemas.microsoft.com/office/drawing/2014/main" id="{00000000-0008-0000-0D00-0000FF04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280" name="Text Box 2">
          <a:extLst>
            <a:ext uri="{FF2B5EF4-FFF2-40B4-BE49-F238E27FC236}">
              <a16:creationId xmlns:a16="http://schemas.microsoft.com/office/drawing/2014/main" id="{00000000-0008-0000-0D00-00000005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281" name="Text Box 2">
          <a:extLst>
            <a:ext uri="{FF2B5EF4-FFF2-40B4-BE49-F238E27FC236}">
              <a16:creationId xmlns:a16="http://schemas.microsoft.com/office/drawing/2014/main" id="{00000000-0008-0000-0D00-00000105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282" name="Text Box 2">
          <a:extLst>
            <a:ext uri="{FF2B5EF4-FFF2-40B4-BE49-F238E27FC236}">
              <a16:creationId xmlns:a16="http://schemas.microsoft.com/office/drawing/2014/main" id="{00000000-0008-0000-0D00-00000205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283" name="Text Box 2">
          <a:extLst>
            <a:ext uri="{FF2B5EF4-FFF2-40B4-BE49-F238E27FC236}">
              <a16:creationId xmlns:a16="http://schemas.microsoft.com/office/drawing/2014/main" id="{00000000-0008-0000-0D00-00000305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284" name="Text Box 2">
          <a:extLst>
            <a:ext uri="{FF2B5EF4-FFF2-40B4-BE49-F238E27FC236}">
              <a16:creationId xmlns:a16="http://schemas.microsoft.com/office/drawing/2014/main" id="{00000000-0008-0000-0D00-00000405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85" name="Text Box 2">
          <a:extLst>
            <a:ext uri="{FF2B5EF4-FFF2-40B4-BE49-F238E27FC236}">
              <a16:creationId xmlns:a16="http://schemas.microsoft.com/office/drawing/2014/main" id="{00000000-0008-0000-0D00-000005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86" name="Text Box 2">
          <a:extLst>
            <a:ext uri="{FF2B5EF4-FFF2-40B4-BE49-F238E27FC236}">
              <a16:creationId xmlns:a16="http://schemas.microsoft.com/office/drawing/2014/main" id="{00000000-0008-0000-0D00-000006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87" name="Text Box 2">
          <a:extLst>
            <a:ext uri="{FF2B5EF4-FFF2-40B4-BE49-F238E27FC236}">
              <a16:creationId xmlns:a16="http://schemas.microsoft.com/office/drawing/2014/main" id="{00000000-0008-0000-0D00-000007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88" name="Text Box 2">
          <a:extLst>
            <a:ext uri="{FF2B5EF4-FFF2-40B4-BE49-F238E27FC236}">
              <a16:creationId xmlns:a16="http://schemas.microsoft.com/office/drawing/2014/main" id="{00000000-0008-0000-0D00-000008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89" name="Text Box 2">
          <a:extLst>
            <a:ext uri="{FF2B5EF4-FFF2-40B4-BE49-F238E27FC236}">
              <a16:creationId xmlns:a16="http://schemas.microsoft.com/office/drawing/2014/main" id="{00000000-0008-0000-0D00-000009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90" name="Text Box 2">
          <a:extLst>
            <a:ext uri="{FF2B5EF4-FFF2-40B4-BE49-F238E27FC236}">
              <a16:creationId xmlns:a16="http://schemas.microsoft.com/office/drawing/2014/main" id="{00000000-0008-0000-0D00-00000A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91" name="Text Box 2">
          <a:extLst>
            <a:ext uri="{FF2B5EF4-FFF2-40B4-BE49-F238E27FC236}">
              <a16:creationId xmlns:a16="http://schemas.microsoft.com/office/drawing/2014/main" id="{00000000-0008-0000-0D00-00000B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92" name="Text Box 2">
          <a:extLst>
            <a:ext uri="{FF2B5EF4-FFF2-40B4-BE49-F238E27FC236}">
              <a16:creationId xmlns:a16="http://schemas.microsoft.com/office/drawing/2014/main" id="{00000000-0008-0000-0D00-00000C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93" name="Text Box 2">
          <a:extLst>
            <a:ext uri="{FF2B5EF4-FFF2-40B4-BE49-F238E27FC236}">
              <a16:creationId xmlns:a16="http://schemas.microsoft.com/office/drawing/2014/main" id="{00000000-0008-0000-0D00-00000D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94" name="Text Box 2">
          <a:extLst>
            <a:ext uri="{FF2B5EF4-FFF2-40B4-BE49-F238E27FC236}">
              <a16:creationId xmlns:a16="http://schemas.microsoft.com/office/drawing/2014/main" id="{00000000-0008-0000-0D00-00000E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95" name="Text Box 2">
          <a:extLst>
            <a:ext uri="{FF2B5EF4-FFF2-40B4-BE49-F238E27FC236}">
              <a16:creationId xmlns:a16="http://schemas.microsoft.com/office/drawing/2014/main" id="{00000000-0008-0000-0D00-00000F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96" name="Text Box 2">
          <a:extLst>
            <a:ext uri="{FF2B5EF4-FFF2-40B4-BE49-F238E27FC236}">
              <a16:creationId xmlns:a16="http://schemas.microsoft.com/office/drawing/2014/main" id="{00000000-0008-0000-0D00-000010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97" name="Text Box 2">
          <a:extLst>
            <a:ext uri="{FF2B5EF4-FFF2-40B4-BE49-F238E27FC236}">
              <a16:creationId xmlns:a16="http://schemas.microsoft.com/office/drawing/2014/main" id="{00000000-0008-0000-0D00-000011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98" name="Text Box 2">
          <a:extLst>
            <a:ext uri="{FF2B5EF4-FFF2-40B4-BE49-F238E27FC236}">
              <a16:creationId xmlns:a16="http://schemas.microsoft.com/office/drawing/2014/main" id="{00000000-0008-0000-0D00-000012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299" name="Text Box 2">
          <a:extLst>
            <a:ext uri="{FF2B5EF4-FFF2-40B4-BE49-F238E27FC236}">
              <a16:creationId xmlns:a16="http://schemas.microsoft.com/office/drawing/2014/main" id="{00000000-0008-0000-0D00-000013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00" name="Text Box 2">
          <a:extLst>
            <a:ext uri="{FF2B5EF4-FFF2-40B4-BE49-F238E27FC236}">
              <a16:creationId xmlns:a16="http://schemas.microsoft.com/office/drawing/2014/main" id="{00000000-0008-0000-0D00-000014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01" name="Text Box 2">
          <a:extLst>
            <a:ext uri="{FF2B5EF4-FFF2-40B4-BE49-F238E27FC236}">
              <a16:creationId xmlns:a16="http://schemas.microsoft.com/office/drawing/2014/main" id="{00000000-0008-0000-0D00-000015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02" name="Text Box 2">
          <a:extLst>
            <a:ext uri="{FF2B5EF4-FFF2-40B4-BE49-F238E27FC236}">
              <a16:creationId xmlns:a16="http://schemas.microsoft.com/office/drawing/2014/main" id="{00000000-0008-0000-0D00-000016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03" name="Text Box 2">
          <a:extLst>
            <a:ext uri="{FF2B5EF4-FFF2-40B4-BE49-F238E27FC236}">
              <a16:creationId xmlns:a16="http://schemas.microsoft.com/office/drawing/2014/main" id="{00000000-0008-0000-0D00-000017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04" name="Text Box 2">
          <a:extLst>
            <a:ext uri="{FF2B5EF4-FFF2-40B4-BE49-F238E27FC236}">
              <a16:creationId xmlns:a16="http://schemas.microsoft.com/office/drawing/2014/main" id="{00000000-0008-0000-0D00-000018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05" name="Text Box 2">
          <a:extLst>
            <a:ext uri="{FF2B5EF4-FFF2-40B4-BE49-F238E27FC236}">
              <a16:creationId xmlns:a16="http://schemas.microsoft.com/office/drawing/2014/main" id="{00000000-0008-0000-0D00-000019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06" name="Text Box 2">
          <a:extLst>
            <a:ext uri="{FF2B5EF4-FFF2-40B4-BE49-F238E27FC236}">
              <a16:creationId xmlns:a16="http://schemas.microsoft.com/office/drawing/2014/main" id="{00000000-0008-0000-0D00-00001A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07" name="Text Box 2">
          <a:extLst>
            <a:ext uri="{FF2B5EF4-FFF2-40B4-BE49-F238E27FC236}">
              <a16:creationId xmlns:a16="http://schemas.microsoft.com/office/drawing/2014/main" id="{00000000-0008-0000-0D00-00001B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08" name="Text Box 2">
          <a:extLst>
            <a:ext uri="{FF2B5EF4-FFF2-40B4-BE49-F238E27FC236}">
              <a16:creationId xmlns:a16="http://schemas.microsoft.com/office/drawing/2014/main" id="{00000000-0008-0000-0D00-00001C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09" name="Text Box 2">
          <a:extLst>
            <a:ext uri="{FF2B5EF4-FFF2-40B4-BE49-F238E27FC236}">
              <a16:creationId xmlns:a16="http://schemas.microsoft.com/office/drawing/2014/main" id="{00000000-0008-0000-0D00-00001D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10" name="Text Box 2">
          <a:extLst>
            <a:ext uri="{FF2B5EF4-FFF2-40B4-BE49-F238E27FC236}">
              <a16:creationId xmlns:a16="http://schemas.microsoft.com/office/drawing/2014/main" id="{00000000-0008-0000-0D00-00001E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11" name="Text Box 2">
          <a:extLst>
            <a:ext uri="{FF2B5EF4-FFF2-40B4-BE49-F238E27FC236}">
              <a16:creationId xmlns:a16="http://schemas.microsoft.com/office/drawing/2014/main" id="{00000000-0008-0000-0D00-00001F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12" name="Text Box 2">
          <a:extLst>
            <a:ext uri="{FF2B5EF4-FFF2-40B4-BE49-F238E27FC236}">
              <a16:creationId xmlns:a16="http://schemas.microsoft.com/office/drawing/2014/main" id="{00000000-0008-0000-0D00-000020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13" name="Text Box 2">
          <a:extLst>
            <a:ext uri="{FF2B5EF4-FFF2-40B4-BE49-F238E27FC236}">
              <a16:creationId xmlns:a16="http://schemas.microsoft.com/office/drawing/2014/main" id="{00000000-0008-0000-0D00-000021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14" name="Text Box 2">
          <a:extLst>
            <a:ext uri="{FF2B5EF4-FFF2-40B4-BE49-F238E27FC236}">
              <a16:creationId xmlns:a16="http://schemas.microsoft.com/office/drawing/2014/main" id="{00000000-0008-0000-0D00-000022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15" name="Text Box 2">
          <a:extLst>
            <a:ext uri="{FF2B5EF4-FFF2-40B4-BE49-F238E27FC236}">
              <a16:creationId xmlns:a16="http://schemas.microsoft.com/office/drawing/2014/main" id="{00000000-0008-0000-0D00-000023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16" name="Text Box 2">
          <a:extLst>
            <a:ext uri="{FF2B5EF4-FFF2-40B4-BE49-F238E27FC236}">
              <a16:creationId xmlns:a16="http://schemas.microsoft.com/office/drawing/2014/main" id="{00000000-0008-0000-0D00-000024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17" name="Text Box 2">
          <a:extLst>
            <a:ext uri="{FF2B5EF4-FFF2-40B4-BE49-F238E27FC236}">
              <a16:creationId xmlns:a16="http://schemas.microsoft.com/office/drawing/2014/main" id="{00000000-0008-0000-0D00-000025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18" name="Text Box 2">
          <a:extLst>
            <a:ext uri="{FF2B5EF4-FFF2-40B4-BE49-F238E27FC236}">
              <a16:creationId xmlns:a16="http://schemas.microsoft.com/office/drawing/2014/main" id="{00000000-0008-0000-0D00-000026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19" name="Text Box 2">
          <a:extLst>
            <a:ext uri="{FF2B5EF4-FFF2-40B4-BE49-F238E27FC236}">
              <a16:creationId xmlns:a16="http://schemas.microsoft.com/office/drawing/2014/main" id="{00000000-0008-0000-0D00-000027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20" name="Text Box 2">
          <a:extLst>
            <a:ext uri="{FF2B5EF4-FFF2-40B4-BE49-F238E27FC236}">
              <a16:creationId xmlns:a16="http://schemas.microsoft.com/office/drawing/2014/main" id="{00000000-0008-0000-0D00-000028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21" name="Text Box 2">
          <a:extLst>
            <a:ext uri="{FF2B5EF4-FFF2-40B4-BE49-F238E27FC236}">
              <a16:creationId xmlns:a16="http://schemas.microsoft.com/office/drawing/2014/main" id="{00000000-0008-0000-0D00-000029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22" name="Text Box 2">
          <a:extLst>
            <a:ext uri="{FF2B5EF4-FFF2-40B4-BE49-F238E27FC236}">
              <a16:creationId xmlns:a16="http://schemas.microsoft.com/office/drawing/2014/main" id="{00000000-0008-0000-0D00-00002A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23" name="Text Box 2">
          <a:extLst>
            <a:ext uri="{FF2B5EF4-FFF2-40B4-BE49-F238E27FC236}">
              <a16:creationId xmlns:a16="http://schemas.microsoft.com/office/drawing/2014/main" id="{00000000-0008-0000-0D00-00002B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24" name="Text Box 2">
          <a:extLst>
            <a:ext uri="{FF2B5EF4-FFF2-40B4-BE49-F238E27FC236}">
              <a16:creationId xmlns:a16="http://schemas.microsoft.com/office/drawing/2014/main" id="{00000000-0008-0000-0D00-00002C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25" name="Text Box 2">
          <a:extLst>
            <a:ext uri="{FF2B5EF4-FFF2-40B4-BE49-F238E27FC236}">
              <a16:creationId xmlns:a16="http://schemas.microsoft.com/office/drawing/2014/main" id="{00000000-0008-0000-0D00-00002D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26" name="Text Box 2">
          <a:extLst>
            <a:ext uri="{FF2B5EF4-FFF2-40B4-BE49-F238E27FC236}">
              <a16:creationId xmlns:a16="http://schemas.microsoft.com/office/drawing/2014/main" id="{00000000-0008-0000-0D00-00002E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27" name="Text Box 2">
          <a:extLst>
            <a:ext uri="{FF2B5EF4-FFF2-40B4-BE49-F238E27FC236}">
              <a16:creationId xmlns:a16="http://schemas.microsoft.com/office/drawing/2014/main" id="{00000000-0008-0000-0D00-00002F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28" name="Text Box 2">
          <a:extLst>
            <a:ext uri="{FF2B5EF4-FFF2-40B4-BE49-F238E27FC236}">
              <a16:creationId xmlns:a16="http://schemas.microsoft.com/office/drawing/2014/main" id="{00000000-0008-0000-0D00-000030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29" name="Text Box 2">
          <a:extLst>
            <a:ext uri="{FF2B5EF4-FFF2-40B4-BE49-F238E27FC236}">
              <a16:creationId xmlns:a16="http://schemas.microsoft.com/office/drawing/2014/main" id="{00000000-0008-0000-0D00-000031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30" name="Text Box 2">
          <a:extLst>
            <a:ext uri="{FF2B5EF4-FFF2-40B4-BE49-F238E27FC236}">
              <a16:creationId xmlns:a16="http://schemas.microsoft.com/office/drawing/2014/main" id="{00000000-0008-0000-0D00-000032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31" name="Text Box 2">
          <a:extLst>
            <a:ext uri="{FF2B5EF4-FFF2-40B4-BE49-F238E27FC236}">
              <a16:creationId xmlns:a16="http://schemas.microsoft.com/office/drawing/2014/main" id="{00000000-0008-0000-0D00-000033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32" name="Text Box 2">
          <a:extLst>
            <a:ext uri="{FF2B5EF4-FFF2-40B4-BE49-F238E27FC236}">
              <a16:creationId xmlns:a16="http://schemas.microsoft.com/office/drawing/2014/main" id="{00000000-0008-0000-0D00-000034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33" name="Text Box 2">
          <a:extLst>
            <a:ext uri="{FF2B5EF4-FFF2-40B4-BE49-F238E27FC236}">
              <a16:creationId xmlns:a16="http://schemas.microsoft.com/office/drawing/2014/main" id="{00000000-0008-0000-0D00-000035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34" name="Text Box 2">
          <a:extLst>
            <a:ext uri="{FF2B5EF4-FFF2-40B4-BE49-F238E27FC236}">
              <a16:creationId xmlns:a16="http://schemas.microsoft.com/office/drawing/2014/main" id="{00000000-0008-0000-0D00-000036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35" name="Text Box 2">
          <a:extLst>
            <a:ext uri="{FF2B5EF4-FFF2-40B4-BE49-F238E27FC236}">
              <a16:creationId xmlns:a16="http://schemas.microsoft.com/office/drawing/2014/main" id="{00000000-0008-0000-0D00-000037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36" name="Text Box 2">
          <a:extLst>
            <a:ext uri="{FF2B5EF4-FFF2-40B4-BE49-F238E27FC236}">
              <a16:creationId xmlns:a16="http://schemas.microsoft.com/office/drawing/2014/main" id="{00000000-0008-0000-0D00-000038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37" name="Text Box 2">
          <a:extLst>
            <a:ext uri="{FF2B5EF4-FFF2-40B4-BE49-F238E27FC236}">
              <a16:creationId xmlns:a16="http://schemas.microsoft.com/office/drawing/2014/main" id="{00000000-0008-0000-0D00-000039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38" name="Text Box 2">
          <a:extLst>
            <a:ext uri="{FF2B5EF4-FFF2-40B4-BE49-F238E27FC236}">
              <a16:creationId xmlns:a16="http://schemas.microsoft.com/office/drawing/2014/main" id="{00000000-0008-0000-0D00-00003A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39" name="Text Box 2">
          <a:extLst>
            <a:ext uri="{FF2B5EF4-FFF2-40B4-BE49-F238E27FC236}">
              <a16:creationId xmlns:a16="http://schemas.microsoft.com/office/drawing/2014/main" id="{00000000-0008-0000-0D00-00003B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40" name="Text Box 2">
          <a:extLst>
            <a:ext uri="{FF2B5EF4-FFF2-40B4-BE49-F238E27FC236}">
              <a16:creationId xmlns:a16="http://schemas.microsoft.com/office/drawing/2014/main" id="{00000000-0008-0000-0D00-00003C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41" name="Text Box 2">
          <a:extLst>
            <a:ext uri="{FF2B5EF4-FFF2-40B4-BE49-F238E27FC236}">
              <a16:creationId xmlns:a16="http://schemas.microsoft.com/office/drawing/2014/main" id="{00000000-0008-0000-0D00-00003D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42" name="Text Box 2">
          <a:extLst>
            <a:ext uri="{FF2B5EF4-FFF2-40B4-BE49-F238E27FC236}">
              <a16:creationId xmlns:a16="http://schemas.microsoft.com/office/drawing/2014/main" id="{00000000-0008-0000-0D00-00003E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43" name="Text Box 2">
          <a:extLst>
            <a:ext uri="{FF2B5EF4-FFF2-40B4-BE49-F238E27FC236}">
              <a16:creationId xmlns:a16="http://schemas.microsoft.com/office/drawing/2014/main" id="{00000000-0008-0000-0D00-00003F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44" name="Text Box 2">
          <a:extLst>
            <a:ext uri="{FF2B5EF4-FFF2-40B4-BE49-F238E27FC236}">
              <a16:creationId xmlns:a16="http://schemas.microsoft.com/office/drawing/2014/main" id="{00000000-0008-0000-0D00-000040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45" name="Text Box 2">
          <a:extLst>
            <a:ext uri="{FF2B5EF4-FFF2-40B4-BE49-F238E27FC236}">
              <a16:creationId xmlns:a16="http://schemas.microsoft.com/office/drawing/2014/main" id="{00000000-0008-0000-0D00-000041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46" name="Text Box 2">
          <a:extLst>
            <a:ext uri="{FF2B5EF4-FFF2-40B4-BE49-F238E27FC236}">
              <a16:creationId xmlns:a16="http://schemas.microsoft.com/office/drawing/2014/main" id="{00000000-0008-0000-0D00-000042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47" name="Text Box 2">
          <a:extLst>
            <a:ext uri="{FF2B5EF4-FFF2-40B4-BE49-F238E27FC236}">
              <a16:creationId xmlns:a16="http://schemas.microsoft.com/office/drawing/2014/main" id="{00000000-0008-0000-0D00-000043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48" name="Text Box 2">
          <a:extLst>
            <a:ext uri="{FF2B5EF4-FFF2-40B4-BE49-F238E27FC236}">
              <a16:creationId xmlns:a16="http://schemas.microsoft.com/office/drawing/2014/main" id="{00000000-0008-0000-0D00-000044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49" name="Text Box 2">
          <a:extLst>
            <a:ext uri="{FF2B5EF4-FFF2-40B4-BE49-F238E27FC236}">
              <a16:creationId xmlns:a16="http://schemas.microsoft.com/office/drawing/2014/main" id="{00000000-0008-0000-0D00-000045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50" name="Text Box 2">
          <a:extLst>
            <a:ext uri="{FF2B5EF4-FFF2-40B4-BE49-F238E27FC236}">
              <a16:creationId xmlns:a16="http://schemas.microsoft.com/office/drawing/2014/main" id="{00000000-0008-0000-0D00-000046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51" name="Text Box 2">
          <a:extLst>
            <a:ext uri="{FF2B5EF4-FFF2-40B4-BE49-F238E27FC236}">
              <a16:creationId xmlns:a16="http://schemas.microsoft.com/office/drawing/2014/main" id="{00000000-0008-0000-0D00-000047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52" name="Text Box 2">
          <a:extLst>
            <a:ext uri="{FF2B5EF4-FFF2-40B4-BE49-F238E27FC236}">
              <a16:creationId xmlns:a16="http://schemas.microsoft.com/office/drawing/2014/main" id="{00000000-0008-0000-0D00-000048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53" name="Text Box 2">
          <a:extLst>
            <a:ext uri="{FF2B5EF4-FFF2-40B4-BE49-F238E27FC236}">
              <a16:creationId xmlns:a16="http://schemas.microsoft.com/office/drawing/2014/main" id="{00000000-0008-0000-0D00-000049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54" name="Text Box 2">
          <a:extLst>
            <a:ext uri="{FF2B5EF4-FFF2-40B4-BE49-F238E27FC236}">
              <a16:creationId xmlns:a16="http://schemas.microsoft.com/office/drawing/2014/main" id="{00000000-0008-0000-0D00-00004A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55" name="Text Box 2">
          <a:extLst>
            <a:ext uri="{FF2B5EF4-FFF2-40B4-BE49-F238E27FC236}">
              <a16:creationId xmlns:a16="http://schemas.microsoft.com/office/drawing/2014/main" id="{00000000-0008-0000-0D00-00004B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56" name="Text Box 2">
          <a:extLst>
            <a:ext uri="{FF2B5EF4-FFF2-40B4-BE49-F238E27FC236}">
              <a16:creationId xmlns:a16="http://schemas.microsoft.com/office/drawing/2014/main" id="{00000000-0008-0000-0D00-00004C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57" name="Text Box 2">
          <a:extLst>
            <a:ext uri="{FF2B5EF4-FFF2-40B4-BE49-F238E27FC236}">
              <a16:creationId xmlns:a16="http://schemas.microsoft.com/office/drawing/2014/main" id="{00000000-0008-0000-0D00-00004D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58" name="Text Box 2">
          <a:extLst>
            <a:ext uri="{FF2B5EF4-FFF2-40B4-BE49-F238E27FC236}">
              <a16:creationId xmlns:a16="http://schemas.microsoft.com/office/drawing/2014/main" id="{00000000-0008-0000-0D00-00004E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59" name="Text Box 2">
          <a:extLst>
            <a:ext uri="{FF2B5EF4-FFF2-40B4-BE49-F238E27FC236}">
              <a16:creationId xmlns:a16="http://schemas.microsoft.com/office/drawing/2014/main" id="{00000000-0008-0000-0D00-00004F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60" name="Text Box 2">
          <a:extLst>
            <a:ext uri="{FF2B5EF4-FFF2-40B4-BE49-F238E27FC236}">
              <a16:creationId xmlns:a16="http://schemas.microsoft.com/office/drawing/2014/main" id="{00000000-0008-0000-0D00-000050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61" name="Text Box 2">
          <a:extLst>
            <a:ext uri="{FF2B5EF4-FFF2-40B4-BE49-F238E27FC236}">
              <a16:creationId xmlns:a16="http://schemas.microsoft.com/office/drawing/2014/main" id="{00000000-0008-0000-0D00-000051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62" name="Text Box 2">
          <a:extLst>
            <a:ext uri="{FF2B5EF4-FFF2-40B4-BE49-F238E27FC236}">
              <a16:creationId xmlns:a16="http://schemas.microsoft.com/office/drawing/2014/main" id="{00000000-0008-0000-0D00-000052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63" name="Text Box 2">
          <a:extLst>
            <a:ext uri="{FF2B5EF4-FFF2-40B4-BE49-F238E27FC236}">
              <a16:creationId xmlns:a16="http://schemas.microsoft.com/office/drawing/2014/main" id="{00000000-0008-0000-0D00-000053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64" name="Text Box 2">
          <a:extLst>
            <a:ext uri="{FF2B5EF4-FFF2-40B4-BE49-F238E27FC236}">
              <a16:creationId xmlns:a16="http://schemas.microsoft.com/office/drawing/2014/main" id="{00000000-0008-0000-0D00-000054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65" name="Text Box 2">
          <a:extLst>
            <a:ext uri="{FF2B5EF4-FFF2-40B4-BE49-F238E27FC236}">
              <a16:creationId xmlns:a16="http://schemas.microsoft.com/office/drawing/2014/main" id="{00000000-0008-0000-0D00-000055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66" name="Text Box 2">
          <a:extLst>
            <a:ext uri="{FF2B5EF4-FFF2-40B4-BE49-F238E27FC236}">
              <a16:creationId xmlns:a16="http://schemas.microsoft.com/office/drawing/2014/main" id="{00000000-0008-0000-0D00-000056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67" name="Text Box 2">
          <a:extLst>
            <a:ext uri="{FF2B5EF4-FFF2-40B4-BE49-F238E27FC236}">
              <a16:creationId xmlns:a16="http://schemas.microsoft.com/office/drawing/2014/main" id="{00000000-0008-0000-0D00-000057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68" name="Text Box 2">
          <a:extLst>
            <a:ext uri="{FF2B5EF4-FFF2-40B4-BE49-F238E27FC236}">
              <a16:creationId xmlns:a16="http://schemas.microsoft.com/office/drawing/2014/main" id="{00000000-0008-0000-0D00-000058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69" name="Text Box 2">
          <a:extLst>
            <a:ext uri="{FF2B5EF4-FFF2-40B4-BE49-F238E27FC236}">
              <a16:creationId xmlns:a16="http://schemas.microsoft.com/office/drawing/2014/main" id="{00000000-0008-0000-0D00-000059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70" name="Text Box 2">
          <a:extLst>
            <a:ext uri="{FF2B5EF4-FFF2-40B4-BE49-F238E27FC236}">
              <a16:creationId xmlns:a16="http://schemas.microsoft.com/office/drawing/2014/main" id="{00000000-0008-0000-0D00-00005A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71" name="Text Box 2">
          <a:extLst>
            <a:ext uri="{FF2B5EF4-FFF2-40B4-BE49-F238E27FC236}">
              <a16:creationId xmlns:a16="http://schemas.microsoft.com/office/drawing/2014/main" id="{00000000-0008-0000-0D00-00005B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195</xdr:row>
      <xdr:rowOff>158750</xdr:rowOff>
    </xdr:to>
    <xdr:sp macro="" textlink="">
      <xdr:nvSpPr>
        <xdr:cNvPr id="1372" name="Text Box 2">
          <a:extLst>
            <a:ext uri="{FF2B5EF4-FFF2-40B4-BE49-F238E27FC236}">
              <a16:creationId xmlns:a16="http://schemas.microsoft.com/office/drawing/2014/main" id="{00000000-0008-0000-0D00-00005C050000}"/>
            </a:ext>
          </a:extLst>
        </xdr:cNvPr>
        <xdr:cNvSpPr txBox="1">
          <a:spLocks noChangeArrowheads="1"/>
        </xdr:cNvSpPr>
      </xdr:nvSpPr>
      <xdr:spPr bwMode="auto">
        <a:xfrm>
          <a:off x="44815125" y="36871275"/>
          <a:ext cx="95250" cy="158750"/>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73" name="Text Box 2">
          <a:extLst>
            <a:ext uri="{FF2B5EF4-FFF2-40B4-BE49-F238E27FC236}">
              <a16:creationId xmlns:a16="http://schemas.microsoft.com/office/drawing/2014/main" id="{00000000-0008-0000-0D00-00005D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74" name="Text Box 2">
          <a:extLst>
            <a:ext uri="{FF2B5EF4-FFF2-40B4-BE49-F238E27FC236}">
              <a16:creationId xmlns:a16="http://schemas.microsoft.com/office/drawing/2014/main" id="{00000000-0008-0000-0D00-00005E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75" name="Text Box 2">
          <a:extLst>
            <a:ext uri="{FF2B5EF4-FFF2-40B4-BE49-F238E27FC236}">
              <a16:creationId xmlns:a16="http://schemas.microsoft.com/office/drawing/2014/main" id="{00000000-0008-0000-0D00-00005F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76" name="Text Box 2">
          <a:extLst>
            <a:ext uri="{FF2B5EF4-FFF2-40B4-BE49-F238E27FC236}">
              <a16:creationId xmlns:a16="http://schemas.microsoft.com/office/drawing/2014/main" id="{00000000-0008-0000-0D00-000060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77" name="Text Box 2">
          <a:extLst>
            <a:ext uri="{FF2B5EF4-FFF2-40B4-BE49-F238E27FC236}">
              <a16:creationId xmlns:a16="http://schemas.microsoft.com/office/drawing/2014/main" id="{00000000-0008-0000-0D00-000061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78" name="Text Box 2">
          <a:extLst>
            <a:ext uri="{FF2B5EF4-FFF2-40B4-BE49-F238E27FC236}">
              <a16:creationId xmlns:a16="http://schemas.microsoft.com/office/drawing/2014/main" id="{00000000-0008-0000-0D00-000062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79" name="Text Box 2">
          <a:extLst>
            <a:ext uri="{FF2B5EF4-FFF2-40B4-BE49-F238E27FC236}">
              <a16:creationId xmlns:a16="http://schemas.microsoft.com/office/drawing/2014/main" id="{00000000-0008-0000-0D00-000063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80" name="Text Box 2">
          <a:extLst>
            <a:ext uri="{FF2B5EF4-FFF2-40B4-BE49-F238E27FC236}">
              <a16:creationId xmlns:a16="http://schemas.microsoft.com/office/drawing/2014/main" id="{00000000-0008-0000-0D00-000064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81" name="Text Box 2">
          <a:extLst>
            <a:ext uri="{FF2B5EF4-FFF2-40B4-BE49-F238E27FC236}">
              <a16:creationId xmlns:a16="http://schemas.microsoft.com/office/drawing/2014/main" id="{00000000-0008-0000-0D00-000065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82" name="Text Box 2">
          <a:extLst>
            <a:ext uri="{FF2B5EF4-FFF2-40B4-BE49-F238E27FC236}">
              <a16:creationId xmlns:a16="http://schemas.microsoft.com/office/drawing/2014/main" id="{00000000-0008-0000-0D00-000066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83" name="Text Box 2">
          <a:extLst>
            <a:ext uri="{FF2B5EF4-FFF2-40B4-BE49-F238E27FC236}">
              <a16:creationId xmlns:a16="http://schemas.microsoft.com/office/drawing/2014/main" id="{00000000-0008-0000-0D00-000067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84" name="Text Box 2">
          <a:extLst>
            <a:ext uri="{FF2B5EF4-FFF2-40B4-BE49-F238E27FC236}">
              <a16:creationId xmlns:a16="http://schemas.microsoft.com/office/drawing/2014/main" id="{00000000-0008-0000-0D00-000068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85" name="Text Box 2">
          <a:extLst>
            <a:ext uri="{FF2B5EF4-FFF2-40B4-BE49-F238E27FC236}">
              <a16:creationId xmlns:a16="http://schemas.microsoft.com/office/drawing/2014/main" id="{00000000-0008-0000-0D00-000069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86" name="Text Box 2">
          <a:extLst>
            <a:ext uri="{FF2B5EF4-FFF2-40B4-BE49-F238E27FC236}">
              <a16:creationId xmlns:a16="http://schemas.microsoft.com/office/drawing/2014/main" id="{00000000-0008-0000-0D00-00006A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87" name="Text Box 2">
          <a:extLst>
            <a:ext uri="{FF2B5EF4-FFF2-40B4-BE49-F238E27FC236}">
              <a16:creationId xmlns:a16="http://schemas.microsoft.com/office/drawing/2014/main" id="{00000000-0008-0000-0D00-00006B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88" name="Text Box 2">
          <a:extLst>
            <a:ext uri="{FF2B5EF4-FFF2-40B4-BE49-F238E27FC236}">
              <a16:creationId xmlns:a16="http://schemas.microsoft.com/office/drawing/2014/main" id="{00000000-0008-0000-0D00-00006C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89" name="Text Box 2">
          <a:extLst>
            <a:ext uri="{FF2B5EF4-FFF2-40B4-BE49-F238E27FC236}">
              <a16:creationId xmlns:a16="http://schemas.microsoft.com/office/drawing/2014/main" id="{00000000-0008-0000-0D00-00006D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90" name="Text Box 2">
          <a:extLst>
            <a:ext uri="{FF2B5EF4-FFF2-40B4-BE49-F238E27FC236}">
              <a16:creationId xmlns:a16="http://schemas.microsoft.com/office/drawing/2014/main" id="{00000000-0008-0000-0D00-00006E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91" name="Text Box 2">
          <a:extLst>
            <a:ext uri="{FF2B5EF4-FFF2-40B4-BE49-F238E27FC236}">
              <a16:creationId xmlns:a16="http://schemas.microsoft.com/office/drawing/2014/main" id="{00000000-0008-0000-0D00-00006F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92" name="Text Box 2">
          <a:extLst>
            <a:ext uri="{FF2B5EF4-FFF2-40B4-BE49-F238E27FC236}">
              <a16:creationId xmlns:a16="http://schemas.microsoft.com/office/drawing/2014/main" id="{00000000-0008-0000-0D00-000070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93" name="Text Box 2">
          <a:extLst>
            <a:ext uri="{FF2B5EF4-FFF2-40B4-BE49-F238E27FC236}">
              <a16:creationId xmlns:a16="http://schemas.microsoft.com/office/drawing/2014/main" id="{00000000-0008-0000-0D00-000071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94" name="Text Box 2">
          <a:extLst>
            <a:ext uri="{FF2B5EF4-FFF2-40B4-BE49-F238E27FC236}">
              <a16:creationId xmlns:a16="http://schemas.microsoft.com/office/drawing/2014/main" id="{00000000-0008-0000-0D00-000072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95" name="Text Box 2">
          <a:extLst>
            <a:ext uri="{FF2B5EF4-FFF2-40B4-BE49-F238E27FC236}">
              <a16:creationId xmlns:a16="http://schemas.microsoft.com/office/drawing/2014/main" id="{00000000-0008-0000-0D00-000073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96" name="Text Box 2">
          <a:extLst>
            <a:ext uri="{FF2B5EF4-FFF2-40B4-BE49-F238E27FC236}">
              <a16:creationId xmlns:a16="http://schemas.microsoft.com/office/drawing/2014/main" id="{00000000-0008-0000-0D00-000074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97" name="Text Box 2">
          <a:extLst>
            <a:ext uri="{FF2B5EF4-FFF2-40B4-BE49-F238E27FC236}">
              <a16:creationId xmlns:a16="http://schemas.microsoft.com/office/drawing/2014/main" id="{00000000-0008-0000-0D00-000075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98" name="Text Box 2">
          <a:extLst>
            <a:ext uri="{FF2B5EF4-FFF2-40B4-BE49-F238E27FC236}">
              <a16:creationId xmlns:a16="http://schemas.microsoft.com/office/drawing/2014/main" id="{00000000-0008-0000-0D00-000076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399" name="Text Box 2">
          <a:extLst>
            <a:ext uri="{FF2B5EF4-FFF2-40B4-BE49-F238E27FC236}">
              <a16:creationId xmlns:a16="http://schemas.microsoft.com/office/drawing/2014/main" id="{00000000-0008-0000-0D00-000077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00" name="Text Box 2">
          <a:extLst>
            <a:ext uri="{FF2B5EF4-FFF2-40B4-BE49-F238E27FC236}">
              <a16:creationId xmlns:a16="http://schemas.microsoft.com/office/drawing/2014/main" id="{00000000-0008-0000-0D00-000078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01" name="Text Box 2">
          <a:extLst>
            <a:ext uri="{FF2B5EF4-FFF2-40B4-BE49-F238E27FC236}">
              <a16:creationId xmlns:a16="http://schemas.microsoft.com/office/drawing/2014/main" id="{00000000-0008-0000-0D00-000079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197</xdr:row>
      <xdr:rowOff>6125</xdr:rowOff>
    </xdr:to>
    <xdr:sp macro="" textlink="">
      <xdr:nvSpPr>
        <xdr:cNvPr id="1402" name="Text Box 2">
          <a:extLst>
            <a:ext uri="{FF2B5EF4-FFF2-40B4-BE49-F238E27FC236}">
              <a16:creationId xmlns:a16="http://schemas.microsoft.com/office/drawing/2014/main" id="{00000000-0008-0000-0D00-00007A050000}"/>
            </a:ext>
          </a:extLst>
        </xdr:cNvPr>
        <xdr:cNvSpPr txBox="1">
          <a:spLocks noChangeArrowheads="1"/>
        </xdr:cNvSpPr>
      </xdr:nvSpPr>
      <xdr:spPr bwMode="auto">
        <a:xfrm>
          <a:off x="44815125" y="36871275"/>
          <a:ext cx="95250" cy="37623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197</xdr:row>
      <xdr:rowOff>6125</xdr:rowOff>
    </xdr:to>
    <xdr:sp macro="" textlink="">
      <xdr:nvSpPr>
        <xdr:cNvPr id="1403" name="Text Box 2">
          <a:extLst>
            <a:ext uri="{FF2B5EF4-FFF2-40B4-BE49-F238E27FC236}">
              <a16:creationId xmlns:a16="http://schemas.microsoft.com/office/drawing/2014/main" id="{00000000-0008-0000-0D00-00007B050000}"/>
            </a:ext>
          </a:extLst>
        </xdr:cNvPr>
        <xdr:cNvSpPr txBox="1">
          <a:spLocks noChangeArrowheads="1"/>
        </xdr:cNvSpPr>
      </xdr:nvSpPr>
      <xdr:spPr bwMode="auto">
        <a:xfrm>
          <a:off x="44815125" y="36871275"/>
          <a:ext cx="95250" cy="37623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197</xdr:row>
      <xdr:rowOff>6125</xdr:rowOff>
    </xdr:to>
    <xdr:sp macro="" textlink="">
      <xdr:nvSpPr>
        <xdr:cNvPr id="1404" name="Text Box 2">
          <a:extLst>
            <a:ext uri="{FF2B5EF4-FFF2-40B4-BE49-F238E27FC236}">
              <a16:creationId xmlns:a16="http://schemas.microsoft.com/office/drawing/2014/main" id="{00000000-0008-0000-0D00-00007C050000}"/>
            </a:ext>
          </a:extLst>
        </xdr:cNvPr>
        <xdr:cNvSpPr txBox="1">
          <a:spLocks noChangeArrowheads="1"/>
        </xdr:cNvSpPr>
      </xdr:nvSpPr>
      <xdr:spPr bwMode="auto">
        <a:xfrm>
          <a:off x="44815125" y="36871275"/>
          <a:ext cx="95250" cy="37623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197</xdr:row>
      <xdr:rowOff>6125</xdr:rowOff>
    </xdr:to>
    <xdr:sp macro="" textlink="">
      <xdr:nvSpPr>
        <xdr:cNvPr id="1405" name="Text Box 2">
          <a:extLst>
            <a:ext uri="{FF2B5EF4-FFF2-40B4-BE49-F238E27FC236}">
              <a16:creationId xmlns:a16="http://schemas.microsoft.com/office/drawing/2014/main" id="{00000000-0008-0000-0D00-00007D050000}"/>
            </a:ext>
          </a:extLst>
        </xdr:cNvPr>
        <xdr:cNvSpPr txBox="1">
          <a:spLocks noChangeArrowheads="1"/>
        </xdr:cNvSpPr>
      </xdr:nvSpPr>
      <xdr:spPr bwMode="auto">
        <a:xfrm>
          <a:off x="44815125" y="36871275"/>
          <a:ext cx="95250" cy="37623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197</xdr:row>
      <xdr:rowOff>6125</xdr:rowOff>
    </xdr:to>
    <xdr:sp macro="" textlink="">
      <xdr:nvSpPr>
        <xdr:cNvPr id="1406" name="Text Box 2">
          <a:extLst>
            <a:ext uri="{FF2B5EF4-FFF2-40B4-BE49-F238E27FC236}">
              <a16:creationId xmlns:a16="http://schemas.microsoft.com/office/drawing/2014/main" id="{00000000-0008-0000-0D00-00007E050000}"/>
            </a:ext>
          </a:extLst>
        </xdr:cNvPr>
        <xdr:cNvSpPr txBox="1">
          <a:spLocks noChangeArrowheads="1"/>
        </xdr:cNvSpPr>
      </xdr:nvSpPr>
      <xdr:spPr bwMode="auto">
        <a:xfrm>
          <a:off x="44815125" y="36871275"/>
          <a:ext cx="95250" cy="37623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197</xdr:row>
      <xdr:rowOff>6125</xdr:rowOff>
    </xdr:to>
    <xdr:sp macro="" textlink="">
      <xdr:nvSpPr>
        <xdr:cNvPr id="1407" name="Text Box 2">
          <a:extLst>
            <a:ext uri="{FF2B5EF4-FFF2-40B4-BE49-F238E27FC236}">
              <a16:creationId xmlns:a16="http://schemas.microsoft.com/office/drawing/2014/main" id="{00000000-0008-0000-0D00-00007F050000}"/>
            </a:ext>
          </a:extLst>
        </xdr:cNvPr>
        <xdr:cNvSpPr txBox="1">
          <a:spLocks noChangeArrowheads="1"/>
        </xdr:cNvSpPr>
      </xdr:nvSpPr>
      <xdr:spPr bwMode="auto">
        <a:xfrm>
          <a:off x="44815125" y="36871275"/>
          <a:ext cx="95250" cy="37623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197</xdr:row>
      <xdr:rowOff>6125</xdr:rowOff>
    </xdr:to>
    <xdr:sp macro="" textlink="">
      <xdr:nvSpPr>
        <xdr:cNvPr id="1408" name="Text Box 2">
          <a:extLst>
            <a:ext uri="{FF2B5EF4-FFF2-40B4-BE49-F238E27FC236}">
              <a16:creationId xmlns:a16="http://schemas.microsoft.com/office/drawing/2014/main" id="{00000000-0008-0000-0D00-000080050000}"/>
            </a:ext>
          </a:extLst>
        </xdr:cNvPr>
        <xdr:cNvSpPr txBox="1">
          <a:spLocks noChangeArrowheads="1"/>
        </xdr:cNvSpPr>
      </xdr:nvSpPr>
      <xdr:spPr bwMode="auto">
        <a:xfrm>
          <a:off x="44815125" y="36871275"/>
          <a:ext cx="95250" cy="37623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103867</xdr:rowOff>
    </xdr:to>
    <xdr:sp macro="" textlink="">
      <xdr:nvSpPr>
        <xdr:cNvPr id="1409" name="Text Box 2">
          <a:extLst>
            <a:ext uri="{FF2B5EF4-FFF2-40B4-BE49-F238E27FC236}">
              <a16:creationId xmlns:a16="http://schemas.microsoft.com/office/drawing/2014/main" id="{00000000-0008-0000-0D00-000081050000}"/>
            </a:ext>
          </a:extLst>
        </xdr:cNvPr>
        <xdr:cNvSpPr txBox="1">
          <a:spLocks noChangeArrowheads="1"/>
        </xdr:cNvSpPr>
      </xdr:nvSpPr>
      <xdr:spPr bwMode="auto">
        <a:xfrm>
          <a:off x="44815125" y="36871275"/>
          <a:ext cx="95250" cy="288924"/>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103867</xdr:rowOff>
    </xdr:to>
    <xdr:sp macro="" textlink="">
      <xdr:nvSpPr>
        <xdr:cNvPr id="1410" name="Text Box 2">
          <a:extLst>
            <a:ext uri="{FF2B5EF4-FFF2-40B4-BE49-F238E27FC236}">
              <a16:creationId xmlns:a16="http://schemas.microsoft.com/office/drawing/2014/main" id="{00000000-0008-0000-0D00-000082050000}"/>
            </a:ext>
          </a:extLst>
        </xdr:cNvPr>
        <xdr:cNvSpPr txBox="1">
          <a:spLocks noChangeArrowheads="1"/>
        </xdr:cNvSpPr>
      </xdr:nvSpPr>
      <xdr:spPr bwMode="auto">
        <a:xfrm>
          <a:off x="44815125" y="36871275"/>
          <a:ext cx="95250" cy="288924"/>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11" name="Text Box 2">
          <a:extLst>
            <a:ext uri="{FF2B5EF4-FFF2-40B4-BE49-F238E27FC236}">
              <a16:creationId xmlns:a16="http://schemas.microsoft.com/office/drawing/2014/main" id="{00000000-0008-0000-0D00-00008305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197</xdr:row>
      <xdr:rowOff>6125</xdr:rowOff>
    </xdr:to>
    <xdr:sp macro="" textlink="">
      <xdr:nvSpPr>
        <xdr:cNvPr id="1412" name="Text Box 2">
          <a:extLst>
            <a:ext uri="{FF2B5EF4-FFF2-40B4-BE49-F238E27FC236}">
              <a16:creationId xmlns:a16="http://schemas.microsoft.com/office/drawing/2014/main" id="{00000000-0008-0000-0D00-000084050000}"/>
            </a:ext>
          </a:extLst>
        </xdr:cNvPr>
        <xdr:cNvSpPr txBox="1">
          <a:spLocks noChangeArrowheads="1"/>
        </xdr:cNvSpPr>
      </xdr:nvSpPr>
      <xdr:spPr bwMode="auto">
        <a:xfrm>
          <a:off x="44815125" y="36871275"/>
          <a:ext cx="95250" cy="37623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13" name="Text Box 2">
          <a:extLst>
            <a:ext uri="{FF2B5EF4-FFF2-40B4-BE49-F238E27FC236}">
              <a16:creationId xmlns:a16="http://schemas.microsoft.com/office/drawing/2014/main" id="{00000000-0008-0000-0D00-00008505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14" name="Text Box 2">
          <a:extLst>
            <a:ext uri="{FF2B5EF4-FFF2-40B4-BE49-F238E27FC236}">
              <a16:creationId xmlns:a16="http://schemas.microsoft.com/office/drawing/2014/main" id="{00000000-0008-0000-0D00-00008605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197</xdr:row>
      <xdr:rowOff>6125</xdr:rowOff>
    </xdr:to>
    <xdr:sp macro="" textlink="">
      <xdr:nvSpPr>
        <xdr:cNvPr id="1415" name="Text Box 2">
          <a:extLst>
            <a:ext uri="{FF2B5EF4-FFF2-40B4-BE49-F238E27FC236}">
              <a16:creationId xmlns:a16="http://schemas.microsoft.com/office/drawing/2014/main" id="{00000000-0008-0000-0D00-000087050000}"/>
            </a:ext>
          </a:extLst>
        </xdr:cNvPr>
        <xdr:cNvSpPr txBox="1">
          <a:spLocks noChangeArrowheads="1"/>
        </xdr:cNvSpPr>
      </xdr:nvSpPr>
      <xdr:spPr bwMode="auto">
        <a:xfrm>
          <a:off x="44815125" y="36871275"/>
          <a:ext cx="95250" cy="37623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103867</xdr:rowOff>
    </xdr:to>
    <xdr:sp macro="" textlink="">
      <xdr:nvSpPr>
        <xdr:cNvPr id="1416" name="Text Box 2">
          <a:extLst>
            <a:ext uri="{FF2B5EF4-FFF2-40B4-BE49-F238E27FC236}">
              <a16:creationId xmlns:a16="http://schemas.microsoft.com/office/drawing/2014/main" id="{00000000-0008-0000-0D00-000088050000}"/>
            </a:ext>
          </a:extLst>
        </xdr:cNvPr>
        <xdr:cNvSpPr txBox="1">
          <a:spLocks noChangeArrowheads="1"/>
        </xdr:cNvSpPr>
      </xdr:nvSpPr>
      <xdr:spPr bwMode="auto">
        <a:xfrm>
          <a:off x="44815125" y="36871275"/>
          <a:ext cx="95250" cy="288924"/>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103867</xdr:rowOff>
    </xdr:to>
    <xdr:sp macro="" textlink="">
      <xdr:nvSpPr>
        <xdr:cNvPr id="1417" name="Text Box 2">
          <a:extLst>
            <a:ext uri="{FF2B5EF4-FFF2-40B4-BE49-F238E27FC236}">
              <a16:creationId xmlns:a16="http://schemas.microsoft.com/office/drawing/2014/main" id="{00000000-0008-0000-0D00-000089050000}"/>
            </a:ext>
          </a:extLst>
        </xdr:cNvPr>
        <xdr:cNvSpPr txBox="1">
          <a:spLocks noChangeArrowheads="1"/>
        </xdr:cNvSpPr>
      </xdr:nvSpPr>
      <xdr:spPr bwMode="auto">
        <a:xfrm>
          <a:off x="44815125" y="36871275"/>
          <a:ext cx="95250" cy="288924"/>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103867</xdr:rowOff>
    </xdr:to>
    <xdr:sp macro="" textlink="">
      <xdr:nvSpPr>
        <xdr:cNvPr id="1418" name="Text Box 2">
          <a:extLst>
            <a:ext uri="{FF2B5EF4-FFF2-40B4-BE49-F238E27FC236}">
              <a16:creationId xmlns:a16="http://schemas.microsoft.com/office/drawing/2014/main" id="{00000000-0008-0000-0D00-00008A050000}"/>
            </a:ext>
          </a:extLst>
        </xdr:cNvPr>
        <xdr:cNvSpPr txBox="1">
          <a:spLocks noChangeArrowheads="1"/>
        </xdr:cNvSpPr>
      </xdr:nvSpPr>
      <xdr:spPr bwMode="auto">
        <a:xfrm>
          <a:off x="44815125" y="36871275"/>
          <a:ext cx="95250" cy="288924"/>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103867</xdr:rowOff>
    </xdr:to>
    <xdr:sp macro="" textlink="">
      <xdr:nvSpPr>
        <xdr:cNvPr id="1419" name="Text Box 2">
          <a:extLst>
            <a:ext uri="{FF2B5EF4-FFF2-40B4-BE49-F238E27FC236}">
              <a16:creationId xmlns:a16="http://schemas.microsoft.com/office/drawing/2014/main" id="{00000000-0008-0000-0D00-00008B050000}"/>
            </a:ext>
          </a:extLst>
        </xdr:cNvPr>
        <xdr:cNvSpPr txBox="1">
          <a:spLocks noChangeArrowheads="1"/>
        </xdr:cNvSpPr>
      </xdr:nvSpPr>
      <xdr:spPr bwMode="auto">
        <a:xfrm>
          <a:off x="44815125" y="36871275"/>
          <a:ext cx="95250" cy="288924"/>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20" name="Text Box 2">
          <a:extLst>
            <a:ext uri="{FF2B5EF4-FFF2-40B4-BE49-F238E27FC236}">
              <a16:creationId xmlns:a16="http://schemas.microsoft.com/office/drawing/2014/main" id="{00000000-0008-0000-0D00-00008C05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21" name="Text Box 2">
          <a:extLst>
            <a:ext uri="{FF2B5EF4-FFF2-40B4-BE49-F238E27FC236}">
              <a16:creationId xmlns:a16="http://schemas.microsoft.com/office/drawing/2014/main" id="{00000000-0008-0000-0D00-00008D05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22" name="Text Box 2">
          <a:extLst>
            <a:ext uri="{FF2B5EF4-FFF2-40B4-BE49-F238E27FC236}">
              <a16:creationId xmlns:a16="http://schemas.microsoft.com/office/drawing/2014/main" id="{00000000-0008-0000-0D00-00008E05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23" name="Text Box 2">
          <a:extLst>
            <a:ext uri="{FF2B5EF4-FFF2-40B4-BE49-F238E27FC236}">
              <a16:creationId xmlns:a16="http://schemas.microsoft.com/office/drawing/2014/main" id="{00000000-0008-0000-0D00-00008F05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24" name="Text Box 2">
          <a:extLst>
            <a:ext uri="{FF2B5EF4-FFF2-40B4-BE49-F238E27FC236}">
              <a16:creationId xmlns:a16="http://schemas.microsoft.com/office/drawing/2014/main" id="{00000000-0008-0000-0D00-00009005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25" name="Text Box 2">
          <a:extLst>
            <a:ext uri="{FF2B5EF4-FFF2-40B4-BE49-F238E27FC236}">
              <a16:creationId xmlns:a16="http://schemas.microsoft.com/office/drawing/2014/main" id="{00000000-0008-0000-0D00-00009105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26" name="Text Box 2">
          <a:extLst>
            <a:ext uri="{FF2B5EF4-FFF2-40B4-BE49-F238E27FC236}">
              <a16:creationId xmlns:a16="http://schemas.microsoft.com/office/drawing/2014/main" id="{00000000-0008-0000-0D00-00009205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27" name="Text Box 2">
          <a:extLst>
            <a:ext uri="{FF2B5EF4-FFF2-40B4-BE49-F238E27FC236}">
              <a16:creationId xmlns:a16="http://schemas.microsoft.com/office/drawing/2014/main" id="{00000000-0008-0000-0D00-00009305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28" name="Text Box 2">
          <a:extLst>
            <a:ext uri="{FF2B5EF4-FFF2-40B4-BE49-F238E27FC236}">
              <a16:creationId xmlns:a16="http://schemas.microsoft.com/office/drawing/2014/main" id="{00000000-0008-0000-0D00-00009405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429" name="Text Box 2">
          <a:extLst>
            <a:ext uri="{FF2B5EF4-FFF2-40B4-BE49-F238E27FC236}">
              <a16:creationId xmlns:a16="http://schemas.microsoft.com/office/drawing/2014/main" id="{00000000-0008-0000-0D00-00009505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30" name="Text Box 2">
          <a:extLst>
            <a:ext uri="{FF2B5EF4-FFF2-40B4-BE49-F238E27FC236}">
              <a16:creationId xmlns:a16="http://schemas.microsoft.com/office/drawing/2014/main" id="{00000000-0008-0000-0D00-000096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31" name="Text Box 2">
          <a:extLst>
            <a:ext uri="{FF2B5EF4-FFF2-40B4-BE49-F238E27FC236}">
              <a16:creationId xmlns:a16="http://schemas.microsoft.com/office/drawing/2014/main" id="{00000000-0008-0000-0D00-000097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32" name="Text Box 2">
          <a:extLst>
            <a:ext uri="{FF2B5EF4-FFF2-40B4-BE49-F238E27FC236}">
              <a16:creationId xmlns:a16="http://schemas.microsoft.com/office/drawing/2014/main" id="{00000000-0008-0000-0D00-000098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33" name="Text Box 2">
          <a:extLst>
            <a:ext uri="{FF2B5EF4-FFF2-40B4-BE49-F238E27FC236}">
              <a16:creationId xmlns:a16="http://schemas.microsoft.com/office/drawing/2014/main" id="{00000000-0008-0000-0D00-000099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34" name="Text Box 2">
          <a:extLst>
            <a:ext uri="{FF2B5EF4-FFF2-40B4-BE49-F238E27FC236}">
              <a16:creationId xmlns:a16="http://schemas.microsoft.com/office/drawing/2014/main" id="{00000000-0008-0000-0D00-00009A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35" name="Text Box 2">
          <a:extLst>
            <a:ext uri="{FF2B5EF4-FFF2-40B4-BE49-F238E27FC236}">
              <a16:creationId xmlns:a16="http://schemas.microsoft.com/office/drawing/2014/main" id="{00000000-0008-0000-0D00-00009B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36" name="Text Box 2">
          <a:extLst>
            <a:ext uri="{FF2B5EF4-FFF2-40B4-BE49-F238E27FC236}">
              <a16:creationId xmlns:a16="http://schemas.microsoft.com/office/drawing/2014/main" id="{00000000-0008-0000-0D00-00009C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37" name="Text Box 2">
          <a:extLst>
            <a:ext uri="{FF2B5EF4-FFF2-40B4-BE49-F238E27FC236}">
              <a16:creationId xmlns:a16="http://schemas.microsoft.com/office/drawing/2014/main" id="{00000000-0008-0000-0D00-00009D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38" name="Text Box 2">
          <a:extLst>
            <a:ext uri="{FF2B5EF4-FFF2-40B4-BE49-F238E27FC236}">
              <a16:creationId xmlns:a16="http://schemas.microsoft.com/office/drawing/2014/main" id="{00000000-0008-0000-0D00-00009E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39" name="Text Box 2">
          <a:extLst>
            <a:ext uri="{FF2B5EF4-FFF2-40B4-BE49-F238E27FC236}">
              <a16:creationId xmlns:a16="http://schemas.microsoft.com/office/drawing/2014/main" id="{00000000-0008-0000-0D00-00009F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40" name="Text Box 2">
          <a:extLst>
            <a:ext uri="{FF2B5EF4-FFF2-40B4-BE49-F238E27FC236}">
              <a16:creationId xmlns:a16="http://schemas.microsoft.com/office/drawing/2014/main" id="{00000000-0008-0000-0D00-0000A0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41" name="Text Box 2">
          <a:extLst>
            <a:ext uri="{FF2B5EF4-FFF2-40B4-BE49-F238E27FC236}">
              <a16:creationId xmlns:a16="http://schemas.microsoft.com/office/drawing/2014/main" id="{00000000-0008-0000-0D00-0000A1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42" name="Text Box 2">
          <a:extLst>
            <a:ext uri="{FF2B5EF4-FFF2-40B4-BE49-F238E27FC236}">
              <a16:creationId xmlns:a16="http://schemas.microsoft.com/office/drawing/2014/main" id="{00000000-0008-0000-0D00-0000A2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43" name="Text Box 2">
          <a:extLst>
            <a:ext uri="{FF2B5EF4-FFF2-40B4-BE49-F238E27FC236}">
              <a16:creationId xmlns:a16="http://schemas.microsoft.com/office/drawing/2014/main" id="{00000000-0008-0000-0D00-0000A3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44" name="Text Box 2">
          <a:extLst>
            <a:ext uri="{FF2B5EF4-FFF2-40B4-BE49-F238E27FC236}">
              <a16:creationId xmlns:a16="http://schemas.microsoft.com/office/drawing/2014/main" id="{00000000-0008-0000-0D00-0000A4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45" name="Text Box 2">
          <a:extLst>
            <a:ext uri="{FF2B5EF4-FFF2-40B4-BE49-F238E27FC236}">
              <a16:creationId xmlns:a16="http://schemas.microsoft.com/office/drawing/2014/main" id="{00000000-0008-0000-0D00-0000A5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46" name="Text Box 2">
          <a:extLst>
            <a:ext uri="{FF2B5EF4-FFF2-40B4-BE49-F238E27FC236}">
              <a16:creationId xmlns:a16="http://schemas.microsoft.com/office/drawing/2014/main" id="{00000000-0008-0000-0D00-0000A6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47" name="Text Box 2">
          <a:extLst>
            <a:ext uri="{FF2B5EF4-FFF2-40B4-BE49-F238E27FC236}">
              <a16:creationId xmlns:a16="http://schemas.microsoft.com/office/drawing/2014/main" id="{00000000-0008-0000-0D00-0000A7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48" name="Text Box 2">
          <a:extLst>
            <a:ext uri="{FF2B5EF4-FFF2-40B4-BE49-F238E27FC236}">
              <a16:creationId xmlns:a16="http://schemas.microsoft.com/office/drawing/2014/main" id="{00000000-0008-0000-0D00-0000A8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49" name="Text Box 2">
          <a:extLst>
            <a:ext uri="{FF2B5EF4-FFF2-40B4-BE49-F238E27FC236}">
              <a16:creationId xmlns:a16="http://schemas.microsoft.com/office/drawing/2014/main" id="{00000000-0008-0000-0D00-0000A9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50" name="Text Box 2">
          <a:extLst>
            <a:ext uri="{FF2B5EF4-FFF2-40B4-BE49-F238E27FC236}">
              <a16:creationId xmlns:a16="http://schemas.microsoft.com/office/drawing/2014/main" id="{00000000-0008-0000-0D00-0000AA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51" name="Text Box 2">
          <a:extLst>
            <a:ext uri="{FF2B5EF4-FFF2-40B4-BE49-F238E27FC236}">
              <a16:creationId xmlns:a16="http://schemas.microsoft.com/office/drawing/2014/main" id="{00000000-0008-0000-0D00-0000AB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52" name="Text Box 2">
          <a:extLst>
            <a:ext uri="{FF2B5EF4-FFF2-40B4-BE49-F238E27FC236}">
              <a16:creationId xmlns:a16="http://schemas.microsoft.com/office/drawing/2014/main" id="{00000000-0008-0000-0D00-0000AC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53" name="Text Box 2">
          <a:extLst>
            <a:ext uri="{FF2B5EF4-FFF2-40B4-BE49-F238E27FC236}">
              <a16:creationId xmlns:a16="http://schemas.microsoft.com/office/drawing/2014/main" id="{00000000-0008-0000-0D00-0000AD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54" name="Text Box 2">
          <a:extLst>
            <a:ext uri="{FF2B5EF4-FFF2-40B4-BE49-F238E27FC236}">
              <a16:creationId xmlns:a16="http://schemas.microsoft.com/office/drawing/2014/main" id="{00000000-0008-0000-0D00-0000AE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55" name="Text Box 2">
          <a:extLst>
            <a:ext uri="{FF2B5EF4-FFF2-40B4-BE49-F238E27FC236}">
              <a16:creationId xmlns:a16="http://schemas.microsoft.com/office/drawing/2014/main" id="{00000000-0008-0000-0D00-0000AF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56" name="Text Box 2">
          <a:extLst>
            <a:ext uri="{FF2B5EF4-FFF2-40B4-BE49-F238E27FC236}">
              <a16:creationId xmlns:a16="http://schemas.microsoft.com/office/drawing/2014/main" id="{00000000-0008-0000-0D00-0000B0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57" name="Text Box 2">
          <a:extLst>
            <a:ext uri="{FF2B5EF4-FFF2-40B4-BE49-F238E27FC236}">
              <a16:creationId xmlns:a16="http://schemas.microsoft.com/office/drawing/2014/main" id="{00000000-0008-0000-0D00-0000B1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58" name="Text Box 2">
          <a:extLst>
            <a:ext uri="{FF2B5EF4-FFF2-40B4-BE49-F238E27FC236}">
              <a16:creationId xmlns:a16="http://schemas.microsoft.com/office/drawing/2014/main" id="{00000000-0008-0000-0D00-0000B2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59" name="Text Box 2">
          <a:extLst>
            <a:ext uri="{FF2B5EF4-FFF2-40B4-BE49-F238E27FC236}">
              <a16:creationId xmlns:a16="http://schemas.microsoft.com/office/drawing/2014/main" id="{00000000-0008-0000-0D00-0000B3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60" name="Text Box 2">
          <a:extLst>
            <a:ext uri="{FF2B5EF4-FFF2-40B4-BE49-F238E27FC236}">
              <a16:creationId xmlns:a16="http://schemas.microsoft.com/office/drawing/2014/main" id="{00000000-0008-0000-0D00-0000B4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61" name="Text Box 2">
          <a:extLst>
            <a:ext uri="{FF2B5EF4-FFF2-40B4-BE49-F238E27FC236}">
              <a16:creationId xmlns:a16="http://schemas.microsoft.com/office/drawing/2014/main" id="{00000000-0008-0000-0D00-0000B5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62" name="Text Box 2">
          <a:extLst>
            <a:ext uri="{FF2B5EF4-FFF2-40B4-BE49-F238E27FC236}">
              <a16:creationId xmlns:a16="http://schemas.microsoft.com/office/drawing/2014/main" id="{00000000-0008-0000-0D00-0000B6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63" name="Text Box 2">
          <a:extLst>
            <a:ext uri="{FF2B5EF4-FFF2-40B4-BE49-F238E27FC236}">
              <a16:creationId xmlns:a16="http://schemas.microsoft.com/office/drawing/2014/main" id="{00000000-0008-0000-0D00-0000B7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64" name="Text Box 2">
          <a:extLst>
            <a:ext uri="{FF2B5EF4-FFF2-40B4-BE49-F238E27FC236}">
              <a16:creationId xmlns:a16="http://schemas.microsoft.com/office/drawing/2014/main" id="{00000000-0008-0000-0D00-0000B8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65" name="Text Box 2">
          <a:extLst>
            <a:ext uri="{FF2B5EF4-FFF2-40B4-BE49-F238E27FC236}">
              <a16:creationId xmlns:a16="http://schemas.microsoft.com/office/drawing/2014/main" id="{00000000-0008-0000-0D00-0000B9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66" name="Text Box 2">
          <a:extLst>
            <a:ext uri="{FF2B5EF4-FFF2-40B4-BE49-F238E27FC236}">
              <a16:creationId xmlns:a16="http://schemas.microsoft.com/office/drawing/2014/main" id="{00000000-0008-0000-0D00-0000BA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67" name="Text Box 2">
          <a:extLst>
            <a:ext uri="{FF2B5EF4-FFF2-40B4-BE49-F238E27FC236}">
              <a16:creationId xmlns:a16="http://schemas.microsoft.com/office/drawing/2014/main" id="{00000000-0008-0000-0D00-0000BB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68" name="Text Box 2">
          <a:extLst>
            <a:ext uri="{FF2B5EF4-FFF2-40B4-BE49-F238E27FC236}">
              <a16:creationId xmlns:a16="http://schemas.microsoft.com/office/drawing/2014/main" id="{00000000-0008-0000-0D00-0000BC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69" name="Text Box 2">
          <a:extLst>
            <a:ext uri="{FF2B5EF4-FFF2-40B4-BE49-F238E27FC236}">
              <a16:creationId xmlns:a16="http://schemas.microsoft.com/office/drawing/2014/main" id="{00000000-0008-0000-0D00-0000BD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70" name="Text Box 2">
          <a:extLst>
            <a:ext uri="{FF2B5EF4-FFF2-40B4-BE49-F238E27FC236}">
              <a16:creationId xmlns:a16="http://schemas.microsoft.com/office/drawing/2014/main" id="{00000000-0008-0000-0D00-0000BE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71" name="Text Box 2">
          <a:extLst>
            <a:ext uri="{FF2B5EF4-FFF2-40B4-BE49-F238E27FC236}">
              <a16:creationId xmlns:a16="http://schemas.microsoft.com/office/drawing/2014/main" id="{00000000-0008-0000-0D00-0000BF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72" name="Text Box 2">
          <a:extLst>
            <a:ext uri="{FF2B5EF4-FFF2-40B4-BE49-F238E27FC236}">
              <a16:creationId xmlns:a16="http://schemas.microsoft.com/office/drawing/2014/main" id="{00000000-0008-0000-0D00-0000C0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73" name="Text Box 2">
          <a:extLst>
            <a:ext uri="{FF2B5EF4-FFF2-40B4-BE49-F238E27FC236}">
              <a16:creationId xmlns:a16="http://schemas.microsoft.com/office/drawing/2014/main" id="{00000000-0008-0000-0D00-0000C1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74" name="Text Box 2">
          <a:extLst>
            <a:ext uri="{FF2B5EF4-FFF2-40B4-BE49-F238E27FC236}">
              <a16:creationId xmlns:a16="http://schemas.microsoft.com/office/drawing/2014/main" id="{00000000-0008-0000-0D00-0000C2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75" name="Text Box 2">
          <a:extLst>
            <a:ext uri="{FF2B5EF4-FFF2-40B4-BE49-F238E27FC236}">
              <a16:creationId xmlns:a16="http://schemas.microsoft.com/office/drawing/2014/main" id="{00000000-0008-0000-0D00-0000C3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76" name="Text Box 2">
          <a:extLst>
            <a:ext uri="{FF2B5EF4-FFF2-40B4-BE49-F238E27FC236}">
              <a16:creationId xmlns:a16="http://schemas.microsoft.com/office/drawing/2014/main" id="{00000000-0008-0000-0D00-0000C4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77" name="Text Box 2">
          <a:extLst>
            <a:ext uri="{FF2B5EF4-FFF2-40B4-BE49-F238E27FC236}">
              <a16:creationId xmlns:a16="http://schemas.microsoft.com/office/drawing/2014/main" id="{00000000-0008-0000-0D00-0000C5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78" name="Text Box 2">
          <a:extLst>
            <a:ext uri="{FF2B5EF4-FFF2-40B4-BE49-F238E27FC236}">
              <a16:creationId xmlns:a16="http://schemas.microsoft.com/office/drawing/2014/main" id="{00000000-0008-0000-0D00-0000C6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79" name="Text Box 2">
          <a:extLst>
            <a:ext uri="{FF2B5EF4-FFF2-40B4-BE49-F238E27FC236}">
              <a16:creationId xmlns:a16="http://schemas.microsoft.com/office/drawing/2014/main" id="{00000000-0008-0000-0D00-0000C7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80" name="Text Box 2">
          <a:extLst>
            <a:ext uri="{FF2B5EF4-FFF2-40B4-BE49-F238E27FC236}">
              <a16:creationId xmlns:a16="http://schemas.microsoft.com/office/drawing/2014/main" id="{00000000-0008-0000-0D00-0000C8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81" name="Text Box 2">
          <a:extLst>
            <a:ext uri="{FF2B5EF4-FFF2-40B4-BE49-F238E27FC236}">
              <a16:creationId xmlns:a16="http://schemas.microsoft.com/office/drawing/2014/main" id="{00000000-0008-0000-0D00-0000C9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82" name="Text Box 2">
          <a:extLst>
            <a:ext uri="{FF2B5EF4-FFF2-40B4-BE49-F238E27FC236}">
              <a16:creationId xmlns:a16="http://schemas.microsoft.com/office/drawing/2014/main" id="{00000000-0008-0000-0D00-0000CA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83" name="Text Box 2">
          <a:extLst>
            <a:ext uri="{FF2B5EF4-FFF2-40B4-BE49-F238E27FC236}">
              <a16:creationId xmlns:a16="http://schemas.microsoft.com/office/drawing/2014/main" id="{00000000-0008-0000-0D00-0000CB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84" name="Text Box 2">
          <a:extLst>
            <a:ext uri="{FF2B5EF4-FFF2-40B4-BE49-F238E27FC236}">
              <a16:creationId xmlns:a16="http://schemas.microsoft.com/office/drawing/2014/main" id="{00000000-0008-0000-0D00-0000CC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85" name="Text Box 2">
          <a:extLst>
            <a:ext uri="{FF2B5EF4-FFF2-40B4-BE49-F238E27FC236}">
              <a16:creationId xmlns:a16="http://schemas.microsoft.com/office/drawing/2014/main" id="{00000000-0008-0000-0D00-0000CD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86" name="Text Box 2">
          <a:extLst>
            <a:ext uri="{FF2B5EF4-FFF2-40B4-BE49-F238E27FC236}">
              <a16:creationId xmlns:a16="http://schemas.microsoft.com/office/drawing/2014/main" id="{00000000-0008-0000-0D00-0000CE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87" name="Text Box 2">
          <a:extLst>
            <a:ext uri="{FF2B5EF4-FFF2-40B4-BE49-F238E27FC236}">
              <a16:creationId xmlns:a16="http://schemas.microsoft.com/office/drawing/2014/main" id="{00000000-0008-0000-0D00-0000CF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88" name="Text Box 2">
          <a:extLst>
            <a:ext uri="{FF2B5EF4-FFF2-40B4-BE49-F238E27FC236}">
              <a16:creationId xmlns:a16="http://schemas.microsoft.com/office/drawing/2014/main" id="{00000000-0008-0000-0D00-0000D0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89" name="Text Box 2">
          <a:extLst>
            <a:ext uri="{FF2B5EF4-FFF2-40B4-BE49-F238E27FC236}">
              <a16:creationId xmlns:a16="http://schemas.microsoft.com/office/drawing/2014/main" id="{00000000-0008-0000-0D00-0000D1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90" name="Text Box 2">
          <a:extLst>
            <a:ext uri="{FF2B5EF4-FFF2-40B4-BE49-F238E27FC236}">
              <a16:creationId xmlns:a16="http://schemas.microsoft.com/office/drawing/2014/main" id="{00000000-0008-0000-0D00-0000D2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91" name="Text Box 2">
          <a:extLst>
            <a:ext uri="{FF2B5EF4-FFF2-40B4-BE49-F238E27FC236}">
              <a16:creationId xmlns:a16="http://schemas.microsoft.com/office/drawing/2014/main" id="{00000000-0008-0000-0D00-0000D3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92" name="Text Box 2">
          <a:extLst>
            <a:ext uri="{FF2B5EF4-FFF2-40B4-BE49-F238E27FC236}">
              <a16:creationId xmlns:a16="http://schemas.microsoft.com/office/drawing/2014/main" id="{00000000-0008-0000-0D00-0000D4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93" name="Text Box 2">
          <a:extLst>
            <a:ext uri="{FF2B5EF4-FFF2-40B4-BE49-F238E27FC236}">
              <a16:creationId xmlns:a16="http://schemas.microsoft.com/office/drawing/2014/main" id="{00000000-0008-0000-0D00-0000D5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94" name="Text Box 2">
          <a:extLst>
            <a:ext uri="{FF2B5EF4-FFF2-40B4-BE49-F238E27FC236}">
              <a16:creationId xmlns:a16="http://schemas.microsoft.com/office/drawing/2014/main" id="{00000000-0008-0000-0D00-0000D6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95" name="Text Box 2">
          <a:extLst>
            <a:ext uri="{FF2B5EF4-FFF2-40B4-BE49-F238E27FC236}">
              <a16:creationId xmlns:a16="http://schemas.microsoft.com/office/drawing/2014/main" id="{00000000-0008-0000-0D00-0000D7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96" name="Text Box 2">
          <a:extLst>
            <a:ext uri="{FF2B5EF4-FFF2-40B4-BE49-F238E27FC236}">
              <a16:creationId xmlns:a16="http://schemas.microsoft.com/office/drawing/2014/main" id="{00000000-0008-0000-0D00-0000D8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97" name="Text Box 2">
          <a:extLst>
            <a:ext uri="{FF2B5EF4-FFF2-40B4-BE49-F238E27FC236}">
              <a16:creationId xmlns:a16="http://schemas.microsoft.com/office/drawing/2014/main" id="{00000000-0008-0000-0D00-0000D9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98" name="Text Box 2">
          <a:extLst>
            <a:ext uri="{FF2B5EF4-FFF2-40B4-BE49-F238E27FC236}">
              <a16:creationId xmlns:a16="http://schemas.microsoft.com/office/drawing/2014/main" id="{00000000-0008-0000-0D00-0000DA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499" name="Text Box 2">
          <a:extLst>
            <a:ext uri="{FF2B5EF4-FFF2-40B4-BE49-F238E27FC236}">
              <a16:creationId xmlns:a16="http://schemas.microsoft.com/office/drawing/2014/main" id="{00000000-0008-0000-0D00-0000DB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00" name="Text Box 2">
          <a:extLst>
            <a:ext uri="{FF2B5EF4-FFF2-40B4-BE49-F238E27FC236}">
              <a16:creationId xmlns:a16="http://schemas.microsoft.com/office/drawing/2014/main" id="{00000000-0008-0000-0D00-0000DC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01" name="Text Box 2">
          <a:extLst>
            <a:ext uri="{FF2B5EF4-FFF2-40B4-BE49-F238E27FC236}">
              <a16:creationId xmlns:a16="http://schemas.microsoft.com/office/drawing/2014/main" id="{00000000-0008-0000-0D00-0000DD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02" name="Text Box 2">
          <a:extLst>
            <a:ext uri="{FF2B5EF4-FFF2-40B4-BE49-F238E27FC236}">
              <a16:creationId xmlns:a16="http://schemas.microsoft.com/office/drawing/2014/main" id="{00000000-0008-0000-0D00-0000DE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03" name="Text Box 2">
          <a:extLst>
            <a:ext uri="{FF2B5EF4-FFF2-40B4-BE49-F238E27FC236}">
              <a16:creationId xmlns:a16="http://schemas.microsoft.com/office/drawing/2014/main" id="{00000000-0008-0000-0D00-0000DF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04" name="Text Box 2">
          <a:extLst>
            <a:ext uri="{FF2B5EF4-FFF2-40B4-BE49-F238E27FC236}">
              <a16:creationId xmlns:a16="http://schemas.microsoft.com/office/drawing/2014/main" id="{00000000-0008-0000-0D00-0000E0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05" name="Text Box 2">
          <a:extLst>
            <a:ext uri="{FF2B5EF4-FFF2-40B4-BE49-F238E27FC236}">
              <a16:creationId xmlns:a16="http://schemas.microsoft.com/office/drawing/2014/main" id="{00000000-0008-0000-0D00-0000E1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06" name="Text Box 2">
          <a:extLst>
            <a:ext uri="{FF2B5EF4-FFF2-40B4-BE49-F238E27FC236}">
              <a16:creationId xmlns:a16="http://schemas.microsoft.com/office/drawing/2014/main" id="{00000000-0008-0000-0D00-0000E2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07" name="Text Box 2">
          <a:extLst>
            <a:ext uri="{FF2B5EF4-FFF2-40B4-BE49-F238E27FC236}">
              <a16:creationId xmlns:a16="http://schemas.microsoft.com/office/drawing/2014/main" id="{00000000-0008-0000-0D00-0000E3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08" name="Text Box 2">
          <a:extLst>
            <a:ext uri="{FF2B5EF4-FFF2-40B4-BE49-F238E27FC236}">
              <a16:creationId xmlns:a16="http://schemas.microsoft.com/office/drawing/2014/main" id="{00000000-0008-0000-0D00-0000E4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09" name="Text Box 2">
          <a:extLst>
            <a:ext uri="{FF2B5EF4-FFF2-40B4-BE49-F238E27FC236}">
              <a16:creationId xmlns:a16="http://schemas.microsoft.com/office/drawing/2014/main" id="{00000000-0008-0000-0D00-0000E5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10" name="Text Box 2">
          <a:extLst>
            <a:ext uri="{FF2B5EF4-FFF2-40B4-BE49-F238E27FC236}">
              <a16:creationId xmlns:a16="http://schemas.microsoft.com/office/drawing/2014/main" id="{00000000-0008-0000-0D00-0000E6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11" name="Text Box 2">
          <a:extLst>
            <a:ext uri="{FF2B5EF4-FFF2-40B4-BE49-F238E27FC236}">
              <a16:creationId xmlns:a16="http://schemas.microsoft.com/office/drawing/2014/main" id="{00000000-0008-0000-0D00-0000E7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12" name="Text Box 2">
          <a:extLst>
            <a:ext uri="{FF2B5EF4-FFF2-40B4-BE49-F238E27FC236}">
              <a16:creationId xmlns:a16="http://schemas.microsoft.com/office/drawing/2014/main" id="{00000000-0008-0000-0D00-0000E8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13" name="Text Box 2">
          <a:extLst>
            <a:ext uri="{FF2B5EF4-FFF2-40B4-BE49-F238E27FC236}">
              <a16:creationId xmlns:a16="http://schemas.microsoft.com/office/drawing/2014/main" id="{00000000-0008-0000-0D00-0000E9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14" name="Text Box 2">
          <a:extLst>
            <a:ext uri="{FF2B5EF4-FFF2-40B4-BE49-F238E27FC236}">
              <a16:creationId xmlns:a16="http://schemas.microsoft.com/office/drawing/2014/main" id="{00000000-0008-0000-0D00-0000EA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15" name="Text Box 2">
          <a:extLst>
            <a:ext uri="{FF2B5EF4-FFF2-40B4-BE49-F238E27FC236}">
              <a16:creationId xmlns:a16="http://schemas.microsoft.com/office/drawing/2014/main" id="{00000000-0008-0000-0D00-0000EB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16" name="Text Box 2">
          <a:extLst>
            <a:ext uri="{FF2B5EF4-FFF2-40B4-BE49-F238E27FC236}">
              <a16:creationId xmlns:a16="http://schemas.microsoft.com/office/drawing/2014/main" id="{00000000-0008-0000-0D00-0000EC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17" name="Text Box 2">
          <a:extLst>
            <a:ext uri="{FF2B5EF4-FFF2-40B4-BE49-F238E27FC236}">
              <a16:creationId xmlns:a16="http://schemas.microsoft.com/office/drawing/2014/main" id="{00000000-0008-0000-0D00-0000ED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18" name="Text Box 2">
          <a:extLst>
            <a:ext uri="{FF2B5EF4-FFF2-40B4-BE49-F238E27FC236}">
              <a16:creationId xmlns:a16="http://schemas.microsoft.com/office/drawing/2014/main" id="{00000000-0008-0000-0D00-0000EE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19" name="Text Box 2">
          <a:extLst>
            <a:ext uri="{FF2B5EF4-FFF2-40B4-BE49-F238E27FC236}">
              <a16:creationId xmlns:a16="http://schemas.microsoft.com/office/drawing/2014/main" id="{00000000-0008-0000-0D00-0000EF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20" name="Text Box 2">
          <a:extLst>
            <a:ext uri="{FF2B5EF4-FFF2-40B4-BE49-F238E27FC236}">
              <a16:creationId xmlns:a16="http://schemas.microsoft.com/office/drawing/2014/main" id="{00000000-0008-0000-0D00-0000F0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21" name="Text Box 2">
          <a:extLst>
            <a:ext uri="{FF2B5EF4-FFF2-40B4-BE49-F238E27FC236}">
              <a16:creationId xmlns:a16="http://schemas.microsoft.com/office/drawing/2014/main" id="{00000000-0008-0000-0D00-0000F1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22" name="Text Box 2">
          <a:extLst>
            <a:ext uri="{FF2B5EF4-FFF2-40B4-BE49-F238E27FC236}">
              <a16:creationId xmlns:a16="http://schemas.microsoft.com/office/drawing/2014/main" id="{00000000-0008-0000-0D00-0000F2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23" name="Text Box 2">
          <a:extLst>
            <a:ext uri="{FF2B5EF4-FFF2-40B4-BE49-F238E27FC236}">
              <a16:creationId xmlns:a16="http://schemas.microsoft.com/office/drawing/2014/main" id="{00000000-0008-0000-0D00-0000F3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24" name="Text Box 2">
          <a:extLst>
            <a:ext uri="{FF2B5EF4-FFF2-40B4-BE49-F238E27FC236}">
              <a16:creationId xmlns:a16="http://schemas.microsoft.com/office/drawing/2014/main" id="{00000000-0008-0000-0D00-0000F4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25" name="Text Box 2">
          <a:extLst>
            <a:ext uri="{FF2B5EF4-FFF2-40B4-BE49-F238E27FC236}">
              <a16:creationId xmlns:a16="http://schemas.microsoft.com/office/drawing/2014/main" id="{00000000-0008-0000-0D00-0000F5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26" name="Text Box 2">
          <a:extLst>
            <a:ext uri="{FF2B5EF4-FFF2-40B4-BE49-F238E27FC236}">
              <a16:creationId xmlns:a16="http://schemas.microsoft.com/office/drawing/2014/main" id="{00000000-0008-0000-0D00-0000F6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27" name="Text Box 2">
          <a:extLst>
            <a:ext uri="{FF2B5EF4-FFF2-40B4-BE49-F238E27FC236}">
              <a16:creationId xmlns:a16="http://schemas.microsoft.com/office/drawing/2014/main" id="{00000000-0008-0000-0D00-0000F7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28" name="Text Box 2">
          <a:extLst>
            <a:ext uri="{FF2B5EF4-FFF2-40B4-BE49-F238E27FC236}">
              <a16:creationId xmlns:a16="http://schemas.microsoft.com/office/drawing/2014/main" id="{00000000-0008-0000-0D00-0000F8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29" name="Text Box 2">
          <a:extLst>
            <a:ext uri="{FF2B5EF4-FFF2-40B4-BE49-F238E27FC236}">
              <a16:creationId xmlns:a16="http://schemas.microsoft.com/office/drawing/2014/main" id="{00000000-0008-0000-0D00-0000F9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30" name="Text Box 2">
          <a:extLst>
            <a:ext uri="{FF2B5EF4-FFF2-40B4-BE49-F238E27FC236}">
              <a16:creationId xmlns:a16="http://schemas.microsoft.com/office/drawing/2014/main" id="{00000000-0008-0000-0D00-0000FA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31" name="Text Box 2">
          <a:extLst>
            <a:ext uri="{FF2B5EF4-FFF2-40B4-BE49-F238E27FC236}">
              <a16:creationId xmlns:a16="http://schemas.microsoft.com/office/drawing/2014/main" id="{00000000-0008-0000-0D00-0000FB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32" name="Text Box 2">
          <a:extLst>
            <a:ext uri="{FF2B5EF4-FFF2-40B4-BE49-F238E27FC236}">
              <a16:creationId xmlns:a16="http://schemas.microsoft.com/office/drawing/2014/main" id="{00000000-0008-0000-0D00-0000FC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33" name="Text Box 2">
          <a:extLst>
            <a:ext uri="{FF2B5EF4-FFF2-40B4-BE49-F238E27FC236}">
              <a16:creationId xmlns:a16="http://schemas.microsoft.com/office/drawing/2014/main" id="{00000000-0008-0000-0D00-0000FD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34" name="Text Box 2">
          <a:extLst>
            <a:ext uri="{FF2B5EF4-FFF2-40B4-BE49-F238E27FC236}">
              <a16:creationId xmlns:a16="http://schemas.microsoft.com/office/drawing/2014/main" id="{00000000-0008-0000-0D00-0000FE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35" name="Text Box 2">
          <a:extLst>
            <a:ext uri="{FF2B5EF4-FFF2-40B4-BE49-F238E27FC236}">
              <a16:creationId xmlns:a16="http://schemas.microsoft.com/office/drawing/2014/main" id="{00000000-0008-0000-0D00-0000FF05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36" name="Text Box 2">
          <a:extLst>
            <a:ext uri="{FF2B5EF4-FFF2-40B4-BE49-F238E27FC236}">
              <a16:creationId xmlns:a16="http://schemas.microsoft.com/office/drawing/2014/main" id="{00000000-0008-0000-0D00-000000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37" name="Text Box 2">
          <a:extLst>
            <a:ext uri="{FF2B5EF4-FFF2-40B4-BE49-F238E27FC236}">
              <a16:creationId xmlns:a16="http://schemas.microsoft.com/office/drawing/2014/main" id="{00000000-0008-0000-0D00-000001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38" name="Text Box 2">
          <a:extLst>
            <a:ext uri="{FF2B5EF4-FFF2-40B4-BE49-F238E27FC236}">
              <a16:creationId xmlns:a16="http://schemas.microsoft.com/office/drawing/2014/main" id="{00000000-0008-0000-0D00-000002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39" name="Text Box 2">
          <a:extLst>
            <a:ext uri="{FF2B5EF4-FFF2-40B4-BE49-F238E27FC236}">
              <a16:creationId xmlns:a16="http://schemas.microsoft.com/office/drawing/2014/main" id="{00000000-0008-0000-0D00-000003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40" name="Text Box 2">
          <a:extLst>
            <a:ext uri="{FF2B5EF4-FFF2-40B4-BE49-F238E27FC236}">
              <a16:creationId xmlns:a16="http://schemas.microsoft.com/office/drawing/2014/main" id="{00000000-0008-0000-0D00-000004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41" name="Text Box 2">
          <a:extLst>
            <a:ext uri="{FF2B5EF4-FFF2-40B4-BE49-F238E27FC236}">
              <a16:creationId xmlns:a16="http://schemas.microsoft.com/office/drawing/2014/main" id="{00000000-0008-0000-0D00-000005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42" name="Text Box 2">
          <a:extLst>
            <a:ext uri="{FF2B5EF4-FFF2-40B4-BE49-F238E27FC236}">
              <a16:creationId xmlns:a16="http://schemas.microsoft.com/office/drawing/2014/main" id="{00000000-0008-0000-0D00-000006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43" name="Text Box 2">
          <a:extLst>
            <a:ext uri="{FF2B5EF4-FFF2-40B4-BE49-F238E27FC236}">
              <a16:creationId xmlns:a16="http://schemas.microsoft.com/office/drawing/2014/main" id="{00000000-0008-0000-0D00-000007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44" name="Text Box 2">
          <a:extLst>
            <a:ext uri="{FF2B5EF4-FFF2-40B4-BE49-F238E27FC236}">
              <a16:creationId xmlns:a16="http://schemas.microsoft.com/office/drawing/2014/main" id="{00000000-0008-0000-0D00-000008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45" name="Text Box 2">
          <a:extLst>
            <a:ext uri="{FF2B5EF4-FFF2-40B4-BE49-F238E27FC236}">
              <a16:creationId xmlns:a16="http://schemas.microsoft.com/office/drawing/2014/main" id="{00000000-0008-0000-0D00-000009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46" name="Text Box 2">
          <a:extLst>
            <a:ext uri="{FF2B5EF4-FFF2-40B4-BE49-F238E27FC236}">
              <a16:creationId xmlns:a16="http://schemas.microsoft.com/office/drawing/2014/main" id="{00000000-0008-0000-0D00-00000A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47" name="Text Box 2">
          <a:extLst>
            <a:ext uri="{FF2B5EF4-FFF2-40B4-BE49-F238E27FC236}">
              <a16:creationId xmlns:a16="http://schemas.microsoft.com/office/drawing/2014/main" id="{00000000-0008-0000-0D00-00000B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48" name="Text Box 2">
          <a:extLst>
            <a:ext uri="{FF2B5EF4-FFF2-40B4-BE49-F238E27FC236}">
              <a16:creationId xmlns:a16="http://schemas.microsoft.com/office/drawing/2014/main" id="{00000000-0008-0000-0D00-00000C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49" name="Text Box 2">
          <a:extLst>
            <a:ext uri="{FF2B5EF4-FFF2-40B4-BE49-F238E27FC236}">
              <a16:creationId xmlns:a16="http://schemas.microsoft.com/office/drawing/2014/main" id="{00000000-0008-0000-0D00-00000D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50" name="Text Box 2">
          <a:extLst>
            <a:ext uri="{FF2B5EF4-FFF2-40B4-BE49-F238E27FC236}">
              <a16:creationId xmlns:a16="http://schemas.microsoft.com/office/drawing/2014/main" id="{00000000-0008-0000-0D00-00000E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51" name="Text Box 2">
          <a:extLst>
            <a:ext uri="{FF2B5EF4-FFF2-40B4-BE49-F238E27FC236}">
              <a16:creationId xmlns:a16="http://schemas.microsoft.com/office/drawing/2014/main" id="{00000000-0008-0000-0D00-00000F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52" name="Text Box 2">
          <a:extLst>
            <a:ext uri="{FF2B5EF4-FFF2-40B4-BE49-F238E27FC236}">
              <a16:creationId xmlns:a16="http://schemas.microsoft.com/office/drawing/2014/main" id="{00000000-0008-0000-0D00-000010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53" name="Text Box 2">
          <a:extLst>
            <a:ext uri="{FF2B5EF4-FFF2-40B4-BE49-F238E27FC236}">
              <a16:creationId xmlns:a16="http://schemas.microsoft.com/office/drawing/2014/main" id="{00000000-0008-0000-0D00-000011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54" name="Text Box 2">
          <a:extLst>
            <a:ext uri="{FF2B5EF4-FFF2-40B4-BE49-F238E27FC236}">
              <a16:creationId xmlns:a16="http://schemas.microsoft.com/office/drawing/2014/main" id="{00000000-0008-0000-0D00-000012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55" name="Text Box 2">
          <a:extLst>
            <a:ext uri="{FF2B5EF4-FFF2-40B4-BE49-F238E27FC236}">
              <a16:creationId xmlns:a16="http://schemas.microsoft.com/office/drawing/2014/main" id="{00000000-0008-0000-0D00-000013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56" name="Text Box 2">
          <a:extLst>
            <a:ext uri="{FF2B5EF4-FFF2-40B4-BE49-F238E27FC236}">
              <a16:creationId xmlns:a16="http://schemas.microsoft.com/office/drawing/2014/main" id="{00000000-0008-0000-0D00-000014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57" name="Text Box 2">
          <a:extLst>
            <a:ext uri="{FF2B5EF4-FFF2-40B4-BE49-F238E27FC236}">
              <a16:creationId xmlns:a16="http://schemas.microsoft.com/office/drawing/2014/main" id="{00000000-0008-0000-0D00-000015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58" name="Text Box 2">
          <a:extLst>
            <a:ext uri="{FF2B5EF4-FFF2-40B4-BE49-F238E27FC236}">
              <a16:creationId xmlns:a16="http://schemas.microsoft.com/office/drawing/2014/main" id="{00000000-0008-0000-0D00-000016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59" name="Text Box 2">
          <a:extLst>
            <a:ext uri="{FF2B5EF4-FFF2-40B4-BE49-F238E27FC236}">
              <a16:creationId xmlns:a16="http://schemas.microsoft.com/office/drawing/2014/main" id="{00000000-0008-0000-0D00-000017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60" name="Text Box 2">
          <a:extLst>
            <a:ext uri="{FF2B5EF4-FFF2-40B4-BE49-F238E27FC236}">
              <a16:creationId xmlns:a16="http://schemas.microsoft.com/office/drawing/2014/main" id="{00000000-0008-0000-0D00-000018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61" name="Text Box 2">
          <a:extLst>
            <a:ext uri="{FF2B5EF4-FFF2-40B4-BE49-F238E27FC236}">
              <a16:creationId xmlns:a16="http://schemas.microsoft.com/office/drawing/2014/main" id="{00000000-0008-0000-0D00-000019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62" name="Text Box 2">
          <a:extLst>
            <a:ext uri="{FF2B5EF4-FFF2-40B4-BE49-F238E27FC236}">
              <a16:creationId xmlns:a16="http://schemas.microsoft.com/office/drawing/2014/main" id="{00000000-0008-0000-0D00-00001A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63" name="Text Box 2">
          <a:extLst>
            <a:ext uri="{FF2B5EF4-FFF2-40B4-BE49-F238E27FC236}">
              <a16:creationId xmlns:a16="http://schemas.microsoft.com/office/drawing/2014/main" id="{00000000-0008-0000-0D00-00001B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64" name="Text Box 2">
          <a:extLst>
            <a:ext uri="{FF2B5EF4-FFF2-40B4-BE49-F238E27FC236}">
              <a16:creationId xmlns:a16="http://schemas.microsoft.com/office/drawing/2014/main" id="{00000000-0008-0000-0D00-00001C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65" name="Text Box 2">
          <a:extLst>
            <a:ext uri="{FF2B5EF4-FFF2-40B4-BE49-F238E27FC236}">
              <a16:creationId xmlns:a16="http://schemas.microsoft.com/office/drawing/2014/main" id="{00000000-0008-0000-0D00-00001D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66" name="Text Box 2">
          <a:extLst>
            <a:ext uri="{FF2B5EF4-FFF2-40B4-BE49-F238E27FC236}">
              <a16:creationId xmlns:a16="http://schemas.microsoft.com/office/drawing/2014/main" id="{00000000-0008-0000-0D00-00001E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67" name="Text Box 2">
          <a:extLst>
            <a:ext uri="{FF2B5EF4-FFF2-40B4-BE49-F238E27FC236}">
              <a16:creationId xmlns:a16="http://schemas.microsoft.com/office/drawing/2014/main" id="{00000000-0008-0000-0D00-00001F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68" name="Text Box 2">
          <a:extLst>
            <a:ext uri="{FF2B5EF4-FFF2-40B4-BE49-F238E27FC236}">
              <a16:creationId xmlns:a16="http://schemas.microsoft.com/office/drawing/2014/main" id="{00000000-0008-0000-0D00-000020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69" name="Text Box 2">
          <a:extLst>
            <a:ext uri="{FF2B5EF4-FFF2-40B4-BE49-F238E27FC236}">
              <a16:creationId xmlns:a16="http://schemas.microsoft.com/office/drawing/2014/main" id="{00000000-0008-0000-0D00-000021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70" name="Text Box 2">
          <a:extLst>
            <a:ext uri="{FF2B5EF4-FFF2-40B4-BE49-F238E27FC236}">
              <a16:creationId xmlns:a16="http://schemas.microsoft.com/office/drawing/2014/main" id="{00000000-0008-0000-0D00-000022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71" name="Text Box 2">
          <a:extLst>
            <a:ext uri="{FF2B5EF4-FFF2-40B4-BE49-F238E27FC236}">
              <a16:creationId xmlns:a16="http://schemas.microsoft.com/office/drawing/2014/main" id="{00000000-0008-0000-0D00-000023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72" name="Text Box 2">
          <a:extLst>
            <a:ext uri="{FF2B5EF4-FFF2-40B4-BE49-F238E27FC236}">
              <a16:creationId xmlns:a16="http://schemas.microsoft.com/office/drawing/2014/main" id="{00000000-0008-0000-0D00-000024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73" name="Text Box 2">
          <a:extLst>
            <a:ext uri="{FF2B5EF4-FFF2-40B4-BE49-F238E27FC236}">
              <a16:creationId xmlns:a16="http://schemas.microsoft.com/office/drawing/2014/main" id="{00000000-0008-0000-0D00-000025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74" name="Text Box 2">
          <a:extLst>
            <a:ext uri="{FF2B5EF4-FFF2-40B4-BE49-F238E27FC236}">
              <a16:creationId xmlns:a16="http://schemas.microsoft.com/office/drawing/2014/main" id="{00000000-0008-0000-0D00-000026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75" name="Text Box 2">
          <a:extLst>
            <a:ext uri="{FF2B5EF4-FFF2-40B4-BE49-F238E27FC236}">
              <a16:creationId xmlns:a16="http://schemas.microsoft.com/office/drawing/2014/main" id="{00000000-0008-0000-0D00-000027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76" name="Text Box 2">
          <a:extLst>
            <a:ext uri="{FF2B5EF4-FFF2-40B4-BE49-F238E27FC236}">
              <a16:creationId xmlns:a16="http://schemas.microsoft.com/office/drawing/2014/main" id="{00000000-0008-0000-0D00-000028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77" name="Text Box 2">
          <a:extLst>
            <a:ext uri="{FF2B5EF4-FFF2-40B4-BE49-F238E27FC236}">
              <a16:creationId xmlns:a16="http://schemas.microsoft.com/office/drawing/2014/main" id="{00000000-0008-0000-0D00-000029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78" name="Text Box 2">
          <a:extLst>
            <a:ext uri="{FF2B5EF4-FFF2-40B4-BE49-F238E27FC236}">
              <a16:creationId xmlns:a16="http://schemas.microsoft.com/office/drawing/2014/main" id="{00000000-0008-0000-0D00-00002A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79" name="Text Box 2">
          <a:extLst>
            <a:ext uri="{FF2B5EF4-FFF2-40B4-BE49-F238E27FC236}">
              <a16:creationId xmlns:a16="http://schemas.microsoft.com/office/drawing/2014/main" id="{00000000-0008-0000-0D00-00002B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80" name="Text Box 2">
          <a:extLst>
            <a:ext uri="{FF2B5EF4-FFF2-40B4-BE49-F238E27FC236}">
              <a16:creationId xmlns:a16="http://schemas.microsoft.com/office/drawing/2014/main" id="{00000000-0008-0000-0D00-00002C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81" name="Text Box 2">
          <a:extLst>
            <a:ext uri="{FF2B5EF4-FFF2-40B4-BE49-F238E27FC236}">
              <a16:creationId xmlns:a16="http://schemas.microsoft.com/office/drawing/2014/main" id="{00000000-0008-0000-0D00-00002D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82" name="Text Box 2">
          <a:extLst>
            <a:ext uri="{FF2B5EF4-FFF2-40B4-BE49-F238E27FC236}">
              <a16:creationId xmlns:a16="http://schemas.microsoft.com/office/drawing/2014/main" id="{00000000-0008-0000-0D00-00002E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83" name="Text Box 2">
          <a:extLst>
            <a:ext uri="{FF2B5EF4-FFF2-40B4-BE49-F238E27FC236}">
              <a16:creationId xmlns:a16="http://schemas.microsoft.com/office/drawing/2014/main" id="{00000000-0008-0000-0D00-00002F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84" name="Text Box 2">
          <a:extLst>
            <a:ext uri="{FF2B5EF4-FFF2-40B4-BE49-F238E27FC236}">
              <a16:creationId xmlns:a16="http://schemas.microsoft.com/office/drawing/2014/main" id="{00000000-0008-0000-0D00-000030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85" name="Text Box 2">
          <a:extLst>
            <a:ext uri="{FF2B5EF4-FFF2-40B4-BE49-F238E27FC236}">
              <a16:creationId xmlns:a16="http://schemas.microsoft.com/office/drawing/2014/main" id="{00000000-0008-0000-0D00-000031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86" name="Text Box 2">
          <a:extLst>
            <a:ext uri="{FF2B5EF4-FFF2-40B4-BE49-F238E27FC236}">
              <a16:creationId xmlns:a16="http://schemas.microsoft.com/office/drawing/2014/main" id="{00000000-0008-0000-0D00-000032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87" name="Text Box 2">
          <a:extLst>
            <a:ext uri="{FF2B5EF4-FFF2-40B4-BE49-F238E27FC236}">
              <a16:creationId xmlns:a16="http://schemas.microsoft.com/office/drawing/2014/main" id="{00000000-0008-0000-0D00-000033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88" name="Text Box 2">
          <a:extLst>
            <a:ext uri="{FF2B5EF4-FFF2-40B4-BE49-F238E27FC236}">
              <a16:creationId xmlns:a16="http://schemas.microsoft.com/office/drawing/2014/main" id="{00000000-0008-0000-0D00-000034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89" name="Text Box 2">
          <a:extLst>
            <a:ext uri="{FF2B5EF4-FFF2-40B4-BE49-F238E27FC236}">
              <a16:creationId xmlns:a16="http://schemas.microsoft.com/office/drawing/2014/main" id="{00000000-0008-0000-0D00-000035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90" name="Text Box 2">
          <a:extLst>
            <a:ext uri="{FF2B5EF4-FFF2-40B4-BE49-F238E27FC236}">
              <a16:creationId xmlns:a16="http://schemas.microsoft.com/office/drawing/2014/main" id="{00000000-0008-0000-0D00-000036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91" name="Text Box 2">
          <a:extLst>
            <a:ext uri="{FF2B5EF4-FFF2-40B4-BE49-F238E27FC236}">
              <a16:creationId xmlns:a16="http://schemas.microsoft.com/office/drawing/2014/main" id="{00000000-0008-0000-0D00-000037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92" name="Text Box 2">
          <a:extLst>
            <a:ext uri="{FF2B5EF4-FFF2-40B4-BE49-F238E27FC236}">
              <a16:creationId xmlns:a16="http://schemas.microsoft.com/office/drawing/2014/main" id="{00000000-0008-0000-0D00-000038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93" name="Text Box 2">
          <a:extLst>
            <a:ext uri="{FF2B5EF4-FFF2-40B4-BE49-F238E27FC236}">
              <a16:creationId xmlns:a16="http://schemas.microsoft.com/office/drawing/2014/main" id="{00000000-0008-0000-0D00-000039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94" name="Text Box 2">
          <a:extLst>
            <a:ext uri="{FF2B5EF4-FFF2-40B4-BE49-F238E27FC236}">
              <a16:creationId xmlns:a16="http://schemas.microsoft.com/office/drawing/2014/main" id="{00000000-0008-0000-0D00-00003A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95" name="Text Box 2">
          <a:extLst>
            <a:ext uri="{FF2B5EF4-FFF2-40B4-BE49-F238E27FC236}">
              <a16:creationId xmlns:a16="http://schemas.microsoft.com/office/drawing/2014/main" id="{00000000-0008-0000-0D00-00003B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96" name="Text Box 2">
          <a:extLst>
            <a:ext uri="{FF2B5EF4-FFF2-40B4-BE49-F238E27FC236}">
              <a16:creationId xmlns:a16="http://schemas.microsoft.com/office/drawing/2014/main" id="{00000000-0008-0000-0D00-00003C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97" name="Text Box 2">
          <a:extLst>
            <a:ext uri="{FF2B5EF4-FFF2-40B4-BE49-F238E27FC236}">
              <a16:creationId xmlns:a16="http://schemas.microsoft.com/office/drawing/2014/main" id="{00000000-0008-0000-0D00-00003D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98" name="Text Box 2">
          <a:extLst>
            <a:ext uri="{FF2B5EF4-FFF2-40B4-BE49-F238E27FC236}">
              <a16:creationId xmlns:a16="http://schemas.microsoft.com/office/drawing/2014/main" id="{00000000-0008-0000-0D00-00003E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599" name="Text Box 2">
          <a:extLst>
            <a:ext uri="{FF2B5EF4-FFF2-40B4-BE49-F238E27FC236}">
              <a16:creationId xmlns:a16="http://schemas.microsoft.com/office/drawing/2014/main" id="{00000000-0008-0000-0D00-00003F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00" name="Text Box 2">
          <a:extLst>
            <a:ext uri="{FF2B5EF4-FFF2-40B4-BE49-F238E27FC236}">
              <a16:creationId xmlns:a16="http://schemas.microsoft.com/office/drawing/2014/main" id="{00000000-0008-0000-0D00-000040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01" name="Text Box 2">
          <a:extLst>
            <a:ext uri="{FF2B5EF4-FFF2-40B4-BE49-F238E27FC236}">
              <a16:creationId xmlns:a16="http://schemas.microsoft.com/office/drawing/2014/main" id="{00000000-0008-0000-0D00-000041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02" name="Text Box 2">
          <a:extLst>
            <a:ext uri="{FF2B5EF4-FFF2-40B4-BE49-F238E27FC236}">
              <a16:creationId xmlns:a16="http://schemas.microsoft.com/office/drawing/2014/main" id="{00000000-0008-0000-0D00-000042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03" name="Text Box 2">
          <a:extLst>
            <a:ext uri="{FF2B5EF4-FFF2-40B4-BE49-F238E27FC236}">
              <a16:creationId xmlns:a16="http://schemas.microsoft.com/office/drawing/2014/main" id="{00000000-0008-0000-0D00-000043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604" name="Text Box 2">
          <a:extLst>
            <a:ext uri="{FF2B5EF4-FFF2-40B4-BE49-F238E27FC236}">
              <a16:creationId xmlns:a16="http://schemas.microsoft.com/office/drawing/2014/main" id="{00000000-0008-0000-0D00-000044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605" name="Text Box 2">
          <a:extLst>
            <a:ext uri="{FF2B5EF4-FFF2-40B4-BE49-F238E27FC236}">
              <a16:creationId xmlns:a16="http://schemas.microsoft.com/office/drawing/2014/main" id="{00000000-0008-0000-0D00-000045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606" name="Text Box 2">
          <a:extLst>
            <a:ext uri="{FF2B5EF4-FFF2-40B4-BE49-F238E27FC236}">
              <a16:creationId xmlns:a16="http://schemas.microsoft.com/office/drawing/2014/main" id="{00000000-0008-0000-0D00-000046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607" name="Text Box 2">
          <a:extLst>
            <a:ext uri="{FF2B5EF4-FFF2-40B4-BE49-F238E27FC236}">
              <a16:creationId xmlns:a16="http://schemas.microsoft.com/office/drawing/2014/main" id="{00000000-0008-0000-0D00-000047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608" name="Text Box 2">
          <a:extLst>
            <a:ext uri="{FF2B5EF4-FFF2-40B4-BE49-F238E27FC236}">
              <a16:creationId xmlns:a16="http://schemas.microsoft.com/office/drawing/2014/main" id="{00000000-0008-0000-0D00-000048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609" name="Text Box 2">
          <a:extLst>
            <a:ext uri="{FF2B5EF4-FFF2-40B4-BE49-F238E27FC236}">
              <a16:creationId xmlns:a16="http://schemas.microsoft.com/office/drawing/2014/main" id="{00000000-0008-0000-0D00-000049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103867</xdr:rowOff>
    </xdr:to>
    <xdr:sp macro="" textlink="">
      <xdr:nvSpPr>
        <xdr:cNvPr id="1610" name="Text Box 2">
          <a:extLst>
            <a:ext uri="{FF2B5EF4-FFF2-40B4-BE49-F238E27FC236}">
              <a16:creationId xmlns:a16="http://schemas.microsoft.com/office/drawing/2014/main" id="{00000000-0008-0000-0D00-00004A060000}"/>
            </a:ext>
          </a:extLst>
        </xdr:cNvPr>
        <xdr:cNvSpPr txBox="1">
          <a:spLocks noChangeArrowheads="1"/>
        </xdr:cNvSpPr>
      </xdr:nvSpPr>
      <xdr:spPr bwMode="auto">
        <a:xfrm>
          <a:off x="44815125" y="36871275"/>
          <a:ext cx="95250" cy="288924"/>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103867</xdr:rowOff>
    </xdr:to>
    <xdr:sp macro="" textlink="">
      <xdr:nvSpPr>
        <xdr:cNvPr id="1611" name="Text Box 2">
          <a:extLst>
            <a:ext uri="{FF2B5EF4-FFF2-40B4-BE49-F238E27FC236}">
              <a16:creationId xmlns:a16="http://schemas.microsoft.com/office/drawing/2014/main" id="{00000000-0008-0000-0D00-00004B060000}"/>
            </a:ext>
          </a:extLst>
        </xdr:cNvPr>
        <xdr:cNvSpPr txBox="1">
          <a:spLocks noChangeArrowheads="1"/>
        </xdr:cNvSpPr>
      </xdr:nvSpPr>
      <xdr:spPr bwMode="auto">
        <a:xfrm>
          <a:off x="44815125" y="36871275"/>
          <a:ext cx="95250" cy="288924"/>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103867</xdr:rowOff>
    </xdr:to>
    <xdr:sp macro="" textlink="">
      <xdr:nvSpPr>
        <xdr:cNvPr id="1612" name="Text Box 2">
          <a:extLst>
            <a:ext uri="{FF2B5EF4-FFF2-40B4-BE49-F238E27FC236}">
              <a16:creationId xmlns:a16="http://schemas.microsoft.com/office/drawing/2014/main" id="{00000000-0008-0000-0D00-00004C060000}"/>
            </a:ext>
          </a:extLst>
        </xdr:cNvPr>
        <xdr:cNvSpPr txBox="1">
          <a:spLocks noChangeArrowheads="1"/>
        </xdr:cNvSpPr>
      </xdr:nvSpPr>
      <xdr:spPr bwMode="auto">
        <a:xfrm>
          <a:off x="44815125" y="36871275"/>
          <a:ext cx="95250" cy="288924"/>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613" name="Text Box 2">
          <a:extLst>
            <a:ext uri="{FF2B5EF4-FFF2-40B4-BE49-F238E27FC236}">
              <a16:creationId xmlns:a16="http://schemas.microsoft.com/office/drawing/2014/main" id="{00000000-0008-0000-0D00-00004D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614" name="Text Box 2">
          <a:extLst>
            <a:ext uri="{FF2B5EF4-FFF2-40B4-BE49-F238E27FC236}">
              <a16:creationId xmlns:a16="http://schemas.microsoft.com/office/drawing/2014/main" id="{00000000-0008-0000-0D00-00004E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615" name="Text Box 2">
          <a:extLst>
            <a:ext uri="{FF2B5EF4-FFF2-40B4-BE49-F238E27FC236}">
              <a16:creationId xmlns:a16="http://schemas.microsoft.com/office/drawing/2014/main" id="{00000000-0008-0000-0D00-00004F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16" name="Text Box 2">
          <a:extLst>
            <a:ext uri="{FF2B5EF4-FFF2-40B4-BE49-F238E27FC236}">
              <a16:creationId xmlns:a16="http://schemas.microsoft.com/office/drawing/2014/main" id="{00000000-0008-0000-0D00-000050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17" name="Text Box 2">
          <a:extLst>
            <a:ext uri="{FF2B5EF4-FFF2-40B4-BE49-F238E27FC236}">
              <a16:creationId xmlns:a16="http://schemas.microsoft.com/office/drawing/2014/main" id="{00000000-0008-0000-0D00-000051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18" name="Text Box 2">
          <a:extLst>
            <a:ext uri="{FF2B5EF4-FFF2-40B4-BE49-F238E27FC236}">
              <a16:creationId xmlns:a16="http://schemas.microsoft.com/office/drawing/2014/main" id="{00000000-0008-0000-0D00-000052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19" name="Text Box 2">
          <a:extLst>
            <a:ext uri="{FF2B5EF4-FFF2-40B4-BE49-F238E27FC236}">
              <a16:creationId xmlns:a16="http://schemas.microsoft.com/office/drawing/2014/main" id="{00000000-0008-0000-0D00-000053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20" name="Text Box 2">
          <a:extLst>
            <a:ext uri="{FF2B5EF4-FFF2-40B4-BE49-F238E27FC236}">
              <a16:creationId xmlns:a16="http://schemas.microsoft.com/office/drawing/2014/main" id="{00000000-0008-0000-0D00-000054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21" name="Text Box 2">
          <a:extLst>
            <a:ext uri="{FF2B5EF4-FFF2-40B4-BE49-F238E27FC236}">
              <a16:creationId xmlns:a16="http://schemas.microsoft.com/office/drawing/2014/main" id="{00000000-0008-0000-0D00-000055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22" name="Text Box 2">
          <a:extLst>
            <a:ext uri="{FF2B5EF4-FFF2-40B4-BE49-F238E27FC236}">
              <a16:creationId xmlns:a16="http://schemas.microsoft.com/office/drawing/2014/main" id="{00000000-0008-0000-0D00-000056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23" name="Text Box 2">
          <a:extLst>
            <a:ext uri="{FF2B5EF4-FFF2-40B4-BE49-F238E27FC236}">
              <a16:creationId xmlns:a16="http://schemas.microsoft.com/office/drawing/2014/main" id="{00000000-0008-0000-0D00-000057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24" name="Text Box 2">
          <a:extLst>
            <a:ext uri="{FF2B5EF4-FFF2-40B4-BE49-F238E27FC236}">
              <a16:creationId xmlns:a16="http://schemas.microsoft.com/office/drawing/2014/main" id="{00000000-0008-0000-0D00-000058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25" name="Text Box 2">
          <a:extLst>
            <a:ext uri="{FF2B5EF4-FFF2-40B4-BE49-F238E27FC236}">
              <a16:creationId xmlns:a16="http://schemas.microsoft.com/office/drawing/2014/main" id="{00000000-0008-0000-0D00-000059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26" name="Text Box 2">
          <a:extLst>
            <a:ext uri="{FF2B5EF4-FFF2-40B4-BE49-F238E27FC236}">
              <a16:creationId xmlns:a16="http://schemas.microsoft.com/office/drawing/2014/main" id="{00000000-0008-0000-0D00-00005A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27" name="Text Box 2">
          <a:extLst>
            <a:ext uri="{FF2B5EF4-FFF2-40B4-BE49-F238E27FC236}">
              <a16:creationId xmlns:a16="http://schemas.microsoft.com/office/drawing/2014/main" id="{00000000-0008-0000-0D00-00005B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28" name="Text Box 2">
          <a:extLst>
            <a:ext uri="{FF2B5EF4-FFF2-40B4-BE49-F238E27FC236}">
              <a16:creationId xmlns:a16="http://schemas.microsoft.com/office/drawing/2014/main" id="{00000000-0008-0000-0D00-00005C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29" name="Text Box 2">
          <a:extLst>
            <a:ext uri="{FF2B5EF4-FFF2-40B4-BE49-F238E27FC236}">
              <a16:creationId xmlns:a16="http://schemas.microsoft.com/office/drawing/2014/main" id="{00000000-0008-0000-0D00-00005D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30" name="Text Box 2">
          <a:extLst>
            <a:ext uri="{FF2B5EF4-FFF2-40B4-BE49-F238E27FC236}">
              <a16:creationId xmlns:a16="http://schemas.microsoft.com/office/drawing/2014/main" id="{00000000-0008-0000-0D00-00005E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31" name="Text Box 2">
          <a:extLst>
            <a:ext uri="{FF2B5EF4-FFF2-40B4-BE49-F238E27FC236}">
              <a16:creationId xmlns:a16="http://schemas.microsoft.com/office/drawing/2014/main" id="{00000000-0008-0000-0D00-00005F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32" name="Text Box 2">
          <a:extLst>
            <a:ext uri="{FF2B5EF4-FFF2-40B4-BE49-F238E27FC236}">
              <a16:creationId xmlns:a16="http://schemas.microsoft.com/office/drawing/2014/main" id="{00000000-0008-0000-0D00-000060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33" name="Text Box 2">
          <a:extLst>
            <a:ext uri="{FF2B5EF4-FFF2-40B4-BE49-F238E27FC236}">
              <a16:creationId xmlns:a16="http://schemas.microsoft.com/office/drawing/2014/main" id="{00000000-0008-0000-0D00-000061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34" name="Text Box 2">
          <a:extLst>
            <a:ext uri="{FF2B5EF4-FFF2-40B4-BE49-F238E27FC236}">
              <a16:creationId xmlns:a16="http://schemas.microsoft.com/office/drawing/2014/main" id="{00000000-0008-0000-0D00-000062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35" name="Text Box 2">
          <a:extLst>
            <a:ext uri="{FF2B5EF4-FFF2-40B4-BE49-F238E27FC236}">
              <a16:creationId xmlns:a16="http://schemas.microsoft.com/office/drawing/2014/main" id="{00000000-0008-0000-0D00-000063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36" name="Text Box 2">
          <a:extLst>
            <a:ext uri="{FF2B5EF4-FFF2-40B4-BE49-F238E27FC236}">
              <a16:creationId xmlns:a16="http://schemas.microsoft.com/office/drawing/2014/main" id="{00000000-0008-0000-0D00-000064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37" name="Text Box 2">
          <a:extLst>
            <a:ext uri="{FF2B5EF4-FFF2-40B4-BE49-F238E27FC236}">
              <a16:creationId xmlns:a16="http://schemas.microsoft.com/office/drawing/2014/main" id="{00000000-0008-0000-0D00-000065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38" name="Text Box 2">
          <a:extLst>
            <a:ext uri="{FF2B5EF4-FFF2-40B4-BE49-F238E27FC236}">
              <a16:creationId xmlns:a16="http://schemas.microsoft.com/office/drawing/2014/main" id="{00000000-0008-0000-0D00-000066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39" name="Text Box 2">
          <a:extLst>
            <a:ext uri="{FF2B5EF4-FFF2-40B4-BE49-F238E27FC236}">
              <a16:creationId xmlns:a16="http://schemas.microsoft.com/office/drawing/2014/main" id="{00000000-0008-0000-0D00-000067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40" name="Text Box 2">
          <a:extLst>
            <a:ext uri="{FF2B5EF4-FFF2-40B4-BE49-F238E27FC236}">
              <a16:creationId xmlns:a16="http://schemas.microsoft.com/office/drawing/2014/main" id="{00000000-0008-0000-0D00-000068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41" name="Text Box 2">
          <a:extLst>
            <a:ext uri="{FF2B5EF4-FFF2-40B4-BE49-F238E27FC236}">
              <a16:creationId xmlns:a16="http://schemas.microsoft.com/office/drawing/2014/main" id="{00000000-0008-0000-0D00-000069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42" name="Text Box 2">
          <a:extLst>
            <a:ext uri="{FF2B5EF4-FFF2-40B4-BE49-F238E27FC236}">
              <a16:creationId xmlns:a16="http://schemas.microsoft.com/office/drawing/2014/main" id="{00000000-0008-0000-0D00-00006A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43" name="Text Box 2">
          <a:extLst>
            <a:ext uri="{FF2B5EF4-FFF2-40B4-BE49-F238E27FC236}">
              <a16:creationId xmlns:a16="http://schemas.microsoft.com/office/drawing/2014/main" id="{00000000-0008-0000-0D00-00006B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44" name="Text Box 2">
          <a:extLst>
            <a:ext uri="{FF2B5EF4-FFF2-40B4-BE49-F238E27FC236}">
              <a16:creationId xmlns:a16="http://schemas.microsoft.com/office/drawing/2014/main" id="{00000000-0008-0000-0D00-00006C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45" name="Text Box 2">
          <a:extLst>
            <a:ext uri="{FF2B5EF4-FFF2-40B4-BE49-F238E27FC236}">
              <a16:creationId xmlns:a16="http://schemas.microsoft.com/office/drawing/2014/main" id="{00000000-0008-0000-0D00-00006D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46" name="Text Box 2">
          <a:extLst>
            <a:ext uri="{FF2B5EF4-FFF2-40B4-BE49-F238E27FC236}">
              <a16:creationId xmlns:a16="http://schemas.microsoft.com/office/drawing/2014/main" id="{00000000-0008-0000-0D00-00006E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47" name="Text Box 2">
          <a:extLst>
            <a:ext uri="{FF2B5EF4-FFF2-40B4-BE49-F238E27FC236}">
              <a16:creationId xmlns:a16="http://schemas.microsoft.com/office/drawing/2014/main" id="{00000000-0008-0000-0D00-00006F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48" name="Text Box 2">
          <a:extLst>
            <a:ext uri="{FF2B5EF4-FFF2-40B4-BE49-F238E27FC236}">
              <a16:creationId xmlns:a16="http://schemas.microsoft.com/office/drawing/2014/main" id="{00000000-0008-0000-0D00-000070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49" name="Text Box 2">
          <a:extLst>
            <a:ext uri="{FF2B5EF4-FFF2-40B4-BE49-F238E27FC236}">
              <a16:creationId xmlns:a16="http://schemas.microsoft.com/office/drawing/2014/main" id="{00000000-0008-0000-0D00-000071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50" name="Text Box 2">
          <a:extLst>
            <a:ext uri="{FF2B5EF4-FFF2-40B4-BE49-F238E27FC236}">
              <a16:creationId xmlns:a16="http://schemas.microsoft.com/office/drawing/2014/main" id="{00000000-0008-0000-0D00-000072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51" name="Text Box 2">
          <a:extLst>
            <a:ext uri="{FF2B5EF4-FFF2-40B4-BE49-F238E27FC236}">
              <a16:creationId xmlns:a16="http://schemas.microsoft.com/office/drawing/2014/main" id="{00000000-0008-0000-0D00-000073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52" name="Text Box 2">
          <a:extLst>
            <a:ext uri="{FF2B5EF4-FFF2-40B4-BE49-F238E27FC236}">
              <a16:creationId xmlns:a16="http://schemas.microsoft.com/office/drawing/2014/main" id="{00000000-0008-0000-0D00-000074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53" name="Text Box 2">
          <a:extLst>
            <a:ext uri="{FF2B5EF4-FFF2-40B4-BE49-F238E27FC236}">
              <a16:creationId xmlns:a16="http://schemas.microsoft.com/office/drawing/2014/main" id="{00000000-0008-0000-0D00-000075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54" name="Text Box 2">
          <a:extLst>
            <a:ext uri="{FF2B5EF4-FFF2-40B4-BE49-F238E27FC236}">
              <a16:creationId xmlns:a16="http://schemas.microsoft.com/office/drawing/2014/main" id="{00000000-0008-0000-0D00-000076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55" name="Text Box 2">
          <a:extLst>
            <a:ext uri="{FF2B5EF4-FFF2-40B4-BE49-F238E27FC236}">
              <a16:creationId xmlns:a16="http://schemas.microsoft.com/office/drawing/2014/main" id="{00000000-0008-0000-0D00-000077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56" name="Text Box 2">
          <a:extLst>
            <a:ext uri="{FF2B5EF4-FFF2-40B4-BE49-F238E27FC236}">
              <a16:creationId xmlns:a16="http://schemas.microsoft.com/office/drawing/2014/main" id="{00000000-0008-0000-0D00-000078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57" name="Text Box 2">
          <a:extLst>
            <a:ext uri="{FF2B5EF4-FFF2-40B4-BE49-F238E27FC236}">
              <a16:creationId xmlns:a16="http://schemas.microsoft.com/office/drawing/2014/main" id="{00000000-0008-0000-0D00-000079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58" name="Text Box 2">
          <a:extLst>
            <a:ext uri="{FF2B5EF4-FFF2-40B4-BE49-F238E27FC236}">
              <a16:creationId xmlns:a16="http://schemas.microsoft.com/office/drawing/2014/main" id="{00000000-0008-0000-0D00-00007A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59" name="Text Box 2">
          <a:extLst>
            <a:ext uri="{FF2B5EF4-FFF2-40B4-BE49-F238E27FC236}">
              <a16:creationId xmlns:a16="http://schemas.microsoft.com/office/drawing/2014/main" id="{00000000-0008-0000-0D00-00007B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60" name="Text Box 2">
          <a:extLst>
            <a:ext uri="{FF2B5EF4-FFF2-40B4-BE49-F238E27FC236}">
              <a16:creationId xmlns:a16="http://schemas.microsoft.com/office/drawing/2014/main" id="{00000000-0008-0000-0D00-00007C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61" name="Text Box 2">
          <a:extLst>
            <a:ext uri="{FF2B5EF4-FFF2-40B4-BE49-F238E27FC236}">
              <a16:creationId xmlns:a16="http://schemas.microsoft.com/office/drawing/2014/main" id="{00000000-0008-0000-0D00-00007D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62" name="Text Box 2">
          <a:extLst>
            <a:ext uri="{FF2B5EF4-FFF2-40B4-BE49-F238E27FC236}">
              <a16:creationId xmlns:a16="http://schemas.microsoft.com/office/drawing/2014/main" id="{00000000-0008-0000-0D00-00007E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63" name="Text Box 2">
          <a:extLst>
            <a:ext uri="{FF2B5EF4-FFF2-40B4-BE49-F238E27FC236}">
              <a16:creationId xmlns:a16="http://schemas.microsoft.com/office/drawing/2014/main" id="{00000000-0008-0000-0D00-00007F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64" name="Text Box 2">
          <a:extLst>
            <a:ext uri="{FF2B5EF4-FFF2-40B4-BE49-F238E27FC236}">
              <a16:creationId xmlns:a16="http://schemas.microsoft.com/office/drawing/2014/main" id="{00000000-0008-0000-0D00-000080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65" name="Text Box 2">
          <a:extLst>
            <a:ext uri="{FF2B5EF4-FFF2-40B4-BE49-F238E27FC236}">
              <a16:creationId xmlns:a16="http://schemas.microsoft.com/office/drawing/2014/main" id="{00000000-0008-0000-0D00-000081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66" name="Text Box 2">
          <a:extLst>
            <a:ext uri="{FF2B5EF4-FFF2-40B4-BE49-F238E27FC236}">
              <a16:creationId xmlns:a16="http://schemas.microsoft.com/office/drawing/2014/main" id="{00000000-0008-0000-0D00-000082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67" name="Text Box 2">
          <a:extLst>
            <a:ext uri="{FF2B5EF4-FFF2-40B4-BE49-F238E27FC236}">
              <a16:creationId xmlns:a16="http://schemas.microsoft.com/office/drawing/2014/main" id="{00000000-0008-0000-0D00-000083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68" name="Text Box 2">
          <a:extLst>
            <a:ext uri="{FF2B5EF4-FFF2-40B4-BE49-F238E27FC236}">
              <a16:creationId xmlns:a16="http://schemas.microsoft.com/office/drawing/2014/main" id="{00000000-0008-0000-0D00-000084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69" name="Text Box 2">
          <a:extLst>
            <a:ext uri="{FF2B5EF4-FFF2-40B4-BE49-F238E27FC236}">
              <a16:creationId xmlns:a16="http://schemas.microsoft.com/office/drawing/2014/main" id="{00000000-0008-0000-0D00-000085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70" name="Text Box 2">
          <a:extLst>
            <a:ext uri="{FF2B5EF4-FFF2-40B4-BE49-F238E27FC236}">
              <a16:creationId xmlns:a16="http://schemas.microsoft.com/office/drawing/2014/main" id="{00000000-0008-0000-0D00-000086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71" name="Text Box 2">
          <a:extLst>
            <a:ext uri="{FF2B5EF4-FFF2-40B4-BE49-F238E27FC236}">
              <a16:creationId xmlns:a16="http://schemas.microsoft.com/office/drawing/2014/main" id="{00000000-0008-0000-0D00-000087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72" name="Text Box 2">
          <a:extLst>
            <a:ext uri="{FF2B5EF4-FFF2-40B4-BE49-F238E27FC236}">
              <a16:creationId xmlns:a16="http://schemas.microsoft.com/office/drawing/2014/main" id="{00000000-0008-0000-0D00-000088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73" name="Text Box 2">
          <a:extLst>
            <a:ext uri="{FF2B5EF4-FFF2-40B4-BE49-F238E27FC236}">
              <a16:creationId xmlns:a16="http://schemas.microsoft.com/office/drawing/2014/main" id="{00000000-0008-0000-0D00-000089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74" name="Text Box 2">
          <a:extLst>
            <a:ext uri="{FF2B5EF4-FFF2-40B4-BE49-F238E27FC236}">
              <a16:creationId xmlns:a16="http://schemas.microsoft.com/office/drawing/2014/main" id="{00000000-0008-0000-0D00-00008A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75" name="Text Box 2">
          <a:extLst>
            <a:ext uri="{FF2B5EF4-FFF2-40B4-BE49-F238E27FC236}">
              <a16:creationId xmlns:a16="http://schemas.microsoft.com/office/drawing/2014/main" id="{00000000-0008-0000-0D00-00008B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76" name="Text Box 2">
          <a:extLst>
            <a:ext uri="{FF2B5EF4-FFF2-40B4-BE49-F238E27FC236}">
              <a16:creationId xmlns:a16="http://schemas.microsoft.com/office/drawing/2014/main" id="{00000000-0008-0000-0D00-00008C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77" name="Text Box 2">
          <a:extLst>
            <a:ext uri="{FF2B5EF4-FFF2-40B4-BE49-F238E27FC236}">
              <a16:creationId xmlns:a16="http://schemas.microsoft.com/office/drawing/2014/main" id="{00000000-0008-0000-0D00-00008D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78" name="Text Box 2">
          <a:extLst>
            <a:ext uri="{FF2B5EF4-FFF2-40B4-BE49-F238E27FC236}">
              <a16:creationId xmlns:a16="http://schemas.microsoft.com/office/drawing/2014/main" id="{00000000-0008-0000-0D00-00008E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79" name="Text Box 2">
          <a:extLst>
            <a:ext uri="{FF2B5EF4-FFF2-40B4-BE49-F238E27FC236}">
              <a16:creationId xmlns:a16="http://schemas.microsoft.com/office/drawing/2014/main" id="{00000000-0008-0000-0D00-00008F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80" name="Text Box 2">
          <a:extLst>
            <a:ext uri="{FF2B5EF4-FFF2-40B4-BE49-F238E27FC236}">
              <a16:creationId xmlns:a16="http://schemas.microsoft.com/office/drawing/2014/main" id="{00000000-0008-0000-0D00-000090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81" name="Text Box 2">
          <a:extLst>
            <a:ext uri="{FF2B5EF4-FFF2-40B4-BE49-F238E27FC236}">
              <a16:creationId xmlns:a16="http://schemas.microsoft.com/office/drawing/2014/main" id="{00000000-0008-0000-0D00-000091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82" name="Text Box 2">
          <a:extLst>
            <a:ext uri="{FF2B5EF4-FFF2-40B4-BE49-F238E27FC236}">
              <a16:creationId xmlns:a16="http://schemas.microsoft.com/office/drawing/2014/main" id="{00000000-0008-0000-0D00-000092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83" name="Text Box 2">
          <a:extLst>
            <a:ext uri="{FF2B5EF4-FFF2-40B4-BE49-F238E27FC236}">
              <a16:creationId xmlns:a16="http://schemas.microsoft.com/office/drawing/2014/main" id="{00000000-0008-0000-0D00-000093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84" name="Text Box 2">
          <a:extLst>
            <a:ext uri="{FF2B5EF4-FFF2-40B4-BE49-F238E27FC236}">
              <a16:creationId xmlns:a16="http://schemas.microsoft.com/office/drawing/2014/main" id="{00000000-0008-0000-0D00-000094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85" name="Text Box 2">
          <a:extLst>
            <a:ext uri="{FF2B5EF4-FFF2-40B4-BE49-F238E27FC236}">
              <a16:creationId xmlns:a16="http://schemas.microsoft.com/office/drawing/2014/main" id="{00000000-0008-0000-0D00-000095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86" name="Text Box 2">
          <a:extLst>
            <a:ext uri="{FF2B5EF4-FFF2-40B4-BE49-F238E27FC236}">
              <a16:creationId xmlns:a16="http://schemas.microsoft.com/office/drawing/2014/main" id="{00000000-0008-0000-0D00-000096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87" name="Text Box 2">
          <a:extLst>
            <a:ext uri="{FF2B5EF4-FFF2-40B4-BE49-F238E27FC236}">
              <a16:creationId xmlns:a16="http://schemas.microsoft.com/office/drawing/2014/main" id="{00000000-0008-0000-0D00-000097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88" name="Text Box 2">
          <a:extLst>
            <a:ext uri="{FF2B5EF4-FFF2-40B4-BE49-F238E27FC236}">
              <a16:creationId xmlns:a16="http://schemas.microsoft.com/office/drawing/2014/main" id="{00000000-0008-0000-0D00-000098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89" name="Text Box 2">
          <a:extLst>
            <a:ext uri="{FF2B5EF4-FFF2-40B4-BE49-F238E27FC236}">
              <a16:creationId xmlns:a16="http://schemas.microsoft.com/office/drawing/2014/main" id="{00000000-0008-0000-0D00-000099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90" name="Text Box 2">
          <a:extLst>
            <a:ext uri="{FF2B5EF4-FFF2-40B4-BE49-F238E27FC236}">
              <a16:creationId xmlns:a16="http://schemas.microsoft.com/office/drawing/2014/main" id="{00000000-0008-0000-0D00-00009A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91" name="Text Box 2">
          <a:extLst>
            <a:ext uri="{FF2B5EF4-FFF2-40B4-BE49-F238E27FC236}">
              <a16:creationId xmlns:a16="http://schemas.microsoft.com/office/drawing/2014/main" id="{00000000-0008-0000-0D00-00009B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92" name="Text Box 2">
          <a:extLst>
            <a:ext uri="{FF2B5EF4-FFF2-40B4-BE49-F238E27FC236}">
              <a16:creationId xmlns:a16="http://schemas.microsoft.com/office/drawing/2014/main" id="{00000000-0008-0000-0D00-00009C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93" name="Text Box 2">
          <a:extLst>
            <a:ext uri="{FF2B5EF4-FFF2-40B4-BE49-F238E27FC236}">
              <a16:creationId xmlns:a16="http://schemas.microsoft.com/office/drawing/2014/main" id="{00000000-0008-0000-0D00-00009D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94" name="Text Box 2">
          <a:extLst>
            <a:ext uri="{FF2B5EF4-FFF2-40B4-BE49-F238E27FC236}">
              <a16:creationId xmlns:a16="http://schemas.microsoft.com/office/drawing/2014/main" id="{00000000-0008-0000-0D00-00009E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95" name="Text Box 2">
          <a:extLst>
            <a:ext uri="{FF2B5EF4-FFF2-40B4-BE49-F238E27FC236}">
              <a16:creationId xmlns:a16="http://schemas.microsoft.com/office/drawing/2014/main" id="{00000000-0008-0000-0D00-00009F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96" name="Text Box 2">
          <a:extLst>
            <a:ext uri="{FF2B5EF4-FFF2-40B4-BE49-F238E27FC236}">
              <a16:creationId xmlns:a16="http://schemas.microsoft.com/office/drawing/2014/main" id="{00000000-0008-0000-0D00-0000A0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97" name="Text Box 2">
          <a:extLst>
            <a:ext uri="{FF2B5EF4-FFF2-40B4-BE49-F238E27FC236}">
              <a16:creationId xmlns:a16="http://schemas.microsoft.com/office/drawing/2014/main" id="{00000000-0008-0000-0D00-0000A1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98" name="Text Box 2">
          <a:extLst>
            <a:ext uri="{FF2B5EF4-FFF2-40B4-BE49-F238E27FC236}">
              <a16:creationId xmlns:a16="http://schemas.microsoft.com/office/drawing/2014/main" id="{00000000-0008-0000-0D00-0000A2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699" name="Text Box 2">
          <a:extLst>
            <a:ext uri="{FF2B5EF4-FFF2-40B4-BE49-F238E27FC236}">
              <a16:creationId xmlns:a16="http://schemas.microsoft.com/office/drawing/2014/main" id="{00000000-0008-0000-0D00-0000A3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00" name="Text Box 2">
          <a:extLst>
            <a:ext uri="{FF2B5EF4-FFF2-40B4-BE49-F238E27FC236}">
              <a16:creationId xmlns:a16="http://schemas.microsoft.com/office/drawing/2014/main" id="{00000000-0008-0000-0D00-0000A4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01" name="Text Box 2">
          <a:extLst>
            <a:ext uri="{FF2B5EF4-FFF2-40B4-BE49-F238E27FC236}">
              <a16:creationId xmlns:a16="http://schemas.microsoft.com/office/drawing/2014/main" id="{00000000-0008-0000-0D00-0000A5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35605</xdr:rowOff>
    </xdr:to>
    <xdr:sp macro="" textlink="">
      <xdr:nvSpPr>
        <xdr:cNvPr id="1702" name="Text Box 2">
          <a:extLst>
            <a:ext uri="{FF2B5EF4-FFF2-40B4-BE49-F238E27FC236}">
              <a16:creationId xmlns:a16="http://schemas.microsoft.com/office/drawing/2014/main" id="{00000000-0008-0000-0D00-0000A6060000}"/>
            </a:ext>
          </a:extLst>
        </xdr:cNvPr>
        <xdr:cNvSpPr txBox="1">
          <a:spLocks noChangeArrowheads="1"/>
        </xdr:cNvSpPr>
      </xdr:nvSpPr>
      <xdr:spPr bwMode="auto">
        <a:xfrm>
          <a:off x="44815125" y="36871275"/>
          <a:ext cx="95250" cy="220662"/>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03" name="Text Box 2">
          <a:extLst>
            <a:ext uri="{FF2B5EF4-FFF2-40B4-BE49-F238E27FC236}">
              <a16:creationId xmlns:a16="http://schemas.microsoft.com/office/drawing/2014/main" id="{00000000-0008-0000-0D00-0000A7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04" name="Text Box 2">
          <a:extLst>
            <a:ext uri="{FF2B5EF4-FFF2-40B4-BE49-F238E27FC236}">
              <a16:creationId xmlns:a16="http://schemas.microsoft.com/office/drawing/2014/main" id="{00000000-0008-0000-0D00-0000A8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05" name="Text Box 2">
          <a:extLst>
            <a:ext uri="{FF2B5EF4-FFF2-40B4-BE49-F238E27FC236}">
              <a16:creationId xmlns:a16="http://schemas.microsoft.com/office/drawing/2014/main" id="{00000000-0008-0000-0D00-0000A9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06" name="Text Box 2">
          <a:extLst>
            <a:ext uri="{FF2B5EF4-FFF2-40B4-BE49-F238E27FC236}">
              <a16:creationId xmlns:a16="http://schemas.microsoft.com/office/drawing/2014/main" id="{00000000-0008-0000-0D00-0000AA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07" name="Text Box 2">
          <a:extLst>
            <a:ext uri="{FF2B5EF4-FFF2-40B4-BE49-F238E27FC236}">
              <a16:creationId xmlns:a16="http://schemas.microsoft.com/office/drawing/2014/main" id="{00000000-0008-0000-0D00-0000AB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08" name="Text Box 2">
          <a:extLst>
            <a:ext uri="{FF2B5EF4-FFF2-40B4-BE49-F238E27FC236}">
              <a16:creationId xmlns:a16="http://schemas.microsoft.com/office/drawing/2014/main" id="{00000000-0008-0000-0D00-0000AC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09" name="Text Box 2">
          <a:extLst>
            <a:ext uri="{FF2B5EF4-FFF2-40B4-BE49-F238E27FC236}">
              <a16:creationId xmlns:a16="http://schemas.microsoft.com/office/drawing/2014/main" id="{00000000-0008-0000-0D00-0000AD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10" name="Text Box 2">
          <a:extLst>
            <a:ext uri="{FF2B5EF4-FFF2-40B4-BE49-F238E27FC236}">
              <a16:creationId xmlns:a16="http://schemas.microsoft.com/office/drawing/2014/main" id="{00000000-0008-0000-0D00-0000AE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11" name="Text Box 2">
          <a:extLst>
            <a:ext uri="{FF2B5EF4-FFF2-40B4-BE49-F238E27FC236}">
              <a16:creationId xmlns:a16="http://schemas.microsoft.com/office/drawing/2014/main" id="{00000000-0008-0000-0D00-0000AF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12" name="Text Box 2">
          <a:extLst>
            <a:ext uri="{FF2B5EF4-FFF2-40B4-BE49-F238E27FC236}">
              <a16:creationId xmlns:a16="http://schemas.microsoft.com/office/drawing/2014/main" id="{00000000-0008-0000-0D00-0000B0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13" name="Text Box 2">
          <a:extLst>
            <a:ext uri="{FF2B5EF4-FFF2-40B4-BE49-F238E27FC236}">
              <a16:creationId xmlns:a16="http://schemas.microsoft.com/office/drawing/2014/main" id="{00000000-0008-0000-0D00-0000B1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14" name="Text Box 2">
          <a:extLst>
            <a:ext uri="{FF2B5EF4-FFF2-40B4-BE49-F238E27FC236}">
              <a16:creationId xmlns:a16="http://schemas.microsoft.com/office/drawing/2014/main" id="{00000000-0008-0000-0D00-0000B2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15" name="Text Box 2">
          <a:extLst>
            <a:ext uri="{FF2B5EF4-FFF2-40B4-BE49-F238E27FC236}">
              <a16:creationId xmlns:a16="http://schemas.microsoft.com/office/drawing/2014/main" id="{00000000-0008-0000-0D00-0000B3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16" name="Text Box 2">
          <a:extLst>
            <a:ext uri="{FF2B5EF4-FFF2-40B4-BE49-F238E27FC236}">
              <a16:creationId xmlns:a16="http://schemas.microsoft.com/office/drawing/2014/main" id="{00000000-0008-0000-0D00-0000B4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17" name="Text Box 2">
          <a:extLst>
            <a:ext uri="{FF2B5EF4-FFF2-40B4-BE49-F238E27FC236}">
              <a16:creationId xmlns:a16="http://schemas.microsoft.com/office/drawing/2014/main" id="{00000000-0008-0000-0D00-0000B5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18" name="Text Box 2">
          <a:extLst>
            <a:ext uri="{FF2B5EF4-FFF2-40B4-BE49-F238E27FC236}">
              <a16:creationId xmlns:a16="http://schemas.microsoft.com/office/drawing/2014/main" id="{00000000-0008-0000-0D00-0000B6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19" name="Text Box 2">
          <a:extLst>
            <a:ext uri="{FF2B5EF4-FFF2-40B4-BE49-F238E27FC236}">
              <a16:creationId xmlns:a16="http://schemas.microsoft.com/office/drawing/2014/main" id="{00000000-0008-0000-0D00-0000B7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20" name="Text Box 2">
          <a:extLst>
            <a:ext uri="{FF2B5EF4-FFF2-40B4-BE49-F238E27FC236}">
              <a16:creationId xmlns:a16="http://schemas.microsoft.com/office/drawing/2014/main" id="{00000000-0008-0000-0D00-0000B8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21" name="Text Box 2">
          <a:extLst>
            <a:ext uri="{FF2B5EF4-FFF2-40B4-BE49-F238E27FC236}">
              <a16:creationId xmlns:a16="http://schemas.microsoft.com/office/drawing/2014/main" id="{00000000-0008-0000-0D00-0000B9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22" name="Text Box 2">
          <a:extLst>
            <a:ext uri="{FF2B5EF4-FFF2-40B4-BE49-F238E27FC236}">
              <a16:creationId xmlns:a16="http://schemas.microsoft.com/office/drawing/2014/main" id="{00000000-0008-0000-0D00-0000BA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23" name="Text Box 2">
          <a:extLst>
            <a:ext uri="{FF2B5EF4-FFF2-40B4-BE49-F238E27FC236}">
              <a16:creationId xmlns:a16="http://schemas.microsoft.com/office/drawing/2014/main" id="{00000000-0008-0000-0D00-0000BB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24" name="Text Box 2">
          <a:extLst>
            <a:ext uri="{FF2B5EF4-FFF2-40B4-BE49-F238E27FC236}">
              <a16:creationId xmlns:a16="http://schemas.microsoft.com/office/drawing/2014/main" id="{00000000-0008-0000-0D00-0000BC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25" name="Text Box 2">
          <a:extLst>
            <a:ext uri="{FF2B5EF4-FFF2-40B4-BE49-F238E27FC236}">
              <a16:creationId xmlns:a16="http://schemas.microsoft.com/office/drawing/2014/main" id="{00000000-0008-0000-0D00-0000BD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26" name="Text Box 2">
          <a:extLst>
            <a:ext uri="{FF2B5EF4-FFF2-40B4-BE49-F238E27FC236}">
              <a16:creationId xmlns:a16="http://schemas.microsoft.com/office/drawing/2014/main" id="{00000000-0008-0000-0D00-0000BE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27" name="Text Box 2">
          <a:extLst>
            <a:ext uri="{FF2B5EF4-FFF2-40B4-BE49-F238E27FC236}">
              <a16:creationId xmlns:a16="http://schemas.microsoft.com/office/drawing/2014/main" id="{00000000-0008-0000-0D00-0000BF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28" name="Text Box 2">
          <a:extLst>
            <a:ext uri="{FF2B5EF4-FFF2-40B4-BE49-F238E27FC236}">
              <a16:creationId xmlns:a16="http://schemas.microsoft.com/office/drawing/2014/main" id="{00000000-0008-0000-0D00-0000C0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29" name="Text Box 2">
          <a:extLst>
            <a:ext uri="{FF2B5EF4-FFF2-40B4-BE49-F238E27FC236}">
              <a16:creationId xmlns:a16="http://schemas.microsoft.com/office/drawing/2014/main" id="{00000000-0008-0000-0D00-0000C1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30" name="Text Box 2">
          <a:extLst>
            <a:ext uri="{FF2B5EF4-FFF2-40B4-BE49-F238E27FC236}">
              <a16:creationId xmlns:a16="http://schemas.microsoft.com/office/drawing/2014/main" id="{00000000-0008-0000-0D00-0000C2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195</xdr:row>
      <xdr:rowOff>0</xdr:rowOff>
    </xdr:from>
    <xdr:to>
      <xdr:col>49</xdr:col>
      <xdr:colOff>95250</xdr:colOff>
      <xdr:row>196</xdr:row>
      <xdr:rowOff>37192</xdr:rowOff>
    </xdr:to>
    <xdr:sp macro="" textlink="">
      <xdr:nvSpPr>
        <xdr:cNvPr id="1731" name="Text Box 2">
          <a:extLst>
            <a:ext uri="{FF2B5EF4-FFF2-40B4-BE49-F238E27FC236}">
              <a16:creationId xmlns:a16="http://schemas.microsoft.com/office/drawing/2014/main" id="{00000000-0008-0000-0D00-0000C3060000}"/>
            </a:ext>
          </a:extLst>
        </xdr:cNvPr>
        <xdr:cNvSpPr txBox="1">
          <a:spLocks noChangeArrowheads="1"/>
        </xdr:cNvSpPr>
      </xdr:nvSpPr>
      <xdr:spPr bwMode="auto">
        <a:xfrm>
          <a:off x="44815125" y="36871275"/>
          <a:ext cx="95250" cy="222249"/>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32" name="Text Box 2">
          <a:extLst>
            <a:ext uri="{FF2B5EF4-FFF2-40B4-BE49-F238E27FC236}">
              <a16:creationId xmlns:a16="http://schemas.microsoft.com/office/drawing/2014/main" id="{00000000-0008-0000-0D00-0000C4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33" name="Text Box 2">
          <a:extLst>
            <a:ext uri="{FF2B5EF4-FFF2-40B4-BE49-F238E27FC236}">
              <a16:creationId xmlns:a16="http://schemas.microsoft.com/office/drawing/2014/main" id="{00000000-0008-0000-0D00-0000C5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34" name="Text Box 2">
          <a:extLst>
            <a:ext uri="{FF2B5EF4-FFF2-40B4-BE49-F238E27FC236}">
              <a16:creationId xmlns:a16="http://schemas.microsoft.com/office/drawing/2014/main" id="{00000000-0008-0000-0D00-0000C6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35" name="Text Box 2">
          <a:extLst>
            <a:ext uri="{FF2B5EF4-FFF2-40B4-BE49-F238E27FC236}">
              <a16:creationId xmlns:a16="http://schemas.microsoft.com/office/drawing/2014/main" id="{00000000-0008-0000-0D00-0000C7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36" name="Text Box 2">
          <a:extLst>
            <a:ext uri="{FF2B5EF4-FFF2-40B4-BE49-F238E27FC236}">
              <a16:creationId xmlns:a16="http://schemas.microsoft.com/office/drawing/2014/main" id="{00000000-0008-0000-0D00-0000C8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37" name="Text Box 2">
          <a:extLst>
            <a:ext uri="{FF2B5EF4-FFF2-40B4-BE49-F238E27FC236}">
              <a16:creationId xmlns:a16="http://schemas.microsoft.com/office/drawing/2014/main" id="{00000000-0008-0000-0D00-0000C9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38" name="Text Box 2">
          <a:extLst>
            <a:ext uri="{FF2B5EF4-FFF2-40B4-BE49-F238E27FC236}">
              <a16:creationId xmlns:a16="http://schemas.microsoft.com/office/drawing/2014/main" id="{00000000-0008-0000-0D00-0000CA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39" name="Text Box 2">
          <a:extLst>
            <a:ext uri="{FF2B5EF4-FFF2-40B4-BE49-F238E27FC236}">
              <a16:creationId xmlns:a16="http://schemas.microsoft.com/office/drawing/2014/main" id="{00000000-0008-0000-0D00-0000CB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40" name="Text Box 2">
          <a:extLst>
            <a:ext uri="{FF2B5EF4-FFF2-40B4-BE49-F238E27FC236}">
              <a16:creationId xmlns:a16="http://schemas.microsoft.com/office/drawing/2014/main" id="{00000000-0008-0000-0D00-0000CC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41" name="Text Box 2">
          <a:extLst>
            <a:ext uri="{FF2B5EF4-FFF2-40B4-BE49-F238E27FC236}">
              <a16:creationId xmlns:a16="http://schemas.microsoft.com/office/drawing/2014/main" id="{00000000-0008-0000-0D00-0000CD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42" name="Text Box 2">
          <a:extLst>
            <a:ext uri="{FF2B5EF4-FFF2-40B4-BE49-F238E27FC236}">
              <a16:creationId xmlns:a16="http://schemas.microsoft.com/office/drawing/2014/main" id="{00000000-0008-0000-0D00-0000CE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43" name="Text Box 2">
          <a:extLst>
            <a:ext uri="{FF2B5EF4-FFF2-40B4-BE49-F238E27FC236}">
              <a16:creationId xmlns:a16="http://schemas.microsoft.com/office/drawing/2014/main" id="{00000000-0008-0000-0D00-0000CF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44" name="Text Box 2">
          <a:extLst>
            <a:ext uri="{FF2B5EF4-FFF2-40B4-BE49-F238E27FC236}">
              <a16:creationId xmlns:a16="http://schemas.microsoft.com/office/drawing/2014/main" id="{00000000-0008-0000-0D00-0000D0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45" name="Text Box 2">
          <a:extLst>
            <a:ext uri="{FF2B5EF4-FFF2-40B4-BE49-F238E27FC236}">
              <a16:creationId xmlns:a16="http://schemas.microsoft.com/office/drawing/2014/main" id="{00000000-0008-0000-0D00-0000D1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46" name="Text Box 2">
          <a:extLst>
            <a:ext uri="{FF2B5EF4-FFF2-40B4-BE49-F238E27FC236}">
              <a16:creationId xmlns:a16="http://schemas.microsoft.com/office/drawing/2014/main" id="{00000000-0008-0000-0D00-0000D2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47" name="Text Box 2">
          <a:extLst>
            <a:ext uri="{FF2B5EF4-FFF2-40B4-BE49-F238E27FC236}">
              <a16:creationId xmlns:a16="http://schemas.microsoft.com/office/drawing/2014/main" id="{00000000-0008-0000-0D00-0000D3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48" name="Text Box 2">
          <a:extLst>
            <a:ext uri="{FF2B5EF4-FFF2-40B4-BE49-F238E27FC236}">
              <a16:creationId xmlns:a16="http://schemas.microsoft.com/office/drawing/2014/main" id="{00000000-0008-0000-0D00-0000D4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49" name="Text Box 2">
          <a:extLst>
            <a:ext uri="{FF2B5EF4-FFF2-40B4-BE49-F238E27FC236}">
              <a16:creationId xmlns:a16="http://schemas.microsoft.com/office/drawing/2014/main" id="{00000000-0008-0000-0D00-0000D5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50" name="Text Box 2">
          <a:extLst>
            <a:ext uri="{FF2B5EF4-FFF2-40B4-BE49-F238E27FC236}">
              <a16:creationId xmlns:a16="http://schemas.microsoft.com/office/drawing/2014/main" id="{00000000-0008-0000-0D00-0000D6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51" name="Text Box 2">
          <a:extLst>
            <a:ext uri="{FF2B5EF4-FFF2-40B4-BE49-F238E27FC236}">
              <a16:creationId xmlns:a16="http://schemas.microsoft.com/office/drawing/2014/main" id="{00000000-0008-0000-0D00-0000D7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52" name="Text Box 2">
          <a:extLst>
            <a:ext uri="{FF2B5EF4-FFF2-40B4-BE49-F238E27FC236}">
              <a16:creationId xmlns:a16="http://schemas.microsoft.com/office/drawing/2014/main" id="{00000000-0008-0000-0D00-0000D8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53" name="Text Box 2">
          <a:extLst>
            <a:ext uri="{FF2B5EF4-FFF2-40B4-BE49-F238E27FC236}">
              <a16:creationId xmlns:a16="http://schemas.microsoft.com/office/drawing/2014/main" id="{00000000-0008-0000-0D00-0000D9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54" name="Text Box 2">
          <a:extLst>
            <a:ext uri="{FF2B5EF4-FFF2-40B4-BE49-F238E27FC236}">
              <a16:creationId xmlns:a16="http://schemas.microsoft.com/office/drawing/2014/main" id="{00000000-0008-0000-0D00-0000DA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55" name="Text Box 2">
          <a:extLst>
            <a:ext uri="{FF2B5EF4-FFF2-40B4-BE49-F238E27FC236}">
              <a16:creationId xmlns:a16="http://schemas.microsoft.com/office/drawing/2014/main" id="{00000000-0008-0000-0D00-0000DB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56" name="Text Box 2">
          <a:extLst>
            <a:ext uri="{FF2B5EF4-FFF2-40B4-BE49-F238E27FC236}">
              <a16:creationId xmlns:a16="http://schemas.microsoft.com/office/drawing/2014/main" id="{00000000-0008-0000-0D00-0000DC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57" name="Text Box 2">
          <a:extLst>
            <a:ext uri="{FF2B5EF4-FFF2-40B4-BE49-F238E27FC236}">
              <a16:creationId xmlns:a16="http://schemas.microsoft.com/office/drawing/2014/main" id="{00000000-0008-0000-0D00-0000DD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58" name="Text Box 2">
          <a:extLst>
            <a:ext uri="{FF2B5EF4-FFF2-40B4-BE49-F238E27FC236}">
              <a16:creationId xmlns:a16="http://schemas.microsoft.com/office/drawing/2014/main" id="{00000000-0008-0000-0D00-0000DE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59" name="Text Box 2">
          <a:extLst>
            <a:ext uri="{FF2B5EF4-FFF2-40B4-BE49-F238E27FC236}">
              <a16:creationId xmlns:a16="http://schemas.microsoft.com/office/drawing/2014/main" id="{00000000-0008-0000-0D00-0000DF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60" name="Text Box 2">
          <a:extLst>
            <a:ext uri="{FF2B5EF4-FFF2-40B4-BE49-F238E27FC236}">
              <a16:creationId xmlns:a16="http://schemas.microsoft.com/office/drawing/2014/main" id="{00000000-0008-0000-0D00-0000E0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61" name="Text Box 2">
          <a:extLst>
            <a:ext uri="{FF2B5EF4-FFF2-40B4-BE49-F238E27FC236}">
              <a16:creationId xmlns:a16="http://schemas.microsoft.com/office/drawing/2014/main" id="{00000000-0008-0000-0D00-0000E1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62" name="Text Box 2">
          <a:extLst>
            <a:ext uri="{FF2B5EF4-FFF2-40B4-BE49-F238E27FC236}">
              <a16:creationId xmlns:a16="http://schemas.microsoft.com/office/drawing/2014/main" id="{00000000-0008-0000-0D00-0000E2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63" name="Text Box 2">
          <a:extLst>
            <a:ext uri="{FF2B5EF4-FFF2-40B4-BE49-F238E27FC236}">
              <a16:creationId xmlns:a16="http://schemas.microsoft.com/office/drawing/2014/main" id="{00000000-0008-0000-0D00-0000E3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64" name="Text Box 2">
          <a:extLst>
            <a:ext uri="{FF2B5EF4-FFF2-40B4-BE49-F238E27FC236}">
              <a16:creationId xmlns:a16="http://schemas.microsoft.com/office/drawing/2014/main" id="{00000000-0008-0000-0D00-0000E4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65" name="Text Box 2">
          <a:extLst>
            <a:ext uri="{FF2B5EF4-FFF2-40B4-BE49-F238E27FC236}">
              <a16:creationId xmlns:a16="http://schemas.microsoft.com/office/drawing/2014/main" id="{00000000-0008-0000-0D00-0000E5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66" name="Text Box 2">
          <a:extLst>
            <a:ext uri="{FF2B5EF4-FFF2-40B4-BE49-F238E27FC236}">
              <a16:creationId xmlns:a16="http://schemas.microsoft.com/office/drawing/2014/main" id="{00000000-0008-0000-0D00-0000E6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67" name="Text Box 2">
          <a:extLst>
            <a:ext uri="{FF2B5EF4-FFF2-40B4-BE49-F238E27FC236}">
              <a16:creationId xmlns:a16="http://schemas.microsoft.com/office/drawing/2014/main" id="{00000000-0008-0000-0D00-0000E7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68" name="Text Box 2">
          <a:extLst>
            <a:ext uri="{FF2B5EF4-FFF2-40B4-BE49-F238E27FC236}">
              <a16:creationId xmlns:a16="http://schemas.microsoft.com/office/drawing/2014/main" id="{00000000-0008-0000-0D00-0000E8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69" name="Text Box 2">
          <a:extLst>
            <a:ext uri="{FF2B5EF4-FFF2-40B4-BE49-F238E27FC236}">
              <a16:creationId xmlns:a16="http://schemas.microsoft.com/office/drawing/2014/main" id="{00000000-0008-0000-0D00-0000E9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70" name="Text Box 2">
          <a:extLst>
            <a:ext uri="{FF2B5EF4-FFF2-40B4-BE49-F238E27FC236}">
              <a16:creationId xmlns:a16="http://schemas.microsoft.com/office/drawing/2014/main" id="{00000000-0008-0000-0D00-0000EA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71" name="Text Box 2">
          <a:extLst>
            <a:ext uri="{FF2B5EF4-FFF2-40B4-BE49-F238E27FC236}">
              <a16:creationId xmlns:a16="http://schemas.microsoft.com/office/drawing/2014/main" id="{00000000-0008-0000-0D00-0000EB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72" name="Text Box 2">
          <a:extLst>
            <a:ext uri="{FF2B5EF4-FFF2-40B4-BE49-F238E27FC236}">
              <a16:creationId xmlns:a16="http://schemas.microsoft.com/office/drawing/2014/main" id="{00000000-0008-0000-0D00-0000EC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73" name="Text Box 2">
          <a:extLst>
            <a:ext uri="{FF2B5EF4-FFF2-40B4-BE49-F238E27FC236}">
              <a16:creationId xmlns:a16="http://schemas.microsoft.com/office/drawing/2014/main" id="{00000000-0008-0000-0D00-0000ED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74" name="Text Box 2">
          <a:extLst>
            <a:ext uri="{FF2B5EF4-FFF2-40B4-BE49-F238E27FC236}">
              <a16:creationId xmlns:a16="http://schemas.microsoft.com/office/drawing/2014/main" id="{00000000-0008-0000-0D00-0000EE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75" name="Text Box 2">
          <a:extLst>
            <a:ext uri="{FF2B5EF4-FFF2-40B4-BE49-F238E27FC236}">
              <a16:creationId xmlns:a16="http://schemas.microsoft.com/office/drawing/2014/main" id="{00000000-0008-0000-0D00-0000EF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76" name="Text Box 2">
          <a:extLst>
            <a:ext uri="{FF2B5EF4-FFF2-40B4-BE49-F238E27FC236}">
              <a16:creationId xmlns:a16="http://schemas.microsoft.com/office/drawing/2014/main" id="{00000000-0008-0000-0D00-0000F0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77" name="Text Box 2">
          <a:extLst>
            <a:ext uri="{FF2B5EF4-FFF2-40B4-BE49-F238E27FC236}">
              <a16:creationId xmlns:a16="http://schemas.microsoft.com/office/drawing/2014/main" id="{00000000-0008-0000-0D00-0000F1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78" name="Text Box 2">
          <a:extLst>
            <a:ext uri="{FF2B5EF4-FFF2-40B4-BE49-F238E27FC236}">
              <a16:creationId xmlns:a16="http://schemas.microsoft.com/office/drawing/2014/main" id="{00000000-0008-0000-0D00-0000F2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79" name="Text Box 2">
          <a:extLst>
            <a:ext uri="{FF2B5EF4-FFF2-40B4-BE49-F238E27FC236}">
              <a16:creationId xmlns:a16="http://schemas.microsoft.com/office/drawing/2014/main" id="{00000000-0008-0000-0D00-0000F3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80" name="Text Box 2">
          <a:extLst>
            <a:ext uri="{FF2B5EF4-FFF2-40B4-BE49-F238E27FC236}">
              <a16:creationId xmlns:a16="http://schemas.microsoft.com/office/drawing/2014/main" id="{00000000-0008-0000-0D00-0000F4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81" name="Text Box 2">
          <a:extLst>
            <a:ext uri="{FF2B5EF4-FFF2-40B4-BE49-F238E27FC236}">
              <a16:creationId xmlns:a16="http://schemas.microsoft.com/office/drawing/2014/main" id="{00000000-0008-0000-0D00-0000F5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82" name="Text Box 2">
          <a:extLst>
            <a:ext uri="{FF2B5EF4-FFF2-40B4-BE49-F238E27FC236}">
              <a16:creationId xmlns:a16="http://schemas.microsoft.com/office/drawing/2014/main" id="{00000000-0008-0000-0D00-0000F6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83" name="Text Box 2">
          <a:extLst>
            <a:ext uri="{FF2B5EF4-FFF2-40B4-BE49-F238E27FC236}">
              <a16:creationId xmlns:a16="http://schemas.microsoft.com/office/drawing/2014/main" id="{00000000-0008-0000-0D00-0000F7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84" name="Text Box 2">
          <a:extLst>
            <a:ext uri="{FF2B5EF4-FFF2-40B4-BE49-F238E27FC236}">
              <a16:creationId xmlns:a16="http://schemas.microsoft.com/office/drawing/2014/main" id="{00000000-0008-0000-0D00-0000F8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85" name="Text Box 2">
          <a:extLst>
            <a:ext uri="{FF2B5EF4-FFF2-40B4-BE49-F238E27FC236}">
              <a16:creationId xmlns:a16="http://schemas.microsoft.com/office/drawing/2014/main" id="{00000000-0008-0000-0D00-0000F9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86" name="Text Box 2">
          <a:extLst>
            <a:ext uri="{FF2B5EF4-FFF2-40B4-BE49-F238E27FC236}">
              <a16:creationId xmlns:a16="http://schemas.microsoft.com/office/drawing/2014/main" id="{00000000-0008-0000-0D00-0000FA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87" name="Text Box 2">
          <a:extLst>
            <a:ext uri="{FF2B5EF4-FFF2-40B4-BE49-F238E27FC236}">
              <a16:creationId xmlns:a16="http://schemas.microsoft.com/office/drawing/2014/main" id="{00000000-0008-0000-0D00-0000FB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788" name="Text Box 2">
          <a:extLst>
            <a:ext uri="{FF2B5EF4-FFF2-40B4-BE49-F238E27FC236}">
              <a16:creationId xmlns:a16="http://schemas.microsoft.com/office/drawing/2014/main" id="{00000000-0008-0000-0D00-0000FC06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89" name="Text Box 2">
          <a:extLst>
            <a:ext uri="{FF2B5EF4-FFF2-40B4-BE49-F238E27FC236}">
              <a16:creationId xmlns:a16="http://schemas.microsoft.com/office/drawing/2014/main" id="{00000000-0008-0000-0D00-0000FD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90" name="Text Box 2">
          <a:extLst>
            <a:ext uri="{FF2B5EF4-FFF2-40B4-BE49-F238E27FC236}">
              <a16:creationId xmlns:a16="http://schemas.microsoft.com/office/drawing/2014/main" id="{00000000-0008-0000-0D00-0000FE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91" name="Text Box 2">
          <a:extLst>
            <a:ext uri="{FF2B5EF4-FFF2-40B4-BE49-F238E27FC236}">
              <a16:creationId xmlns:a16="http://schemas.microsoft.com/office/drawing/2014/main" id="{00000000-0008-0000-0D00-0000FF06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92" name="Text Box 2">
          <a:extLst>
            <a:ext uri="{FF2B5EF4-FFF2-40B4-BE49-F238E27FC236}">
              <a16:creationId xmlns:a16="http://schemas.microsoft.com/office/drawing/2014/main" id="{00000000-0008-0000-0D00-000000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93" name="Text Box 2">
          <a:extLst>
            <a:ext uri="{FF2B5EF4-FFF2-40B4-BE49-F238E27FC236}">
              <a16:creationId xmlns:a16="http://schemas.microsoft.com/office/drawing/2014/main" id="{00000000-0008-0000-0D00-000001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94" name="Text Box 2">
          <a:extLst>
            <a:ext uri="{FF2B5EF4-FFF2-40B4-BE49-F238E27FC236}">
              <a16:creationId xmlns:a16="http://schemas.microsoft.com/office/drawing/2014/main" id="{00000000-0008-0000-0D00-000002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95" name="Text Box 2">
          <a:extLst>
            <a:ext uri="{FF2B5EF4-FFF2-40B4-BE49-F238E27FC236}">
              <a16:creationId xmlns:a16="http://schemas.microsoft.com/office/drawing/2014/main" id="{00000000-0008-0000-0D00-000003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96" name="Text Box 2">
          <a:extLst>
            <a:ext uri="{FF2B5EF4-FFF2-40B4-BE49-F238E27FC236}">
              <a16:creationId xmlns:a16="http://schemas.microsoft.com/office/drawing/2014/main" id="{00000000-0008-0000-0D00-000004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97" name="Text Box 2">
          <a:extLst>
            <a:ext uri="{FF2B5EF4-FFF2-40B4-BE49-F238E27FC236}">
              <a16:creationId xmlns:a16="http://schemas.microsoft.com/office/drawing/2014/main" id="{00000000-0008-0000-0D00-000005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98" name="Text Box 2">
          <a:extLst>
            <a:ext uri="{FF2B5EF4-FFF2-40B4-BE49-F238E27FC236}">
              <a16:creationId xmlns:a16="http://schemas.microsoft.com/office/drawing/2014/main" id="{00000000-0008-0000-0D00-000006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799" name="Text Box 2">
          <a:extLst>
            <a:ext uri="{FF2B5EF4-FFF2-40B4-BE49-F238E27FC236}">
              <a16:creationId xmlns:a16="http://schemas.microsoft.com/office/drawing/2014/main" id="{00000000-0008-0000-0D00-000007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00" name="Text Box 2">
          <a:extLst>
            <a:ext uri="{FF2B5EF4-FFF2-40B4-BE49-F238E27FC236}">
              <a16:creationId xmlns:a16="http://schemas.microsoft.com/office/drawing/2014/main" id="{00000000-0008-0000-0D00-000008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01" name="Text Box 2">
          <a:extLst>
            <a:ext uri="{FF2B5EF4-FFF2-40B4-BE49-F238E27FC236}">
              <a16:creationId xmlns:a16="http://schemas.microsoft.com/office/drawing/2014/main" id="{00000000-0008-0000-0D00-000009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02" name="Text Box 2">
          <a:extLst>
            <a:ext uri="{FF2B5EF4-FFF2-40B4-BE49-F238E27FC236}">
              <a16:creationId xmlns:a16="http://schemas.microsoft.com/office/drawing/2014/main" id="{00000000-0008-0000-0D00-00000A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03" name="Text Box 2">
          <a:extLst>
            <a:ext uri="{FF2B5EF4-FFF2-40B4-BE49-F238E27FC236}">
              <a16:creationId xmlns:a16="http://schemas.microsoft.com/office/drawing/2014/main" id="{00000000-0008-0000-0D00-00000B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04" name="Text Box 2">
          <a:extLst>
            <a:ext uri="{FF2B5EF4-FFF2-40B4-BE49-F238E27FC236}">
              <a16:creationId xmlns:a16="http://schemas.microsoft.com/office/drawing/2014/main" id="{00000000-0008-0000-0D00-00000C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05" name="Text Box 2">
          <a:extLst>
            <a:ext uri="{FF2B5EF4-FFF2-40B4-BE49-F238E27FC236}">
              <a16:creationId xmlns:a16="http://schemas.microsoft.com/office/drawing/2014/main" id="{00000000-0008-0000-0D00-00000D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06" name="Text Box 2">
          <a:extLst>
            <a:ext uri="{FF2B5EF4-FFF2-40B4-BE49-F238E27FC236}">
              <a16:creationId xmlns:a16="http://schemas.microsoft.com/office/drawing/2014/main" id="{00000000-0008-0000-0D00-00000E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07" name="Text Box 2">
          <a:extLst>
            <a:ext uri="{FF2B5EF4-FFF2-40B4-BE49-F238E27FC236}">
              <a16:creationId xmlns:a16="http://schemas.microsoft.com/office/drawing/2014/main" id="{00000000-0008-0000-0D00-00000F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08" name="Text Box 2">
          <a:extLst>
            <a:ext uri="{FF2B5EF4-FFF2-40B4-BE49-F238E27FC236}">
              <a16:creationId xmlns:a16="http://schemas.microsoft.com/office/drawing/2014/main" id="{00000000-0008-0000-0D00-000010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09" name="Text Box 2">
          <a:extLst>
            <a:ext uri="{FF2B5EF4-FFF2-40B4-BE49-F238E27FC236}">
              <a16:creationId xmlns:a16="http://schemas.microsoft.com/office/drawing/2014/main" id="{00000000-0008-0000-0D00-000011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10" name="Text Box 2">
          <a:extLst>
            <a:ext uri="{FF2B5EF4-FFF2-40B4-BE49-F238E27FC236}">
              <a16:creationId xmlns:a16="http://schemas.microsoft.com/office/drawing/2014/main" id="{00000000-0008-0000-0D00-000012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11" name="Text Box 2">
          <a:extLst>
            <a:ext uri="{FF2B5EF4-FFF2-40B4-BE49-F238E27FC236}">
              <a16:creationId xmlns:a16="http://schemas.microsoft.com/office/drawing/2014/main" id="{00000000-0008-0000-0D00-000013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12" name="Text Box 2">
          <a:extLst>
            <a:ext uri="{FF2B5EF4-FFF2-40B4-BE49-F238E27FC236}">
              <a16:creationId xmlns:a16="http://schemas.microsoft.com/office/drawing/2014/main" id="{00000000-0008-0000-0D00-000014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13" name="Text Box 2">
          <a:extLst>
            <a:ext uri="{FF2B5EF4-FFF2-40B4-BE49-F238E27FC236}">
              <a16:creationId xmlns:a16="http://schemas.microsoft.com/office/drawing/2014/main" id="{00000000-0008-0000-0D00-000015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14" name="Text Box 2">
          <a:extLst>
            <a:ext uri="{FF2B5EF4-FFF2-40B4-BE49-F238E27FC236}">
              <a16:creationId xmlns:a16="http://schemas.microsoft.com/office/drawing/2014/main" id="{00000000-0008-0000-0D00-000016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15" name="Text Box 2">
          <a:extLst>
            <a:ext uri="{FF2B5EF4-FFF2-40B4-BE49-F238E27FC236}">
              <a16:creationId xmlns:a16="http://schemas.microsoft.com/office/drawing/2014/main" id="{00000000-0008-0000-0D00-000017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16" name="Text Box 2">
          <a:extLst>
            <a:ext uri="{FF2B5EF4-FFF2-40B4-BE49-F238E27FC236}">
              <a16:creationId xmlns:a16="http://schemas.microsoft.com/office/drawing/2014/main" id="{00000000-0008-0000-0D00-000018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17" name="Text Box 2">
          <a:extLst>
            <a:ext uri="{FF2B5EF4-FFF2-40B4-BE49-F238E27FC236}">
              <a16:creationId xmlns:a16="http://schemas.microsoft.com/office/drawing/2014/main" id="{00000000-0008-0000-0D00-000019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18" name="Text Box 2">
          <a:extLst>
            <a:ext uri="{FF2B5EF4-FFF2-40B4-BE49-F238E27FC236}">
              <a16:creationId xmlns:a16="http://schemas.microsoft.com/office/drawing/2014/main" id="{00000000-0008-0000-0D00-00001A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19" name="Text Box 2">
          <a:extLst>
            <a:ext uri="{FF2B5EF4-FFF2-40B4-BE49-F238E27FC236}">
              <a16:creationId xmlns:a16="http://schemas.microsoft.com/office/drawing/2014/main" id="{00000000-0008-0000-0D00-00001B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20" name="Text Box 2">
          <a:extLst>
            <a:ext uri="{FF2B5EF4-FFF2-40B4-BE49-F238E27FC236}">
              <a16:creationId xmlns:a16="http://schemas.microsoft.com/office/drawing/2014/main" id="{00000000-0008-0000-0D00-00001C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21" name="Text Box 2">
          <a:extLst>
            <a:ext uri="{FF2B5EF4-FFF2-40B4-BE49-F238E27FC236}">
              <a16:creationId xmlns:a16="http://schemas.microsoft.com/office/drawing/2014/main" id="{00000000-0008-0000-0D00-00001D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22" name="Text Box 2">
          <a:extLst>
            <a:ext uri="{FF2B5EF4-FFF2-40B4-BE49-F238E27FC236}">
              <a16:creationId xmlns:a16="http://schemas.microsoft.com/office/drawing/2014/main" id="{00000000-0008-0000-0D00-00001E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23" name="Text Box 2">
          <a:extLst>
            <a:ext uri="{FF2B5EF4-FFF2-40B4-BE49-F238E27FC236}">
              <a16:creationId xmlns:a16="http://schemas.microsoft.com/office/drawing/2014/main" id="{00000000-0008-0000-0D00-00001F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24" name="Text Box 2">
          <a:extLst>
            <a:ext uri="{FF2B5EF4-FFF2-40B4-BE49-F238E27FC236}">
              <a16:creationId xmlns:a16="http://schemas.microsoft.com/office/drawing/2014/main" id="{00000000-0008-0000-0D00-000020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25" name="Text Box 2">
          <a:extLst>
            <a:ext uri="{FF2B5EF4-FFF2-40B4-BE49-F238E27FC236}">
              <a16:creationId xmlns:a16="http://schemas.microsoft.com/office/drawing/2014/main" id="{00000000-0008-0000-0D00-000021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26" name="Text Box 2">
          <a:extLst>
            <a:ext uri="{FF2B5EF4-FFF2-40B4-BE49-F238E27FC236}">
              <a16:creationId xmlns:a16="http://schemas.microsoft.com/office/drawing/2014/main" id="{00000000-0008-0000-0D00-000022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27" name="Text Box 2">
          <a:extLst>
            <a:ext uri="{FF2B5EF4-FFF2-40B4-BE49-F238E27FC236}">
              <a16:creationId xmlns:a16="http://schemas.microsoft.com/office/drawing/2014/main" id="{00000000-0008-0000-0D00-000023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28" name="Text Box 2">
          <a:extLst>
            <a:ext uri="{FF2B5EF4-FFF2-40B4-BE49-F238E27FC236}">
              <a16:creationId xmlns:a16="http://schemas.microsoft.com/office/drawing/2014/main" id="{00000000-0008-0000-0D00-000024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29" name="Text Box 2">
          <a:extLst>
            <a:ext uri="{FF2B5EF4-FFF2-40B4-BE49-F238E27FC236}">
              <a16:creationId xmlns:a16="http://schemas.microsoft.com/office/drawing/2014/main" id="{00000000-0008-0000-0D00-000025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30" name="Text Box 2">
          <a:extLst>
            <a:ext uri="{FF2B5EF4-FFF2-40B4-BE49-F238E27FC236}">
              <a16:creationId xmlns:a16="http://schemas.microsoft.com/office/drawing/2014/main" id="{00000000-0008-0000-0D00-000026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31" name="Text Box 2">
          <a:extLst>
            <a:ext uri="{FF2B5EF4-FFF2-40B4-BE49-F238E27FC236}">
              <a16:creationId xmlns:a16="http://schemas.microsoft.com/office/drawing/2014/main" id="{00000000-0008-0000-0D00-000027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32" name="Text Box 2">
          <a:extLst>
            <a:ext uri="{FF2B5EF4-FFF2-40B4-BE49-F238E27FC236}">
              <a16:creationId xmlns:a16="http://schemas.microsoft.com/office/drawing/2014/main" id="{00000000-0008-0000-0D00-000028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33" name="Text Box 2">
          <a:extLst>
            <a:ext uri="{FF2B5EF4-FFF2-40B4-BE49-F238E27FC236}">
              <a16:creationId xmlns:a16="http://schemas.microsoft.com/office/drawing/2014/main" id="{00000000-0008-0000-0D00-000029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34" name="Text Box 2">
          <a:extLst>
            <a:ext uri="{FF2B5EF4-FFF2-40B4-BE49-F238E27FC236}">
              <a16:creationId xmlns:a16="http://schemas.microsoft.com/office/drawing/2014/main" id="{00000000-0008-0000-0D00-00002A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35" name="Text Box 2">
          <a:extLst>
            <a:ext uri="{FF2B5EF4-FFF2-40B4-BE49-F238E27FC236}">
              <a16:creationId xmlns:a16="http://schemas.microsoft.com/office/drawing/2014/main" id="{00000000-0008-0000-0D00-00002B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36" name="Text Box 2">
          <a:extLst>
            <a:ext uri="{FF2B5EF4-FFF2-40B4-BE49-F238E27FC236}">
              <a16:creationId xmlns:a16="http://schemas.microsoft.com/office/drawing/2014/main" id="{00000000-0008-0000-0D00-00002C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37" name="Text Box 2">
          <a:extLst>
            <a:ext uri="{FF2B5EF4-FFF2-40B4-BE49-F238E27FC236}">
              <a16:creationId xmlns:a16="http://schemas.microsoft.com/office/drawing/2014/main" id="{00000000-0008-0000-0D00-00002D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38" name="Text Box 2">
          <a:extLst>
            <a:ext uri="{FF2B5EF4-FFF2-40B4-BE49-F238E27FC236}">
              <a16:creationId xmlns:a16="http://schemas.microsoft.com/office/drawing/2014/main" id="{00000000-0008-0000-0D00-00002E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39" name="Text Box 2">
          <a:extLst>
            <a:ext uri="{FF2B5EF4-FFF2-40B4-BE49-F238E27FC236}">
              <a16:creationId xmlns:a16="http://schemas.microsoft.com/office/drawing/2014/main" id="{00000000-0008-0000-0D00-00002F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40" name="Text Box 2">
          <a:extLst>
            <a:ext uri="{FF2B5EF4-FFF2-40B4-BE49-F238E27FC236}">
              <a16:creationId xmlns:a16="http://schemas.microsoft.com/office/drawing/2014/main" id="{00000000-0008-0000-0D00-000030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41" name="Text Box 2">
          <a:extLst>
            <a:ext uri="{FF2B5EF4-FFF2-40B4-BE49-F238E27FC236}">
              <a16:creationId xmlns:a16="http://schemas.microsoft.com/office/drawing/2014/main" id="{00000000-0008-0000-0D00-000031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42" name="Text Box 2">
          <a:extLst>
            <a:ext uri="{FF2B5EF4-FFF2-40B4-BE49-F238E27FC236}">
              <a16:creationId xmlns:a16="http://schemas.microsoft.com/office/drawing/2014/main" id="{00000000-0008-0000-0D00-000032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43" name="Text Box 2">
          <a:extLst>
            <a:ext uri="{FF2B5EF4-FFF2-40B4-BE49-F238E27FC236}">
              <a16:creationId xmlns:a16="http://schemas.microsoft.com/office/drawing/2014/main" id="{00000000-0008-0000-0D00-000033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44" name="Text Box 2">
          <a:extLst>
            <a:ext uri="{FF2B5EF4-FFF2-40B4-BE49-F238E27FC236}">
              <a16:creationId xmlns:a16="http://schemas.microsoft.com/office/drawing/2014/main" id="{00000000-0008-0000-0D00-000034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45" name="Text Box 2">
          <a:extLst>
            <a:ext uri="{FF2B5EF4-FFF2-40B4-BE49-F238E27FC236}">
              <a16:creationId xmlns:a16="http://schemas.microsoft.com/office/drawing/2014/main" id="{00000000-0008-0000-0D00-000035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46" name="Text Box 2">
          <a:extLst>
            <a:ext uri="{FF2B5EF4-FFF2-40B4-BE49-F238E27FC236}">
              <a16:creationId xmlns:a16="http://schemas.microsoft.com/office/drawing/2014/main" id="{00000000-0008-0000-0D00-000036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47" name="Text Box 2">
          <a:extLst>
            <a:ext uri="{FF2B5EF4-FFF2-40B4-BE49-F238E27FC236}">
              <a16:creationId xmlns:a16="http://schemas.microsoft.com/office/drawing/2014/main" id="{00000000-0008-0000-0D00-000037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48" name="Text Box 2">
          <a:extLst>
            <a:ext uri="{FF2B5EF4-FFF2-40B4-BE49-F238E27FC236}">
              <a16:creationId xmlns:a16="http://schemas.microsoft.com/office/drawing/2014/main" id="{00000000-0008-0000-0D00-000038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49" name="Text Box 2">
          <a:extLst>
            <a:ext uri="{FF2B5EF4-FFF2-40B4-BE49-F238E27FC236}">
              <a16:creationId xmlns:a16="http://schemas.microsoft.com/office/drawing/2014/main" id="{00000000-0008-0000-0D00-000039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50" name="Text Box 2">
          <a:extLst>
            <a:ext uri="{FF2B5EF4-FFF2-40B4-BE49-F238E27FC236}">
              <a16:creationId xmlns:a16="http://schemas.microsoft.com/office/drawing/2014/main" id="{00000000-0008-0000-0D00-00003A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51" name="Text Box 2">
          <a:extLst>
            <a:ext uri="{FF2B5EF4-FFF2-40B4-BE49-F238E27FC236}">
              <a16:creationId xmlns:a16="http://schemas.microsoft.com/office/drawing/2014/main" id="{00000000-0008-0000-0D00-00003B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52" name="Text Box 2">
          <a:extLst>
            <a:ext uri="{FF2B5EF4-FFF2-40B4-BE49-F238E27FC236}">
              <a16:creationId xmlns:a16="http://schemas.microsoft.com/office/drawing/2014/main" id="{00000000-0008-0000-0D00-00003C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53" name="Text Box 2">
          <a:extLst>
            <a:ext uri="{FF2B5EF4-FFF2-40B4-BE49-F238E27FC236}">
              <a16:creationId xmlns:a16="http://schemas.microsoft.com/office/drawing/2014/main" id="{00000000-0008-0000-0D00-00003D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54" name="Text Box 2">
          <a:extLst>
            <a:ext uri="{FF2B5EF4-FFF2-40B4-BE49-F238E27FC236}">
              <a16:creationId xmlns:a16="http://schemas.microsoft.com/office/drawing/2014/main" id="{00000000-0008-0000-0D00-00003E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55" name="Text Box 2">
          <a:extLst>
            <a:ext uri="{FF2B5EF4-FFF2-40B4-BE49-F238E27FC236}">
              <a16:creationId xmlns:a16="http://schemas.microsoft.com/office/drawing/2014/main" id="{00000000-0008-0000-0D00-00003F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56" name="Text Box 2">
          <a:extLst>
            <a:ext uri="{FF2B5EF4-FFF2-40B4-BE49-F238E27FC236}">
              <a16:creationId xmlns:a16="http://schemas.microsoft.com/office/drawing/2014/main" id="{00000000-0008-0000-0D00-000040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57" name="Text Box 2">
          <a:extLst>
            <a:ext uri="{FF2B5EF4-FFF2-40B4-BE49-F238E27FC236}">
              <a16:creationId xmlns:a16="http://schemas.microsoft.com/office/drawing/2014/main" id="{00000000-0008-0000-0D00-000041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58" name="Text Box 2">
          <a:extLst>
            <a:ext uri="{FF2B5EF4-FFF2-40B4-BE49-F238E27FC236}">
              <a16:creationId xmlns:a16="http://schemas.microsoft.com/office/drawing/2014/main" id="{00000000-0008-0000-0D00-000042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59" name="Text Box 2">
          <a:extLst>
            <a:ext uri="{FF2B5EF4-FFF2-40B4-BE49-F238E27FC236}">
              <a16:creationId xmlns:a16="http://schemas.microsoft.com/office/drawing/2014/main" id="{00000000-0008-0000-0D00-000043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60" name="Text Box 2">
          <a:extLst>
            <a:ext uri="{FF2B5EF4-FFF2-40B4-BE49-F238E27FC236}">
              <a16:creationId xmlns:a16="http://schemas.microsoft.com/office/drawing/2014/main" id="{00000000-0008-0000-0D00-000044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61" name="Text Box 2">
          <a:extLst>
            <a:ext uri="{FF2B5EF4-FFF2-40B4-BE49-F238E27FC236}">
              <a16:creationId xmlns:a16="http://schemas.microsoft.com/office/drawing/2014/main" id="{00000000-0008-0000-0D00-000045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62" name="Text Box 2">
          <a:extLst>
            <a:ext uri="{FF2B5EF4-FFF2-40B4-BE49-F238E27FC236}">
              <a16:creationId xmlns:a16="http://schemas.microsoft.com/office/drawing/2014/main" id="{00000000-0008-0000-0D00-000046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63" name="Text Box 2">
          <a:extLst>
            <a:ext uri="{FF2B5EF4-FFF2-40B4-BE49-F238E27FC236}">
              <a16:creationId xmlns:a16="http://schemas.microsoft.com/office/drawing/2014/main" id="{00000000-0008-0000-0D00-000047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64" name="Text Box 2">
          <a:extLst>
            <a:ext uri="{FF2B5EF4-FFF2-40B4-BE49-F238E27FC236}">
              <a16:creationId xmlns:a16="http://schemas.microsoft.com/office/drawing/2014/main" id="{00000000-0008-0000-0D00-000048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65" name="Text Box 2">
          <a:extLst>
            <a:ext uri="{FF2B5EF4-FFF2-40B4-BE49-F238E27FC236}">
              <a16:creationId xmlns:a16="http://schemas.microsoft.com/office/drawing/2014/main" id="{00000000-0008-0000-0D00-000049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66" name="Text Box 2">
          <a:extLst>
            <a:ext uri="{FF2B5EF4-FFF2-40B4-BE49-F238E27FC236}">
              <a16:creationId xmlns:a16="http://schemas.microsoft.com/office/drawing/2014/main" id="{00000000-0008-0000-0D00-00004A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67" name="Text Box 2">
          <a:extLst>
            <a:ext uri="{FF2B5EF4-FFF2-40B4-BE49-F238E27FC236}">
              <a16:creationId xmlns:a16="http://schemas.microsoft.com/office/drawing/2014/main" id="{00000000-0008-0000-0D00-00004B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68" name="Text Box 2">
          <a:extLst>
            <a:ext uri="{FF2B5EF4-FFF2-40B4-BE49-F238E27FC236}">
              <a16:creationId xmlns:a16="http://schemas.microsoft.com/office/drawing/2014/main" id="{00000000-0008-0000-0D00-00004C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69" name="Text Box 2">
          <a:extLst>
            <a:ext uri="{FF2B5EF4-FFF2-40B4-BE49-F238E27FC236}">
              <a16:creationId xmlns:a16="http://schemas.microsoft.com/office/drawing/2014/main" id="{00000000-0008-0000-0D00-00004D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70" name="Text Box 2">
          <a:extLst>
            <a:ext uri="{FF2B5EF4-FFF2-40B4-BE49-F238E27FC236}">
              <a16:creationId xmlns:a16="http://schemas.microsoft.com/office/drawing/2014/main" id="{00000000-0008-0000-0D00-00004E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71" name="Text Box 2">
          <a:extLst>
            <a:ext uri="{FF2B5EF4-FFF2-40B4-BE49-F238E27FC236}">
              <a16:creationId xmlns:a16="http://schemas.microsoft.com/office/drawing/2014/main" id="{00000000-0008-0000-0D00-00004F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72" name="Text Box 2">
          <a:extLst>
            <a:ext uri="{FF2B5EF4-FFF2-40B4-BE49-F238E27FC236}">
              <a16:creationId xmlns:a16="http://schemas.microsoft.com/office/drawing/2014/main" id="{00000000-0008-0000-0D00-000050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73" name="Text Box 2">
          <a:extLst>
            <a:ext uri="{FF2B5EF4-FFF2-40B4-BE49-F238E27FC236}">
              <a16:creationId xmlns:a16="http://schemas.microsoft.com/office/drawing/2014/main" id="{00000000-0008-0000-0D00-000051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74" name="Text Box 2">
          <a:extLst>
            <a:ext uri="{FF2B5EF4-FFF2-40B4-BE49-F238E27FC236}">
              <a16:creationId xmlns:a16="http://schemas.microsoft.com/office/drawing/2014/main" id="{00000000-0008-0000-0D00-000052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75" name="Text Box 2">
          <a:extLst>
            <a:ext uri="{FF2B5EF4-FFF2-40B4-BE49-F238E27FC236}">
              <a16:creationId xmlns:a16="http://schemas.microsoft.com/office/drawing/2014/main" id="{00000000-0008-0000-0D00-000053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76" name="Text Box 2">
          <a:extLst>
            <a:ext uri="{FF2B5EF4-FFF2-40B4-BE49-F238E27FC236}">
              <a16:creationId xmlns:a16="http://schemas.microsoft.com/office/drawing/2014/main" id="{00000000-0008-0000-0D00-000054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77" name="Text Box 2">
          <a:extLst>
            <a:ext uri="{FF2B5EF4-FFF2-40B4-BE49-F238E27FC236}">
              <a16:creationId xmlns:a16="http://schemas.microsoft.com/office/drawing/2014/main" id="{00000000-0008-0000-0D00-000055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78" name="Text Box 2">
          <a:extLst>
            <a:ext uri="{FF2B5EF4-FFF2-40B4-BE49-F238E27FC236}">
              <a16:creationId xmlns:a16="http://schemas.microsoft.com/office/drawing/2014/main" id="{00000000-0008-0000-0D00-000056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79" name="Text Box 2">
          <a:extLst>
            <a:ext uri="{FF2B5EF4-FFF2-40B4-BE49-F238E27FC236}">
              <a16:creationId xmlns:a16="http://schemas.microsoft.com/office/drawing/2014/main" id="{00000000-0008-0000-0D00-000057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80" name="Text Box 2">
          <a:extLst>
            <a:ext uri="{FF2B5EF4-FFF2-40B4-BE49-F238E27FC236}">
              <a16:creationId xmlns:a16="http://schemas.microsoft.com/office/drawing/2014/main" id="{00000000-0008-0000-0D00-000058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81" name="Text Box 2">
          <a:extLst>
            <a:ext uri="{FF2B5EF4-FFF2-40B4-BE49-F238E27FC236}">
              <a16:creationId xmlns:a16="http://schemas.microsoft.com/office/drawing/2014/main" id="{00000000-0008-0000-0D00-000059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82" name="Text Box 2">
          <a:extLst>
            <a:ext uri="{FF2B5EF4-FFF2-40B4-BE49-F238E27FC236}">
              <a16:creationId xmlns:a16="http://schemas.microsoft.com/office/drawing/2014/main" id="{00000000-0008-0000-0D00-00005A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83" name="Text Box 2">
          <a:extLst>
            <a:ext uri="{FF2B5EF4-FFF2-40B4-BE49-F238E27FC236}">
              <a16:creationId xmlns:a16="http://schemas.microsoft.com/office/drawing/2014/main" id="{00000000-0008-0000-0D00-00005B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84" name="Text Box 2">
          <a:extLst>
            <a:ext uri="{FF2B5EF4-FFF2-40B4-BE49-F238E27FC236}">
              <a16:creationId xmlns:a16="http://schemas.microsoft.com/office/drawing/2014/main" id="{00000000-0008-0000-0D00-00005C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85" name="Text Box 2">
          <a:extLst>
            <a:ext uri="{FF2B5EF4-FFF2-40B4-BE49-F238E27FC236}">
              <a16:creationId xmlns:a16="http://schemas.microsoft.com/office/drawing/2014/main" id="{00000000-0008-0000-0D00-00005D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86" name="Text Box 2">
          <a:extLst>
            <a:ext uri="{FF2B5EF4-FFF2-40B4-BE49-F238E27FC236}">
              <a16:creationId xmlns:a16="http://schemas.microsoft.com/office/drawing/2014/main" id="{00000000-0008-0000-0D00-00005E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87" name="Text Box 2">
          <a:extLst>
            <a:ext uri="{FF2B5EF4-FFF2-40B4-BE49-F238E27FC236}">
              <a16:creationId xmlns:a16="http://schemas.microsoft.com/office/drawing/2014/main" id="{00000000-0008-0000-0D00-00005F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88" name="Text Box 2">
          <a:extLst>
            <a:ext uri="{FF2B5EF4-FFF2-40B4-BE49-F238E27FC236}">
              <a16:creationId xmlns:a16="http://schemas.microsoft.com/office/drawing/2014/main" id="{00000000-0008-0000-0D00-000060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89" name="Text Box 2">
          <a:extLst>
            <a:ext uri="{FF2B5EF4-FFF2-40B4-BE49-F238E27FC236}">
              <a16:creationId xmlns:a16="http://schemas.microsoft.com/office/drawing/2014/main" id="{00000000-0008-0000-0D00-000061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90" name="Text Box 2">
          <a:extLst>
            <a:ext uri="{FF2B5EF4-FFF2-40B4-BE49-F238E27FC236}">
              <a16:creationId xmlns:a16="http://schemas.microsoft.com/office/drawing/2014/main" id="{00000000-0008-0000-0D00-000062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91" name="Text Box 2">
          <a:extLst>
            <a:ext uri="{FF2B5EF4-FFF2-40B4-BE49-F238E27FC236}">
              <a16:creationId xmlns:a16="http://schemas.microsoft.com/office/drawing/2014/main" id="{00000000-0008-0000-0D00-000063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92" name="Text Box 2">
          <a:extLst>
            <a:ext uri="{FF2B5EF4-FFF2-40B4-BE49-F238E27FC236}">
              <a16:creationId xmlns:a16="http://schemas.microsoft.com/office/drawing/2014/main" id="{00000000-0008-0000-0D00-000064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93" name="Text Box 2">
          <a:extLst>
            <a:ext uri="{FF2B5EF4-FFF2-40B4-BE49-F238E27FC236}">
              <a16:creationId xmlns:a16="http://schemas.microsoft.com/office/drawing/2014/main" id="{00000000-0008-0000-0D00-000065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94" name="Text Box 2">
          <a:extLst>
            <a:ext uri="{FF2B5EF4-FFF2-40B4-BE49-F238E27FC236}">
              <a16:creationId xmlns:a16="http://schemas.microsoft.com/office/drawing/2014/main" id="{00000000-0008-0000-0D00-000066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95" name="Text Box 2">
          <a:extLst>
            <a:ext uri="{FF2B5EF4-FFF2-40B4-BE49-F238E27FC236}">
              <a16:creationId xmlns:a16="http://schemas.microsoft.com/office/drawing/2014/main" id="{00000000-0008-0000-0D00-000067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96" name="Text Box 2">
          <a:extLst>
            <a:ext uri="{FF2B5EF4-FFF2-40B4-BE49-F238E27FC236}">
              <a16:creationId xmlns:a16="http://schemas.microsoft.com/office/drawing/2014/main" id="{00000000-0008-0000-0D00-000068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97" name="Text Box 2">
          <a:extLst>
            <a:ext uri="{FF2B5EF4-FFF2-40B4-BE49-F238E27FC236}">
              <a16:creationId xmlns:a16="http://schemas.microsoft.com/office/drawing/2014/main" id="{00000000-0008-0000-0D00-000069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98" name="Text Box 2">
          <a:extLst>
            <a:ext uri="{FF2B5EF4-FFF2-40B4-BE49-F238E27FC236}">
              <a16:creationId xmlns:a16="http://schemas.microsoft.com/office/drawing/2014/main" id="{00000000-0008-0000-0D00-00006A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899" name="Text Box 2">
          <a:extLst>
            <a:ext uri="{FF2B5EF4-FFF2-40B4-BE49-F238E27FC236}">
              <a16:creationId xmlns:a16="http://schemas.microsoft.com/office/drawing/2014/main" id="{00000000-0008-0000-0D00-00006B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00" name="Text Box 2">
          <a:extLst>
            <a:ext uri="{FF2B5EF4-FFF2-40B4-BE49-F238E27FC236}">
              <a16:creationId xmlns:a16="http://schemas.microsoft.com/office/drawing/2014/main" id="{00000000-0008-0000-0D00-00006C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01" name="Text Box 2">
          <a:extLst>
            <a:ext uri="{FF2B5EF4-FFF2-40B4-BE49-F238E27FC236}">
              <a16:creationId xmlns:a16="http://schemas.microsoft.com/office/drawing/2014/main" id="{00000000-0008-0000-0D00-00006D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02" name="Text Box 2">
          <a:extLst>
            <a:ext uri="{FF2B5EF4-FFF2-40B4-BE49-F238E27FC236}">
              <a16:creationId xmlns:a16="http://schemas.microsoft.com/office/drawing/2014/main" id="{00000000-0008-0000-0D00-00006E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03" name="Text Box 2">
          <a:extLst>
            <a:ext uri="{FF2B5EF4-FFF2-40B4-BE49-F238E27FC236}">
              <a16:creationId xmlns:a16="http://schemas.microsoft.com/office/drawing/2014/main" id="{00000000-0008-0000-0D00-00006F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04" name="Text Box 2">
          <a:extLst>
            <a:ext uri="{FF2B5EF4-FFF2-40B4-BE49-F238E27FC236}">
              <a16:creationId xmlns:a16="http://schemas.microsoft.com/office/drawing/2014/main" id="{00000000-0008-0000-0D00-000070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05" name="Text Box 2">
          <a:extLst>
            <a:ext uri="{FF2B5EF4-FFF2-40B4-BE49-F238E27FC236}">
              <a16:creationId xmlns:a16="http://schemas.microsoft.com/office/drawing/2014/main" id="{00000000-0008-0000-0D00-000071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06" name="Text Box 2">
          <a:extLst>
            <a:ext uri="{FF2B5EF4-FFF2-40B4-BE49-F238E27FC236}">
              <a16:creationId xmlns:a16="http://schemas.microsoft.com/office/drawing/2014/main" id="{00000000-0008-0000-0D00-000072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07" name="Text Box 2">
          <a:extLst>
            <a:ext uri="{FF2B5EF4-FFF2-40B4-BE49-F238E27FC236}">
              <a16:creationId xmlns:a16="http://schemas.microsoft.com/office/drawing/2014/main" id="{00000000-0008-0000-0D00-000073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08" name="Text Box 2">
          <a:extLst>
            <a:ext uri="{FF2B5EF4-FFF2-40B4-BE49-F238E27FC236}">
              <a16:creationId xmlns:a16="http://schemas.microsoft.com/office/drawing/2014/main" id="{00000000-0008-0000-0D00-000074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09" name="Text Box 2">
          <a:extLst>
            <a:ext uri="{FF2B5EF4-FFF2-40B4-BE49-F238E27FC236}">
              <a16:creationId xmlns:a16="http://schemas.microsoft.com/office/drawing/2014/main" id="{00000000-0008-0000-0D00-000075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10" name="Text Box 2">
          <a:extLst>
            <a:ext uri="{FF2B5EF4-FFF2-40B4-BE49-F238E27FC236}">
              <a16:creationId xmlns:a16="http://schemas.microsoft.com/office/drawing/2014/main" id="{00000000-0008-0000-0D00-000076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11" name="Text Box 2">
          <a:extLst>
            <a:ext uri="{FF2B5EF4-FFF2-40B4-BE49-F238E27FC236}">
              <a16:creationId xmlns:a16="http://schemas.microsoft.com/office/drawing/2014/main" id="{00000000-0008-0000-0D00-000077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12" name="Text Box 2">
          <a:extLst>
            <a:ext uri="{FF2B5EF4-FFF2-40B4-BE49-F238E27FC236}">
              <a16:creationId xmlns:a16="http://schemas.microsoft.com/office/drawing/2014/main" id="{00000000-0008-0000-0D00-000078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13" name="Text Box 2">
          <a:extLst>
            <a:ext uri="{FF2B5EF4-FFF2-40B4-BE49-F238E27FC236}">
              <a16:creationId xmlns:a16="http://schemas.microsoft.com/office/drawing/2014/main" id="{00000000-0008-0000-0D00-000079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14" name="Text Box 2">
          <a:extLst>
            <a:ext uri="{FF2B5EF4-FFF2-40B4-BE49-F238E27FC236}">
              <a16:creationId xmlns:a16="http://schemas.microsoft.com/office/drawing/2014/main" id="{00000000-0008-0000-0D00-00007A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15" name="Text Box 2">
          <a:extLst>
            <a:ext uri="{FF2B5EF4-FFF2-40B4-BE49-F238E27FC236}">
              <a16:creationId xmlns:a16="http://schemas.microsoft.com/office/drawing/2014/main" id="{00000000-0008-0000-0D00-00007B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16" name="Text Box 2">
          <a:extLst>
            <a:ext uri="{FF2B5EF4-FFF2-40B4-BE49-F238E27FC236}">
              <a16:creationId xmlns:a16="http://schemas.microsoft.com/office/drawing/2014/main" id="{00000000-0008-0000-0D00-00007C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17" name="Text Box 2">
          <a:extLst>
            <a:ext uri="{FF2B5EF4-FFF2-40B4-BE49-F238E27FC236}">
              <a16:creationId xmlns:a16="http://schemas.microsoft.com/office/drawing/2014/main" id="{00000000-0008-0000-0D00-00007D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18" name="Text Box 2">
          <a:extLst>
            <a:ext uri="{FF2B5EF4-FFF2-40B4-BE49-F238E27FC236}">
              <a16:creationId xmlns:a16="http://schemas.microsoft.com/office/drawing/2014/main" id="{00000000-0008-0000-0D00-00007E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19" name="Text Box 2">
          <a:extLst>
            <a:ext uri="{FF2B5EF4-FFF2-40B4-BE49-F238E27FC236}">
              <a16:creationId xmlns:a16="http://schemas.microsoft.com/office/drawing/2014/main" id="{00000000-0008-0000-0D00-00007F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20" name="Text Box 2">
          <a:extLst>
            <a:ext uri="{FF2B5EF4-FFF2-40B4-BE49-F238E27FC236}">
              <a16:creationId xmlns:a16="http://schemas.microsoft.com/office/drawing/2014/main" id="{00000000-0008-0000-0D00-000080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21" name="Text Box 2">
          <a:extLst>
            <a:ext uri="{FF2B5EF4-FFF2-40B4-BE49-F238E27FC236}">
              <a16:creationId xmlns:a16="http://schemas.microsoft.com/office/drawing/2014/main" id="{00000000-0008-0000-0D00-000081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22" name="Text Box 2">
          <a:extLst>
            <a:ext uri="{FF2B5EF4-FFF2-40B4-BE49-F238E27FC236}">
              <a16:creationId xmlns:a16="http://schemas.microsoft.com/office/drawing/2014/main" id="{00000000-0008-0000-0D00-000082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23" name="Text Box 2">
          <a:extLst>
            <a:ext uri="{FF2B5EF4-FFF2-40B4-BE49-F238E27FC236}">
              <a16:creationId xmlns:a16="http://schemas.microsoft.com/office/drawing/2014/main" id="{00000000-0008-0000-0D00-000083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24" name="Text Box 2">
          <a:extLst>
            <a:ext uri="{FF2B5EF4-FFF2-40B4-BE49-F238E27FC236}">
              <a16:creationId xmlns:a16="http://schemas.microsoft.com/office/drawing/2014/main" id="{00000000-0008-0000-0D00-000084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25" name="Text Box 2">
          <a:extLst>
            <a:ext uri="{FF2B5EF4-FFF2-40B4-BE49-F238E27FC236}">
              <a16:creationId xmlns:a16="http://schemas.microsoft.com/office/drawing/2014/main" id="{00000000-0008-0000-0D00-000085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26" name="Text Box 2">
          <a:extLst>
            <a:ext uri="{FF2B5EF4-FFF2-40B4-BE49-F238E27FC236}">
              <a16:creationId xmlns:a16="http://schemas.microsoft.com/office/drawing/2014/main" id="{00000000-0008-0000-0D00-000086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27" name="Text Box 2">
          <a:extLst>
            <a:ext uri="{FF2B5EF4-FFF2-40B4-BE49-F238E27FC236}">
              <a16:creationId xmlns:a16="http://schemas.microsoft.com/office/drawing/2014/main" id="{00000000-0008-0000-0D00-000087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28" name="Text Box 2">
          <a:extLst>
            <a:ext uri="{FF2B5EF4-FFF2-40B4-BE49-F238E27FC236}">
              <a16:creationId xmlns:a16="http://schemas.microsoft.com/office/drawing/2014/main" id="{00000000-0008-0000-0D00-000088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29" name="Text Box 2">
          <a:extLst>
            <a:ext uri="{FF2B5EF4-FFF2-40B4-BE49-F238E27FC236}">
              <a16:creationId xmlns:a16="http://schemas.microsoft.com/office/drawing/2014/main" id="{00000000-0008-0000-0D00-000089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30" name="Text Box 2">
          <a:extLst>
            <a:ext uri="{FF2B5EF4-FFF2-40B4-BE49-F238E27FC236}">
              <a16:creationId xmlns:a16="http://schemas.microsoft.com/office/drawing/2014/main" id="{00000000-0008-0000-0D00-00008A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31" name="Text Box 2">
          <a:extLst>
            <a:ext uri="{FF2B5EF4-FFF2-40B4-BE49-F238E27FC236}">
              <a16:creationId xmlns:a16="http://schemas.microsoft.com/office/drawing/2014/main" id="{00000000-0008-0000-0D00-00008B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32" name="Text Box 2">
          <a:extLst>
            <a:ext uri="{FF2B5EF4-FFF2-40B4-BE49-F238E27FC236}">
              <a16:creationId xmlns:a16="http://schemas.microsoft.com/office/drawing/2014/main" id="{00000000-0008-0000-0D00-00008C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33" name="Text Box 2">
          <a:extLst>
            <a:ext uri="{FF2B5EF4-FFF2-40B4-BE49-F238E27FC236}">
              <a16:creationId xmlns:a16="http://schemas.microsoft.com/office/drawing/2014/main" id="{00000000-0008-0000-0D00-00008D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34" name="Text Box 2">
          <a:extLst>
            <a:ext uri="{FF2B5EF4-FFF2-40B4-BE49-F238E27FC236}">
              <a16:creationId xmlns:a16="http://schemas.microsoft.com/office/drawing/2014/main" id="{00000000-0008-0000-0D00-00008E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35" name="Text Box 2">
          <a:extLst>
            <a:ext uri="{FF2B5EF4-FFF2-40B4-BE49-F238E27FC236}">
              <a16:creationId xmlns:a16="http://schemas.microsoft.com/office/drawing/2014/main" id="{00000000-0008-0000-0D00-00008F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36" name="Text Box 2">
          <a:extLst>
            <a:ext uri="{FF2B5EF4-FFF2-40B4-BE49-F238E27FC236}">
              <a16:creationId xmlns:a16="http://schemas.microsoft.com/office/drawing/2014/main" id="{00000000-0008-0000-0D00-000090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37" name="Text Box 2">
          <a:extLst>
            <a:ext uri="{FF2B5EF4-FFF2-40B4-BE49-F238E27FC236}">
              <a16:creationId xmlns:a16="http://schemas.microsoft.com/office/drawing/2014/main" id="{00000000-0008-0000-0D00-000091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38" name="Text Box 2">
          <a:extLst>
            <a:ext uri="{FF2B5EF4-FFF2-40B4-BE49-F238E27FC236}">
              <a16:creationId xmlns:a16="http://schemas.microsoft.com/office/drawing/2014/main" id="{00000000-0008-0000-0D00-000092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39" name="Text Box 2">
          <a:extLst>
            <a:ext uri="{FF2B5EF4-FFF2-40B4-BE49-F238E27FC236}">
              <a16:creationId xmlns:a16="http://schemas.microsoft.com/office/drawing/2014/main" id="{00000000-0008-0000-0D00-000093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40" name="Text Box 2">
          <a:extLst>
            <a:ext uri="{FF2B5EF4-FFF2-40B4-BE49-F238E27FC236}">
              <a16:creationId xmlns:a16="http://schemas.microsoft.com/office/drawing/2014/main" id="{00000000-0008-0000-0D00-000094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41" name="Text Box 2">
          <a:extLst>
            <a:ext uri="{FF2B5EF4-FFF2-40B4-BE49-F238E27FC236}">
              <a16:creationId xmlns:a16="http://schemas.microsoft.com/office/drawing/2014/main" id="{00000000-0008-0000-0D00-000095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42" name="Text Box 2">
          <a:extLst>
            <a:ext uri="{FF2B5EF4-FFF2-40B4-BE49-F238E27FC236}">
              <a16:creationId xmlns:a16="http://schemas.microsoft.com/office/drawing/2014/main" id="{00000000-0008-0000-0D00-000096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43" name="Text Box 2">
          <a:extLst>
            <a:ext uri="{FF2B5EF4-FFF2-40B4-BE49-F238E27FC236}">
              <a16:creationId xmlns:a16="http://schemas.microsoft.com/office/drawing/2014/main" id="{00000000-0008-0000-0D00-000097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44" name="Text Box 2">
          <a:extLst>
            <a:ext uri="{FF2B5EF4-FFF2-40B4-BE49-F238E27FC236}">
              <a16:creationId xmlns:a16="http://schemas.microsoft.com/office/drawing/2014/main" id="{00000000-0008-0000-0D00-000098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45" name="Text Box 2">
          <a:extLst>
            <a:ext uri="{FF2B5EF4-FFF2-40B4-BE49-F238E27FC236}">
              <a16:creationId xmlns:a16="http://schemas.microsoft.com/office/drawing/2014/main" id="{00000000-0008-0000-0D00-000099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46" name="Text Box 2">
          <a:extLst>
            <a:ext uri="{FF2B5EF4-FFF2-40B4-BE49-F238E27FC236}">
              <a16:creationId xmlns:a16="http://schemas.microsoft.com/office/drawing/2014/main" id="{00000000-0008-0000-0D00-00009A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47" name="Text Box 2">
          <a:extLst>
            <a:ext uri="{FF2B5EF4-FFF2-40B4-BE49-F238E27FC236}">
              <a16:creationId xmlns:a16="http://schemas.microsoft.com/office/drawing/2014/main" id="{00000000-0008-0000-0D00-00009B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48" name="Text Box 2">
          <a:extLst>
            <a:ext uri="{FF2B5EF4-FFF2-40B4-BE49-F238E27FC236}">
              <a16:creationId xmlns:a16="http://schemas.microsoft.com/office/drawing/2014/main" id="{00000000-0008-0000-0D00-00009C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49" name="Text Box 2">
          <a:extLst>
            <a:ext uri="{FF2B5EF4-FFF2-40B4-BE49-F238E27FC236}">
              <a16:creationId xmlns:a16="http://schemas.microsoft.com/office/drawing/2014/main" id="{00000000-0008-0000-0D00-00009D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50" name="Text Box 2">
          <a:extLst>
            <a:ext uri="{FF2B5EF4-FFF2-40B4-BE49-F238E27FC236}">
              <a16:creationId xmlns:a16="http://schemas.microsoft.com/office/drawing/2014/main" id="{00000000-0008-0000-0D00-00009E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51" name="Text Box 2">
          <a:extLst>
            <a:ext uri="{FF2B5EF4-FFF2-40B4-BE49-F238E27FC236}">
              <a16:creationId xmlns:a16="http://schemas.microsoft.com/office/drawing/2014/main" id="{00000000-0008-0000-0D00-00009F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52" name="Text Box 2">
          <a:extLst>
            <a:ext uri="{FF2B5EF4-FFF2-40B4-BE49-F238E27FC236}">
              <a16:creationId xmlns:a16="http://schemas.microsoft.com/office/drawing/2014/main" id="{00000000-0008-0000-0D00-0000A0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53" name="Text Box 2">
          <a:extLst>
            <a:ext uri="{FF2B5EF4-FFF2-40B4-BE49-F238E27FC236}">
              <a16:creationId xmlns:a16="http://schemas.microsoft.com/office/drawing/2014/main" id="{00000000-0008-0000-0D00-0000A1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54" name="Text Box 2">
          <a:extLst>
            <a:ext uri="{FF2B5EF4-FFF2-40B4-BE49-F238E27FC236}">
              <a16:creationId xmlns:a16="http://schemas.microsoft.com/office/drawing/2014/main" id="{00000000-0008-0000-0D00-0000A2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55" name="Text Box 2">
          <a:extLst>
            <a:ext uri="{FF2B5EF4-FFF2-40B4-BE49-F238E27FC236}">
              <a16:creationId xmlns:a16="http://schemas.microsoft.com/office/drawing/2014/main" id="{00000000-0008-0000-0D00-0000A3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56" name="Text Box 2">
          <a:extLst>
            <a:ext uri="{FF2B5EF4-FFF2-40B4-BE49-F238E27FC236}">
              <a16:creationId xmlns:a16="http://schemas.microsoft.com/office/drawing/2014/main" id="{00000000-0008-0000-0D00-0000A4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57" name="Text Box 2">
          <a:extLst>
            <a:ext uri="{FF2B5EF4-FFF2-40B4-BE49-F238E27FC236}">
              <a16:creationId xmlns:a16="http://schemas.microsoft.com/office/drawing/2014/main" id="{00000000-0008-0000-0D00-0000A5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58" name="Text Box 2">
          <a:extLst>
            <a:ext uri="{FF2B5EF4-FFF2-40B4-BE49-F238E27FC236}">
              <a16:creationId xmlns:a16="http://schemas.microsoft.com/office/drawing/2014/main" id="{00000000-0008-0000-0D00-0000A6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59" name="Text Box 2">
          <a:extLst>
            <a:ext uri="{FF2B5EF4-FFF2-40B4-BE49-F238E27FC236}">
              <a16:creationId xmlns:a16="http://schemas.microsoft.com/office/drawing/2014/main" id="{00000000-0008-0000-0D00-0000A7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60" name="Text Box 2">
          <a:extLst>
            <a:ext uri="{FF2B5EF4-FFF2-40B4-BE49-F238E27FC236}">
              <a16:creationId xmlns:a16="http://schemas.microsoft.com/office/drawing/2014/main" id="{00000000-0008-0000-0D00-0000A8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61" name="Text Box 2">
          <a:extLst>
            <a:ext uri="{FF2B5EF4-FFF2-40B4-BE49-F238E27FC236}">
              <a16:creationId xmlns:a16="http://schemas.microsoft.com/office/drawing/2014/main" id="{00000000-0008-0000-0D00-0000A9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62" name="Text Box 2">
          <a:extLst>
            <a:ext uri="{FF2B5EF4-FFF2-40B4-BE49-F238E27FC236}">
              <a16:creationId xmlns:a16="http://schemas.microsoft.com/office/drawing/2014/main" id="{00000000-0008-0000-0D00-0000AA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63" name="Text Box 2">
          <a:extLst>
            <a:ext uri="{FF2B5EF4-FFF2-40B4-BE49-F238E27FC236}">
              <a16:creationId xmlns:a16="http://schemas.microsoft.com/office/drawing/2014/main" id="{00000000-0008-0000-0D00-0000AB07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64" name="Text Box 2">
          <a:extLst>
            <a:ext uri="{FF2B5EF4-FFF2-40B4-BE49-F238E27FC236}">
              <a16:creationId xmlns:a16="http://schemas.microsoft.com/office/drawing/2014/main" id="{00000000-0008-0000-0D00-0000AC07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65" name="Text Box 2">
          <a:extLst>
            <a:ext uri="{FF2B5EF4-FFF2-40B4-BE49-F238E27FC236}">
              <a16:creationId xmlns:a16="http://schemas.microsoft.com/office/drawing/2014/main" id="{00000000-0008-0000-0D00-0000AD07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66" name="Text Box 2">
          <a:extLst>
            <a:ext uri="{FF2B5EF4-FFF2-40B4-BE49-F238E27FC236}">
              <a16:creationId xmlns:a16="http://schemas.microsoft.com/office/drawing/2014/main" id="{00000000-0008-0000-0D00-0000AE07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67" name="Text Box 2">
          <a:extLst>
            <a:ext uri="{FF2B5EF4-FFF2-40B4-BE49-F238E27FC236}">
              <a16:creationId xmlns:a16="http://schemas.microsoft.com/office/drawing/2014/main" id="{00000000-0008-0000-0D00-0000AF07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68" name="Text Box 2">
          <a:extLst>
            <a:ext uri="{FF2B5EF4-FFF2-40B4-BE49-F238E27FC236}">
              <a16:creationId xmlns:a16="http://schemas.microsoft.com/office/drawing/2014/main" id="{00000000-0008-0000-0D00-0000B007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69" name="Text Box 2">
          <a:extLst>
            <a:ext uri="{FF2B5EF4-FFF2-40B4-BE49-F238E27FC236}">
              <a16:creationId xmlns:a16="http://schemas.microsoft.com/office/drawing/2014/main" id="{00000000-0008-0000-0D00-0000B107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70" name="Text Box 2">
          <a:extLst>
            <a:ext uri="{FF2B5EF4-FFF2-40B4-BE49-F238E27FC236}">
              <a16:creationId xmlns:a16="http://schemas.microsoft.com/office/drawing/2014/main" id="{00000000-0008-0000-0D00-0000B207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71" name="Text Box 2">
          <a:extLst>
            <a:ext uri="{FF2B5EF4-FFF2-40B4-BE49-F238E27FC236}">
              <a16:creationId xmlns:a16="http://schemas.microsoft.com/office/drawing/2014/main" id="{00000000-0008-0000-0D00-0000B307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72" name="Text Box 2">
          <a:extLst>
            <a:ext uri="{FF2B5EF4-FFF2-40B4-BE49-F238E27FC236}">
              <a16:creationId xmlns:a16="http://schemas.microsoft.com/office/drawing/2014/main" id="{00000000-0008-0000-0D00-0000B407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73" name="Text Box 2">
          <a:extLst>
            <a:ext uri="{FF2B5EF4-FFF2-40B4-BE49-F238E27FC236}">
              <a16:creationId xmlns:a16="http://schemas.microsoft.com/office/drawing/2014/main" id="{00000000-0008-0000-0D00-0000B507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1974" name="Text Box 2">
          <a:extLst>
            <a:ext uri="{FF2B5EF4-FFF2-40B4-BE49-F238E27FC236}">
              <a16:creationId xmlns:a16="http://schemas.microsoft.com/office/drawing/2014/main" id="{00000000-0008-0000-0D00-0000B607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75" name="Text Box 2">
          <a:extLst>
            <a:ext uri="{FF2B5EF4-FFF2-40B4-BE49-F238E27FC236}">
              <a16:creationId xmlns:a16="http://schemas.microsoft.com/office/drawing/2014/main" id="{00000000-0008-0000-0D00-0000B7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76" name="Text Box 2">
          <a:extLst>
            <a:ext uri="{FF2B5EF4-FFF2-40B4-BE49-F238E27FC236}">
              <a16:creationId xmlns:a16="http://schemas.microsoft.com/office/drawing/2014/main" id="{00000000-0008-0000-0D00-0000B8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77" name="Text Box 2">
          <a:extLst>
            <a:ext uri="{FF2B5EF4-FFF2-40B4-BE49-F238E27FC236}">
              <a16:creationId xmlns:a16="http://schemas.microsoft.com/office/drawing/2014/main" id="{00000000-0008-0000-0D00-0000B9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78" name="Text Box 2">
          <a:extLst>
            <a:ext uri="{FF2B5EF4-FFF2-40B4-BE49-F238E27FC236}">
              <a16:creationId xmlns:a16="http://schemas.microsoft.com/office/drawing/2014/main" id="{00000000-0008-0000-0D00-0000BA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79" name="Text Box 2">
          <a:extLst>
            <a:ext uri="{FF2B5EF4-FFF2-40B4-BE49-F238E27FC236}">
              <a16:creationId xmlns:a16="http://schemas.microsoft.com/office/drawing/2014/main" id="{00000000-0008-0000-0D00-0000BB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80" name="Text Box 2">
          <a:extLst>
            <a:ext uri="{FF2B5EF4-FFF2-40B4-BE49-F238E27FC236}">
              <a16:creationId xmlns:a16="http://schemas.microsoft.com/office/drawing/2014/main" id="{00000000-0008-0000-0D00-0000BC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81" name="Text Box 2">
          <a:extLst>
            <a:ext uri="{FF2B5EF4-FFF2-40B4-BE49-F238E27FC236}">
              <a16:creationId xmlns:a16="http://schemas.microsoft.com/office/drawing/2014/main" id="{00000000-0008-0000-0D00-0000BD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82" name="Text Box 2">
          <a:extLst>
            <a:ext uri="{FF2B5EF4-FFF2-40B4-BE49-F238E27FC236}">
              <a16:creationId xmlns:a16="http://schemas.microsoft.com/office/drawing/2014/main" id="{00000000-0008-0000-0D00-0000BE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83" name="Text Box 2">
          <a:extLst>
            <a:ext uri="{FF2B5EF4-FFF2-40B4-BE49-F238E27FC236}">
              <a16:creationId xmlns:a16="http://schemas.microsoft.com/office/drawing/2014/main" id="{00000000-0008-0000-0D00-0000BF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84" name="Text Box 2">
          <a:extLst>
            <a:ext uri="{FF2B5EF4-FFF2-40B4-BE49-F238E27FC236}">
              <a16:creationId xmlns:a16="http://schemas.microsoft.com/office/drawing/2014/main" id="{00000000-0008-0000-0D00-0000C0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85" name="Text Box 2">
          <a:extLst>
            <a:ext uri="{FF2B5EF4-FFF2-40B4-BE49-F238E27FC236}">
              <a16:creationId xmlns:a16="http://schemas.microsoft.com/office/drawing/2014/main" id="{00000000-0008-0000-0D00-0000C1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86" name="Text Box 2">
          <a:extLst>
            <a:ext uri="{FF2B5EF4-FFF2-40B4-BE49-F238E27FC236}">
              <a16:creationId xmlns:a16="http://schemas.microsoft.com/office/drawing/2014/main" id="{00000000-0008-0000-0D00-0000C2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87" name="Text Box 2">
          <a:extLst>
            <a:ext uri="{FF2B5EF4-FFF2-40B4-BE49-F238E27FC236}">
              <a16:creationId xmlns:a16="http://schemas.microsoft.com/office/drawing/2014/main" id="{00000000-0008-0000-0D00-0000C3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88" name="Text Box 2">
          <a:extLst>
            <a:ext uri="{FF2B5EF4-FFF2-40B4-BE49-F238E27FC236}">
              <a16:creationId xmlns:a16="http://schemas.microsoft.com/office/drawing/2014/main" id="{00000000-0008-0000-0D00-0000C4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89" name="Text Box 2">
          <a:extLst>
            <a:ext uri="{FF2B5EF4-FFF2-40B4-BE49-F238E27FC236}">
              <a16:creationId xmlns:a16="http://schemas.microsoft.com/office/drawing/2014/main" id="{00000000-0008-0000-0D00-0000C5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90" name="Text Box 2">
          <a:extLst>
            <a:ext uri="{FF2B5EF4-FFF2-40B4-BE49-F238E27FC236}">
              <a16:creationId xmlns:a16="http://schemas.microsoft.com/office/drawing/2014/main" id="{00000000-0008-0000-0D00-0000C6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91" name="Text Box 2">
          <a:extLst>
            <a:ext uri="{FF2B5EF4-FFF2-40B4-BE49-F238E27FC236}">
              <a16:creationId xmlns:a16="http://schemas.microsoft.com/office/drawing/2014/main" id="{00000000-0008-0000-0D00-0000C7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92" name="Text Box 2">
          <a:extLst>
            <a:ext uri="{FF2B5EF4-FFF2-40B4-BE49-F238E27FC236}">
              <a16:creationId xmlns:a16="http://schemas.microsoft.com/office/drawing/2014/main" id="{00000000-0008-0000-0D00-0000C8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93" name="Text Box 2">
          <a:extLst>
            <a:ext uri="{FF2B5EF4-FFF2-40B4-BE49-F238E27FC236}">
              <a16:creationId xmlns:a16="http://schemas.microsoft.com/office/drawing/2014/main" id="{00000000-0008-0000-0D00-0000C9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94" name="Text Box 2">
          <a:extLst>
            <a:ext uri="{FF2B5EF4-FFF2-40B4-BE49-F238E27FC236}">
              <a16:creationId xmlns:a16="http://schemas.microsoft.com/office/drawing/2014/main" id="{00000000-0008-0000-0D00-0000CA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95" name="Text Box 2">
          <a:extLst>
            <a:ext uri="{FF2B5EF4-FFF2-40B4-BE49-F238E27FC236}">
              <a16:creationId xmlns:a16="http://schemas.microsoft.com/office/drawing/2014/main" id="{00000000-0008-0000-0D00-0000CB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96" name="Text Box 2">
          <a:extLst>
            <a:ext uri="{FF2B5EF4-FFF2-40B4-BE49-F238E27FC236}">
              <a16:creationId xmlns:a16="http://schemas.microsoft.com/office/drawing/2014/main" id="{00000000-0008-0000-0D00-0000CC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97" name="Text Box 2">
          <a:extLst>
            <a:ext uri="{FF2B5EF4-FFF2-40B4-BE49-F238E27FC236}">
              <a16:creationId xmlns:a16="http://schemas.microsoft.com/office/drawing/2014/main" id="{00000000-0008-0000-0D00-0000CD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98" name="Text Box 2">
          <a:extLst>
            <a:ext uri="{FF2B5EF4-FFF2-40B4-BE49-F238E27FC236}">
              <a16:creationId xmlns:a16="http://schemas.microsoft.com/office/drawing/2014/main" id="{00000000-0008-0000-0D00-0000CE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1999" name="Text Box 2">
          <a:extLst>
            <a:ext uri="{FF2B5EF4-FFF2-40B4-BE49-F238E27FC236}">
              <a16:creationId xmlns:a16="http://schemas.microsoft.com/office/drawing/2014/main" id="{00000000-0008-0000-0D00-0000CF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00" name="Text Box 2">
          <a:extLst>
            <a:ext uri="{FF2B5EF4-FFF2-40B4-BE49-F238E27FC236}">
              <a16:creationId xmlns:a16="http://schemas.microsoft.com/office/drawing/2014/main" id="{00000000-0008-0000-0D00-0000D0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01" name="Text Box 2">
          <a:extLst>
            <a:ext uri="{FF2B5EF4-FFF2-40B4-BE49-F238E27FC236}">
              <a16:creationId xmlns:a16="http://schemas.microsoft.com/office/drawing/2014/main" id="{00000000-0008-0000-0D00-0000D1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02" name="Text Box 2">
          <a:extLst>
            <a:ext uri="{FF2B5EF4-FFF2-40B4-BE49-F238E27FC236}">
              <a16:creationId xmlns:a16="http://schemas.microsoft.com/office/drawing/2014/main" id="{00000000-0008-0000-0D00-0000D2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03" name="Text Box 2">
          <a:extLst>
            <a:ext uri="{FF2B5EF4-FFF2-40B4-BE49-F238E27FC236}">
              <a16:creationId xmlns:a16="http://schemas.microsoft.com/office/drawing/2014/main" id="{00000000-0008-0000-0D00-0000D3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04" name="Text Box 2">
          <a:extLst>
            <a:ext uri="{FF2B5EF4-FFF2-40B4-BE49-F238E27FC236}">
              <a16:creationId xmlns:a16="http://schemas.microsoft.com/office/drawing/2014/main" id="{00000000-0008-0000-0D00-0000D4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05" name="Text Box 2">
          <a:extLst>
            <a:ext uri="{FF2B5EF4-FFF2-40B4-BE49-F238E27FC236}">
              <a16:creationId xmlns:a16="http://schemas.microsoft.com/office/drawing/2014/main" id="{00000000-0008-0000-0D00-0000D5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06" name="Text Box 2">
          <a:extLst>
            <a:ext uri="{FF2B5EF4-FFF2-40B4-BE49-F238E27FC236}">
              <a16:creationId xmlns:a16="http://schemas.microsoft.com/office/drawing/2014/main" id="{00000000-0008-0000-0D00-0000D6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07" name="Text Box 2">
          <a:extLst>
            <a:ext uri="{FF2B5EF4-FFF2-40B4-BE49-F238E27FC236}">
              <a16:creationId xmlns:a16="http://schemas.microsoft.com/office/drawing/2014/main" id="{00000000-0008-0000-0D00-0000D7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08" name="Text Box 2">
          <a:extLst>
            <a:ext uri="{FF2B5EF4-FFF2-40B4-BE49-F238E27FC236}">
              <a16:creationId xmlns:a16="http://schemas.microsoft.com/office/drawing/2014/main" id="{00000000-0008-0000-0D00-0000D8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09" name="Text Box 2">
          <a:extLst>
            <a:ext uri="{FF2B5EF4-FFF2-40B4-BE49-F238E27FC236}">
              <a16:creationId xmlns:a16="http://schemas.microsoft.com/office/drawing/2014/main" id="{00000000-0008-0000-0D00-0000D9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10" name="Text Box 2">
          <a:extLst>
            <a:ext uri="{FF2B5EF4-FFF2-40B4-BE49-F238E27FC236}">
              <a16:creationId xmlns:a16="http://schemas.microsoft.com/office/drawing/2014/main" id="{00000000-0008-0000-0D00-0000DA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11" name="Text Box 2">
          <a:extLst>
            <a:ext uri="{FF2B5EF4-FFF2-40B4-BE49-F238E27FC236}">
              <a16:creationId xmlns:a16="http://schemas.microsoft.com/office/drawing/2014/main" id="{00000000-0008-0000-0D00-0000DB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12" name="Text Box 2">
          <a:extLst>
            <a:ext uri="{FF2B5EF4-FFF2-40B4-BE49-F238E27FC236}">
              <a16:creationId xmlns:a16="http://schemas.microsoft.com/office/drawing/2014/main" id="{00000000-0008-0000-0D00-0000DC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13" name="Text Box 2">
          <a:extLst>
            <a:ext uri="{FF2B5EF4-FFF2-40B4-BE49-F238E27FC236}">
              <a16:creationId xmlns:a16="http://schemas.microsoft.com/office/drawing/2014/main" id="{00000000-0008-0000-0D00-0000DD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14" name="Text Box 2">
          <a:extLst>
            <a:ext uri="{FF2B5EF4-FFF2-40B4-BE49-F238E27FC236}">
              <a16:creationId xmlns:a16="http://schemas.microsoft.com/office/drawing/2014/main" id="{00000000-0008-0000-0D00-0000DE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15" name="Text Box 2">
          <a:extLst>
            <a:ext uri="{FF2B5EF4-FFF2-40B4-BE49-F238E27FC236}">
              <a16:creationId xmlns:a16="http://schemas.microsoft.com/office/drawing/2014/main" id="{00000000-0008-0000-0D00-0000DF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16" name="Text Box 2">
          <a:extLst>
            <a:ext uri="{FF2B5EF4-FFF2-40B4-BE49-F238E27FC236}">
              <a16:creationId xmlns:a16="http://schemas.microsoft.com/office/drawing/2014/main" id="{00000000-0008-0000-0D00-0000E0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17" name="Text Box 2">
          <a:extLst>
            <a:ext uri="{FF2B5EF4-FFF2-40B4-BE49-F238E27FC236}">
              <a16:creationId xmlns:a16="http://schemas.microsoft.com/office/drawing/2014/main" id="{00000000-0008-0000-0D00-0000E1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18" name="Text Box 2">
          <a:extLst>
            <a:ext uri="{FF2B5EF4-FFF2-40B4-BE49-F238E27FC236}">
              <a16:creationId xmlns:a16="http://schemas.microsoft.com/office/drawing/2014/main" id="{00000000-0008-0000-0D00-0000E2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19" name="Text Box 2">
          <a:extLst>
            <a:ext uri="{FF2B5EF4-FFF2-40B4-BE49-F238E27FC236}">
              <a16:creationId xmlns:a16="http://schemas.microsoft.com/office/drawing/2014/main" id="{00000000-0008-0000-0D00-0000E3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20" name="Text Box 2">
          <a:extLst>
            <a:ext uri="{FF2B5EF4-FFF2-40B4-BE49-F238E27FC236}">
              <a16:creationId xmlns:a16="http://schemas.microsoft.com/office/drawing/2014/main" id="{00000000-0008-0000-0D00-0000E4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21" name="Text Box 2">
          <a:extLst>
            <a:ext uri="{FF2B5EF4-FFF2-40B4-BE49-F238E27FC236}">
              <a16:creationId xmlns:a16="http://schemas.microsoft.com/office/drawing/2014/main" id="{00000000-0008-0000-0D00-0000E5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22" name="Text Box 2">
          <a:extLst>
            <a:ext uri="{FF2B5EF4-FFF2-40B4-BE49-F238E27FC236}">
              <a16:creationId xmlns:a16="http://schemas.microsoft.com/office/drawing/2014/main" id="{00000000-0008-0000-0D00-0000E6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23" name="Text Box 2">
          <a:extLst>
            <a:ext uri="{FF2B5EF4-FFF2-40B4-BE49-F238E27FC236}">
              <a16:creationId xmlns:a16="http://schemas.microsoft.com/office/drawing/2014/main" id="{00000000-0008-0000-0D00-0000E7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24" name="Text Box 2">
          <a:extLst>
            <a:ext uri="{FF2B5EF4-FFF2-40B4-BE49-F238E27FC236}">
              <a16:creationId xmlns:a16="http://schemas.microsoft.com/office/drawing/2014/main" id="{00000000-0008-0000-0D00-0000E8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25" name="Text Box 2">
          <a:extLst>
            <a:ext uri="{FF2B5EF4-FFF2-40B4-BE49-F238E27FC236}">
              <a16:creationId xmlns:a16="http://schemas.microsoft.com/office/drawing/2014/main" id="{00000000-0008-0000-0D00-0000E9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26" name="Text Box 2">
          <a:extLst>
            <a:ext uri="{FF2B5EF4-FFF2-40B4-BE49-F238E27FC236}">
              <a16:creationId xmlns:a16="http://schemas.microsoft.com/office/drawing/2014/main" id="{00000000-0008-0000-0D00-0000EA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27" name="Text Box 2">
          <a:extLst>
            <a:ext uri="{FF2B5EF4-FFF2-40B4-BE49-F238E27FC236}">
              <a16:creationId xmlns:a16="http://schemas.microsoft.com/office/drawing/2014/main" id="{00000000-0008-0000-0D00-0000EB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28" name="Text Box 2">
          <a:extLst>
            <a:ext uri="{FF2B5EF4-FFF2-40B4-BE49-F238E27FC236}">
              <a16:creationId xmlns:a16="http://schemas.microsoft.com/office/drawing/2014/main" id="{00000000-0008-0000-0D00-0000EC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29" name="Text Box 2">
          <a:extLst>
            <a:ext uri="{FF2B5EF4-FFF2-40B4-BE49-F238E27FC236}">
              <a16:creationId xmlns:a16="http://schemas.microsoft.com/office/drawing/2014/main" id="{00000000-0008-0000-0D00-0000ED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30" name="Text Box 2">
          <a:extLst>
            <a:ext uri="{FF2B5EF4-FFF2-40B4-BE49-F238E27FC236}">
              <a16:creationId xmlns:a16="http://schemas.microsoft.com/office/drawing/2014/main" id="{00000000-0008-0000-0D00-0000EE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31" name="Text Box 2">
          <a:extLst>
            <a:ext uri="{FF2B5EF4-FFF2-40B4-BE49-F238E27FC236}">
              <a16:creationId xmlns:a16="http://schemas.microsoft.com/office/drawing/2014/main" id="{00000000-0008-0000-0D00-0000EF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32" name="Text Box 2">
          <a:extLst>
            <a:ext uri="{FF2B5EF4-FFF2-40B4-BE49-F238E27FC236}">
              <a16:creationId xmlns:a16="http://schemas.microsoft.com/office/drawing/2014/main" id="{00000000-0008-0000-0D00-0000F0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33" name="Text Box 2">
          <a:extLst>
            <a:ext uri="{FF2B5EF4-FFF2-40B4-BE49-F238E27FC236}">
              <a16:creationId xmlns:a16="http://schemas.microsoft.com/office/drawing/2014/main" id="{00000000-0008-0000-0D00-0000F1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34" name="Text Box 2">
          <a:extLst>
            <a:ext uri="{FF2B5EF4-FFF2-40B4-BE49-F238E27FC236}">
              <a16:creationId xmlns:a16="http://schemas.microsoft.com/office/drawing/2014/main" id="{00000000-0008-0000-0D00-0000F2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35" name="Text Box 2">
          <a:extLst>
            <a:ext uri="{FF2B5EF4-FFF2-40B4-BE49-F238E27FC236}">
              <a16:creationId xmlns:a16="http://schemas.microsoft.com/office/drawing/2014/main" id="{00000000-0008-0000-0D00-0000F3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36" name="Text Box 2">
          <a:extLst>
            <a:ext uri="{FF2B5EF4-FFF2-40B4-BE49-F238E27FC236}">
              <a16:creationId xmlns:a16="http://schemas.microsoft.com/office/drawing/2014/main" id="{00000000-0008-0000-0D00-0000F4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37" name="Text Box 2">
          <a:extLst>
            <a:ext uri="{FF2B5EF4-FFF2-40B4-BE49-F238E27FC236}">
              <a16:creationId xmlns:a16="http://schemas.microsoft.com/office/drawing/2014/main" id="{00000000-0008-0000-0D00-0000F5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38" name="Text Box 2">
          <a:extLst>
            <a:ext uri="{FF2B5EF4-FFF2-40B4-BE49-F238E27FC236}">
              <a16:creationId xmlns:a16="http://schemas.microsoft.com/office/drawing/2014/main" id="{00000000-0008-0000-0D00-0000F6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39" name="Text Box 2">
          <a:extLst>
            <a:ext uri="{FF2B5EF4-FFF2-40B4-BE49-F238E27FC236}">
              <a16:creationId xmlns:a16="http://schemas.microsoft.com/office/drawing/2014/main" id="{00000000-0008-0000-0D00-0000F7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40" name="Text Box 2">
          <a:extLst>
            <a:ext uri="{FF2B5EF4-FFF2-40B4-BE49-F238E27FC236}">
              <a16:creationId xmlns:a16="http://schemas.microsoft.com/office/drawing/2014/main" id="{00000000-0008-0000-0D00-0000F8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41" name="Text Box 2">
          <a:extLst>
            <a:ext uri="{FF2B5EF4-FFF2-40B4-BE49-F238E27FC236}">
              <a16:creationId xmlns:a16="http://schemas.microsoft.com/office/drawing/2014/main" id="{00000000-0008-0000-0D00-0000F9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42" name="Text Box 2">
          <a:extLst>
            <a:ext uri="{FF2B5EF4-FFF2-40B4-BE49-F238E27FC236}">
              <a16:creationId xmlns:a16="http://schemas.microsoft.com/office/drawing/2014/main" id="{00000000-0008-0000-0D00-0000FA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43" name="Text Box 2">
          <a:extLst>
            <a:ext uri="{FF2B5EF4-FFF2-40B4-BE49-F238E27FC236}">
              <a16:creationId xmlns:a16="http://schemas.microsoft.com/office/drawing/2014/main" id="{00000000-0008-0000-0D00-0000FB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44" name="Text Box 2">
          <a:extLst>
            <a:ext uri="{FF2B5EF4-FFF2-40B4-BE49-F238E27FC236}">
              <a16:creationId xmlns:a16="http://schemas.microsoft.com/office/drawing/2014/main" id="{00000000-0008-0000-0D00-0000FC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45" name="Text Box 2">
          <a:extLst>
            <a:ext uri="{FF2B5EF4-FFF2-40B4-BE49-F238E27FC236}">
              <a16:creationId xmlns:a16="http://schemas.microsoft.com/office/drawing/2014/main" id="{00000000-0008-0000-0D00-0000FD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46" name="Text Box 2">
          <a:extLst>
            <a:ext uri="{FF2B5EF4-FFF2-40B4-BE49-F238E27FC236}">
              <a16:creationId xmlns:a16="http://schemas.microsoft.com/office/drawing/2014/main" id="{00000000-0008-0000-0D00-0000FE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47" name="Text Box 2">
          <a:extLst>
            <a:ext uri="{FF2B5EF4-FFF2-40B4-BE49-F238E27FC236}">
              <a16:creationId xmlns:a16="http://schemas.microsoft.com/office/drawing/2014/main" id="{00000000-0008-0000-0D00-0000FF07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48" name="Text Box 2">
          <a:extLst>
            <a:ext uri="{FF2B5EF4-FFF2-40B4-BE49-F238E27FC236}">
              <a16:creationId xmlns:a16="http://schemas.microsoft.com/office/drawing/2014/main" id="{00000000-0008-0000-0D00-000000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49" name="Text Box 2">
          <a:extLst>
            <a:ext uri="{FF2B5EF4-FFF2-40B4-BE49-F238E27FC236}">
              <a16:creationId xmlns:a16="http://schemas.microsoft.com/office/drawing/2014/main" id="{00000000-0008-0000-0D00-000001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50" name="Text Box 2">
          <a:extLst>
            <a:ext uri="{FF2B5EF4-FFF2-40B4-BE49-F238E27FC236}">
              <a16:creationId xmlns:a16="http://schemas.microsoft.com/office/drawing/2014/main" id="{00000000-0008-0000-0D00-000002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51" name="Text Box 2">
          <a:extLst>
            <a:ext uri="{FF2B5EF4-FFF2-40B4-BE49-F238E27FC236}">
              <a16:creationId xmlns:a16="http://schemas.microsoft.com/office/drawing/2014/main" id="{00000000-0008-0000-0D00-000003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52" name="Text Box 2">
          <a:extLst>
            <a:ext uri="{FF2B5EF4-FFF2-40B4-BE49-F238E27FC236}">
              <a16:creationId xmlns:a16="http://schemas.microsoft.com/office/drawing/2014/main" id="{00000000-0008-0000-0D00-000004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53" name="Text Box 2">
          <a:extLst>
            <a:ext uri="{FF2B5EF4-FFF2-40B4-BE49-F238E27FC236}">
              <a16:creationId xmlns:a16="http://schemas.microsoft.com/office/drawing/2014/main" id="{00000000-0008-0000-0D00-000005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54" name="Text Box 2">
          <a:extLst>
            <a:ext uri="{FF2B5EF4-FFF2-40B4-BE49-F238E27FC236}">
              <a16:creationId xmlns:a16="http://schemas.microsoft.com/office/drawing/2014/main" id="{00000000-0008-0000-0D00-000006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55" name="Text Box 2">
          <a:extLst>
            <a:ext uri="{FF2B5EF4-FFF2-40B4-BE49-F238E27FC236}">
              <a16:creationId xmlns:a16="http://schemas.microsoft.com/office/drawing/2014/main" id="{00000000-0008-0000-0D00-000007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56" name="Text Box 2">
          <a:extLst>
            <a:ext uri="{FF2B5EF4-FFF2-40B4-BE49-F238E27FC236}">
              <a16:creationId xmlns:a16="http://schemas.microsoft.com/office/drawing/2014/main" id="{00000000-0008-0000-0D00-000008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57" name="Text Box 2">
          <a:extLst>
            <a:ext uri="{FF2B5EF4-FFF2-40B4-BE49-F238E27FC236}">
              <a16:creationId xmlns:a16="http://schemas.microsoft.com/office/drawing/2014/main" id="{00000000-0008-0000-0D00-000009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58" name="Text Box 2">
          <a:extLst>
            <a:ext uri="{FF2B5EF4-FFF2-40B4-BE49-F238E27FC236}">
              <a16:creationId xmlns:a16="http://schemas.microsoft.com/office/drawing/2014/main" id="{00000000-0008-0000-0D00-00000A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59" name="Text Box 2">
          <a:extLst>
            <a:ext uri="{FF2B5EF4-FFF2-40B4-BE49-F238E27FC236}">
              <a16:creationId xmlns:a16="http://schemas.microsoft.com/office/drawing/2014/main" id="{00000000-0008-0000-0D00-00000B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60" name="Text Box 2">
          <a:extLst>
            <a:ext uri="{FF2B5EF4-FFF2-40B4-BE49-F238E27FC236}">
              <a16:creationId xmlns:a16="http://schemas.microsoft.com/office/drawing/2014/main" id="{00000000-0008-0000-0D00-00000C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61" name="Text Box 2">
          <a:extLst>
            <a:ext uri="{FF2B5EF4-FFF2-40B4-BE49-F238E27FC236}">
              <a16:creationId xmlns:a16="http://schemas.microsoft.com/office/drawing/2014/main" id="{00000000-0008-0000-0D00-00000D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062" name="Text Box 2">
          <a:extLst>
            <a:ext uri="{FF2B5EF4-FFF2-40B4-BE49-F238E27FC236}">
              <a16:creationId xmlns:a16="http://schemas.microsoft.com/office/drawing/2014/main" id="{00000000-0008-0000-0D00-00000E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63" name="Text Box 2">
          <a:extLst>
            <a:ext uri="{FF2B5EF4-FFF2-40B4-BE49-F238E27FC236}">
              <a16:creationId xmlns:a16="http://schemas.microsoft.com/office/drawing/2014/main" id="{00000000-0008-0000-0D00-00000F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64" name="Text Box 2">
          <a:extLst>
            <a:ext uri="{FF2B5EF4-FFF2-40B4-BE49-F238E27FC236}">
              <a16:creationId xmlns:a16="http://schemas.microsoft.com/office/drawing/2014/main" id="{00000000-0008-0000-0D00-000010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65" name="Text Box 2">
          <a:extLst>
            <a:ext uri="{FF2B5EF4-FFF2-40B4-BE49-F238E27FC236}">
              <a16:creationId xmlns:a16="http://schemas.microsoft.com/office/drawing/2014/main" id="{00000000-0008-0000-0D00-000011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66" name="Text Box 2">
          <a:extLst>
            <a:ext uri="{FF2B5EF4-FFF2-40B4-BE49-F238E27FC236}">
              <a16:creationId xmlns:a16="http://schemas.microsoft.com/office/drawing/2014/main" id="{00000000-0008-0000-0D00-000012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67" name="Text Box 2">
          <a:extLst>
            <a:ext uri="{FF2B5EF4-FFF2-40B4-BE49-F238E27FC236}">
              <a16:creationId xmlns:a16="http://schemas.microsoft.com/office/drawing/2014/main" id="{00000000-0008-0000-0D00-000013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68" name="Text Box 2">
          <a:extLst>
            <a:ext uri="{FF2B5EF4-FFF2-40B4-BE49-F238E27FC236}">
              <a16:creationId xmlns:a16="http://schemas.microsoft.com/office/drawing/2014/main" id="{00000000-0008-0000-0D00-000014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69" name="Text Box 2">
          <a:extLst>
            <a:ext uri="{FF2B5EF4-FFF2-40B4-BE49-F238E27FC236}">
              <a16:creationId xmlns:a16="http://schemas.microsoft.com/office/drawing/2014/main" id="{00000000-0008-0000-0D00-000015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70" name="Text Box 2">
          <a:extLst>
            <a:ext uri="{FF2B5EF4-FFF2-40B4-BE49-F238E27FC236}">
              <a16:creationId xmlns:a16="http://schemas.microsoft.com/office/drawing/2014/main" id="{00000000-0008-0000-0D00-000016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71" name="Text Box 2">
          <a:extLst>
            <a:ext uri="{FF2B5EF4-FFF2-40B4-BE49-F238E27FC236}">
              <a16:creationId xmlns:a16="http://schemas.microsoft.com/office/drawing/2014/main" id="{00000000-0008-0000-0D00-000017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72" name="Text Box 2">
          <a:extLst>
            <a:ext uri="{FF2B5EF4-FFF2-40B4-BE49-F238E27FC236}">
              <a16:creationId xmlns:a16="http://schemas.microsoft.com/office/drawing/2014/main" id="{00000000-0008-0000-0D00-000018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73" name="Text Box 2">
          <a:extLst>
            <a:ext uri="{FF2B5EF4-FFF2-40B4-BE49-F238E27FC236}">
              <a16:creationId xmlns:a16="http://schemas.microsoft.com/office/drawing/2014/main" id="{00000000-0008-0000-0D00-000019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74" name="Text Box 2">
          <a:extLst>
            <a:ext uri="{FF2B5EF4-FFF2-40B4-BE49-F238E27FC236}">
              <a16:creationId xmlns:a16="http://schemas.microsoft.com/office/drawing/2014/main" id="{00000000-0008-0000-0D00-00001A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75" name="Text Box 2">
          <a:extLst>
            <a:ext uri="{FF2B5EF4-FFF2-40B4-BE49-F238E27FC236}">
              <a16:creationId xmlns:a16="http://schemas.microsoft.com/office/drawing/2014/main" id="{00000000-0008-0000-0D00-00001B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76" name="Text Box 2">
          <a:extLst>
            <a:ext uri="{FF2B5EF4-FFF2-40B4-BE49-F238E27FC236}">
              <a16:creationId xmlns:a16="http://schemas.microsoft.com/office/drawing/2014/main" id="{00000000-0008-0000-0D00-00001C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77" name="Text Box 2">
          <a:extLst>
            <a:ext uri="{FF2B5EF4-FFF2-40B4-BE49-F238E27FC236}">
              <a16:creationId xmlns:a16="http://schemas.microsoft.com/office/drawing/2014/main" id="{00000000-0008-0000-0D00-00001D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78" name="Text Box 2">
          <a:extLst>
            <a:ext uri="{FF2B5EF4-FFF2-40B4-BE49-F238E27FC236}">
              <a16:creationId xmlns:a16="http://schemas.microsoft.com/office/drawing/2014/main" id="{00000000-0008-0000-0D00-00001E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79" name="Text Box 2">
          <a:extLst>
            <a:ext uri="{FF2B5EF4-FFF2-40B4-BE49-F238E27FC236}">
              <a16:creationId xmlns:a16="http://schemas.microsoft.com/office/drawing/2014/main" id="{00000000-0008-0000-0D00-00001F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80" name="Text Box 2">
          <a:extLst>
            <a:ext uri="{FF2B5EF4-FFF2-40B4-BE49-F238E27FC236}">
              <a16:creationId xmlns:a16="http://schemas.microsoft.com/office/drawing/2014/main" id="{00000000-0008-0000-0D00-000020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81" name="Text Box 2">
          <a:extLst>
            <a:ext uri="{FF2B5EF4-FFF2-40B4-BE49-F238E27FC236}">
              <a16:creationId xmlns:a16="http://schemas.microsoft.com/office/drawing/2014/main" id="{00000000-0008-0000-0D00-000021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82" name="Text Box 2">
          <a:extLst>
            <a:ext uri="{FF2B5EF4-FFF2-40B4-BE49-F238E27FC236}">
              <a16:creationId xmlns:a16="http://schemas.microsoft.com/office/drawing/2014/main" id="{00000000-0008-0000-0D00-000022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83" name="Text Box 2">
          <a:extLst>
            <a:ext uri="{FF2B5EF4-FFF2-40B4-BE49-F238E27FC236}">
              <a16:creationId xmlns:a16="http://schemas.microsoft.com/office/drawing/2014/main" id="{00000000-0008-0000-0D00-000023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84" name="Text Box 2">
          <a:extLst>
            <a:ext uri="{FF2B5EF4-FFF2-40B4-BE49-F238E27FC236}">
              <a16:creationId xmlns:a16="http://schemas.microsoft.com/office/drawing/2014/main" id="{00000000-0008-0000-0D00-000024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85" name="Text Box 2">
          <a:extLst>
            <a:ext uri="{FF2B5EF4-FFF2-40B4-BE49-F238E27FC236}">
              <a16:creationId xmlns:a16="http://schemas.microsoft.com/office/drawing/2014/main" id="{00000000-0008-0000-0D00-000025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86" name="Text Box 2">
          <a:extLst>
            <a:ext uri="{FF2B5EF4-FFF2-40B4-BE49-F238E27FC236}">
              <a16:creationId xmlns:a16="http://schemas.microsoft.com/office/drawing/2014/main" id="{00000000-0008-0000-0D00-000026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87" name="Text Box 2">
          <a:extLst>
            <a:ext uri="{FF2B5EF4-FFF2-40B4-BE49-F238E27FC236}">
              <a16:creationId xmlns:a16="http://schemas.microsoft.com/office/drawing/2014/main" id="{00000000-0008-0000-0D00-000027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88" name="Text Box 2">
          <a:extLst>
            <a:ext uri="{FF2B5EF4-FFF2-40B4-BE49-F238E27FC236}">
              <a16:creationId xmlns:a16="http://schemas.microsoft.com/office/drawing/2014/main" id="{00000000-0008-0000-0D00-000028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89" name="Text Box 2">
          <a:extLst>
            <a:ext uri="{FF2B5EF4-FFF2-40B4-BE49-F238E27FC236}">
              <a16:creationId xmlns:a16="http://schemas.microsoft.com/office/drawing/2014/main" id="{00000000-0008-0000-0D00-000029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90" name="Text Box 2">
          <a:extLst>
            <a:ext uri="{FF2B5EF4-FFF2-40B4-BE49-F238E27FC236}">
              <a16:creationId xmlns:a16="http://schemas.microsoft.com/office/drawing/2014/main" id="{00000000-0008-0000-0D00-00002A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091" name="Text Box 2">
          <a:extLst>
            <a:ext uri="{FF2B5EF4-FFF2-40B4-BE49-F238E27FC236}">
              <a16:creationId xmlns:a16="http://schemas.microsoft.com/office/drawing/2014/main" id="{00000000-0008-0000-0D00-00002B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092" name="Text Box 2">
          <a:extLst>
            <a:ext uri="{FF2B5EF4-FFF2-40B4-BE49-F238E27FC236}">
              <a16:creationId xmlns:a16="http://schemas.microsoft.com/office/drawing/2014/main" id="{00000000-0008-0000-0D00-00002C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093" name="Text Box 2">
          <a:extLst>
            <a:ext uri="{FF2B5EF4-FFF2-40B4-BE49-F238E27FC236}">
              <a16:creationId xmlns:a16="http://schemas.microsoft.com/office/drawing/2014/main" id="{00000000-0008-0000-0D00-00002D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094" name="Text Box 2">
          <a:extLst>
            <a:ext uri="{FF2B5EF4-FFF2-40B4-BE49-F238E27FC236}">
              <a16:creationId xmlns:a16="http://schemas.microsoft.com/office/drawing/2014/main" id="{00000000-0008-0000-0D00-00002E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095" name="Text Box 2">
          <a:extLst>
            <a:ext uri="{FF2B5EF4-FFF2-40B4-BE49-F238E27FC236}">
              <a16:creationId xmlns:a16="http://schemas.microsoft.com/office/drawing/2014/main" id="{00000000-0008-0000-0D00-00002F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096" name="Text Box 2">
          <a:extLst>
            <a:ext uri="{FF2B5EF4-FFF2-40B4-BE49-F238E27FC236}">
              <a16:creationId xmlns:a16="http://schemas.microsoft.com/office/drawing/2014/main" id="{00000000-0008-0000-0D00-000030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097" name="Text Box 2">
          <a:extLst>
            <a:ext uri="{FF2B5EF4-FFF2-40B4-BE49-F238E27FC236}">
              <a16:creationId xmlns:a16="http://schemas.microsoft.com/office/drawing/2014/main" id="{00000000-0008-0000-0D00-000031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098" name="Text Box 2">
          <a:extLst>
            <a:ext uri="{FF2B5EF4-FFF2-40B4-BE49-F238E27FC236}">
              <a16:creationId xmlns:a16="http://schemas.microsoft.com/office/drawing/2014/main" id="{00000000-0008-0000-0D00-000032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099" name="Text Box 2">
          <a:extLst>
            <a:ext uri="{FF2B5EF4-FFF2-40B4-BE49-F238E27FC236}">
              <a16:creationId xmlns:a16="http://schemas.microsoft.com/office/drawing/2014/main" id="{00000000-0008-0000-0D00-000033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00" name="Text Box 2">
          <a:extLst>
            <a:ext uri="{FF2B5EF4-FFF2-40B4-BE49-F238E27FC236}">
              <a16:creationId xmlns:a16="http://schemas.microsoft.com/office/drawing/2014/main" id="{00000000-0008-0000-0D00-000034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01" name="Text Box 2">
          <a:extLst>
            <a:ext uri="{FF2B5EF4-FFF2-40B4-BE49-F238E27FC236}">
              <a16:creationId xmlns:a16="http://schemas.microsoft.com/office/drawing/2014/main" id="{00000000-0008-0000-0D00-000035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02" name="Text Box 2">
          <a:extLst>
            <a:ext uri="{FF2B5EF4-FFF2-40B4-BE49-F238E27FC236}">
              <a16:creationId xmlns:a16="http://schemas.microsoft.com/office/drawing/2014/main" id="{00000000-0008-0000-0D00-000036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03" name="Text Box 2">
          <a:extLst>
            <a:ext uri="{FF2B5EF4-FFF2-40B4-BE49-F238E27FC236}">
              <a16:creationId xmlns:a16="http://schemas.microsoft.com/office/drawing/2014/main" id="{00000000-0008-0000-0D00-000037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04" name="Text Box 2">
          <a:extLst>
            <a:ext uri="{FF2B5EF4-FFF2-40B4-BE49-F238E27FC236}">
              <a16:creationId xmlns:a16="http://schemas.microsoft.com/office/drawing/2014/main" id="{00000000-0008-0000-0D00-000038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05" name="Text Box 2">
          <a:extLst>
            <a:ext uri="{FF2B5EF4-FFF2-40B4-BE49-F238E27FC236}">
              <a16:creationId xmlns:a16="http://schemas.microsoft.com/office/drawing/2014/main" id="{00000000-0008-0000-0D00-000039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06" name="Text Box 2">
          <a:extLst>
            <a:ext uri="{FF2B5EF4-FFF2-40B4-BE49-F238E27FC236}">
              <a16:creationId xmlns:a16="http://schemas.microsoft.com/office/drawing/2014/main" id="{00000000-0008-0000-0D00-00003A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07" name="Text Box 2">
          <a:extLst>
            <a:ext uri="{FF2B5EF4-FFF2-40B4-BE49-F238E27FC236}">
              <a16:creationId xmlns:a16="http://schemas.microsoft.com/office/drawing/2014/main" id="{00000000-0008-0000-0D00-00003B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08" name="Text Box 2">
          <a:extLst>
            <a:ext uri="{FF2B5EF4-FFF2-40B4-BE49-F238E27FC236}">
              <a16:creationId xmlns:a16="http://schemas.microsoft.com/office/drawing/2014/main" id="{00000000-0008-0000-0D00-00003C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09" name="Text Box 2">
          <a:extLst>
            <a:ext uri="{FF2B5EF4-FFF2-40B4-BE49-F238E27FC236}">
              <a16:creationId xmlns:a16="http://schemas.microsoft.com/office/drawing/2014/main" id="{00000000-0008-0000-0D00-00003D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10" name="Text Box 2">
          <a:extLst>
            <a:ext uri="{FF2B5EF4-FFF2-40B4-BE49-F238E27FC236}">
              <a16:creationId xmlns:a16="http://schemas.microsoft.com/office/drawing/2014/main" id="{00000000-0008-0000-0D00-00003E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11" name="Text Box 2">
          <a:extLst>
            <a:ext uri="{FF2B5EF4-FFF2-40B4-BE49-F238E27FC236}">
              <a16:creationId xmlns:a16="http://schemas.microsoft.com/office/drawing/2014/main" id="{00000000-0008-0000-0D00-00003F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12" name="Text Box 2">
          <a:extLst>
            <a:ext uri="{FF2B5EF4-FFF2-40B4-BE49-F238E27FC236}">
              <a16:creationId xmlns:a16="http://schemas.microsoft.com/office/drawing/2014/main" id="{00000000-0008-0000-0D00-000040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13" name="Text Box 2">
          <a:extLst>
            <a:ext uri="{FF2B5EF4-FFF2-40B4-BE49-F238E27FC236}">
              <a16:creationId xmlns:a16="http://schemas.microsoft.com/office/drawing/2014/main" id="{00000000-0008-0000-0D00-000041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14" name="Text Box 2">
          <a:extLst>
            <a:ext uri="{FF2B5EF4-FFF2-40B4-BE49-F238E27FC236}">
              <a16:creationId xmlns:a16="http://schemas.microsoft.com/office/drawing/2014/main" id="{00000000-0008-0000-0D00-000042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15" name="Text Box 2">
          <a:extLst>
            <a:ext uri="{FF2B5EF4-FFF2-40B4-BE49-F238E27FC236}">
              <a16:creationId xmlns:a16="http://schemas.microsoft.com/office/drawing/2014/main" id="{00000000-0008-0000-0D00-000043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16" name="Text Box 2">
          <a:extLst>
            <a:ext uri="{FF2B5EF4-FFF2-40B4-BE49-F238E27FC236}">
              <a16:creationId xmlns:a16="http://schemas.microsoft.com/office/drawing/2014/main" id="{00000000-0008-0000-0D00-000044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17" name="Text Box 2">
          <a:extLst>
            <a:ext uri="{FF2B5EF4-FFF2-40B4-BE49-F238E27FC236}">
              <a16:creationId xmlns:a16="http://schemas.microsoft.com/office/drawing/2014/main" id="{00000000-0008-0000-0D00-000045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18" name="Text Box 2">
          <a:extLst>
            <a:ext uri="{FF2B5EF4-FFF2-40B4-BE49-F238E27FC236}">
              <a16:creationId xmlns:a16="http://schemas.microsoft.com/office/drawing/2014/main" id="{00000000-0008-0000-0D00-000046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119" name="Text Box 2">
          <a:extLst>
            <a:ext uri="{FF2B5EF4-FFF2-40B4-BE49-F238E27FC236}">
              <a16:creationId xmlns:a16="http://schemas.microsoft.com/office/drawing/2014/main" id="{00000000-0008-0000-0D00-000047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20" name="Text Box 2">
          <a:extLst>
            <a:ext uri="{FF2B5EF4-FFF2-40B4-BE49-F238E27FC236}">
              <a16:creationId xmlns:a16="http://schemas.microsoft.com/office/drawing/2014/main" id="{00000000-0008-0000-0D00-000048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21" name="Text Box 2">
          <a:extLst>
            <a:ext uri="{FF2B5EF4-FFF2-40B4-BE49-F238E27FC236}">
              <a16:creationId xmlns:a16="http://schemas.microsoft.com/office/drawing/2014/main" id="{00000000-0008-0000-0D00-000049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22" name="Text Box 2">
          <a:extLst>
            <a:ext uri="{FF2B5EF4-FFF2-40B4-BE49-F238E27FC236}">
              <a16:creationId xmlns:a16="http://schemas.microsoft.com/office/drawing/2014/main" id="{00000000-0008-0000-0D00-00004A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23" name="Text Box 2">
          <a:extLst>
            <a:ext uri="{FF2B5EF4-FFF2-40B4-BE49-F238E27FC236}">
              <a16:creationId xmlns:a16="http://schemas.microsoft.com/office/drawing/2014/main" id="{00000000-0008-0000-0D00-00004B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24" name="Text Box 2">
          <a:extLst>
            <a:ext uri="{FF2B5EF4-FFF2-40B4-BE49-F238E27FC236}">
              <a16:creationId xmlns:a16="http://schemas.microsoft.com/office/drawing/2014/main" id="{00000000-0008-0000-0D00-00004C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25" name="Text Box 2">
          <a:extLst>
            <a:ext uri="{FF2B5EF4-FFF2-40B4-BE49-F238E27FC236}">
              <a16:creationId xmlns:a16="http://schemas.microsoft.com/office/drawing/2014/main" id="{00000000-0008-0000-0D00-00004D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26" name="Text Box 2">
          <a:extLst>
            <a:ext uri="{FF2B5EF4-FFF2-40B4-BE49-F238E27FC236}">
              <a16:creationId xmlns:a16="http://schemas.microsoft.com/office/drawing/2014/main" id="{00000000-0008-0000-0D00-00004E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27" name="Text Box 2">
          <a:extLst>
            <a:ext uri="{FF2B5EF4-FFF2-40B4-BE49-F238E27FC236}">
              <a16:creationId xmlns:a16="http://schemas.microsoft.com/office/drawing/2014/main" id="{00000000-0008-0000-0D00-00004F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28" name="Text Box 2">
          <a:extLst>
            <a:ext uri="{FF2B5EF4-FFF2-40B4-BE49-F238E27FC236}">
              <a16:creationId xmlns:a16="http://schemas.microsoft.com/office/drawing/2014/main" id="{00000000-0008-0000-0D00-000050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29" name="Text Box 2">
          <a:extLst>
            <a:ext uri="{FF2B5EF4-FFF2-40B4-BE49-F238E27FC236}">
              <a16:creationId xmlns:a16="http://schemas.microsoft.com/office/drawing/2014/main" id="{00000000-0008-0000-0D00-000051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30" name="Text Box 2">
          <a:extLst>
            <a:ext uri="{FF2B5EF4-FFF2-40B4-BE49-F238E27FC236}">
              <a16:creationId xmlns:a16="http://schemas.microsoft.com/office/drawing/2014/main" id="{00000000-0008-0000-0D00-000052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31" name="Text Box 2">
          <a:extLst>
            <a:ext uri="{FF2B5EF4-FFF2-40B4-BE49-F238E27FC236}">
              <a16:creationId xmlns:a16="http://schemas.microsoft.com/office/drawing/2014/main" id="{00000000-0008-0000-0D00-000053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32" name="Text Box 2">
          <a:extLst>
            <a:ext uri="{FF2B5EF4-FFF2-40B4-BE49-F238E27FC236}">
              <a16:creationId xmlns:a16="http://schemas.microsoft.com/office/drawing/2014/main" id="{00000000-0008-0000-0D00-000054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33" name="Text Box 2">
          <a:extLst>
            <a:ext uri="{FF2B5EF4-FFF2-40B4-BE49-F238E27FC236}">
              <a16:creationId xmlns:a16="http://schemas.microsoft.com/office/drawing/2014/main" id="{00000000-0008-0000-0D00-000055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34" name="Text Box 2">
          <a:extLst>
            <a:ext uri="{FF2B5EF4-FFF2-40B4-BE49-F238E27FC236}">
              <a16:creationId xmlns:a16="http://schemas.microsoft.com/office/drawing/2014/main" id="{00000000-0008-0000-0D00-000056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35" name="Text Box 2">
          <a:extLst>
            <a:ext uri="{FF2B5EF4-FFF2-40B4-BE49-F238E27FC236}">
              <a16:creationId xmlns:a16="http://schemas.microsoft.com/office/drawing/2014/main" id="{00000000-0008-0000-0D00-000057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36" name="Text Box 2">
          <a:extLst>
            <a:ext uri="{FF2B5EF4-FFF2-40B4-BE49-F238E27FC236}">
              <a16:creationId xmlns:a16="http://schemas.microsoft.com/office/drawing/2014/main" id="{00000000-0008-0000-0D00-000058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37" name="Text Box 2">
          <a:extLst>
            <a:ext uri="{FF2B5EF4-FFF2-40B4-BE49-F238E27FC236}">
              <a16:creationId xmlns:a16="http://schemas.microsoft.com/office/drawing/2014/main" id="{00000000-0008-0000-0D00-000059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38" name="Text Box 2">
          <a:extLst>
            <a:ext uri="{FF2B5EF4-FFF2-40B4-BE49-F238E27FC236}">
              <a16:creationId xmlns:a16="http://schemas.microsoft.com/office/drawing/2014/main" id="{00000000-0008-0000-0D00-00005A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39" name="Text Box 2">
          <a:extLst>
            <a:ext uri="{FF2B5EF4-FFF2-40B4-BE49-F238E27FC236}">
              <a16:creationId xmlns:a16="http://schemas.microsoft.com/office/drawing/2014/main" id="{00000000-0008-0000-0D00-00005B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40" name="Text Box 2">
          <a:extLst>
            <a:ext uri="{FF2B5EF4-FFF2-40B4-BE49-F238E27FC236}">
              <a16:creationId xmlns:a16="http://schemas.microsoft.com/office/drawing/2014/main" id="{00000000-0008-0000-0D00-00005C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41" name="Text Box 2">
          <a:extLst>
            <a:ext uri="{FF2B5EF4-FFF2-40B4-BE49-F238E27FC236}">
              <a16:creationId xmlns:a16="http://schemas.microsoft.com/office/drawing/2014/main" id="{00000000-0008-0000-0D00-00005D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42" name="Text Box 2">
          <a:extLst>
            <a:ext uri="{FF2B5EF4-FFF2-40B4-BE49-F238E27FC236}">
              <a16:creationId xmlns:a16="http://schemas.microsoft.com/office/drawing/2014/main" id="{00000000-0008-0000-0D00-00005E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43" name="Text Box 2">
          <a:extLst>
            <a:ext uri="{FF2B5EF4-FFF2-40B4-BE49-F238E27FC236}">
              <a16:creationId xmlns:a16="http://schemas.microsoft.com/office/drawing/2014/main" id="{00000000-0008-0000-0D00-00005F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44" name="Text Box 2">
          <a:extLst>
            <a:ext uri="{FF2B5EF4-FFF2-40B4-BE49-F238E27FC236}">
              <a16:creationId xmlns:a16="http://schemas.microsoft.com/office/drawing/2014/main" id="{00000000-0008-0000-0D00-000060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45" name="Text Box 2">
          <a:extLst>
            <a:ext uri="{FF2B5EF4-FFF2-40B4-BE49-F238E27FC236}">
              <a16:creationId xmlns:a16="http://schemas.microsoft.com/office/drawing/2014/main" id="{00000000-0008-0000-0D00-000061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46" name="Text Box 2">
          <a:extLst>
            <a:ext uri="{FF2B5EF4-FFF2-40B4-BE49-F238E27FC236}">
              <a16:creationId xmlns:a16="http://schemas.microsoft.com/office/drawing/2014/main" id="{00000000-0008-0000-0D00-000062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47" name="Text Box 2">
          <a:extLst>
            <a:ext uri="{FF2B5EF4-FFF2-40B4-BE49-F238E27FC236}">
              <a16:creationId xmlns:a16="http://schemas.microsoft.com/office/drawing/2014/main" id="{00000000-0008-0000-0D00-000063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48" name="Text Box 2">
          <a:extLst>
            <a:ext uri="{FF2B5EF4-FFF2-40B4-BE49-F238E27FC236}">
              <a16:creationId xmlns:a16="http://schemas.microsoft.com/office/drawing/2014/main" id="{00000000-0008-0000-0D00-000064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49" name="Text Box 2">
          <a:extLst>
            <a:ext uri="{FF2B5EF4-FFF2-40B4-BE49-F238E27FC236}">
              <a16:creationId xmlns:a16="http://schemas.microsoft.com/office/drawing/2014/main" id="{00000000-0008-0000-0D00-000065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50" name="Text Box 2">
          <a:extLst>
            <a:ext uri="{FF2B5EF4-FFF2-40B4-BE49-F238E27FC236}">
              <a16:creationId xmlns:a16="http://schemas.microsoft.com/office/drawing/2014/main" id="{00000000-0008-0000-0D00-000066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51" name="Text Box 2">
          <a:extLst>
            <a:ext uri="{FF2B5EF4-FFF2-40B4-BE49-F238E27FC236}">
              <a16:creationId xmlns:a16="http://schemas.microsoft.com/office/drawing/2014/main" id="{00000000-0008-0000-0D00-000067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52" name="Text Box 2">
          <a:extLst>
            <a:ext uri="{FF2B5EF4-FFF2-40B4-BE49-F238E27FC236}">
              <a16:creationId xmlns:a16="http://schemas.microsoft.com/office/drawing/2014/main" id="{00000000-0008-0000-0D00-000068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53" name="Text Box 2">
          <a:extLst>
            <a:ext uri="{FF2B5EF4-FFF2-40B4-BE49-F238E27FC236}">
              <a16:creationId xmlns:a16="http://schemas.microsoft.com/office/drawing/2014/main" id="{00000000-0008-0000-0D00-000069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54" name="Text Box 2">
          <a:extLst>
            <a:ext uri="{FF2B5EF4-FFF2-40B4-BE49-F238E27FC236}">
              <a16:creationId xmlns:a16="http://schemas.microsoft.com/office/drawing/2014/main" id="{00000000-0008-0000-0D00-00006A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55" name="Text Box 2">
          <a:extLst>
            <a:ext uri="{FF2B5EF4-FFF2-40B4-BE49-F238E27FC236}">
              <a16:creationId xmlns:a16="http://schemas.microsoft.com/office/drawing/2014/main" id="{00000000-0008-0000-0D00-00006B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56" name="Text Box 2">
          <a:extLst>
            <a:ext uri="{FF2B5EF4-FFF2-40B4-BE49-F238E27FC236}">
              <a16:creationId xmlns:a16="http://schemas.microsoft.com/office/drawing/2014/main" id="{00000000-0008-0000-0D00-00006C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57" name="Text Box 2">
          <a:extLst>
            <a:ext uri="{FF2B5EF4-FFF2-40B4-BE49-F238E27FC236}">
              <a16:creationId xmlns:a16="http://schemas.microsoft.com/office/drawing/2014/main" id="{00000000-0008-0000-0D00-00006D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58" name="Text Box 2">
          <a:extLst>
            <a:ext uri="{FF2B5EF4-FFF2-40B4-BE49-F238E27FC236}">
              <a16:creationId xmlns:a16="http://schemas.microsoft.com/office/drawing/2014/main" id="{00000000-0008-0000-0D00-00006E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59" name="Text Box 2">
          <a:extLst>
            <a:ext uri="{FF2B5EF4-FFF2-40B4-BE49-F238E27FC236}">
              <a16:creationId xmlns:a16="http://schemas.microsoft.com/office/drawing/2014/main" id="{00000000-0008-0000-0D00-00006F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60" name="Text Box 2">
          <a:extLst>
            <a:ext uri="{FF2B5EF4-FFF2-40B4-BE49-F238E27FC236}">
              <a16:creationId xmlns:a16="http://schemas.microsoft.com/office/drawing/2014/main" id="{00000000-0008-0000-0D00-000070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61" name="Text Box 2">
          <a:extLst>
            <a:ext uri="{FF2B5EF4-FFF2-40B4-BE49-F238E27FC236}">
              <a16:creationId xmlns:a16="http://schemas.microsoft.com/office/drawing/2014/main" id="{00000000-0008-0000-0D00-000071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62" name="Text Box 2">
          <a:extLst>
            <a:ext uri="{FF2B5EF4-FFF2-40B4-BE49-F238E27FC236}">
              <a16:creationId xmlns:a16="http://schemas.microsoft.com/office/drawing/2014/main" id="{00000000-0008-0000-0D00-000072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63" name="Text Box 2">
          <a:extLst>
            <a:ext uri="{FF2B5EF4-FFF2-40B4-BE49-F238E27FC236}">
              <a16:creationId xmlns:a16="http://schemas.microsoft.com/office/drawing/2014/main" id="{00000000-0008-0000-0D00-000073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64" name="Text Box 2">
          <a:extLst>
            <a:ext uri="{FF2B5EF4-FFF2-40B4-BE49-F238E27FC236}">
              <a16:creationId xmlns:a16="http://schemas.microsoft.com/office/drawing/2014/main" id="{00000000-0008-0000-0D00-000074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65" name="Text Box 2">
          <a:extLst>
            <a:ext uri="{FF2B5EF4-FFF2-40B4-BE49-F238E27FC236}">
              <a16:creationId xmlns:a16="http://schemas.microsoft.com/office/drawing/2014/main" id="{00000000-0008-0000-0D00-000075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66" name="Text Box 2">
          <a:extLst>
            <a:ext uri="{FF2B5EF4-FFF2-40B4-BE49-F238E27FC236}">
              <a16:creationId xmlns:a16="http://schemas.microsoft.com/office/drawing/2014/main" id="{00000000-0008-0000-0D00-000076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67" name="Text Box 2">
          <a:extLst>
            <a:ext uri="{FF2B5EF4-FFF2-40B4-BE49-F238E27FC236}">
              <a16:creationId xmlns:a16="http://schemas.microsoft.com/office/drawing/2014/main" id="{00000000-0008-0000-0D00-000077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68" name="Text Box 2">
          <a:extLst>
            <a:ext uri="{FF2B5EF4-FFF2-40B4-BE49-F238E27FC236}">
              <a16:creationId xmlns:a16="http://schemas.microsoft.com/office/drawing/2014/main" id="{00000000-0008-0000-0D00-000078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69" name="Text Box 2">
          <a:extLst>
            <a:ext uri="{FF2B5EF4-FFF2-40B4-BE49-F238E27FC236}">
              <a16:creationId xmlns:a16="http://schemas.microsoft.com/office/drawing/2014/main" id="{00000000-0008-0000-0D00-000079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70" name="Text Box 2">
          <a:extLst>
            <a:ext uri="{FF2B5EF4-FFF2-40B4-BE49-F238E27FC236}">
              <a16:creationId xmlns:a16="http://schemas.microsoft.com/office/drawing/2014/main" id="{00000000-0008-0000-0D00-00007A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71" name="Text Box 2">
          <a:extLst>
            <a:ext uri="{FF2B5EF4-FFF2-40B4-BE49-F238E27FC236}">
              <a16:creationId xmlns:a16="http://schemas.microsoft.com/office/drawing/2014/main" id="{00000000-0008-0000-0D00-00007B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72" name="Text Box 2">
          <a:extLst>
            <a:ext uri="{FF2B5EF4-FFF2-40B4-BE49-F238E27FC236}">
              <a16:creationId xmlns:a16="http://schemas.microsoft.com/office/drawing/2014/main" id="{00000000-0008-0000-0D00-00007C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73" name="Text Box 2">
          <a:extLst>
            <a:ext uri="{FF2B5EF4-FFF2-40B4-BE49-F238E27FC236}">
              <a16:creationId xmlns:a16="http://schemas.microsoft.com/office/drawing/2014/main" id="{00000000-0008-0000-0D00-00007D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74" name="Text Box 2">
          <a:extLst>
            <a:ext uri="{FF2B5EF4-FFF2-40B4-BE49-F238E27FC236}">
              <a16:creationId xmlns:a16="http://schemas.microsoft.com/office/drawing/2014/main" id="{00000000-0008-0000-0D00-00007E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75" name="Text Box 2">
          <a:extLst>
            <a:ext uri="{FF2B5EF4-FFF2-40B4-BE49-F238E27FC236}">
              <a16:creationId xmlns:a16="http://schemas.microsoft.com/office/drawing/2014/main" id="{00000000-0008-0000-0D00-00007F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76" name="Text Box 2">
          <a:extLst>
            <a:ext uri="{FF2B5EF4-FFF2-40B4-BE49-F238E27FC236}">
              <a16:creationId xmlns:a16="http://schemas.microsoft.com/office/drawing/2014/main" id="{00000000-0008-0000-0D00-000080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77" name="Text Box 2">
          <a:extLst>
            <a:ext uri="{FF2B5EF4-FFF2-40B4-BE49-F238E27FC236}">
              <a16:creationId xmlns:a16="http://schemas.microsoft.com/office/drawing/2014/main" id="{00000000-0008-0000-0D00-000081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78" name="Text Box 2">
          <a:extLst>
            <a:ext uri="{FF2B5EF4-FFF2-40B4-BE49-F238E27FC236}">
              <a16:creationId xmlns:a16="http://schemas.microsoft.com/office/drawing/2014/main" id="{00000000-0008-0000-0D00-000082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79" name="Text Box 2">
          <a:extLst>
            <a:ext uri="{FF2B5EF4-FFF2-40B4-BE49-F238E27FC236}">
              <a16:creationId xmlns:a16="http://schemas.microsoft.com/office/drawing/2014/main" id="{00000000-0008-0000-0D00-000083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80" name="Text Box 2">
          <a:extLst>
            <a:ext uri="{FF2B5EF4-FFF2-40B4-BE49-F238E27FC236}">
              <a16:creationId xmlns:a16="http://schemas.microsoft.com/office/drawing/2014/main" id="{00000000-0008-0000-0D00-000084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81" name="Text Box 2">
          <a:extLst>
            <a:ext uri="{FF2B5EF4-FFF2-40B4-BE49-F238E27FC236}">
              <a16:creationId xmlns:a16="http://schemas.microsoft.com/office/drawing/2014/main" id="{00000000-0008-0000-0D00-000085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82" name="Text Box 2">
          <a:extLst>
            <a:ext uri="{FF2B5EF4-FFF2-40B4-BE49-F238E27FC236}">
              <a16:creationId xmlns:a16="http://schemas.microsoft.com/office/drawing/2014/main" id="{00000000-0008-0000-0D00-000086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83" name="Text Box 2">
          <a:extLst>
            <a:ext uri="{FF2B5EF4-FFF2-40B4-BE49-F238E27FC236}">
              <a16:creationId xmlns:a16="http://schemas.microsoft.com/office/drawing/2014/main" id="{00000000-0008-0000-0D00-000087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84" name="Text Box 2">
          <a:extLst>
            <a:ext uri="{FF2B5EF4-FFF2-40B4-BE49-F238E27FC236}">
              <a16:creationId xmlns:a16="http://schemas.microsoft.com/office/drawing/2014/main" id="{00000000-0008-0000-0D00-000088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85" name="Text Box 2">
          <a:extLst>
            <a:ext uri="{FF2B5EF4-FFF2-40B4-BE49-F238E27FC236}">
              <a16:creationId xmlns:a16="http://schemas.microsoft.com/office/drawing/2014/main" id="{00000000-0008-0000-0D00-000089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86" name="Text Box 2">
          <a:extLst>
            <a:ext uri="{FF2B5EF4-FFF2-40B4-BE49-F238E27FC236}">
              <a16:creationId xmlns:a16="http://schemas.microsoft.com/office/drawing/2014/main" id="{00000000-0008-0000-0D00-00008A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87" name="Text Box 2">
          <a:extLst>
            <a:ext uri="{FF2B5EF4-FFF2-40B4-BE49-F238E27FC236}">
              <a16:creationId xmlns:a16="http://schemas.microsoft.com/office/drawing/2014/main" id="{00000000-0008-0000-0D00-00008B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88" name="Text Box 2">
          <a:extLst>
            <a:ext uri="{FF2B5EF4-FFF2-40B4-BE49-F238E27FC236}">
              <a16:creationId xmlns:a16="http://schemas.microsoft.com/office/drawing/2014/main" id="{00000000-0008-0000-0D00-00008C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89" name="Text Box 2">
          <a:extLst>
            <a:ext uri="{FF2B5EF4-FFF2-40B4-BE49-F238E27FC236}">
              <a16:creationId xmlns:a16="http://schemas.microsoft.com/office/drawing/2014/main" id="{00000000-0008-0000-0D00-00008D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90" name="Text Box 2">
          <a:extLst>
            <a:ext uri="{FF2B5EF4-FFF2-40B4-BE49-F238E27FC236}">
              <a16:creationId xmlns:a16="http://schemas.microsoft.com/office/drawing/2014/main" id="{00000000-0008-0000-0D00-00008E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91" name="Text Box 2">
          <a:extLst>
            <a:ext uri="{FF2B5EF4-FFF2-40B4-BE49-F238E27FC236}">
              <a16:creationId xmlns:a16="http://schemas.microsoft.com/office/drawing/2014/main" id="{00000000-0008-0000-0D00-00008F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92" name="Text Box 2">
          <a:extLst>
            <a:ext uri="{FF2B5EF4-FFF2-40B4-BE49-F238E27FC236}">
              <a16:creationId xmlns:a16="http://schemas.microsoft.com/office/drawing/2014/main" id="{00000000-0008-0000-0D00-000090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93" name="Text Box 2">
          <a:extLst>
            <a:ext uri="{FF2B5EF4-FFF2-40B4-BE49-F238E27FC236}">
              <a16:creationId xmlns:a16="http://schemas.microsoft.com/office/drawing/2014/main" id="{00000000-0008-0000-0D00-000091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94" name="Text Box 2">
          <a:extLst>
            <a:ext uri="{FF2B5EF4-FFF2-40B4-BE49-F238E27FC236}">
              <a16:creationId xmlns:a16="http://schemas.microsoft.com/office/drawing/2014/main" id="{00000000-0008-0000-0D00-000092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95" name="Text Box 2">
          <a:extLst>
            <a:ext uri="{FF2B5EF4-FFF2-40B4-BE49-F238E27FC236}">
              <a16:creationId xmlns:a16="http://schemas.microsoft.com/office/drawing/2014/main" id="{00000000-0008-0000-0D00-000093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96" name="Text Box 2">
          <a:extLst>
            <a:ext uri="{FF2B5EF4-FFF2-40B4-BE49-F238E27FC236}">
              <a16:creationId xmlns:a16="http://schemas.microsoft.com/office/drawing/2014/main" id="{00000000-0008-0000-0D00-000094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97" name="Text Box 2">
          <a:extLst>
            <a:ext uri="{FF2B5EF4-FFF2-40B4-BE49-F238E27FC236}">
              <a16:creationId xmlns:a16="http://schemas.microsoft.com/office/drawing/2014/main" id="{00000000-0008-0000-0D00-000095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98" name="Text Box 2">
          <a:extLst>
            <a:ext uri="{FF2B5EF4-FFF2-40B4-BE49-F238E27FC236}">
              <a16:creationId xmlns:a16="http://schemas.microsoft.com/office/drawing/2014/main" id="{00000000-0008-0000-0D00-000096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199" name="Text Box 2">
          <a:extLst>
            <a:ext uri="{FF2B5EF4-FFF2-40B4-BE49-F238E27FC236}">
              <a16:creationId xmlns:a16="http://schemas.microsoft.com/office/drawing/2014/main" id="{00000000-0008-0000-0D00-000097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00" name="Text Box 2">
          <a:extLst>
            <a:ext uri="{FF2B5EF4-FFF2-40B4-BE49-F238E27FC236}">
              <a16:creationId xmlns:a16="http://schemas.microsoft.com/office/drawing/2014/main" id="{00000000-0008-0000-0D00-000098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01" name="Text Box 2">
          <a:extLst>
            <a:ext uri="{FF2B5EF4-FFF2-40B4-BE49-F238E27FC236}">
              <a16:creationId xmlns:a16="http://schemas.microsoft.com/office/drawing/2014/main" id="{00000000-0008-0000-0D00-000099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02" name="Text Box 2">
          <a:extLst>
            <a:ext uri="{FF2B5EF4-FFF2-40B4-BE49-F238E27FC236}">
              <a16:creationId xmlns:a16="http://schemas.microsoft.com/office/drawing/2014/main" id="{00000000-0008-0000-0D00-00009A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03" name="Text Box 2">
          <a:extLst>
            <a:ext uri="{FF2B5EF4-FFF2-40B4-BE49-F238E27FC236}">
              <a16:creationId xmlns:a16="http://schemas.microsoft.com/office/drawing/2014/main" id="{00000000-0008-0000-0D00-00009B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04" name="Text Box 2">
          <a:extLst>
            <a:ext uri="{FF2B5EF4-FFF2-40B4-BE49-F238E27FC236}">
              <a16:creationId xmlns:a16="http://schemas.microsoft.com/office/drawing/2014/main" id="{00000000-0008-0000-0D00-00009C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05" name="Text Box 2">
          <a:extLst>
            <a:ext uri="{FF2B5EF4-FFF2-40B4-BE49-F238E27FC236}">
              <a16:creationId xmlns:a16="http://schemas.microsoft.com/office/drawing/2014/main" id="{00000000-0008-0000-0D00-00009D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06" name="Text Box 2">
          <a:extLst>
            <a:ext uri="{FF2B5EF4-FFF2-40B4-BE49-F238E27FC236}">
              <a16:creationId xmlns:a16="http://schemas.microsoft.com/office/drawing/2014/main" id="{00000000-0008-0000-0D00-00009E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07" name="Text Box 2">
          <a:extLst>
            <a:ext uri="{FF2B5EF4-FFF2-40B4-BE49-F238E27FC236}">
              <a16:creationId xmlns:a16="http://schemas.microsoft.com/office/drawing/2014/main" id="{00000000-0008-0000-0D00-00009F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08" name="Text Box 2">
          <a:extLst>
            <a:ext uri="{FF2B5EF4-FFF2-40B4-BE49-F238E27FC236}">
              <a16:creationId xmlns:a16="http://schemas.microsoft.com/office/drawing/2014/main" id="{00000000-0008-0000-0D00-0000A0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09" name="Text Box 2">
          <a:extLst>
            <a:ext uri="{FF2B5EF4-FFF2-40B4-BE49-F238E27FC236}">
              <a16:creationId xmlns:a16="http://schemas.microsoft.com/office/drawing/2014/main" id="{00000000-0008-0000-0D00-0000A1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10" name="Text Box 2">
          <a:extLst>
            <a:ext uri="{FF2B5EF4-FFF2-40B4-BE49-F238E27FC236}">
              <a16:creationId xmlns:a16="http://schemas.microsoft.com/office/drawing/2014/main" id="{00000000-0008-0000-0D00-0000A2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11" name="Text Box 2">
          <a:extLst>
            <a:ext uri="{FF2B5EF4-FFF2-40B4-BE49-F238E27FC236}">
              <a16:creationId xmlns:a16="http://schemas.microsoft.com/office/drawing/2014/main" id="{00000000-0008-0000-0D00-0000A3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12" name="Text Box 2">
          <a:extLst>
            <a:ext uri="{FF2B5EF4-FFF2-40B4-BE49-F238E27FC236}">
              <a16:creationId xmlns:a16="http://schemas.microsoft.com/office/drawing/2014/main" id="{00000000-0008-0000-0D00-0000A4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13" name="Text Box 2">
          <a:extLst>
            <a:ext uri="{FF2B5EF4-FFF2-40B4-BE49-F238E27FC236}">
              <a16:creationId xmlns:a16="http://schemas.microsoft.com/office/drawing/2014/main" id="{00000000-0008-0000-0D00-0000A5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14" name="Text Box 2">
          <a:extLst>
            <a:ext uri="{FF2B5EF4-FFF2-40B4-BE49-F238E27FC236}">
              <a16:creationId xmlns:a16="http://schemas.microsoft.com/office/drawing/2014/main" id="{00000000-0008-0000-0D00-0000A6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15" name="Text Box 2">
          <a:extLst>
            <a:ext uri="{FF2B5EF4-FFF2-40B4-BE49-F238E27FC236}">
              <a16:creationId xmlns:a16="http://schemas.microsoft.com/office/drawing/2014/main" id="{00000000-0008-0000-0D00-0000A7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16" name="Text Box 2">
          <a:extLst>
            <a:ext uri="{FF2B5EF4-FFF2-40B4-BE49-F238E27FC236}">
              <a16:creationId xmlns:a16="http://schemas.microsoft.com/office/drawing/2014/main" id="{00000000-0008-0000-0D00-0000A8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17" name="Text Box 2">
          <a:extLst>
            <a:ext uri="{FF2B5EF4-FFF2-40B4-BE49-F238E27FC236}">
              <a16:creationId xmlns:a16="http://schemas.microsoft.com/office/drawing/2014/main" id="{00000000-0008-0000-0D00-0000A9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18" name="Text Box 2">
          <a:extLst>
            <a:ext uri="{FF2B5EF4-FFF2-40B4-BE49-F238E27FC236}">
              <a16:creationId xmlns:a16="http://schemas.microsoft.com/office/drawing/2014/main" id="{00000000-0008-0000-0D00-0000AA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19" name="Text Box 2">
          <a:extLst>
            <a:ext uri="{FF2B5EF4-FFF2-40B4-BE49-F238E27FC236}">
              <a16:creationId xmlns:a16="http://schemas.microsoft.com/office/drawing/2014/main" id="{00000000-0008-0000-0D00-0000AB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20" name="Text Box 2">
          <a:extLst>
            <a:ext uri="{FF2B5EF4-FFF2-40B4-BE49-F238E27FC236}">
              <a16:creationId xmlns:a16="http://schemas.microsoft.com/office/drawing/2014/main" id="{00000000-0008-0000-0D00-0000AC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21" name="Text Box 2">
          <a:extLst>
            <a:ext uri="{FF2B5EF4-FFF2-40B4-BE49-F238E27FC236}">
              <a16:creationId xmlns:a16="http://schemas.microsoft.com/office/drawing/2014/main" id="{00000000-0008-0000-0D00-0000AD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22" name="Text Box 2">
          <a:extLst>
            <a:ext uri="{FF2B5EF4-FFF2-40B4-BE49-F238E27FC236}">
              <a16:creationId xmlns:a16="http://schemas.microsoft.com/office/drawing/2014/main" id="{00000000-0008-0000-0D00-0000AE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23" name="Text Box 2">
          <a:extLst>
            <a:ext uri="{FF2B5EF4-FFF2-40B4-BE49-F238E27FC236}">
              <a16:creationId xmlns:a16="http://schemas.microsoft.com/office/drawing/2014/main" id="{00000000-0008-0000-0D00-0000AF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24" name="Text Box 2">
          <a:extLst>
            <a:ext uri="{FF2B5EF4-FFF2-40B4-BE49-F238E27FC236}">
              <a16:creationId xmlns:a16="http://schemas.microsoft.com/office/drawing/2014/main" id="{00000000-0008-0000-0D00-0000B0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25" name="Text Box 2">
          <a:extLst>
            <a:ext uri="{FF2B5EF4-FFF2-40B4-BE49-F238E27FC236}">
              <a16:creationId xmlns:a16="http://schemas.microsoft.com/office/drawing/2014/main" id="{00000000-0008-0000-0D00-0000B1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26" name="Text Box 2">
          <a:extLst>
            <a:ext uri="{FF2B5EF4-FFF2-40B4-BE49-F238E27FC236}">
              <a16:creationId xmlns:a16="http://schemas.microsoft.com/office/drawing/2014/main" id="{00000000-0008-0000-0D00-0000B2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27" name="Text Box 2">
          <a:extLst>
            <a:ext uri="{FF2B5EF4-FFF2-40B4-BE49-F238E27FC236}">
              <a16:creationId xmlns:a16="http://schemas.microsoft.com/office/drawing/2014/main" id="{00000000-0008-0000-0D00-0000B3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28" name="Text Box 2">
          <a:extLst>
            <a:ext uri="{FF2B5EF4-FFF2-40B4-BE49-F238E27FC236}">
              <a16:creationId xmlns:a16="http://schemas.microsoft.com/office/drawing/2014/main" id="{00000000-0008-0000-0D00-0000B4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29" name="Text Box 2">
          <a:extLst>
            <a:ext uri="{FF2B5EF4-FFF2-40B4-BE49-F238E27FC236}">
              <a16:creationId xmlns:a16="http://schemas.microsoft.com/office/drawing/2014/main" id="{00000000-0008-0000-0D00-0000B5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30" name="Text Box 2">
          <a:extLst>
            <a:ext uri="{FF2B5EF4-FFF2-40B4-BE49-F238E27FC236}">
              <a16:creationId xmlns:a16="http://schemas.microsoft.com/office/drawing/2014/main" id="{00000000-0008-0000-0D00-0000B6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31" name="Text Box 2">
          <a:extLst>
            <a:ext uri="{FF2B5EF4-FFF2-40B4-BE49-F238E27FC236}">
              <a16:creationId xmlns:a16="http://schemas.microsoft.com/office/drawing/2014/main" id="{00000000-0008-0000-0D00-0000B7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32" name="Text Box 2">
          <a:extLst>
            <a:ext uri="{FF2B5EF4-FFF2-40B4-BE49-F238E27FC236}">
              <a16:creationId xmlns:a16="http://schemas.microsoft.com/office/drawing/2014/main" id="{00000000-0008-0000-0D00-0000B8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33" name="Text Box 2">
          <a:extLst>
            <a:ext uri="{FF2B5EF4-FFF2-40B4-BE49-F238E27FC236}">
              <a16:creationId xmlns:a16="http://schemas.microsoft.com/office/drawing/2014/main" id="{00000000-0008-0000-0D00-0000B9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34" name="Text Box 2">
          <a:extLst>
            <a:ext uri="{FF2B5EF4-FFF2-40B4-BE49-F238E27FC236}">
              <a16:creationId xmlns:a16="http://schemas.microsoft.com/office/drawing/2014/main" id="{00000000-0008-0000-0D00-0000BA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35" name="Text Box 2">
          <a:extLst>
            <a:ext uri="{FF2B5EF4-FFF2-40B4-BE49-F238E27FC236}">
              <a16:creationId xmlns:a16="http://schemas.microsoft.com/office/drawing/2014/main" id="{00000000-0008-0000-0D00-0000BB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36" name="Text Box 2">
          <a:extLst>
            <a:ext uri="{FF2B5EF4-FFF2-40B4-BE49-F238E27FC236}">
              <a16:creationId xmlns:a16="http://schemas.microsoft.com/office/drawing/2014/main" id="{00000000-0008-0000-0D00-0000BC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37" name="Text Box 2">
          <a:extLst>
            <a:ext uri="{FF2B5EF4-FFF2-40B4-BE49-F238E27FC236}">
              <a16:creationId xmlns:a16="http://schemas.microsoft.com/office/drawing/2014/main" id="{00000000-0008-0000-0D00-0000BD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38" name="Text Box 2">
          <a:extLst>
            <a:ext uri="{FF2B5EF4-FFF2-40B4-BE49-F238E27FC236}">
              <a16:creationId xmlns:a16="http://schemas.microsoft.com/office/drawing/2014/main" id="{00000000-0008-0000-0D00-0000BE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39" name="Text Box 2">
          <a:extLst>
            <a:ext uri="{FF2B5EF4-FFF2-40B4-BE49-F238E27FC236}">
              <a16:creationId xmlns:a16="http://schemas.microsoft.com/office/drawing/2014/main" id="{00000000-0008-0000-0D00-0000BF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40" name="Text Box 2">
          <a:extLst>
            <a:ext uri="{FF2B5EF4-FFF2-40B4-BE49-F238E27FC236}">
              <a16:creationId xmlns:a16="http://schemas.microsoft.com/office/drawing/2014/main" id="{00000000-0008-0000-0D00-0000C0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41" name="Text Box 2">
          <a:extLst>
            <a:ext uri="{FF2B5EF4-FFF2-40B4-BE49-F238E27FC236}">
              <a16:creationId xmlns:a16="http://schemas.microsoft.com/office/drawing/2014/main" id="{00000000-0008-0000-0D00-0000C1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42" name="Text Box 2">
          <a:extLst>
            <a:ext uri="{FF2B5EF4-FFF2-40B4-BE49-F238E27FC236}">
              <a16:creationId xmlns:a16="http://schemas.microsoft.com/office/drawing/2014/main" id="{00000000-0008-0000-0D00-0000C2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43" name="Text Box 2">
          <a:extLst>
            <a:ext uri="{FF2B5EF4-FFF2-40B4-BE49-F238E27FC236}">
              <a16:creationId xmlns:a16="http://schemas.microsoft.com/office/drawing/2014/main" id="{00000000-0008-0000-0D00-0000C3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44" name="Text Box 2">
          <a:extLst>
            <a:ext uri="{FF2B5EF4-FFF2-40B4-BE49-F238E27FC236}">
              <a16:creationId xmlns:a16="http://schemas.microsoft.com/office/drawing/2014/main" id="{00000000-0008-0000-0D00-0000C4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45" name="Text Box 2">
          <a:extLst>
            <a:ext uri="{FF2B5EF4-FFF2-40B4-BE49-F238E27FC236}">
              <a16:creationId xmlns:a16="http://schemas.microsoft.com/office/drawing/2014/main" id="{00000000-0008-0000-0D00-0000C5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46" name="Text Box 2">
          <a:extLst>
            <a:ext uri="{FF2B5EF4-FFF2-40B4-BE49-F238E27FC236}">
              <a16:creationId xmlns:a16="http://schemas.microsoft.com/office/drawing/2014/main" id="{00000000-0008-0000-0D00-0000C6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47" name="Text Box 2">
          <a:extLst>
            <a:ext uri="{FF2B5EF4-FFF2-40B4-BE49-F238E27FC236}">
              <a16:creationId xmlns:a16="http://schemas.microsoft.com/office/drawing/2014/main" id="{00000000-0008-0000-0D00-0000C7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48" name="Text Box 2">
          <a:extLst>
            <a:ext uri="{FF2B5EF4-FFF2-40B4-BE49-F238E27FC236}">
              <a16:creationId xmlns:a16="http://schemas.microsoft.com/office/drawing/2014/main" id="{00000000-0008-0000-0D00-0000C8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49" name="Text Box 2">
          <a:extLst>
            <a:ext uri="{FF2B5EF4-FFF2-40B4-BE49-F238E27FC236}">
              <a16:creationId xmlns:a16="http://schemas.microsoft.com/office/drawing/2014/main" id="{00000000-0008-0000-0D00-0000C9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50" name="Text Box 2">
          <a:extLst>
            <a:ext uri="{FF2B5EF4-FFF2-40B4-BE49-F238E27FC236}">
              <a16:creationId xmlns:a16="http://schemas.microsoft.com/office/drawing/2014/main" id="{00000000-0008-0000-0D00-0000CA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51" name="Text Box 2">
          <a:extLst>
            <a:ext uri="{FF2B5EF4-FFF2-40B4-BE49-F238E27FC236}">
              <a16:creationId xmlns:a16="http://schemas.microsoft.com/office/drawing/2014/main" id="{00000000-0008-0000-0D00-0000CB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52" name="Text Box 2">
          <a:extLst>
            <a:ext uri="{FF2B5EF4-FFF2-40B4-BE49-F238E27FC236}">
              <a16:creationId xmlns:a16="http://schemas.microsoft.com/office/drawing/2014/main" id="{00000000-0008-0000-0D00-0000CC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53" name="Text Box 2">
          <a:extLst>
            <a:ext uri="{FF2B5EF4-FFF2-40B4-BE49-F238E27FC236}">
              <a16:creationId xmlns:a16="http://schemas.microsoft.com/office/drawing/2014/main" id="{00000000-0008-0000-0D00-0000CD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54" name="Text Box 2">
          <a:extLst>
            <a:ext uri="{FF2B5EF4-FFF2-40B4-BE49-F238E27FC236}">
              <a16:creationId xmlns:a16="http://schemas.microsoft.com/office/drawing/2014/main" id="{00000000-0008-0000-0D00-0000CE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55" name="Text Box 2">
          <a:extLst>
            <a:ext uri="{FF2B5EF4-FFF2-40B4-BE49-F238E27FC236}">
              <a16:creationId xmlns:a16="http://schemas.microsoft.com/office/drawing/2014/main" id="{00000000-0008-0000-0D00-0000CF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56" name="Text Box 2">
          <a:extLst>
            <a:ext uri="{FF2B5EF4-FFF2-40B4-BE49-F238E27FC236}">
              <a16:creationId xmlns:a16="http://schemas.microsoft.com/office/drawing/2014/main" id="{00000000-0008-0000-0D00-0000D0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57" name="Text Box 2">
          <a:extLst>
            <a:ext uri="{FF2B5EF4-FFF2-40B4-BE49-F238E27FC236}">
              <a16:creationId xmlns:a16="http://schemas.microsoft.com/office/drawing/2014/main" id="{00000000-0008-0000-0D00-0000D1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58" name="Text Box 2">
          <a:extLst>
            <a:ext uri="{FF2B5EF4-FFF2-40B4-BE49-F238E27FC236}">
              <a16:creationId xmlns:a16="http://schemas.microsoft.com/office/drawing/2014/main" id="{00000000-0008-0000-0D00-0000D2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59" name="Text Box 2">
          <a:extLst>
            <a:ext uri="{FF2B5EF4-FFF2-40B4-BE49-F238E27FC236}">
              <a16:creationId xmlns:a16="http://schemas.microsoft.com/office/drawing/2014/main" id="{00000000-0008-0000-0D00-0000D3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60" name="Text Box 2">
          <a:extLst>
            <a:ext uri="{FF2B5EF4-FFF2-40B4-BE49-F238E27FC236}">
              <a16:creationId xmlns:a16="http://schemas.microsoft.com/office/drawing/2014/main" id="{00000000-0008-0000-0D00-0000D4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61" name="Text Box 2">
          <a:extLst>
            <a:ext uri="{FF2B5EF4-FFF2-40B4-BE49-F238E27FC236}">
              <a16:creationId xmlns:a16="http://schemas.microsoft.com/office/drawing/2014/main" id="{00000000-0008-0000-0D00-0000D5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62" name="Text Box 2">
          <a:extLst>
            <a:ext uri="{FF2B5EF4-FFF2-40B4-BE49-F238E27FC236}">
              <a16:creationId xmlns:a16="http://schemas.microsoft.com/office/drawing/2014/main" id="{00000000-0008-0000-0D00-0000D6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63" name="Text Box 2">
          <a:extLst>
            <a:ext uri="{FF2B5EF4-FFF2-40B4-BE49-F238E27FC236}">
              <a16:creationId xmlns:a16="http://schemas.microsoft.com/office/drawing/2014/main" id="{00000000-0008-0000-0D00-0000D7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64" name="Text Box 2">
          <a:extLst>
            <a:ext uri="{FF2B5EF4-FFF2-40B4-BE49-F238E27FC236}">
              <a16:creationId xmlns:a16="http://schemas.microsoft.com/office/drawing/2014/main" id="{00000000-0008-0000-0D00-0000D8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65" name="Text Box 2">
          <a:extLst>
            <a:ext uri="{FF2B5EF4-FFF2-40B4-BE49-F238E27FC236}">
              <a16:creationId xmlns:a16="http://schemas.microsoft.com/office/drawing/2014/main" id="{00000000-0008-0000-0D00-0000D9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66" name="Text Box 2">
          <a:extLst>
            <a:ext uri="{FF2B5EF4-FFF2-40B4-BE49-F238E27FC236}">
              <a16:creationId xmlns:a16="http://schemas.microsoft.com/office/drawing/2014/main" id="{00000000-0008-0000-0D00-0000DA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67" name="Text Box 2">
          <a:extLst>
            <a:ext uri="{FF2B5EF4-FFF2-40B4-BE49-F238E27FC236}">
              <a16:creationId xmlns:a16="http://schemas.microsoft.com/office/drawing/2014/main" id="{00000000-0008-0000-0D00-0000DB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68" name="Text Box 2">
          <a:extLst>
            <a:ext uri="{FF2B5EF4-FFF2-40B4-BE49-F238E27FC236}">
              <a16:creationId xmlns:a16="http://schemas.microsoft.com/office/drawing/2014/main" id="{00000000-0008-0000-0D00-0000DC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69" name="Text Box 2">
          <a:extLst>
            <a:ext uri="{FF2B5EF4-FFF2-40B4-BE49-F238E27FC236}">
              <a16:creationId xmlns:a16="http://schemas.microsoft.com/office/drawing/2014/main" id="{00000000-0008-0000-0D00-0000DD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70" name="Text Box 2">
          <a:extLst>
            <a:ext uri="{FF2B5EF4-FFF2-40B4-BE49-F238E27FC236}">
              <a16:creationId xmlns:a16="http://schemas.microsoft.com/office/drawing/2014/main" id="{00000000-0008-0000-0D00-0000DE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71" name="Text Box 2">
          <a:extLst>
            <a:ext uri="{FF2B5EF4-FFF2-40B4-BE49-F238E27FC236}">
              <a16:creationId xmlns:a16="http://schemas.microsoft.com/office/drawing/2014/main" id="{00000000-0008-0000-0D00-0000DF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72" name="Text Box 2">
          <a:extLst>
            <a:ext uri="{FF2B5EF4-FFF2-40B4-BE49-F238E27FC236}">
              <a16:creationId xmlns:a16="http://schemas.microsoft.com/office/drawing/2014/main" id="{00000000-0008-0000-0D00-0000E0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73" name="Text Box 2">
          <a:extLst>
            <a:ext uri="{FF2B5EF4-FFF2-40B4-BE49-F238E27FC236}">
              <a16:creationId xmlns:a16="http://schemas.microsoft.com/office/drawing/2014/main" id="{00000000-0008-0000-0D00-0000E1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74" name="Text Box 2">
          <a:extLst>
            <a:ext uri="{FF2B5EF4-FFF2-40B4-BE49-F238E27FC236}">
              <a16:creationId xmlns:a16="http://schemas.microsoft.com/office/drawing/2014/main" id="{00000000-0008-0000-0D00-0000E2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75" name="Text Box 2">
          <a:extLst>
            <a:ext uri="{FF2B5EF4-FFF2-40B4-BE49-F238E27FC236}">
              <a16:creationId xmlns:a16="http://schemas.microsoft.com/office/drawing/2014/main" id="{00000000-0008-0000-0D00-0000E3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76" name="Text Box 2">
          <a:extLst>
            <a:ext uri="{FF2B5EF4-FFF2-40B4-BE49-F238E27FC236}">
              <a16:creationId xmlns:a16="http://schemas.microsoft.com/office/drawing/2014/main" id="{00000000-0008-0000-0D00-0000E4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77" name="Text Box 2">
          <a:extLst>
            <a:ext uri="{FF2B5EF4-FFF2-40B4-BE49-F238E27FC236}">
              <a16:creationId xmlns:a16="http://schemas.microsoft.com/office/drawing/2014/main" id="{00000000-0008-0000-0D00-0000E5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78" name="Text Box 2">
          <a:extLst>
            <a:ext uri="{FF2B5EF4-FFF2-40B4-BE49-F238E27FC236}">
              <a16:creationId xmlns:a16="http://schemas.microsoft.com/office/drawing/2014/main" id="{00000000-0008-0000-0D00-0000E6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79" name="Text Box 2">
          <a:extLst>
            <a:ext uri="{FF2B5EF4-FFF2-40B4-BE49-F238E27FC236}">
              <a16:creationId xmlns:a16="http://schemas.microsoft.com/office/drawing/2014/main" id="{00000000-0008-0000-0D00-0000E7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80" name="Text Box 2">
          <a:extLst>
            <a:ext uri="{FF2B5EF4-FFF2-40B4-BE49-F238E27FC236}">
              <a16:creationId xmlns:a16="http://schemas.microsoft.com/office/drawing/2014/main" id="{00000000-0008-0000-0D00-0000E8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81" name="Text Box 2">
          <a:extLst>
            <a:ext uri="{FF2B5EF4-FFF2-40B4-BE49-F238E27FC236}">
              <a16:creationId xmlns:a16="http://schemas.microsoft.com/office/drawing/2014/main" id="{00000000-0008-0000-0D00-0000E9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82" name="Text Box 2">
          <a:extLst>
            <a:ext uri="{FF2B5EF4-FFF2-40B4-BE49-F238E27FC236}">
              <a16:creationId xmlns:a16="http://schemas.microsoft.com/office/drawing/2014/main" id="{00000000-0008-0000-0D00-0000EA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83" name="Text Box 2">
          <a:extLst>
            <a:ext uri="{FF2B5EF4-FFF2-40B4-BE49-F238E27FC236}">
              <a16:creationId xmlns:a16="http://schemas.microsoft.com/office/drawing/2014/main" id="{00000000-0008-0000-0D00-0000EB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84" name="Text Box 2">
          <a:extLst>
            <a:ext uri="{FF2B5EF4-FFF2-40B4-BE49-F238E27FC236}">
              <a16:creationId xmlns:a16="http://schemas.microsoft.com/office/drawing/2014/main" id="{00000000-0008-0000-0D00-0000EC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85" name="Text Box 2">
          <a:extLst>
            <a:ext uri="{FF2B5EF4-FFF2-40B4-BE49-F238E27FC236}">
              <a16:creationId xmlns:a16="http://schemas.microsoft.com/office/drawing/2014/main" id="{00000000-0008-0000-0D00-0000ED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86" name="Text Box 2">
          <a:extLst>
            <a:ext uri="{FF2B5EF4-FFF2-40B4-BE49-F238E27FC236}">
              <a16:creationId xmlns:a16="http://schemas.microsoft.com/office/drawing/2014/main" id="{00000000-0008-0000-0D00-0000EE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87" name="Text Box 2">
          <a:extLst>
            <a:ext uri="{FF2B5EF4-FFF2-40B4-BE49-F238E27FC236}">
              <a16:creationId xmlns:a16="http://schemas.microsoft.com/office/drawing/2014/main" id="{00000000-0008-0000-0D00-0000EF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88" name="Text Box 2">
          <a:extLst>
            <a:ext uri="{FF2B5EF4-FFF2-40B4-BE49-F238E27FC236}">
              <a16:creationId xmlns:a16="http://schemas.microsoft.com/office/drawing/2014/main" id="{00000000-0008-0000-0D00-0000F0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89" name="Text Box 2">
          <a:extLst>
            <a:ext uri="{FF2B5EF4-FFF2-40B4-BE49-F238E27FC236}">
              <a16:creationId xmlns:a16="http://schemas.microsoft.com/office/drawing/2014/main" id="{00000000-0008-0000-0D00-0000F1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90" name="Text Box 2">
          <a:extLst>
            <a:ext uri="{FF2B5EF4-FFF2-40B4-BE49-F238E27FC236}">
              <a16:creationId xmlns:a16="http://schemas.microsoft.com/office/drawing/2014/main" id="{00000000-0008-0000-0D00-0000F2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91" name="Text Box 2">
          <a:extLst>
            <a:ext uri="{FF2B5EF4-FFF2-40B4-BE49-F238E27FC236}">
              <a16:creationId xmlns:a16="http://schemas.microsoft.com/office/drawing/2014/main" id="{00000000-0008-0000-0D00-0000F3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92" name="Text Box 2">
          <a:extLst>
            <a:ext uri="{FF2B5EF4-FFF2-40B4-BE49-F238E27FC236}">
              <a16:creationId xmlns:a16="http://schemas.microsoft.com/office/drawing/2014/main" id="{00000000-0008-0000-0D00-0000F4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293" name="Text Box 2">
          <a:extLst>
            <a:ext uri="{FF2B5EF4-FFF2-40B4-BE49-F238E27FC236}">
              <a16:creationId xmlns:a16="http://schemas.microsoft.com/office/drawing/2014/main" id="{00000000-0008-0000-0D00-0000F508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294" name="Text Box 2">
          <a:extLst>
            <a:ext uri="{FF2B5EF4-FFF2-40B4-BE49-F238E27FC236}">
              <a16:creationId xmlns:a16="http://schemas.microsoft.com/office/drawing/2014/main" id="{00000000-0008-0000-0D00-0000F6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295" name="Text Box 2">
          <a:extLst>
            <a:ext uri="{FF2B5EF4-FFF2-40B4-BE49-F238E27FC236}">
              <a16:creationId xmlns:a16="http://schemas.microsoft.com/office/drawing/2014/main" id="{00000000-0008-0000-0D00-0000F7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296" name="Text Box 2">
          <a:extLst>
            <a:ext uri="{FF2B5EF4-FFF2-40B4-BE49-F238E27FC236}">
              <a16:creationId xmlns:a16="http://schemas.microsoft.com/office/drawing/2014/main" id="{00000000-0008-0000-0D00-0000F8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297" name="Text Box 2">
          <a:extLst>
            <a:ext uri="{FF2B5EF4-FFF2-40B4-BE49-F238E27FC236}">
              <a16:creationId xmlns:a16="http://schemas.microsoft.com/office/drawing/2014/main" id="{00000000-0008-0000-0D00-0000F9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298" name="Text Box 2">
          <a:extLst>
            <a:ext uri="{FF2B5EF4-FFF2-40B4-BE49-F238E27FC236}">
              <a16:creationId xmlns:a16="http://schemas.microsoft.com/office/drawing/2014/main" id="{00000000-0008-0000-0D00-0000FA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299" name="Text Box 2">
          <a:extLst>
            <a:ext uri="{FF2B5EF4-FFF2-40B4-BE49-F238E27FC236}">
              <a16:creationId xmlns:a16="http://schemas.microsoft.com/office/drawing/2014/main" id="{00000000-0008-0000-0D00-0000FB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300" name="Text Box 2">
          <a:extLst>
            <a:ext uri="{FF2B5EF4-FFF2-40B4-BE49-F238E27FC236}">
              <a16:creationId xmlns:a16="http://schemas.microsoft.com/office/drawing/2014/main" id="{00000000-0008-0000-0D00-0000FC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301" name="Text Box 2">
          <a:extLst>
            <a:ext uri="{FF2B5EF4-FFF2-40B4-BE49-F238E27FC236}">
              <a16:creationId xmlns:a16="http://schemas.microsoft.com/office/drawing/2014/main" id="{00000000-0008-0000-0D00-0000FD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302" name="Text Box 2">
          <a:extLst>
            <a:ext uri="{FF2B5EF4-FFF2-40B4-BE49-F238E27FC236}">
              <a16:creationId xmlns:a16="http://schemas.microsoft.com/office/drawing/2014/main" id="{00000000-0008-0000-0D00-0000FE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303" name="Text Box 2">
          <a:extLst>
            <a:ext uri="{FF2B5EF4-FFF2-40B4-BE49-F238E27FC236}">
              <a16:creationId xmlns:a16="http://schemas.microsoft.com/office/drawing/2014/main" id="{00000000-0008-0000-0D00-0000FF08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304" name="Text Box 2">
          <a:extLst>
            <a:ext uri="{FF2B5EF4-FFF2-40B4-BE49-F238E27FC236}">
              <a16:creationId xmlns:a16="http://schemas.microsoft.com/office/drawing/2014/main" id="{00000000-0008-0000-0D00-000000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305" name="Text Box 2">
          <a:extLst>
            <a:ext uri="{FF2B5EF4-FFF2-40B4-BE49-F238E27FC236}">
              <a16:creationId xmlns:a16="http://schemas.microsoft.com/office/drawing/2014/main" id="{00000000-0008-0000-0D00-000001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06" name="Text Box 2">
          <a:extLst>
            <a:ext uri="{FF2B5EF4-FFF2-40B4-BE49-F238E27FC236}">
              <a16:creationId xmlns:a16="http://schemas.microsoft.com/office/drawing/2014/main" id="{00000000-0008-0000-0D00-000002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07" name="Text Box 2">
          <a:extLst>
            <a:ext uri="{FF2B5EF4-FFF2-40B4-BE49-F238E27FC236}">
              <a16:creationId xmlns:a16="http://schemas.microsoft.com/office/drawing/2014/main" id="{00000000-0008-0000-0D00-000003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08" name="Text Box 2">
          <a:extLst>
            <a:ext uri="{FF2B5EF4-FFF2-40B4-BE49-F238E27FC236}">
              <a16:creationId xmlns:a16="http://schemas.microsoft.com/office/drawing/2014/main" id="{00000000-0008-0000-0D00-000004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09" name="Text Box 2">
          <a:extLst>
            <a:ext uri="{FF2B5EF4-FFF2-40B4-BE49-F238E27FC236}">
              <a16:creationId xmlns:a16="http://schemas.microsoft.com/office/drawing/2014/main" id="{00000000-0008-0000-0D00-000005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10" name="Text Box 2">
          <a:extLst>
            <a:ext uri="{FF2B5EF4-FFF2-40B4-BE49-F238E27FC236}">
              <a16:creationId xmlns:a16="http://schemas.microsoft.com/office/drawing/2014/main" id="{00000000-0008-0000-0D00-000006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11" name="Text Box 2">
          <a:extLst>
            <a:ext uri="{FF2B5EF4-FFF2-40B4-BE49-F238E27FC236}">
              <a16:creationId xmlns:a16="http://schemas.microsoft.com/office/drawing/2014/main" id="{00000000-0008-0000-0D00-000007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12" name="Text Box 2">
          <a:extLst>
            <a:ext uri="{FF2B5EF4-FFF2-40B4-BE49-F238E27FC236}">
              <a16:creationId xmlns:a16="http://schemas.microsoft.com/office/drawing/2014/main" id="{00000000-0008-0000-0D00-000008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13" name="Text Box 2">
          <a:extLst>
            <a:ext uri="{FF2B5EF4-FFF2-40B4-BE49-F238E27FC236}">
              <a16:creationId xmlns:a16="http://schemas.microsoft.com/office/drawing/2014/main" id="{00000000-0008-0000-0D00-000009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14" name="Text Box 2">
          <a:extLst>
            <a:ext uri="{FF2B5EF4-FFF2-40B4-BE49-F238E27FC236}">
              <a16:creationId xmlns:a16="http://schemas.microsoft.com/office/drawing/2014/main" id="{00000000-0008-0000-0D00-00000A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15" name="Text Box 2">
          <a:extLst>
            <a:ext uri="{FF2B5EF4-FFF2-40B4-BE49-F238E27FC236}">
              <a16:creationId xmlns:a16="http://schemas.microsoft.com/office/drawing/2014/main" id="{00000000-0008-0000-0D00-00000B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16" name="Text Box 2">
          <a:extLst>
            <a:ext uri="{FF2B5EF4-FFF2-40B4-BE49-F238E27FC236}">
              <a16:creationId xmlns:a16="http://schemas.microsoft.com/office/drawing/2014/main" id="{00000000-0008-0000-0D00-00000C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17" name="Text Box 2">
          <a:extLst>
            <a:ext uri="{FF2B5EF4-FFF2-40B4-BE49-F238E27FC236}">
              <a16:creationId xmlns:a16="http://schemas.microsoft.com/office/drawing/2014/main" id="{00000000-0008-0000-0D00-00000D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18" name="Text Box 2">
          <a:extLst>
            <a:ext uri="{FF2B5EF4-FFF2-40B4-BE49-F238E27FC236}">
              <a16:creationId xmlns:a16="http://schemas.microsoft.com/office/drawing/2014/main" id="{00000000-0008-0000-0D00-00000E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19" name="Text Box 2">
          <a:extLst>
            <a:ext uri="{FF2B5EF4-FFF2-40B4-BE49-F238E27FC236}">
              <a16:creationId xmlns:a16="http://schemas.microsoft.com/office/drawing/2014/main" id="{00000000-0008-0000-0D00-00000F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20" name="Text Box 2">
          <a:extLst>
            <a:ext uri="{FF2B5EF4-FFF2-40B4-BE49-F238E27FC236}">
              <a16:creationId xmlns:a16="http://schemas.microsoft.com/office/drawing/2014/main" id="{00000000-0008-0000-0D00-000010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21" name="Text Box 2">
          <a:extLst>
            <a:ext uri="{FF2B5EF4-FFF2-40B4-BE49-F238E27FC236}">
              <a16:creationId xmlns:a16="http://schemas.microsoft.com/office/drawing/2014/main" id="{00000000-0008-0000-0D00-000011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22" name="Text Box 2">
          <a:extLst>
            <a:ext uri="{FF2B5EF4-FFF2-40B4-BE49-F238E27FC236}">
              <a16:creationId xmlns:a16="http://schemas.microsoft.com/office/drawing/2014/main" id="{00000000-0008-0000-0D00-000012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23" name="Text Box 2">
          <a:extLst>
            <a:ext uri="{FF2B5EF4-FFF2-40B4-BE49-F238E27FC236}">
              <a16:creationId xmlns:a16="http://schemas.microsoft.com/office/drawing/2014/main" id="{00000000-0008-0000-0D00-000013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24" name="Text Box 2">
          <a:extLst>
            <a:ext uri="{FF2B5EF4-FFF2-40B4-BE49-F238E27FC236}">
              <a16:creationId xmlns:a16="http://schemas.microsoft.com/office/drawing/2014/main" id="{00000000-0008-0000-0D00-000014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25" name="Text Box 2">
          <a:extLst>
            <a:ext uri="{FF2B5EF4-FFF2-40B4-BE49-F238E27FC236}">
              <a16:creationId xmlns:a16="http://schemas.microsoft.com/office/drawing/2014/main" id="{00000000-0008-0000-0D00-000015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26" name="Text Box 2">
          <a:extLst>
            <a:ext uri="{FF2B5EF4-FFF2-40B4-BE49-F238E27FC236}">
              <a16:creationId xmlns:a16="http://schemas.microsoft.com/office/drawing/2014/main" id="{00000000-0008-0000-0D00-000016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27" name="Text Box 2">
          <a:extLst>
            <a:ext uri="{FF2B5EF4-FFF2-40B4-BE49-F238E27FC236}">
              <a16:creationId xmlns:a16="http://schemas.microsoft.com/office/drawing/2014/main" id="{00000000-0008-0000-0D00-000017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28" name="Text Box 2">
          <a:extLst>
            <a:ext uri="{FF2B5EF4-FFF2-40B4-BE49-F238E27FC236}">
              <a16:creationId xmlns:a16="http://schemas.microsoft.com/office/drawing/2014/main" id="{00000000-0008-0000-0D00-000018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29" name="Text Box 2">
          <a:extLst>
            <a:ext uri="{FF2B5EF4-FFF2-40B4-BE49-F238E27FC236}">
              <a16:creationId xmlns:a16="http://schemas.microsoft.com/office/drawing/2014/main" id="{00000000-0008-0000-0D00-000019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30" name="Text Box 2">
          <a:extLst>
            <a:ext uri="{FF2B5EF4-FFF2-40B4-BE49-F238E27FC236}">
              <a16:creationId xmlns:a16="http://schemas.microsoft.com/office/drawing/2014/main" id="{00000000-0008-0000-0D00-00001A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31" name="Text Box 2">
          <a:extLst>
            <a:ext uri="{FF2B5EF4-FFF2-40B4-BE49-F238E27FC236}">
              <a16:creationId xmlns:a16="http://schemas.microsoft.com/office/drawing/2014/main" id="{00000000-0008-0000-0D00-00001B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32" name="Text Box 2">
          <a:extLst>
            <a:ext uri="{FF2B5EF4-FFF2-40B4-BE49-F238E27FC236}">
              <a16:creationId xmlns:a16="http://schemas.microsoft.com/office/drawing/2014/main" id="{00000000-0008-0000-0D00-00001C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33" name="Text Box 2">
          <a:extLst>
            <a:ext uri="{FF2B5EF4-FFF2-40B4-BE49-F238E27FC236}">
              <a16:creationId xmlns:a16="http://schemas.microsoft.com/office/drawing/2014/main" id="{00000000-0008-0000-0D00-00001D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34" name="Text Box 2">
          <a:extLst>
            <a:ext uri="{FF2B5EF4-FFF2-40B4-BE49-F238E27FC236}">
              <a16:creationId xmlns:a16="http://schemas.microsoft.com/office/drawing/2014/main" id="{00000000-0008-0000-0D00-00001E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35" name="Text Box 2">
          <a:extLst>
            <a:ext uri="{FF2B5EF4-FFF2-40B4-BE49-F238E27FC236}">
              <a16:creationId xmlns:a16="http://schemas.microsoft.com/office/drawing/2014/main" id="{00000000-0008-0000-0D00-00001F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36" name="Text Box 2">
          <a:extLst>
            <a:ext uri="{FF2B5EF4-FFF2-40B4-BE49-F238E27FC236}">
              <a16:creationId xmlns:a16="http://schemas.microsoft.com/office/drawing/2014/main" id="{00000000-0008-0000-0D00-000020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37" name="Text Box 2">
          <a:extLst>
            <a:ext uri="{FF2B5EF4-FFF2-40B4-BE49-F238E27FC236}">
              <a16:creationId xmlns:a16="http://schemas.microsoft.com/office/drawing/2014/main" id="{00000000-0008-0000-0D00-000021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38" name="Text Box 2">
          <a:extLst>
            <a:ext uri="{FF2B5EF4-FFF2-40B4-BE49-F238E27FC236}">
              <a16:creationId xmlns:a16="http://schemas.microsoft.com/office/drawing/2014/main" id="{00000000-0008-0000-0D00-000022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39" name="Text Box 2">
          <a:extLst>
            <a:ext uri="{FF2B5EF4-FFF2-40B4-BE49-F238E27FC236}">
              <a16:creationId xmlns:a16="http://schemas.microsoft.com/office/drawing/2014/main" id="{00000000-0008-0000-0D00-000023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40" name="Text Box 2">
          <a:extLst>
            <a:ext uri="{FF2B5EF4-FFF2-40B4-BE49-F238E27FC236}">
              <a16:creationId xmlns:a16="http://schemas.microsoft.com/office/drawing/2014/main" id="{00000000-0008-0000-0D00-000024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41" name="Text Box 2">
          <a:extLst>
            <a:ext uri="{FF2B5EF4-FFF2-40B4-BE49-F238E27FC236}">
              <a16:creationId xmlns:a16="http://schemas.microsoft.com/office/drawing/2014/main" id="{00000000-0008-0000-0D00-000025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42" name="Text Box 2">
          <a:extLst>
            <a:ext uri="{FF2B5EF4-FFF2-40B4-BE49-F238E27FC236}">
              <a16:creationId xmlns:a16="http://schemas.microsoft.com/office/drawing/2014/main" id="{00000000-0008-0000-0D00-000026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43" name="Text Box 2">
          <a:extLst>
            <a:ext uri="{FF2B5EF4-FFF2-40B4-BE49-F238E27FC236}">
              <a16:creationId xmlns:a16="http://schemas.microsoft.com/office/drawing/2014/main" id="{00000000-0008-0000-0D00-000027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44" name="Text Box 2">
          <a:extLst>
            <a:ext uri="{FF2B5EF4-FFF2-40B4-BE49-F238E27FC236}">
              <a16:creationId xmlns:a16="http://schemas.microsoft.com/office/drawing/2014/main" id="{00000000-0008-0000-0D00-000028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45" name="Text Box 2">
          <a:extLst>
            <a:ext uri="{FF2B5EF4-FFF2-40B4-BE49-F238E27FC236}">
              <a16:creationId xmlns:a16="http://schemas.microsoft.com/office/drawing/2014/main" id="{00000000-0008-0000-0D00-000029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46" name="Text Box 2">
          <a:extLst>
            <a:ext uri="{FF2B5EF4-FFF2-40B4-BE49-F238E27FC236}">
              <a16:creationId xmlns:a16="http://schemas.microsoft.com/office/drawing/2014/main" id="{00000000-0008-0000-0D00-00002A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47" name="Text Box 2">
          <a:extLst>
            <a:ext uri="{FF2B5EF4-FFF2-40B4-BE49-F238E27FC236}">
              <a16:creationId xmlns:a16="http://schemas.microsoft.com/office/drawing/2014/main" id="{00000000-0008-0000-0D00-00002B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48" name="Text Box 2">
          <a:extLst>
            <a:ext uri="{FF2B5EF4-FFF2-40B4-BE49-F238E27FC236}">
              <a16:creationId xmlns:a16="http://schemas.microsoft.com/office/drawing/2014/main" id="{00000000-0008-0000-0D00-00002C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49" name="Text Box 2">
          <a:extLst>
            <a:ext uri="{FF2B5EF4-FFF2-40B4-BE49-F238E27FC236}">
              <a16:creationId xmlns:a16="http://schemas.microsoft.com/office/drawing/2014/main" id="{00000000-0008-0000-0D00-00002D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50" name="Text Box 2">
          <a:extLst>
            <a:ext uri="{FF2B5EF4-FFF2-40B4-BE49-F238E27FC236}">
              <a16:creationId xmlns:a16="http://schemas.microsoft.com/office/drawing/2014/main" id="{00000000-0008-0000-0D00-00002E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51" name="Text Box 2">
          <a:extLst>
            <a:ext uri="{FF2B5EF4-FFF2-40B4-BE49-F238E27FC236}">
              <a16:creationId xmlns:a16="http://schemas.microsoft.com/office/drawing/2014/main" id="{00000000-0008-0000-0D00-00002F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52" name="Text Box 2">
          <a:extLst>
            <a:ext uri="{FF2B5EF4-FFF2-40B4-BE49-F238E27FC236}">
              <a16:creationId xmlns:a16="http://schemas.microsoft.com/office/drawing/2014/main" id="{00000000-0008-0000-0D00-000030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53" name="Text Box 2">
          <a:extLst>
            <a:ext uri="{FF2B5EF4-FFF2-40B4-BE49-F238E27FC236}">
              <a16:creationId xmlns:a16="http://schemas.microsoft.com/office/drawing/2014/main" id="{00000000-0008-0000-0D00-000031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54" name="Text Box 2">
          <a:extLst>
            <a:ext uri="{FF2B5EF4-FFF2-40B4-BE49-F238E27FC236}">
              <a16:creationId xmlns:a16="http://schemas.microsoft.com/office/drawing/2014/main" id="{00000000-0008-0000-0D00-000032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55" name="Text Box 2">
          <a:extLst>
            <a:ext uri="{FF2B5EF4-FFF2-40B4-BE49-F238E27FC236}">
              <a16:creationId xmlns:a16="http://schemas.microsoft.com/office/drawing/2014/main" id="{00000000-0008-0000-0D00-000033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56" name="Text Box 2">
          <a:extLst>
            <a:ext uri="{FF2B5EF4-FFF2-40B4-BE49-F238E27FC236}">
              <a16:creationId xmlns:a16="http://schemas.microsoft.com/office/drawing/2014/main" id="{00000000-0008-0000-0D00-000034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57" name="Text Box 2">
          <a:extLst>
            <a:ext uri="{FF2B5EF4-FFF2-40B4-BE49-F238E27FC236}">
              <a16:creationId xmlns:a16="http://schemas.microsoft.com/office/drawing/2014/main" id="{00000000-0008-0000-0D00-000035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58" name="Text Box 2">
          <a:extLst>
            <a:ext uri="{FF2B5EF4-FFF2-40B4-BE49-F238E27FC236}">
              <a16:creationId xmlns:a16="http://schemas.microsoft.com/office/drawing/2014/main" id="{00000000-0008-0000-0D00-000036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59" name="Text Box 2">
          <a:extLst>
            <a:ext uri="{FF2B5EF4-FFF2-40B4-BE49-F238E27FC236}">
              <a16:creationId xmlns:a16="http://schemas.microsoft.com/office/drawing/2014/main" id="{00000000-0008-0000-0D00-000037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60" name="Text Box 2">
          <a:extLst>
            <a:ext uri="{FF2B5EF4-FFF2-40B4-BE49-F238E27FC236}">
              <a16:creationId xmlns:a16="http://schemas.microsoft.com/office/drawing/2014/main" id="{00000000-0008-0000-0D00-000038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61" name="Text Box 2">
          <a:extLst>
            <a:ext uri="{FF2B5EF4-FFF2-40B4-BE49-F238E27FC236}">
              <a16:creationId xmlns:a16="http://schemas.microsoft.com/office/drawing/2014/main" id="{00000000-0008-0000-0D00-000039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62" name="Text Box 2">
          <a:extLst>
            <a:ext uri="{FF2B5EF4-FFF2-40B4-BE49-F238E27FC236}">
              <a16:creationId xmlns:a16="http://schemas.microsoft.com/office/drawing/2014/main" id="{00000000-0008-0000-0D00-00003A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63" name="Text Box 2">
          <a:extLst>
            <a:ext uri="{FF2B5EF4-FFF2-40B4-BE49-F238E27FC236}">
              <a16:creationId xmlns:a16="http://schemas.microsoft.com/office/drawing/2014/main" id="{00000000-0008-0000-0D00-00003B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64" name="Text Box 2">
          <a:extLst>
            <a:ext uri="{FF2B5EF4-FFF2-40B4-BE49-F238E27FC236}">
              <a16:creationId xmlns:a16="http://schemas.microsoft.com/office/drawing/2014/main" id="{00000000-0008-0000-0D00-00003C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65" name="Text Box 2">
          <a:extLst>
            <a:ext uri="{FF2B5EF4-FFF2-40B4-BE49-F238E27FC236}">
              <a16:creationId xmlns:a16="http://schemas.microsoft.com/office/drawing/2014/main" id="{00000000-0008-0000-0D00-00003D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66" name="Text Box 2">
          <a:extLst>
            <a:ext uri="{FF2B5EF4-FFF2-40B4-BE49-F238E27FC236}">
              <a16:creationId xmlns:a16="http://schemas.microsoft.com/office/drawing/2014/main" id="{00000000-0008-0000-0D00-00003E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67" name="Text Box 2">
          <a:extLst>
            <a:ext uri="{FF2B5EF4-FFF2-40B4-BE49-F238E27FC236}">
              <a16:creationId xmlns:a16="http://schemas.microsoft.com/office/drawing/2014/main" id="{00000000-0008-0000-0D00-00003F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68" name="Text Box 2">
          <a:extLst>
            <a:ext uri="{FF2B5EF4-FFF2-40B4-BE49-F238E27FC236}">
              <a16:creationId xmlns:a16="http://schemas.microsoft.com/office/drawing/2014/main" id="{00000000-0008-0000-0D00-000040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69" name="Text Box 2">
          <a:extLst>
            <a:ext uri="{FF2B5EF4-FFF2-40B4-BE49-F238E27FC236}">
              <a16:creationId xmlns:a16="http://schemas.microsoft.com/office/drawing/2014/main" id="{00000000-0008-0000-0D00-000041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70" name="Text Box 2">
          <a:extLst>
            <a:ext uri="{FF2B5EF4-FFF2-40B4-BE49-F238E27FC236}">
              <a16:creationId xmlns:a16="http://schemas.microsoft.com/office/drawing/2014/main" id="{00000000-0008-0000-0D00-000042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71" name="Text Box 2">
          <a:extLst>
            <a:ext uri="{FF2B5EF4-FFF2-40B4-BE49-F238E27FC236}">
              <a16:creationId xmlns:a16="http://schemas.microsoft.com/office/drawing/2014/main" id="{00000000-0008-0000-0D00-000043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72" name="Text Box 2">
          <a:extLst>
            <a:ext uri="{FF2B5EF4-FFF2-40B4-BE49-F238E27FC236}">
              <a16:creationId xmlns:a16="http://schemas.microsoft.com/office/drawing/2014/main" id="{00000000-0008-0000-0D00-000044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73" name="Text Box 2">
          <a:extLst>
            <a:ext uri="{FF2B5EF4-FFF2-40B4-BE49-F238E27FC236}">
              <a16:creationId xmlns:a16="http://schemas.microsoft.com/office/drawing/2014/main" id="{00000000-0008-0000-0D00-000045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74" name="Text Box 2">
          <a:extLst>
            <a:ext uri="{FF2B5EF4-FFF2-40B4-BE49-F238E27FC236}">
              <a16:creationId xmlns:a16="http://schemas.microsoft.com/office/drawing/2014/main" id="{00000000-0008-0000-0D00-000046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75" name="Text Box 2">
          <a:extLst>
            <a:ext uri="{FF2B5EF4-FFF2-40B4-BE49-F238E27FC236}">
              <a16:creationId xmlns:a16="http://schemas.microsoft.com/office/drawing/2014/main" id="{00000000-0008-0000-0D00-000047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76" name="Text Box 2">
          <a:extLst>
            <a:ext uri="{FF2B5EF4-FFF2-40B4-BE49-F238E27FC236}">
              <a16:creationId xmlns:a16="http://schemas.microsoft.com/office/drawing/2014/main" id="{00000000-0008-0000-0D00-000048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77" name="Text Box 2">
          <a:extLst>
            <a:ext uri="{FF2B5EF4-FFF2-40B4-BE49-F238E27FC236}">
              <a16:creationId xmlns:a16="http://schemas.microsoft.com/office/drawing/2014/main" id="{00000000-0008-0000-0D00-000049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78" name="Text Box 2">
          <a:extLst>
            <a:ext uri="{FF2B5EF4-FFF2-40B4-BE49-F238E27FC236}">
              <a16:creationId xmlns:a16="http://schemas.microsoft.com/office/drawing/2014/main" id="{00000000-0008-0000-0D00-00004A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79" name="Text Box 2">
          <a:extLst>
            <a:ext uri="{FF2B5EF4-FFF2-40B4-BE49-F238E27FC236}">
              <a16:creationId xmlns:a16="http://schemas.microsoft.com/office/drawing/2014/main" id="{00000000-0008-0000-0D00-00004B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80" name="Text Box 2">
          <a:extLst>
            <a:ext uri="{FF2B5EF4-FFF2-40B4-BE49-F238E27FC236}">
              <a16:creationId xmlns:a16="http://schemas.microsoft.com/office/drawing/2014/main" id="{00000000-0008-0000-0D00-00004C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81" name="Text Box 2">
          <a:extLst>
            <a:ext uri="{FF2B5EF4-FFF2-40B4-BE49-F238E27FC236}">
              <a16:creationId xmlns:a16="http://schemas.microsoft.com/office/drawing/2014/main" id="{00000000-0008-0000-0D00-00004D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82" name="Text Box 2">
          <a:extLst>
            <a:ext uri="{FF2B5EF4-FFF2-40B4-BE49-F238E27FC236}">
              <a16:creationId xmlns:a16="http://schemas.microsoft.com/office/drawing/2014/main" id="{00000000-0008-0000-0D00-00004E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83" name="Text Box 2">
          <a:extLst>
            <a:ext uri="{FF2B5EF4-FFF2-40B4-BE49-F238E27FC236}">
              <a16:creationId xmlns:a16="http://schemas.microsoft.com/office/drawing/2014/main" id="{00000000-0008-0000-0D00-00004F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84" name="Text Box 2">
          <a:extLst>
            <a:ext uri="{FF2B5EF4-FFF2-40B4-BE49-F238E27FC236}">
              <a16:creationId xmlns:a16="http://schemas.microsoft.com/office/drawing/2014/main" id="{00000000-0008-0000-0D00-000050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85" name="Text Box 2">
          <a:extLst>
            <a:ext uri="{FF2B5EF4-FFF2-40B4-BE49-F238E27FC236}">
              <a16:creationId xmlns:a16="http://schemas.microsoft.com/office/drawing/2014/main" id="{00000000-0008-0000-0D00-000051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86" name="Text Box 2">
          <a:extLst>
            <a:ext uri="{FF2B5EF4-FFF2-40B4-BE49-F238E27FC236}">
              <a16:creationId xmlns:a16="http://schemas.microsoft.com/office/drawing/2014/main" id="{00000000-0008-0000-0D00-000052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87" name="Text Box 2">
          <a:extLst>
            <a:ext uri="{FF2B5EF4-FFF2-40B4-BE49-F238E27FC236}">
              <a16:creationId xmlns:a16="http://schemas.microsoft.com/office/drawing/2014/main" id="{00000000-0008-0000-0D00-000053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88" name="Text Box 2">
          <a:extLst>
            <a:ext uri="{FF2B5EF4-FFF2-40B4-BE49-F238E27FC236}">
              <a16:creationId xmlns:a16="http://schemas.microsoft.com/office/drawing/2014/main" id="{00000000-0008-0000-0D00-000054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89" name="Text Box 2">
          <a:extLst>
            <a:ext uri="{FF2B5EF4-FFF2-40B4-BE49-F238E27FC236}">
              <a16:creationId xmlns:a16="http://schemas.microsoft.com/office/drawing/2014/main" id="{00000000-0008-0000-0D00-000055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90" name="Text Box 2">
          <a:extLst>
            <a:ext uri="{FF2B5EF4-FFF2-40B4-BE49-F238E27FC236}">
              <a16:creationId xmlns:a16="http://schemas.microsoft.com/office/drawing/2014/main" id="{00000000-0008-0000-0D00-000056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91" name="Text Box 2">
          <a:extLst>
            <a:ext uri="{FF2B5EF4-FFF2-40B4-BE49-F238E27FC236}">
              <a16:creationId xmlns:a16="http://schemas.microsoft.com/office/drawing/2014/main" id="{00000000-0008-0000-0D00-000057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92" name="Text Box 2">
          <a:extLst>
            <a:ext uri="{FF2B5EF4-FFF2-40B4-BE49-F238E27FC236}">
              <a16:creationId xmlns:a16="http://schemas.microsoft.com/office/drawing/2014/main" id="{00000000-0008-0000-0D00-000058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393" name="Text Box 2">
          <a:extLst>
            <a:ext uri="{FF2B5EF4-FFF2-40B4-BE49-F238E27FC236}">
              <a16:creationId xmlns:a16="http://schemas.microsoft.com/office/drawing/2014/main" id="{00000000-0008-0000-0D00-000059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94" name="Text Box 2">
          <a:extLst>
            <a:ext uri="{FF2B5EF4-FFF2-40B4-BE49-F238E27FC236}">
              <a16:creationId xmlns:a16="http://schemas.microsoft.com/office/drawing/2014/main" id="{00000000-0008-0000-0D00-00005A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95" name="Text Box 2">
          <a:extLst>
            <a:ext uri="{FF2B5EF4-FFF2-40B4-BE49-F238E27FC236}">
              <a16:creationId xmlns:a16="http://schemas.microsoft.com/office/drawing/2014/main" id="{00000000-0008-0000-0D00-00005B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96" name="Text Box 2">
          <a:extLst>
            <a:ext uri="{FF2B5EF4-FFF2-40B4-BE49-F238E27FC236}">
              <a16:creationId xmlns:a16="http://schemas.microsoft.com/office/drawing/2014/main" id="{00000000-0008-0000-0D00-00005C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97" name="Text Box 2">
          <a:extLst>
            <a:ext uri="{FF2B5EF4-FFF2-40B4-BE49-F238E27FC236}">
              <a16:creationId xmlns:a16="http://schemas.microsoft.com/office/drawing/2014/main" id="{00000000-0008-0000-0D00-00005D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98" name="Text Box 2">
          <a:extLst>
            <a:ext uri="{FF2B5EF4-FFF2-40B4-BE49-F238E27FC236}">
              <a16:creationId xmlns:a16="http://schemas.microsoft.com/office/drawing/2014/main" id="{00000000-0008-0000-0D00-00005E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399" name="Text Box 2">
          <a:extLst>
            <a:ext uri="{FF2B5EF4-FFF2-40B4-BE49-F238E27FC236}">
              <a16:creationId xmlns:a16="http://schemas.microsoft.com/office/drawing/2014/main" id="{00000000-0008-0000-0D00-00005F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00" name="Text Box 2">
          <a:extLst>
            <a:ext uri="{FF2B5EF4-FFF2-40B4-BE49-F238E27FC236}">
              <a16:creationId xmlns:a16="http://schemas.microsoft.com/office/drawing/2014/main" id="{00000000-0008-0000-0D00-000060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01" name="Text Box 2">
          <a:extLst>
            <a:ext uri="{FF2B5EF4-FFF2-40B4-BE49-F238E27FC236}">
              <a16:creationId xmlns:a16="http://schemas.microsoft.com/office/drawing/2014/main" id="{00000000-0008-0000-0D00-000061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02" name="Text Box 2">
          <a:extLst>
            <a:ext uri="{FF2B5EF4-FFF2-40B4-BE49-F238E27FC236}">
              <a16:creationId xmlns:a16="http://schemas.microsoft.com/office/drawing/2014/main" id="{00000000-0008-0000-0D00-000062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03" name="Text Box 2">
          <a:extLst>
            <a:ext uri="{FF2B5EF4-FFF2-40B4-BE49-F238E27FC236}">
              <a16:creationId xmlns:a16="http://schemas.microsoft.com/office/drawing/2014/main" id="{00000000-0008-0000-0D00-000063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04" name="Text Box 2">
          <a:extLst>
            <a:ext uri="{FF2B5EF4-FFF2-40B4-BE49-F238E27FC236}">
              <a16:creationId xmlns:a16="http://schemas.microsoft.com/office/drawing/2014/main" id="{00000000-0008-0000-0D00-000064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05" name="Text Box 2">
          <a:extLst>
            <a:ext uri="{FF2B5EF4-FFF2-40B4-BE49-F238E27FC236}">
              <a16:creationId xmlns:a16="http://schemas.microsoft.com/office/drawing/2014/main" id="{00000000-0008-0000-0D00-000065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06" name="Text Box 2">
          <a:extLst>
            <a:ext uri="{FF2B5EF4-FFF2-40B4-BE49-F238E27FC236}">
              <a16:creationId xmlns:a16="http://schemas.microsoft.com/office/drawing/2014/main" id="{00000000-0008-0000-0D00-000066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07" name="Text Box 2">
          <a:extLst>
            <a:ext uri="{FF2B5EF4-FFF2-40B4-BE49-F238E27FC236}">
              <a16:creationId xmlns:a16="http://schemas.microsoft.com/office/drawing/2014/main" id="{00000000-0008-0000-0D00-000067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08" name="Text Box 2">
          <a:extLst>
            <a:ext uri="{FF2B5EF4-FFF2-40B4-BE49-F238E27FC236}">
              <a16:creationId xmlns:a16="http://schemas.microsoft.com/office/drawing/2014/main" id="{00000000-0008-0000-0D00-000068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09" name="Text Box 2">
          <a:extLst>
            <a:ext uri="{FF2B5EF4-FFF2-40B4-BE49-F238E27FC236}">
              <a16:creationId xmlns:a16="http://schemas.microsoft.com/office/drawing/2014/main" id="{00000000-0008-0000-0D00-000069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10" name="Text Box 2">
          <a:extLst>
            <a:ext uri="{FF2B5EF4-FFF2-40B4-BE49-F238E27FC236}">
              <a16:creationId xmlns:a16="http://schemas.microsoft.com/office/drawing/2014/main" id="{00000000-0008-0000-0D00-00006A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11" name="Text Box 2">
          <a:extLst>
            <a:ext uri="{FF2B5EF4-FFF2-40B4-BE49-F238E27FC236}">
              <a16:creationId xmlns:a16="http://schemas.microsoft.com/office/drawing/2014/main" id="{00000000-0008-0000-0D00-00006B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12" name="Text Box 2">
          <a:extLst>
            <a:ext uri="{FF2B5EF4-FFF2-40B4-BE49-F238E27FC236}">
              <a16:creationId xmlns:a16="http://schemas.microsoft.com/office/drawing/2014/main" id="{00000000-0008-0000-0D00-00006C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13" name="Text Box 2">
          <a:extLst>
            <a:ext uri="{FF2B5EF4-FFF2-40B4-BE49-F238E27FC236}">
              <a16:creationId xmlns:a16="http://schemas.microsoft.com/office/drawing/2014/main" id="{00000000-0008-0000-0D00-00006D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14" name="Text Box 2">
          <a:extLst>
            <a:ext uri="{FF2B5EF4-FFF2-40B4-BE49-F238E27FC236}">
              <a16:creationId xmlns:a16="http://schemas.microsoft.com/office/drawing/2014/main" id="{00000000-0008-0000-0D00-00006E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15" name="Text Box 2">
          <a:extLst>
            <a:ext uri="{FF2B5EF4-FFF2-40B4-BE49-F238E27FC236}">
              <a16:creationId xmlns:a16="http://schemas.microsoft.com/office/drawing/2014/main" id="{00000000-0008-0000-0D00-00006F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16" name="Text Box 2">
          <a:extLst>
            <a:ext uri="{FF2B5EF4-FFF2-40B4-BE49-F238E27FC236}">
              <a16:creationId xmlns:a16="http://schemas.microsoft.com/office/drawing/2014/main" id="{00000000-0008-0000-0D00-000070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17" name="Text Box 2">
          <a:extLst>
            <a:ext uri="{FF2B5EF4-FFF2-40B4-BE49-F238E27FC236}">
              <a16:creationId xmlns:a16="http://schemas.microsoft.com/office/drawing/2014/main" id="{00000000-0008-0000-0D00-000071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18" name="Text Box 2">
          <a:extLst>
            <a:ext uri="{FF2B5EF4-FFF2-40B4-BE49-F238E27FC236}">
              <a16:creationId xmlns:a16="http://schemas.microsoft.com/office/drawing/2014/main" id="{00000000-0008-0000-0D00-000072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19" name="Text Box 2">
          <a:extLst>
            <a:ext uri="{FF2B5EF4-FFF2-40B4-BE49-F238E27FC236}">
              <a16:creationId xmlns:a16="http://schemas.microsoft.com/office/drawing/2014/main" id="{00000000-0008-0000-0D00-000073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20" name="Text Box 2">
          <a:extLst>
            <a:ext uri="{FF2B5EF4-FFF2-40B4-BE49-F238E27FC236}">
              <a16:creationId xmlns:a16="http://schemas.microsoft.com/office/drawing/2014/main" id="{00000000-0008-0000-0D00-000074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21" name="Text Box 2">
          <a:extLst>
            <a:ext uri="{FF2B5EF4-FFF2-40B4-BE49-F238E27FC236}">
              <a16:creationId xmlns:a16="http://schemas.microsoft.com/office/drawing/2014/main" id="{00000000-0008-0000-0D00-000075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22" name="Text Box 2">
          <a:extLst>
            <a:ext uri="{FF2B5EF4-FFF2-40B4-BE49-F238E27FC236}">
              <a16:creationId xmlns:a16="http://schemas.microsoft.com/office/drawing/2014/main" id="{00000000-0008-0000-0D00-000076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23" name="Text Box 2">
          <a:extLst>
            <a:ext uri="{FF2B5EF4-FFF2-40B4-BE49-F238E27FC236}">
              <a16:creationId xmlns:a16="http://schemas.microsoft.com/office/drawing/2014/main" id="{00000000-0008-0000-0D00-000077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24" name="Text Box 2">
          <a:extLst>
            <a:ext uri="{FF2B5EF4-FFF2-40B4-BE49-F238E27FC236}">
              <a16:creationId xmlns:a16="http://schemas.microsoft.com/office/drawing/2014/main" id="{00000000-0008-0000-0D00-000078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25" name="Text Box 2">
          <a:extLst>
            <a:ext uri="{FF2B5EF4-FFF2-40B4-BE49-F238E27FC236}">
              <a16:creationId xmlns:a16="http://schemas.microsoft.com/office/drawing/2014/main" id="{00000000-0008-0000-0D00-000079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26" name="Text Box 2">
          <a:extLst>
            <a:ext uri="{FF2B5EF4-FFF2-40B4-BE49-F238E27FC236}">
              <a16:creationId xmlns:a16="http://schemas.microsoft.com/office/drawing/2014/main" id="{00000000-0008-0000-0D00-00007A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27" name="Text Box 2">
          <a:extLst>
            <a:ext uri="{FF2B5EF4-FFF2-40B4-BE49-F238E27FC236}">
              <a16:creationId xmlns:a16="http://schemas.microsoft.com/office/drawing/2014/main" id="{00000000-0008-0000-0D00-00007B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28" name="Text Box 2">
          <a:extLst>
            <a:ext uri="{FF2B5EF4-FFF2-40B4-BE49-F238E27FC236}">
              <a16:creationId xmlns:a16="http://schemas.microsoft.com/office/drawing/2014/main" id="{00000000-0008-0000-0D00-00007C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29" name="Text Box 2">
          <a:extLst>
            <a:ext uri="{FF2B5EF4-FFF2-40B4-BE49-F238E27FC236}">
              <a16:creationId xmlns:a16="http://schemas.microsoft.com/office/drawing/2014/main" id="{00000000-0008-0000-0D00-00007D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30" name="Text Box 2">
          <a:extLst>
            <a:ext uri="{FF2B5EF4-FFF2-40B4-BE49-F238E27FC236}">
              <a16:creationId xmlns:a16="http://schemas.microsoft.com/office/drawing/2014/main" id="{00000000-0008-0000-0D00-00007E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31" name="Text Box 2">
          <a:extLst>
            <a:ext uri="{FF2B5EF4-FFF2-40B4-BE49-F238E27FC236}">
              <a16:creationId xmlns:a16="http://schemas.microsoft.com/office/drawing/2014/main" id="{00000000-0008-0000-0D00-00007F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32" name="Text Box 2">
          <a:extLst>
            <a:ext uri="{FF2B5EF4-FFF2-40B4-BE49-F238E27FC236}">
              <a16:creationId xmlns:a16="http://schemas.microsoft.com/office/drawing/2014/main" id="{00000000-0008-0000-0D00-000080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33" name="Text Box 2">
          <a:extLst>
            <a:ext uri="{FF2B5EF4-FFF2-40B4-BE49-F238E27FC236}">
              <a16:creationId xmlns:a16="http://schemas.microsoft.com/office/drawing/2014/main" id="{00000000-0008-0000-0D00-000081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34" name="Text Box 2">
          <a:extLst>
            <a:ext uri="{FF2B5EF4-FFF2-40B4-BE49-F238E27FC236}">
              <a16:creationId xmlns:a16="http://schemas.microsoft.com/office/drawing/2014/main" id="{00000000-0008-0000-0D00-000082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35" name="Text Box 2">
          <a:extLst>
            <a:ext uri="{FF2B5EF4-FFF2-40B4-BE49-F238E27FC236}">
              <a16:creationId xmlns:a16="http://schemas.microsoft.com/office/drawing/2014/main" id="{00000000-0008-0000-0D00-000083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36" name="Text Box 2">
          <a:extLst>
            <a:ext uri="{FF2B5EF4-FFF2-40B4-BE49-F238E27FC236}">
              <a16:creationId xmlns:a16="http://schemas.microsoft.com/office/drawing/2014/main" id="{00000000-0008-0000-0D00-000084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37" name="Text Box 2">
          <a:extLst>
            <a:ext uri="{FF2B5EF4-FFF2-40B4-BE49-F238E27FC236}">
              <a16:creationId xmlns:a16="http://schemas.microsoft.com/office/drawing/2014/main" id="{00000000-0008-0000-0D00-000085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38" name="Text Box 2">
          <a:extLst>
            <a:ext uri="{FF2B5EF4-FFF2-40B4-BE49-F238E27FC236}">
              <a16:creationId xmlns:a16="http://schemas.microsoft.com/office/drawing/2014/main" id="{00000000-0008-0000-0D00-000086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39" name="Text Box 2">
          <a:extLst>
            <a:ext uri="{FF2B5EF4-FFF2-40B4-BE49-F238E27FC236}">
              <a16:creationId xmlns:a16="http://schemas.microsoft.com/office/drawing/2014/main" id="{00000000-0008-0000-0D00-000087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40" name="Text Box 2">
          <a:extLst>
            <a:ext uri="{FF2B5EF4-FFF2-40B4-BE49-F238E27FC236}">
              <a16:creationId xmlns:a16="http://schemas.microsoft.com/office/drawing/2014/main" id="{00000000-0008-0000-0D00-000088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41" name="Text Box 2">
          <a:extLst>
            <a:ext uri="{FF2B5EF4-FFF2-40B4-BE49-F238E27FC236}">
              <a16:creationId xmlns:a16="http://schemas.microsoft.com/office/drawing/2014/main" id="{00000000-0008-0000-0D00-000089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42" name="Text Box 2">
          <a:extLst>
            <a:ext uri="{FF2B5EF4-FFF2-40B4-BE49-F238E27FC236}">
              <a16:creationId xmlns:a16="http://schemas.microsoft.com/office/drawing/2014/main" id="{00000000-0008-0000-0D00-00008A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43" name="Text Box 2">
          <a:extLst>
            <a:ext uri="{FF2B5EF4-FFF2-40B4-BE49-F238E27FC236}">
              <a16:creationId xmlns:a16="http://schemas.microsoft.com/office/drawing/2014/main" id="{00000000-0008-0000-0D00-00008B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44" name="Text Box 2">
          <a:extLst>
            <a:ext uri="{FF2B5EF4-FFF2-40B4-BE49-F238E27FC236}">
              <a16:creationId xmlns:a16="http://schemas.microsoft.com/office/drawing/2014/main" id="{00000000-0008-0000-0D00-00008C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45" name="Text Box 2">
          <a:extLst>
            <a:ext uri="{FF2B5EF4-FFF2-40B4-BE49-F238E27FC236}">
              <a16:creationId xmlns:a16="http://schemas.microsoft.com/office/drawing/2014/main" id="{00000000-0008-0000-0D00-00008D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46" name="Text Box 2">
          <a:extLst>
            <a:ext uri="{FF2B5EF4-FFF2-40B4-BE49-F238E27FC236}">
              <a16:creationId xmlns:a16="http://schemas.microsoft.com/office/drawing/2014/main" id="{00000000-0008-0000-0D00-00008E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47" name="Text Box 2">
          <a:extLst>
            <a:ext uri="{FF2B5EF4-FFF2-40B4-BE49-F238E27FC236}">
              <a16:creationId xmlns:a16="http://schemas.microsoft.com/office/drawing/2014/main" id="{00000000-0008-0000-0D00-00008F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48" name="Text Box 2">
          <a:extLst>
            <a:ext uri="{FF2B5EF4-FFF2-40B4-BE49-F238E27FC236}">
              <a16:creationId xmlns:a16="http://schemas.microsoft.com/office/drawing/2014/main" id="{00000000-0008-0000-0D00-000090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49" name="Text Box 2">
          <a:extLst>
            <a:ext uri="{FF2B5EF4-FFF2-40B4-BE49-F238E27FC236}">
              <a16:creationId xmlns:a16="http://schemas.microsoft.com/office/drawing/2014/main" id="{00000000-0008-0000-0D00-000091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450" name="Text Box 2">
          <a:extLst>
            <a:ext uri="{FF2B5EF4-FFF2-40B4-BE49-F238E27FC236}">
              <a16:creationId xmlns:a16="http://schemas.microsoft.com/office/drawing/2014/main" id="{00000000-0008-0000-0D00-00009209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51" name="Text Box 2">
          <a:extLst>
            <a:ext uri="{FF2B5EF4-FFF2-40B4-BE49-F238E27FC236}">
              <a16:creationId xmlns:a16="http://schemas.microsoft.com/office/drawing/2014/main" id="{00000000-0008-0000-0D00-000093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52" name="Text Box 2">
          <a:extLst>
            <a:ext uri="{FF2B5EF4-FFF2-40B4-BE49-F238E27FC236}">
              <a16:creationId xmlns:a16="http://schemas.microsoft.com/office/drawing/2014/main" id="{00000000-0008-0000-0D00-000094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53" name="Text Box 2">
          <a:extLst>
            <a:ext uri="{FF2B5EF4-FFF2-40B4-BE49-F238E27FC236}">
              <a16:creationId xmlns:a16="http://schemas.microsoft.com/office/drawing/2014/main" id="{00000000-0008-0000-0D00-000095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54" name="Text Box 2">
          <a:extLst>
            <a:ext uri="{FF2B5EF4-FFF2-40B4-BE49-F238E27FC236}">
              <a16:creationId xmlns:a16="http://schemas.microsoft.com/office/drawing/2014/main" id="{00000000-0008-0000-0D00-000096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55" name="Text Box 2">
          <a:extLst>
            <a:ext uri="{FF2B5EF4-FFF2-40B4-BE49-F238E27FC236}">
              <a16:creationId xmlns:a16="http://schemas.microsoft.com/office/drawing/2014/main" id="{00000000-0008-0000-0D00-000097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56" name="Text Box 2">
          <a:extLst>
            <a:ext uri="{FF2B5EF4-FFF2-40B4-BE49-F238E27FC236}">
              <a16:creationId xmlns:a16="http://schemas.microsoft.com/office/drawing/2014/main" id="{00000000-0008-0000-0D00-000098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57" name="Text Box 2">
          <a:extLst>
            <a:ext uri="{FF2B5EF4-FFF2-40B4-BE49-F238E27FC236}">
              <a16:creationId xmlns:a16="http://schemas.microsoft.com/office/drawing/2014/main" id="{00000000-0008-0000-0D00-000099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58" name="Text Box 2">
          <a:extLst>
            <a:ext uri="{FF2B5EF4-FFF2-40B4-BE49-F238E27FC236}">
              <a16:creationId xmlns:a16="http://schemas.microsoft.com/office/drawing/2014/main" id="{00000000-0008-0000-0D00-00009A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59" name="Text Box 2">
          <a:extLst>
            <a:ext uri="{FF2B5EF4-FFF2-40B4-BE49-F238E27FC236}">
              <a16:creationId xmlns:a16="http://schemas.microsoft.com/office/drawing/2014/main" id="{00000000-0008-0000-0D00-00009B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60" name="Text Box 2">
          <a:extLst>
            <a:ext uri="{FF2B5EF4-FFF2-40B4-BE49-F238E27FC236}">
              <a16:creationId xmlns:a16="http://schemas.microsoft.com/office/drawing/2014/main" id="{00000000-0008-0000-0D00-00009C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61" name="Text Box 2">
          <a:extLst>
            <a:ext uri="{FF2B5EF4-FFF2-40B4-BE49-F238E27FC236}">
              <a16:creationId xmlns:a16="http://schemas.microsoft.com/office/drawing/2014/main" id="{00000000-0008-0000-0D00-00009D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62" name="Text Box 2">
          <a:extLst>
            <a:ext uri="{FF2B5EF4-FFF2-40B4-BE49-F238E27FC236}">
              <a16:creationId xmlns:a16="http://schemas.microsoft.com/office/drawing/2014/main" id="{00000000-0008-0000-0D00-00009E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63" name="Text Box 2">
          <a:extLst>
            <a:ext uri="{FF2B5EF4-FFF2-40B4-BE49-F238E27FC236}">
              <a16:creationId xmlns:a16="http://schemas.microsoft.com/office/drawing/2014/main" id="{00000000-0008-0000-0D00-00009F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64" name="Text Box 2">
          <a:extLst>
            <a:ext uri="{FF2B5EF4-FFF2-40B4-BE49-F238E27FC236}">
              <a16:creationId xmlns:a16="http://schemas.microsoft.com/office/drawing/2014/main" id="{00000000-0008-0000-0D00-0000A0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65" name="Text Box 2">
          <a:extLst>
            <a:ext uri="{FF2B5EF4-FFF2-40B4-BE49-F238E27FC236}">
              <a16:creationId xmlns:a16="http://schemas.microsoft.com/office/drawing/2014/main" id="{00000000-0008-0000-0D00-0000A1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66" name="Text Box 2">
          <a:extLst>
            <a:ext uri="{FF2B5EF4-FFF2-40B4-BE49-F238E27FC236}">
              <a16:creationId xmlns:a16="http://schemas.microsoft.com/office/drawing/2014/main" id="{00000000-0008-0000-0D00-0000A2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67" name="Text Box 2">
          <a:extLst>
            <a:ext uri="{FF2B5EF4-FFF2-40B4-BE49-F238E27FC236}">
              <a16:creationId xmlns:a16="http://schemas.microsoft.com/office/drawing/2014/main" id="{00000000-0008-0000-0D00-0000A3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68" name="Text Box 2">
          <a:extLst>
            <a:ext uri="{FF2B5EF4-FFF2-40B4-BE49-F238E27FC236}">
              <a16:creationId xmlns:a16="http://schemas.microsoft.com/office/drawing/2014/main" id="{00000000-0008-0000-0D00-0000A4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69" name="Text Box 2">
          <a:extLst>
            <a:ext uri="{FF2B5EF4-FFF2-40B4-BE49-F238E27FC236}">
              <a16:creationId xmlns:a16="http://schemas.microsoft.com/office/drawing/2014/main" id="{00000000-0008-0000-0D00-0000A5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70" name="Text Box 2">
          <a:extLst>
            <a:ext uri="{FF2B5EF4-FFF2-40B4-BE49-F238E27FC236}">
              <a16:creationId xmlns:a16="http://schemas.microsoft.com/office/drawing/2014/main" id="{00000000-0008-0000-0D00-0000A6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71" name="Text Box 2">
          <a:extLst>
            <a:ext uri="{FF2B5EF4-FFF2-40B4-BE49-F238E27FC236}">
              <a16:creationId xmlns:a16="http://schemas.microsoft.com/office/drawing/2014/main" id="{00000000-0008-0000-0D00-0000A7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72" name="Text Box 2">
          <a:extLst>
            <a:ext uri="{FF2B5EF4-FFF2-40B4-BE49-F238E27FC236}">
              <a16:creationId xmlns:a16="http://schemas.microsoft.com/office/drawing/2014/main" id="{00000000-0008-0000-0D00-0000A8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73" name="Text Box 2">
          <a:extLst>
            <a:ext uri="{FF2B5EF4-FFF2-40B4-BE49-F238E27FC236}">
              <a16:creationId xmlns:a16="http://schemas.microsoft.com/office/drawing/2014/main" id="{00000000-0008-0000-0D00-0000A9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74" name="Text Box 2">
          <a:extLst>
            <a:ext uri="{FF2B5EF4-FFF2-40B4-BE49-F238E27FC236}">
              <a16:creationId xmlns:a16="http://schemas.microsoft.com/office/drawing/2014/main" id="{00000000-0008-0000-0D00-0000AA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75" name="Text Box 2">
          <a:extLst>
            <a:ext uri="{FF2B5EF4-FFF2-40B4-BE49-F238E27FC236}">
              <a16:creationId xmlns:a16="http://schemas.microsoft.com/office/drawing/2014/main" id="{00000000-0008-0000-0D00-0000AB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76" name="Text Box 2">
          <a:extLst>
            <a:ext uri="{FF2B5EF4-FFF2-40B4-BE49-F238E27FC236}">
              <a16:creationId xmlns:a16="http://schemas.microsoft.com/office/drawing/2014/main" id="{00000000-0008-0000-0D00-0000AC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77" name="Text Box 2">
          <a:extLst>
            <a:ext uri="{FF2B5EF4-FFF2-40B4-BE49-F238E27FC236}">
              <a16:creationId xmlns:a16="http://schemas.microsoft.com/office/drawing/2014/main" id="{00000000-0008-0000-0D00-0000AD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78" name="Text Box 2">
          <a:extLst>
            <a:ext uri="{FF2B5EF4-FFF2-40B4-BE49-F238E27FC236}">
              <a16:creationId xmlns:a16="http://schemas.microsoft.com/office/drawing/2014/main" id="{00000000-0008-0000-0D00-0000AE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79" name="Text Box 2">
          <a:extLst>
            <a:ext uri="{FF2B5EF4-FFF2-40B4-BE49-F238E27FC236}">
              <a16:creationId xmlns:a16="http://schemas.microsoft.com/office/drawing/2014/main" id="{00000000-0008-0000-0D00-0000AF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80" name="Text Box 2">
          <a:extLst>
            <a:ext uri="{FF2B5EF4-FFF2-40B4-BE49-F238E27FC236}">
              <a16:creationId xmlns:a16="http://schemas.microsoft.com/office/drawing/2014/main" id="{00000000-0008-0000-0D00-0000B0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81" name="Text Box 2">
          <a:extLst>
            <a:ext uri="{FF2B5EF4-FFF2-40B4-BE49-F238E27FC236}">
              <a16:creationId xmlns:a16="http://schemas.microsoft.com/office/drawing/2014/main" id="{00000000-0008-0000-0D00-0000B1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82" name="Text Box 2">
          <a:extLst>
            <a:ext uri="{FF2B5EF4-FFF2-40B4-BE49-F238E27FC236}">
              <a16:creationId xmlns:a16="http://schemas.microsoft.com/office/drawing/2014/main" id="{00000000-0008-0000-0D00-0000B2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83" name="Text Box 2">
          <a:extLst>
            <a:ext uri="{FF2B5EF4-FFF2-40B4-BE49-F238E27FC236}">
              <a16:creationId xmlns:a16="http://schemas.microsoft.com/office/drawing/2014/main" id="{00000000-0008-0000-0D00-0000B3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84" name="Text Box 2">
          <a:extLst>
            <a:ext uri="{FF2B5EF4-FFF2-40B4-BE49-F238E27FC236}">
              <a16:creationId xmlns:a16="http://schemas.microsoft.com/office/drawing/2014/main" id="{00000000-0008-0000-0D00-0000B4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85" name="Text Box 2">
          <a:extLst>
            <a:ext uri="{FF2B5EF4-FFF2-40B4-BE49-F238E27FC236}">
              <a16:creationId xmlns:a16="http://schemas.microsoft.com/office/drawing/2014/main" id="{00000000-0008-0000-0D00-0000B5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86" name="Text Box 2">
          <a:extLst>
            <a:ext uri="{FF2B5EF4-FFF2-40B4-BE49-F238E27FC236}">
              <a16:creationId xmlns:a16="http://schemas.microsoft.com/office/drawing/2014/main" id="{00000000-0008-0000-0D00-0000B6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87" name="Text Box 2">
          <a:extLst>
            <a:ext uri="{FF2B5EF4-FFF2-40B4-BE49-F238E27FC236}">
              <a16:creationId xmlns:a16="http://schemas.microsoft.com/office/drawing/2014/main" id="{00000000-0008-0000-0D00-0000B7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88" name="Text Box 2">
          <a:extLst>
            <a:ext uri="{FF2B5EF4-FFF2-40B4-BE49-F238E27FC236}">
              <a16:creationId xmlns:a16="http://schemas.microsoft.com/office/drawing/2014/main" id="{00000000-0008-0000-0D00-0000B8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89" name="Text Box 2">
          <a:extLst>
            <a:ext uri="{FF2B5EF4-FFF2-40B4-BE49-F238E27FC236}">
              <a16:creationId xmlns:a16="http://schemas.microsoft.com/office/drawing/2014/main" id="{00000000-0008-0000-0D00-0000B9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90" name="Text Box 2">
          <a:extLst>
            <a:ext uri="{FF2B5EF4-FFF2-40B4-BE49-F238E27FC236}">
              <a16:creationId xmlns:a16="http://schemas.microsoft.com/office/drawing/2014/main" id="{00000000-0008-0000-0D00-0000BA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91" name="Text Box 2">
          <a:extLst>
            <a:ext uri="{FF2B5EF4-FFF2-40B4-BE49-F238E27FC236}">
              <a16:creationId xmlns:a16="http://schemas.microsoft.com/office/drawing/2014/main" id="{00000000-0008-0000-0D00-0000BB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92" name="Text Box 2">
          <a:extLst>
            <a:ext uri="{FF2B5EF4-FFF2-40B4-BE49-F238E27FC236}">
              <a16:creationId xmlns:a16="http://schemas.microsoft.com/office/drawing/2014/main" id="{00000000-0008-0000-0D00-0000BC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93" name="Text Box 2">
          <a:extLst>
            <a:ext uri="{FF2B5EF4-FFF2-40B4-BE49-F238E27FC236}">
              <a16:creationId xmlns:a16="http://schemas.microsoft.com/office/drawing/2014/main" id="{00000000-0008-0000-0D00-0000BD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94" name="Text Box 2">
          <a:extLst>
            <a:ext uri="{FF2B5EF4-FFF2-40B4-BE49-F238E27FC236}">
              <a16:creationId xmlns:a16="http://schemas.microsoft.com/office/drawing/2014/main" id="{00000000-0008-0000-0D00-0000BE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95" name="Text Box 2">
          <a:extLst>
            <a:ext uri="{FF2B5EF4-FFF2-40B4-BE49-F238E27FC236}">
              <a16:creationId xmlns:a16="http://schemas.microsoft.com/office/drawing/2014/main" id="{00000000-0008-0000-0D00-0000BF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96" name="Text Box 2">
          <a:extLst>
            <a:ext uri="{FF2B5EF4-FFF2-40B4-BE49-F238E27FC236}">
              <a16:creationId xmlns:a16="http://schemas.microsoft.com/office/drawing/2014/main" id="{00000000-0008-0000-0D00-0000C0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97" name="Text Box 2">
          <a:extLst>
            <a:ext uri="{FF2B5EF4-FFF2-40B4-BE49-F238E27FC236}">
              <a16:creationId xmlns:a16="http://schemas.microsoft.com/office/drawing/2014/main" id="{00000000-0008-0000-0D00-0000C1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98" name="Text Box 2">
          <a:extLst>
            <a:ext uri="{FF2B5EF4-FFF2-40B4-BE49-F238E27FC236}">
              <a16:creationId xmlns:a16="http://schemas.microsoft.com/office/drawing/2014/main" id="{00000000-0008-0000-0D00-0000C2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499" name="Text Box 2">
          <a:extLst>
            <a:ext uri="{FF2B5EF4-FFF2-40B4-BE49-F238E27FC236}">
              <a16:creationId xmlns:a16="http://schemas.microsoft.com/office/drawing/2014/main" id="{00000000-0008-0000-0D00-0000C3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00" name="Text Box 2">
          <a:extLst>
            <a:ext uri="{FF2B5EF4-FFF2-40B4-BE49-F238E27FC236}">
              <a16:creationId xmlns:a16="http://schemas.microsoft.com/office/drawing/2014/main" id="{00000000-0008-0000-0D00-0000C4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01" name="Text Box 2">
          <a:extLst>
            <a:ext uri="{FF2B5EF4-FFF2-40B4-BE49-F238E27FC236}">
              <a16:creationId xmlns:a16="http://schemas.microsoft.com/office/drawing/2014/main" id="{00000000-0008-0000-0D00-0000C5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02" name="Text Box 2">
          <a:extLst>
            <a:ext uri="{FF2B5EF4-FFF2-40B4-BE49-F238E27FC236}">
              <a16:creationId xmlns:a16="http://schemas.microsoft.com/office/drawing/2014/main" id="{00000000-0008-0000-0D00-0000C6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03" name="Text Box 2">
          <a:extLst>
            <a:ext uri="{FF2B5EF4-FFF2-40B4-BE49-F238E27FC236}">
              <a16:creationId xmlns:a16="http://schemas.microsoft.com/office/drawing/2014/main" id="{00000000-0008-0000-0D00-0000C7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04" name="Text Box 2">
          <a:extLst>
            <a:ext uri="{FF2B5EF4-FFF2-40B4-BE49-F238E27FC236}">
              <a16:creationId xmlns:a16="http://schemas.microsoft.com/office/drawing/2014/main" id="{00000000-0008-0000-0D00-0000C8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05" name="Text Box 2">
          <a:extLst>
            <a:ext uri="{FF2B5EF4-FFF2-40B4-BE49-F238E27FC236}">
              <a16:creationId xmlns:a16="http://schemas.microsoft.com/office/drawing/2014/main" id="{00000000-0008-0000-0D00-0000C9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06" name="Text Box 2">
          <a:extLst>
            <a:ext uri="{FF2B5EF4-FFF2-40B4-BE49-F238E27FC236}">
              <a16:creationId xmlns:a16="http://schemas.microsoft.com/office/drawing/2014/main" id="{00000000-0008-0000-0D00-0000CA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07" name="Text Box 2">
          <a:extLst>
            <a:ext uri="{FF2B5EF4-FFF2-40B4-BE49-F238E27FC236}">
              <a16:creationId xmlns:a16="http://schemas.microsoft.com/office/drawing/2014/main" id="{00000000-0008-0000-0D00-0000CB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08" name="Text Box 2">
          <a:extLst>
            <a:ext uri="{FF2B5EF4-FFF2-40B4-BE49-F238E27FC236}">
              <a16:creationId xmlns:a16="http://schemas.microsoft.com/office/drawing/2014/main" id="{00000000-0008-0000-0D00-0000CC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09" name="Text Box 2">
          <a:extLst>
            <a:ext uri="{FF2B5EF4-FFF2-40B4-BE49-F238E27FC236}">
              <a16:creationId xmlns:a16="http://schemas.microsoft.com/office/drawing/2014/main" id="{00000000-0008-0000-0D00-0000CD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10" name="Text Box 2">
          <a:extLst>
            <a:ext uri="{FF2B5EF4-FFF2-40B4-BE49-F238E27FC236}">
              <a16:creationId xmlns:a16="http://schemas.microsoft.com/office/drawing/2014/main" id="{00000000-0008-0000-0D00-0000CE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11" name="Text Box 2">
          <a:extLst>
            <a:ext uri="{FF2B5EF4-FFF2-40B4-BE49-F238E27FC236}">
              <a16:creationId xmlns:a16="http://schemas.microsoft.com/office/drawing/2014/main" id="{00000000-0008-0000-0D00-0000CF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12" name="Text Box 2">
          <a:extLst>
            <a:ext uri="{FF2B5EF4-FFF2-40B4-BE49-F238E27FC236}">
              <a16:creationId xmlns:a16="http://schemas.microsoft.com/office/drawing/2014/main" id="{00000000-0008-0000-0D00-0000D0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13" name="Text Box 2">
          <a:extLst>
            <a:ext uri="{FF2B5EF4-FFF2-40B4-BE49-F238E27FC236}">
              <a16:creationId xmlns:a16="http://schemas.microsoft.com/office/drawing/2014/main" id="{00000000-0008-0000-0D00-0000D1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14" name="Text Box 2">
          <a:extLst>
            <a:ext uri="{FF2B5EF4-FFF2-40B4-BE49-F238E27FC236}">
              <a16:creationId xmlns:a16="http://schemas.microsoft.com/office/drawing/2014/main" id="{00000000-0008-0000-0D00-0000D2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15" name="Text Box 2">
          <a:extLst>
            <a:ext uri="{FF2B5EF4-FFF2-40B4-BE49-F238E27FC236}">
              <a16:creationId xmlns:a16="http://schemas.microsoft.com/office/drawing/2014/main" id="{00000000-0008-0000-0D00-0000D3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16" name="Text Box 2">
          <a:extLst>
            <a:ext uri="{FF2B5EF4-FFF2-40B4-BE49-F238E27FC236}">
              <a16:creationId xmlns:a16="http://schemas.microsoft.com/office/drawing/2014/main" id="{00000000-0008-0000-0D00-0000D4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17" name="Text Box 2">
          <a:extLst>
            <a:ext uri="{FF2B5EF4-FFF2-40B4-BE49-F238E27FC236}">
              <a16:creationId xmlns:a16="http://schemas.microsoft.com/office/drawing/2014/main" id="{00000000-0008-0000-0D00-0000D5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18" name="Text Box 2">
          <a:extLst>
            <a:ext uri="{FF2B5EF4-FFF2-40B4-BE49-F238E27FC236}">
              <a16:creationId xmlns:a16="http://schemas.microsoft.com/office/drawing/2014/main" id="{00000000-0008-0000-0D00-0000D6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19" name="Text Box 2">
          <a:extLst>
            <a:ext uri="{FF2B5EF4-FFF2-40B4-BE49-F238E27FC236}">
              <a16:creationId xmlns:a16="http://schemas.microsoft.com/office/drawing/2014/main" id="{00000000-0008-0000-0D00-0000D7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20" name="Text Box 2">
          <a:extLst>
            <a:ext uri="{FF2B5EF4-FFF2-40B4-BE49-F238E27FC236}">
              <a16:creationId xmlns:a16="http://schemas.microsoft.com/office/drawing/2014/main" id="{00000000-0008-0000-0D00-0000D8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21" name="Text Box 2">
          <a:extLst>
            <a:ext uri="{FF2B5EF4-FFF2-40B4-BE49-F238E27FC236}">
              <a16:creationId xmlns:a16="http://schemas.microsoft.com/office/drawing/2014/main" id="{00000000-0008-0000-0D00-0000D9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22" name="Text Box 2">
          <a:extLst>
            <a:ext uri="{FF2B5EF4-FFF2-40B4-BE49-F238E27FC236}">
              <a16:creationId xmlns:a16="http://schemas.microsoft.com/office/drawing/2014/main" id="{00000000-0008-0000-0D00-0000DA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23" name="Text Box 2">
          <a:extLst>
            <a:ext uri="{FF2B5EF4-FFF2-40B4-BE49-F238E27FC236}">
              <a16:creationId xmlns:a16="http://schemas.microsoft.com/office/drawing/2014/main" id="{00000000-0008-0000-0D00-0000DB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24" name="Text Box 2">
          <a:extLst>
            <a:ext uri="{FF2B5EF4-FFF2-40B4-BE49-F238E27FC236}">
              <a16:creationId xmlns:a16="http://schemas.microsoft.com/office/drawing/2014/main" id="{00000000-0008-0000-0D00-0000DC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25" name="Text Box 2">
          <a:extLst>
            <a:ext uri="{FF2B5EF4-FFF2-40B4-BE49-F238E27FC236}">
              <a16:creationId xmlns:a16="http://schemas.microsoft.com/office/drawing/2014/main" id="{00000000-0008-0000-0D00-0000DD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26" name="Text Box 2">
          <a:extLst>
            <a:ext uri="{FF2B5EF4-FFF2-40B4-BE49-F238E27FC236}">
              <a16:creationId xmlns:a16="http://schemas.microsoft.com/office/drawing/2014/main" id="{00000000-0008-0000-0D00-0000DE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27" name="Text Box 2">
          <a:extLst>
            <a:ext uri="{FF2B5EF4-FFF2-40B4-BE49-F238E27FC236}">
              <a16:creationId xmlns:a16="http://schemas.microsoft.com/office/drawing/2014/main" id="{00000000-0008-0000-0D00-0000DF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28" name="Text Box 2">
          <a:extLst>
            <a:ext uri="{FF2B5EF4-FFF2-40B4-BE49-F238E27FC236}">
              <a16:creationId xmlns:a16="http://schemas.microsoft.com/office/drawing/2014/main" id="{00000000-0008-0000-0D00-0000E0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29" name="Text Box 2">
          <a:extLst>
            <a:ext uri="{FF2B5EF4-FFF2-40B4-BE49-F238E27FC236}">
              <a16:creationId xmlns:a16="http://schemas.microsoft.com/office/drawing/2014/main" id="{00000000-0008-0000-0D00-0000E1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30" name="Text Box 2">
          <a:extLst>
            <a:ext uri="{FF2B5EF4-FFF2-40B4-BE49-F238E27FC236}">
              <a16:creationId xmlns:a16="http://schemas.microsoft.com/office/drawing/2014/main" id="{00000000-0008-0000-0D00-0000E2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31" name="Text Box 2">
          <a:extLst>
            <a:ext uri="{FF2B5EF4-FFF2-40B4-BE49-F238E27FC236}">
              <a16:creationId xmlns:a16="http://schemas.microsoft.com/office/drawing/2014/main" id="{00000000-0008-0000-0D00-0000E3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32" name="Text Box 2">
          <a:extLst>
            <a:ext uri="{FF2B5EF4-FFF2-40B4-BE49-F238E27FC236}">
              <a16:creationId xmlns:a16="http://schemas.microsoft.com/office/drawing/2014/main" id="{00000000-0008-0000-0D00-0000E4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33" name="Text Box 2">
          <a:extLst>
            <a:ext uri="{FF2B5EF4-FFF2-40B4-BE49-F238E27FC236}">
              <a16:creationId xmlns:a16="http://schemas.microsoft.com/office/drawing/2014/main" id="{00000000-0008-0000-0D00-0000E5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34" name="Text Box 2">
          <a:extLst>
            <a:ext uri="{FF2B5EF4-FFF2-40B4-BE49-F238E27FC236}">
              <a16:creationId xmlns:a16="http://schemas.microsoft.com/office/drawing/2014/main" id="{00000000-0008-0000-0D00-0000E6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35" name="Text Box 2">
          <a:extLst>
            <a:ext uri="{FF2B5EF4-FFF2-40B4-BE49-F238E27FC236}">
              <a16:creationId xmlns:a16="http://schemas.microsoft.com/office/drawing/2014/main" id="{00000000-0008-0000-0D00-0000E7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36" name="Text Box 2">
          <a:extLst>
            <a:ext uri="{FF2B5EF4-FFF2-40B4-BE49-F238E27FC236}">
              <a16:creationId xmlns:a16="http://schemas.microsoft.com/office/drawing/2014/main" id="{00000000-0008-0000-0D00-0000E8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37" name="Text Box 2">
          <a:extLst>
            <a:ext uri="{FF2B5EF4-FFF2-40B4-BE49-F238E27FC236}">
              <a16:creationId xmlns:a16="http://schemas.microsoft.com/office/drawing/2014/main" id="{00000000-0008-0000-0D00-0000E9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38" name="Text Box 2">
          <a:extLst>
            <a:ext uri="{FF2B5EF4-FFF2-40B4-BE49-F238E27FC236}">
              <a16:creationId xmlns:a16="http://schemas.microsoft.com/office/drawing/2014/main" id="{00000000-0008-0000-0D00-0000EA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39" name="Text Box 2">
          <a:extLst>
            <a:ext uri="{FF2B5EF4-FFF2-40B4-BE49-F238E27FC236}">
              <a16:creationId xmlns:a16="http://schemas.microsoft.com/office/drawing/2014/main" id="{00000000-0008-0000-0D00-0000EB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40" name="Text Box 2">
          <a:extLst>
            <a:ext uri="{FF2B5EF4-FFF2-40B4-BE49-F238E27FC236}">
              <a16:creationId xmlns:a16="http://schemas.microsoft.com/office/drawing/2014/main" id="{00000000-0008-0000-0D00-0000EC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41" name="Text Box 2">
          <a:extLst>
            <a:ext uri="{FF2B5EF4-FFF2-40B4-BE49-F238E27FC236}">
              <a16:creationId xmlns:a16="http://schemas.microsoft.com/office/drawing/2014/main" id="{00000000-0008-0000-0D00-0000ED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42" name="Text Box 2">
          <a:extLst>
            <a:ext uri="{FF2B5EF4-FFF2-40B4-BE49-F238E27FC236}">
              <a16:creationId xmlns:a16="http://schemas.microsoft.com/office/drawing/2014/main" id="{00000000-0008-0000-0D00-0000EE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43" name="Text Box 2">
          <a:extLst>
            <a:ext uri="{FF2B5EF4-FFF2-40B4-BE49-F238E27FC236}">
              <a16:creationId xmlns:a16="http://schemas.microsoft.com/office/drawing/2014/main" id="{00000000-0008-0000-0D00-0000EF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44" name="Text Box 2">
          <a:extLst>
            <a:ext uri="{FF2B5EF4-FFF2-40B4-BE49-F238E27FC236}">
              <a16:creationId xmlns:a16="http://schemas.microsoft.com/office/drawing/2014/main" id="{00000000-0008-0000-0D00-0000F0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45" name="Text Box 2">
          <a:extLst>
            <a:ext uri="{FF2B5EF4-FFF2-40B4-BE49-F238E27FC236}">
              <a16:creationId xmlns:a16="http://schemas.microsoft.com/office/drawing/2014/main" id="{00000000-0008-0000-0D00-0000F1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46" name="Text Box 2">
          <a:extLst>
            <a:ext uri="{FF2B5EF4-FFF2-40B4-BE49-F238E27FC236}">
              <a16:creationId xmlns:a16="http://schemas.microsoft.com/office/drawing/2014/main" id="{00000000-0008-0000-0D00-0000F2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47" name="Text Box 2">
          <a:extLst>
            <a:ext uri="{FF2B5EF4-FFF2-40B4-BE49-F238E27FC236}">
              <a16:creationId xmlns:a16="http://schemas.microsoft.com/office/drawing/2014/main" id="{00000000-0008-0000-0D00-0000F3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48" name="Text Box 2">
          <a:extLst>
            <a:ext uri="{FF2B5EF4-FFF2-40B4-BE49-F238E27FC236}">
              <a16:creationId xmlns:a16="http://schemas.microsoft.com/office/drawing/2014/main" id="{00000000-0008-0000-0D00-0000F4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49" name="Text Box 2">
          <a:extLst>
            <a:ext uri="{FF2B5EF4-FFF2-40B4-BE49-F238E27FC236}">
              <a16:creationId xmlns:a16="http://schemas.microsoft.com/office/drawing/2014/main" id="{00000000-0008-0000-0D00-0000F5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50" name="Text Box 2">
          <a:extLst>
            <a:ext uri="{FF2B5EF4-FFF2-40B4-BE49-F238E27FC236}">
              <a16:creationId xmlns:a16="http://schemas.microsoft.com/office/drawing/2014/main" id="{00000000-0008-0000-0D00-0000F6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51" name="Text Box 2">
          <a:extLst>
            <a:ext uri="{FF2B5EF4-FFF2-40B4-BE49-F238E27FC236}">
              <a16:creationId xmlns:a16="http://schemas.microsoft.com/office/drawing/2014/main" id="{00000000-0008-0000-0D00-0000F7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52" name="Text Box 2">
          <a:extLst>
            <a:ext uri="{FF2B5EF4-FFF2-40B4-BE49-F238E27FC236}">
              <a16:creationId xmlns:a16="http://schemas.microsoft.com/office/drawing/2014/main" id="{00000000-0008-0000-0D00-0000F8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53" name="Text Box 2">
          <a:extLst>
            <a:ext uri="{FF2B5EF4-FFF2-40B4-BE49-F238E27FC236}">
              <a16:creationId xmlns:a16="http://schemas.microsoft.com/office/drawing/2014/main" id="{00000000-0008-0000-0D00-0000F9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54" name="Text Box 2">
          <a:extLst>
            <a:ext uri="{FF2B5EF4-FFF2-40B4-BE49-F238E27FC236}">
              <a16:creationId xmlns:a16="http://schemas.microsoft.com/office/drawing/2014/main" id="{00000000-0008-0000-0D00-0000FA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55" name="Text Box 2">
          <a:extLst>
            <a:ext uri="{FF2B5EF4-FFF2-40B4-BE49-F238E27FC236}">
              <a16:creationId xmlns:a16="http://schemas.microsoft.com/office/drawing/2014/main" id="{00000000-0008-0000-0D00-0000FB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56" name="Text Box 2">
          <a:extLst>
            <a:ext uri="{FF2B5EF4-FFF2-40B4-BE49-F238E27FC236}">
              <a16:creationId xmlns:a16="http://schemas.microsoft.com/office/drawing/2014/main" id="{00000000-0008-0000-0D00-0000FC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57" name="Text Box 2">
          <a:extLst>
            <a:ext uri="{FF2B5EF4-FFF2-40B4-BE49-F238E27FC236}">
              <a16:creationId xmlns:a16="http://schemas.microsoft.com/office/drawing/2014/main" id="{00000000-0008-0000-0D00-0000FD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58" name="Text Box 2">
          <a:extLst>
            <a:ext uri="{FF2B5EF4-FFF2-40B4-BE49-F238E27FC236}">
              <a16:creationId xmlns:a16="http://schemas.microsoft.com/office/drawing/2014/main" id="{00000000-0008-0000-0D00-0000FE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59" name="Text Box 2">
          <a:extLst>
            <a:ext uri="{FF2B5EF4-FFF2-40B4-BE49-F238E27FC236}">
              <a16:creationId xmlns:a16="http://schemas.microsoft.com/office/drawing/2014/main" id="{00000000-0008-0000-0D00-0000FF09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60" name="Text Box 2">
          <a:extLst>
            <a:ext uri="{FF2B5EF4-FFF2-40B4-BE49-F238E27FC236}">
              <a16:creationId xmlns:a16="http://schemas.microsoft.com/office/drawing/2014/main" id="{00000000-0008-0000-0D00-000000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61" name="Text Box 2">
          <a:extLst>
            <a:ext uri="{FF2B5EF4-FFF2-40B4-BE49-F238E27FC236}">
              <a16:creationId xmlns:a16="http://schemas.microsoft.com/office/drawing/2014/main" id="{00000000-0008-0000-0D00-000001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62" name="Text Box 2">
          <a:extLst>
            <a:ext uri="{FF2B5EF4-FFF2-40B4-BE49-F238E27FC236}">
              <a16:creationId xmlns:a16="http://schemas.microsoft.com/office/drawing/2014/main" id="{00000000-0008-0000-0D00-000002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63" name="Text Box 2">
          <a:extLst>
            <a:ext uri="{FF2B5EF4-FFF2-40B4-BE49-F238E27FC236}">
              <a16:creationId xmlns:a16="http://schemas.microsoft.com/office/drawing/2014/main" id="{00000000-0008-0000-0D00-000003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64" name="Text Box 2">
          <a:extLst>
            <a:ext uri="{FF2B5EF4-FFF2-40B4-BE49-F238E27FC236}">
              <a16:creationId xmlns:a16="http://schemas.microsoft.com/office/drawing/2014/main" id="{00000000-0008-0000-0D00-000004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65" name="Text Box 2">
          <a:extLst>
            <a:ext uri="{FF2B5EF4-FFF2-40B4-BE49-F238E27FC236}">
              <a16:creationId xmlns:a16="http://schemas.microsoft.com/office/drawing/2014/main" id="{00000000-0008-0000-0D00-000005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66" name="Text Box 2">
          <a:extLst>
            <a:ext uri="{FF2B5EF4-FFF2-40B4-BE49-F238E27FC236}">
              <a16:creationId xmlns:a16="http://schemas.microsoft.com/office/drawing/2014/main" id="{00000000-0008-0000-0D00-000006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67" name="Text Box 2">
          <a:extLst>
            <a:ext uri="{FF2B5EF4-FFF2-40B4-BE49-F238E27FC236}">
              <a16:creationId xmlns:a16="http://schemas.microsoft.com/office/drawing/2014/main" id="{00000000-0008-0000-0D00-000007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68" name="Text Box 2">
          <a:extLst>
            <a:ext uri="{FF2B5EF4-FFF2-40B4-BE49-F238E27FC236}">
              <a16:creationId xmlns:a16="http://schemas.microsoft.com/office/drawing/2014/main" id="{00000000-0008-0000-0D00-000008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69" name="Text Box 2">
          <a:extLst>
            <a:ext uri="{FF2B5EF4-FFF2-40B4-BE49-F238E27FC236}">
              <a16:creationId xmlns:a16="http://schemas.microsoft.com/office/drawing/2014/main" id="{00000000-0008-0000-0D00-000009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70" name="Text Box 2">
          <a:extLst>
            <a:ext uri="{FF2B5EF4-FFF2-40B4-BE49-F238E27FC236}">
              <a16:creationId xmlns:a16="http://schemas.microsoft.com/office/drawing/2014/main" id="{00000000-0008-0000-0D00-00000A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71" name="Text Box 2">
          <a:extLst>
            <a:ext uri="{FF2B5EF4-FFF2-40B4-BE49-F238E27FC236}">
              <a16:creationId xmlns:a16="http://schemas.microsoft.com/office/drawing/2014/main" id="{00000000-0008-0000-0D00-00000B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72" name="Text Box 2">
          <a:extLst>
            <a:ext uri="{FF2B5EF4-FFF2-40B4-BE49-F238E27FC236}">
              <a16:creationId xmlns:a16="http://schemas.microsoft.com/office/drawing/2014/main" id="{00000000-0008-0000-0D00-00000C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73" name="Text Box 2">
          <a:extLst>
            <a:ext uri="{FF2B5EF4-FFF2-40B4-BE49-F238E27FC236}">
              <a16:creationId xmlns:a16="http://schemas.microsoft.com/office/drawing/2014/main" id="{00000000-0008-0000-0D00-00000D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74" name="Text Box 2">
          <a:extLst>
            <a:ext uri="{FF2B5EF4-FFF2-40B4-BE49-F238E27FC236}">
              <a16:creationId xmlns:a16="http://schemas.microsoft.com/office/drawing/2014/main" id="{00000000-0008-0000-0D00-00000E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75" name="Text Box 2">
          <a:extLst>
            <a:ext uri="{FF2B5EF4-FFF2-40B4-BE49-F238E27FC236}">
              <a16:creationId xmlns:a16="http://schemas.microsoft.com/office/drawing/2014/main" id="{00000000-0008-0000-0D00-00000F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76" name="Text Box 2">
          <a:extLst>
            <a:ext uri="{FF2B5EF4-FFF2-40B4-BE49-F238E27FC236}">
              <a16:creationId xmlns:a16="http://schemas.microsoft.com/office/drawing/2014/main" id="{00000000-0008-0000-0D00-000010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77" name="Text Box 2">
          <a:extLst>
            <a:ext uri="{FF2B5EF4-FFF2-40B4-BE49-F238E27FC236}">
              <a16:creationId xmlns:a16="http://schemas.microsoft.com/office/drawing/2014/main" id="{00000000-0008-0000-0D00-000011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78" name="Text Box 2">
          <a:extLst>
            <a:ext uri="{FF2B5EF4-FFF2-40B4-BE49-F238E27FC236}">
              <a16:creationId xmlns:a16="http://schemas.microsoft.com/office/drawing/2014/main" id="{00000000-0008-0000-0D00-000012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79" name="Text Box 2">
          <a:extLst>
            <a:ext uri="{FF2B5EF4-FFF2-40B4-BE49-F238E27FC236}">
              <a16:creationId xmlns:a16="http://schemas.microsoft.com/office/drawing/2014/main" id="{00000000-0008-0000-0D00-000013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80" name="Text Box 2">
          <a:extLst>
            <a:ext uri="{FF2B5EF4-FFF2-40B4-BE49-F238E27FC236}">
              <a16:creationId xmlns:a16="http://schemas.microsoft.com/office/drawing/2014/main" id="{00000000-0008-0000-0D00-000014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81" name="Text Box 2">
          <a:extLst>
            <a:ext uri="{FF2B5EF4-FFF2-40B4-BE49-F238E27FC236}">
              <a16:creationId xmlns:a16="http://schemas.microsoft.com/office/drawing/2014/main" id="{00000000-0008-0000-0D00-000015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82" name="Text Box 2">
          <a:extLst>
            <a:ext uri="{FF2B5EF4-FFF2-40B4-BE49-F238E27FC236}">
              <a16:creationId xmlns:a16="http://schemas.microsoft.com/office/drawing/2014/main" id="{00000000-0008-0000-0D00-000016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83" name="Text Box 2">
          <a:extLst>
            <a:ext uri="{FF2B5EF4-FFF2-40B4-BE49-F238E27FC236}">
              <a16:creationId xmlns:a16="http://schemas.microsoft.com/office/drawing/2014/main" id="{00000000-0008-0000-0D00-000017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84" name="Text Box 2">
          <a:extLst>
            <a:ext uri="{FF2B5EF4-FFF2-40B4-BE49-F238E27FC236}">
              <a16:creationId xmlns:a16="http://schemas.microsoft.com/office/drawing/2014/main" id="{00000000-0008-0000-0D00-000018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85" name="Text Box 2">
          <a:extLst>
            <a:ext uri="{FF2B5EF4-FFF2-40B4-BE49-F238E27FC236}">
              <a16:creationId xmlns:a16="http://schemas.microsoft.com/office/drawing/2014/main" id="{00000000-0008-0000-0D00-000019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86" name="Text Box 2">
          <a:extLst>
            <a:ext uri="{FF2B5EF4-FFF2-40B4-BE49-F238E27FC236}">
              <a16:creationId xmlns:a16="http://schemas.microsoft.com/office/drawing/2014/main" id="{00000000-0008-0000-0D00-00001A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87" name="Text Box 2">
          <a:extLst>
            <a:ext uri="{FF2B5EF4-FFF2-40B4-BE49-F238E27FC236}">
              <a16:creationId xmlns:a16="http://schemas.microsoft.com/office/drawing/2014/main" id="{00000000-0008-0000-0D00-00001B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88" name="Text Box 2">
          <a:extLst>
            <a:ext uri="{FF2B5EF4-FFF2-40B4-BE49-F238E27FC236}">
              <a16:creationId xmlns:a16="http://schemas.microsoft.com/office/drawing/2014/main" id="{00000000-0008-0000-0D00-00001C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89" name="Text Box 2">
          <a:extLst>
            <a:ext uri="{FF2B5EF4-FFF2-40B4-BE49-F238E27FC236}">
              <a16:creationId xmlns:a16="http://schemas.microsoft.com/office/drawing/2014/main" id="{00000000-0008-0000-0D00-00001D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90" name="Text Box 2">
          <a:extLst>
            <a:ext uri="{FF2B5EF4-FFF2-40B4-BE49-F238E27FC236}">
              <a16:creationId xmlns:a16="http://schemas.microsoft.com/office/drawing/2014/main" id="{00000000-0008-0000-0D00-00001E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91" name="Text Box 2">
          <a:extLst>
            <a:ext uri="{FF2B5EF4-FFF2-40B4-BE49-F238E27FC236}">
              <a16:creationId xmlns:a16="http://schemas.microsoft.com/office/drawing/2014/main" id="{00000000-0008-0000-0D00-00001F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92" name="Text Box 2">
          <a:extLst>
            <a:ext uri="{FF2B5EF4-FFF2-40B4-BE49-F238E27FC236}">
              <a16:creationId xmlns:a16="http://schemas.microsoft.com/office/drawing/2014/main" id="{00000000-0008-0000-0D00-000020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93" name="Text Box 2">
          <a:extLst>
            <a:ext uri="{FF2B5EF4-FFF2-40B4-BE49-F238E27FC236}">
              <a16:creationId xmlns:a16="http://schemas.microsoft.com/office/drawing/2014/main" id="{00000000-0008-0000-0D00-000021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94" name="Text Box 2">
          <a:extLst>
            <a:ext uri="{FF2B5EF4-FFF2-40B4-BE49-F238E27FC236}">
              <a16:creationId xmlns:a16="http://schemas.microsoft.com/office/drawing/2014/main" id="{00000000-0008-0000-0D00-000022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95" name="Text Box 2">
          <a:extLst>
            <a:ext uri="{FF2B5EF4-FFF2-40B4-BE49-F238E27FC236}">
              <a16:creationId xmlns:a16="http://schemas.microsoft.com/office/drawing/2014/main" id="{00000000-0008-0000-0D00-000023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96" name="Text Box 2">
          <a:extLst>
            <a:ext uri="{FF2B5EF4-FFF2-40B4-BE49-F238E27FC236}">
              <a16:creationId xmlns:a16="http://schemas.microsoft.com/office/drawing/2014/main" id="{00000000-0008-0000-0D00-000024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97" name="Text Box 2">
          <a:extLst>
            <a:ext uri="{FF2B5EF4-FFF2-40B4-BE49-F238E27FC236}">
              <a16:creationId xmlns:a16="http://schemas.microsoft.com/office/drawing/2014/main" id="{00000000-0008-0000-0D00-000025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98" name="Text Box 2">
          <a:extLst>
            <a:ext uri="{FF2B5EF4-FFF2-40B4-BE49-F238E27FC236}">
              <a16:creationId xmlns:a16="http://schemas.microsoft.com/office/drawing/2014/main" id="{00000000-0008-0000-0D00-000026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599" name="Text Box 2">
          <a:extLst>
            <a:ext uri="{FF2B5EF4-FFF2-40B4-BE49-F238E27FC236}">
              <a16:creationId xmlns:a16="http://schemas.microsoft.com/office/drawing/2014/main" id="{00000000-0008-0000-0D00-000027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00" name="Text Box 2">
          <a:extLst>
            <a:ext uri="{FF2B5EF4-FFF2-40B4-BE49-F238E27FC236}">
              <a16:creationId xmlns:a16="http://schemas.microsoft.com/office/drawing/2014/main" id="{00000000-0008-0000-0D00-000028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01" name="Text Box 2">
          <a:extLst>
            <a:ext uri="{FF2B5EF4-FFF2-40B4-BE49-F238E27FC236}">
              <a16:creationId xmlns:a16="http://schemas.microsoft.com/office/drawing/2014/main" id="{00000000-0008-0000-0D00-000029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02" name="Text Box 2">
          <a:extLst>
            <a:ext uri="{FF2B5EF4-FFF2-40B4-BE49-F238E27FC236}">
              <a16:creationId xmlns:a16="http://schemas.microsoft.com/office/drawing/2014/main" id="{00000000-0008-0000-0D00-00002A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03" name="Text Box 2">
          <a:extLst>
            <a:ext uri="{FF2B5EF4-FFF2-40B4-BE49-F238E27FC236}">
              <a16:creationId xmlns:a16="http://schemas.microsoft.com/office/drawing/2014/main" id="{00000000-0008-0000-0D00-00002B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04" name="Text Box 2">
          <a:extLst>
            <a:ext uri="{FF2B5EF4-FFF2-40B4-BE49-F238E27FC236}">
              <a16:creationId xmlns:a16="http://schemas.microsoft.com/office/drawing/2014/main" id="{00000000-0008-0000-0D00-00002C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05" name="Text Box 2">
          <a:extLst>
            <a:ext uri="{FF2B5EF4-FFF2-40B4-BE49-F238E27FC236}">
              <a16:creationId xmlns:a16="http://schemas.microsoft.com/office/drawing/2014/main" id="{00000000-0008-0000-0D00-00002D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06" name="Text Box 2">
          <a:extLst>
            <a:ext uri="{FF2B5EF4-FFF2-40B4-BE49-F238E27FC236}">
              <a16:creationId xmlns:a16="http://schemas.microsoft.com/office/drawing/2014/main" id="{00000000-0008-0000-0D00-00002E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07" name="Text Box 2">
          <a:extLst>
            <a:ext uri="{FF2B5EF4-FFF2-40B4-BE49-F238E27FC236}">
              <a16:creationId xmlns:a16="http://schemas.microsoft.com/office/drawing/2014/main" id="{00000000-0008-0000-0D00-00002F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08" name="Text Box 2">
          <a:extLst>
            <a:ext uri="{FF2B5EF4-FFF2-40B4-BE49-F238E27FC236}">
              <a16:creationId xmlns:a16="http://schemas.microsoft.com/office/drawing/2014/main" id="{00000000-0008-0000-0D00-000030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09" name="Text Box 2">
          <a:extLst>
            <a:ext uri="{FF2B5EF4-FFF2-40B4-BE49-F238E27FC236}">
              <a16:creationId xmlns:a16="http://schemas.microsoft.com/office/drawing/2014/main" id="{00000000-0008-0000-0D00-000031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10" name="Text Box 2">
          <a:extLst>
            <a:ext uri="{FF2B5EF4-FFF2-40B4-BE49-F238E27FC236}">
              <a16:creationId xmlns:a16="http://schemas.microsoft.com/office/drawing/2014/main" id="{00000000-0008-0000-0D00-000032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11" name="Text Box 2">
          <a:extLst>
            <a:ext uri="{FF2B5EF4-FFF2-40B4-BE49-F238E27FC236}">
              <a16:creationId xmlns:a16="http://schemas.microsoft.com/office/drawing/2014/main" id="{00000000-0008-0000-0D00-000033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12" name="Text Box 2">
          <a:extLst>
            <a:ext uri="{FF2B5EF4-FFF2-40B4-BE49-F238E27FC236}">
              <a16:creationId xmlns:a16="http://schemas.microsoft.com/office/drawing/2014/main" id="{00000000-0008-0000-0D00-000034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13" name="Text Box 2">
          <a:extLst>
            <a:ext uri="{FF2B5EF4-FFF2-40B4-BE49-F238E27FC236}">
              <a16:creationId xmlns:a16="http://schemas.microsoft.com/office/drawing/2014/main" id="{00000000-0008-0000-0D00-000035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14" name="Text Box 2">
          <a:extLst>
            <a:ext uri="{FF2B5EF4-FFF2-40B4-BE49-F238E27FC236}">
              <a16:creationId xmlns:a16="http://schemas.microsoft.com/office/drawing/2014/main" id="{00000000-0008-0000-0D00-000036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15" name="Text Box 2">
          <a:extLst>
            <a:ext uri="{FF2B5EF4-FFF2-40B4-BE49-F238E27FC236}">
              <a16:creationId xmlns:a16="http://schemas.microsoft.com/office/drawing/2014/main" id="{00000000-0008-0000-0D00-000037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16" name="Text Box 2">
          <a:extLst>
            <a:ext uri="{FF2B5EF4-FFF2-40B4-BE49-F238E27FC236}">
              <a16:creationId xmlns:a16="http://schemas.microsoft.com/office/drawing/2014/main" id="{00000000-0008-0000-0D00-000038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17" name="Text Box 2">
          <a:extLst>
            <a:ext uri="{FF2B5EF4-FFF2-40B4-BE49-F238E27FC236}">
              <a16:creationId xmlns:a16="http://schemas.microsoft.com/office/drawing/2014/main" id="{00000000-0008-0000-0D00-000039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18" name="Text Box 2">
          <a:extLst>
            <a:ext uri="{FF2B5EF4-FFF2-40B4-BE49-F238E27FC236}">
              <a16:creationId xmlns:a16="http://schemas.microsoft.com/office/drawing/2014/main" id="{00000000-0008-0000-0D00-00003A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19" name="Text Box 2">
          <a:extLst>
            <a:ext uri="{FF2B5EF4-FFF2-40B4-BE49-F238E27FC236}">
              <a16:creationId xmlns:a16="http://schemas.microsoft.com/office/drawing/2014/main" id="{00000000-0008-0000-0D00-00003B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20" name="Text Box 2">
          <a:extLst>
            <a:ext uri="{FF2B5EF4-FFF2-40B4-BE49-F238E27FC236}">
              <a16:creationId xmlns:a16="http://schemas.microsoft.com/office/drawing/2014/main" id="{00000000-0008-0000-0D00-00003C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21" name="Text Box 2">
          <a:extLst>
            <a:ext uri="{FF2B5EF4-FFF2-40B4-BE49-F238E27FC236}">
              <a16:creationId xmlns:a16="http://schemas.microsoft.com/office/drawing/2014/main" id="{00000000-0008-0000-0D00-00003D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22" name="Text Box 2">
          <a:extLst>
            <a:ext uri="{FF2B5EF4-FFF2-40B4-BE49-F238E27FC236}">
              <a16:creationId xmlns:a16="http://schemas.microsoft.com/office/drawing/2014/main" id="{00000000-0008-0000-0D00-00003E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23" name="Text Box 2">
          <a:extLst>
            <a:ext uri="{FF2B5EF4-FFF2-40B4-BE49-F238E27FC236}">
              <a16:creationId xmlns:a16="http://schemas.microsoft.com/office/drawing/2014/main" id="{00000000-0008-0000-0D00-00003F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24" name="Text Box 2">
          <a:extLst>
            <a:ext uri="{FF2B5EF4-FFF2-40B4-BE49-F238E27FC236}">
              <a16:creationId xmlns:a16="http://schemas.microsoft.com/office/drawing/2014/main" id="{00000000-0008-0000-0D00-000040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25" name="Text Box 2">
          <a:extLst>
            <a:ext uri="{FF2B5EF4-FFF2-40B4-BE49-F238E27FC236}">
              <a16:creationId xmlns:a16="http://schemas.microsoft.com/office/drawing/2014/main" id="{00000000-0008-0000-0D00-0000410A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26" name="Text Box 2">
          <a:extLst>
            <a:ext uri="{FF2B5EF4-FFF2-40B4-BE49-F238E27FC236}">
              <a16:creationId xmlns:a16="http://schemas.microsoft.com/office/drawing/2014/main" id="{00000000-0008-0000-0D00-0000420A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27" name="Text Box 2">
          <a:extLst>
            <a:ext uri="{FF2B5EF4-FFF2-40B4-BE49-F238E27FC236}">
              <a16:creationId xmlns:a16="http://schemas.microsoft.com/office/drawing/2014/main" id="{00000000-0008-0000-0D00-0000430A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28" name="Text Box 2">
          <a:extLst>
            <a:ext uri="{FF2B5EF4-FFF2-40B4-BE49-F238E27FC236}">
              <a16:creationId xmlns:a16="http://schemas.microsoft.com/office/drawing/2014/main" id="{00000000-0008-0000-0D00-0000440A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29" name="Text Box 2">
          <a:extLst>
            <a:ext uri="{FF2B5EF4-FFF2-40B4-BE49-F238E27FC236}">
              <a16:creationId xmlns:a16="http://schemas.microsoft.com/office/drawing/2014/main" id="{00000000-0008-0000-0D00-0000450A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30" name="Text Box 2">
          <a:extLst>
            <a:ext uri="{FF2B5EF4-FFF2-40B4-BE49-F238E27FC236}">
              <a16:creationId xmlns:a16="http://schemas.microsoft.com/office/drawing/2014/main" id="{00000000-0008-0000-0D00-0000460A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31" name="Text Box 2">
          <a:extLst>
            <a:ext uri="{FF2B5EF4-FFF2-40B4-BE49-F238E27FC236}">
              <a16:creationId xmlns:a16="http://schemas.microsoft.com/office/drawing/2014/main" id="{00000000-0008-0000-0D00-0000470A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32" name="Text Box 2">
          <a:extLst>
            <a:ext uri="{FF2B5EF4-FFF2-40B4-BE49-F238E27FC236}">
              <a16:creationId xmlns:a16="http://schemas.microsoft.com/office/drawing/2014/main" id="{00000000-0008-0000-0D00-0000480A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33" name="Text Box 2">
          <a:extLst>
            <a:ext uri="{FF2B5EF4-FFF2-40B4-BE49-F238E27FC236}">
              <a16:creationId xmlns:a16="http://schemas.microsoft.com/office/drawing/2014/main" id="{00000000-0008-0000-0D00-0000490A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34" name="Text Box 2">
          <a:extLst>
            <a:ext uri="{FF2B5EF4-FFF2-40B4-BE49-F238E27FC236}">
              <a16:creationId xmlns:a16="http://schemas.microsoft.com/office/drawing/2014/main" id="{00000000-0008-0000-0D00-00004A0A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35" name="Text Box 2">
          <a:extLst>
            <a:ext uri="{FF2B5EF4-FFF2-40B4-BE49-F238E27FC236}">
              <a16:creationId xmlns:a16="http://schemas.microsoft.com/office/drawing/2014/main" id="{00000000-0008-0000-0D00-00004B0A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636" name="Text Box 2">
          <a:extLst>
            <a:ext uri="{FF2B5EF4-FFF2-40B4-BE49-F238E27FC236}">
              <a16:creationId xmlns:a16="http://schemas.microsoft.com/office/drawing/2014/main" id="{00000000-0008-0000-0D00-00004C0A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37" name="Text Box 2">
          <a:extLst>
            <a:ext uri="{FF2B5EF4-FFF2-40B4-BE49-F238E27FC236}">
              <a16:creationId xmlns:a16="http://schemas.microsoft.com/office/drawing/2014/main" id="{00000000-0008-0000-0D00-00004D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38" name="Text Box 2">
          <a:extLst>
            <a:ext uri="{FF2B5EF4-FFF2-40B4-BE49-F238E27FC236}">
              <a16:creationId xmlns:a16="http://schemas.microsoft.com/office/drawing/2014/main" id="{00000000-0008-0000-0D00-00004E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39" name="Text Box 2">
          <a:extLst>
            <a:ext uri="{FF2B5EF4-FFF2-40B4-BE49-F238E27FC236}">
              <a16:creationId xmlns:a16="http://schemas.microsoft.com/office/drawing/2014/main" id="{00000000-0008-0000-0D00-00004F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40" name="Text Box 2">
          <a:extLst>
            <a:ext uri="{FF2B5EF4-FFF2-40B4-BE49-F238E27FC236}">
              <a16:creationId xmlns:a16="http://schemas.microsoft.com/office/drawing/2014/main" id="{00000000-0008-0000-0D00-000050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41" name="Text Box 2">
          <a:extLst>
            <a:ext uri="{FF2B5EF4-FFF2-40B4-BE49-F238E27FC236}">
              <a16:creationId xmlns:a16="http://schemas.microsoft.com/office/drawing/2014/main" id="{00000000-0008-0000-0D00-000051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42" name="Text Box 2">
          <a:extLst>
            <a:ext uri="{FF2B5EF4-FFF2-40B4-BE49-F238E27FC236}">
              <a16:creationId xmlns:a16="http://schemas.microsoft.com/office/drawing/2014/main" id="{00000000-0008-0000-0D00-000052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43" name="Text Box 2">
          <a:extLst>
            <a:ext uri="{FF2B5EF4-FFF2-40B4-BE49-F238E27FC236}">
              <a16:creationId xmlns:a16="http://schemas.microsoft.com/office/drawing/2014/main" id="{00000000-0008-0000-0D00-000053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44" name="Text Box 2">
          <a:extLst>
            <a:ext uri="{FF2B5EF4-FFF2-40B4-BE49-F238E27FC236}">
              <a16:creationId xmlns:a16="http://schemas.microsoft.com/office/drawing/2014/main" id="{00000000-0008-0000-0D00-000054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45" name="Text Box 2">
          <a:extLst>
            <a:ext uri="{FF2B5EF4-FFF2-40B4-BE49-F238E27FC236}">
              <a16:creationId xmlns:a16="http://schemas.microsoft.com/office/drawing/2014/main" id="{00000000-0008-0000-0D00-000055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46" name="Text Box 2">
          <a:extLst>
            <a:ext uri="{FF2B5EF4-FFF2-40B4-BE49-F238E27FC236}">
              <a16:creationId xmlns:a16="http://schemas.microsoft.com/office/drawing/2014/main" id="{00000000-0008-0000-0D00-000056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47" name="Text Box 2">
          <a:extLst>
            <a:ext uri="{FF2B5EF4-FFF2-40B4-BE49-F238E27FC236}">
              <a16:creationId xmlns:a16="http://schemas.microsoft.com/office/drawing/2014/main" id="{00000000-0008-0000-0D00-000057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48" name="Text Box 2">
          <a:extLst>
            <a:ext uri="{FF2B5EF4-FFF2-40B4-BE49-F238E27FC236}">
              <a16:creationId xmlns:a16="http://schemas.microsoft.com/office/drawing/2014/main" id="{00000000-0008-0000-0D00-000058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49" name="Text Box 2">
          <a:extLst>
            <a:ext uri="{FF2B5EF4-FFF2-40B4-BE49-F238E27FC236}">
              <a16:creationId xmlns:a16="http://schemas.microsoft.com/office/drawing/2014/main" id="{00000000-0008-0000-0D00-000059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50" name="Text Box 2">
          <a:extLst>
            <a:ext uri="{FF2B5EF4-FFF2-40B4-BE49-F238E27FC236}">
              <a16:creationId xmlns:a16="http://schemas.microsoft.com/office/drawing/2014/main" id="{00000000-0008-0000-0D00-00005A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51" name="Text Box 2">
          <a:extLst>
            <a:ext uri="{FF2B5EF4-FFF2-40B4-BE49-F238E27FC236}">
              <a16:creationId xmlns:a16="http://schemas.microsoft.com/office/drawing/2014/main" id="{00000000-0008-0000-0D00-00005B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52" name="Text Box 2">
          <a:extLst>
            <a:ext uri="{FF2B5EF4-FFF2-40B4-BE49-F238E27FC236}">
              <a16:creationId xmlns:a16="http://schemas.microsoft.com/office/drawing/2014/main" id="{00000000-0008-0000-0D00-00005C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53" name="Text Box 2">
          <a:extLst>
            <a:ext uri="{FF2B5EF4-FFF2-40B4-BE49-F238E27FC236}">
              <a16:creationId xmlns:a16="http://schemas.microsoft.com/office/drawing/2014/main" id="{00000000-0008-0000-0D00-00005D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54" name="Text Box 2">
          <a:extLst>
            <a:ext uri="{FF2B5EF4-FFF2-40B4-BE49-F238E27FC236}">
              <a16:creationId xmlns:a16="http://schemas.microsoft.com/office/drawing/2014/main" id="{00000000-0008-0000-0D00-00005E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55" name="Text Box 2">
          <a:extLst>
            <a:ext uri="{FF2B5EF4-FFF2-40B4-BE49-F238E27FC236}">
              <a16:creationId xmlns:a16="http://schemas.microsoft.com/office/drawing/2014/main" id="{00000000-0008-0000-0D00-00005F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56" name="Text Box 2">
          <a:extLst>
            <a:ext uri="{FF2B5EF4-FFF2-40B4-BE49-F238E27FC236}">
              <a16:creationId xmlns:a16="http://schemas.microsoft.com/office/drawing/2014/main" id="{00000000-0008-0000-0D00-000060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57" name="Text Box 2">
          <a:extLst>
            <a:ext uri="{FF2B5EF4-FFF2-40B4-BE49-F238E27FC236}">
              <a16:creationId xmlns:a16="http://schemas.microsoft.com/office/drawing/2014/main" id="{00000000-0008-0000-0D00-000061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58" name="Text Box 2">
          <a:extLst>
            <a:ext uri="{FF2B5EF4-FFF2-40B4-BE49-F238E27FC236}">
              <a16:creationId xmlns:a16="http://schemas.microsoft.com/office/drawing/2014/main" id="{00000000-0008-0000-0D00-000062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59" name="Text Box 2">
          <a:extLst>
            <a:ext uri="{FF2B5EF4-FFF2-40B4-BE49-F238E27FC236}">
              <a16:creationId xmlns:a16="http://schemas.microsoft.com/office/drawing/2014/main" id="{00000000-0008-0000-0D00-000063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60" name="Text Box 2">
          <a:extLst>
            <a:ext uri="{FF2B5EF4-FFF2-40B4-BE49-F238E27FC236}">
              <a16:creationId xmlns:a16="http://schemas.microsoft.com/office/drawing/2014/main" id="{00000000-0008-0000-0D00-000064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61" name="Text Box 2">
          <a:extLst>
            <a:ext uri="{FF2B5EF4-FFF2-40B4-BE49-F238E27FC236}">
              <a16:creationId xmlns:a16="http://schemas.microsoft.com/office/drawing/2014/main" id="{00000000-0008-0000-0D00-000065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62" name="Text Box 2">
          <a:extLst>
            <a:ext uri="{FF2B5EF4-FFF2-40B4-BE49-F238E27FC236}">
              <a16:creationId xmlns:a16="http://schemas.microsoft.com/office/drawing/2014/main" id="{00000000-0008-0000-0D00-000066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63" name="Text Box 2">
          <a:extLst>
            <a:ext uri="{FF2B5EF4-FFF2-40B4-BE49-F238E27FC236}">
              <a16:creationId xmlns:a16="http://schemas.microsoft.com/office/drawing/2014/main" id="{00000000-0008-0000-0D00-000067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64" name="Text Box 2">
          <a:extLst>
            <a:ext uri="{FF2B5EF4-FFF2-40B4-BE49-F238E27FC236}">
              <a16:creationId xmlns:a16="http://schemas.microsoft.com/office/drawing/2014/main" id="{00000000-0008-0000-0D00-000068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65" name="Text Box 2">
          <a:extLst>
            <a:ext uri="{FF2B5EF4-FFF2-40B4-BE49-F238E27FC236}">
              <a16:creationId xmlns:a16="http://schemas.microsoft.com/office/drawing/2014/main" id="{00000000-0008-0000-0D00-000069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66" name="Text Box 2">
          <a:extLst>
            <a:ext uri="{FF2B5EF4-FFF2-40B4-BE49-F238E27FC236}">
              <a16:creationId xmlns:a16="http://schemas.microsoft.com/office/drawing/2014/main" id="{00000000-0008-0000-0D00-00006A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67" name="Text Box 2">
          <a:extLst>
            <a:ext uri="{FF2B5EF4-FFF2-40B4-BE49-F238E27FC236}">
              <a16:creationId xmlns:a16="http://schemas.microsoft.com/office/drawing/2014/main" id="{00000000-0008-0000-0D00-00006B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68" name="Text Box 2">
          <a:extLst>
            <a:ext uri="{FF2B5EF4-FFF2-40B4-BE49-F238E27FC236}">
              <a16:creationId xmlns:a16="http://schemas.microsoft.com/office/drawing/2014/main" id="{00000000-0008-0000-0D00-00006C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69" name="Text Box 2">
          <a:extLst>
            <a:ext uri="{FF2B5EF4-FFF2-40B4-BE49-F238E27FC236}">
              <a16:creationId xmlns:a16="http://schemas.microsoft.com/office/drawing/2014/main" id="{00000000-0008-0000-0D00-00006D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70" name="Text Box 2">
          <a:extLst>
            <a:ext uri="{FF2B5EF4-FFF2-40B4-BE49-F238E27FC236}">
              <a16:creationId xmlns:a16="http://schemas.microsoft.com/office/drawing/2014/main" id="{00000000-0008-0000-0D00-00006E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71" name="Text Box 2">
          <a:extLst>
            <a:ext uri="{FF2B5EF4-FFF2-40B4-BE49-F238E27FC236}">
              <a16:creationId xmlns:a16="http://schemas.microsoft.com/office/drawing/2014/main" id="{00000000-0008-0000-0D00-00006F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72" name="Text Box 2">
          <a:extLst>
            <a:ext uri="{FF2B5EF4-FFF2-40B4-BE49-F238E27FC236}">
              <a16:creationId xmlns:a16="http://schemas.microsoft.com/office/drawing/2014/main" id="{00000000-0008-0000-0D00-000070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73" name="Text Box 2">
          <a:extLst>
            <a:ext uri="{FF2B5EF4-FFF2-40B4-BE49-F238E27FC236}">
              <a16:creationId xmlns:a16="http://schemas.microsoft.com/office/drawing/2014/main" id="{00000000-0008-0000-0D00-000071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74" name="Text Box 2">
          <a:extLst>
            <a:ext uri="{FF2B5EF4-FFF2-40B4-BE49-F238E27FC236}">
              <a16:creationId xmlns:a16="http://schemas.microsoft.com/office/drawing/2014/main" id="{00000000-0008-0000-0D00-000072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75" name="Text Box 2">
          <a:extLst>
            <a:ext uri="{FF2B5EF4-FFF2-40B4-BE49-F238E27FC236}">
              <a16:creationId xmlns:a16="http://schemas.microsoft.com/office/drawing/2014/main" id="{00000000-0008-0000-0D00-000073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76" name="Text Box 2">
          <a:extLst>
            <a:ext uri="{FF2B5EF4-FFF2-40B4-BE49-F238E27FC236}">
              <a16:creationId xmlns:a16="http://schemas.microsoft.com/office/drawing/2014/main" id="{00000000-0008-0000-0D00-000074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77" name="Text Box 2">
          <a:extLst>
            <a:ext uri="{FF2B5EF4-FFF2-40B4-BE49-F238E27FC236}">
              <a16:creationId xmlns:a16="http://schemas.microsoft.com/office/drawing/2014/main" id="{00000000-0008-0000-0D00-000075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78" name="Text Box 2">
          <a:extLst>
            <a:ext uri="{FF2B5EF4-FFF2-40B4-BE49-F238E27FC236}">
              <a16:creationId xmlns:a16="http://schemas.microsoft.com/office/drawing/2014/main" id="{00000000-0008-0000-0D00-000076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79" name="Text Box 2">
          <a:extLst>
            <a:ext uri="{FF2B5EF4-FFF2-40B4-BE49-F238E27FC236}">
              <a16:creationId xmlns:a16="http://schemas.microsoft.com/office/drawing/2014/main" id="{00000000-0008-0000-0D00-000077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80" name="Text Box 2">
          <a:extLst>
            <a:ext uri="{FF2B5EF4-FFF2-40B4-BE49-F238E27FC236}">
              <a16:creationId xmlns:a16="http://schemas.microsoft.com/office/drawing/2014/main" id="{00000000-0008-0000-0D00-000078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81" name="Text Box 2">
          <a:extLst>
            <a:ext uri="{FF2B5EF4-FFF2-40B4-BE49-F238E27FC236}">
              <a16:creationId xmlns:a16="http://schemas.microsoft.com/office/drawing/2014/main" id="{00000000-0008-0000-0D00-000079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82" name="Text Box 2">
          <a:extLst>
            <a:ext uri="{FF2B5EF4-FFF2-40B4-BE49-F238E27FC236}">
              <a16:creationId xmlns:a16="http://schemas.microsoft.com/office/drawing/2014/main" id="{00000000-0008-0000-0D00-00007A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83" name="Text Box 2">
          <a:extLst>
            <a:ext uri="{FF2B5EF4-FFF2-40B4-BE49-F238E27FC236}">
              <a16:creationId xmlns:a16="http://schemas.microsoft.com/office/drawing/2014/main" id="{00000000-0008-0000-0D00-00007B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84" name="Text Box 2">
          <a:extLst>
            <a:ext uri="{FF2B5EF4-FFF2-40B4-BE49-F238E27FC236}">
              <a16:creationId xmlns:a16="http://schemas.microsoft.com/office/drawing/2014/main" id="{00000000-0008-0000-0D00-00007C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85" name="Text Box 2">
          <a:extLst>
            <a:ext uri="{FF2B5EF4-FFF2-40B4-BE49-F238E27FC236}">
              <a16:creationId xmlns:a16="http://schemas.microsoft.com/office/drawing/2014/main" id="{00000000-0008-0000-0D00-00007D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86" name="Text Box 2">
          <a:extLst>
            <a:ext uri="{FF2B5EF4-FFF2-40B4-BE49-F238E27FC236}">
              <a16:creationId xmlns:a16="http://schemas.microsoft.com/office/drawing/2014/main" id="{00000000-0008-0000-0D00-00007E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87" name="Text Box 2">
          <a:extLst>
            <a:ext uri="{FF2B5EF4-FFF2-40B4-BE49-F238E27FC236}">
              <a16:creationId xmlns:a16="http://schemas.microsoft.com/office/drawing/2014/main" id="{00000000-0008-0000-0D00-00007F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88" name="Text Box 2">
          <a:extLst>
            <a:ext uri="{FF2B5EF4-FFF2-40B4-BE49-F238E27FC236}">
              <a16:creationId xmlns:a16="http://schemas.microsoft.com/office/drawing/2014/main" id="{00000000-0008-0000-0D00-000080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89" name="Text Box 2">
          <a:extLst>
            <a:ext uri="{FF2B5EF4-FFF2-40B4-BE49-F238E27FC236}">
              <a16:creationId xmlns:a16="http://schemas.microsoft.com/office/drawing/2014/main" id="{00000000-0008-0000-0D00-000081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90" name="Text Box 2">
          <a:extLst>
            <a:ext uri="{FF2B5EF4-FFF2-40B4-BE49-F238E27FC236}">
              <a16:creationId xmlns:a16="http://schemas.microsoft.com/office/drawing/2014/main" id="{00000000-0008-0000-0D00-000082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91" name="Text Box 2">
          <a:extLst>
            <a:ext uri="{FF2B5EF4-FFF2-40B4-BE49-F238E27FC236}">
              <a16:creationId xmlns:a16="http://schemas.microsoft.com/office/drawing/2014/main" id="{00000000-0008-0000-0D00-000083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92" name="Text Box 2">
          <a:extLst>
            <a:ext uri="{FF2B5EF4-FFF2-40B4-BE49-F238E27FC236}">
              <a16:creationId xmlns:a16="http://schemas.microsoft.com/office/drawing/2014/main" id="{00000000-0008-0000-0D00-000084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93" name="Text Box 2">
          <a:extLst>
            <a:ext uri="{FF2B5EF4-FFF2-40B4-BE49-F238E27FC236}">
              <a16:creationId xmlns:a16="http://schemas.microsoft.com/office/drawing/2014/main" id="{00000000-0008-0000-0D00-000085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94" name="Text Box 2">
          <a:extLst>
            <a:ext uri="{FF2B5EF4-FFF2-40B4-BE49-F238E27FC236}">
              <a16:creationId xmlns:a16="http://schemas.microsoft.com/office/drawing/2014/main" id="{00000000-0008-0000-0D00-000086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95" name="Text Box 2">
          <a:extLst>
            <a:ext uri="{FF2B5EF4-FFF2-40B4-BE49-F238E27FC236}">
              <a16:creationId xmlns:a16="http://schemas.microsoft.com/office/drawing/2014/main" id="{00000000-0008-0000-0D00-000087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96" name="Text Box 2">
          <a:extLst>
            <a:ext uri="{FF2B5EF4-FFF2-40B4-BE49-F238E27FC236}">
              <a16:creationId xmlns:a16="http://schemas.microsoft.com/office/drawing/2014/main" id="{00000000-0008-0000-0D00-000088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97" name="Text Box 2">
          <a:extLst>
            <a:ext uri="{FF2B5EF4-FFF2-40B4-BE49-F238E27FC236}">
              <a16:creationId xmlns:a16="http://schemas.microsoft.com/office/drawing/2014/main" id="{00000000-0008-0000-0D00-000089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98" name="Text Box 2">
          <a:extLst>
            <a:ext uri="{FF2B5EF4-FFF2-40B4-BE49-F238E27FC236}">
              <a16:creationId xmlns:a16="http://schemas.microsoft.com/office/drawing/2014/main" id="{00000000-0008-0000-0D00-00008A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699" name="Text Box 2">
          <a:extLst>
            <a:ext uri="{FF2B5EF4-FFF2-40B4-BE49-F238E27FC236}">
              <a16:creationId xmlns:a16="http://schemas.microsoft.com/office/drawing/2014/main" id="{00000000-0008-0000-0D00-00008B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00" name="Text Box 2">
          <a:extLst>
            <a:ext uri="{FF2B5EF4-FFF2-40B4-BE49-F238E27FC236}">
              <a16:creationId xmlns:a16="http://schemas.microsoft.com/office/drawing/2014/main" id="{00000000-0008-0000-0D00-00008C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01" name="Text Box 2">
          <a:extLst>
            <a:ext uri="{FF2B5EF4-FFF2-40B4-BE49-F238E27FC236}">
              <a16:creationId xmlns:a16="http://schemas.microsoft.com/office/drawing/2014/main" id="{00000000-0008-0000-0D00-00008D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02" name="Text Box 2">
          <a:extLst>
            <a:ext uri="{FF2B5EF4-FFF2-40B4-BE49-F238E27FC236}">
              <a16:creationId xmlns:a16="http://schemas.microsoft.com/office/drawing/2014/main" id="{00000000-0008-0000-0D00-00008E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03" name="Text Box 2">
          <a:extLst>
            <a:ext uri="{FF2B5EF4-FFF2-40B4-BE49-F238E27FC236}">
              <a16:creationId xmlns:a16="http://schemas.microsoft.com/office/drawing/2014/main" id="{00000000-0008-0000-0D00-00008F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04" name="Text Box 2">
          <a:extLst>
            <a:ext uri="{FF2B5EF4-FFF2-40B4-BE49-F238E27FC236}">
              <a16:creationId xmlns:a16="http://schemas.microsoft.com/office/drawing/2014/main" id="{00000000-0008-0000-0D00-000090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05" name="Text Box 2">
          <a:extLst>
            <a:ext uri="{FF2B5EF4-FFF2-40B4-BE49-F238E27FC236}">
              <a16:creationId xmlns:a16="http://schemas.microsoft.com/office/drawing/2014/main" id="{00000000-0008-0000-0D00-000091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06" name="Text Box 2">
          <a:extLst>
            <a:ext uri="{FF2B5EF4-FFF2-40B4-BE49-F238E27FC236}">
              <a16:creationId xmlns:a16="http://schemas.microsoft.com/office/drawing/2014/main" id="{00000000-0008-0000-0D00-000092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07" name="Text Box 2">
          <a:extLst>
            <a:ext uri="{FF2B5EF4-FFF2-40B4-BE49-F238E27FC236}">
              <a16:creationId xmlns:a16="http://schemas.microsoft.com/office/drawing/2014/main" id="{00000000-0008-0000-0D00-000093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08" name="Text Box 2">
          <a:extLst>
            <a:ext uri="{FF2B5EF4-FFF2-40B4-BE49-F238E27FC236}">
              <a16:creationId xmlns:a16="http://schemas.microsoft.com/office/drawing/2014/main" id="{00000000-0008-0000-0D00-000094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09" name="Text Box 2">
          <a:extLst>
            <a:ext uri="{FF2B5EF4-FFF2-40B4-BE49-F238E27FC236}">
              <a16:creationId xmlns:a16="http://schemas.microsoft.com/office/drawing/2014/main" id="{00000000-0008-0000-0D00-000095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10" name="Text Box 2">
          <a:extLst>
            <a:ext uri="{FF2B5EF4-FFF2-40B4-BE49-F238E27FC236}">
              <a16:creationId xmlns:a16="http://schemas.microsoft.com/office/drawing/2014/main" id="{00000000-0008-0000-0D00-000096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11" name="Text Box 2">
          <a:extLst>
            <a:ext uri="{FF2B5EF4-FFF2-40B4-BE49-F238E27FC236}">
              <a16:creationId xmlns:a16="http://schemas.microsoft.com/office/drawing/2014/main" id="{00000000-0008-0000-0D00-000097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12" name="Text Box 2">
          <a:extLst>
            <a:ext uri="{FF2B5EF4-FFF2-40B4-BE49-F238E27FC236}">
              <a16:creationId xmlns:a16="http://schemas.microsoft.com/office/drawing/2014/main" id="{00000000-0008-0000-0D00-000098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13" name="Text Box 2">
          <a:extLst>
            <a:ext uri="{FF2B5EF4-FFF2-40B4-BE49-F238E27FC236}">
              <a16:creationId xmlns:a16="http://schemas.microsoft.com/office/drawing/2014/main" id="{00000000-0008-0000-0D00-000099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14" name="Text Box 2">
          <a:extLst>
            <a:ext uri="{FF2B5EF4-FFF2-40B4-BE49-F238E27FC236}">
              <a16:creationId xmlns:a16="http://schemas.microsoft.com/office/drawing/2014/main" id="{00000000-0008-0000-0D00-00009A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15" name="Text Box 2">
          <a:extLst>
            <a:ext uri="{FF2B5EF4-FFF2-40B4-BE49-F238E27FC236}">
              <a16:creationId xmlns:a16="http://schemas.microsoft.com/office/drawing/2014/main" id="{00000000-0008-0000-0D00-00009B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16" name="Text Box 2">
          <a:extLst>
            <a:ext uri="{FF2B5EF4-FFF2-40B4-BE49-F238E27FC236}">
              <a16:creationId xmlns:a16="http://schemas.microsoft.com/office/drawing/2014/main" id="{00000000-0008-0000-0D00-00009C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17" name="Text Box 2">
          <a:extLst>
            <a:ext uri="{FF2B5EF4-FFF2-40B4-BE49-F238E27FC236}">
              <a16:creationId xmlns:a16="http://schemas.microsoft.com/office/drawing/2014/main" id="{00000000-0008-0000-0D00-00009D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18" name="Text Box 2">
          <a:extLst>
            <a:ext uri="{FF2B5EF4-FFF2-40B4-BE49-F238E27FC236}">
              <a16:creationId xmlns:a16="http://schemas.microsoft.com/office/drawing/2014/main" id="{00000000-0008-0000-0D00-00009E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19" name="Text Box 2">
          <a:extLst>
            <a:ext uri="{FF2B5EF4-FFF2-40B4-BE49-F238E27FC236}">
              <a16:creationId xmlns:a16="http://schemas.microsoft.com/office/drawing/2014/main" id="{00000000-0008-0000-0D00-00009F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20" name="Text Box 2">
          <a:extLst>
            <a:ext uri="{FF2B5EF4-FFF2-40B4-BE49-F238E27FC236}">
              <a16:creationId xmlns:a16="http://schemas.microsoft.com/office/drawing/2014/main" id="{00000000-0008-0000-0D00-0000A0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21" name="Text Box 2">
          <a:extLst>
            <a:ext uri="{FF2B5EF4-FFF2-40B4-BE49-F238E27FC236}">
              <a16:creationId xmlns:a16="http://schemas.microsoft.com/office/drawing/2014/main" id="{00000000-0008-0000-0D00-0000A1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22" name="Text Box 2">
          <a:extLst>
            <a:ext uri="{FF2B5EF4-FFF2-40B4-BE49-F238E27FC236}">
              <a16:creationId xmlns:a16="http://schemas.microsoft.com/office/drawing/2014/main" id="{00000000-0008-0000-0D00-0000A2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23" name="Text Box 2">
          <a:extLst>
            <a:ext uri="{FF2B5EF4-FFF2-40B4-BE49-F238E27FC236}">
              <a16:creationId xmlns:a16="http://schemas.microsoft.com/office/drawing/2014/main" id="{00000000-0008-0000-0D00-0000A3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724" name="Text Box 2">
          <a:extLst>
            <a:ext uri="{FF2B5EF4-FFF2-40B4-BE49-F238E27FC236}">
              <a16:creationId xmlns:a16="http://schemas.microsoft.com/office/drawing/2014/main" id="{00000000-0008-0000-0D00-0000A40A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25" name="Text Box 2">
          <a:extLst>
            <a:ext uri="{FF2B5EF4-FFF2-40B4-BE49-F238E27FC236}">
              <a16:creationId xmlns:a16="http://schemas.microsoft.com/office/drawing/2014/main" id="{00000000-0008-0000-0D00-0000A5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26" name="Text Box 2">
          <a:extLst>
            <a:ext uri="{FF2B5EF4-FFF2-40B4-BE49-F238E27FC236}">
              <a16:creationId xmlns:a16="http://schemas.microsoft.com/office/drawing/2014/main" id="{00000000-0008-0000-0D00-0000A6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27" name="Text Box 2">
          <a:extLst>
            <a:ext uri="{FF2B5EF4-FFF2-40B4-BE49-F238E27FC236}">
              <a16:creationId xmlns:a16="http://schemas.microsoft.com/office/drawing/2014/main" id="{00000000-0008-0000-0D00-0000A7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28" name="Text Box 2">
          <a:extLst>
            <a:ext uri="{FF2B5EF4-FFF2-40B4-BE49-F238E27FC236}">
              <a16:creationId xmlns:a16="http://schemas.microsoft.com/office/drawing/2014/main" id="{00000000-0008-0000-0D00-0000A8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29" name="Text Box 2">
          <a:extLst>
            <a:ext uri="{FF2B5EF4-FFF2-40B4-BE49-F238E27FC236}">
              <a16:creationId xmlns:a16="http://schemas.microsoft.com/office/drawing/2014/main" id="{00000000-0008-0000-0D00-0000A9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30" name="Text Box 2">
          <a:extLst>
            <a:ext uri="{FF2B5EF4-FFF2-40B4-BE49-F238E27FC236}">
              <a16:creationId xmlns:a16="http://schemas.microsoft.com/office/drawing/2014/main" id="{00000000-0008-0000-0D00-0000AA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31" name="Text Box 2">
          <a:extLst>
            <a:ext uri="{FF2B5EF4-FFF2-40B4-BE49-F238E27FC236}">
              <a16:creationId xmlns:a16="http://schemas.microsoft.com/office/drawing/2014/main" id="{00000000-0008-0000-0D00-0000AB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32" name="Text Box 2">
          <a:extLst>
            <a:ext uri="{FF2B5EF4-FFF2-40B4-BE49-F238E27FC236}">
              <a16:creationId xmlns:a16="http://schemas.microsoft.com/office/drawing/2014/main" id="{00000000-0008-0000-0D00-0000AC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33" name="Text Box 2">
          <a:extLst>
            <a:ext uri="{FF2B5EF4-FFF2-40B4-BE49-F238E27FC236}">
              <a16:creationId xmlns:a16="http://schemas.microsoft.com/office/drawing/2014/main" id="{00000000-0008-0000-0D00-0000AD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34" name="Text Box 2">
          <a:extLst>
            <a:ext uri="{FF2B5EF4-FFF2-40B4-BE49-F238E27FC236}">
              <a16:creationId xmlns:a16="http://schemas.microsoft.com/office/drawing/2014/main" id="{00000000-0008-0000-0D00-0000AE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35" name="Text Box 2">
          <a:extLst>
            <a:ext uri="{FF2B5EF4-FFF2-40B4-BE49-F238E27FC236}">
              <a16:creationId xmlns:a16="http://schemas.microsoft.com/office/drawing/2014/main" id="{00000000-0008-0000-0D00-0000AF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36" name="Text Box 2">
          <a:extLst>
            <a:ext uri="{FF2B5EF4-FFF2-40B4-BE49-F238E27FC236}">
              <a16:creationId xmlns:a16="http://schemas.microsoft.com/office/drawing/2014/main" id="{00000000-0008-0000-0D00-0000B0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37" name="Text Box 2">
          <a:extLst>
            <a:ext uri="{FF2B5EF4-FFF2-40B4-BE49-F238E27FC236}">
              <a16:creationId xmlns:a16="http://schemas.microsoft.com/office/drawing/2014/main" id="{00000000-0008-0000-0D00-0000B1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38" name="Text Box 2">
          <a:extLst>
            <a:ext uri="{FF2B5EF4-FFF2-40B4-BE49-F238E27FC236}">
              <a16:creationId xmlns:a16="http://schemas.microsoft.com/office/drawing/2014/main" id="{00000000-0008-0000-0D00-0000B2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39" name="Text Box 2">
          <a:extLst>
            <a:ext uri="{FF2B5EF4-FFF2-40B4-BE49-F238E27FC236}">
              <a16:creationId xmlns:a16="http://schemas.microsoft.com/office/drawing/2014/main" id="{00000000-0008-0000-0D00-0000B3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40" name="Text Box 2">
          <a:extLst>
            <a:ext uri="{FF2B5EF4-FFF2-40B4-BE49-F238E27FC236}">
              <a16:creationId xmlns:a16="http://schemas.microsoft.com/office/drawing/2014/main" id="{00000000-0008-0000-0D00-0000B4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41" name="Text Box 2">
          <a:extLst>
            <a:ext uri="{FF2B5EF4-FFF2-40B4-BE49-F238E27FC236}">
              <a16:creationId xmlns:a16="http://schemas.microsoft.com/office/drawing/2014/main" id="{00000000-0008-0000-0D00-0000B5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42" name="Text Box 2">
          <a:extLst>
            <a:ext uri="{FF2B5EF4-FFF2-40B4-BE49-F238E27FC236}">
              <a16:creationId xmlns:a16="http://schemas.microsoft.com/office/drawing/2014/main" id="{00000000-0008-0000-0D00-0000B6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43" name="Text Box 2">
          <a:extLst>
            <a:ext uri="{FF2B5EF4-FFF2-40B4-BE49-F238E27FC236}">
              <a16:creationId xmlns:a16="http://schemas.microsoft.com/office/drawing/2014/main" id="{00000000-0008-0000-0D00-0000B7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44" name="Text Box 2">
          <a:extLst>
            <a:ext uri="{FF2B5EF4-FFF2-40B4-BE49-F238E27FC236}">
              <a16:creationId xmlns:a16="http://schemas.microsoft.com/office/drawing/2014/main" id="{00000000-0008-0000-0D00-0000B8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45" name="Text Box 2">
          <a:extLst>
            <a:ext uri="{FF2B5EF4-FFF2-40B4-BE49-F238E27FC236}">
              <a16:creationId xmlns:a16="http://schemas.microsoft.com/office/drawing/2014/main" id="{00000000-0008-0000-0D00-0000B9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46" name="Text Box 2">
          <a:extLst>
            <a:ext uri="{FF2B5EF4-FFF2-40B4-BE49-F238E27FC236}">
              <a16:creationId xmlns:a16="http://schemas.microsoft.com/office/drawing/2014/main" id="{00000000-0008-0000-0D00-0000BA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47" name="Text Box 2">
          <a:extLst>
            <a:ext uri="{FF2B5EF4-FFF2-40B4-BE49-F238E27FC236}">
              <a16:creationId xmlns:a16="http://schemas.microsoft.com/office/drawing/2014/main" id="{00000000-0008-0000-0D00-0000BB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48" name="Text Box 2">
          <a:extLst>
            <a:ext uri="{FF2B5EF4-FFF2-40B4-BE49-F238E27FC236}">
              <a16:creationId xmlns:a16="http://schemas.microsoft.com/office/drawing/2014/main" id="{00000000-0008-0000-0D00-0000BC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49" name="Text Box 2">
          <a:extLst>
            <a:ext uri="{FF2B5EF4-FFF2-40B4-BE49-F238E27FC236}">
              <a16:creationId xmlns:a16="http://schemas.microsoft.com/office/drawing/2014/main" id="{00000000-0008-0000-0D00-0000BD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50" name="Text Box 2">
          <a:extLst>
            <a:ext uri="{FF2B5EF4-FFF2-40B4-BE49-F238E27FC236}">
              <a16:creationId xmlns:a16="http://schemas.microsoft.com/office/drawing/2014/main" id="{00000000-0008-0000-0D00-0000BE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51" name="Text Box 2">
          <a:extLst>
            <a:ext uri="{FF2B5EF4-FFF2-40B4-BE49-F238E27FC236}">
              <a16:creationId xmlns:a16="http://schemas.microsoft.com/office/drawing/2014/main" id="{00000000-0008-0000-0D00-0000BF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52" name="Text Box 2">
          <a:extLst>
            <a:ext uri="{FF2B5EF4-FFF2-40B4-BE49-F238E27FC236}">
              <a16:creationId xmlns:a16="http://schemas.microsoft.com/office/drawing/2014/main" id="{00000000-0008-0000-0D00-0000C0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53" name="Text Box 2">
          <a:extLst>
            <a:ext uri="{FF2B5EF4-FFF2-40B4-BE49-F238E27FC236}">
              <a16:creationId xmlns:a16="http://schemas.microsoft.com/office/drawing/2014/main" id="{00000000-0008-0000-0D00-0000C1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54" name="Text Box 2">
          <a:extLst>
            <a:ext uri="{FF2B5EF4-FFF2-40B4-BE49-F238E27FC236}">
              <a16:creationId xmlns:a16="http://schemas.microsoft.com/office/drawing/2014/main" id="{00000000-0008-0000-0D00-0000C2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55" name="Text Box 2">
          <a:extLst>
            <a:ext uri="{FF2B5EF4-FFF2-40B4-BE49-F238E27FC236}">
              <a16:creationId xmlns:a16="http://schemas.microsoft.com/office/drawing/2014/main" id="{00000000-0008-0000-0D00-0000C3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56" name="Text Box 2">
          <a:extLst>
            <a:ext uri="{FF2B5EF4-FFF2-40B4-BE49-F238E27FC236}">
              <a16:creationId xmlns:a16="http://schemas.microsoft.com/office/drawing/2014/main" id="{00000000-0008-0000-0D00-0000C4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57" name="Text Box 2">
          <a:extLst>
            <a:ext uri="{FF2B5EF4-FFF2-40B4-BE49-F238E27FC236}">
              <a16:creationId xmlns:a16="http://schemas.microsoft.com/office/drawing/2014/main" id="{00000000-0008-0000-0D00-0000C5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58" name="Text Box 2">
          <a:extLst>
            <a:ext uri="{FF2B5EF4-FFF2-40B4-BE49-F238E27FC236}">
              <a16:creationId xmlns:a16="http://schemas.microsoft.com/office/drawing/2014/main" id="{00000000-0008-0000-0D00-0000C6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59" name="Text Box 2">
          <a:extLst>
            <a:ext uri="{FF2B5EF4-FFF2-40B4-BE49-F238E27FC236}">
              <a16:creationId xmlns:a16="http://schemas.microsoft.com/office/drawing/2014/main" id="{00000000-0008-0000-0D00-0000C7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60" name="Text Box 2">
          <a:extLst>
            <a:ext uri="{FF2B5EF4-FFF2-40B4-BE49-F238E27FC236}">
              <a16:creationId xmlns:a16="http://schemas.microsoft.com/office/drawing/2014/main" id="{00000000-0008-0000-0D00-0000C8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61" name="Text Box 2">
          <a:extLst>
            <a:ext uri="{FF2B5EF4-FFF2-40B4-BE49-F238E27FC236}">
              <a16:creationId xmlns:a16="http://schemas.microsoft.com/office/drawing/2014/main" id="{00000000-0008-0000-0D00-0000C9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62" name="Text Box 2">
          <a:extLst>
            <a:ext uri="{FF2B5EF4-FFF2-40B4-BE49-F238E27FC236}">
              <a16:creationId xmlns:a16="http://schemas.microsoft.com/office/drawing/2014/main" id="{00000000-0008-0000-0D00-0000CA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63" name="Text Box 2">
          <a:extLst>
            <a:ext uri="{FF2B5EF4-FFF2-40B4-BE49-F238E27FC236}">
              <a16:creationId xmlns:a16="http://schemas.microsoft.com/office/drawing/2014/main" id="{00000000-0008-0000-0D00-0000CB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64" name="Text Box 2">
          <a:extLst>
            <a:ext uri="{FF2B5EF4-FFF2-40B4-BE49-F238E27FC236}">
              <a16:creationId xmlns:a16="http://schemas.microsoft.com/office/drawing/2014/main" id="{00000000-0008-0000-0D00-0000CC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65" name="Text Box 2">
          <a:extLst>
            <a:ext uri="{FF2B5EF4-FFF2-40B4-BE49-F238E27FC236}">
              <a16:creationId xmlns:a16="http://schemas.microsoft.com/office/drawing/2014/main" id="{00000000-0008-0000-0D00-0000CD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66" name="Text Box 2">
          <a:extLst>
            <a:ext uri="{FF2B5EF4-FFF2-40B4-BE49-F238E27FC236}">
              <a16:creationId xmlns:a16="http://schemas.microsoft.com/office/drawing/2014/main" id="{00000000-0008-0000-0D00-0000CE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67" name="Text Box 2">
          <a:extLst>
            <a:ext uri="{FF2B5EF4-FFF2-40B4-BE49-F238E27FC236}">
              <a16:creationId xmlns:a16="http://schemas.microsoft.com/office/drawing/2014/main" id="{00000000-0008-0000-0D00-0000CF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68" name="Text Box 2">
          <a:extLst>
            <a:ext uri="{FF2B5EF4-FFF2-40B4-BE49-F238E27FC236}">
              <a16:creationId xmlns:a16="http://schemas.microsoft.com/office/drawing/2014/main" id="{00000000-0008-0000-0D00-0000D0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69" name="Text Box 2">
          <a:extLst>
            <a:ext uri="{FF2B5EF4-FFF2-40B4-BE49-F238E27FC236}">
              <a16:creationId xmlns:a16="http://schemas.microsoft.com/office/drawing/2014/main" id="{00000000-0008-0000-0D00-0000D1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70" name="Text Box 2">
          <a:extLst>
            <a:ext uri="{FF2B5EF4-FFF2-40B4-BE49-F238E27FC236}">
              <a16:creationId xmlns:a16="http://schemas.microsoft.com/office/drawing/2014/main" id="{00000000-0008-0000-0D00-0000D2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71" name="Text Box 2">
          <a:extLst>
            <a:ext uri="{FF2B5EF4-FFF2-40B4-BE49-F238E27FC236}">
              <a16:creationId xmlns:a16="http://schemas.microsoft.com/office/drawing/2014/main" id="{00000000-0008-0000-0D00-0000D3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72" name="Text Box 2">
          <a:extLst>
            <a:ext uri="{FF2B5EF4-FFF2-40B4-BE49-F238E27FC236}">
              <a16:creationId xmlns:a16="http://schemas.microsoft.com/office/drawing/2014/main" id="{00000000-0008-0000-0D00-0000D4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73" name="Text Box 2">
          <a:extLst>
            <a:ext uri="{FF2B5EF4-FFF2-40B4-BE49-F238E27FC236}">
              <a16:creationId xmlns:a16="http://schemas.microsoft.com/office/drawing/2014/main" id="{00000000-0008-0000-0D00-0000D5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74" name="Text Box 2">
          <a:extLst>
            <a:ext uri="{FF2B5EF4-FFF2-40B4-BE49-F238E27FC236}">
              <a16:creationId xmlns:a16="http://schemas.microsoft.com/office/drawing/2014/main" id="{00000000-0008-0000-0D00-0000D6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75" name="Text Box 2">
          <a:extLst>
            <a:ext uri="{FF2B5EF4-FFF2-40B4-BE49-F238E27FC236}">
              <a16:creationId xmlns:a16="http://schemas.microsoft.com/office/drawing/2014/main" id="{00000000-0008-0000-0D00-0000D7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76" name="Text Box 2">
          <a:extLst>
            <a:ext uri="{FF2B5EF4-FFF2-40B4-BE49-F238E27FC236}">
              <a16:creationId xmlns:a16="http://schemas.microsoft.com/office/drawing/2014/main" id="{00000000-0008-0000-0D00-0000D8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77" name="Text Box 2">
          <a:extLst>
            <a:ext uri="{FF2B5EF4-FFF2-40B4-BE49-F238E27FC236}">
              <a16:creationId xmlns:a16="http://schemas.microsoft.com/office/drawing/2014/main" id="{00000000-0008-0000-0D00-0000D9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78" name="Text Box 2">
          <a:extLst>
            <a:ext uri="{FF2B5EF4-FFF2-40B4-BE49-F238E27FC236}">
              <a16:creationId xmlns:a16="http://schemas.microsoft.com/office/drawing/2014/main" id="{00000000-0008-0000-0D00-0000DA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79" name="Text Box 2">
          <a:extLst>
            <a:ext uri="{FF2B5EF4-FFF2-40B4-BE49-F238E27FC236}">
              <a16:creationId xmlns:a16="http://schemas.microsoft.com/office/drawing/2014/main" id="{00000000-0008-0000-0D00-0000DB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80" name="Text Box 2">
          <a:extLst>
            <a:ext uri="{FF2B5EF4-FFF2-40B4-BE49-F238E27FC236}">
              <a16:creationId xmlns:a16="http://schemas.microsoft.com/office/drawing/2014/main" id="{00000000-0008-0000-0D00-0000DC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81" name="Text Box 2">
          <a:extLst>
            <a:ext uri="{FF2B5EF4-FFF2-40B4-BE49-F238E27FC236}">
              <a16:creationId xmlns:a16="http://schemas.microsoft.com/office/drawing/2014/main" id="{00000000-0008-0000-0D00-0000DD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82" name="Text Box 2">
          <a:extLst>
            <a:ext uri="{FF2B5EF4-FFF2-40B4-BE49-F238E27FC236}">
              <a16:creationId xmlns:a16="http://schemas.microsoft.com/office/drawing/2014/main" id="{00000000-0008-0000-0D00-0000DE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9186</xdr:rowOff>
    </xdr:to>
    <xdr:sp macro="" textlink="">
      <xdr:nvSpPr>
        <xdr:cNvPr id="2783" name="Text Box 2">
          <a:extLst>
            <a:ext uri="{FF2B5EF4-FFF2-40B4-BE49-F238E27FC236}">
              <a16:creationId xmlns:a16="http://schemas.microsoft.com/office/drawing/2014/main" id="{00000000-0008-0000-0D00-0000DF0A0000}"/>
            </a:ext>
          </a:extLst>
        </xdr:cNvPr>
        <xdr:cNvSpPr txBox="1">
          <a:spLocks noChangeArrowheads="1"/>
        </xdr:cNvSpPr>
      </xdr:nvSpPr>
      <xdr:spPr bwMode="auto">
        <a:xfrm>
          <a:off x="44815125" y="36185475"/>
          <a:ext cx="6615" cy="36909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9186</xdr:rowOff>
    </xdr:to>
    <xdr:sp macro="" textlink="">
      <xdr:nvSpPr>
        <xdr:cNvPr id="2784" name="Text Box 2">
          <a:extLst>
            <a:ext uri="{FF2B5EF4-FFF2-40B4-BE49-F238E27FC236}">
              <a16:creationId xmlns:a16="http://schemas.microsoft.com/office/drawing/2014/main" id="{00000000-0008-0000-0D00-0000E00A0000}"/>
            </a:ext>
          </a:extLst>
        </xdr:cNvPr>
        <xdr:cNvSpPr txBox="1">
          <a:spLocks noChangeArrowheads="1"/>
        </xdr:cNvSpPr>
      </xdr:nvSpPr>
      <xdr:spPr bwMode="auto">
        <a:xfrm>
          <a:off x="44815125" y="36185475"/>
          <a:ext cx="6615" cy="36909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85" name="Text Box 2">
          <a:extLst>
            <a:ext uri="{FF2B5EF4-FFF2-40B4-BE49-F238E27FC236}">
              <a16:creationId xmlns:a16="http://schemas.microsoft.com/office/drawing/2014/main" id="{00000000-0008-0000-0D00-0000E1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86" name="Text Box 2">
          <a:extLst>
            <a:ext uri="{FF2B5EF4-FFF2-40B4-BE49-F238E27FC236}">
              <a16:creationId xmlns:a16="http://schemas.microsoft.com/office/drawing/2014/main" id="{00000000-0008-0000-0D00-0000E2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87" name="Text Box 2">
          <a:extLst>
            <a:ext uri="{FF2B5EF4-FFF2-40B4-BE49-F238E27FC236}">
              <a16:creationId xmlns:a16="http://schemas.microsoft.com/office/drawing/2014/main" id="{00000000-0008-0000-0D00-0000E3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88" name="Text Box 2">
          <a:extLst>
            <a:ext uri="{FF2B5EF4-FFF2-40B4-BE49-F238E27FC236}">
              <a16:creationId xmlns:a16="http://schemas.microsoft.com/office/drawing/2014/main" id="{00000000-0008-0000-0D00-0000E4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89" name="Text Box 2">
          <a:extLst>
            <a:ext uri="{FF2B5EF4-FFF2-40B4-BE49-F238E27FC236}">
              <a16:creationId xmlns:a16="http://schemas.microsoft.com/office/drawing/2014/main" id="{00000000-0008-0000-0D00-0000E5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90" name="Text Box 2">
          <a:extLst>
            <a:ext uri="{FF2B5EF4-FFF2-40B4-BE49-F238E27FC236}">
              <a16:creationId xmlns:a16="http://schemas.microsoft.com/office/drawing/2014/main" id="{00000000-0008-0000-0D00-0000E6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91" name="Text Box 2">
          <a:extLst>
            <a:ext uri="{FF2B5EF4-FFF2-40B4-BE49-F238E27FC236}">
              <a16:creationId xmlns:a16="http://schemas.microsoft.com/office/drawing/2014/main" id="{00000000-0008-0000-0D00-0000E7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92" name="Text Box 2">
          <a:extLst>
            <a:ext uri="{FF2B5EF4-FFF2-40B4-BE49-F238E27FC236}">
              <a16:creationId xmlns:a16="http://schemas.microsoft.com/office/drawing/2014/main" id="{00000000-0008-0000-0D00-0000E8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93" name="Text Box 2">
          <a:extLst>
            <a:ext uri="{FF2B5EF4-FFF2-40B4-BE49-F238E27FC236}">
              <a16:creationId xmlns:a16="http://schemas.microsoft.com/office/drawing/2014/main" id="{00000000-0008-0000-0D00-0000E9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94" name="Text Box 2">
          <a:extLst>
            <a:ext uri="{FF2B5EF4-FFF2-40B4-BE49-F238E27FC236}">
              <a16:creationId xmlns:a16="http://schemas.microsoft.com/office/drawing/2014/main" id="{00000000-0008-0000-0D00-0000EA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95" name="Text Box 2">
          <a:extLst>
            <a:ext uri="{FF2B5EF4-FFF2-40B4-BE49-F238E27FC236}">
              <a16:creationId xmlns:a16="http://schemas.microsoft.com/office/drawing/2014/main" id="{00000000-0008-0000-0D00-0000EB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96" name="Text Box 2">
          <a:extLst>
            <a:ext uri="{FF2B5EF4-FFF2-40B4-BE49-F238E27FC236}">
              <a16:creationId xmlns:a16="http://schemas.microsoft.com/office/drawing/2014/main" id="{00000000-0008-0000-0D00-0000EC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97" name="Text Box 2">
          <a:extLst>
            <a:ext uri="{FF2B5EF4-FFF2-40B4-BE49-F238E27FC236}">
              <a16:creationId xmlns:a16="http://schemas.microsoft.com/office/drawing/2014/main" id="{00000000-0008-0000-0D00-0000ED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98" name="Text Box 2">
          <a:extLst>
            <a:ext uri="{FF2B5EF4-FFF2-40B4-BE49-F238E27FC236}">
              <a16:creationId xmlns:a16="http://schemas.microsoft.com/office/drawing/2014/main" id="{00000000-0008-0000-0D00-0000EE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799" name="Text Box 2">
          <a:extLst>
            <a:ext uri="{FF2B5EF4-FFF2-40B4-BE49-F238E27FC236}">
              <a16:creationId xmlns:a16="http://schemas.microsoft.com/office/drawing/2014/main" id="{00000000-0008-0000-0D00-0000EF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00" name="Text Box 2">
          <a:extLst>
            <a:ext uri="{FF2B5EF4-FFF2-40B4-BE49-F238E27FC236}">
              <a16:creationId xmlns:a16="http://schemas.microsoft.com/office/drawing/2014/main" id="{00000000-0008-0000-0D00-0000F0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01" name="Text Box 2">
          <a:extLst>
            <a:ext uri="{FF2B5EF4-FFF2-40B4-BE49-F238E27FC236}">
              <a16:creationId xmlns:a16="http://schemas.microsoft.com/office/drawing/2014/main" id="{00000000-0008-0000-0D00-0000F1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02" name="Text Box 2">
          <a:extLst>
            <a:ext uri="{FF2B5EF4-FFF2-40B4-BE49-F238E27FC236}">
              <a16:creationId xmlns:a16="http://schemas.microsoft.com/office/drawing/2014/main" id="{00000000-0008-0000-0D00-0000F2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03" name="Text Box 2">
          <a:extLst>
            <a:ext uri="{FF2B5EF4-FFF2-40B4-BE49-F238E27FC236}">
              <a16:creationId xmlns:a16="http://schemas.microsoft.com/office/drawing/2014/main" id="{00000000-0008-0000-0D00-0000F3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04" name="Text Box 2">
          <a:extLst>
            <a:ext uri="{FF2B5EF4-FFF2-40B4-BE49-F238E27FC236}">
              <a16:creationId xmlns:a16="http://schemas.microsoft.com/office/drawing/2014/main" id="{00000000-0008-0000-0D00-0000F4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05" name="Text Box 2">
          <a:extLst>
            <a:ext uri="{FF2B5EF4-FFF2-40B4-BE49-F238E27FC236}">
              <a16:creationId xmlns:a16="http://schemas.microsoft.com/office/drawing/2014/main" id="{00000000-0008-0000-0D00-0000F5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06" name="Text Box 2">
          <a:extLst>
            <a:ext uri="{FF2B5EF4-FFF2-40B4-BE49-F238E27FC236}">
              <a16:creationId xmlns:a16="http://schemas.microsoft.com/office/drawing/2014/main" id="{00000000-0008-0000-0D00-0000F6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07" name="Text Box 2">
          <a:extLst>
            <a:ext uri="{FF2B5EF4-FFF2-40B4-BE49-F238E27FC236}">
              <a16:creationId xmlns:a16="http://schemas.microsoft.com/office/drawing/2014/main" id="{00000000-0008-0000-0D00-0000F7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08" name="Text Box 2">
          <a:extLst>
            <a:ext uri="{FF2B5EF4-FFF2-40B4-BE49-F238E27FC236}">
              <a16:creationId xmlns:a16="http://schemas.microsoft.com/office/drawing/2014/main" id="{00000000-0008-0000-0D00-0000F8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09" name="Text Box 2">
          <a:extLst>
            <a:ext uri="{FF2B5EF4-FFF2-40B4-BE49-F238E27FC236}">
              <a16:creationId xmlns:a16="http://schemas.microsoft.com/office/drawing/2014/main" id="{00000000-0008-0000-0D00-0000F9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10" name="Text Box 2">
          <a:extLst>
            <a:ext uri="{FF2B5EF4-FFF2-40B4-BE49-F238E27FC236}">
              <a16:creationId xmlns:a16="http://schemas.microsoft.com/office/drawing/2014/main" id="{00000000-0008-0000-0D00-0000FA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11" name="Text Box 2">
          <a:extLst>
            <a:ext uri="{FF2B5EF4-FFF2-40B4-BE49-F238E27FC236}">
              <a16:creationId xmlns:a16="http://schemas.microsoft.com/office/drawing/2014/main" id="{00000000-0008-0000-0D00-0000FB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12" name="Text Box 2">
          <a:extLst>
            <a:ext uri="{FF2B5EF4-FFF2-40B4-BE49-F238E27FC236}">
              <a16:creationId xmlns:a16="http://schemas.microsoft.com/office/drawing/2014/main" id="{00000000-0008-0000-0D00-0000FC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13" name="Text Box 2">
          <a:extLst>
            <a:ext uri="{FF2B5EF4-FFF2-40B4-BE49-F238E27FC236}">
              <a16:creationId xmlns:a16="http://schemas.microsoft.com/office/drawing/2014/main" id="{00000000-0008-0000-0D00-0000FD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14" name="Text Box 2">
          <a:extLst>
            <a:ext uri="{FF2B5EF4-FFF2-40B4-BE49-F238E27FC236}">
              <a16:creationId xmlns:a16="http://schemas.microsoft.com/office/drawing/2014/main" id="{00000000-0008-0000-0D00-0000FE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15" name="Text Box 2">
          <a:extLst>
            <a:ext uri="{FF2B5EF4-FFF2-40B4-BE49-F238E27FC236}">
              <a16:creationId xmlns:a16="http://schemas.microsoft.com/office/drawing/2014/main" id="{00000000-0008-0000-0D00-0000FF0A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16" name="Text Box 2">
          <a:extLst>
            <a:ext uri="{FF2B5EF4-FFF2-40B4-BE49-F238E27FC236}">
              <a16:creationId xmlns:a16="http://schemas.microsoft.com/office/drawing/2014/main" id="{00000000-0008-0000-0D00-000000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17" name="Text Box 2">
          <a:extLst>
            <a:ext uri="{FF2B5EF4-FFF2-40B4-BE49-F238E27FC236}">
              <a16:creationId xmlns:a16="http://schemas.microsoft.com/office/drawing/2014/main" id="{00000000-0008-0000-0D00-000001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18" name="Text Box 2">
          <a:extLst>
            <a:ext uri="{FF2B5EF4-FFF2-40B4-BE49-F238E27FC236}">
              <a16:creationId xmlns:a16="http://schemas.microsoft.com/office/drawing/2014/main" id="{00000000-0008-0000-0D00-000002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19" name="Text Box 2">
          <a:extLst>
            <a:ext uri="{FF2B5EF4-FFF2-40B4-BE49-F238E27FC236}">
              <a16:creationId xmlns:a16="http://schemas.microsoft.com/office/drawing/2014/main" id="{00000000-0008-0000-0D00-000003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20" name="Text Box 2">
          <a:extLst>
            <a:ext uri="{FF2B5EF4-FFF2-40B4-BE49-F238E27FC236}">
              <a16:creationId xmlns:a16="http://schemas.microsoft.com/office/drawing/2014/main" id="{00000000-0008-0000-0D00-000004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21" name="Text Box 2">
          <a:extLst>
            <a:ext uri="{FF2B5EF4-FFF2-40B4-BE49-F238E27FC236}">
              <a16:creationId xmlns:a16="http://schemas.microsoft.com/office/drawing/2014/main" id="{00000000-0008-0000-0D00-000005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22" name="Text Box 2">
          <a:extLst>
            <a:ext uri="{FF2B5EF4-FFF2-40B4-BE49-F238E27FC236}">
              <a16:creationId xmlns:a16="http://schemas.microsoft.com/office/drawing/2014/main" id="{00000000-0008-0000-0D00-000006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23" name="Text Box 2">
          <a:extLst>
            <a:ext uri="{FF2B5EF4-FFF2-40B4-BE49-F238E27FC236}">
              <a16:creationId xmlns:a16="http://schemas.microsoft.com/office/drawing/2014/main" id="{00000000-0008-0000-0D00-000007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24" name="Text Box 2">
          <a:extLst>
            <a:ext uri="{FF2B5EF4-FFF2-40B4-BE49-F238E27FC236}">
              <a16:creationId xmlns:a16="http://schemas.microsoft.com/office/drawing/2014/main" id="{00000000-0008-0000-0D00-000008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25" name="Text Box 2">
          <a:extLst>
            <a:ext uri="{FF2B5EF4-FFF2-40B4-BE49-F238E27FC236}">
              <a16:creationId xmlns:a16="http://schemas.microsoft.com/office/drawing/2014/main" id="{00000000-0008-0000-0D00-000009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26" name="Text Box 2">
          <a:extLst>
            <a:ext uri="{FF2B5EF4-FFF2-40B4-BE49-F238E27FC236}">
              <a16:creationId xmlns:a16="http://schemas.microsoft.com/office/drawing/2014/main" id="{00000000-0008-0000-0D00-00000A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27" name="Text Box 2">
          <a:extLst>
            <a:ext uri="{FF2B5EF4-FFF2-40B4-BE49-F238E27FC236}">
              <a16:creationId xmlns:a16="http://schemas.microsoft.com/office/drawing/2014/main" id="{00000000-0008-0000-0D00-00000B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28" name="Text Box 2">
          <a:extLst>
            <a:ext uri="{FF2B5EF4-FFF2-40B4-BE49-F238E27FC236}">
              <a16:creationId xmlns:a16="http://schemas.microsoft.com/office/drawing/2014/main" id="{00000000-0008-0000-0D00-00000C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29" name="Text Box 2">
          <a:extLst>
            <a:ext uri="{FF2B5EF4-FFF2-40B4-BE49-F238E27FC236}">
              <a16:creationId xmlns:a16="http://schemas.microsoft.com/office/drawing/2014/main" id="{00000000-0008-0000-0D00-00000D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30" name="Text Box 2">
          <a:extLst>
            <a:ext uri="{FF2B5EF4-FFF2-40B4-BE49-F238E27FC236}">
              <a16:creationId xmlns:a16="http://schemas.microsoft.com/office/drawing/2014/main" id="{00000000-0008-0000-0D00-00000E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31" name="Text Box 2">
          <a:extLst>
            <a:ext uri="{FF2B5EF4-FFF2-40B4-BE49-F238E27FC236}">
              <a16:creationId xmlns:a16="http://schemas.microsoft.com/office/drawing/2014/main" id="{00000000-0008-0000-0D00-00000F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32" name="Text Box 2">
          <a:extLst>
            <a:ext uri="{FF2B5EF4-FFF2-40B4-BE49-F238E27FC236}">
              <a16:creationId xmlns:a16="http://schemas.microsoft.com/office/drawing/2014/main" id="{00000000-0008-0000-0D00-000010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33" name="Text Box 2">
          <a:extLst>
            <a:ext uri="{FF2B5EF4-FFF2-40B4-BE49-F238E27FC236}">
              <a16:creationId xmlns:a16="http://schemas.microsoft.com/office/drawing/2014/main" id="{00000000-0008-0000-0D00-000011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34" name="Text Box 2">
          <a:extLst>
            <a:ext uri="{FF2B5EF4-FFF2-40B4-BE49-F238E27FC236}">
              <a16:creationId xmlns:a16="http://schemas.microsoft.com/office/drawing/2014/main" id="{00000000-0008-0000-0D00-000012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35" name="Text Box 2">
          <a:extLst>
            <a:ext uri="{FF2B5EF4-FFF2-40B4-BE49-F238E27FC236}">
              <a16:creationId xmlns:a16="http://schemas.microsoft.com/office/drawing/2014/main" id="{00000000-0008-0000-0D00-000013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36" name="Text Box 2">
          <a:extLst>
            <a:ext uri="{FF2B5EF4-FFF2-40B4-BE49-F238E27FC236}">
              <a16:creationId xmlns:a16="http://schemas.microsoft.com/office/drawing/2014/main" id="{00000000-0008-0000-0D00-000014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37" name="Text Box 2">
          <a:extLst>
            <a:ext uri="{FF2B5EF4-FFF2-40B4-BE49-F238E27FC236}">
              <a16:creationId xmlns:a16="http://schemas.microsoft.com/office/drawing/2014/main" id="{00000000-0008-0000-0D00-000015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38" name="Text Box 2">
          <a:extLst>
            <a:ext uri="{FF2B5EF4-FFF2-40B4-BE49-F238E27FC236}">
              <a16:creationId xmlns:a16="http://schemas.microsoft.com/office/drawing/2014/main" id="{00000000-0008-0000-0D00-000016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39" name="Text Box 2">
          <a:extLst>
            <a:ext uri="{FF2B5EF4-FFF2-40B4-BE49-F238E27FC236}">
              <a16:creationId xmlns:a16="http://schemas.microsoft.com/office/drawing/2014/main" id="{00000000-0008-0000-0D00-000017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40" name="Text Box 2">
          <a:extLst>
            <a:ext uri="{FF2B5EF4-FFF2-40B4-BE49-F238E27FC236}">
              <a16:creationId xmlns:a16="http://schemas.microsoft.com/office/drawing/2014/main" id="{00000000-0008-0000-0D00-000018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41" name="Text Box 2">
          <a:extLst>
            <a:ext uri="{FF2B5EF4-FFF2-40B4-BE49-F238E27FC236}">
              <a16:creationId xmlns:a16="http://schemas.microsoft.com/office/drawing/2014/main" id="{00000000-0008-0000-0D00-000019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42" name="Text Box 2">
          <a:extLst>
            <a:ext uri="{FF2B5EF4-FFF2-40B4-BE49-F238E27FC236}">
              <a16:creationId xmlns:a16="http://schemas.microsoft.com/office/drawing/2014/main" id="{00000000-0008-0000-0D00-00001A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43" name="Text Box 2">
          <a:extLst>
            <a:ext uri="{FF2B5EF4-FFF2-40B4-BE49-F238E27FC236}">
              <a16:creationId xmlns:a16="http://schemas.microsoft.com/office/drawing/2014/main" id="{00000000-0008-0000-0D00-00001B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44" name="Text Box 2">
          <a:extLst>
            <a:ext uri="{FF2B5EF4-FFF2-40B4-BE49-F238E27FC236}">
              <a16:creationId xmlns:a16="http://schemas.microsoft.com/office/drawing/2014/main" id="{00000000-0008-0000-0D00-00001C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45" name="Text Box 2">
          <a:extLst>
            <a:ext uri="{FF2B5EF4-FFF2-40B4-BE49-F238E27FC236}">
              <a16:creationId xmlns:a16="http://schemas.microsoft.com/office/drawing/2014/main" id="{00000000-0008-0000-0D00-00001D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46" name="Text Box 2">
          <a:extLst>
            <a:ext uri="{FF2B5EF4-FFF2-40B4-BE49-F238E27FC236}">
              <a16:creationId xmlns:a16="http://schemas.microsoft.com/office/drawing/2014/main" id="{00000000-0008-0000-0D00-00001E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47" name="Text Box 2">
          <a:extLst>
            <a:ext uri="{FF2B5EF4-FFF2-40B4-BE49-F238E27FC236}">
              <a16:creationId xmlns:a16="http://schemas.microsoft.com/office/drawing/2014/main" id="{00000000-0008-0000-0D00-00001F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48" name="Text Box 2">
          <a:extLst>
            <a:ext uri="{FF2B5EF4-FFF2-40B4-BE49-F238E27FC236}">
              <a16:creationId xmlns:a16="http://schemas.microsoft.com/office/drawing/2014/main" id="{00000000-0008-0000-0D00-000020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49" name="Text Box 2">
          <a:extLst>
            <a:ext uri="{FF2B5EF4-FFF2-40B4-BE49-F238E27FC236}">
              <a16:creationId xmlns:a16="http://schemas.microsoft.com/office/drawing/2014/main" id="{00000000-0008-0000-0D00-000021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50" name="Text Box 2">
          <a:extLst>
            <a:ext uri="{FF2B5EF4-FFF2-40B4-BE49-F238E27FC236}">
              <a16:creationId xmlns:a16="http://schemas.microsoft.com/office/drawing/2014/main" id="{00000000-0008-0000-0D00-000022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51" name="Text Box 2">
          <a:extLst>
            <a:ext uri="{FF2B5EF4-FFF2-40B4-BE49-F238E27FC236}">
              <a16:creationId xmlns:a16="http://schemas.microsoft.com/office/drawing/2014/main" id="{00000000-0008-0000-0D00-000023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52" name="Text Box 2">
          <a:extLst>
            <a:ext uri="{FF2B5EF4-FFF2-40B4-BE49-F238E27FC236}">
              <a16:creationId xmlns:a16="http://schemas.microsoft.com/office/drawing/2014/main" id="{00000000-0008-0000-0D00-000024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53" name="Text Box 2">
          <a:extLst>
            <a:ext uri="{FF2B5EF4-FFF2-40B4-BE49-F238E27FC236}">
              <a16:creationId xmlns:a16="http://schemas.microsoft.com/office/drawing/2014/main" id="{00000000-0008-0000-0D00-000025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54" name="Text Box 2">
          <a:extLst>
            <a:ext uri="{FF2B5EF4-FFF2-40B4-BE49-F238E27FC236}">
              <a16:creationId xmlns:a16="http://schemas.microsoft.com/office/drawing/2014/main" id="{00000000-0008-0000-0D00-000026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55" name="Text Box 2">
          <a:extLst>
            <a:ext uri="{FF2B5EF4-FFF2-40B4-BE49-F238E27FC236}">
              <a16:creationId xmlns:a16="http://schemas.microsoft.com/office/drawing/2014/main" id="{00000000-0008-0000-0D00-000027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56" name="Text Box 2">
          <a:extLst>
            <a:ext uri="{FF2B5EF4-FFF2-40B4-BE49-F238E27FC236}">
              <a16:creationId xmlns:a16="http://schemas.microsoft.com/office/drawing/2014/main" id="{00000000-0008-0000-0D00-000028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57" name="Text Box 2">
          <a:extLst>
            <a:ext uri="{FF2B5EF4-FFF2-40B4-BE49-F238E27FC236}">
              <a16:creationId xmlns:a16="http://schemas.microsoft.com/office/drawing/2014/main" id="{00000000-0008-0000-0D00-000029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58" name="Text Box 2">
          <a:extLst>
            <a:ext uri="{FF2B5EF4-FFF2-40B4-BE49-F238E27FC236}">
              <a16:creationId xmlns:a16="http://schemas.microsoft.com/office/drawing/2014/main" id="{00000000-0008-0000-0D00-00002A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59" name="Text Box 2">
          <a:extLst>
            <a:ext uri="{FF2B5EF4-FFF2-40B4-BE49-F238E27FC236}">
              <a16:creationId xmlns:a16="http://schemas.microsoft.com/office/drawing/2014/main" id="{00000000-0008-0000-0D00-00002B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60" name="Text Box 2">
          <a:extLst>
            <a:ext uri="{FF2B5EF4-FFF2-40B4-BE49-F238E27FC236}">
              <a16:creationId xmlns:a16="http://schemas.microsoft.com/office/drawing/2014/main" id="{00000000-0008-0000-0D00-00002C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61" name="Text Box 2">
          <a:extLst>
            <a:ext uri="{FF2B5EF4-FFF2-40B4-BE49-F238E27FC236}">
              <a16:creationId xmlns:a16="http://schemas.microsoft.com/office/drawing/2014/main" id="{00000000-0008-0000-0D00-00002D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62" name="Text Box 2">
          <a:extLst>
            <a:ext uri="{FF2B5EF4-FFF2-40B4-BE49-F238E27FC236}">
              <a16:creationId xmlns:a16="http://schemas.microsoft.com/office/drawing/2014/main" id="{00000000-0008-0000-0D00-00002E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63" name="Text Box 2">
          <a:extLst>
            <a:ext uri="{FF2B5EF4-FFF2-40B4-BE49-F238E27FC236}">
              <a16:creationId xmlns:a16="http://schemas.microsoft.com/office/drawing/2014/main" id="{00000000-0008-0000-0D00-00002F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64" name="Text Box 2">
          <a:extLst>
            <a:ext uri="{FF2B5EF4-FFF2-40B4-BE49-F238E27FC236}">
              <a16:creationId xmlns:a16="http://schemas.microsoft.com/office/drawing/2014/main" id="{00000000-0008-0000-0D00-000030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65" name="Text Box 2">
          <a:extLst>
            <a:ext uri="{FF2B5EF4-FFF2-40B4-BE49-F238E27FC236}">
              <a16:creationId xmlns:a16="http://schemas.microsoft.com/office/drawing/2014/main" id="{00000000-0008-0000-0D00-000031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66" name="Text Box 2">
          <a:extLst>
            <a:ext uri="{FF2B5EF4-FFF2-40B4-BE49-F238E27FC236}">
              <a16:creationId xmlns:a16="http://schemas.microsoft.com/office/drawing/2014/main" id="{00000000-0008-0000-0D00-000032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67" name="Text Box 2">
          <a:extLst>
            <a:ext uri="{FF2B5EF4-FFF2-40B4-BE49-F238E27FC236}">
              <a16:creationId xmlns:a16="http://schemas.microsoft.com/office/drawing/2014/main" id="{00000000-0008-0000-0D00-000033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68" name="Text Box 2">
          <a:extLst>
            <a:ext uri="{FF2B5EF4-FFF2-40B4-BE49-F238E27FC236}">
              <a16:creationId xmlns:a16="http://schemas.microsoft.com/office/drawing/2014/main" id="{00000000-0008-0000-0D00-000034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69" name="Text Box 2">
          <a:extLst>
            <a:ext uri="{FF2B5EF4-FFF2-40B4-BE49-F238E27FC236}">
              <a16:creationId xmlns:a16="http://schemas.microsoft.com/office/drawing/2014/main" id="{00000000-0008-0000-0D00-000035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70" name="Text Box 2">
          <a:extLst>
            <a:ext uri="{FF2B5EF4-FFF2-40B4-BE49-F238E27FC236}">
              <a16:creationId xmlns:a16="http://schemas.microsoft.com/office/drawing/2014/main" id="{00000000-0008-0000-0D00-000036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71" name="Text Box 2">
          <a:extLst>
            <a:ext uri="{FF2B5EF4-FFF2-40B4-BE49-F238E27FC236}">
              <a16:creationId xmlns:a16="http://schemas.microsoft.com/office/drawing/2014/main" id="{00000000-0008-0000-0D00-000037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72" name="Text Box 2">
          <a:extLst>
            <a:ext uri="{FF2B5EF4-FFF2-40B4-BE49-F238E27FC236}">
              <a16:creationId xmlns:a16="http://schemas.microsoft.com/office/drawing/2014/main" id="{00000000-0008-0000-0D00-000038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73" name="Text Box 2">
          <a:extLst>
            <a:ext uri="{FF2B5EF4-FFF2-40B4-BE49-F238E27FC236}">
              <a16:creationId xmlns:a16="http://schemas.microsoft.com/office/drawing/2014/main" id="{00000000-0008-0000-0D00-000039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74" name="Text Box 2">
          <a:extLst>
            <a:ext uri="{FF2B5EF4-FFF2-40B4-BE49-F238E27FC236}">
              <a16:creationId xmlns:a16="http://schemas.microsoft.com/office/drawing/2014/main" id="{00000000-0008-0000-0D00-00003A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75" name="Text Box 2">
          <a:extLst>
            <a:ext uri="{FF2B5EF4-FFF2-40B4-BE49-F238E27FC236}">
              <a16:creationId xmlns:a16="http://schemas.microsoft.com/office/drawing/2014/main" id="{00000000-0008-0000-0D00-00003B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76" name="Text Box 2">
          <a:extLst>
            <a:ext uri="{FF2B5EF4-FFF2-40B4-BE49-F238E27FC236}">
              <a16:creationId xmlns:a16="http://schemas.microsoft.com/office/drawing/2014/main" id="{00000000-0008-0000-0D00-00003C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77" name="Text Box 2">
          <a:extLst>
            <a:ext uri="{FF2B5EF4-FFF2-40B4-BE49-F238E27FC236}">
              <a16:creationId xmlns:a16="http://schemas.microsoft.com/office/drawing/2014/main" id="{00000000-0008-0000-0D00-00003D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78" name="Text Box 2">
          <a:extLst>
            <a:ext uri="{FF2B5EF4-FFF2-40B4-BE49-F238E27FC236}">
              <a16:creationId xmlns:a16="http://schemas.microsoft.com/office/drawing/2014/main" id="{00000000-0008-0000-0D00-00003E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79" name="Text Box 2">
          <a:extLst>
            <a:ext uri="{FF2B5EF4-FFF2-40B4-BE49-F238E27FC236}">
              <a16:creationId xmlns:a16="http://schemas.microsoft.com/office/drawing/2014/main" id="{00000000-0008-0000-0D00-00003F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80" name="Text Box 2">
          <a:extLst>
            <a:ext uri="{FF2B5EF4-FFF2-40B4-BE49-F238E27FC236}">
              <a16:creationId xmlns:a16="http://schemas.microsoft.com/office/drawing/2014/main" id="{00000000-0008-0000-0D00-000040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81" name="Text Box 2">
          <a:extLst>
            <a:ext uri="{FF2B5EF4-FFF2-40B4-BE49-F238E27FC236}">
              <a16:creationId xmlns:a16="http://schemas.microsoft.com/office/drawing/2014/main" id="{00000000-0008-0000-0D00-000041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82" name="Text Box 2">
          <a:extLst>
            <a:ext uri="{FF2B5EF4-FFF2-40B4-BE49-F238E27FC236}">
              <a16:creationId xmlns:a16="http://schemas.microsoft.com/office/drawing/2014/main" id="{00000000-0008-0000-0D00-000042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83" name="Text Box 2">
          <a:extLst>
            <a:ext uri="{FF2B5EF4-FFF2-40B4-BE49-F238E27FC236}">
              <a16:creationId xmlns:a16="http://schemas.microsoft.com/office/drawing/2014/main" id="{00000000-0008-0000-0D00-000043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84" name="Text Box 2">
          <a:extLst>
            <a:ext uri="{FF2B5EF4-FFF2-40B4-BE49-F238E27FC236}">
              <a16:creationId xmlns:a16="http://schemas.microsoft.com/office/drawing/2014/main" id="{00000000-0008-0000-0D00-000044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85" name="Text Box 2">
          <a:extLst>
            <a:ext uri="{FF2B5EF4-FFF2-40B4-BE49-F238E27FC236}">
              <a16:creationId xmlns:a16="http://schemas.microsoft.com/office/drawing/2014/main" id="{00000000-0008-0000-0D00-000045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86" name="Text Box 2">
          <a:extLst>
            <a:ext uri="{FF2B5EF4-FFF2-40B4-BE49-F238E27FC236}">
              <a16:creationId xmlns:a16="http://schemas.microsoft.com/office/drawing/2014/main" id="{00000000-0008-0000-0D00-000046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87" name="Text Box 2">
          <a:extLst>
            <a:ext uri="{FF2B5EF4-FFF2-40B4-BE49-F238E27FC236}">
              <a16:creationId xmlns:a16="http://schemas.microsoft.com/office/drawing/2014/main" id="{00000000-0008-0000-0D00-000047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88" name="Text Box 2">
          <a:extLst>
            <a:ext uri="{FF2B5EF4-FFF2-40B4-BE49-F238E27FC236}">
              <a16:creationId xmlns:a16="http://schemas.microsoft.com/office/drawing/2014/main" id="{00000000-0008-0000-0D00-000048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89" name="Text Box 2">
          <a:extLst>
            <a:ext uri="{FF2B5EF4-FFF2-40B4-BE49-F238E27FC236}">
              <a16:creationId xmlns:a16="http://schemas.microsoft.com/office/drawing/2014/main" id="{00000000-0008-0000-0D00-000049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90" name="Text Box 2">
          <a:extLst>
            <a:ext uri="{FF2B5EF4-FFF2-40B4-BE49-F238E27FC236}">
              <a16:creationId xmlns:a16="http://schemas.microsoft.com/office/drawing/2014/main" id="{00000000-0008-0000-0D00-00004A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91" name="Text Box 2">
          <a:extLst>
            <a:ext uri="{FF2B5EF4-FFF2-40B4-BE49-F238E27FC236}">
              <a16:creationId xmlns:a16="http://schemas.microsoft.com/office/drawing/2014/main" id="{00000000-0008-0000-0D00-00004B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92" name="Text Box 2">
          <a:extLst>
            <a:ext uri="{FF2B5EF4-FFF2-40B4-BE49-F238E27FC236}">
              <a16:creationId xmlns:a16="http://schemas.microsoft.com/office/drawing/2014/main" id="{00000000-0008-0000-0D00-00004C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93" name="Text Box 2">
          <a:extLst>
            <a:ext uri="{FF2B5EF4-FFF2-40B4-BE49-F238E27FC236}">
              <a16:creationId xmlns:a16="http://schemas.microsoft.com/office/drawing/2014/main" id="{00000000-0008-0000-0D00-00004D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94" name="Text Box 2">
          <a:extLst>
            <a:ext uri="{FF2B5EF4-FFF2-40B4-BE49-F238E27FC236}">
              <a16:creationId xmlns:a16="http://schemas.microsoft.com/office/drawing/2014/main" id="{00000000-0008-0000-0D00-00004E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95" name="Text Box 2">
          <a:extLst>
            <a:ext uri="{FF2B5EF4-FFF2-40B4-BE49-F238E27FC236}">
              <a16:creationId xmlns:a16="http://schemas.microsoft.com/office/drawing/2014/main" id="{00000000-0008-0000-0D00-00004F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96" name="Text Box 2">
          <a:extLst>
            <a:ext uri="{FF2B5EF4-FFF2-40B4-BE49-F238E27FC236}">
              <a16:creationId xmlns:a16="http://schemas.microsoft.com/office/drawing/2014/main" id="{00000000-0008-0000-0D00-000050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97" name="Text Box 2">
          <a:extLst>
            <a:ext uri="{FF2B5EF4-FFF2-40B4-BE49-F238E27FC236}">
              <a16:creationId xmlns:a16="http://schemas.microsoft.com/office/drawing/2014/main" id="{00000000-0008-0000-0D00-000051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98" name="Text Box 2">
          <a:extLst>
            <a:ext uri="{FF2B5EF4-FFF2-40B4-BE49-F238E27FC236}">
              <a16:creationId xmlns:a16="http://schemas.microsoft.com/office/drawing/2014/main" id="{00000000-0008-0000-0D00-000052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899" name="Text Box 2">
          <a:extLst>
            <a:ext uri="{FF2B5EF4-FFF2-40B4-BE49-F238E27FC236}">
              <a16:creationId xmlns:a16="http://schemas.microsoft.com/office/drawing/2014/main" id="{00000000-0008-0000-0D00-000053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00" name="Text Box 2">
          <a:extLst>
            <a:ext uri="{FF2B5EF4-FFF2-40B4-BE49-F238E27FC236}">
              <a16:creationId xmlns:a16="http://schemas.microsoft.com/office/drawing/2014/main" id="{00000000-0008-0000-0D00-000054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01" name="Text Box 2">
          <a:extLst>
            <a:ext uri="{FF2B5EF4-FFF2-40B4-BE49-F238E27FC236}">
              <a16:creationId xmlns:a16="http://schemas.microsoft.com/office/drawing/2014/main" id="{00000000-0008-0000-0D00-000055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02" name="Text Box 2">
          <a:extLst>
            <a:ext uri="{FF2B5EF4-FFF2-40B4-BE49-F238E27FC236}">
              <a16:creationId xmlns:a16="http://schemas.microsoft.com/office/drawing/2014/main" id="{00000000-0008-0000-0D00-000056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03" name="Text Box 2">
          <a:extLst>
            <a:ext uri="{FF2B5EF4-FFF2-40B4-BE49-F238E27FC236}">
              <a16:creationId xmlns:a16="http://schemas.microsoft.com/office/drawing/2014/main" id="{00000000-0008-0000-0D00-000057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04" name="Text Box 2">
          <a:extLst>
            <a:ext uri="{FF2B5EF4-FFF2-40B4-BE49-F238E27FC236}">
              <a16:creationId xmlns:a16="http://schemas.microsoft.com/office/drawing/2014/main" id="{00000000-0008-0000-0D00-000058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05" name="Text Box 2">
          <a:extLst>
            <a:ext uri="{FF2B5EF4-FFF2-40B4-BE49-F238E27FC236}">
              <a16:creationId xmlns:a16="http://schemas.microsoft.com/office/drawing/2014/main" id="{00000000-0008-0000-0D00-000059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06" name="Text Box 2">
          <a:extLst>
            <a:ext uri="{FF2B5EF4-FFF2-40B4-BE49-F238E27FC236}">
              <a16:creationId xmlns:a16="http://schemas.microsoft.com/office/drawing/2014/main" id="{00000000-0008-0000-0D00-00005A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07" name="Text Box 2">
          <a:extLst>
            <a:ext uri="{FF2B5EF4-FFF2-40B4-BE49-F238E27FC236}">
              <a16:creationId xmlns:a16="http://schemas.microsoft.com/office/drawing/2014/main" id="{00000000-0008-0000-0D00-00005B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08" name="Text Box 2">
          <a:extLst>
            <a:ext uri="{FF2B5EF4-FFF2-40B4-BE49-F238E27FC236}">
              <a16:creationId xmlns:a16="http://schemas.microsoft.com/office/drawing/2014/main" id="{00000000-0008-0000-0D00-00005C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09" name="Text Box 2">
          <a:extLst>
            <a:ext uri="{FF2B5EF4-FFF2-40B4-BE49-F238E27FC236}">
              <a16:creationId xmlns:a16="http://schemas.microsoft.com/office/drawing/2014/main" id="{00000000-0008-0000-0D00-00005D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10" name="Text Box 2">
          <a:extLst>
            <a:ext uri="{FF2B5EF4-FFF2-40B4-BE49-F238E27FC236}">
              <a16:creationId xmlns:a16="http://schemas.microsoft.com/office/drawing/2014/main" id="{00000000-0008-0000-0D00-00005E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11" name="Text Box 2">
          <a:extLst>
            <a:ext uri="{FF2B5EF4-FFF2-40B4-BE49-F238E27FC236}">
              <a16:creationId xmlns:a16="http://schemas.microsoft.com/office/drawing/2014/main" id="{00000000-0008-0000-0D00-00005F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12" name="Text Box 2">
          <a:extLst>
            <a:ext uri="{FF2B5EF4-FFF2-40B4-BE49-F238E27FC236}">
              <a16:creationId xmlns:a16="http://schemas.microsoft.com/office/drawing/2014/main" id="{00000000-0008-0000-0D00-000060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13" name="Text Box 2">
          <a:extLst>
            <a:ext uri="{FF2B5EF4-FFF2-40B4-BE49-F238E27FC236}">
              <a16:creationId xmlns:a16="http://schemas.microsoft.com/office/drawing/2014/main" id="{00000000-0008-0000-0D00-000061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14" name="Text Box 2">
          <a:extLst>
            <a:ext uri="{FF2B5EF4-FFF2-40B4-BE49-F238E27FC236}">
              <a16:creationId xmlns:a16="http://schemas.microsoft.com/office/drawing/2014/main" id="{00000000-0008-0000-0D00-000062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15" name="Text Box 2">
          <a:extLst>
            <a:ext uri="{FF2B5EF4-FFF2-40B4-BE49-F238E27FC236}">
              <a16:creationId xmlns:a16="http://schemas.microsoft.com/office/drawing/2014/main" id="{00000000-0008-0000-0D00-000063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16" name="Text Box 2">
          <a:extLst>
            <a:ext uri="{FF2B5EF4-FFF2-40B4-BE49-F238E27FC236}">
              <a16:creationId xmlns:a16="http://schemas.microsoft.com/office/drawing/2014/main" id="{00000000-0008-0000-0D00-000064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17" name="Text Box 2">
          <a:extLst>
            <a:ext uri="{FF2B5EF4-FFF2-40B4-BE49-F238E27FC236}">
              <a16:creationId xmlns:a16="http://schemas.microsoft.com/office/drawing/2014/main" id="{00000000-0008-0000-0D00-000065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18" name="Text Box 2">
          <a:extLst>
            <a:ext uri="{FF2B5EF4-FFF2-40B4-BE49-F238E27FC236}">
              <a16:creationId xmlns:a16="http://schemas.microsoft.com/office/drawing/2014/main" id="{00000000-0008-0000-0D00-000066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19" name="Text Box 2">
          <a:extLst>
            <a:ext uri="{FF2B5EF4-FFF2-40B4-BE49-F238E27FC236}">
              <a16:creationId xmlns:a16="http://schemas.microsoft.com/office/drawing/2014/main" id="{00000000-0008-0000-0D00-000067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20" name="Text Box 2">
          <a:extLst>
            <a:ext uri="{FF2B5EF4-FFF2-40B4-BE49-F238E27FC236}">
              <a16:creationId xmlns:a16="http://schemas.microsoft.com/office/drawing/2014/main" id="{00000000-0008-0000-0D00-000068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21" name="Text Box 2">
          <a:extLst>
            <a:ext uri="{FF2B5EF4-FFF2-40B4-BE49-F238E27FC236}">
              <a16:creationId xmlns:a16="http://schemas.microsoft.com/office/drawing/2014/main" id="{00000000-0008-0000-0D00-000069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22" name="Text Box 2">
          <a:extLst>
            <a:ext uri="{FF2B5EF4-FFF2-40B4-BE49-F238E27FC236}">
              <a16:creationId xmlns:a16="http://schemas.microsoft.com/office/drawing/2014/main" id="{00000000-0008-0000-0D00-00006A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23" name="Text Box 2">
          <a:extLst>
            <a:ext uri="{FF2B5EF4-FFF2-40B4-BE49-F238E27FC236}">
              <a16:creationId xmlns:a16="http://schemas.microsoft.com/office/drawing/2014/main" id="{00000000-0008-0000-0D00-00006B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24" name="Text Box 2">
          <a:extLst>
            <a:ext uri="{FF2B5EF4-FFF2-40B4-BE49-F238E27FC236}">
              <a16:creationId xmlns:a16="http://schemas.microsoft.com/office/drawing/2014/main" id="{00000000-0008-0000-0D00-00006C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25" name="Text Box 2">
          <a:extLst>
            <a:ext uri="{FF2B5EF4-FFF2-40B4-BE49-F238E27FC236}">
              <a16:creationId xmlns:a16="http://schemas.microsoft.com/office/drawing/2014/main" id="{00000000-0008-0000-0D00-00006D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26" name="Text Box 2">
          <a:extLst>
            <a:ext uri="{FF2B5EF4-FFF2-40B4-BE49-F238E27FC236}">
              <a16:creationId xmlns:a16="http://schemas.microsoft.com/office/drawing/2014/main" id="{00000000-0008-0000-0D00-00006E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27" name="Text Box 2">
          <a:extLst>
            <a:ext uri="{FF2B5EF4-FFF2-40B4-BE49-F238E27FC236}">
              <a16:creationId xmlns:a16="http://schemas.microsoft.com/office/drawing/2014/main" id="{00000000-0008-0000-0D00-00006F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28" name="Text Box 2">
          <a:extLst>
            <a:ext uri="{FF2B5EF4-FFF2-40B4-BE49-F238E27FC236}">
              <a16:creationId xmlns:a16="http://schemas.microsoft.com/office/drawing/2014/main" id="{00000000-0008-0000-0D00-000070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29" name="Text Box 2">
          <a:extLst>
            <a:ext uri="{FF2B5EF4-FFF2-40B4-BE49-F238E27FC236}">
              <a16:creationId xmlns:a16="http://schemas.microsoft.com/office/drawing/2014/main" id="{00000000-0008-0000-0D00-000071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30" name="Text Box 2">
          <a:extLst>
            <a:ext uri="{FF2B5EF4-FFF2-40B4-BE49-F238E27FC236}">
              <a16:creationId xmlns:a16="http://schemas.microsoft.com/office/drawing/2014/main" id="{00000000-0008-0000-0D00-000072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31" name="Text Box 2">
          <a:extLst>
            <a:ext uri="{FF2B5EF4-FFF2-40B4-BE49-F238E27FC236}">
              <a16:creationId xmlns:a16="http://schemas.microsoft.com/office/drawing/2014/main" id="{00000000-0008-0000-0D00-000073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32" name="Text Box 2">
          <a:extLst>
            <a:ext uri="{FF2B5EF4-FFF2-40B4-BE49-F238E27FC236}">
              <a16:creationId xmlns:a16="http://schemas.microsoft.com/office/drawing/2014/main" id="{00000000-0008-0000-0D00-000074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33" name="Text Box 2">
          <a:extLst>
            <a:ext uri="{FF2B5EF4-FFF2-40B4-BE49-F238E27FC236}">
              <a16:creationId xmlns:a16="http://schemas.microsoft.com/office/drawing/2014/main" id="{00000000-0008-0000-0D00-000075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34" name="Text Box 2">
          <a:extLst>
            <a:ext uri="{FF2B5EF4-FFF2-40B4-BE49-F238E27FC236}">
              <a16:creationId xmlns:a16="http://schemas.microsoft.com/office/drawing/2014/main" id="{00000000-0008-0000-0D00-000076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35" name="Text Box 2">
          <a:extLst>
            <a:ext uri="{FF2B5EF4-FFF2-40B4-BE49-F238E27FC236}">
              <a16:creationId xmlns:a16="http://schemas.microsoft.com/office/drawing/2014/main" id="{00000000-0008-0000-0D00-000077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36" name="Text Box 2">
          <a:extLst>
            <a:ext uri="{FF2B5EF4-FFF2-40B4-BE49-F238E27FC236}">
              <a16:creationId xmlns:a16="http://schemas.microsoft.com/office/drawing/2014/main" id="{00000000-0008-0000-0D00-000078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37" name="Text Box 2">
          <a:extLst>
            <a:ext uri="{FF2B5EF4-FFF2-40B4-BE49-F238E27FC236}">
              <a16:creationId xmlns:a16="http://schemas.microsoft.com/office/drawing/2014/main" id="{00000000-0008-0000-0D00-000079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38" name="Text Box 2">
          <a:extLst>
            <a:ext uri="{FF2B5EF4-FFF2-40B4-BE49-F238E27FC236}">
              <a16:creationId xmlns:a16="http://schemas.microsoft.com/office/drawing/2014/main" id="{00000000-0008-0000-0D00-00007A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39" name="Text Box 2">
          <a:extLst>
            <a:ext uri="{FF2B5EF4-FFF2-40B4-BE49-F238E27FC236}">
              <a16:creationId xmlns:a16="http://schemas.microsoft.com/office/drawing/2014/main" id="{00000000-0008-0000-0D00-00007B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40" name="Text Box 2">
          <a:extLst>
            <a:ext uri="{FF2B5EF4-FFF2-40B4-BE49-F238E27FC236}">
              <a16:creationId xmlns:a16="http://schemas.microsoft.com/office/drawing/2014/main" id="{00000000-0008-0000-0D00-00007C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41" name="Text Box 2">
          <a:extLst>
            <a:ext uri="{FF2B5EF4-FFF2-40B4-BE49-F238E27FC236}">
              <a16:creationId xmlns:a16="http://schemas.microsoft.com/office/drawing/2014/main" id="{00000000-0008-0000-0D00-00007D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42" name="Text Box 2">
          <a:extLst>
            <a:ext uri="{FF2B5EF4-FFF2-40B4-BE49-F238E27FC236}">
              <a16:creationId xmlns:a16="http://schemas.microsoft.com/office/drawing/2014/main" id="{00000000-0008-0000-0D00-00007E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43" name="Text Box 2">
          <a:extLst>
            <a:ext uri="{FF2B5EF4-FFF2-40B4-BE49-F238E27FC236}">
              <a16:creationId xmlns:a16="http://schemas.microsoft.com/office/drawing/2014/main" id="{00000000-0008-0000-0D00-00007F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44" name="Text Box 2">
          <a:extLst>
            <a:ext uri="{FF2B5EF4-FFF2-40B4-BE49-F238E27FC236}">
              <a16:creationId xmlns:a16="http://schemas.microsoft.com/office/drawing/2014/main" id="{00000000-0008-0000-0D00-000080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45" name="Text Box 2">
          <a:extLst>
            <a:ext uri="{FF2B5EF4-FFF2-40B4-BE49-F238E27FC236}">
              <a16:creationId xmlns:a16="http://schemas.microsoft.com/office/drawing/2014/main" id="{00000000-0008-0000-0D00-000081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46" name="Text Box 2">
          <a:extLst>
            <a:ext uri="{FF2B5EF4-FFF2-40B4-BE49-F238E27FC236}">
              <a16:creationId xmlns:a16="http://schemas.microsoft.com/office/drawing/2014/main" id="{00000000-0008-0000-0D00-000082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47" name="Text Box 2">
          <a:extLst>
            <a:ext uri="{FF2B5EF4-FFF2-40B4-BE49-F238E27FC236}">
              <a16:creationId xmlns:a16="http://schemas.microsoft.com/office/drawing/2014/main" id="{00000000-0008-0000-0D00-000083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48" name="Text Box 2">
          <a:extLst>
            <a:ext uri="{FF2B5EF4-FFF2-40B4-BE49-F238E27FC236}">
              <a16:creationId xmlns:a16="http://schemas.microsoft.com/office/drawing/2014/main" id="{00000000-0008-0000-0D00-000084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49" name="Text Box 2">
          <a:extLst>
            <a:ext uri="{FF2B5EF4-FFF2-40B4-BE49-F238E27FC236}">
              <a16:creationId xmlns:a16="http://schemas.microsoft.com/office/drawing/2014/main" id="{00000000-0008-0000-0D00-000085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50" name="Text Box 2">
          <a:extLst>
            <a:ext uri="{FF2B5EF4-FFF2-40B4-BE49-F238E27FC236}">
              <a16:creationId xmlns:a16="http://schemas.microsoft.com/office/drawing/2014/main" id="{00000000-0008-0000-0D00-000086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51" name="Text Box 2">
          <a:extLst>
            <a:ext uri="{FF2B5EF4-FFF2-40B4-BE49-F238E27FC236}">
              <a16:creationId xmlns:a16="http://schemas.microsoft.com/office/drawing/2014/main" id="{00000000-0008-0000-0D00-000087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52" name="Text Box 2">
          <a:extLst>
            <a:ext uri="{FF2B5EF4-FFF2-40B4-BE49-F238E27FC236}">
              <a16:creationId xmlns:a16="http://schemas.microsoft.com/office/drawing/2014/main" id="{00000000-0008-0000-0D00-000088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53" name="Text Box 2">
          <a:extLst>
            <a:ext uri="{FF2B5EF4-FFF2-40B4-BE49-F238E27FC236}">
              <a16:creationId xmlns:a16="http://schemas.microsoft.com/office/drawing/2014/main" id="{00000000-0008-0000-0D00-000089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54" name="Text Box 2">
          <a:extLst>
            <a:ext uri="{FF2B5EF4-FFF2-40B4-BE49-F238E27FC236}">
              <a16:creationId xmlns:a16="http://schemas.microsoft.com/office/drawing/2014/main" id="{00000000-0008-0000-0D00-00008A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55" name="Text Box 2">
          <a:extLst>
            <a:ext uri="{FF2B5EF4-FFF2-40B4-BE49-F238E27FC236}">
              <a16:creationId xmlns:a16="http://schemas.microsoft.com/office/drawing/2014/main" id="{00000000-0008-0000-0D00-00008B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56" name="Text Box 2">
          <a:extLst>
            <a:ext uri="{FF2B5EF4-FFF2-40B4-BE49-F238E27FC236}">
              <a16:creationId xmlns:a16="http://schemas.microsoft.com/office/drawing/2014/main" id="{00000000-0008-0000-0D00-00008C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57" name="Text Box 2">
          <a:extLst>
            <a:ext uri="{FF2B5EF4-FFF2-40B4-BE49-F238E27FC236}">
              <a16:creationId xmlns:a16="http://schemas.microsoft.com/office/drawing/2014/main" id="{00000000-0008-0000-0D00-00008D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58" name="Text Box 2">
          <a:extLst>
            <a:ext uri="{FF2B5EF4-FFF2-40B4-BE49-F238E27FC236}">
              <a16:creationId xmlns:a16="http://schemas.microsoft.com/office/drawing/2014/main" id="{00000000-0008-0000-0D00-00008E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959" name="Text Box 2">
          <a:extLst>
            <a:ext uri="{FF2B5EF4-FFF2-40B4-BE49-F238E27FC236}">
              <a16:creationId xmlns:a16="http://schemas.microsoft.com/office/drawing/2014/main" id="{00000000-0008-0000-0D00-00008F0B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960" name="Text Box 2">
          <a:extLst>
            <a:ext uri="{FF2B5EF4-FFF2-40B4-BE49-F238E27FC236}">
              <a16:creationId xmlns:a16="http://schemas.microsoft.com/office/drawing/2014/main" id="{00000000-0008-0000-0D00-0000900B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961" name="Text Box 2">
          <a:extLst>
            <a:ext uri="{FF2B5EF4-FFF2-40B4-BE49-F238E27FC236}">
              <a16:creationId xmlns:a16="http://schemas.microsoft.com/office/drawing/2014/main" id="{00000000-0008-0000-0D00-0000910B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962" name="Text Box 2">
          <a:extLst>
            <a:ext uri="{FF2B5EF4-FFF2-40B4-BE49-F238E27FC236}">
              <a16:creationId xmlns:a16="http://schemas.microsoft.com/office/drawing/2014/main" id="{00000000-0008-0000-0D00-0000920B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963" name="Text Box 2">
          <a:extLst>
            <a:ext uri="{FF2B5EF4-FFF2-40B4-BE49-F238E27FC236}">
              <a16:creationId xmlns:a16="http://schemas.microsoft.com/office/drawing/2014/main" id="{00000000-0008-0000-0D00-0000930B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964" name="Text Box 2">
          <a:extLst>
            <a:ext uri="{FF2B5EF4-FFF2-40B4-BE49-F238E27FC236}">
              <a16:creationId xmlns:a16="http://schemas.microsoft.com/office/drawing/2014/main" id="{00000000-0008-0000-0D00-0000940B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965" name="Text Box 2">
          <a:extLst>
            <a:ext uri="{FF2B5EF4-FFF2-40B4-BE49-F238E27FC236}">
              <a16:creationId xmlns:a16="http://schemas.microsoft.com/office/drawing/2014/main" id="{00000000-0008-0000-0D00-0000950B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966" name="Text Box 2">
          <a:extLst>
            <a:ext uri="{FF2B5EF4-FFF2-40B4-BE49-F238E27FC236}">
              <a16:creationId xmlns:a16="http://schemas.microsoft.com/office/drawing/2014/main" id="{00000000-0008-0000-0D00-0000960B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2967" name="Text Box 2">
          <a:extLst>
            <a:ext uri="{FF2B5EF4-FFF2-40B4-BE49-F238E27FC236}">
              <a16:creationId xmlns:a16="http://schemas.microsoft.com/office/drawing/2014/main" id="{00000000-0008-0000-0D00-0000970B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68" name="Text Box 2">
          <a:extLst>
            <a:ext uri="{FF2B5EF4-FFF2-40B4-BE49-F238E27FC236}">
              <a16:creationId xmlns:a16="http://schemas.microsoft.com/office/drawing/2014/main" id="{00000000-0008-0000-0D00-000098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69" name="Text Box 2">
          <a:extLst>
            <a:ext uri="{FF2B5EF4-FFF2-40B4-BE49-F238E27FC236}">
              <a16:creationId xmlns:a16="http://schemas.microsoft.com/office/drawing/2014/main" id="{00000000-0008-0000-0D00-000099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70" name="Text Box 2">
          <a:extLst>
            <a:ext uri="{FF2B5EF4-FFF2-40B4-BE49-F238E27FC236}">
              <a16:creationId xmlns:a16="http://schemas.microsoft.com/office/drawing/2014/main" id="{00000000-0008-0000-0D00-00009A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71" name="Text Box 2">
          <a:extLst>
            <a:ext uri="{FF2B5EF4-FFF2-40B4-BE49-F238E27FC236}">
              <a16:creationId xmlns:a16="http://schemas.microsoft.com/office/drawing/2014/main" id="{00000000-0008-0000-0D00-00009B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72" name="Text Box 2">
          <a:extLst>
            <a:ext uri="{FF2B5EF4-FFF2-40B4-BE49-F238E27FC236}">
              <a16:creationId xmlns:a16="http://schemas.microsoft.com/office/drawing/2014/main" id="{00000000-0008-0000-0D00-00009C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73" name="Text Box 2">
          <a:extLst>
            <a:ext uri="{FF2B5EF4-FFF2-40B4-BE49-F238E27FC236}">
              <a16:creationId xmlns:a16="http://schemas.microsoft.com/office/drawing/2014/main" id="{00000000-0008-0000-0D00-00009D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74" name="Text Box 2">
          <a:extLst>
            <a:ext uri="{FF2B5EF4-FFF2-40B4-BE49-F238E27FC236}">
              <a16:creationId xmlns:a16="http://schemas.microsoft.com/office/drawing/2014/main" id="{00000000-0008-0000-0D00-00009E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75" name="Text Box 2">
          <a:extLst>
            <a:ext uri="{FF2B5EF4-FFF2-40B4-BE49-F238E27FC236}">
              <a16:creationId xmlns:a16="http://schemas.microsoft.com/office/drawing/2014/main" id="{00000000-0008-0000-0D00-00009F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76" name="Text Box 2">
          <a:extLst>
            <a:ext uri="{FF2B5EF4-FFF2-40B4-BE49-F238E27FC236}">
              <a16:creationId xmlns:a16="http://schemas.microsoft.com/office/drawing/2014/main" id="{00000000-0008-0000-0D00-0000A0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77" name="Text Box 2">
          <a:extLst>
            <a:ext uri="{FF2B5EF4-FFF2-40B4-BE49-F238E27FC236}">
              <a16:creationId xmlns:a16="http://schemas.microsoft.com/office/drawing/2014/main" id="{00000000-0008-0000-0D00-0000A1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78" name="Text Box 2">
          <a:extLst>
            <a:ext uri="{FF2B5EF4-FFF2-40B4-BE49-F238E27FC236}">
              <a16:creationId xmlns:a16="http://schemas.microsoft.com/office/drawing/2014/main" id="{00000000-0008-0000-0D00-0000A2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79" name="Text Box 2">
          <a:extLst>
            <a:ext uri="{FF2B5EF4-FFF2-40B4-BE49-F238E27FC236}">
              <a16:creationId xmlns:a16="http://schemas.microsoft.com/office/drawing/2014/main" id="{00000000-0008-0000-0D00-0000A3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80" name="Text Box 2">
          <a:extLst>
            <a:ext uri="{FF2B5EF4-FFF2-40B4-BE49-F238E27FC236}">
              <a16:creationId xmlns:a16="http://schemas.microsoft.com/office/drawing/2014/main" id="{00000000-0008-0000-0D00-0000A4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81" name="Text Box 2">
          <a:extLst>
            <a:ext uri="{FF2B5EF4-FFF2-40B4-BE49-F238E27FC236}">
              <a16:creationId xmlns:a16="http://schemas.microsoft.com/office/drawing/2014/main" id="{00000000-0008-0000-0D00-0000A5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82" name="Text Box 2">
          <a:extLst>
            <a:ext uri="{FF2B5EF4-FFF2-40B4-BE49-F238E27FC236}">
              <a16:creationId xmlns:a16="http://schemas.microsoft.com/office/drawing/2014/main" id="{00000000-0008-0000-0D00-0000A6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83" name="Text Box 2">
          <a:extLst>
            <a:ext uri="{FF2B5EF4-FFF2-40B4-BE49-F238E27FC236}">
              <a16:creationId xmlns:a16="http://schemas.microsoft.com/office/drawing/2014/main" id="{00000000-0008-0000-0D00-0000A7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84" name="Text Box 2">
          <a:extLst>
            <a:ext uri="{FF2B5EF4-FFF2-40B4-BE49-F238E27FC236}">
              <a16:creationId xmlns:a16="http://schemas.microsoft.com/office/drawing/2014/main" id="{00000000-0008-0000-0D00-0000A8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85" name="Text Box 2">
          <a:extLst>
            <a:ext uri="{FF2B5EF4-FFF2-40B4-BE49-F238E27FC236}">
              <a16:creationId xmlns:a16="http://schemas.microsoft.com/office/drawing/2014/main" id="{00000000-0008-0000-0D00-0000A9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86" name="Text Box 2">
          <a:extLst>
            <a:ext uri="{FF2B5EF4-FFF2-40B4-BE49-F238E27FC236}">
              <a16:creationId xmlns:a16="http://schemas.microsoft.com/office/drawing/2014/main" id="{00000000-0008-0000-0D00-0000AA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87" name="Text Box 2">
          <a:extLst>
            <a:ext uri="{FF2B5EF4-FFF2-40B4-BE49-F238E27FC236}">
              <a16:creationId xmlns:a16="http://schemas.microsoft.com/office/drawing/2014/main" id="{00000000-0008-0000-0D00-0000AB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88" name="Text Box 2">
          <a:extLst>
            <a:ext uri="{FF2B5EF4-FFF2-40B4-BE49-F238E27FC236}">
              <a16:creationId xmlns:a16="http://schemas.microsoft.com/office/drawing/2014/main" id="{00000000-0008-0000-0D00-0000AC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89" name="Text Box 2">
          <a:extLst>
            <a:ext uri="{FF2B5EF4-FFF2-40B4-BE49-F238E27FC236}">
              <a16:creationId xmlns:a16="http://schemas.microsoft.com/office/drawing/2014/main" id="{00000000-0008-0000-0D00-0000AD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90" name="Text Box 2">
          <a:extLst>
            <a:ext uri="{FF2B5EF4-FFF2-40B4-BE49-F238E27FC236}">
              <a16:creationId xmlns:a16="http://schemas.microsoft.com/office/drawing/2014/main" id="{00000000-0008-0000-0D00-0000AE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91" name="Text Box 2">
          <a:extLst>
            <a:ext uri="{FF2B5EF4-FFF2-40B4-BE49-F238E27FC236}">
              <a16:creationId xmlns:a16="http://schemas.microsoft.com/office/drawing/2014/main" id="{00000000-0008-0000-0D00-0000AF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92" name="Text Box 2">
          <a:extLst>
            <a:ext uri="{FF2B5EF4-FFF2-40B4-BE49-F238E27FC236}">
              <a16:creationId xmlns:a16="http://schemas.microsoft.com/office/drawing/2014/main" id="{00000000-0008-0000-0D00-0000B0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93" name="Text Box 2">
          <a:extLst>
            <a:ext uri="{FF2B5EF4-FFF2-40B4-BE49-F238E27FC236}">
              <a16:creationId xmlns:a16="http://schemas.microsoft.com/office/drawing/2014/main" id="{00000000-0008-0000-0D00-0000B1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94" name="Text Box 2">
          <a:extLst>
            <a:ext uri="{FF2B5EF4-FFF2-40B4-BE49-F238E27FC236}">
              <a16:creationId xmlns:a16="http://schemas.microsoft.com/office/drawing/2014/main" id="{00000000-0008-0000-0D00-0000B2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95" name="Text Box 2">
          <a:extLst>
            <a:ext uri="{FF2B5EF4-FFF2-40B4-BE49-F238E27FC236}">
              <a16:creationId xmlns:a16="http://schemas.microsoft.com/office/drawing/2014/main" id="{00000000-0008-0000-0D00-0000B3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96" name="Text Box 2">
          <a:extLst>
            <a:ext uri="{FF2B5EF4-FFF2-40B4-BE49-F238E27FC236}">
              <a16:creationId xmlns:a16="http://schemas.microsoft.com/office/drawing/2014/main" id="{00000000-0008-0000-0D00-0000B4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97" name="Text Box 2">
          <a:extLst>
            <a:ext uri="{FF2B5EF4-FFF2-40B4-BE49-F238E27FC236}">
              <a16:creationId xmlns:a16="http://schemas.microsoft.com/office/drawing/2014/main" id="{00000000-0008-0000-0D00-0000B5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98" name="Text Box 2">
          <a:extLst>
            <a:ext uri="{FF2B5EF4-FFF2-40B4-BE49-F238E27FC236}">
              <a16:creationId xmlns:a16="http://schemas.microsoft.com/office/drawing/2014/main" id="{00000000-0008-0000-0D00-0000B6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2999" name="Text Box 2">
          <a:extLst>
            <a:ext uri="{FF2B5EF4-FFF2-40B4-BE49-F238E27FC236}">
              <a16:creationId xmlns:a16="http://schemas.microsoft.com/office/drawing/2014/main" id="{00000000-0008-0000-0D00-0000B7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00" name="Text Box 2">
          <a:extLst>
            <a:ext uri="{FF2B5EF4-FFF2-40B4-BE49-F238E27FC236}">
              <a16:creationId xmlns:a16="http://schemas.microsoft.com/office/drawing/2014/main" id="{00000000-0008-0000-0D00-0000B8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01" name="Text Box 2">
          <a:extLst>
            <a:ext uri="{FF2B5EF4-FFF2-40B4-BE49-F238E27FC236}">
              <a16:creationId xmlns:a16="http://schemas.microsoft.com/office/drawing/2014/main" id="{00000000-0008-0000-0D00-0000B9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02" name="Text Box 2">
          <a:extLst>
            <a:ext uri="{FF2B5EF4-FFF2-40B4-BE49-F238E27FC236}">
              <a16:creationId xmlns:a16="http://schemas.microsoft.com/office/drawing/2014/main" id="{00000000-0008-0000-0D00-0000BA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03" name="Text Box 2">
          <a:extLst>
            <a:ext uri="{FF2B5EF4-FFF2-40B4-BE49-F238E27FC236}">
              <a16:creationId xmlns:a16="http://schemas.microsoft.com/office/drawing/2014/main" id="{00000000-0008-0000-0D00-0000BB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04" name="Text Box 2">
          <a:extLst>
            <a:ext uri="{FF2B5EF4-FFF2-40B4-BE49-F238E27FC236}">
              <a16:creationId xmlns:a16="http://schemas.microsoft.com/office/drawing/2014/main" id="{00000000-0008-0000-0D00-0000BC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05" name="Text Box 2">
          <a:extLst>
            <a:ext uri="{FF2B5EF4-FFF2-40B4-BE49-F238E27FC236}">
              <a16:creationId xmlns:a16="http://schemas.microsoft.com/office/drawing/2014/main" id="{00000000-0008-0000-0D00-0000BD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06" name="Text Box 2">
          <a:extLst>
            <a:ext uri="{FF2B5EF4-FFF2-40B4-BE49-F238E27FC236}">
              <a16:creationId xmlns:a16="http://schemas.microsoft.com/office/drawing/2014/main" id="{00000000-0008-0000-0D00-0000BE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07" name="Text Box 2">
          <a:extLst>
            <a:ext uri="{FF2B5EF4-FFF2-40B4-BE49-F238E27FC236}">
              <a16:creationId xmlns:a16="http://schemas.microsoft.com/office/drawing/2014/main" id="{00000000-0008-0000-0D00-0000BF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08" name="Text Box 2">
          <a:extLst>
            <a:ext uri="{FF2B5EF4-FFF2-40B4-BE49-F238E27FC236}">
              <a16:creationId xmlns:a16="http://schemas.microsoft.com/office/drawing/2014/main" id="{00000000-0008-0000-0D00-0000C0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09" name="Text Box 2">
          <a:extLst>
            <a:ext uri="{FF2B5EF4-FFF2-40B4-BE49-F238E27FC236}">
              <a16:creationId xmlns:a16="http://schemas.microsoft.com/office/drawing/2014/main" id="{00000000-0008-0000-0D00-0000C1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10" name="Text Box 2">
          <a:extLst>
            <a:ext uri="{FF2B5EF4-FFF2-40B4-BE49-F238E27FC236}">
              <a16:creationId xmlns:a16="http://schemas.microsoft.com/office/drawing/2014/main" id="{00000000-0008-0000-0D00-0000C2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11" name="Text Box 2">
          <a:extLst>
            <a:ext uri="{FF2B5EF4-FFF2-40B4-BE49-F238E27FC236}">
              <a16:creationId xmlns:a16="http://schemas.microsoft.com/office/drawing/2014/main" id="{00000000-0008-0000-0D00-0000C3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12" name="Text Box 2">
          <a:extLst>
            <a:ext uri="{FF2B5EF4-FFF2-40B4-BE49-F238E27FC236}">
              <a16:creationId xmlns:a16="http://schemas.microsoft.com/office/drawing/2014/main" id="{00000000-0008-0000-0D00-0000C4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13" name="Text Box 2">
          <a:extLst>
            <a:ext uri="{FF2B5EF4-FFF2-40B4-BE49-F238E27FC236}">
              <a16:creationId xmlns:a16="http://schemas.microsoft.com/office/drawing/2014/main" id="{00000000-0008-0000-0D00-0000C5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14" name="Text Box 2">
          <a:extLst>
            <a:ext uri="{FF2B5EF4-FFF2-40B4-BE49-F238E27FC236}">
              <a16:creationId xmlns:a16="http://schemas.microsoft.com/office/drawing/2014/main" id="{00000000-0008-0000-0D00-0000C6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15" name="Text Box 2">
          <a:extLst>
            <a:ext uri="{FF2B5EF4-FFF2-40B4-BE49-F238E27FC236}">
              <a16:creationId xmlns:a16="http://schemas.microsoft.com/office/drawing/2014/main" id="{00000000-0008-0000-0D00-0000C7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16" name="Text Box 2">
          <a:extLst>
            <a:ext uri="{FF2B5EF4-FFF2-40B4-BE49-F238E27FC236}">
              <a16:creationId xmlns:a16="http://schemas.microsoft.com/office/drawing/2014/main" id="{00000000-0008-0000-0D00-0000C8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17" name="Text Box 2">
          <a:extLst>
            <a:ext uri="{FF2B5EF4-FFF2-40B4-BE49-F238E27FC236}">
              <a16:creationId xmlns:a16="http://schemas.microsoft.com/office/drawing/2014/main" id="{00000000-0008-0000-0D00-0000C9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18" name="Text Box 2">
          <a:extLst>
            <a:ext uri="{FF2B5EF4-FFF2-40B4-BE49-F238E27FC236}">
              <a16:creationId xmlns:a16="http://schemas.microsoft.com/office/drawing/2014/main" id="{00000000-0008-0000-0D00-0000CA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19" name="Text Box 2">
          <a:extLst>
            <a:ext uri="{FF2B5EF4-FFF2-40B4-BE49-F238E27FC236}">
              <a16:creationId xmlns:a16="http://schemas.microsoft.com/office/drawing/2014/main" id="{00000000-0008-0000-0D00-0000CB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20" name="Text Box 2">
          <a:extLst>
            <a:ext uri="{FF2B5EF4-FFF2-40B4-BE49-F238E27FC236}">
              <a16:creationId xmlns:a16="http://schemas.microsoft.com/office/drawing/2014/main" id="{00000000-0008-0000-0D00-0000CC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21" name="Text Box 2">
          <a:extLst>
            <a:ext uri="{FF2B5EF4-FFF2-40B4-BE49-F238E27FC236}">
              <a16:creationId xmlns:a16="http://schemas.microsoft.com/office/drawing/2014/main" id="{00000000-0008-0000-0D00-0000CD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22" name="Text Box 2">
          <a:extLst>
            <a:ext uri="{FF2B5EF4-FFF2-40B4-BE49-F238E27FC236}">
              <a16:creationId xmlns:a16="http://schemas.microsoft.com/office/drawing/2014/main" id="{00000000-0008-0000-0D00-0000CE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23" name="Text Box 2">
          <a:extLst>
            <a:ext uri="{FF2B5EF4-FFF2-40B4-BE49-F238E27FC236}">
              <a16:creationId xmlns:a16="http://schemas.microsoft.com/office/drawing/2014/main" id="{00000000-0008-0000-0D00-0000CF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24" name="Text Box 2">
          <a:extLst>
            <a:ext uri="{FF2B5EF4-FFF2-40B4-BE49-F238E27FC236}">
              <a16:creationId xmlns:a16="http://schemas.microsoft.com/office/drawing/2014/main" id="{00000000-0008-0000-0D00-0000D0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25" name="Text Box 2">
          <a:extLst>
            <a:ext uri="{FF2B5EF4-FFF2-40B4-BE49-F238E27FC236}">
              <a16:creationId xmlns:a16="http://schemas.microsoft.com/office/drawing/2014/main" id="{00000000-0008-0000-0D00-0000D1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26" name="Text Box 2">
          <a:extLst>
            <a:ext uri="{FF2B5EF4-FFF2-40B4-BE49-F238E27FC236}">
              <a16:creationId xmlns:a16="http://schemas.microsoft.com/office/drawing/2014/main" id="{00000000-0008-0000-0D00-0000D2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27" name="Text Box 2">
          <a:extLst>
            <a:ext uri="{FF2B5EF4-FFF2-40B4-BE49-F238E27FC236}">
              <a16:creationId xmlns:a16="http://schemas.microsoft.com/office/drawing/2014/main" id="{00000000-0008-0000-0D00-0000D3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28" name="Text Box 2">
          <a:extLst>
            <a:ext uri="{FF2B5EF4-FFF2-40B4-BE49-F238E27FC236}">
              <a16:creationId xmlns:a16="http://schemas.microsoft.com/office/drawing/2014/main" id="{00000000-0008-0000-0D00-0000D4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29" name="Text Box 2">
          <a:extLst>
            <a:ext uri="{FF2B5EF4-FFF2-40B4-BE49-F238E27FC236}">
              <a16:creationId xmlns:a16="http://schemas.microsoft.com/office/drawing/2014/main" id="{00000000-0008-0000-0D00-0000D5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30" name="Text Box 2">
          <a:extLst>
            <a:ext uri="{FF2B5EF4-FFF2-40B4-BE49-F238E27FC236}">
              <a16:creationId xmlns:a16="http://schemas.microsoft.com/office/drawing/2014/main" id="{00000000-0008-0000-0D00-0000D6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31" name="Text Box 2">
          <a:extLst>
            <a:ext uri="{FF2B5EF4-FFF2-40B4-BE49-F238E27FC236}">
              <a16:creationId xmlns:a16="http://schemas.microsoft.com/office/drawing/2014/main" id="{00000000-0008-0000-0D00-0000D7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32" name="Text Box 2">
          <a:extLst>
            <a:ext uri="{FF2B5EF4-FFF2-40B4-BE49-F238E27FC236}">
              <a16:creationId xmlns:a16="http://schemas.microsoft.com/office/drawing/2014/main" id="{00000000-0008-0000-0D00-0000D8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33" name="Text Box 2">
          <a:extLst>
            <a:ext uri="{FF2B5EF4-FFF2-40B4-BE49-F238E27FC236}">
              <a16:creationId xmlns:a16="http://schemas.microsoft.com/office/drawing/2014/main" id="{00000000-0008-0000-0D00-0000D9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34" name="Text Box 2">
          <a:extLst>
            <a:ext uri="{FF2B5EF4-FFF2-40B4-BE49-F238E27FC236}">
              <a16:creationId xmlns:a16="http://schemas.microsoft.com/office/drawing/2014/main" id="{00000000-0008-0000-0D00-0000DA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35" name="Text Box 2">
          <a:extLst>
            <a:ext uri="{FF2B5EF4-FFF2-40B4-BE49-F238E27FC236}">
              <a16:creationId xmlns:a16="http://schemas.microsoft.com/office/drawing/2014/main" id="{00000000-0008-0000-0D00-0000DB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36" name="Text Box 2">
          <a:extLst>
            <a:ext uri="{FF2B5EF4-FFF2-40B4-BE49-F238E27FC236}">
              <a16:creationId xmlns:a16="http://schemas.microsoft.com/office/drawing/2014/main" id="{00000000-0008-0000-0D00-0000DC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37" name="Text Box 2">
          <a:extLst>
            <a:ext uri="{FF2B5EF4-FFF2-40B4-BE49-F238E27FC236}">
              <a16:creationId xmlns:a16="http://schemas.microsoft.com/office/drawing/2014/main" id="{00000000-0008-0000-0D00-0000DD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38" name="Text Box 2">
          <a:extLst>
            <a:ext uri="{FF2B5EF4-FFF2-40B4-BE49-F238E27FC236}">
              <a16:creationId xmlns:a16="http://schemas.microsoft.com/office/drawing/2014/main" id="{00000000-0008-0000-0D00-0000DE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39" name="Text Box 2">
          <a:extLst>
            <a:ext uri="{FF2B5EF4-FFF2-40B4-BE49-F238E27FC236}">
              <a16:creationId xmlns:a16="http://schemas.microsoft.com/office/drawing/2014/main" id="{00000000-0008-0000-0D00-0000DF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40" name="Text Box 2">
          <a:extLst>
            <a:ext uri="{FF2B5EF4-FFF2-40B4-BE49-F238E27FC236}">
              <a16:creationId xmlns:a16="http://schemas.microsoft.com/office/drawing/2014/main" id="{00000000-0008-0000-0D00-0000E0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41" name="Text Box 2">
          <a:extLst>
            <a:ext uri="{FF2B5EF4-FFF2-40B4-BE49-F238E27FC236}">
              <a16:creationId xmlns:a16="http://schemas.microsoft.com/office/drawing/2014/main" id="{00000000-0008-0000-0D00-0000E1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42" name="Text Box 2">
          <a:extLst>
            <a:ext uri="{FF2B5EF4-FFF2-40B4-BE49-F238E27FC236}">
              <a16:creationId xmlns:a16="http://schemas.microsoft.com/office/drawing/2014/main" id="{00000000-0008-0000-0D00-0000E2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43" name="Text Box 2">
          <a:extLst>
            <a:ext uri="{FF2B5EF4-FFF2-40B4-BE49-F238E27FC236}">
              <a16:creationId xmlns:a16="http://schemas.microsoft.com/office/drawing/2014/main" id="{00000000-0008-0000-0D00-0000E3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44" name="Text Box 2">
          <a:extLst>
            <a:ext uri="{FF2B5EF4-FFF2-40B4-BE49-F238E27FC236}">
              <a16:creationId xmlns:a16="http://schemas.microsoft.com/office/drawing/2014/main" id="{00000000-0008-0000-0D00-0000E4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45" name="Text Box 2">
          <a:extLst>
            <a:ext uri="{FF2B5EF4-FFF2-40B4-BE49-F238E27FC236}">
              <a16:creationId xmlns:a16="http://schemas.microsoft.com/office/drawing/2014/main" id="{00000000-0008-0000-0D00-0000E5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46" name="Text Box 2">
          <a:extLst>
            <a:ext uri="{FF2B5EF4-FFF2-40B4-BE49-F238E27FC236}">
              <a16:creationId xmlns:a16="http://schemas.microsoft.com/office/drawing/2014/main" id="{00000000-0008-0000-0D00-0000E6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47" name="Text Box 2">
          <a:extLst>
            <a:ext uri="{FF2B5EF4-FFF2-40B4-BE49-F238E27FC236}">
              <a16:creationId xmlns:a16="http://schemas.microsoft.com/office/drawing/2014/main" id="{00000000-0008-0000-0D00-0000E7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48" name="Text Box 2">
          <a:extLst>
            <a:ext uri="{FF2B5EF4-FFF2-40B4-BE49-F238E27FC236}">
              <a16:creationId xmlns:a16="http://schemas.microsoft.com/office/drawing/2014/main" id="{00000000-0008-0000-0D00-0000E8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49" name="Text Box 2">
          <a:extLst>
            <a:ext uri="{FF2B5EF4-FFF2-40B4-BE49-F238E27FC236}">
              <a16:creationId xmlns:a16="http://schemas.microsoft.com/office/drawing/2014/main" id="{00000000-0008-0000-0D00-0000E9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50" name="Text Box 2">
          <a:extLst>
            <a:ext uri="{FF2B5EF4-FFF2-40B4-BE49-F238E27FC236}">
              <a16:creationId xmlns:a16="http://schemas.microsoft.com/office/drawing/2014/main" id="{00000000-0008-0000-0D00-0000EA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51" name="Text Box 2">
          <a:extLst>
            <a:ext uri="{FF2B5EF4-FFF2-40B4-BE49-F238E27FC236}">
              <a16:creationId xmlns:a16="http://schemas.microsoft.com/office/drawing/2014/main" id="{00000000-0008-0000-0D00-0000EB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52" name="Text Box 2">
          <a:extLst>
            <a:ext uri="{FF2B5EF4-FFF2-40B4-BE49-F238E27FC236}">
              <a16:creationId xmlns:a16="http://schemas.microsoft.com/office/drawing/2014/main" id="{00000000-0008-0000-0D00-0000EC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53" name="Text Box 2">
          <a:extLst>
            <a:ext uri="{FF2B5EF4-FFF2-40B4-BE49-F238E27FC236}">
              <a16:creationId xmlns:a16="http://schemas.microsoft.com/office/drawing/2014/main" id="{00000000-0008-0000-0D00-0000ED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54" name="Text Box 2">
          <a:extLst>
            <a:ext uri="{FF2B5EF4-FFF2-40B4-BE49-F238E27FC236}">
              <a16:creationId xmlns:a16="http://schemas.microsoft.com/office/drawing/2014/main" id="{00000000-0008-0000-0D00-0000EE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55" name="Text Box 2">
          <a:extLst>
            <a:ext uri="{FF2B5EF4-FFF2-40B4-BE49-F238E27FC236}">
              <a16:creationId xmlns:a16="http://schemas.microsoft.com/office/drawing/2014/main" id="{00000000-0008-0000-0D00-0000EF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56" name="Text Box 2">
          <a:extLst>
            <a:ext uri="{FF2B5EF4-FFF2-40B4-BE49-F238E27FC236}">
              <a16:creationId xmlns:a16="http://schemas.microsoft.com/office/drawing/2014/main" id="{00000000-0008-0000-0D00-0000F0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57" name="Text Box 2">
          <a:extLst>
            <a:ext uri="{FF2B5EF4-FFF2-40B4-BE49-F238E27FC236}">
              <a16:creationId xmlns:a16="http://schemas.microsoft.com/office/drawing/2014/main" id="{00000000-0008-0000-0D00-0000F1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58" name="Text Box 2">
          <a:extLst>
            <a:ext uri="{FF2B5EF4-FFF2-40B4-BE49-F238E27FC236}">
              <a16:creationId xmlns:a16="http://schemas.microsoft.com/office/drawing/2014/main" id="{00000000-0008-0000-0D00-0000F2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59" name="Text Box 2">
          <a:extLst>
            <a:ext uri="{FF2B5EF4-FFF2-40B4-BE49-F238E27FC236}">
              <a16:creationId xmlns:a16="http://schemas.microsoft.com/office/drawing/2014/main" id="{00000000-0008-0000-0D00-0000F3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60" name="Text Box 2">
          <a:extLst>
            <a:ext uri="{FF2B5EF4-FFF2-40B4-BE49-F238E27FC236}">
              <a16:creationId xmlns:a16="http://schemas.microsoft.com/office/drawing/2014/main" id="{00000000-0008-0000-0D00-0000F4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61" name="Text Box 2">
          <a:extLst>
            <a:ext uri="{FF2B5EF4-FFF2-40B4-BE49-F238E27FC236}">
              <a16:creationId xmlns:a16="http://schemas.microsoft.com/office/drawing/2014/main" id="{00000000-0008-0000-0D00-0000F5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62" name="Text Box 2">
          <a:extLst>
            <a:ext uri="{FF2B5EF4-FFF2-40B4-BE49-F238E27FC236}">
              <a16:creationId xmlns:a16="http://schemas.microsoft.com/office/drawing/2014/main" id="{00000000-0008-0000-0D00-0000F6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63" name="Text Box 2">
          <a:extLst>
            <a:ext uri="{FF2B5EF4-FFF2-40B4-BE49-F238E27FC236}">
              <a16:creationId xmlns:a16="http://schemas.microsoft.com/office/drawing/2014/main" id="{00000000-0008-0000-0D00-0000F7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64" name="Text Box 2">
          <a:extLst>
            <a:ext uri="{FF2B5EF4-FFF2-40B4-BE49-F238E27FC236}">
              <a16:creationId xmlns:a16="http://schemas.microsoft.com/office/drawing/2014/main" id="{00000000-0008-0000-0D00-0000F8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65" name="Text Box 2">
          <a:extLst>
            <a:ext uri="{FF2B5EF4-FFF2-40B4-BE49-F238E27FC236}">
              <a16:creationId xmlns:a16="http://schemas.microsoft.com/office/drawing/2014/main" id="{00000000-0008-0000-0D00-0000F9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66" name="Text Box 2">
          <a:extLst>
            <a:ext uri="{FF2B5EF4-FFF2-40B4-BE49-F238E27FC236}">
              <a16:creationId xmlns:a16="http://schemas.microsoft.com/office/drawing/2014/main" id="{00000000-0008-0000-0D00-0000FA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67" name="Text Box 2">
          <a:extLst>
            <a:ext uri="{FF2B5EF4-FFF2-40B4-BE49-F238E27FC236}">
              <a16:creationId xmlns:a16="http://schemas.microsoft.com/office/drawing/2014/main" id="{00000000-0008-0000-0D00-0000FB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68" name="Text Box 2">
          <a:extLst>
            <a:ext uri="{FF2B5EF4-FFF2-40B4-BE49-F238E27FC236}">
              <a16:creationId xmlns:a16="http://schemas.microsoft.com/office/drawing/2014/main" id="{00000000-0008-0000-0D00-0000FC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69" name="Text Box 2">
          <a:extLst>
            <a:ext uri="{FF2B5EF4-FFF2-40B4-BE49-F238E27FC236}">
              <a16:creationId xmlns:a16="http://schemas.microsoft.com/office/drawing/2014/main" id="{00000000-0008-0000-0D00-0000FD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70" name="Text Box 2">
          <a:extLst>
            <a:ext uri="{FF2B5EF4-FFF2-40B4-BE49-F238E27FC236}">
              <a16:creationId xmlns:a16="http://schemas.microsoft.com/office/drawing/2014/main" id="{00000000-0008-0000-0D00-0000FE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71" name="Text Box 2">
          <a:extLst>
            <a:ext uri="{FF2B5EF4-FFF2-40B4-BE49-F238E27FC236}">
              <a16:creationId xmlns:a16="http://schemas.microsoft.com/office/drawing/2014/main" id="{00000000-0008-0000-0D00-0000FF0B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72" name="Text Box 2">
          <a:extLst>
            <a:ext uri="{FF2B5EF4-FFF2-40B4-BE49-F238E27FC236}">
              <a16:creationId xmlns:a16="http://schemas.microsoft.com/office/drawing/2014/main" id="{00000000-0008-0000-0D00-000000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73" name="Text Box 2">
          <a:extLst>
            <a:ext uri="{FF2B5EF4-FFF2-40B4-BE49-F238E27FC236}">
              <a16:creationId xmlns:a16="http://schemas.microsoft.com/office/drawing/2014/main" id="{00000000-0008-0000-0D00-000001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74" name="Text Box 2">
          <a:extLst>
            <a:ext uri="{FF2B5EF4-FFF2-40B4-BE49-F238E27FC236}">
              <a16:creationId xmlns:a16="http://schemas.microsoft.com/office/drawing/2014/main" id="{00000000-0008-0000-0D00-000002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75" name="Text Box 2">
          <a:extLst>
            <a:ext uri="{FF2B5EF4-FFF2-40B4-BE49-F238E27FC236}">
              <a16:creationId xmlns:a16="http://schemas.microsoft.com/office/drawing/2014/main" id="{00000000-0008-0000-0D00-000003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76" name="Text Box 2">
          <a:extLst>
            <a:ext uri="{FF2B5EF4-FFF2-40B4-BE49-F238E27FC236}">
              <a16:creationId xmlns:a16="http://schemas.microsoft.com/office/drawing/2014/main" id="{00000000-0008-0000-0D00-000004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77" name="Text Box 2">
          <a:extLst>
            <a:ext uri="{FF2B5EF4-FFF2-40B4-BE49-F238E27FC236}">
              <a16:creationId xmlns:a16="http://schemas.microsoft.com/office/drawing/2014/main" id="{00000000-0008-0000-0D00-000005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78" name="Text Box 2">
          <a:extLst>
            <a:ext uri="{FF2B5EF4-FFF2-40B4-BE49-F238E27FC236}">
              <a16:creationId xmlns:a16="http://schemas.microsoft.com/office/drawing/2014/main" id="{00000000-0008-0000-0D00-000006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79" name="Text Box 2">
          <a:extLst>
            <a:ext uri="{FF2B5EF4-FFF2-40B4-BE49-F238E27FC236}">
              <a16:creationId xmlns:a16="http://schemas.microsoft.com/office/drawing/2014/main" id="{00000000-0008-0000-0D00-000007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80" name="Text Box 2">
          <a:extLst>
            <a:ext uri="{FF2B5EF4-FFF2-40B4-BE49-F238E27FC236}">
              <a16:creationId xmlns:a16="http://schemas.microsoft.com/office/drawing/2014/main" id="{00000000-0008-0000-0D00-000008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81" name="Text Box 2">
          <a:extLst>
            <a:ext uri="{FF2B5EF4-FFF2-40B4-BE49-F238E27FC236}">
              <a16:creationId xmlns:a16="http://schemas.microsoft.com/office/drawing/2014/main" id="{00000000-0008-0000-0D00-000009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82" name="Text Box 2">
          <a:extLst>
            <a:ext uri="{FF2B5EF4-FFF2-40B4-BE49-F238E27FC236}">
              <a16:creationId xmlns:a16="http://schemas.microsoft.com/office/drawing/2014/main" id="{00000000-0008-0000-0D00-00000A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083" name="Text Box 2">
          <a:extLst>
            <a:ext uri="{FF2B5EF4-FFF2-40B4-BE49-F238E27FC236}">
              <a16:creationId xmlns:a16="http://schemas.microsoft.com/office/drawing/2014/main" id="{00000000-0008-0000-0D00-00000B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145595</xdr:rowOff>
    </xdr:to>
    <xdr:sp macro="" textlink="">
      <xdr:nvSpPr>
        <xdr:cNvPr id="3084" name="Text Box 2">
          <a:extLst>
            <a:ext uri="{FF2B5EF4-FFF2-40B4-BE49-F238E27FC236}">
              <a16:creationId xmlns:a16="http://schemas.microsoft.com/office/drawing/2014/main" id="{00000000-0008-0000-0D00-00000C0C0000}"/>
            </a:ext>
          </a:extLst>
        </xdr:cNvPr>
        <xdr:cNvSpPr txBox="1">
          <a:spLocks noChangeArrowheads="1"/>
        </xdr:cNvSpPr>
      </xdr:nvSpPr>
      <xdr:spPr bwMode="auto">
        <a:xfrm>
          <a:off x="44815125" y="36185475"/>
          <a:ext cx="6615" cy="52387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145595</xdr:rowOff>
    </xdr:to>
    <xdr:sp macro="" textlink="">
      <xdr:nvSpPr>
        <xdr:cNvPr id="3085" name="Text Box 2">
          <a:extLst>
            <a:ext uri="{FF2B5EF4-FFF2-40B4-BE49-F238E27FC236}">
              <a16:creationId xmlns:a16="http://schemas.microsoft.com/office/drawing/2014/main" id="{00000000-0008-0000-0D00-00000D0C0000}"/>
            </a:ext>
          </a:extLst>
        </xdr:cNvPr>
        <xdr:cNvSpPr txBox="1">
          <a:spLocks noChangeArrowheads="1"/>
        </xdr:cNvSpPr>
      </xdr:nvSpPr>
      <xdr:spPr bwMode="auto">
        <a:xfrm>
          <a:off x="44815125" y="36185475"/>
          <a:ext cx="6615" cy="52387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145595</xdr:rowOff>
    </xdr:to>
    <xdr:sp macro="" textlink="">
      <xdr:nvSpPr>
        <xdr:cNvPr id="3086" name="Text Box 2">
          <a:extLst>
            <a:ext uri="{FF2B5EF4-FFF2-40B4-BE49-F238E27FC236}">
              <a16:creationId xmlns:a16="http://schemas.microsoft.com/office/drawing/2014/main" id="{00000000-0008-0000-0D00-00000E0C0000}"/>
            </a:ext>
          </a:extLst>
        </xdr:cNvPr>
        <xdr:cNvSpPr txBox="1">
          <a:spLocks noChangeArrowheads="1"/>
        </xdr:cNvSpPr>
      </xdr:nvSpPr>
      <xdr:spPr bwMode="auto">
        <a:xfrm>
          <a:off x="44815125" y="36185475"/>
          <a:ext cx="6615" cy="52387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145595</xdr:rowOff>
    </xdr:to>
    <xdr:sp macro="" textlink="">
      <xdr:nvSpPr>
        <xdr:cNvPr id="3087" name="Text Box 2">
          <a:extLst>
            <a:ext uri="{FF2B5EF4-FFF2-40B4-BE49-F238E27FC236}">
              <a16:creationId xmlns:a16="http://schemas.microsoft.com/office/drawing/2014/main" id="{00000000-0008-0000-0D00-00000F0C0000}"/>
            </a:ext>
          </a:extLst>
        </xdr:cNvPr>
        <xdr:cNvSpPr txBox="1">
          <a:spLocks noChangeArrowheads="1"/>
        </xdr:cNvSpPr>
      </xdr:nvSpPr>
      <xdr:spPr bwMode="auto">
        <a:xfrm>
          <a:off x="44815125" y="36185475"/>
          <a:ext cx="6615" cy="52387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145595</xdr:rowOff>
    </xdr:to>
    <xdr:sp macro="" textlink="">
      <xdr:nvSpPr>
        <xdr:cNvPr id="3088" name="Text Box 2">
          <a:extLst>
            <a:ext uri="{FF2B5EF4-FFF2-40B4-BE49-F238E27FC236}">
              <a16:creationId xmlns:a16="http://schemas.microsoft.com/office/drawing/2014/main" id="{00000000-0008-0000-0D00-0000100C0000}"/>
            </a:ext>
          </a:extLst>
        </xdr:cNvPr>
        <xdr:cNvSpPr txBox="1">
          <a:spLocks noChangeArrowheads="1"/>
        </xdr:cNvSpPr>
      </xdr:nvSpPr>
      <xdr:spPr bwMode="auto">
        <a:xfrm>
          <a:off x="44815125" y="36185475"/>
          <a:ext cx="6615" cy="52387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145595</xdr:rowOff>
    </xdr:to>
    <xdr:sp macro="" textlink="">
      <xdr:nvSpPr>
        <xdr:cNvPr id="3089" name="Text Box 2">
          <a:extLst>
            <a:ext uri="{FF2B5EF4-FFF2-40B4-BE49-F238E27FC236}">
              <a16:creationId xmlns:a16="http://schemas.microsoft.com/office/drawing/2014/main" id="{00000000-0008-0000-0D00-0000110C0000}"/>
            </a:ext>
          </a:extLst>
        </xdr:cNvPr>
        <xdr:cNvSpPr txBox="1">
          <a:spLocks noChangeArrowheads="1"/>
        </xdr:cNvSpPr>
      </xdr:nvSpPr>
      <xdr:spPr bwMode="auto">
        <a:xfrm>
          <a:off x="44815125" y="36185475"/>
          <a:ext cx="6615" cy="52387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145595</xdr:rowOff>
    </xdr:to>
    <xdr:sp macro="" textlink="">
      <xdr:nvSpPr>
        <xdr:cNvPr id="3090" name="Text Box 2">
          <a:extLst>
            <a:ext uri="{FF2B5EF4-FFF2-40B4-BE49-F238E27FC236}">
              <a16:creationId xmlns:a16="http://schemas.microsoft.com/office/drawing/2014/main" id="{00000000-0008-0000-0D00-0000120C0000}"/>
            </a:ext>
          </a:extLst>
        </xdr:cNvPr>
        <xdr:cNvSpPr txBox="1">
          <a:spLocks noChangeArrowheads="1"/>
        </xdr:cNvSpPr>
      </xdr:nvSpPr>
      <xdr:spPr bwMode="auto">
        <a:xfrm>
          <a:off x="44815125" y="36185475"/>
          <a:ext cx="6615" cy="52387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9186</xdr:rowOff>
    </xdr:to>
    <xdr:sp macro="" textlink="">
      <xdr:nvSpPr>
        <xdr:cNvPr id="3091" name="Text Box 2">
          <a:extLst>
            <a:ext uri="{FF2B5EF4-FFF2-40B4-BE49-F238E27FC236}">
              <a16:creationId xmlns:a16="http://schemas.microsoft.com/office/drawing/2014/main" id="{00000000-0008-0000-0D00-0000130C0000}"/>
            </a:ext>
          </a:extLst>
        </xdr:cNvPr>
        <xdr:cNvSpPr txBox="1">
          <a:spLocks noChangeArrowheads="1"/>
        </xdr:cNvSpPr>
      </xdr:nvSpPr>
      <xdr:spPr bwMode="auto">
        <a:xfrm>
          <a:off x="44815125" y="36185475"/>
          <a:ext cx="6615" cy="36909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9186</xdr:rowOff>
    </xdr:to>
    <xdr:sp macro="" textlink="">
      <xdr:nvSpPr>
        <xdr:cNvPr id="3092" name="Text Box 2">
          <a:extLst>
            <a:ext uri="{FF2B5EF4-FFF2-40B4-BE49-F238E27FC236}">
              <a16:creationId xmlns:a16="http://schemas.microsoft.com/office/drawing/2014/main" id="{00000000-0008-0000-0D00-0000140C0000}"/>
            </a:ext>
          </a:extLst>
        </xdr:cNvPr>
        <xdr:cNvSpPr txBox="1">
          <a:spLocks noChangeArrowheads="1"/>
        </xdr:cNvSpPr>
      </xdr:nvSpPr>
      <xdr:spPr bwMode="auto">
        <a:xfrm>
          <a:off x="44815125" y="36185475"/>
          <a:ext cx="6615" cy="36909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093" name="Text Box 2">
          <a:extLst>
            <a:ext uri="{FF2B5EF4-FFF2-40B4-BE49-F238E27FC236}">
              <a16:creationId xmlns:a16="http://schemas.microsoft.com/office/drawing/2014/main" id="{00000000-0008-0000-0D00-000015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145595</xdr:rowOff>
    </xdr:to>
    <xdr:sp macro="" textlink="">
      <xdr:nvSpPr>
        <xdr:cNvPr id="3094" name="Text Box 2">
          <a:extLst>
            <a:ext uri="{FF2B5EF4-FFF2-40B4-BE49-F238E27FC236}">
              <a16:creationId xmlns:a16="http://schemas.microsoft.com/office/drawing/2014/main" id="{00000000-0008-0000-0D00-0000160C0000}"/>
            </a:ext>
          </a:extLst>
        </xdr:cNvPr>
        <xdr:cNvSpPr txBox="1">
          <a:spLocks noChangeArrowheads="1"/>
        </xdr:cNvSpPr>
      </xdr:nvSpPr>
      <xdr:spPr bwMode="auto">
        <a:xfrm>
          <a:off x="44815125" y="36185475"/>
          <a:ext cx="6615" cy="52387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095" name="Text Box 2">
          <a:extLst>
            <a:ext uri="{FF2B5EF4-FFF2-40B4-BE49-F238E27FC236}">
              <a16:creationId xmlns:a16="http://schemas.microsoft.com/office/drawing/2014/main" id="{00000000-0008-0000-0D00-000017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096" name="Text Box 2">
          <a:extLst>
            <a:ext uri="{FF2B5EF4-FFF2-40B4-BE49-F238E27FC236}">
              <a16:creationId xmlns:a16="http://schemas.microsoft.com/office/drawing/2014/main" id="{00000000-0008-0000-0D00-000018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145595</xdr:rowOff>
    </xdr:to>
    <xdr:sp macro="" textlink="">
      <xdr:nvSpPr>
        <xdr:cNvPr id="3097" name="Text Box 2">
          <a:extLst>
            <a:ext uri="{FF2B5EF4-FFF2-40B4-BE49-F238E27FC236}">
              <a16:creationId xmlns:a16="http://schemas.microsoft.com/office/drawing/2014/main" id="{00000000-0008-0000-0D00-0000190C0000}"/>
            </a:ext>
          </a:extLst>
        </xdr:cNvPr>
        <xdr:cNvSpPr txBox="1">
          <a:spLocks noChangeArrowheads="1"/>
        </xdr:cNvSpPr>
      </xdr:nvSpPr>
      <xdr:spPr bwMode="auto">
        <a:xfrm>
          <a:off x="44815125" y="36185475"/>
          <a:ext cx="6615" cy="52387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9186</xdr:rowOff>
    </xdr:to>
    <xdr:sp macro="" textlink="">
      <xdr:nvSpPr>
        <xdr:cNvPr id="3098" name="Text Box 2">
          <a:extLst>
            <a:ext uri="{FF2B5EF4-FFF2-40B4-BE49-F238E27FC236}">
              <a16:creationId xmlns:a16="http://schemas.microsoft.com/office/drawing/2014/main" id="{00000000-0008-0000-0D00-00001A0C0000}"/>
            </a:ext>
          </a:extLst>
        </xdr:cNvPr>
        <xdr:cNvSpPr txBox="1">
          <a:spLocks noChangeArrowheads="1"/>
        </xdr:cNvSpPr>
      </xdr:nvSpPr>
      <xdr:spPr bwMode="auto">
        <a:xfrm>
          <a:off x="44815125" y="36185475"/>
          <a:ext cx="6615" cy="36909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9186</xdr:rowOff>
    </xdr:to>
    <xdr:sp macro="" textlink="">
      <xdr:nvSpPr>
        <xdr:cNvPr id="3099" name="Text Box 2">
          <a:extLst>
            <a:ext uri="{FF2B5EF4-FFF2-40B4-BE49-F238E27FC236}">
              <a16:creationId xmlns:a16="http://schemas.microsoft.com/office/drawing/2014/main" id="{00000000-0008-0000-0D00-00001B0C0000}"/>
            </a:ext>
          </a:extLst>
        </xdr:cNvPr>
        <xdr:cNvSpPr txBox="1">
          <a:spLocks noChangeArrowheads="1"/>
        </xdr:cNvSpPr>
      </xdr:nvSpPr>
      <xdr:spPr bwMode="auto">
        <a:xfrm>
          <a:off x="44815125" y="36185475"/>
          <a:ext cx="6615" cy="36909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9186</xdr:rowOff>
    </xdr:to>
    <xdr:sp macro="" textlink="">
      <xdr:nvSpPr>
        <xdr:cNvPr id="3100" name="Text Box 2">
          <a:extLst>
            <a:ext uri="{FF2B5EF4-FFF2-40B4-BE49-F238E27FC236}">
              <a16:creationId xmlns:a16="http://schemas.microsoft.com/office/drawing/2014/main" id="{00000000-0008-0000-0D00-00001C0C0000}"/>
            </a:ext>
          </a:extLst>
        </xdr:cNvPr>
        <xdr:cNvSpPr txBox="1">
          <a:spLocks noChangeArrowheads="1"/>
        </xdr:cNvSpPr>
      </xdr:nvSpPr>
      <xdr:spPr bwMode="auto">
        <a:xfrm>
          <a:off x="44815125" y="36185475"/>
          <a:ext cx="6615" cy="36909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9186</xdr:rowOff>
    </xdr:to>
    <xdr:sp macro="" textlink="">
      <xdr:nvSpPr>
        <xdr:cNvPr id="3101" name="Text Box 2">
          <a:extLst>
            <a:ext uri="{FF2B5EF4-FFF2-40B4-BE49-F238E27FC236}">
              <a16:creationId xmlns:a16="http://schemas.microsoft.com/office/drawing/2014/main" id="{00000000-0008-0000-0D00-00001D0C0000}"/>
            </a:ext>
          </a:extLst>
        </xdr:cNvPr>
        <xdr:cNvSpPr txBox="1">
          <a:spLocks noChangeArrowheads="1"/>
        </xdr:cNvSpPr>
      </xdr:nvSpPr>
      <xdr:spPr bwMode="auto">
        <a:xfrm>
          <a:off x="44815125" y="36185475"/>
          <a:ext cx="6615" cy="36909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102" name="Text Box 2">
          <a:extLst>
            <a:ext uri="{FF2B5EF4-FFF2-40B4-BE49-F238E27FC236}">
              <a16:creationId xmlns:a16="http://schemas.microsoft.com/office/drawing/2014/main" id="{00000000-0008-0000-0D00-00001E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103" name="Text Box 2">
          <a:extLst>
            <a:ext uri="{FF2B5EF4-FFF2-40B4-BE49-F238E27FC236}">
              <a16:creationId xmlns:a16="http://schemas.microsoft.com/office/drawing/2014/main" id="{00000000-0008-0000-0D00-00001F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104" name="Text Box 2">
          <a:extLst>
            <a:ext uri="{FF2B5EF4-FFF2-40B4-BE49-F238E27FC236}">
              <a16:creationId xmlns:a16="http://schemas.microsoft.com/office/drawing/2014/main" id="{00000000-0008-0000-0D00-000020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105" name="Text Box 2">
          <a:extLst>
            <a:ext uri="{FF2B5EF4-FFF2-40B4-BE49-F238E27FC236}">
              <a16:creationId xmlns:a16="http://schemas.microsoft.com/office/drawing/2014/main" id="{00000000-0008-0000-0D00-000021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106" name="Text Box 2">
          <a:extLst>
            <a:ext uri="{FF2B5EF4-FFF2-40B4-BE49-F238E27FC236}">
              <a16:creationId xmlns:a16="http://schemas.microsoft.com/office/drawing/2014/main" id="{00000000-0008-0000-0D00-000022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107" name="Text Box 2">
          <a:extLst>
            <a:ext uri="{FF2B5EF4-FFF2-40B4-BE49-F238E27FC236}">
              <a16:creationId xmlns:a16="http://schemas.microsoft.com/office/drawing/2014/main" id="{00000000-0008-0000-0D00-000023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108" name="Text Box 2">
          <a:extLst>
            <a:ext uri="{FF2B5EF4-FFF2-40B4-BE49-F238E27FC236}">
              <a16:creationId xmlns:a16="http://schemas.microsoft.com/office/drawing/2014/main" id="{00000000-0008-0000-0D00-000024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109" name="Text Box 2">
          <a:extLst>
            <a:ext uri="{FF2B5EF4-FFF2-40B4-BE49-F238E27FC236}">
              <a16:creationId xmlns:a16="http://schemas.microsoft.com/office/drawing/2014/main" id="{00000000-0008-0000-0D00-000025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110" name="Text Box 2">
          <a:extLst>
            <a:ext uri="{FF2B5EF4-FFF2-40B4-BE49-F238E27FC236}">
              <a16:creationId xmlns:a16="http://schemas.microsoft.com/office/drawing/2014/main" id="{00000000-0008-0000-0D00-000026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111" name="Text Box 2">
          <a:extLst>
            <a:ext uri="{FF2B5EF4-FFF2-40B4-BE49-F238E27FC236}">
              <a16:creationId xmlns:a16="http://schemas.microsoft.com/office/drawing/2014/main" id="{00000000-0008-0000-0D00-000027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12" name="Text Box 2">
          <a:extLst>
            <a:ext uri="{FF2B5EF4-FFF2-40B4-BE49-F238E27FC236}">
              <a16:creationId xmlns:a16="http://schemas.microsoft.com/office/drawing/2014/main" id="{00000000-0008-0000-0D00-000028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13" name="Text Box 2">
          <a:extLst>
            <a:ext uri="{FF2B5EF4-FFF2-40B4-BE49-F238E27FC236}">
              <a16:creationId xmlns:a16="http://schemas.microsoft.com/office/drawing/2014/main" id="{00000000-0008-0000-0D00-000029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14" name="Text Box 2">
          <a:extLst>
            <a:ext uri="{FF2B5EF4-FFF2-40B4-BE49-F238E27FC236}">
              <a16:creationId xmlns:a16="http://schemas.microsoft.com/office/drawing/2014/main" id="{00000000-0008-0000-0D00-00002A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15" name="Text Box 2">
          <a:extLst>
            <a:ext uri="{FF2B5EF4-FFF2-40B4-BE49-F238E27FC236}">
              <a16:creationId xmlns:a16="http://schemas.microsoft.com/office/drawing/2014/main" id="{00000000-0008-0000-0D00-00002B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16" name="Text Box 2">
          <a:extLst>
            <a:ext uri="{FF2B5EF4-FFF2-40B4-BE49-F238E27FC236}">
              <a16:creationId xmlns:a16="http://schemas.microsoft.com/office/drawing/2014/main" id="{00000000-0008-0000-0D00-00002C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17" name="Text Box 2">
          <a:extLst>
            <a:ext uri="{FF2B5EF4-FFF2-40B4-BE49-F238E27FC236}">
              <a16:creationId xmlns:a16="http://schemas.microsoft.com/office/drawing/2014/main" id="{00000000-0008-0000-0D00-00002D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18" name="Text Box 2">
          <a:extLst>
            <a:ext uri="{FF2B5EF4-FFF2-40B4-BE49-F238E27FC236}">
              <a16:creationId xmlns:a16="http://schemas.microsoft.com/office/drawing/2014/main" id="{00000000-0008-0000-0D00-00002E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19" name="Text Box 2">
          <a:extLst>
            <a:ext uri="{FF2B5EF4-FFF2-40B4-BE49-F238E27FC236}">
              <a16:creationId xmlns:a16="http://schemas.microsoft.com/office/drawing/2014/main" id="{00000000-0008-0000-0D00-00002F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20" name="Text Box 2">
          <a:extLst>
            <a:ext uri="{FF2B5EF4-FFF2-40B4-BE49-F238E27FC236}">
              <a16:creationId xmlns:a16="http://schemas.microsoft.com/office/drawing/2014/main" id="{00000000-0008-0000-0D00-000030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21" name="Text Box 2">
          <a:extLst>
            <a:ext uri="{FF2B5EF4-FFF2-40B4-BE49-F238E27FC236}">
              <a16:creationId xmlns:a16="http://schemas.microsoft.com/office/drawing/2014/main" id="{00000000-0008-0000-0D00-000031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22" name="Text Box 2">
          <a:extLst>
            <a:ext uri="{FF2B5EF4-FFF2-40B4-BE49-F238E27FC236}">
              <a16:creationId xmlns:a16="http://schemas.microsoft.com/office/drawing/2014/main" id="{00000000-0008-0000-0D00-000032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23" name="Text Box 2">
          <a:extLst>
            <a:ext uri="{FF2B5EF4-FFF2-40B4-BE49-F238E27FC236}">
              <a16:creationId xmlns:a16="http://schemas.microsoft.com/office/drawing/2014/main" id="{00000000-0008-0000-0D00-000033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24" name="Text Box 2">
          <a:extLst>
            <a:ext uri="{FF2B5EF4-FFF2-40B4-BE49-F238E27FC236}">
              <a16:creationId xmlns:a16="http://schemas.microsoft.com/office/drawing/2014/main" id="{00000000-0008-0000-0D00-000034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25" name="Text Box 2">
          <a:extLst>
            <a:ext uri="{FF2B5EF4-FFF2-40B4-BE49-F238E27FC236}">
              <a16:creationId xmlns:a16="http://schemas.microsoft.com/office/drawing/2014/main" id="{00000000-0008-0000-0D00-000035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26" name="Text Box 2">
          <a:extLst>
            <a:ext uri="{FF2B5EF4-FFF2-40B4-BE49-F238E27FC236}">
              <a16:creationId xmlns:a16="http://schemas.microsoft.com/office/drawing/2014/main" id="{00000000-0008-0000-0D00-000036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27" name="Text Box 2">
          <a:extLst>
            <a:ext uri="{FF2B5EF4-FFF2-40B4-BE49-F238E27FC236}">
              <a16:creationId xmlns:a16="http://schemas.microsoft.com/office/drawing/2014/main" id="{00000000-0008-0000-0D00-000037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28" name="Text Box 2">
          <a:extLst>
            <a:ext uri="{FF2B5EF4-FFF2-40B4-BE49-F238E27FC236}">
              <a16:creationId xmlns:a16="http://schemas.microsoft.com/office/drawing/2014/main" id="{00000000-0008-0000-0D00-000038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29" name="Text Box 2">
          <a:extLst>
            <a:ext uri="{FF2B5EF4-FFF2-40B4-BE49-F238E27FC236}">
              <a16:creationId xmlns:a16="http://schemas.microsoft.com/office/drawing/2014/main" id="{00000000-0008-0000-0D00-000039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30" name="Text Box 2">
          <a:extLst>
            <a:ext uri="{FF2B5EF4-FFF2-40B4-BE49-F238E27FC236}">
              <a16:creationId xmlns:a16="http://schemas.microsoft.com/office/drawing/2014/main" id="{00000000-0008-0000-0D00-00003A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31" name="Text Box 2">
          <a:extLst>
            <a:ext uri="{FF2B5EF4-FFF2-40B4-BE49-F238E27FC236}">
              <a16:creationId xmlns:a16="http://schemas.microsoft.com/office/drawing/2014/main" id="{00000000-0008-0000-0D00-00003B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32" name="Text Box 2">
          <a:extLst>
            <a:ext uri="{FF2B5EF4-FFF2-40B4-BE49-F238E27FC236}">
              <a16:creationId xmlns:a16="http://schemas.microsoft.com/office/drawing/2014/main" id="{00000000-0008-0000-0D00-00003C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33" name="Text Box 2">
          <a:extLst>
            <a:ext uri="{FF2B5EF4-FFF2-40B4-BE49-F238E27FC236}">
              <a16:creationId xmlns:a16="http://schemas.microsoft.com/office/drawing/2014/main" id="{00000000-0008-0000-0D00-00003D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34" name="Text Box 2">
          <a:extLst>
            <a:ext uri="{FF2B5EF4-FFF2-40B4-BE49-F238E27FC236}">
              <a16:creationId xmlns:a16="http://schemas.microsoft.com/office/drawing/2014/main" id="{00000000-0008-0000-0D00-00003E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35" name="Text Box 2">
          <a:extLst>
            <a:ext uri="{FF2B5EF4-FFF2-40B4-BE49-F238E27FC236}">
              <a16:creationId xmlns:a16="http://schemas.microsoft.com/office/drawing/2014/main" id="{00000000-0008-0000-0D00-00003F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36" name="Text Box 2">
          <a:extLst>
            <a:ext uri="{FF2B5EF4-FFF2-40B4-BE49-F238E27FC236}">
              <a16:creationId xmlns:a16="http://schemas.microsoft.com/office/drawing/2014/main" id="{00000000-0008-0000-0D00-000040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37" name="Text Box 2">
          <a:extLst>
            <a:ext uri="{FF2B5EF4-FFF2-40B4-BE49-F238E27FC236}">
              <a16:creationId xmlns:a16="http://schemas.microsoft.com/office/drawing/2014/main" id="{00000000-0008-0000-0D00-000041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38" name="Text Box 2">
          <a:extLst>
            <a:ext uri="{FF2B5EF4-FFF2-40B4-BE49-F238E27FC236}">
              <a16:creationId xmlns:a16="http://schemas.microsoft.com/office/drawing/2014/main" id="{00000000-0008-0000-0D00-000042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39" name="Text Box 2">
          <a:extLst>
            <a:ext uri="{FF2B5EF4-FFF2-40B4-BE49-F238E27FC236}">
              <a16:creationId xmlns:a16="http://schemas.microsoft.com/office/drawing/2014/main" id="{00000000-0008-0000-0D00-000043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40" name="Text Box 2">
          <a:extLst>
            <a:ext uri="{FF2B5EF4-FFF2-40B4-BE49-F238E27FC236}">
              <a16:creationId xmlns:a16="http://schemas.microsoft.com/office/drawing/2014/main" id="{00000000-0008-0000-0D00-000044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41" name="Text Box 2">
          <a:extLst>
            <a:ext uri="{FF2B5EF4-FFF2-40B4-BE49-F238E27FC236}">
              <a16:creationId xmlns:a16="http://schemas.microsoft.com/office/drawing/2014/main" id="{00000000-0008-0000-0D00-000045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42" name="Text Box 2">
          <a:extLst>
            <a:ext uri="{FF2B5EF4-FFF2-40B4-BE49-F238E27FC236}">
              <a16:creationId xmlns:a16="http://schemas.microsoft.com/office/drawing/2014/main" id="{00000000-0008-0000-0D00-000046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43" name="Text Box 2">
          <a:extLst>
            <a:ext uri="{FF2B5EF4-FFF2-40B4-BE49-F238E27FC236}">
              <a16:creationId xmlns:a16="http://schemas.microsoft.com/office/drawing/2014/main" id="{00000000-0008-0000-0D00-000047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44" name="Text Box 2">
          <a:extLst>
            <a:ext uri="{FF2B5EF4-FFF2-40B4-BE49-F238E27FC236}">
              <a16:creationId xmlns:a16="http://schemas.microsoft.com/office/drawing/2014/main" id="{00000000-0008-0000-0D00-000048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45" name="Text Box 2">
          <a:extLst>
            <a:ext uri="{FF2B5EF4-FFF2-40B4-BE49-F238E27FC236}">
              <a16:creationId xmlns:a16="http://schemas.microsoft.com/office/drawing/2014/main" id="{00000000-0008-0000-0D00-000049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46" name="Text Box 2">
          <a:extLst>
            <a:ext uri="{FF2B5EF4-FFF2-40B4-BE49-F238E27FC236}">
              <a16:creationId xmlns:a16="http://schemas.microsoft.com/office/drawing/2014/main" id="{00000000-0008-0000-0D00-00004A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47" name="Text Box 2">
          <a:extLst>
            <a:ext uri="{FF2B5EF4-FFF2-40B4-BE49-F238E27FC236}">
              <a16:creationId xmlns:a16="http://schemas.microsoft.com/office/drawing/2014/main" id="{00000000-0008-0000-0D00-00004B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48" name="Text Box 2">
          <a:extLst>
            <a:ext uri="{FF2B5EF4-FFF2-40B4-BE49-F238E27FC236}">
              <a16:creationId xmlns:a16="http://schemas.microsoft.com/office/drawing/2014/main" id="{00000000-0008-0000-0D00-00004C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49" name="Text Box 2">
          <a:extLst>
            <a:ext uri="{FF2B5EF4-FFF2-40B4-BE49-F238E27FC236}">
              <a16:creationId xmlns:a16="http://schemas.microsoft.com/office/drawing/2014/main" id="{00000000-0008-0000-0D00-00004D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50" name="Text Box 2">
          <a:extLst>
            <a:ext uri="{FF2B5EF4-FFF2-40B4-BE49-F238E27FC236}">
              <a16:creationId xmlns:a16="http://schemas.microsoft.com/office/drawing/2014/main" id="{00000000-0008-0000-0D00-00004E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51" name="Text Box 2">
          <a:extLst>
            <a:ext uri="{FF2B5EF4-FFF2-40B4-BE49-F238E27FC236}">
              <a16:creationId xmlns:a16="http://schemas.microsoft.com/office/drawing/2014/main" id="{00000000-0008-0000-0D00-00004F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52" name="Text Box 2">
          <a:extLst>
            <a:ext uri="{FF2B5EF4-FFF2-40B4-BE49-F238E27FC236}">
              <a16:creationId xmlns:a16="http://schemas.microsoft.com/office/drawing/2014/main" id="{00000000-0008-0000-0D00-000050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53" name="Text Box 2">
          <a:extLst>
            <a:ext uri="{FF2B5EF4-FFF2-40B4-BE49-F238E27FC236}">
              <a16:creationId xmlns:a16="http://schemas.microsoft.com/office/drawing/2014/main" id="{00000000-0008-0000-0D00-000051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54" name="Text Box 2">
          <a:extLst>
            <a:ext uri="{FF2B5EF4-FFF2-40B4-BE49-F238E27FC236}">
              <a16:creationId xmlns:a16="http://schemas.microsoft.com/office/drawing/2014/main" id="{00000000-0008-0000-0D00-000052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55" name="Text Box 2">
          <a:extLst>
            <a:ext uri="{FF2B5EF4-FFF2-40B4-BE49-F238E27FC236}">
              <a16:creationId xmlns:a16="http://schemas.microsoft.com/office/drawing/2014/main" id="{00000000-0008-0000-0D00-000053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56" name="Text Box 2">
          <a:extLst>
            <a:ext uri="{FF2B5EF4-FFF2-40B4-BE49-F238E27FC236}">
              <a16:creationId xmlns:a16="http://schemas.microsoft.com/office/drawing/2014/main" id="{00000000-0008-0000-0D00-000054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57" name="Text Box 2">
          <a:extLst>
            <a:ext uri="{FF2B5EF4-FFF2-40B4-BE49-F238E27FC236}">
              <a16:creationId xmlns:a16="http://schemas.microsoft.com/office/drawing/2014/main" id="{00000000-0008-0000-0D00-000055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58" name="Text Box 2">
          <a:extLst>
            <a:ext uri="{FF2B5EF4-FFF2-40B4-BE49-F238E27FC236}">
              <a16:creationId xmlns:a16="http://schemas.microsoft.com/office/drawing/2014/main" id="{00000000-0008-0000-0D00-000056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59" name="Text Box 2">
          <a:extLst>
            <a:ext uri="{FF2B5EF4-FFF2-40B4-BE49-F238E27FC236}">
              <a16:creationId xmlns:a16="http://schemas.microsoft.com/office/drawing/2014/main" id="{00000000-0008-0000-0D00-000057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60" name="Text Box 2">
          <a:extLst>
            <a:ext uri="{FF2B5EF4-FFF2-40B4-BE49-F238E27FC236}">
              <a16:creationId xmlns:a16="http://schemas.microsoft.com/office/drawing/2014/main" id="{00000000-0008-0000-0D00-000058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61" name="Text Box 2">
          <a:extLst>
            <a:ext uri="{FF2B5EF4-FFF2-40B4-BE49-F238E27FC236}">
              <a16:creationId xmlns:a16="http://schemas.microsoft.com/office/drawing/2014/main" id="{00000000-0008-0000-0D00-000059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62" name="Text Box 2">
          <a:extLst>
            <a:ext uri="{FF2B5EF4-FFF2-40B4-BE49-F238E27FC236}">
              <a16:creationId xmlns:a16="http://schemas.microsoft.com/office/drawing/2014/main" id="{00000000-0008-0000-0D00-00005A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63" name="Text Box 2">
          <a:extLst>
            <a:ext uri="{FF2B5EF4-FFF2-40B4-BE49-F238E27FC236}">
              <a16:creationId xmlns:a16="http://schemas.microsoft.com/office/drawing/2014/main" id="{00000000-0008-0000-0D00-00005B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64" name="Text Box 2">
          <a:extLst>
            <a:ext uri="{FF2B5EF4-FFF2-40B4-BE49-F238E27FC236}">
              <a16:creationId xmlns:a16="http://schemas.microsoft.com/office/drawing/2014/main" id="{00000000-0008-0000-0D00-00005C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65" name="Text Box 2">
          <a:extLst>
            <a:ext uri="{FF2B5EF4-FFF2-40B4-BE49-F238E27FC236}">
              <a16:creationId xmlns:a16="http://schemas.microsoft.com/office/drawing/2014/main" id="{00000000-0008-0000-0D00-00005D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66" name="Text Box 2">
          <a:extLst>
            <a:ext uri="{FF2B5EF4-FFF2-40B4-BE49-F238E27FC236}">
              <a16:creationId xmlns:a16="http://schemas.microsoft.com/office/drawing/2014/main" id="{00000000-0008-0000-0D00-00005E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67" name="Text Box 2">
          <a:extLst>
            <a:ext uri="{FF2B5EF4-FFF2-40B4-BE49-F238E27FC236}">
              <a16:creationId xmlns:a16="http://schemas.microsoft.com/office/drawing/2014/main" id="{00000000-0008-0000-0D00-00005F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68" name="Text Box 2">
          <a:extLst>
            <a:ext uri="{FF2B5EF4-FFF2-40B4-BE49-F238E27FC236}">
              <a16:creationId xmlns:a16="http://schemas.microsoft.com/office/drawing/2014/main" id="{00000000-0008-0000-0D00-000060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69" name="Text Box 2">
          <a:extLst>
            <a:ext uri="{FF2B5EF4-FFF2-40B4-BE49-F238E27FC236}">
              <a16:creationId xmlns:a16="http://schemas.microsoft.com/office/drawing/2014/main" id="{00000000-0008-0000-0D00-000061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70" name="Text Box 2">
          <a:extLst>
            <a:ext uri="{FF2B5EF4-FFF2-40B4-BE49-F238E27FC236}">
              <a16:creationId xmlns:a16="http://schemas.microsoft.com/office/drawing/2014/main" id="{00000000-0008-0000-0D00-000062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71" name="Text Box 2">
          <a:extLst>
            <a:ext uri="{FF2B5EF4-FFF2-40B4-BE49-F238E27FC236}">
              <a16:creationId xmlns:a16="http://schemas.microsoft.com/office/drawing/2014/main" id="{00000000-0008-0000-0D00-000063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72" name="Text Box 2">
          <a:extLst>
            <a:ext uri="{FF2B5EF4-FFF2-40B4-BE49-F238E27FC236}">
              <a16:creationId xmlns:a16="http://schemas.microsoft.com/office/drawing/2014/main" id="{00000000-0008-0000-0D00-000064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73" name="Text Box 2">
          <a:extLst>
            <a:ext uri="{FF2B5EF4-FFF2-40B4-BE49-F238E27FC236}">
              <a16:creationId xmlns:a16="http://schemas.microsoft.com/office/drawing/2014/main" id="{00000000-0008-0000-0D00-000065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74" name="Text Box 2">
          <a:extLst>
            <a:ext uri="{FF2B5EF4-FFF2-40B4-BE49-F238E27FC236}">
              <a16:creationId xmlns:a16="http://schemas.microsoft.com/office/drawing/2014/main" id="{00000000-0008-0000-0D00-000066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75" name="Text Box 2">
          <a:extLst>
            <a:ext uri="{FF2B5EF4-FFF2-40B4-BE49-F238E27FC236}">
              <a16:creationId xmlns:a16="http://schemas.microsoft.com/office/drawing/2014/main" id="{00000000-0008-0000-0D00-000067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76" name="Text Box 2">
          <a:extLst>
            <a:ext uri="{FF2B5EF4-FFF2-40B4-BE49-F238E27FC236}">
              <a16:creationId xmlns:a16="http://schemas.microsoft.com/office/drawing/2014/main" id="{00000000-0008-0000-0D00-000068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77" name="Text Box 2">
          <a:extLst>
            <a:ext uri="{FF2B5EF4-FFF2-40B4-BE49-F238E27FC236}">
              <a16:creationId xmlns:a16="http://schemas.microsoft.com/office/drawing/2014/main" id="{00000000-0008-0000-0D00-000069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78" name="Text Box 2">
          <a:extLst>
            <a:ext uri="{FF2B5EF4-FFF2-40B4-BE49-F238E27FC236}">
              <a16:creationId xmlns:a16="http://schemas.microsoft.com/office/drawing/2014/main" id="{00000000-0008-0000-0D00-00006A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79" name="Text Box 2">
          <a:extLst>
            <a:ext uri="{FF2B5EF4-FFF2-40B4-BE49-F238E27FC236}">
              <a16:creationId xmlns:a16="http://schemas.microsoft.com/office/drawing/2014/main" id="{00000000-0008-0000-0D00-00006B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80" name="Text Box 2">
          <a:extLst>
            <a:ext uri="{FF2B5EF4-FFF2-40B4-BE49-F238E27FC236}">
              <a16:creationId xmlns:a16="http://schemas.microsoft.com/office/drawing/2014/main" id="{00000000-0008-0000-0D00-00006C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81" name="Text Box 2">
          <a:extLst>
            <a:ext uri="{FF2B5EF4-FFF2-40B4-BE49-F238E27FC236}">
              <a16:creationId xmlns:a16="http://schemas.microsoft.com/office/drawing/2014/main" id="{00000000-0008-0000-0D00-00006D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82" name="Text Box 2">
          <a:extLst>
            <a:ext uri="{FF2B5EF4-FFF2-40B4-BE49-F238E27FC236}">
              <a16:creationId xmlns:a16="http://schemas.microsoft.com/office/drawing/2014/main" id="{00000000-0008-0000-0D00-00006E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83" name="Text Box 2">
          <a:extLst>
            <a:ext uri="{FF2B5EF4-FFF2-40B4-BE49-F238E27FC236}">
              <a16:creationId xmlns:a16="http://schemas.microsoft.com/office/drawing/2014/main" id="{00000000-0008-0000-0D00-00006F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84" name="Text Box 2">
          <a:extLst>
            <a:ext uri="{FF2B5EF4-FFF2-40B4-BE49-F238E27FC236}">
              <a16:creationId xmlns:a16="http://schemas.microsoft.com/office/drawing/2014/main" id="{00000000-0008-0000-0D00-000070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85" name="Text Box 2">
          <a:extLst>
            <a:ext uri="{FF2B5EF4-FFF2-40B4-BE49-F238E27FC236}">
              <a16:creationId xmlns:a16="http://schemas.microsoft.com/office/drawing/2014/main" id="{00000000-0008-0000-0D00-000071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86" name="Text Box 2">
          <a:extLst>
            <a:ext uri="{FF2B5EF4-FFF2-40B4-BE49-F238E27FC236}">
              <a16:creationId xmlns:a16="http://schemas.microsoft.com/office/drawing/2014/main" id="{00000000-0008-0000-0D00-000072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87" name="Text Box 2">
          <a:extLst>
            <a:ext uri="{FF2B5EF4-FFF2-40B4-BE49-F238E27FC236}">
              <a16:creationId xmlns:a16="http://schemas.microsoft.com/office/drawing/2014/main" id="{00000000-0008-0000-0D00-000073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88" name="Text Box 2">
          <a:extLst>
            <a:ext uri="{FF2B5EF4-FFF2-40B4-BE49-F238E27FC236}">
              <a16:creationId xmlns:a16="http://schemas.microsoft.com/office/drawing/2014/main" id="{00000000-0008-0000-0D00-000074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89" name="Text Box 2">
          <a:extLst>
            <a:ext uri="{FF2B5EF4-FFF2-40B4-BE49-F238E27FC236}">
              <a16:creationId xmlns:a16="http://schemas.microsoft.com/office/drawing/2014/main" id="{00000000-0008-0000-0D00-000075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90" name="Text Box 2">
          <a:extLst>
            <a:ext uri="{FF2B5EF4-FFF2-40B4-BE49-F238E27FC236}">
              <a16:creationId xmlns:a16="http://schemas.microsoft.com/office/drawing/2014/main" id="{00000000-0008-0000-0D00-000076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91" name="Text Box 2">
          <a:extLst>
            <a:ext uri="{FF2B5EF4-FFF2-40B4-BE49-F238E27FC236}">
              <a16:creationId xmlns:a16="http://schemas.microsoft.com/office/drawing/2014/main" id="{00000000-0008-0000-0D00-000077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92" name="Text Box 2">
          <a:extLst>
            <a:ext uri="{FF2B5EF4-FFF2-40B4-BE49-F238E27FC236}">
              <a16:creationId xmlns:a16="http://schemas.microsoft.com/office/drawing/2014/main" id="{00000000-0008-0000-0D00-000078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93" name="Text Box 2">
          <a:extLst>
            <a:ext uri="{FF2B5EF4-FFF2-40B4-BE49-F238E27FC236}">
              <a16:creationId xmlns:a16="http://schemas.microsoft.com/office/drawing/2014/main" id="{00000000-0008-0000-0D00-000079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94" name="Text Box 2">
          <a:extLst>
            <a:ext uri="{FF2B5EF4-FFF2-40B4-BE49-F238E27FC236}">
              <a16:creationId xmlns:a16="http://schemas.microsoft.com/office/drawing/2014/main" id="{00000000-0008-0000-0D00-00007A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95" name="Text Box 2">
          <a:extLst>
            <a:ext uri="{FF2B5EF4-FFF2-40B4-BE49-F238E27FC236}">
              <a16:creationId xmlns:a16="http://schemas.microsoft.com/office/drawing/2014/main" id="{00000000-0008-0000-0D00-00007B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96" name="Text Box 2">
          <a:extLst>
            <a:ext uri="{FF2B5EF4-FFF2-40B4-BE49-F238E27FC236}">
              <a16:creationId xmlns:a16="http://schemas.microsoft.com/office/drawing/2014/main" id="{00000000-0008-0000-0D00-00007C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97" name="Text Box 2">
          <a:extLst>
            <a:ext uri="{FF2B5EF4-FFF2-40B4-BE49-F238E27FC236}">
              <a16:creationId xmlns:a16="http://schemas.microsoft.com/office/drawing/2014/main" id="{00000000-0008-0000-0D00-00007D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98" name="Text Box 2">
          <a:extLst>
            <a:ext uri="{FF2B5EF4-FFF2-40B4-BE49-F238E27FC236}">
              <a16:creationId xmlns:a16="http://schemas.microsoft.com/office/drawing/2014/main" id="{00000000-0008-0000-0D00-00007E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199" name="Text Box 2">
          <a:extLst>
            <a:ext uri="{FF2B5EF4-FFF2-40B4-BE49-F238E27FC236}">
              <a16:creationId xmlns:a16="http://schemas.microsoft.com/office/drawing/2014/main" id="{00000000-0008-0000-0D00-00007F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00" name="Text Box 2">
          <a:extLst>
            <a:ext uri="{FF2B5EF4-FFF2-40B4-BE49-F238E27FC236}">
              <a16:creationId xmlns:a16="http://schemas.microsoft.com/office/drawing/2014/main" id="{00000000-0008-0000-0D00-000080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01" name="Text Box 2">
          <a:extLst>
            <a:ext uri="{FF2B5EF4-FFF2-40B4-BE49-F238E27FC236}">
              <a16:creationId xmlns:a16="http://schemas.microsoft.com/office/drawing/2014/main" id="{00000000-0008-0000-0D00-000081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02" name="Text Box 2">
          <a:extLst>
            <a:ext uri="{FF2B5EF4-FFF2-40B4-BE49-F238E27FC236}">
              <a16:creationId xmlns:a16="http://schemas.microsoft.com/office/drawing/2014/main" id="{00000000-0008-0000-0D00-000082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03" name="Text Box 2">
          <a:extLst>
            <a:ext uri="{FF2B5EF4-FFF2-40B4-BE49-F238E27FC236}">
              <a16:creationId xmlns:a16="http://schemas.microsoft.com/office/drawing/2014/main" id="{00000000-0008-0000-0D00-000083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04" name="Text Box 2">
          <a:extLst>
            <a:ext uri="{FF2B5EF4-FFF2-40B4-BE49-F238E27FC236}">
              <a16:creationId xmlns:a16="http://schemas.microsoft.com/office/drawing/2014/main" id="{00000000-0008-0000-0D00-000084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05" name="Text Box 2">
          <a:extLst>
            <a:ext uri="{FF2B5EF4-FFF2-40B4-BE49-F238E27FC236}">
              <a16:creationId xmlns:a16="http://schemas.microsoft.com/office/drawing/2014/main" id="{00000000-0008-0000-0D00-000085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06" name="Text Box 2">
          <a:extLst>
            <a:ext uri="{FF2B5EF4-FFF2-40B4-BE49-F238E27FC236}">
              <a16:creationId xmlns:a16="http://schemas.microsoft.com/office/drawing/2014/main" id="{00000000-0008-0000-0D00-000086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07" name="Text Box 2">
          <a:extLst>
            <a:ext uri="{FF2B5EF4-FFF2-40B4-BE49-F238E27FC236}">
              <a16:creationId xmlns:a16="http://schemas.microsoft.com/office/drawing/2014/main" id="{00000000-0008-0000-0D00-000087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08" name="Text Box 2">
          <a:extLst>
            <a:ext uri="{FF2B5EF4-FFF2-40B4-BE49-F238E27FC236}">
              <a16:creationId xmlns:a16="http://schemas.microsoft.com/office/drawing/2014/main" id="{00000000-0008-0000-0D00-000088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09" name="Text Box 2">
          <a:extLst>
            <a:ext uri="{FF2B5EF4-FFF2-40B4-BE49-F238E27FC236}">
              <a16:creationId xmlns:a16="http://schemas.microsoft.com/office/drawing/2014/main" id="{00000000-0008-0000-0D00-000089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10" name="Text Box 2">
          <a:extLst>
            <a:ext uri="{FF2B5EF4-FFF2-40B4-BE49-F238E27FC236}">
              <a16:creationId xmlns:a16="http://schemas.microsoft.com/office/drawing/2014/main" id="{00000000-0008-0000-0D00-00008A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11" name="Text Box 2">
          <a:extLst>
            <a:ext uri="{FF2B5EF4-FFF2-40B4-BE49-F238E27FC236}">
              <a16:creationId xmlns:a16="http://schemas.microsoft.com/office/drawing/2014/main" id="{00000000-0008-0000-0D00-00008B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12" name="Text Box 2">
          <a:extLst>
            <a:ext uri="{FF2B5EF4-FFF2-40B4-BE49-F238E27FC236}">
              <a16:creationId xmlns:a16="http://schemas.microsoft.com/office/drawing/2014/main" id="{00000000-0008-0000-0D00-00008C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13" name="Text Box 2">
          <a:extLst>
            <a:ext uri="{FF2B5EF4-FFF2-40B4-BE49-F238E27FC236}">
              <a16:creationId xmlns:a16="http://schemas.microsoft.com/office/drawing/2014/main" id="{00000000-0008-0000-0D00-00008D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14" name="Text Box 2">
          <a:extLst>
            <a:ext uri="{FF2B5EF4-FFF2-40B4-BE49-F238E27FC236}">
              <a16:creationId xmlns:a16="http://schemas.microsoft.com/office/drawing/2014/main" id="{00000000-0008-0000-0D00-00008E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15" name="Text Box 2">
          <a:extLst>
            <a:ext uri="{FF2B5EF4-FFF2-40B4-BE49-F238E27FC236}">
              <a16:creationId xmlns:a16="http://schemas.microsoft.com/office/drawing/2014/main" id="{00000000-0008-0000-0D00-00008F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16" name="Text Box 2">
          <a:extLst>
            <a:ext uri="{FF2B5EF4-FFF2-40B4-BE49-F238E27FC236}">
              <a16:creationId xmlns:a16="http://schemas.microsoft.com/office/drawing/2014/main" id="{00000000-0008-0000-0D00-000090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17" name="Text Box 2">
          <a:extLst>
            <a:ext uri="{FF2B5EF4-FFF2-40B4-BE49-F238E27FC236}">
              <a16:creationId xmlns:a16="http://schemas.microsoft.com/office/drawing/2014/main" id="{00000000-0008-0000-0D00-000091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18" name="Text Box 2">
          <a:extLst>
            <a:ext uri="{FF2B5EF4-FFF2-40B4-BE49-F238E27FC236}">
              <a16:creationId xmlns:a16="http://schemas.microsoft.com/office/drawing/2014/main" id="{00000000-0008-0000-0D00-000092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19" name="Text Box 2">
          <a:extLst>
            <a:ext uri="{FF2B5EF4-FFF2-40B4-BE49-F238E27FC236}">
              <a16:creationId xmlns:a16="http://schemas.microsoft.com/office/drawing/2014/main" id="{00000000-0008-0000-0D00-000093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20" name="Text Box 2">
          <a:extLst>
            <a:ext uri="{FF2B5EF4-FFF2-40B4-BE49-F238E27FC236}">
              <a16:creationId xmlns:a16="http://schemas.microsoft.com/office/drawing/2014/main" id="{00000000-0008-0000-0D00-000094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21" name="Text Box 2">
          <a:extLst>
            <a:ext uri="{FF2B5EF4-FFF2-40B4-BE49-F238E27FC236}">
              <a16:creationId xmlns:a16="http://schemas.microsoft.com/office/drawing/2014/main" id="{00000000-0008-0000-0D00-000095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22" name="Text Box 2">
          <a:extLst>
            <a:ext uri="{FF2B5EF4-FFF2-40B4-BE49-F238E27FC236}">
              <a16:creationId xmlns:a16="http://schemas.microsoft.com/office/drawing/2014/main" id="{00000000-0008-0000-0D00-000096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23" name="Text Box 2">
          <a:extLst>
            <a:ext uri="{FF2B5EF4-FFF2-40B4-BE49-F238E27FC236}">
              <a16:creationId xmlns:a16="http://schemas.microsoft.com/office/drawing/2014/main" id="{00000000-0008-0000-0D00-000097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24" name="Text Box 2">
          <a:extLst>
            <a:ext uri="{FF2B5EF4-FFF2-40B4-BE49-F238E27FC236}">
              <a16:creationId xmlns:a16="http://schemas.microsoft.com/office/drawing/2014/main" id="{00000000-0008-0000-0D00-000098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25" name="Text Box 2">
          <a:extLst>
            <a:ext uri="{FF2B5EF4-FFF2-40B4-BE49-F238E27FC236}">
              <a16:creationId xmlns:a16="http://schemas.microsoft.com/office/drawing/2014/main" id="{00000000-0008-0000-0D00-000099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26" name="Text Box 2">
          <a:extLst>
            <a:ext uri="{FF2B5EF4-FFF2-40B4-BE49-F238E27FC236}">
              <a16:creationId xmlns:a16="http://schemas.microsoft.com/office/drawing/2014/main" id="{00000000-0008-0000-0D00-00009A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27" name="Text Box 2">
          <a:extLst>
            <a:ext uri="{FF2B5EF4-FFF2-40B4-BE49-F238E27FC236}">
              <a16:creationId xmlns:a16="http://schemas.microsoft.com/office/drawing/2014/main" id="{00000000-0008-0000-0D00-00009B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28" name="Text Box 2">
          <a:extLst>
            <a:ext uri="{FF2B5EF4-FFF2-40B4-BE49-F238E27FC236}">
              <a16:creationId xmlns:a16="http://schemas.microsoft.com/office/drawing/2014/main" id="{00000000-0008-0000-0D00-00009C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29" name="Text Box 2">
          <a:extLst>
            <a:ext uri="{FF2B5EF4-FFF2-40B4-BE49-F238E27FC236}">
              <a16:creationId xmlns:a16="http://schemas.microsoft.com/office/drawing/2014/main" id="{00000000-0008-0000-0D00-00009D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30" name="Text Box 2">
          <a:extLst>
            <a:ext uri="{FF2B5EF4-FFF2-40B4-BE49-F238E27FC236}">
              <a16:creationId xmlns:a16="http://schemas.microsoft.com/office/drawing/2014/main" id="{00000000-0008-0000-0D00-00009E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31" name="Text Box 2">
          <a:extLst>
            <a:ext uri="{FF2B5EF4-FFF2-40B4-BE49-F238E27FC236}">
              <a16:creationId xmlns:a16="http://schemas.microsoft.com/office/drawing/2014/main" id="{00000000-0008-0000-0D00-00009F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32" name="Text Box 2">
          <a:extLst>
            <a:ext uri="{FF2B5EF4-FFF2-40B4-BE49-F238E27FC236}">
              <a16:creationId xmlns:a16="http://schemas.microsoft.com/office/drawing/2014/main" id="{00000000-0008-0000-0D00-0000A0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33" name="Text Box 2">
          <a:extLst>
            <a:ext uri="{FF2B5EF4-FFF2-40B4-BE49-F238E27FC236}">
              <a16:creationId xmlns:a16="http://schemas.microsoft.com/office/drawing/2014/main" id="{00000000-0008-0000-0D00-0000A1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34" name="Text Box 2">
          <a:extLst>
            <a:ext uri="{FF2B5EF4-FFF2-40B4-BE49-F238E27FC236}">
              <a16:creationId xmlns:a16="http://schemas.microsoft.com/office/drawing/2014/main" id="{00000000-0008-0000-0D00-0000A2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35" name="Text Box 2">
          <a:extLst>
            <a:ext uri="{FF2B5EF4-FFF2-40B4-BE49-F238E27FC236}">
              <a16:creationId xmlns:a16="http://schemas.microsoft.com/office/drawing/2014/main" id="{00000000-0008-0000-0D00-0000A3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36" name="Text Box 2">
          <a:extLst>
            <a:ext uri="{FF2B5EF4-FFF2-40B4-BE49-F238E27FC236}">
              <a16:creationId xmlns:a16="http://schemas.microsoft.com/office/drawing/2014/main" id="{00000000-0008-0000-0D00-0000A4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37" name="Text Box 2">
          <a:extLst>
            <a:ext uri="{FF2B5EF4-FFF2-40B4-BE49-F238E27FC236}">
              <a16:creationId xmlns:a16="http://schemas.microsoft.com/office/drawing/2014/main" id="{00000000-0008-0000-0D00-0000A5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38" name="Text Box 2">
          <a:extLst>
            <a:ext uri="{FF2B5EF4-FFF2-40B4-BE49-F238E27FC236}">
              <a16:creationId xmlns:a16="http://schemas.microsoft.com/office/drawing/2014/main" id="{00000000-0008-0000-0D00-0000A6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39" name="Text Box 2">
          <a:extLst>
            <a:ext uri="{FF2B5EF4-FFF2-40B4-BE49-F238E27FC236}">
              <a16:creationId xmlns:a16="http://schemas.microsoft.com/office/drawing/2014/main" id="{00000000-0008-0000-0D00-0000A7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40" name="Text Box 2">
          <a:extLst>
            <a:ext uri="{FF2B5EF4-FFF2-40B4-BE49-F238E27FC236}">
              <a16:creationId xmlns:a16="http://schemas.microsoft.com/office/drawing/2014/main" id="{00000000-0008-0000-0D00-0000A8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41" name="Text Box 2">
          <a:extLst>
            <a:ext uri="{FF2B5EF4-FFF2-40B4-BE49-F238E27FC236}">
              <a16:creationId xmlns:a16="http://schemas.microsoft.com/office/drawing/2014/main" id="{00000000-0008-0000-0D00-0000A9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42" name="Text Box 2">
          <a:extLst>
            <a:ext uri="{FF2B5EF4-FFF2-40B4-BE49-F238E27FC236}">
              <a16:creationId xmlns:a16="http://schemas.microsoft.com/office/drawing/2014/main" id="{00000000-0008-0000-0D00-0000AA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43" name="Text Box 2">
          <a:extLst>
            <a:ext uri="{FF2B5EF4-FFF2-40B4-BE49-F238E27FC236}">
              <a16:creationId xmlns:a16="http://schemas.microsoft.com/office/drawing/2014/main" id="{00000000-0008-0000-0D00-0000AB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44" name="Text Box 2">
          <a:extLst>
            <a:ext uri="{FF2B5EF4-FFF2-40B4-BE49-F238E27FC236}">
              <a16:creationId xmlns:a16="http://schemas.microsoft.com/office/drawing/2014/main" id="{00000000-0008-0000-0D00-0000AC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45" name="Text Box 2">
          <a:extLst>
            <a:ext uri="{FF2B5EF4-FFF2-40B4-BE49-F238E27FC236}">
              <a16:creationId xmlns:a16="http://schemas.microsoft.com/office/drawing/2014/main" id="{00000000-0008-0000-0D00-0000AD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46" name="Text Box 2">
          <a:extLst>
            <a:ext uri="{FF2B5EF4-FFF2-40B4-BE49-F238E27FC236}">
              <a16:creationId xmlns:a16="http://schemas.microsoft.com/office/drawing/2014/main" id="{00000000-0008-0000-0D00-0000AE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47" name="Text Box 2">
          <a:extLst>
            <a:ext uri="{FF2B5EF4-FFF2-40B4-BE49-F238E27FC236}">
              <a16:creationId xmlns:a16="http://schemas.microsoft.com/office/drawing/2014/main" id="{00000000-0008-0000-0D00-0000AF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48" name="Text Box 2">
          <a:extLst>
            <a:ext uri="{FF2B5EF4-FFF2-40B4-BE49-F238E27FC236}">
              <a16:creationId xmlns:a16="http://schemas.microsoft.com/office/drawing/2014/main" id="{00000000-0008-0000-0D00-0000B0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49" name="Text Box 2">
          <a:extLst>
            <a:ext uri="{FF2B5EF4-FFF2-40B4-BE49-F238E27FC236}">
              <a16:creationId xmlns:a16="http://schemas.microsoft.com/office/drawing/2014/main" id="{00000000-0008-0000-0D00-0000B1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50" name="Text Box 2">
          <a:extLst>
            <a:ext uri="{FF2B5EF4-FFF2-40B4-BE49-F238E27FC236}">
              <a16:creationId xmlns:a16="http://schemas.microsoft.com/office/drawing/2014/main" id="{00000000-0008-0000-0D00-0000B2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51" name="Text Box 2">
          <a:extLst>
            <a:ext uri="{FF2B5EF4-FFF2-40B4-BE49-F238E27FC236}">
              <a16:creationId xmlns:a16="http://schemas.microsoft.com/office/drawing/2014/main" id="{00000000-0008-0000-0D00-0000B3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52" name="Text Box 2">
          <a:extLst>
            <a:ext uri="{FF2B5EF4-FFF2-40B4-BE49-F238E27FC236}">
              <a16:creationId xmlns:a16="http://schemas.microsoft.com/office/drawing/2014/main" id="{00000000-0008-0000-0D00-0000B4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53" name="Text Box 2">
          <a:extLst>
            <a:ext uri="{FF2B5EF4-FFF2-40B4-BE49-F238E27FC236}">
              <a16:creationId xmlns:a16="http://schemas.microsoft.com/office/drawing/2014/main" id="{00000000-0008-0000-0D00-0000B5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54" name="Text Box 2">
          <a:extLst>
            <a:ext uri="{FF2B5EF4-FFF2-40B4-BE49-F238E27FC236}">
              <a16:creationId xmlns:a16="http://schemas.microsoft.com/office/drawing/2014/main" id="{00000000-0008-0000-0D00-0000B6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55" name="Text Box 2">
          <a:extLst>
            <a:ext uri="{FF2B5EF4-FFF2-40B4-BE49-F238E27FC236}">
              <a16:creationId xmlns:a16="http://schemas.microsoft.com/office/drawing/2014/main" id="{00000000-0008-0000-0D00-0000B7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56" name="Text Box 2">
          <a:extLst>
            <a:ext uri="{FF2B5EF4-FFF2-40B4-BE49-F238E27FC236}">
              <a16:creationId xmlns:a16="http://schemas.microsoft.com/office/drawing/2014/main" id="{00000000-0008-0000-0D00-0000B8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57" name="Text Box 2">
          <a:extLst>
            <a:ext uri="{FF2B5EF4-FFF2-40B4-BE49-F238E27FC236}">
              <a16:creationId xmlns:a16="http://schemas.microsoft.com/office/drawing/2014/main" id="{00000000-0008-0000-0D00-0000B9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58" name="Text Box 2">
          <a:extLst>
            <a:ext uri="{FF2B5EF4-FFF2-40B4-BE49-F238E27FC236}">
              <a16:creationId xmlns:a16="http://schemas.microsoft.com/office/drawing/2014/main" id="{00000000-0008-0000-0D00-0000BA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59" name="Text Box 2">
          <a:extLst>
            <a:ext uri="{FF2B5EF4-FFF2-40B4-BE49-F238E27FC236}">
              <a16:creationId xmlns:a16="http://schemas.microsoft.com/office/drawing/2014/main" id="{00000000-0008-0000-0D00-0000BB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60" name="Text Box 2">
          <a:extLst>
            <a:ext uri="{FF2B5EF4-FFF2-40B4-BE49-F238E27FC236}">
              <a16:creationId xmlns:a16="http://schemas.microsoft.com/office/drawing/2014/main" id="{00000000-0008-0000-0D00-0000BC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61" name="Text Box 2">
          <a:extLst>
            <a:ext uri="{FF2B5EF4-FFF2-40B4-BE49-F238E27FC236}">
              <a16:creationId xmlns:a16="http://schemas.microsoft.com/office/drawing/2014/main" id="{00000000-0008-0000-0D00-0000BD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62" name="Text Box 2">
          <a:extLst>
            <a:ext uri="{FF2B5EF4-FFF2-40B4-BE49-F238E27FC236}">
              <a16:creationId xmlns:a16="http://schemas.microsoft.com/office/drawing/2014/main" id="{00000000-0008-0000-0D00-0000BE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63" name="Text Box 2">
          <a:extLst>
            <a:ext uri="{FF2B5EF4-FFF2-40B4-BE49-F238E27FC236}">
              <a16:creationId xmlns:a16="http://schemas.microsoft.com/office/drawing/2014/main" id="{00000000-0008-0000-0D00-0000BF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64" name="Text Box 2">
          <a:extLst>
            <a:ext uri="{FF2B5EF4-FFF2-40B4-BE49-F238E27FC236}">
              <a16:creationId xmlns:a16="http://schemas.microsoft.com/office/drawing/2014/main" id="{00000000-0008-0000-0D00-0000C0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65" name="Text Box 2">
          <a:extLst>
            <a:ext uri="{FF2B5EF4-FFF2-40B4-BE49-F238E27FC236}">
              <a16:creationId xmlns:a16="http://schemas.microsoft.com/office/drawing/2014/main" id="{00000000-0008-0000-0D00-0000C1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66" name="Text Box 2">
          <a:extLst>
            <a:ext uri="{FF2B5EF4-FFF2-40B4-BE49-F238E27FC236}">
              <a16:creationId xmlns:a16="http://schemas.microsoft.com/office/drawing/2014/main" id="{00000000-0008-0000-0D00-0000C2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67" name="Text Box 2">
          <a:extLst>
            <a:ext uri="{FF2B5EF4-FFF2-40B4-BE49-F238E27FC236}">
              <a16:creationId xmlns:a16="http://schemas.microsoft.com/office/drawing/2014/main" id="{00000000-0008-0000-0D00-0000C3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68" name="Text Box 2">
          <a:extLst>
            <a:ext uri="{FF2B5EF4-FFF2-40B4-BE49-F238E27FC236}">
              <a16:creationId xmlns:a16="http://schemas.microsoft.com/office/drawing/2014/main" id="{00000000-0008-0000-0D00-0000C4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69" name="Text Box 2">
          <a:extLst>
            <a:ext uri="{FF2B5EF4-FFF2-40B4-BE49-F238E27FC236}">
              <a16:creationId xmlns:a16="http://schemas.microsoft.com/office/drawing/2014/main" id="{00000000-0008-0000-0D00-0000C5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70" name="Text Box 2">
          <a:extLst>
            <a:ext uri="{FF2B5EF4-FFF2-40B4-BE49-F238E27FC236}">
              <a16:creationId xmlns:a16="http://schemas.microsoft.com/office/drawing/2014/main" id="{00000000-0008-0000-0D00-0000C6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71" name="Text Box 2">
          <a:extLst>
            <a:ext uri="{FF2B5EF4-FFF2-40B4-BE49-F238E27FC236}">
              <a16:creationId xmlns:a16="http://schemas.microsoft.com/office/drawing/2014/main" id="{00000000-0008-0000-0D00-0000C7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72" name="Text Box 2">
          <a:extLst>
            <a:ext uri="{FF2B5EF4-FFF2-40B4-BE49-F238E27FC236}">
              <a16:creationId xmlns:a16="http://schemas.microsoft.com/office/drawing/2014/main" id="{00000000-0008-0000-0D00-0000C8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73" name="Text Box 2">
          <a:extLst>
            <a:ext uri="{FF2B5EF4-FFF2-40B4-BE49-F238E27FC236}">
              <a16:creationId xmlns:a16="http://schemas.microsoft.com/office/drawing/2014/main" id="{00000000-0008-0000-0D00-0000C9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74" name="Text Box 2">
          <a:extLst>
            <a:ext uri="{FF2B5EF4-FFF2-40B4-BE49-F238E27FC236}">
              <a16:creationId xmlns:a16="http://schemas.microsoft.com/office/drawing/2014/main" id="{00000000-0008-0000-0D00-0000CA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75" name="Text Box 2">
          <a:extLst>
            <a:ext uri="{FF2B5EF4-FFF2-40B4-BE49-F238E27FC236}">
              <a16:creationId xmlns:a16="http://schemas.microsoft.com/office/drawing/2014/main" id="{00000000-0008-0000-0D00-0000CB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76" name="Text Box 2">
          <a:extLst>
            <a:ext uri="{FF2B5EF4-FFF2-40B4-BE49-F238E27FC236}">
              <a16:creationId xmlns:a16="http://schemas.microsoft.com/office/drawing/2014/main" id="{00000000-0008-0000-0D00-0000CC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77" name="Text Box 2">
          <a:extLst>
            <a:ext uri="{FF2B5EF4-FFF2-40B4-BE49-F238E27FC236}">
              <a16:creationId xmlns:a16="http://schemas.microsoft.com/office/drawing/2014/main" id="{00000000-0008-0000-0D00-0000CD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78" name="Text Box 2">
          <a:extLst>
            <a:ext uri="{FF2B5EF4-FFF2-40B4-BE49-F238E27FC236}">
              <a16:creationId xmlns:a16="http://schemas.microsoft.com/office/drawing/2014/main" id="{00000000-0008-0000-0D00-0000CE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79" name="Text Box 2">
          <a:extLst>
            <a:ext uri="{FF2B5EF4-FFF2-40B4-BE49-F238E27FC236}">
              <a16:creationId xmlns:a16="http://schemas.microsoft.com/office/drawing/2014/main" id="{00000000-0008-0000-0D00-0000CF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80" name="Text Box 2">
          <a:extLst>
            <a:ext uri="{FF2B5EF4-FFF2-40B4-BE49-F238E27FC236}">
              <a16:creationId xmlns:a16="http://schemas.microsoft.com/office/drawing/2014/main" id="{00000000-0008-0000-0D00-0000D0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81" name="Text Box 2">
          <a:extLst>
            <a:ext uri="{FF2B5EF4-FFF2-40B4-BE49-F238E27FC236}">
              <a16:creationId xmlns:a16="http://schemas.microsoft.com/office/drawing/2014/main" id="{00000000-0008-0000-0D00-0000D1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82" name="Text Box 2">
          <a:extLst>
            <a:ext uri="{FF2B5EF4-FFF2-40B4-BE49-F238E27FC236}">
              <a16:creationId xmlns:a16="http://schemas.microsoft.com/office/drawing/2014/main" id="{00000000-0008-0000-0D00-0000D2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83" name="Text Box 2">
          <a:extLst>
            <a:ext uri="{FF2B5EF4-FFF2-40B4-BE49-F238E27FC236}">
              <a16:creationId xmlns:a16="http://schemas.microsoft.com/office/drawing/2014/main" id="{00000000-0008-0000-0D00-0000D3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84" name="Text Box 2">
          <a:extLst>
            <a:ext uri="{FF2B5EF4-FFF2-40B4-BE49-F238E27FC236}">
              <a16:creationId xmlns:a16="http://schemas.microsoft.com/office/drawing/2014/main" id="{00000000-0008-0000-0D00-0000D4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85" name="Text Box 2">
          <a:extLst>
            <a:ext uri="{FF2B5EF4-FFF2-40B4-BE49-F238E27FC236}">
              <a16:creationId xmlns:a16="http://schemas.microsoft.com/office/drawing/2014/main" id="{00000000-0008-0000-0D00-0000D5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286" name="Text Box 2">
          <a:extLst>
            <a:ext uri="{FF2B5EF4-FFF2-40B4-BE49-F238E27FC236}">
              <a16:creationId xmlns:a16="http://schemas.microsoft.com/office/drawing/2014/main" id="{00000000-0008-0000-0D00-0000D6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287" name="Text Box 2">
          <a:extLst>
            <a:ext uri="{FF2B5EF4-FFF2-40B4-BE49-F238E27FC236}">
              <a16:creationId xmlns:a16="http://schemas.microsoft.com/office/drawing/2014/main" id="{00000000-0008-0000-0D00-0000D7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288" name="Text Box 2">
          <a:extLst>
            <a:ext uri="{FF2B5EF4-FFF2-40B4-BE49-F238E27FC236}">
              <a16:creationId xmlns:a16="http://schemas.microsoft.com/office/drawing/2014/main" id="{00000000-0008-0000-0D00-0000D8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289" name="Text Box 2">
          <a:extLst>
            <a:ext uri="{FF2B5EF4-FFF2-40B4-BE49-F238E27FC236}">
              <a16:creationId xmlns:a16="http://schemas.microsoft.com/office/drawing/2014/main" id="{00000000-0008-0000-0D00-0000D9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290" name="Text Box 2">
          <a:extLst>
            <a:ext uri="{FF2B5EF4-FFF2-40B4-BE49-F238E27FC236}">
              <a16:creationId xmlns:a16="http://schemas.microsoft.com/office/drawing/2014/main" id="{00000000-0008-0000-0D00-0000DA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291" name="Text Box 2">
          <a:extLst>
            <a:ext uri="{FF2B5EF4-FFF2-40B4-BE49-F238E27FC236}">
              <a16:creationId xmlns:a16="http://schemas.microsoft.com/office/drawing/2014/main" id="{00000000-0008-0000-0D00-0000DB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9186</xdr:rowOff>
    </xdr:to>
    <xdr:sp macro="" textlink="">
      <xdr:nvSpPr>
        <xdr:cNvPr id="3292" name="Text Box 2">
          <a:extLst>
            <a:ext uri="{FF2B5EF4-FFF2-40B4-BE49-F238E27FC236}">
              <a16:creationId xmlns:a16="http://schemas.microsoft.com/office/drawing/2014/main" id="{00000000-0008-0000-0D00-0000DC0C0000}"/>
            </a:ext>
          </a:extLst>
        </xdr:cNvPr>
        <xdr:cNvSpPr txBox="1">
          <a:spLocks noChangeArrowheads="1"/>
        </xdr:cNvSpPr>
      </xdr:nvSpPr>
      <xdr:spPr bwMode="auto">
        <a:xfrm>
          <a:off x="44815125" y="36185475"/>
          <a:ext cx="6615" cy="36909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9186</xdr:rowOff>
    </xdr:to>
    <xdr:sp macro="" textlink="">
      <xdr:nvSpPr>
        <xdr:cNvPr id="3293" name="Text Box 2">
          <a:extLst>
            <a:ext uri="{FF2B5EF4-FFF2-40B4-BE49-F238E27FC236}">
              <a16:creationId xmlns:a16="http://schemas.microsoft.com/office/drawing/2014/main" id="{00000000-0008-0000-0D00-0000DD0C0000}"/>
            </a:ext>
          </a:extLst>
        </xdr:cNvPr>
        <xdr:cNvSpPr txBox="1">
          <a:spLocks noChangeArrowheads="1"/>
        </xdr:cNvSpPr>
      </xdr:nvSpPr>
      <xdr:spPr bwMode="auto">
        <a:xfrm>
          <a:off x="44815125" y="36185475"/>
          <a:ext cx="6615" cy="36909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193</xdr:row>
      <xdr:rowOff>9186</xdr:rowOff>
    </xdr:to>
    <xdr:sp macro="" textlink="">
      <xdr:nvSpPr>
        <xdr:cNvPr id="3294" name="Text Box 2">
          <a:extLst>
            <a:ext uri="{FF2B5EF4-FFF2-40B4-BE49-F238E27FC236}">
              <a16:creationId xmlns:a16="http://schemas.microsoft.com/office/drawing/2014/main" id="{00000000-0008-0000-0D00-0000DE0C0000}"/>
            </a:ext>
          </a:extLst>
        </xdr:cNvPr>
        <xdr:cNvSpPr txBox="1">
          <a:spLocks noChangeArrowheads="1"/>
        </xdr:cNvSpPr>
      </xdr:nvSpPr>
      <xdr:spPr bwMode="auto">
        <a:xfrm>
          <a:off x="44815125" y="36185475"/>
          <a:ext cx="6615" cy="369094"/>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295" name="Text Box 2">
          <a:extLst>
            <a:ext uri="{FF2B5EF4-FFF2-40B4-BE49-F238E27FC236}">
              <a16:creationId xmlns:a16="http://schemas.microsoft.com/office/drawing/2014/main" id="{00000000-0008-0000-0D00-0000DF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296" name="Text Box 2">
          <a:extLst>
            <a:ext uri="{FF2B5EF4-FFF2-40B4-BE49-F238E27FC236}">
              <a16:creationId xmlns:a16="http://schemas.microsoft.com/office/drawing/2014/main" id="{00000000-0008-0000-0D00-0000E0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297" name="Text Box 2">
          <a:extLst>
            <a:ext uri="{FF2B5EF4-FFF2-40B4-BE49-F238E27FC236}">
              <a16:creationId xmlns:a16="http://schemas.microsoft.com/office/drawing/2014/main" id="{00000000-0008-0000-0D00-0000E10C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98" name="Text Box 2">
          <a:extLst>
            <a:ext uri="{FF2B5EF4-FFF2-40B4-BE49-F238E27FC236}">
              <a16:creationId xmlns:a16="http://schemas.microsoft.com/office/drawing/2014/main" id="{00000000-0008-0000-0D00-0000E2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299" name="Text Box 2">
          <a:extLst>
            <a:ext uri="{FF2B5EF4-FFF2-40B4-BE49-F238E27FC236}">
              <a16:creationId xmlns:a16="http://schemas.microsoft.com/office/drawing/2014/main" id="{00000000-0008-0000-0D00-0000E3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00" name="Text Box 2">
          <a:extLst>
            <a:ext uri="{FF2B5EF4-FFF2-40B4-BE49-F238E27FC236}">
              <a16:creationId xmlns:a16="http://schemas.microsoft.com/office/drawing/2014/main" id="{00000000-0008-0000-0D00-0000E4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01" name="Text Box 2">
          <a:extLst>
            <a:ext uri="{FF2B5EF4-FFF2-40B4-BE49-F238E27FC236}">
              <a16:creationId xmlns:a16="http://schemas.microsoft.com/office/drawing/2014/main" id="{00000000-0008-0000-0D00-0000E5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02" name="Text Box 2">
          <a:extLst>
            <a:ext uri="{FF2B5EF4-FFF2-40B4-BE49-F238E27FC236}">
              <a16:creationId xmlns:a16="http://schemas.microsoft.com/office/drawing/2014/main" id="{00000000-0008-0000-0D00-0000E6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03" name="Text Box 2">
          <a:extLst>
            <a:ext uri="{FF2B5EF4-FFF2-40B4-BE49-F238E27FC236}">
              <a16:creationId xmlns:a16="http://schemas.microsoft.com/office/drawing/2014/main" id="{00000000-0008-0000-0D00-0000E7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04" name="Text Box 2">
          <a:extLst>
            <a:ext uri="{FF2B5EF4-FFF2-40B4-BE49-F238E27FC236}">
              <a16:creationId xmlns:a16="http://schemas.microsoft.com/office/drawing/2014/main" id="{00000000-0008-0000-0D00-0000E8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05" name="Text Box 2">
          <a:extLst>
            <a:ext uri="{FF2B5EF4-FFF2-40B4-BE49-F238E27FC236}">
              <a16:creationId xmlns:a16="http://schemas.microsoft.com/office/drawing/2014/main" id="{00000000-0008-0000-0D00-0000E9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06" name="Text Box 2">
          <a:extLst>
            <a:ext uri="{FF2B5EF4-FFF2-40B4-BE49-F238E27FC236}">
              <a16:creationId xmlns:a16="http://schemas.microsoft.com/office/drawing/2014/main" id="{00000000-0008-0000-0D00-0000EA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07" name="Text Box 2">
          <a:extLst>
            <a:ext uri="{FF2B5EF4-FFF2-40B4-BE49-F238E27FC236}">
              <a16:creationId xmlns:a16="http://schemas.microsoft.com/office/drawing/2014/main" id="{00000000-0008-0000-0D00-0000EB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08" name="Text Box 2">
          <a:extLst>
            <a:ext uri="{FF2B5EF4-FFF2-40B4-BE49-F238E27FC236}">
              <a16:creationId xmlns:a16="http://schemas.microsoft.com/office/drawing/2014/main" id="{00000000-0008-0000-0D00-0000EC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09" name="Text Box 2">
          <a:extLst>
            <a:ext uri="{FF2B5EF4-FFF2-40B4-BE49-F238E27FC236}">
              <a16:creationId xmlns:a16="http://schemas.microsoft.com/office/drawing/2014/main" id="{00000000-0008-0000-0D00-0000ED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10" name="Text Box 2">
          <a:extLst>
            <a:ext uri="{FF2B5EF4-FFF2-40B4-BE49-F238E27FC236}">
              <a16:creationId xmlns:a16="http://schemas.microsoft.com/office/drawing/2014/main" id="{00000000-0008-0000-0D00-0000EE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11" name="Text Box 2">
          <a:extLst>
            <a:ext uri="{FF2B5EF4-FFF2-40B4-BE49-F238E27FC236}">
              <a16:creationId xmlns:a16="http://schemas.microsoft.com/office/drawing/2014/main" id="{00000000-0008-0000-0D00-0000EF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12" name="Text Box 2">
          <a:extLst>
            <a:ext uri="{FF2B5EF4-FFF2-40B4-BE49-F238E27FC236}">
              <a16:creationId xmlns:a16="http://schemas.microsoft.com/office/drawing/2014/main" id="{00000000-0008-0000-0D00-0000F0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13" name="Text Box 2">
          <a:extLst>
            <a:ext uri="{FF2B5EF4-FFF2-40B4-BE49-F238E27FC236}">
              <a16:creationId xmlns:a16="http://schemas.microsoft.com/office/drawing/2014/main" id="{00000000-0008-0000-0D00-0000F1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14" name="Text Box 2">
          <a:extLst>
            <a:ext uri="{FF2B5EF4-FFF2-40B4-BE49-F238E27FC236}">
              <a16:creationId xmlns:a16="http://schemas.microsoft.com/office/drawing/2014/main" id="{00000000-0008-0000-0D00-0000F2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15" name="Text Box 2">
          <a:extLst>
            <a:ext uri="{FF2B5EF4-FFF2-40B4-BE49-F238E27FC236}">
              <a16:creationId xmlns:a16="http://schemas.microsoft.com/office/drawing/2014/main" id="{00000000-0008-0000-0D00-0000F3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16" name="Text Box 2">
          <a:extLst>
            <a:ext uri="{FF2B5EF4-FFF2-40B4-BE49-F238E27FC236}">
              <a16:creationId xmlns:a16="http://schemas.microsoft.com/office/drawing/2014/main" id="{00000000-0008-0000-0D00-0000F4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17" name="Text Box 2">
          <a:extLst>
            <a:ext uri="{FF2B5EF4-FFF2-40B4-BE49-F238E27FC236}">
              <a16:creationId xmlns:a16="http://schemas.microsoft.com/office/drawing/2014/main" id="{00000000-0008-0000-0D00-0000F5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18" name="Text Box 2">
          <a:extLst>
            <a:ext uri="{FF2B5EF4-FFF2-40B4-BE49-F238E27FC236}">
              <a16:creationId xmlns:a16="http://schemas.microsoft.com/office/drawing/2014/main" id="{00000000-0008-0000-0D00-0000F6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19" name="Text Box 2">
          <a:extLst>
            <a:ext uri="{FF2B5EF4-FFF2-40B4-BE49-F238E27FC236}">
              <a16:creationId xmlns:a16="http://schemas.microsoft.com/office/drawing/2014/main" id="{00000000-0008-0000-0D00-0000F7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20" name="Text Box 2">
          <a:extLst>
            <a:ext uri="{FF2B5EF4-FFF2-40B4-BE49-F238E27FC236}">
              <a16:creationId xmlns:a16="http://schemas.microsoft.com/office/drawing/2014/main" id="{00000000-0008-0000-0D00-0000F8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21" name="Text Box 2">
          <a:extLst>
            <a:ext uri="{FF2B5EF4-FFF2-40B4-BE49-F238E27FC236}">
              <a16:creationId xmlns:a16="http://schemas.microsoft.com/office/drawing/2014/main" id="{00000000-0008-0000-0D00-0000F9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22" name="Text Box 2">
          <a:extLst>
            <a:ext uri="{FF2B5EF4-FFF2-40B4-BE49-F238E27FC236}">
              <a16:creationId xmlns:a16="http://schemas.microsoft.com/office/drawing/2014/main" id="{00000000-0008-0000-0D00-0000FA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23" name="Text Box 2">
          <a:extLst>
            <a:ext uri="{FF2B5EF4-FFF2-40B4-BE49-F238E27FC236}">
              <a16:creationId xmlns:a16="http://schemas.microsoft.com/office/drawing/2014/main" id="{00000000-0008-0000-0D00-0000FB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24" name="Text Box 2">
          <a:extLst>
            <a:ext uri="{FF2B5EF4-FFF2-40B4-BE49-F238E27FC236}">
              <a16:creationId xmlns:a16="http://schemas.microsoft.com/office/drawing/2014/main" id="{00000000-0008-0000-0D00-0000FC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25" name="Text Box 2">
          <a:extLst>
            <a:ext uri="{FF2B5EF4-FFF2-40B4-BE49-F238E27FC236}">
              <a16:creationId xmlns:a16="http://schemas.microsoft.com/office/drawing/2014/main" id="{00000000-0008-0000-0D00-0000FD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26" name="Text Box 2">
          <a:extLst>
            <a:ext uri="{FF2B5EF4-FFF2-40B4-BE49-F238E27FC236}">
              <a16:creationId xmlns:a16="http://schemas.microsoft.com/office/drawing/2014/main" id="{00000000-0008-0000-0D00-0000FE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27" name="Text Box 2">
          <a:extLst>
            <a:ext uri="{FF2B5EF4-FFF2-40B4-BE49-F238E27FC236}">
              <a16:creationId xmlns:a16="http://schemas.microsoft.com/office/drawing/2014/main" id="{00000000-0008-0000-0D00-0000FF0C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28" name="Text Box 2">
          <a:extLst>
            <a:ext uri="{FF2B5EF4-FFF2-40B4-BE49-F238E27FC236}">
              <a16:creationId xmlns:a16="http://schemas.microsoft.com/office/drawing/2014/main" id="{00000000-0008-0000-0D00-000000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29" name="Text Box 2">
          <a:extLst>
            <a:ext uri="{FF2B5EF4-FFF2-40B4-BE49-F238E27FC236}">
              <a16:creationId xmlns:a16="http://schemas.microsoft.com/office/drawing/2014/main" id="{00000000-0008-0000-0D00-000001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30" name="Text Box 2">
          <a:extLst>
            <a:ext uri="{FF2B5EF4-FFF2-40B4-BE49-F238E27FC236}">
              <a16:creationId xmlns:a16="http://schemas.microsoft.com/office/drawing/2014/main" id="{00000000-0008-0000-0D00-000002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31" name="Text Box 2">
          <a:extLst>
            <a:ext uri="{FF2B5EF4-FFF2-40B4-BE49-F238E27FC236}">
              <a16:creationId xmlns:a16="http://schemas.microsoft.com/office/drawing/2014/main" id="{00000000-0008-0000-0D00-000003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32" name="Text Box 2">
          <a:extLst>
            <a:ext uri="{FF2B5EF4-FFF2-40B4-BE49-F238E27FC236}">
              <a16:creationId xmlns:a16="http://schemas.microsoft.com/office/drawing/2014/main" id="{00000000-0008-0000-0D00-000004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33" name="Text Box 2">
          <a:extLst>
            <a:ext uri="{FF2B5EF4-FFF2-40B4-BE49-F238E27FC236}">
              <a16:creationId xmlns:a16="http://schemas.microsoft.com/office/drawing/2014/main" id="{00000000-0008-0000-0D00-000005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34" name="Text Box 2">
          <a:extLst>
            <a:ext uri="{FF2B5EF4-FFF2-40B4-BE49-F238E27FC236}">
              <a16:creationId xmlns:a16="http://schemas.microsoft.com/office/drawing/2014/main" id="{00000000-0008-0000-0D00-000006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35" name="Text Box 2">
          <a:extLst>
            <a:ext uri="{FF2B5EF4-FFF2-40B4-BE49-F238E27FC236}">
              <a16:creationId xmlns:a16="http://schemas.microsoft.com/office/drawing/2014/main" id="{00000000-0008-0000-0D00-000007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36" name="Text Box 2">
          <a:extLst>
            <a:ext uri="{FF2B5EF4-FFF2-40B4-BE49-F238E27FC236}">
              <a16:creationId xmlns:a16="http://schemas.microsoft.com/office/drawing/2014/main" id="{00000000-0008-0000-0D00-000008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37" name="Text Box 2">
          <a:extLst>
            <a:ext uri="{FF2B5EF4-FFF2-40B4-BE49-F238E27FC236}">
              <a16:creationId xmlns:a16="http://schemas.microsoft.com/office/drawing/2014/main" id="{00000000-0008-0000-0D00-000009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38" name="Text Box 2">
          <a:extLst>
            <a:ext uri="{FF2B5EF4-FFF2-40B4-BE49-F238E27FC236}">
              <a16:creationId xmlns:a16="http://schemas.microsoft.com/office/drawing/2014/main" id="{00000000-0008-0000-0D00-00000A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39" name="Text Box 2">
          <a:extLst>
            <a:ext uri="{FF2B5EF4-FFF2-40B4-BE49-F238E27FC236}">
              <a16:creationId xmlns:a16="http://schemas.microsoft.com/office/drawing/2014/main" id="{00000000-0008-0000-0D00-00000B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40" name="Text Box 2">
          <a:extLst>
            <a:ext uri="{FF2B5EF4-FFF2-40B4-BE49-F238E27FC236}">
              <a16:creationId xmlns:a16="http://schemas.microsoft.com/office/drawing/2014/main" id="{00000000-0008-0000-0D00-00000C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41" name="Text Box 2">
          <a:extLst>
            <a:ext uri="{FF2B5EF4-FFF2-40B4-BE49-F238E27FC236}">
              <a16:creationId xmlns:a16="http://schemas.microsoft.com/office/drawing/2014/main" id="{00000000-0008-0000-0D00-00000D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42" name="Text Box 2">
          <a:extLst>
            <a:ext uri="{FF2B5EF4-FFF2-40B4-BE49-F238E27FC236}">
              <a16:creationId xmlns:a16="http://schemas.microsoft.com/office/drawing/2014/main" id="{00000000-0008-0000-0D00-00000E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43" name="Text Box 2">
          <a:extLst>
            <a:ext uri="{FF2B5EF4-FFF2-40B4-BE49-F238E27FC236}">
              <a16:creationId xmlns:a16="http://schemas.microsoft.com/office/drawing/2014/main" id="{00000000-0008-0000-0D00-00000F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44" name="Text Box 2">
          <a:extLst>
            <a:ext uri="{FF2B5EF4-FFF2-40B4-BE49-F238E27FC236}">
              <a16:creationId xmlns:a16="http://schemas.microsoft.com/office/drawing/2014/main" id="{00000000-0008-0000-0D00-000010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45" name="Text Box 2">
          <a:extLst>
            <a:ext uri="{FF2B5EF4-FFF2-40B4-BE49-F238E27FC236}">
              <a16:creationId xmlns:a16="http://schemas.microsoft.com/office/drawing/2014/main" id="{00000000-0008-0000-0D00-000011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46" name="Text Box 2">
          <a:extLst>
            <a:ext uri="{FF2B5EF4-FFF2-40B4-BE49-F238E27FC236}">
              <a16:creationId xmlns:a16="http://schemas.microsoft.com/office/drawing/2014/main" id="{00000000-0008-0000-0D00-000012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47" name="Text Box 2">
          <a:extLst>
            <a:ext uri="{FF2B5EF4-FFF2-40B4-BE49-F238E27FC236}">
              <a16:creationId xmlns:a16="http://schemas.microsoft.com/office/drawing/2014/main" id="{00000000-0008-0000-0D00-000013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48" name="Text Box 2">
          <a:extLst>
            <a:ext uri="{FF2B5EF4-FFF2-40B4-BE49-F238E27FC236}">
              <a16:creationId xmlns:a16="http://schemas.microsoft.com/office/drawing/2014/main" id="{00000000-0008-0000-0D00-000014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49" name="Text Box 2">
          <a:extLst>
            <a:ext uri="{FF2B5EF4-FFF2-40B4-BE49-F238E27FC236}">
              <a16:creationId xmlns:a16="http://schemas.microsoft.com/office/drawing/2014/main" id="{00000000-0008-0000-0D00-000015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50" name="Text Box 2">
          <a:extLst>
            <a:ext uri="{FF2B5EF4-FFF2-40B4-BE49-F238E27FC236}">
              <a16:creationId xmlns:a16="http://schemas.microsoft.com/office/drawing/2014/main" id="{00000000-0008-0000-0D00-000016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51" name="Text Box 2">
          <a:extLst>
            <a:ext uri="{FF2B5EF4-FFF2-40B4-BE49-F238E27FC236}">
              <a16:creationId xmlns:a16="http://schemas.microsoft.com/office/drawing/2014/main" id="{00000000-0008-0000-0D00-000017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52" name="Text Box 2">
          <a:extLst>
            <a:ext uri="{FF2B5EF4-FFF2-40B4-BE49-F238E27FC236}">
              <a16:creationId xmlns:a16="http://schemas.microsoft.com/office/drawing/2014/main" id="{00000000-0008-0000-0D00-000018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53" name="Text Box 2">
          <a:extLst>
            <a:ext uri="{FF2B5EF4-FFF2-40B4-BE49-F238E27FC236}">
              <a16:creationId xmlns:a16="http://schemas.microsoft.com/office/drawing/2014/main" id="{00000000-0008-0000-0D00-000019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54" name="Text Box 2">
          <a:extLst>
            <a:ext uri="{FF2B5EF4-FFF2-40B4-BE49-F238E27FC236}">
              <a16:creationId xmlns:a16="http://schemas.microsoft.com/office/drawing/2014/main" id="{00000000-0008-0000-0D00-00001A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55" name="Text Box 2">
          <a:extLst>
            <a:ext uri="{FF2B5EF4-FFF2-40B4-BE49-F238E27FC236}">
              <a16:creationId xmlns:a16="http://schemas.microsoft.com/office/drawing/2014/main" id="{00000000-0008-0000-0D00-00001B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56" name="Text Box 2">
          <a:extLst>
            <a:ext uri="{FF2B5EF4-FFF2-40B4-BE49-F238E27FC236}">
              <a16:creationId xmlns:a16="http://schemas.microsoft.com/office/drawing/2014/main" id="{00000000-0008-0000-0D00-00001C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57" name="Text Box 2">
          <a:extLst>
            <a:ext uri="{FF2B5EF4-FFF2-40B4-BE49-F238E27FC236}">
              <a16:creationId xmlns:a16="http://schemas.microsoft.com/office/drawing/2014/main" id="{00000000-0008-0000-0D00-00001D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58" name="Text Box 2">
          <a:extLst>
            <a:ext uri="{FF2B5EF4-FFF2-40B4-BE49-F238E27FC236}">
              <a16:creationId xmlns:a16="http://schemas.microsoft.com/office/drawing/2014/main" id="{00000000-0008-0000-0D00-00001E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59" name="Text Box 2">
          <a:extLst>
            <a:ext uri="{FF2B5EF4-FFF2-40B4-BE49-F238E27FC236}">
              <a16:creationId xmlns:a16="http://schemas.microsoft.com/office/drawing/2014/main" id="{00000000-0008-0000-0D00-00001F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60" name="Text Box 2">
          <a:extLst>
            <a:ext uri="{FF2B5EF4-FFF2-40B4-BE49-F238E27FC236}">
              <a16:creationId xmlns:a16="http://schemas.microsoft.com/office/drawing/2014/main" id="{00000000-0008-0000-0D00-000020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61" name="Text Box 2">
          <a:extLst>
            <a:ext uri="{FF2B5EF4-FFF2-40B4-BE49-F238E27FC236}">
              <a16:creationId xmlns:a16="http://schemas.microsoft.com/office/drawing/2014/main" id="{00000000-0008-0000-0D00-000021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62" name="Text Box 2">
          <a:extLst>
            <a:ext uri="{FF2B5EF4-FFF2-40B4-BE49-F238E27FC236}">
              <a16:creationId xmlns:a16="http://schemas.microsoft.com/office/drawing/2014/main" id="{00000000-0008-0000-0D00-000022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63" name="Text Box 2">
          <a:extLst>
            <a:ext uri="{FF2B5EF4-FFF2-40B4-BE49-F238E27FC236}">
              <a16:creationId xmlns:a16="http://schemas.microsoft.com/office/drawing/2014/main" id="{00000000-0008-0000-0D00-000023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64" name="Text Box 2">
          <a:extLst>
            <a:ext uri="{FF2B5EF4-FFF2-40B4-BE49-F238E27FC236}">
              <a16:creationId xmlns:a16="http://schemas.microsoft.com/office/drawing/2014/main" id="{00000000-0008-0000-0D00-000024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65" name="Text Box 2">
          <a:extLst>
            <a:ext uri="{FF2B5EF4-FFF2-40B4-BE49-F238E27FC236}">
              <a16:creationId xmlns:a16="http://schemas.microsoft.com/office/drawing/2014/main" id="{00000000-0008-0000-0D00-000025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66" name="Text Box 2">
          <a:extLst>
            <a:ext uri="{FF2B5EF4-FFF2-40B4-BE49-F238E27FC236}">
              <a16:creationId xmlns:a16="http://schemas.microsoft.com/office/drawing/2014/main" id="{00000000-0008-0000-0D00-000026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67" name="Text Box 2">
          <a:extLst>
            <a:ext uri="{FF2B5EF4-FFF2-40B4-BE49-F238E27FC236}">
              <a16:creationId xmlns:a16="http://schemas.microsoft.com/office/drawing/2014/main" id="{00000000-0008-0000-0D00-000027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68" name="Text Box 2">
          <a:extLst>
            <a:ext uri="{FF2B5EF4-FFF2-40B4-BE49-F238E27FC236}">
              <a16:creationId xmlns:a16="http://schemas.microsoft.com/office/drawing/2014/main" id="{00000000-0008-0000-0D00-000028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69" name="Text Box 2">
          <a:extLst>
            <a:ext uri="{FF2B5EF4-FFF2-40B4-BE49-F238E27FC236}">
              <a16:creationId xmlns:a16="http://schemas.microsoft.com/office/drawing/2014/main" id="{00000000-0008-0000-0D00-000029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70" name="Text Box 2">
          <a:extLst>
            <a:ext uri="{FF2B5EF4-FFF2-40B4-BE49-F238E27FC236}">
              <a16:creationId xmlns:a16="http://schemas.microsoft.com/office/drawing/2014/main" id="{00000000-0008-0000-0D00-00002A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71" name="Text Box 2">
          <a:extLst>
            <a:ext uri="{FF2B5EF4-FFF2-40B4-BE49-F238E27FC236}">
              <a16:creationId xmlns:a16="http://schemas.microsoft.com/office/drawing/2014/main" id="{00000000-0008-0000-0D00-00002B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72" name="Text Box 2">
          <a:extLst>
            <a:ext uri="{FF2B5EF4-FFF2-40B4-BE49-F238E27FC236}">
              <a16:creationId xmlns:a16="http://schemas.microsoft.com/office/drawing/2014/main" id="{00000000-0008-0000-0D00-00002C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73" name="Text Box 2">
          <a:extLst>
            <a:ext uri="{FF2B5EF4-FFF2-40B4-BE49-F238E27FC236}">
              <a16:creationId xmlns:a16="http://schemas.microsoft.com/office/drawing/2014/main" id="{00000000-0008-0000-0D00-00002D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74" name="Text Box 2">
          <a:extLst>
            <a:ext uri="{FF2B5EF4-FFF2-40B4-BE49-F238E27FC236}">
              <a16:creationId xmlns:a16="http://schemas.microsoft.com/office/drawing/2014/main" id="{00000000-0008-0000-0D00-00002E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75" name="Text Box 2">
          <a:extLst>
            <a:ext uri="{FF2B5EF4-FFF2-40B4-BE49-F238E27FC236}">
              <a16:creationId xmlns:a16="http://schemas.microsoft.com/office/drawing/2014/main" id="{00000000-0008-0000-0D00-00002F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76" name="Text Box 2">
          <a:extLst>
            <a:ext uri="{FF2B5EF4-FFF2-40B4-BE49-F238E27FC236}">
              <a16:creationId xmlns:a16="http://schemas.microsoft.com/office/drawing/2014/main" id="{00000000-0008-0000-0D00-000030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77" name="Text Box 2">
          <a:extLst>
            <a:ext uri="{FF2B5EF4-FFF2-40B4-BE49-F238E27FC236}">
              <a16:creationId xmlns:a16="http://schemas.microsoft.com/office/drawing/2014/main" id="{00000000-0008-0000-0D00-000031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78" name="Text Box 2">
          <a:extLst>
            <a:ext uri="{FF2B5EF4-FFF2-40B4-BE49-F238E27FC236}">
              <a16:creationId xmlns:a16="http://schemas.microsoft.com/office/drawing/2014/main" id="{00000000-0008-0000-0D00-000032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79" name="Text Box 2">
          <a:extLst>
            <a:ext uri="{FF2B5EF4-FFF2-40B4-BE49-F238E27FC236}">
              <a16:creationId xmlns:a16="http://schemas.microsoft.com/office/drawing/2014/main" id="{00000000-0008-0000-0D00-000033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80" name="Text Box 2">
          <a:extLst>
            <a:ext uri="{FF2B5EF4-FFF2-40B4-BE49-F238E27FC236}">
              <a16:creationId xmlns:a16="http://schemas.microsoft.com/office/drawing/2014/main" id="{00000000-0008-0000-0D00-000034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81" name="Text Box 2">
          <a:extLst>
            <a:ext uri="{FF2B5EF4-FFF2-40B4-BE49-F238E27FC236}">
              <a16:creationId xmlns:a16="http://schemas.microsoft.com/office/drawing/2014/main" id="{00000000-0008-0000-0D00-000035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82" name="Text Box 2">
          <a:extLst>
            <a:ext uri="{FF2B5EF4-FFF2-40B4-BE49-F238E27FC236}">
              <a16:creationId xmlns:a16="http://schemas.microsoft.com/office/drawing/2014/main" id="{00000000-0008-0000-0D00-000036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83" name="Text Box 2">
          <a:extLst>
            <a:ext uri="{FF2B5EF4-FFF2-40B4-BE49-F238E27FC236}">
              <a16:creationId xmlns:a16="http://schemas.microsoft.com/office/drawing/2014/main" id="{00000000-0008-0000-0D00-000037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103073</xdr:rowOff>
    </xdr:to>
    <xdr:sp macro="" textlink="">
      <xdr:nvSpPr>
        <xdr:cNvPr id="3384" name="Text Box 2">
          <a:extLst>
            <a:ext uri="{FF2B5EF4-FFF2-40B4-BE49-F238E27FC236}">
              <a16:creationId xmlns:a16="http://schemas.microsoft.com/office/drawing/2014/main" id="{00000000-0008-0000-0D00-0000380D0000}"/>
            </a:ext>
          </a:extLst>
        </xdr:cNvPr>
        <xdr:cNvSpPr txBox="1">
          <a:spLocks noChangeArrowheads="1"/>
        </xdr:cNvSpPr>
      </xdr:nvSpPr>
      <xdr:spPr bwMode="auto">
        <a:xfrm>
          <a:off x="44815125" y="36185475"/>
          <a:ext cx="6615" cy="288130"/>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85" name="Text Box 2">
          <a:extLst>
            <a:ext uri="{FF2B5EF4-FFF2-40B4-BE49-F238E27FC236}">
              <a16:creationId xmlns:a16="http://schemas.microsoft.com/office/drawing/2014/main" id="{00000000-0008-0000-0D00-000039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86" name="Text Box 2">
          <a:extLst>
            <a:ext uri="{FF2B5EF4-FFF2-40B4-BE49-F238E27FC236}">
              <a16:creationId xmlns:a16="http://schemas.microsoft.com/office/drawing/2014/main" id="{00000000-0008-0000-0D00-00003A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87" name="Text Box 2">
          <a:extLst>
            <a:ext uri="{FF2B5EF4-FFF2-40B4-BE49-F238E27FC236}">
              <a16:creationId xmlns:a16="http://schemas.microsoft.com/office/drawing/2014/main" id="{00000000-0008-0000-0D00-00003B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88" name="Text Box 2">
          <a:extLst>
            <a:ext uri="{FF2B5EF4-FFF2-40B4-BE49-F238E27FC236}">
              <a16:creationId xmlns:a16="http://schemas.microsoft.com/office/drawing/2014/main" id="{00000000-0008-0000-0D00-00003C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89" name="Text Box 2">
          <a:extLst>
            <a:ext uri="{FF2B5EF4-FFF2-40B4-BE49-F238E27FC236}">
              <a16:creationId xmlns:a16="http://schemas.microsoft.com/office/drawing/2014/main" id="{00000000-0008-0000-0D00-00003D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90" name="Text Box 2">
          <a:extLst>
            <a:ext uri="{FF2B5EF4-FFF2-40B4-BE49-F238E27FC236}">
              <a16:creationId xmlns:a16="http://schemas.microsoft.com/office/drawing/2014/main" id="{00000000-0008-0000-0D00-00003E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91" name="Text Box 2">
          <a:extLst>
            <a:ext uri="{FF2B5EF4-FFF2-40B4-BE49-F238E27FC236}">
              <a16:creationId xmlns:a16="http://schemas.microsoft.com/office/drawing/2014/main" id="{00000000-0008-0000-0D00-00003F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92" name="Text Box 2">
          <a:extLst>
            <a:ext uri="{FF2B5EF4-FFF2-40B4-BE49-F238E27FC236}">
              <a16:creationId xmlns:a16="http://schemas.microsoft.com/office/drawing/2014/main" id="{00000000-0008-0000-0D00-000040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93" name="Text Box 2">
          <a:extLst>
            <a:ext uri="{FF2B5EF4-FFF2-40B4-BE49-F238E27FC236}">
              <a16:creationId xmlns:a16="http://schemas.microsoft.com/office/drawing/2014/main" id="{00000000-0008-0000-0D00-000041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94" name="Text Box 2">
          <a:extLst>
            <a:ext uri="{FF2B5EF4-FFF2-40B4-BE49-F238E27FC236}">
              <a16:creationId xmlns:a16="http://schemas.microsoft.com/office/drawing/2014/main" id="{00000000-0008-0000-0D00-000042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95" name="Text Box 2">
          <a:extLst>
            <a:ext uri="{FF2B5EF4-FFF2-40B4-BE49-F238E27FC236}">
              <a16:creationId xmlns:a16="http://schemas.microsoft.com/office/drawing/2014/main" id="{00000000-0008-0000-0D00-000043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96" name="Text Box 2">
          <a:extLst>
            <a:ext uri="{FF2B5EF4-FFF2-40B4-BE49-F238E27FC236}">
              <a16:creationId xmlns:a16="http://schemas.microsoft.com/office/drawing/2014/main" id="{00000000-0008-0000-0D00-000044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97" name="Text Box 2">
          <a:extLst>
            <a:ext uri="{FF2B5EF4-FFF2-40B4-BE49-F238E27FC236}">
              <a16:creationId xmlns:a16="http://schemas.microsoft.com/office/drawing/2014/main" id="{00000000-0008-0000-0D00-000045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98" name="Text Box 2">
          <a:extLst>
            <a:ext uri="{FF2B5EF4-FFF2-40B4-BE49-F238E27FC236}">
              <a16:creationId xmlns:a16="http://schemas.microsoft.com/office/drawing/2014/main" id="{00000000-0008-0000-0D00-000046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399" name="Text Box 2">
          <a:extLst>
            <a:ext uri="{FF2B5EF4-FFF2-40B4-BE49-F238E27FC236}">
              <a16:creationId xmlns:a16="http://schemas.microsoft.com/office/drawing/2014/main" id="{00000000-0008-0000-0D00-000047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00" name="Text Box 2">
          <a:extLst>
            <a:ext uri="{FF2B5EF4-FFF2-40B4-BE49-F238E27FC236}">
              <a16:creationId xmlns:a16="http://schemas.microsoft.com/office/drawing/2014/main" id="{00000000-0008-0000-0D00-000048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01" name="Text Box 2">
          <a:extLst>
            <a:ext uri="{FF2B5EF4-FFF2-40B4-BE49-F238E27FC236}">
              <a16:creationId xmlns:a16="http://schemas.microsoft.com/office/drawing/2014/main" id="{00000000-0008-0000-0D00-000049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02" name="Text Box 2">
          <a:extLst>
            <a:ext uri="{FF2B5EF4-FFF2-40B4-BE49-F238E27FC236}">
              <a16:creationId xmlns:a16="http://schemas.microsoft.com/office/drawing/2014/main" id="{00000000-0008-0000-0D00-00004A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03" name="Text Box 2">
          <a:extLst>
            <a:ext uri="{FF2B5EF4-FFF2-40B4-BE49-F238E27FC236}">
              <a16:creationId xmlns:a16="http://schemas.microsoft.com/office/drawing/2014/main" id="{00000000-0008-0000-0D00-00004B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04" name="Text Box 2">
          <a:extLst>
            <a:ext uri="{FF2B5EF4-FFF2-40B4-BE49-F238E27FC236}">
              <a16:creationId xmlns:a16="http://schemas.microsoft.com/office/drawing/2014/main" id="{00000000-0008-0000-0D00-00004C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05" name="Text Box 2">
          <a:extLst>
            <a:ext uri="{FF2B5EF4-FFF2-40B4-BE49-F238E27FC236}">
              <a16:creationId xmlns:a16="http://schemas.microsoft.com/office/drawing/2014/main" id="{00000000-0008-0000-0D00-00004D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06" name="Text Box 2">
          <a:extLst>
            <a:ext uri="{FF2B5EF4-FFF2-40B4-BE49-F238E27FC236}">
              <a16:creationId xmlns:a16="http://schemas.microsoft.com/office/drawing/2014/main" id="{00000000-0008-0000-0D00-00004E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07" name="Text Box 2">
          <a:extLst>
            <a:ext uri="{FF2B5EF4-FFF2-40B4-BE49-F238E27FC236}">
              <a16:creationId xmlns:a16="http://schemas.microsoft.com/office/drawing/2014/main" id="{00000000-0008-0000-0D00-00004F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08" name="Text Box 2">
          <a:extLst>
            <a:ext uri="{FF2B5EF4-FFF2-40B4-BE49-F238E27FC236}">
              <a16:creationId xmlns:a16="http://schemas.microsoft.com/office/drawing/2014/main" id="{00000000-0008-0000-0D00-000050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09" name="Text Box 2">
          <a:extLst>
            <a:ext uri="{FF2B5EF4-FFF2-40B4-BE49-F238E27FC236}">
              <a16:creationId xmlns:a16="http://schemas.microsoft.com/office/drawing/2014/main" id="{00000000-0008-0000-0D00-000051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10" name="Text Box 2">
          <a:extLst>
            <a:ext uri="{FF2B5EF4-FFF2-40B4-BE49-F238E27FC236}">
              <a16:creationId xmlns:a16="http://schemas.microsoft.com/office/drawing/2014/main" id="{00000000-0008-0000-0D00-000052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11" name="Text Box 2">
          <a:extLst>
            <a:ext uri="{FF2B5EF4-FFF2-40B4-BE49-F238E27FC236}">
              <a16:creationId xmlns:a16="http://schemas.microsoft.com/office/drawing/2014/main" id="{00000000-0008-0000-0D00-000053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12" name="Text Box 2">
          <a:extLst>
            <a:ext uri="{FF2B5EF4-FFF2-40B4-BE49-F238E27FC236}">
              <a16:creationId xmlns:a16="http://schemas.microsoft.com/office/drawing/2014/main" id="{00000000-0008-0000-0D00-000054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xdr:twoCellAnchor editAs="oneCell">
    <xdr:from>
      <xdr:col>48</xdr:col>
      <xdr:colOff>0</xdr:colOff>
      <xdr:row>191</xdr:row>
      <xdr:rowOff>0</xdr:rowOff>
    </xdr:from>
    <xdr:to>
      <xdr:col>48</xdr:col>
      <xdr:colOff>0</xdr:colOff>
      <xdr:row>192</xdr:row>
      <xdr:rowOff>112598</xdr:rowOff>
    </xdr:to>
    <xdr:sp macro="" textlink="">
      <xdr:nvSpPr>
        <xdr:cNvPr id="3413" name="Text Box 2">
          <a:extLst>
            <a:ext uri="{FF2B5EF4-FFF2-40B4-BE49-F238E27FC236}">
              <a16:creationId xmlns:a16="http://schemas.microsoft.com/office/drawing/2014/main" id="{00000000-0008-0000-0D00-0000550D0000}"/>
            </a:ext>
          </a:extLst>
        </xdr:cNvPr>
        <xdr:cNvSpPr txBox="1">
          <a:spLocks noChangeArrowheads="1"/>
        </xdr:cNvSpPr>
      </xdr:nvSpPr>
      <xdr:spPr bwMode="auto">
        <a:xfrm>
          <a:off x="44815125" y="36185475"/>
          <a:ext cx="6615" cy="297655"/>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8</xdr:col>
          <xdr:colOff>297180</xdr:colOff>
          <xdr:row>0</xdr:row>
          <xdr:rowOff>22860</xdr:rowOff>
        </xdr:from>
        <xdr:to>
          <xdr:col>8</xdr:col>
          <xdr:colOff>2011680</xdr:colOff>
          <xdr:row>1</xdr:row>
          <xdr:rowOff>106680</xdr:rowOff>
        </xdr:to>
        <xdr:sp macro="" textlink="">
          <xdr:nvSpPr>
            <xdr:cNvPr id="173060" name="CommandButton1" hidden="1">
              <a:extLst>
                <a:ext uri="{63B3BB69-23CF-44E3-9099-C40C66FF867C}">
                  <a14:compatExt spid="_x0000_s173060"/>
                </a:ext>
                <a:ext uri="{FF2B5EF4-FFF2-40B4-BE49-F238E27FC236}">
                  <a16:creationId xmlns:a16="http://schemas.microsoft.com/office/drawing/2014/main" id="{00000000-0008-0000-0D00-000004A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6</xdr:col>
      <xdr:colOff>0</xdr:colOff>
      <xdr:row>14</xdr:row>
      <xdr:rowOff>0</xdr:rowOff>
    </xdr:from>
    <xdr:to>
      <xdr:col>15</xdr:col>
      <xdr:colOff>0</xdr:colOff>
      <xdr:row>47</xdr:row>
      <xdr:rowOff>0</xdr:rowOff>
    </xdr:to>
    <xdr:graphicFrame macro="">
      <xdr:nvGraphicFramePr>
        <xdr:cNvPr id="17895250" name="Chart 1">
          <a:extLst>
            <a:ext uri="{FF2B5EF4-FFF2-40B4-BE49-F238E27FC236}">
              <a16:creationId xmlns:a16="http://schemas.microsoft.com/office/drawing/2014/main" id="{00000000-0008-0000-0E00-0000520F1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108</xdr:row>
      <xdr:rowOff>0</xdr:rowOff>
    </xdr:from>
    <xdr:to>
      <xdr:col>15</xdr:col>
      <xdr:colOff>0</xdr:colOff>
      <xdr:row>147</xdr:row>
      <xdr:rowOff>0</xdr:rowOff>
    </xdr:to>
    <xdr:graphicFrame macro="">
      <xdr:nvGraphicFramePr>
        <xdr:cNvPr id="17895251" name="Chart 2">
          <a:extLst>
            <a:ext uri="{FF2B5EF4-FFF2-40B4-BE49-F238E27FC236}">
              <a16:creationId xmlns:a16="http://schemas.microsoft.com/office/drawing/2014/main" id="{00000000-0008-0000-0E00-0000530F1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190500</xdr:colOff>
      <xdr:row>56</xdr:row>
      <xdr:rowOff>85725</xdr:rowOff>
    </xdr:from>
    <xdr:to>
      <xdr:col>18</xdr:col>
      <xdr:colOff>190500</xdr:colOff>
      <xdr:row>95</xdr:row>
      <xdr:rowOff>85725</xdr:rowOff>
    </xdr:to>
    <xdr:graphicFrame macro="">
      <xdr:nvGraphicFramePr>
        <xdr:cNvPr id="17895252" name="Chart 3">
          <a:extLst>
            <a:ext uri="{FF2B5EF4-FFF2-40B4-BE49-F238E27FC236}">
              <a16:creationId xmlns:a16="http://schemas.microsoft.com/office/drawing/2014/main" id="{00000000-0008-0000-0E00-0000540F1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0</xdr:colOff>
      <xdr:row>14</xdr:row>
      <xdr:rowOff>0</xdr:rowOff>
    </xdr:from>
    <xdr:to>
      <xdr:col>15</xdr:col>
      <xdr:colOff>0</xdr:colOff>
      <xdr:row>47</xdr:row>
      <xdr:rowOff>0</xdr:rowOff>
    </xdr:to>
    <xdr:graphicFrame macro="">
      <xdr:nvGraphicFramePr>
        <xdr:cNvPr id="17895253" name="Chart 14">
          <a:extLst>
            <a:ext uri="{FF2B5EF4-FFF2-40B4-BE49-F238E27FC236}">
              <a16:creationId xmlns:a16="http://schemas.microsoft.com/office/drawing/2014/main" id="{00000000-0008-0000-0E00-0000550F1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0</xdr:colOff>
      <xdr:row>108</xdr:row>
      <xdr:rowOff>0</xdr:rowOff>
    </xdr:from>
    <xdr:to>
      <xdr:col>15</xdr:col>
      <xdr:colOff>0</xdr:colOff>
      <xdr:row>147</xdr:row>
      <xdr:rowOff>0</xdr:rowOff>
    </xdr:to>
    <xdr:graphicFrame macro="">
      <xdr:nvGraphicFramePr>
        <xdr:cNvPr id="17895254" name="Chart 15">
          <a:extLst>
            <a:ext uri="{FF2B5EF4-FFF2-40B4-BE49-F238E27FC236}">
              <a16:creationId xmlns:a16="http://schemas.microsoft.com/office/drawing/2014/main" id="{00000000-0008-0000-0E00-0000560F1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295275</xdr:colOff>
      <xdr:row>56</xdr:row>
      <xdr:rowOff>85725</xdr:rowOff>
    </xdr:from>
    <xdr:to>
      <xdr:col>27</xdr:col>
      <xdr:colOff>400050</xdr:colOff>
      <xdr:row>95</xdr:row>
      <xdr:rowOff>85725</xdr:rowOff>
    </xdr:to>
    <xdr:graphicFrame macro="">
      <xdr:nvGraphicFramePr>
        <xdr:cNvPr id="17895255" name="Chart 16">
          <a:extLst>
            <a:ext uri="{FF2B5EF4-FFF2-40B4-BE49-F238E27FC236}">
              <a16:creationId xmlns:a16="http://schemas.microsoft.com/office/drawing/2014/main" id="{00000000-0008-0000-0E00-0000570F1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nrel.gov/docs/fy11osti/47764.pdf"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5.vml"/><Relationship Id="rId7" Type="http://schemas.openxmlformats.org/officeDocument/2006/relationships/image" Target="../media/image4.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6.emf"/><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7.vml"/><Relationship Id="rId1" Type="http://schemas.openxmlformats.org/officeDocument/2006/relationships/drawing" Target="../drawings/drawing13.xml"/><Relationship Id="rId6" Type="http://schemas.openxmlformats.org/officeDocument/2006/relationships/image" Target="../media/image8.emf"/><Relationship Id="rId5" Type="http://schemas.openxmlformats.org/officeDocument/2006/relationships/control" Target="../activeX/activeX8.xml"/><Relationship Id="rId4" Type="http://schemas.openxmlformats.org/officeDocument/2006/relationships/image" Target="../media/image7.emf"/></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4.xml"/><Relationship Id="rId1" Type="http://schemas.openxmlformats.org/officeDocument/2006/relationships/printerSettings" Target="../printerSettings/printerSettings11.bin"/><Relationship Id="rId6" Type="http://schemas.openxmlformats.org/officeDocument/2006/relationships/comments" Target="../comments4.xml"/><Relationship Id="rId5" Type="http://schemas.openxmlformats.org/officeDocument/2006/relationships/image" Target="../media/image9.emf"/><Relationship Id="rId4" Type="http://schemas.openxmlformats.org/officeDocument/2006/relationships/control" Target="../activeX/activeX9.xml"/></Relationships>
</file>

<file path=xl/worksheets/_rels/sheet15.xml.rels><?xml version="1.0" encoding="UTF-8" standalone="yes"?>
<Relationships xmlns="http://schemas.openxmlformats.org/package/2006/relationships"><Relationship Id="rId3" Type="http://schemas.openxmlformats.org/officeDocument/2006/relationships/hyperlink" Target="http://data.bls.gov/cgi-bin/srgate" TargetMode="External"/><Relationship Id="rId7" Type="http://schemas.openxmlformats.org/officeDocument/2006/relationships/comments" Target="../comments5.xml"/><Relationship Id="rId2" Type="http://schemas.openxmlformats.org/officeDocument/2006/relationships/hyperlink" Target="https://www.sriconsulting.com/CEH/Private/EECI/EECI.pdf" TargetMode="External"/><Relationship Id="rId1" Type="http://schemas.openxmlformats.org/officeDocument/2006/relationships/hyperlink" Target="http://www.che.com/ei" TargetMode="External"/><Relationship Id="rId6" Type="http://schemas.openxmlformats.org/officeDocument/2006/relationships/vmlDrawing" Target="../drawings/vmlDrawing9.vml"/><Relationship Id="rId5" Type="http://schemas.openxmlformats.org/officeDocument/2006/relationships/drawing" Target="../drawings/drawing15.xml"/><Relationship Id="rId4"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N61"/>
  <sheetViews>
    <sheetView topLeftCell="A7" zoomScaleNormal="100" workbookViewId="0">
      <selection activeCell="I36" sqref="I36"/>
    </sheetView>
  </sheetViews>
  <sheetFormatPr defaultRowHeight="13.2" x14ac:dyDescent="0.25"/>
  <cols>
    <col min="1" max="1" width="16" style="3" customWidth="1"/>
    <col min="2" max="2" width="12.6640625" style="3" customWidth="1"/>
    <col min="3" max="3" width="9" style="3"/>
    <col min="4" max="4" width="8.6640625" style="3" bestFit="1" customWidth="1"/>
    <col min="5" max="5" width="7" style="3" bestFit="1" customWidth="1"/>
    <col min="6" max="6" width="7.33203125" style="3" bestFit="1" customWidth="1"/>
    <col min="7" max="7" width="15.21875" style="3" bestFit="1" customWidth="1"/>
    <col min="8" max="8" width="9" style="3"/>
    <col min="9" max="9" width="15.21875" style="3" customWidth="1"/>
    <col min="10" max="10" width="16.21875" style="3" customWidth="1"/>
    <col min="11" max="14" width="9" style="3"/>
  </cols>
  <sheetData>
    <row r="1" spans="1:9" ht="17.399999999999999" x14ac:dyDescent="0.3">
      <c r="A1" s="1476" t="s">
        <v>3415</v>
      </c>
      <c r="B1" s="1477"/>
      <c r="C1" s="1477"/>
      <c r="D1" s="1477"/>
      <c r="E1" s="1477"/>
      <c r="F1" s="1477"/>
      <c r="G1" s="1477"/>
      <c r="H1" s="1477"/>
      <c r="I1" s="1474"/>
    </row>
    <row r="2" spans="1:9" x14ac:dyDescent="0.25">
      <c r="A2" s="1475" t="s">
        <v>3414</v>
      </c>
      <c r="B2" s="1475"/>
      <c r="C2" s="1475"/>
      <c r="D2" s="1475"/>
      <c r="E2" s="1475"/>
      <c r="F2" s="1475"/>
      <c r="G2" s="1475"/>
      <c r="H2" s="1475"/>
      <c r="I2" s="1475"/>
    </row>
    <row r="3" spans="1:9" x14ac:dyDescent="0.25">
      <c r="A3" s="1475" t="s">
        <v>3418</v>
      </c>
      <c r="B3" s="1475"/>
      <c r="C3" s="1475"/>
      <c r="D3" s="1475"/>
      <c r="E3" s="1475"/>
      <c r="F3" s="1475"/>
      <c r="G3" s="1475"/>
      <c r="H3" s="1475"/>
      <c r="I3" s="1475"/>
    </row>
    <row r="4" spans="1:9" x14ac:dyDescent="0.25">
      <c r="A4" s="1475" t="s">
        <v>3506</v>
      </c>
      <c r="B4" s="1475"/>
      <c r="C4" s="1475"/>
      <c r="D4" s="1475"/>
      <c r="E4" s="1475"/>
      <c r="F4" s="1475"/>
      <c r="G4" s="1475"/>
      <c r="H4" s="1475"/>
      <c r="I4" s="1475"/>
    </row>
    <row r="5" spans="1:9" x14ac:dyDescent="0.25">
      <c r="A5" s="1485" t="s">
        <v>3440</v>
      </c>
      <c r="B5" s="1485"/>
      <c r="C5" s="1485"/>
      <c r="D5" s="1485"/>
      <c r="E5" s="1485"/>
      <c r="F5" s="1485"/>
      <c r="G5" s="1485"/>
      <c r="H5" s="1485"/>
      <c r="I5" s="1485"/>
    </row>
    <row r="6" spans="1:9" x14ac:dyDescent="0.25">
      <c r="A6" s="1483" t="s">
        <v>3507</v>
      </c>
      <c r="B6" s="1484"/>
      <c r="C6" s="1484"/>
      <c r="D6" s="1484"/>
      <c r="E6" s="1484"/>
      <c r="F6" s="1484"/>
      <c r="G6" s="1484"/>
      <c r="H6" s="1484"/>
      <c r="I6" s="1484"/>
    </row>
    <row r="7" spans="1:9" x14ac:dyDescent="0.25">
      <c r="A7" s="189"/>
    </row>
    <row r="8" spans="1:9" x14ac:dyDescent="0.25">
      <c r="A8" s="272" t="s">
        <v>3416</v>
      </c>
    </row>
    <row r="9" spans="1:9" x14ac:dyDescent="0.25">
      <c r="A9" s="189" t="s">
        <v>3410</v>
      </c>
    </row>
    <row r="10" spans="1:9" x14ac:dyDescent="0.25">
      <c r="A10" s="189" t="s">
        <v>3411</v>
      </c>
    </row>
    <row r="11" spans="1:9" x14ac:dyDescent="0.25">
      <c r="A11" s="189" t="s">
        <v>3412</v>
      </c>
    </row>
    <row r="12" spans="1:9" x14ac:dyDescent="0.25">
      <c r="A12" s="189" t="s">
        <v>3413</v>
      </c>
    </row>
    <row r="14" spans="1:9" x14ac:dyDescent="0.25">
      <c r="B14" s="1478" t="s">
        <v>3952</v>
      </c>
    </row>
    <row r="15" spans="1:9" x14ac:dyDescent="0.25">
      <c r="B15" s="3" t="s">
        <v>3954</v>
      </c>
      <c r="C15" s="3" t="s">
        <v>3953</v>
      </c>
      <c r="D15" s="3" t="s">
        <v>2355</v>
      </c>
    </row>
    <row r="19" spans="1:7" x14ac:dyDescent="0.25">
      <c r="A19" s="274" t="s">
        <v>1492</v>
      </c>
      <c r="B19" s="3" t="str">
        <f>B21&amp;" "&amp;B22&amp;" Case: "&amp;B23&amp;" model "&amp;IF(B25="",B24,B25)</f>
        <v>Corn Stover Design Report Case: 2012 model DW1102A</v>
      </c>
      <c r="D19" s="189"/>
    </row>
    <row r="20" spans="1:7" x14ac:dyDescent="0.25">
      <c r="A20" s="274" t="s">
        <v>1583</v>
      </c>
    </row>
    <row r="21" spans="1:7" x14ac:dyDescent="0.25">
      <c r="A21" s="275" t="s">
        <v>231</v>
      </c>
      <c r="B21" s="189" t="s">
        <v>1493</v>
      </c>
    </row>
    <row r="22" spans="1:7" x14ac:dyDescent="0.25">
      <c r="A22" s="275" t="s">
        <v>1494</v>
      </c>
      <c r="B22" s="189" t="s">
        <v>1495</v>
      </c>
    </row>
    <row r="23" spans="1:7" x14ac:dyDescent="0.25">
      <c r="A23" s="275" t="s">
        <v>1496</v>
      </c>
      <c r="B23" s="108">
        <v>2012</v>
      </c>
    </row>
    <row r="24" spans="1:7" x14ac:dyDescent="0.25">
      <c r="A24" s="275" t="s">
        <v>1588</v>
      </c>
      <c r="B24" s="270" t="str">
        <f>IF(B25&lt;&gt;"",B25,BASECASE)</f>
        <v>DW1102A</v>
      </c>
      <c r="C24" s="189"/>
    </row>
    <row r="25" spans="1:7" x14ac:dyDescent="0.25">
      <c r="A25" s="275" t="s">
        <v>1589</v>
      </c>
      <c r="B25" s="189" t="s">
        <v>2966</v>
      </c>
      <c r="C25" s="189"/>
    </row>
    <row r="27" spans="1:7" x14ac:dyDescent="0.25">
      <c r="A27" s="272" t="s">
        <v>1572</v>
      </c>
    </row>
    <row r="28" spans="1:7" x14ac:dyDescent="0.25">
      <c r="A28" s="273" t="s">
        <v>1573</v>
      </c>
      <c r="B28" s="273" t="s">
        <v>632</v>
      </c>
      <c r="C28" s="273" t="s">
        <v>1576</v>
      </c>
      <c r="D28" s="273" t="s">
        <v>1577</v>
      </c>
      <c r="E28" s="273" t="s">
        <v>1574</v>
      </c>
      <c r="F28" s="273" t="s">
        <v>1575</v>
      </c>
      <c r="G28" s="273" t="s">
        <v>1578</v>
      </c>
    </row>
    <row r="29" spans="1:7" x14ac:dyDescent="0.25">
      <c r="A29" s="274" t="s">
        <v>1579</v>
      </c>
      <c r="B29" s="189" t="s">
        <v>633</v>
      </c>
      <c r="C29" s="189" t="s">
        <v>151</v>
      </c>
      <c r="D29" s="3">
        <v>7</v>
      </c>
      <c r="E29" s="189" t="s">
        <v>908</v>
      </c>
      <c r="F29" s="3">
        <f ca="1">COUNTA(INDIRECT(B29&amp;"!"&amp;C29&amp;D29&amp;":"&amp;C29&amp;65556))+D29-1</f>
        <v>671</v>
      </c>
      <c r="G29" s="3" t="str">
        <f ca="1">B29&amp;"!"&amp;C29&amp;D29&amp;":"&amp;E29&amp;F29</f>
        <v>aspen!C7:E671</v>
      </c>
    </row>
    <row r="30" spans="1:7" x14ac:dyDescent="0.25">
      <c r="A30" s="274" t="s">
        <v>1582</v>
      </c>
      <c r="B30" s="189" t="s">
        <v>634</v>
      </c>
      <c r="C30" s="189" t="s">
        <v>1171</v>
      </c>
      <c r="D30" s="3">
        <v>9</v>
      </c>
      <c r="E30" s="274" t="s">
        <v>3205</v>
      </c>
      <c r="F30" s="3">
        <f ca="1">COUNTA(INDIRECT(B30&amp;"!"&amp;C30&amp;D30&amp;":"&amp;C30&amp;65556))+D30-1</f>
        <v>420</v>
      </c>
      <c r="G30" s="3" t="str">
        <f ca="1">B30&amp;"!"&amp;C30&amp;D30&amp;":"&amp;E30&amp;F30</f>
        <v>aspen2!B9:HT420</v>
      </c>
    </row>
    <row r="31" spans="1:7" x14ac:dyDescent="0.25">
      <c r="A31" s="274" t="s">
        <v>1580</v>
      </c>
      <c r="B31" s="189" t="s">
        <v>1581</v>
      </c>
      <c r="C31" s="189" t="s">
        <v>1171</v>
      </c>
      <c r="D31" s="3">
        <v>7</v>
      </c>
      <c r="E31" s="189" t="s">
        <v>907</v>
      </c>
      <c r="F31" s="3">
        <f ca="1">COUNTA(INDIRECT(B31&amp;"!"&amp;C31&amp;D31&amp;":"&amp;C31&amp;65556))+D31-1</f>
        <v>154</v>
      </c>
      <c r="G31" s="3" t="str">
        <f ca="1">B31&amp;"!"&amp;C31&amp;D31&amp;":"&amp;E31&amp;F31</f>
        <v>aspenqw!B7:D154</v>
      </c>
    </row>
    <row r="32" spans="1:7" x14ac:dyDescent="0.25">
      <c r="A32" s="274" t="s">
        <v>1570</v>
      </c>
      <c r="B32" s="189" t="s">
        <v>1581</v>
      </c>
      <c r="C32" s="189" t="s">
        <v>893</v>
      </c>
      <c r="D32" s="3">
        <v>7</v>
      </c>
      <c r="E32" s="189" t="s">
        <v>869</v>
      </c>
      <c r="F32" s="3">
        <f ca="1">COUNTA(INDIRECT(B32&amp;"!"&amp;C32&amp;D32&amp;":"&amp;C32&amp;65556))+D32-1</f>
        <v>274</v>
      </c>
      <c r="G32" s="3" t="str">
        <f ca="1">B32&amp;"!"&amp;C32&amp;D32&amp;":"&amp;E32&amp;F32</f>
        <v>aspenqw!F7:H274</v>
      </c>
    </row>
    <row r="34" spans="1:7" x14ac:dyDescent="0.25">
      <c r="A34" s="189" t="s">
        <v>1880</v>
      </c>
      <c r="G34" s="189" t="s">
        <v>3886</v>
      </c>
    </row>
    <row r="35" spans="1:7" x14ac:dyDescent="0.25">
      <c r="A35" s="189" t="s">
        <v>1879</v>
      </c>
      <c r="G35" s="189" t="s">
        <v>3887</v>
      </c>
    </row>
    <row r="36" spans="1:7" x14ac:dyDescent="0.25">
      <c r="A36" s="189" t="s">
        <v>1878</v>
      </c>
      <c r="G36" s="189" t="s">
        <v>3888</v>
      </c>
    </row>
    <row r="37" spans="1:7" x14ac:dyDescent="0.25">
      <c r="A37" s="189" t="s">
        <v>1877</v>
      </c>
      <c r="G37" s="189" t="s">
        <v>3889</v>
      </c>
    </row>
    <row r="39" spans="1:7" x14ac:dyDescent="0.25">
      <c r="A39" s="189" t="s">
        <v>2368</v>
      </c>
      <c r="B39" s="82">
        <v>0.78900000000000003</v>
      </c>
      <c r="C39" s="64" t="s">
        <v>212</v>
      </c>
    </row>
    <row r="41" spans="1:7" x14ac:dyDescent="0.25">
      <c r="A41" s="1473" t="s">
        <v>3417</v>
      </c>
    </row>
    <row r="42" spans="1:7" x14ac:dyDescent="0.25">
      <c r="A42" s="803" t="s">
        <v>3409</v>
      </c>
      <c r="B42" s="803" t="s">
        <v>199</v>
      </c>
    </row>
    <row r="43" spans="1:7" x14ac:dyDescent="0.25">
      <c r="A43" s="112" t="s">
        <v>53</v>
      </c>
      <c r="B43" s="112" t="s">
        <v>206</v>
      </c>
    </row>
    <row r="44" spans="1:7" x14ac:dyDescent="0.25">
      <c r="A44" s="112" t="s">
        <v>54</v>
      </c>
      <c r="B44" s="526" t="s">
        <v>66</v>
      </c>
    </row>
    <row r="45" spans="1:7" x14ac:dyDescent="0.25">
      <c r="A45" s="112" t="s">
        <v>55</v>
      </c>
      <c r="B45" s="112" t="s">
        <v>70</v>
      </c>
    </row>
    <row r="46" spans="1:7" x14ac:dyDescent="0.25">
      <c r="A46" s="112" t="s">
        <v>56</v>
      </c>
      <c r="B46" s="112" t="s">
        <v>76</v>
      </c>
    </row>
    <row r="47" spans="1:7" x14ac:dyDescent="0.25">
      <c r="A47" s="112" t="s">
        <v>57</v>
      </c>
      <c r="B47" s="112" t="s">
        <v>151</v>
      </c>
    </row>
    <row r="48" spans="1:7" x14ac:dyDescent="0.25">
      <c r="A48" s="112" t="s">
        <v>58</v>
      </c>
      <c r="B48" s="112" t="s">
        <v>155</v>
      </c>
    </row>
    <row r="49" spans="1:2" x14ac:dyDescent="0.25">
      <c r="A49" s="112" t="s">
        <v>59</v>
      </c>
      <c r="B49" s="112" t="s">
        <v>71</v>
      </c>
    </row>
    <row r="50" spans="1:2" x14ac:dyDescent="0.25">
      <c r="A50" s="112" t="s">
        <v>60</v>
      </c>
      <c r="B50" s="112" t="s">
        <v>72</v>
      </c>
    </row>
    <row r="51" spans="1:2" x14ac:dyDescent="0.25">
      <c r="A51" s="112" t="s">
        <v>61</v>
      </c>
      <c r="B51" s="112" t="s">
        <v>73</v>
      </c>
    </row>
    <row r="52" spans="1:2" x14ac:dyDescent="0.25">
      <c r="A52" s="112" t="s">
        <v>62</v>
      </c>
      <c r="B52" s="112" t="s">
        <v>74</v>
      </c>
    </row>
    <row r="53" spans="1:2" x14ac:dyDescent="0.25">
      <c r="A53" s="112" t="s">
        <v>63</v>
      </c>
      <c r="B53" s="112" t="s">
        <v>75</v>
      </c>
    </row>
    <row r="54" spans="1:2" x14ac:dyDescent="0.25">
      <c r="A54" s="112" t="s">
        <v>64</v>
      </c>
      <c r="B54" s="112" t="s">
        <v>154</v>
      </c>
    </row>
    <row r="55" spans="1:2" x14ac:dyDescent="0.25">
      <c r="A55" s="112" t="s">
        <v>65</v>
      </c>
      <c r="B55" s="112" t="s">
        <v>77</v>
      </c>
    </row>
    <row r="56" spans="1:2" x14ac:dyDescent="0.25">
      <c r="A56" s="112"/>
      <c r="B56" s="112"/>
    </row>
    <row r="57" spans="1:2" x14ac:dyDescent="0.25">
      <c r="A57" s="112"/>
      <c r="B57" s="112"/>
    </row>
    <row r="58" spans="1:2" x14ac:dyDescent="0.25">
      <c r="A58" s="112"/>
      <c r="B58" s="112"/>
    </row>
    <row r="59" spans="1:2" x14ac:dyDescent="0.25">
      <c r="A59" s="112"/>
      <c r="B59" s="112"/>
    </row>
    <row r="60" spans="1:2" x14ac:dyDescent="0.25">
      <c r="A60" s="112"/>
      <c r="B60" s="112"/>
    </row>
    <row r="61" spans="1:2" x14ac:dyDescent="0.25">
      <c r="A61" s="112"/>
      <c r="B61" s="112"/>
    </row>
  </sheetData>
  <phoneticPr fontId="31" type="noConversion"/>
  <hyperlinks>
    <hyperlink ref="A5" r:id="rId1" display="http://www.nrel.gov/docs/fy11osti/47764.pdf" xr:uid="{00000000-0004-0000-0000-000000000000}"/>
  </hyperlinks>
  <pageMargins left="0.75" right="0.75" top="1" bottom="1" header="0.5" footer="0.5"/>
  <pageSetup orientation="portrait" r:id="rId2"/>
  <headerFooter alignWithMargins="0"/>
  <drawing r:id="rId3"/>
  <legacyDrawing r:id="rId4"/>
  <controls>
    <mc:AlternateContent xmlns:mc="http://schemas.openxmlformats.org/markup-compatibility/2006">
      <mc:Choice Requires="x14">
        <control shapeId="163841" r:id="rId5" name="cmd_UpdateFileName">
          <controlPr defaultSize="0" autoLine="0" r:id="rId6">
            <anchor moveWithCells="1">
              <from>
                <xdr:col>0</xdr:col>
                <xdr:colOff>45720</xdr:colOff>
                <xdr:row>13</xdr:row>
                <xdr:rowOff>0</xdr:rowOff>
              </from>
              <to>
                <xdr:col>1</xdr:col>
                <xdr:colOff>60960</xdr:colOff>
                <xdr:row>15</xdr:row>
                <xdr:rowOff>0</xdr:rowOff>
              </to>
            </anchor>
          </controlPr>
        </control>
      </mc:Choice>
      <mc:Fallback>
        <control shapeId="163841" r:id="rId5" name="cmd_UpdateFileNam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A1:S53"/>
  <sheetViews>
    <sheetView showGridLines="0" workbookViewId="0">
      <selection activeCell="F25" sqref="F25"/>
    </sheetView>
  </sheetViews>
  <sheetFormatPr defaultRowHeight="13.2" x14ac:dyDescent="0.25"/>
  <cols>
    <col min="1" max="1" width="31.44140625" customWidth="1"/>
    <col min="2" max="2" width="12.109375" customWidth="1"/>
    <col min="4" max="4" width="12.33203125" customWidth="1"/>
    <col min="5" max="5" width="18.88671875" customWidth="1"/>
    <col min="6" max="6" width="11.44140625" style="1" customWidth="1"/>
    <col min="7" max="9" width="9" style="189"/>
    <col min="10" max="10" width="24.77734375" style="189" bestFit="1" customWidth="1"/>
    <col min="11" max="19" width="9" style="189"/>
  </cols>
  <sheetData>
    <row r="1" spans="1:19" ht="22.8" x14ac:dyDescent="0.4">
      <c r="A1" s="1520" t="s">
        <v>229</v>
      </c>
      <c r="B1" s="1520"/>
      <c r="C1" s="1520"/>
      <c r="D1" s="1520"/>
      <c r="E1" s="1520"/>
      <c r="F1" s="1520"/>
    </row>
    <row r="2" spans="1:19" x14ac:dyDescent="0.25">
      <c r="A2" s="1519" t="str">
        <f>'Set-up'!B19</f>
        <v>Corn Stover Design Report Case: 2012 model DW1102A</v>
      </c>
      <c r="B2" s="1519"/>
      <c r="C2" s="1519"/>
      <c r="D2" s="1519"/>
      <c r="E2" s="1519"/>
      <c r="F2" s="1519"/>
    </row>
    <row r="3" spans="1:19" x14ac:dyDescent="0.25">
      <c r="A3" s="1519" t="s">
        <v>2205</v>
      </c>
      <c r="B3" s="1519"/>
      <c r="C3" s="1519"/>
      <c r="D3" s="1519"/>
      <c r="E3" s="1519"/>
      <c r="F3" s="1519"/>
    </row>
    <row r="4" spans="1:19" x14ac:dyDescent="0.25">
      <c r="A4" s="1519" t="str">
        <f>"All Values in "&amp;DCFROR!B34&amp;"$"</f>
        <v>All Values in 2016$</v>
      </c>
      <c r="B4" s="1519"/>
      <c r="C4" s="1519"/>
      <c r="D4" s="1519"/>
      <c r="E4" s="1519"/>
      <c r="F4" s="1519"/>
    </row>
    <row r="5" spans="1:19" s="2" customFormat="1" ht="21" x14ac:dyDescent="0.4">
      <c r="A5" s="4"/>
      <c r="B5" s="4"/>
      <c r="C5" s="5" t="s">
        <v>2167</v>
      </c>
      <c r="D5" s="801">
        <f ca="1">IF((ABS(DCFROR!B37)&lt;0.1),DCFROR!B35,"")</f>
        <v>2.5272281460796382</v>
      </c>
      <c r="E5" s="362" t="s">
        <v>927</v>
      </c>
      <c r="F5" s="6"/>
      <c r="G5" s="4"/>
      <c r="H5" s="4"/>
      <c r="I5" s="4"/>
      <c r="K5" s="4"/>
      <c r="L5" s="4"/>
      <c r="M5" s="4"/>
      <c r="N5" s="4"/>
      <c r="O5" s="4"/>
      <c r="P5" s="4"/>
      <c r="Q5" s="4"/>
      <c r="R5" s="4"/>
      <c r="S5" s="4"/>
    </row>
    <row r="6" spans="1:19" s="724" customFormat="1" ht="13.8" x14ac:dyDescent="0.25">
      <c r="A6" s="723"/>
      <c r="C6" s="721" t="s">
        <v>2166</v>
      </c>
      <c r="D6" s="796">
        <f ca="1">D5/0.658</f>
        <v>3.8407722584796931</v>
      </c>
      <c r="E6" s="722" t="s">
        <v>2168</v>
      </c>
      <c r="F6" s="725"/>
      <c r="G6" s="723"/>
      <c r="H6" s="723"/>
      <c r="I6" s="723"/>
      <c r="K6" s="723"/>
      <c r="L6" s="723"/>
      <c r="M6" s="723"/>
      <c r="N6" s="723"/>
      <c r="O6" s="723"/>
      <c r="P6" s="723"/>
      <c r="Q6" s="723"/>
      <c r="R6" s="723"/>
      <c r="S6" s="723"/>
    </row>
    <row r="7" spans="1:19" s="401" customFormat="1" ht="5.25" customHeight="1" x14ac:dyDescent="0.25">
      <c r="A7" s="189"/>
      <c r="B7" s="189"/>
      <c r="C7" s="670"/>
      <c r="D7" s="797"/>
      <c r="E7" s="671"/>
      <c r="F7" s="669"/>
      <c r="G7" s="189"/>
      <c r="H7" s="189"/>
      <c r="I7" s="189"/>
      <c r="J7" s="189"/>
      <c r="K7" s="189"/>
      <c r="L7" s="189"/>
      <c r="M7" s="189"/>
      <c r="N7" s="189"/>
      <c r="O7" s="189"/>
      <c r="P7" s="189"/>
      <c r="Q7" s="189"/>
      <c r="R7" s="189"/>
      <c r="S7" s="189"/>
    </row>
    <row r="8" spans="1:19" s="401" customFormat="1" x14ac:dyDescent="0.25">
      <c r="A8" s="189"/>
      <c r="B8" s="189" t="s">
        <v>2063</v>
      </c>
      <c r="C8" s="365" t="s">
        <v>231</v>
      </c>
      <c r="D8" s="1471">
        <f ca="1">F19/100</f>
        <v>0.9022410292540981</v>
      </c>
      <c r="E8" s="726" t="s">
        <v>927</v>
      </c>
      <c r="F8" s="669"/>
      <c r="G8" s="189"/>
      <c r="H8" s="189"/>
      <c r="I8" s="189"/>
      <c r="J8" s="189"/>
      <c r="K8" s="189"/>
      <c r="L8" s="189"/>
      <c r="M8" s="189"/>
      <c r="N8" s="189"/>
      <c r="O8" s="189"/>
      <c r="P8" s="189"/>
      <c r="Q8" s="189"/>
      <c r="R8" s="189"/>
      <c r="S8" s="189"/>
    </row>
    <row r="9" spans="1:19" s="401" customFormat="1" x14ac:dyDescent="0.25">
      <c r="A9" s="189"/>
      <c r="B9" s="189"/>
      <c r="C9" s="365" t="s">
        <v>2062</v>
      </c>
      <c r="D9" s="1471">
        <f ca="1">'Cost Breakdown'!I6</f>
        <v>0.41172523883624679</v>
      </c>
      <c r="E9" s="726" t="s">
        <v>927</v>
      </c>
      <c r="F9" s="669"/>
      <c r="G9" s="189"/>
      <c r="H9" s="189"/>
      <c r="I9" s="189"/>
      <c r="J9" s="189"/>
      <c r="K9" s="189"/>
      <c r="L9" s="189"/>
      <c r="M9" s="189"/>
      <c r="N9" s="189"/>
      <c r="O9" s="189"/>
      <c r="P9" s="189"/>
      <c r="Q9" s="189"/>
      <c r="R9" s="189"/>
      <c r="S9" s="189"/>
    </row>
    <row r="10" spans="1:19" s="401" customFormat="1" x14ac:dyDescent="0.25">
      <c r="A10" s="189"/>
      <c r="B10" s="189"/>
      <c r="C10" s="365" t="s">
        <v>2061</v>
      </c>
      <c r="D10" s="1471">
        <f ca="1">D5-D8-D9</f>
        <v>1.2132618779892934</v>
      </c>
      <c r="E10" s="726" t="s">
        <v>927</v>
      </c>
      <c r="F10" s="669"/>
      <c r="G10" s="189"/>
      <c r="H10" s="189"/>
      <c r="I10" s="189"/>
      <c r="J10" s="189"/>
      <c r="K10" s="189"/>
      <c r="L10" s="189"/>
      <c r="M10" s="189"/>
      <c r="N10" s="189"/>
      <c r="O10" s="189"/>
      <c r="P10" s="189"/>
      <c r="Q10" s="189"/>
      <c r="R10" s="189"/>
      <c r="S10" s="189"/>
    </row>
    <row r="11" spans="1:19" s="401" customFormat="1" ht="4.5" customHeight="1" x14ac:dyDescent="0.25">
      <c r="A11" s="189"/>
      <c r="B11" s="189"/>
      <c r="C11" s="670"/>
      <c r="D11" s="671"/>
      <c r="E11" s="671"/>
      <c r="F11" s="669"/>
      <c r="G11" s="189"/>
      <c r="H11" s="189"/>
      <c r="I11" s="189"/>
      <c r="L11" s="189"/>
      <c r="M11" s="189"/>
      <c r="N11" s="189"/>
      <c r="O11" s="189"/>
      <c r="P11" s="189"/>
      <c r="Q11" s="189"/>
      <c r="R11" s="189"/>
      <c r="S11" s="189"/>
    </row>
    <row r="12" spans="1:19" x14ac:dyDescent="0.25">
      <c r="A12" s="189"/>
      <c r="B12" s="189"/>
      <c r="C12" s="363" t="s">
        <v>2197</v>
      </c>
      <c r="D12" s="798">
        <f ca="1">OPEX!B3</f>
        <v>57.209376545185314</v>
      </c>
      <c r="E12" s="364" t="s">
        <v>2196</v>
      </c>
      <c r="F12" s="669"/>
    </row>
    <row r="13" spans="1:19" x14ac:dyDescent="0.25">
      <c r="A13" s="189"/>
      <c r="B13" s="189"/>
      <c r="C13" s="365" t="s">
        <v>2199</v>
      </c>
      <c r="D13" s="798">
        <f ca="1">OPEX!E4</f>
        <v>78.994725844598719</v>
      </c>
      <c r="E13" s="366" t="s">
        <v>2198</v>
      </c>
      <c r="F13" s="669"/>
    </row>
    <row r="14" spans="1:19" x14ac:dyDescent="0.25">
      <c r="A14" s="189"/>
      <c r="B14" s="365"/>
      <c r="C14" s="365" t="s">
        <v>2201</v>
      </c>
      <c r="D14" s="799">
        <f ca="1">OPEX!$G$12*(0.01/(1-OPEX!$M$7))</f>
        <v>71.260000000000005</v>
      </c>
      <c r="E14" s="802" t="s">
        <v>2200</v>
      </c>
      <c r="F14" s="669"/>
    </row>
    <row r="15" spans="1:19" x14ac:dyDescent="0.25">
      <c r="A15" s="189"/>
      <c r="B15" s="365"/>
      <c r="C15" s="365" t="s">
        <v>135</v>
      </c>
      <c r="D15" s="800">
        <f>DCFROR!B31</f>
        <v>0.1</v>
      </c>
      <c r="E15" s="297"/>
      <c r="F15" s="669"/>
    </row>
    <row r="16" spans="1:19" x14ac:dyDescent="0.25">
      <c r="A16" s="189"/>
      <c r="B16" s="365"/>
      <c r="C16" s="365" t="s">
        <v>130</v>
      </c>
      <c r="D16" s="800">
        <f>DCFROR!B8</f>
        <v>0.4</v>
      </c>
      <c r="E16" s="297"/>
      <c r="F16" s="669"/>
    </row>
    <row r="17" spans="1:6" ht="4.5" customHeight="1" x14ac:dyDescent="0.25">
      <c r="A17" s="189"/>
      <c r="B17" s="189"/>
      <c r="C17" s="189"/>
      <c r="D17" s="189"/>
      <c r="E17" s="189"/>
      <c r="F17" s="669"/>
    </row>
    <row r="18" spans="1:6" x14ac:dyDescent="0.25">
      <c r="A18" s="367" t="s">
        <v>230</v>
      </c>
      <c r="B18" s="367"/>
      <c r="C18" s="189"/>
      <c r="D18" s="367" t="s">
        <v>2293</v>
      </c>
      <c r="E18" s="367"/>
      <c r="F18" s="367"/>
    </row>
    <row r="19" spans="1:6" x14ac:dyDescent="0.25">
      <c r="A19" s="189" t="s">
        <v>452</v>
      </c>
      <c r="B19" s="370">
        <f ca="1">ROUND(CAPEXpt,-5)</f>
        <v>30800000</v>
      </c>
      <c r="C19" s="189"/>
      <c r="D19" s="189" t="s">
        <v>2182</v>
      </c>
      <c r="E19" s="189"/>
      <c r="F19" s="378">
        <f ca="1">OPEX!M12</f>
        <v>90.224102925409809</v>
      </c>
    </row>
    <row r="20" spans="1:6" x14ac:dyDescent="0.25">
      <c r="A20" s="189" t="s">
        <v>2202</v>
      </c>
      <c r="B20" s="370">
        <f ca="1">ROUND(CAPEX200-CAPEXpt, -5)</f>
        <v>3100000</v>
      </c>
      <c r="C20" s="189"/>
      <c r="D20" s="189" t="s">
        <v>284</v>
      </c>
      <c r="E20" s="189"/>
      <c r="F20" s="378">
        <f ca="1">OPEX!M13</f>
        <v>3.2193687925446173</v>
      </c>
    </row>
    <row r="21" spans="1:6" x14ac:dyDescent="0.25">
      <c r="A21" s="282" t="s">
        <v>2203</v>
      </c>
      <c r="B21" s="370">
        <f ca="1">ROUND(CAPEX300,-5)</f>
        <v>32200000</v>
      </c>
      <c r="C21" s="189"/>
      <c r="D21" s="189" t="s">
        <v>431</v>
      </c>
      <c r="E21" s="189"/>
      <c r="F21" s="378">
        <f ca="1">OPEX!M14</f>
        <v>8.5384778608900049</v>
      </c>
    </row>
    <row r="22" spans="1:6" x14ac:dyDescent="0.25">
      <c r="A22" s="282" t="s">
        <v>2204</v>
      </c>
      <c r="B22" s="370">
        <f ca="1">ROUND(CAPEX400,-5)</f>
        <v>19300000</v>
      </c>
      <c r="C22" s="189"/>
      <c r="D22" s="189" t="s">
        <v>1567</v>
      </c>
      <c r="E22" s="189"/>
      <c r="F22" s="378">
        <f ca="1">OPEX!M19</f>
        <v>25.424422110837749</v>
      </c>
    </row>
    <row r="23" spans="1:6" x14ac:dyDescent="0.25">
      <c r="A23" s="189" t="s">
        <v>188</v>
      </c>
      <c r="B23" s="370">
        <f ca="1">ROUND(CAPEX500,-5)</f>
        <v>23000000</v>
      </c>
      <c r="C23" s="189"/>
      <c r="D23" s="189" t="s">
        <v>233</v>
      </c>
      <c r="E23" s="189"/>
      <c r="F23" s="378">
        <f ca="1">SUM(OPEX!M16:M18)+SUM(OPEX!M20:M29)+OPEX!M15</f>
        <v>17.037254502937859</v>
      </c>
    </row>
    <row r="24" spans="1:6" x14ac:dyDescent="0.25">
      <c r="A24" s="189" t="s">
        <v>185</v>
      </c>
      <c r="B24" s="370">
        <f ca="1">ROUND(CAPEX600,-5)</f>
        <v>50800000</v>
      </c>
      <c r="C24" s="189"/>
      <c r="D24" s="189" t="s">
        <v>234</v>
      </c>
      <c r="E24" s="189"/>
      <c r="F24" s="378">
        <f ca="1">SUM(OPEX!M32:M32)</f>
        <v>3.2986561264405969</v>
      </c>
    </row>
    <row r="25" spans="1:6" x14ac:dyDescent="0.25">
      <c r="A25" s="189" t="s">
        <v>174</v>
      </c>
      <c r="B25" s="370">
        <f ca="1">ROUND(CAPEX700,-5)</f>
        <v>5100000</v>
      </c>
      <c r="C25" s="189"/>
      <c r="D25" s="189" t="s">
        <v>2169</v>
      </c>
      <c r="E25" s="189"/>
      <c r="F25" s="378">
        <f ca="1">-OPEX!M37</f>
        <v>-10.757066903896993</v>
      </c>
    </row>
    <row r="26" spans="1:6" x14ac:dyDescent="0.25">
      <c r="A26" s="189" t="s">
        <v>182</v>
      </c>
      <c r="B26" s="370">
        <f ca="1">ROUND(CAPEX800,-5)</f>
        <v>67800000</v>
      </c>
      <c r="C26" s="189"/>
      <c r="D26" s="189" t="s">
        <v>236</v>
      </c>
      <c r="E26" s="189"/>
      <c r="F26" s="378">
        <f ca="1">OPEX!M59</f>
        <v>20.302210505028356</v>
      </c>
    </row>
    <row r="27" spans="1:6" x14ac:dyDescent="0.25">
      <c r="A27" s="803" t="s">
        <v>179</v>
      </c>
      <c r="B27" s="372">
        <f ca="1">ROUND(CAPEX900,-5)</f>
        <v>6900000</v>
      </c>
      <c r="C27" s="189"/>
      <c r="D27" s="189" t="s">
        <v>134</v>
      </c>
      <c r="E27" s="189"/>
      <c r="F27" s="378">
        <f ca="1">F40/(D12*1000000)*100</f>
        <v>24.121919925312305</v>
      </c>
    </row>
    <row r="28" spans="1:6" x14ac:dyDescent="0.25">
      <c r="A28" s="371" t="s">
        <v>315</v>
      </c>
      <c r="B28" s="370">
        <f ca="1">SUM(B19:B27)</f>
        <v>239000000</v>
      </c>
      <c r="C28" s="189"/>
      <c r="D28" s="189" t="s">
        <v>214</v>
      </c>
      <c r="E28" s="189"/>
      <c r="F28" s="378">
        <f ca="1">D5*DCFROR!B79/DCFROR!B80*100</f>
        <v>7.29901612712756</v>
      </c>
    </row>
    <row r="29" spans="1:6" x14ac:dyDescent="0.25">
      <c r="A29" s="189"/>
      <c r="B29" s="189"/>
      <c r="C29" s="189"/>
      <c r="D29" s="189" t="s">
        <v>226</v>
      </c>
      <c r="E29" s="189"/>
      <c r="F29" s="378">
        <f ca="1">D5*100-SUM(F19:F28)</f>
        <v>64.014452635331935</v>
      </c>
    </row>
    <row r="30" spans="1:6" x14ac:dyDescent="0.25">
      <c r="A30" s="189" t="s">
        <v>3157</v>
      </c>
      <c r="B30" s="370">
        <f ca="1">B33-B28</f>
        <v>196600000</v>
      </c>
      <c r="C30" s="189"/>
      <c r="D30" s="189"/>
      <c r="E30" s="189"/>
      <c r="F30" s="669"/>
    </row>
    <row r="31" spans="1:6" x14ac:dyDescent="0.25">
      <c r="A31" s="369" t="s">
        <v>2285</v>
      </c>
      <c r="B31" s="373">
        <f ca="1">B30/B33</f>
        <v>0.45133149678604223</v>
      </c>
      <c r="C31" s="189"/>
      <c r="D31" s="367" t="s">
        <v>2294</v>
      </c>
      <c r="E31" s="367"/>
      <c r="F31" s="367"/>
    </row>
    <row r="32" spans="1:6" x14ac:dyDescent="0.25">
      <c r="A32" s="189"/>
      <c r="B32" s="189"/>
      <c r="C32" s="189"/>
      <c r="D32" s="189" t="s">
        <v>2182</v>
      </c>
      <c r="E32" s="189"/>
      <c r="F32" s="374">
        <f ca="1">ROUND(OPEX!L12*1000000,-5)</f>
        <v>51600000</v>
      </c>
    </row>
    <row r="33" spans="1:6" x14ac:dyDescent="0.25">
      <c r="A33" s="189" t="s">
        <v>408</v>
      </c>
      <c r="B33" s="370">
        <f ca="1">ROUND(DCFROR!K27,-5)</f>
        <v>435600000</v>
      </c>
      <c r="C33" s="189"/>
      <c r="D33" s="189" t="s">
        <v>284</v>
      </c>
      <c r="E33" s="189"/>
      <c r="F33" s="374">
        <f ca="1">ROUND(SUM(OPEX!L13)*1000000,-5)</f>
        <v>1800000</v>
      </c>
    </row>
    <row r="34" spans="1:6" x14ac:dyDescent="0.25">
      <c r="A34" s="189"/>
      <c r="B34" s="189"/>
      <c r="C34" s="189"/>
      <c r="D34" s="189" t="s">
        <v>431</v>
      </c>
      <c r="E34" s="189"/>
      <c r="F34" s="374">
        <f ca="1">ROUND(SUM(OPEX!L14)*1000000,-5)</f>
        <v>4900000</v>
      </c>
    </row>
    <row r="35" spans="1:6" x14ac:dyDescent="0.25">
      <c r="A35" s="282" t="s">
        <v>136</v>
      </c>
      <c r="B35" s="375">
        <f ca="1">B28/(D12*1000000)</f>
        <v>4.1776368566301745</v>
      </c>
      <c r="C35" s="189"/>
      <c r="D35" s="189" t="s">
        <v>1567</v>
      </c>
      <c r="E35" s="189"/>
      <c r="F35" s="374">
        <f ca="1">ROUND(SUM(OPEX!L19)*1000000,-5)</f>
        <v>14500000</v>
      </c>
    </row>
    <row r="36" spans="1:6" x14ac:dyDescent="0.25">
      <c r="A36" s="282" t="s">
        <v>2243</v>
      </c>
      <c r="B36" s="375">
        <f ca="1">B33/(D12*1000000)</f>
        <v>7.6141364633811879</v>
      </c>
      <c r="C36" s="189"/>
      <c r="D36" s="189" t="s">
        <v>233</v>
      </c>
      <c r="E36" s="189"/>
      <c r="F36" s="374">
        <f ca="1">ROUND((SUM(OPEX!L15:L18,OPEX!L20:L29))*1000000,-5)</f>
        <v>9700000</v>
      </c>
    </row>
    <row r="37" spans="1:6" x14ac:dyDescent="0.25">
      <c r="A37" s="189"/>
      <c r="B37" s="189"/>
      <c r="C37" s="189"/>
      <c r="D37" s="189" t="s">
        <v>234</v>
      </c>
      <c r="E37" s="189"/>
      <c r="F37" s="374">
        <f ca="1">ROUND(OPEX!L32*1000000,-5)</f>
        <v>1900000</v>
      </c>
    </row>
    <row r="38" spans="1:6" x14ac:dyDescent="0.25">
      <c r="A38" s="189" t="s">
        <v>132</v>
      </c>
      <c r="B38" s="376">
        <f>IF(D16&lt;0.999,DCFROR!B9,"N/A")</f>
        <v>0.08</v>
      </c>
      <c r="C38" s="189"/>
      <c r="D38" s="189" t="s">
        <v>2169</v>
      </c>
      <c r="E38" s="189"/>
      <c r="F38" s="374">
        <f ca="1">-ROUND(OPEX!L37*1000000,-5)</f>
        <v>-6200000</v>
      </c>
    </row>
    <row r="39" spans="1:6" x14ac:dyDescent="0.25">
      <c r="A39" s="189" t="s">
        <v>133</v>
      </c>
      <c r="B39" s="377">
        <f>IF(D16&lt;0.999,DCFROR!B10,"N/A")</f>
        <v>10</v>
      </c>
      <c r="C39" s="189"/>
      <c r="D39" s="189" t="s">
        <v>236</v>
      </c>
      <c r="E39" s="189"/>
      <c r="F39" s="374">
        <f ca="1">ROUND(OPEX!L59*1000000,-5)</f>
        <v>11600000</v>
      </c>
    </row>
    <row r="40" spans="1:6" x14ac:dyDescent="0.25">
      <c r="A40" s="189" t="s">
        <v>2965</v>
      </c>
      <c r="B40" s="368">
        <f ca="1">(F40+F41+F42)/B33</f>
        <v>0.12534435261707988</v>
      </c>
      <c r="C40" s="189"/>
      <c r="D40" s="189" t="s">
        <v>134</v>
      </c>
      <c r="E40" s="189"/>
      <c r="F40" s="374">
        <f ca="1">ROUND(DCFROR!B4/30,-5)</f>
        <v>13800000</v>
      </c>
    </row>
    <row r="41" spans="1:6" x14ac:dyDescent="0.25">
      <c r="A41" s="189"/>
      <c r="B41" s="189"/>
      <c r="C41" s="189"/>
      <c r="D41" s="189" t="s">
        <v>214</v>
      </c>
      <c r="E41" s="189"/>
      <c r="F41" s="374">
        <f ca="1">ROUND(F28*$F$32/F19,-5)</f>
        <v>4200000</v>
      </c>
    </row>
    <row r="42" spans="1:6" x14ac:dyDescent="0.25">
      <c r="A42" s="189" t="s">
        <v>2195</v>
      </c>
      <c r="B42" s="378">
        <f ca="1">OPEX!E75</f>
        <v>57.800191833491233</v>
      </c>
      <c r="C42" s="189"/>
      <c r="D42" s="189" t="s">
        <v>226</v>
      </c>
      <c r="E42" s="189"/>
      <c r="F42" s="374">
        <f ca="1">ROUND(F29*F32/F19,-5)</f>
        <v>36600000</v>
      </c>
    </row>
    <row r="43" spans="1:6" x14ac:dyDescent="0.25">
      <c r="A43" s="189" t="s">
        <v>137</v>
      </c>
      <c r="B43" s="379">
        <f ca="1">OPEX!C84</f>
        <v>2.5527107908379074</v>
      </c>
      <c r="C43" s="189"/>
      <c r="D43" s="189"/>
      <c r="E43" s="189"/>
      <c r="F43" s="669"/>
    </row>
    <row r="44" spans="1:6" x14ac:dyDescent="0.25">
      <c r="A44" s="189" t="s">
        <v>207</v>
      </c>
      <c r="B44" s="379">
        <f ca="1">OPEX!C85</f>
        <v>2.1</v>
      </c>
      <c r="C44" s="189"/>
      <c r="D44" s="367" t="s">
        <v>18</v>
      </c>
      <c r="E44" s="367"/>
      <c r="F44" s="367"/>
    </row>
    <row r="45" spans="1:6" x14ac:dyDescent="0.25">
      <c r="A45" s="189"/>
      <c r="B45" s="189"/>
      <c r="C45" s="189"/>
      <c r="D45" s="189" t="s">
        <v>16</v>
      </c>
      <c r="E45" s="189"/>
      <c r="F45" s="1160">
        <f ca="1">'Operating Summaries'!D41</f>
        <v>19.924855446216078</v>
      </c>
    </row>
    <row r="46" spans="1:6" x14ac:dyDescent="0.25">
      <c r="A46" s="371" t="s">
        <v>316</v>
      </c>
      <c r="B46" s="365"/>
      <c r="C46" s="189"/>
      <c r="D46" s="189" t="s">
        <v>17</v>
      </c>
      <c r="E46" s="189"/>
      <c r="F46" s="378">
        <f ca="1">VLOOKUP("SACHDAYS",INDIRECT(LU_SENS),2,FALSE)</f>
        <v>3.5</v>
      </c>
    </row>
    <row r="47" spans="1:6" x14ac:dyDescent="0.25">
      <c r="A47" s="371" t="s">
        <v>2133</v>
      </c>
      <c r="B47" s="381">
        <f ca="1">'Operating Summaries'!N11</f>
        <v>75.264809456418291</v>
      </c>
      <c r="C47" s="189"/>
      <c r="D47" s="189" t="s">
        <v>19</v>
      </c>
      <c r="E47" s="189"/>
      <c r="F47" s="378">
        <f ca="1">VLOOKUP("FERMDAYS",INDIRECT(LU_SENS),2,FALSE)</f>
        <v>1.5</v>
      </c>
    </row>
    <row r="48" spans="1:6" x14ac:dyDescent="0.25">
      <c r="A48" s="371" t="s">
        <v>2183</v>
      </c>
      <c r="B48" s="381">
        <f ca="1">'Operating Summaries'!N12</f>
        <v>103.92567351367323</v>
      </c>
      <c r="C48" s="189"/>
      <c r="D48" s="189" t="s">
        <v>2295</v>
      </c>
      <c r="F48" s="893">
        <f ca="1">'Operating Summaries'!F53</f>
        <v>5.3768815013368221E-2</v>
      </c>
    </row>
    <row r="49" spans="1:6" x14ac:dyDescent="0.25">
      <c r="A49" s="371" t="s">
        <v>317</v>
      </c>
      <c r="B49" s="302">
        <f ca="1">D13/B48</f>
        <v>0.76010790379150717</v>
      </c>
      <c r="C49" s="189"/>
      <c r="D49" s="189" t="s">
        <v>2134</v>
      </c>
      <c r="E49" s="189"/>
      <c r="F49" s="378">
        <f ca="1">OPEX!E35*OPHOURS/(ETHMMGAL*1000000)</f>
        <v>1.763228395295096</v>
      </c>
    </row>
    <row r="50" spans="1:6" x14ac:dyDescent="0.25">
      <c r="A50" s="189"/>
      <c r="B50" s="189"/>
      <c r="C50" s="189"/>
      <c r="D50" s="189" t="s">
        <v>2135</v>
      </c>
      <c r="E50" s="189"/>
      <c r="F50" s="378">
        <f ca="1">(-'Operating Summaries'!H15-OPEX!E35)*OPHOURS/(ETHMMGAL*1000000)</f>
        <v>3.9061470369337017</v>
      </c>
    </row>
    <row r="51" spans="1:6" x14ac:dyDescent="0.25">
      <c r="A51" s="189"/>
      <c r="B51" s="189"/>
      <c r="C51" s="189"/>
      <c r="D51" s="189" t="s">
        <v>2170</v>
      </c>
      <c r="E51" s="189"/>
      <c r="F51" s="378">
        <f ca="1">OPEX!E29/3.7854*OPEX!B7/Summary!D12/1000000</f>
        <v>5.3779083365779954</v>
      </c>
    </row>
    <row r="52" spans="1:6" x14ac:dyDescent="0.25">
      <c r="A52" s="189"/>
      <c r="B52" s="189"/>
      <c r="C52" s="189"/>
    </row>
    <row r="53" spans="1:6" x14ac:dyDescent="0.25">
      <c r="C53" s="189"/>
    </row>
  </sheetData>
  <mergeCells count="4">
    <mergeCell ref="A4:F4"/>
    <mergeCell ref="A3:F3"/>
    <mergeCell ref="A2:F2"/>
    <mergeCell ref="A1:F1"/>
  </mergeCells>
  <phoneticPr fontId="0" type="noConversion"/>
  <pageMargins left="0.75" right="0.75" top="1" bottom="1" header="0.5" footer="0.5"/>
  <pageSetup scale="55" orientation="portrait" horizontalDpi="300" verticalDpi="300" r:id="rId1"/>
  <headerFooter alignWithMargins="0">
    <oddFooter>&amp;L&amp;"Arial,Regular"File: &amp;F&amp;C&amp;"Arial,Regular"NREL Protected Information&amp;R&amp;"Arial,Regular"&amp;D &amp;T</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P34"/>
  <sheetViews>
    <sheetView workbookViewId="0"/>
  </sheetViews>
  <sheetFormatPr defaultRowHeight="12" x14ac:dyDescent="0.2"/>
  <cols>
    <col min="1" max="2" width="36.6640625" customWidth="1"/>
  </cols>
  <sheetData>
    <row r="1" spans="1:16" x14ac:dyDescent="0.2">
      <c r="A1" s="894" t="s">
        <v>2318</v>
      </c>
    </row>
    <row r="2" spans="1:16" x14ac:dyDescent="0.2">
      <c r="P2" t="e">
        <f ca="1">_xll.CB.RecalcCounterFN()</f>
        <v>#NAME?</v>
      </c>
    </row>
    <row r="3" spans="1:16" x14ac:dyDescent="0.2">
      <c r="A3" t="s">
        <v>2319</v>
      </c>
      <c r="B3" t="s">
        <v>2320</v>
      </c>
      <c r="C3">
        <v>0</v>
      </c>
    </row>
    <row r="4" spans="1:16" x14ac:dyDescent="0.2">
      <c r="A4" t="s">
        <v>2321</v>
      </c>
    </row>
    <row r="5" spans="1:16" x14ac:dyDescent="0.2">
      <c r="A5" t="s">
        <v>2322</v>
      </c>
    </row>
    <row r="7" spans="1:16" x14ac:dyDescent="0.2">
      <c r="A7" s="894" t="s">
        <v>2323</v>
      </c>
      <c r="B7" t="s">
        <v>2324</v>
      </c>
    </row>
    <row r="8" spans="1:16" x14ac:dyDescent="0.2">
      <c r="B8">
        <v>2</v>
      </c>
    </row>
    <row r="10" spans="1:16" x14ac:dyDescent="0.2">
      <c r="A10" t="s">
        <v>2325</v>
      </c>
    </row>
    <row r="11" spans="1:16" x14ac:dyDescent="0.2">
      <c r="A11" t="e">
        <f>CB_DATA_!#REF!</f>
        <v>#REF!</v>
      </c>
      <c r="B11" t="e">
        <f>#REF!</f>
        <v>#REF!</v>
      </c>
    </row>
    <row r="13" spans="1:16" x14ac:dyDescent="0.2">
      <c r="A13" t="s">
        <v>2326</v>
      </c>
    </row>
    <row r="14" spans="1:16" x14ac:dyDescent="0.2">
      <c r="A14" t="s">
        <v>2335</v>
      </c>
      <c r="B14" s="895" t="s">
        <v>2330</v>
      </c>
    </row>
    <row r="16" spans="1:16" x14ac:dyDescent="0.2">
      <c r="A16" t="s">
        <v>2327</v>
      </c>
    </row>
    <row r="19" spans="1:2" x14ac:dyDescent="0.2">
      <c r="A19" t="s">
        <v>2328</v>
      </c>
    </row>
    <row r="20" spans="1:2" x14ac:dyDescent="0.2">
      <c r="A20">
        <v>34</v>
      </c>
      <c r="B20">
        <v>34</v>
      </c>
    </row>
    <row r="25" spans="1:2" x14ac:dyDescent="0.2">
      <c r="A25" s="894" t="s">
        <v>2329</v>
      </c>
    </row>
    <row r="26" spans="1:2" x14ac:dyDescent="0.2">
      <c r="A26" s="895" t="s">
        <v>2333</v>
      </c>
      <c r="B26" s="895" t="s">
        <v>2338</v>
      </c>
    </row>
    <row r="27" spans="1:2" x14ac:dyDescent="0.2">
      <c r="A27" t="s">
        <v>2336</v>
      </c>
      <c r="B27" t="s">
        <v>2358</v>
      </c>
    </row>
    <row r="28" spans="1:2" x14ac:dyDescent="0.2">
      <c r="A28" s="895" t="s">
        <v>2332</v>
      </c>
      <c r="B28" s="895" t="s">
        <v>2332</v>
      </c>
    </row>
    <row r="29" spans="1:2" x14ac:dyDescent="0.2">
      <c r="A29" s="895" t="s">
        <v>2338</v>
      </c>
      <c r="B29" s="895" t="s">
        <v>2333</v>
      </c>
    </row>
    <row r="30" spans="1:2" x14ac:dyDescent="0.2">
      <c r="A30" t="s">
        <v>2357</v>
      </c>
      <c r="B30" t="s">
        <v>2334</v>
      </c>
    </row>
    <row r="31" spans="1:2" x14ac:dyDescent="0.2">
      <c r="A31" s="895" t="s">
        <v>2332</v>
      </c>
      <c r="B31" s="895" t="s">
        <v>2332</v>
      </c>
    </row>
    <row r="32" spans="1:2" x14ac:dyDescent="0.2">
      <c r="A32" s="895" t="s">
        <v>2339</v>
      </c>
      <c r="B32" s="895" t="s">
        <v>2331</v>
      </c>
    </row>
    <row r="33" spans="1:2" x14ac:dyDescent="0.2">
      <c r="A33" t="s">
        <v>2356</v>
      </c>
      <c r="B33" t="s">
        <v>2359</v>
      </c>
    </row>
    <row r="34" spans="1:2" x14ac:dyDescent="0.2">
      <c r="A34" s="895" t="s">
        <v>2337</v>
      </c>
      <c r="B34" s="895" t="s">
        <v>2332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1">
    <pageSetUpPr fitToPage="1"/>
  </sheetPr>
  <dimension ref="A1:AB291"/>
  <sheetViews>
    <sheetView topLeftCell="A4" zoomScale="80" zoomScaleNormal="80" workbookViewId="0">
      <selection activeCell="E3" sqref="E3"/>
    </sheetView>
  </sheetViews>
  <sheetFormatPr defaultColWidth="8.88671875" defaultRowHeight="12.6" x14ac:dyDescent="0.2"/>
  <cols>
    <col min="1" max="1" width="12.44140625" style="470" customWidth="1"/>
    <col min="2" max="2" width="19.21875" style="470" customWidth="1"/>
    <col min="3" max="3" width="20.77734375" style="64" customWidth="1"/>
    <col min="4" max="4" width="24" style="64" customWidth="1"/>
    <col min="5" max="5" width="11.6640625" style="72" customWidth="1"/>
    <col min="6" max="6" width="13.109375" style="64" customWidth="1"/>
    <col min="7" max="7" width="12.77734375" style="72" bestFit="1" customWidth="1"/>
    <col min="8" max="8" width="12.44140625" style="72" customWidth="1"/>
    <col min="9" max="9" width="11.109375" style="470" bestFit="1" customWidth="1"/>
    <col min="10" max="10" width="12.6640625" style="470" customWidth="1"/>
    <col min="11" max="11" width="12.5546875" style="470" customWidth="1"/>
    <col min="12" max="12" width="14.33203125" style="470" customWidth="1"/>
    <col min="13" max="13" width="14.109375" style="470" customWidth="1"/>
    <col min="14" max="14" width="52.33203125" style="470" customWidth="1"/>
    <col min="15" max="15" width="8.88671875" style="470"/>
    <col min="16" max="16" width="9.21875" style="470" bestFit="1" customWidth="1"/>
    <col min="17" max="28" width="8.88671875" style="470"/>
    <col min="29" max="16384" width="8.88671875" style="63"/>
  </cols>
  <sheetData>
    <row r="1" spans="1:28" ht="45.6" customHeight="1" x14ac:dyDescent="0.2">
      <c r="A1" s="470" t="s">
        <v>279</v>
      </c>
      <c r="B1" s="522" t="s">
        <v>2369</v>
      </c>
    </row>
    <row r="2" spans="1:28" ht="44.4" customHeight="1" x14ac:dyDescent="0.2">
      <c r="A2" s="470" t="s">
        <v>2102</v>
      </c>
      <c r="B2" s="64">
        <f ca="1">VLOOKUP(B1,INDIRECT(LU_SENS),2,FALSE)</f>
        <v>21672.518400000001</v>
      </c>
      <c r="D2" s="66"/>
      <c r="E2" s="67"/>
      <c r="F2" s="68"/>
      <c r="G2" s="69"/>
      <c r="H2" s="65"/>
      <c r="I2" s="541"/>
      <c r="J2" s="542"/>
    </row>
    <row r="3" spans="1:28" ht="26.4" customHeight="1" x14ac:dyDescent="0.2">
      <c r="A3" s="470" t="s">
        <v>280</v>
      </c>
      <c r="B3" s="70">
        <f ca="1">VLOOKUP(B1,INDIRECT(LU_SENS),2,FALSE)*($B$7/('Set-up'!$B$39*3.7854*1000000))</f>
        <v>57.209376545185314</v>
      </c>
      <c r="D3" s="470" t="s">
        <v>281</v>
      </c>
      <c r="E3" s="71">
        <f ca="1">E12*2.20462*(1-$M$7)*B7/2000</f>
        <v>724217.6731865576</v>
      </c>
      <c r="F3" s="64" t="s">
        <v>433</v>
      </c>
      <c r="G3" s="72">
        <f ca="1">(E12+E27)*2.20462*(1-$M$7)*B7/2000</f>
        <v>724217.67318725283</v>
      </c>
    </row>
    <row r="4" spans="1:28" ht="33.6" customHeight="1" x14ac:dyDescent="0.2">
      <c r="D4" s="470" t="s">
        <v>282</v>
      </c>
      <c r="E4" s="71">
        <f ca="1">B3*1000000/E3</f>
        <v>78.994725844598719</v>
      </c>
    </row>
    <row r="5" spans="1:28" ht="17.399999999999999" x14ac:dyDescent="0.3">
      <c r="A5" s="543" t="s">
        <v>751</v>
      </c>
      <c r="B5" s="544"/>
      <c r="C5" s="136"/>
      <c r="D5" s="545"/>
      <c r="E5" s="148"/>
      <c r="F5" s="137"/>
      <c r="G5" s="138"/>
      <c r="H5" s="138"/>
      <c r="I5" s="545"/>
      <c r="J5" s="545"/>
      <c r="K5" s="545"/>
      <c r="L5" s="545"/>
      <c r="M5" s="545"/>
    </row>
    <row r="6" spans="1:28" ht="18" thickBot="1" x14ac:dyDescent="0.35">
      <c r="A6" s="546"/>
      <c r="D6" s="470"/>
      <c r="E6" s="71"/>
    </row>
    <row r="7" spans="1:28" ht="25.5" customHeight="1" thickBot="1" x14ac:dyDescent="0.25">
      <c r="A7" s="547" t="s">
        <v>928</v>
      </c>
      <c r="B7" s="120">
        <v>7884</v>
      </c>
      <c r="D7" s="119" t="s">
        <v>746</v>
      </c>
      <c r="E7" s="858">
        <v>1E-10</v>
      </c>
      <c r="F7" s="231" t="s">
        <v>927</v>
      </c>
      <c r="H7" s="121" t="s">
        <v>595</v>
      </c>
      <c r="I7" s="122">
        <v>71.260000000000005</v>
      </c>
      <c r="J7" s="548" t="s">
        <v>926</v>
      </c>
      <c r="L7" s="121" t="s">
        <v>763</v>
      </c>
      <c r="M7" s="188">
        <f ca="1">'Operating Summaries'!D3</f>
        <v>0.19999999903999999</v>
      </c>
    </row>
    <row r="8" spans="1:28" ht="13.2" customHeight="1" thickBot="1" x14ac:dyDescent="0.25">
      <c r="A8" s="26"/>
      <c r="B8" s="74"/>
      <c r="D8" s="75"/>
      <c r="E8" s="64"/>
      <c r="F8" s="71"/>
      <c r="G8" s="64"/>
      <c r="H8" s="71"/>
      <c r="I8" s="71"/>
    </row>
    <row r="9" spans="1:28" ht="16.8" thickBot="1" x14ac:dyDescent="0.35">
      <c r="A9" s="549" t="s">
        <v>285</v>
      </c>
      <c r="B9" s="550"/>
      <c r="C9" s="161"/>
      <c r="D9" s="161"/>
      <c r="E9" s="161"/>
      <c r="F9" s="162"/>
      <c r="G9" s="161"/>
      <c r="H9" s="162"/>
      <c r="I9" s="162"/>
      <c r="J9" s="550"/>
      <c r="K9" s="550"/>
      <c r="L9" s="550"/>
      <c r="M9" s="551" t="str">
        <f>CASEID</f>
        <v>DW1102A</v>
      </c>
    </row>
    <row r="10" spans="1:28" s="76" customFormat="1" ht="51" thickBot="1" x14ac:dyDescent="0.25">
      <c r="A10" s="552"/>
      <c r="B10" s="553" t="s">
        <v>81</v>
      </c>
      <c r="C10" s="554" t="s">
        <v>286</v>
      </c>
      <c r="D10" s="554" t="s">
        <v>283</v>
      </c>
      <c r="E10" s="179" t="s">
        <v>287</v>
      </c>
      <c r="F10" s="179" t="s">
        <v>288</v>
      </c>
      <c r="G10" s="179" t="s">
        <v>80</v>
      </c>
      <c r="H10" s="554" t="s">
        <v>79</v>
      </c>
      <c r="I10" s="180" t="str">
        <f>costyear &amp; " Cost ($ / ton)"</f>
        <v>2016 Cost ($ / ton)</v>
      </c>
      <c r="J10" s="180" t="str">
        <f>costyear &amp; " Cost ($/lb)"</f>
        <v>2016 Cost ($/lb)</v>
      </c>
      <c r="K10" s="179" t="s">
        <v>289</v>
      </c>
      <c r="L10" s="180" t="str">
        <f>"MM$/yr ("&amp;costyear&amp;")"</f>
        <v>MM$/yr (2016)</v>
      </c>
      <c r="M10" s="181" t="str">
        <f>"Cents/Gallon Ethanol ("&amp;costyear&amp;")"</f>
        <v>Cents/Gallon Ethanol (2016)</v>
      </c>
      <c r="N10" s="471" t="s">
        <v>1557</v>
      </c>
      <c r="O10" s="471"/>
      <c r="P10" s="471"/>
      <c r="Q10" s="471"/>
      <c r="R10" s="471"/>
      <c r="S10" s="471"/>
      <c r="T10" s="471"/>
      <c r="U10" s="471"/>
      <c r="V10" s="471"/>
      <c r="W10" s="471"/>
      <c r="X10" s="471"/>
      <c r="Y10" s="471"/>
      <c r="Z10" s="471"/>
      <c r="AA10" s="471"/>
      <c r="AB10" s="471"/>
    </row>
    <row r="11" spans="1:28" s="76" customFormat="1" ht="13.5" customHeight="1" thickBot="1" x14ac:dyDescent="0.25">
      <c r="A11" s="1521" t="s">
        <v>752</v>
      </c>
      <c r="B11" s="1522"/>
      <c r="C11" s="1522"/>
      <c r="D11" s="1522"/>
      <c r="E11" s="1522"/>
      <c r="F11" s="1522"/>
      <c r="G11" s="1522"/>
      <c r="H11" s="1522"/>
      <c r="I11" s="1522"/>
      <c r="J11" s="1523"/>
      <c r="K11" s="1522"/>
      <c r="L11" s="1522"/>
      <c r="M11" s="1524"/>
      <c r="N11" s="471"/>
      <c r="O11" s="471"/>
      <c r="P11" s="471"/>
      <c r="Q11" s="471"/>
      <c r="R11" s="471"/>
      <c r="S11" s="471"/>
      <c r="T11" s="471"/>
      <c r="U11" s="471"/>
      <c r="V11" s="471"/>
      <c r="W11" s="471"/>
      <c r="X11" s="471"/>
      <c r="Y11" s="471"/>
      <c r="Z11" s="471"/>
      <c r="AA11" s="471"/>
      <c r="AB11" s="471"/>
    </row>
    <row r="12" spans="1:28" s="77" customFormat="1" x14ac:dyDescent="0.2">
      <c r="A12" s="555" t="s">
        <v>190</v>
      </c>
      <c r="B12" s="419"/>
      <c r="C12" s="419" t="s">
        <v>231</v>
      </c>
      <c r="D12" s="556" t="s">
        <v>536</v>
      </c>
      <c r="E12" s="154">
        <f t="shared" ref="E12:E29" ca="1" si="0">IFERROR(VLOOKUP(D12,INDIRECT(LU_SENS),2,FALSE),0)</f>
        <v>104166.667</v>
      </c>
      <c r="F12" s="154">
        <f t="shared" ref="F12:F29" ca="1" si="1">E12*2.205</f>
        <v>229687.50073500001</v>
      </c>
      <c r="G12" s="156">
        <f ca="1">I7*100*(1-$M$7)</f>
        <v>5700.800006840961</v>
      </c>
      <c r="H12" s="156">
        <f>DCFROR!$B$34</f>
        <v>2016</v>
      </c>
      <c r="I12" s="157">
        <f ca="1">G12*VLOOKUP(DCFROR!$B$34,INDIRECT(IX_CHEM),4,FALSE)/VLOOKUP(H12,INDIRECT(IX_CHEM),4,FALSE)/100</f>
        <v>57.008000068409608</v>
      </c>
      <c r="J12" s="158">
        <f ca="1">I12/2000</f>
        <v>2.8504000034204804E-2</v>
      </c>
      <c r="K12" s="213">
        <f t="shared" ref="K12:K29" ca="1" si="2">F12*J12</f>
        <v>6547.0125288068557</v>
      </c>
      <c r="L12" s="157">
        <f t="shared" ref="L12:L29" ca="1" si="3">($K12*$B$7/1000000)</f>
        <v>51.616646777113253</v>
      </c>
      <c r="M12" s="160">
        <f t="shared" ref="M12:M29" ca="1" si="4">(L12*100)/$B$3</f>
        <v>90.224102925409809</v>
      </c>
      <c r="N12" s="214" t="s">
        <v>1561</v>
      </c>
      <c r="O12" s="600"/>
      <c r="P12" s="600"/>
      <c r="Q12" s="600"/>
      <c r="R12" s="600"/>
      <c r="S12" s="600"/>
      <c r="T12" s="600"/>
      <c r="U12" s="600"/>
      <c r="V12" s="600"/>
      <c r="W12" s="600"/>
      <c r="X12" s="600"/>
      <c r="Y12" s="600"/>
      <c r="Z12" s="600"/>
      <c r="AA12" s="600"/>
      <c r="AB12" s="600"/>
    </row>
    <row r="13" spans="1:28" s="77" customFormat="1" x14ac:dyDescent="0.2">
      <c r="A13" s="557" t="s">
        <v>320</v>
      </c>
      <c r="B13" s="414"/>
      <c r="C13" s="414" t="s">
        <v>1585</v>
      </c>
      <c r="D13" s="558" t="s">
        <v>667</v>
      </c>
      <c r="E13" s="126">
        <f t="shared" ca="1" si="0"/>
        <v>1980.6120000000003</v>
      </c>
      <c r="F13" s="126">
        <f t="shared" ca="1" si="1"/>
        <v>4367.2494600000009</v>
      </c>
      <c r="G13" s="127">
        <v>9000</v>
      </c>
      <c r="H13" s="127">
        <v>2009</v>
      </c>
      <c r="I13" s="1261">
        <f ca="1">G13*VLOOKUP(DCFROR!$B$34,INDIRECT(IX_CHEM),4,FALSE)/VLOOKUP(H13,INDIRECT(IX_CHEM),4,FALSE)/100</f>
        <v>106.9826435246996</v>
      </c>
      <c r="J13" s="217">
        <f t="shared" ref="J13:J29" ca="1" si="5">I13/2000</f>
        <v>5.3491321762349796E-2</v>
      </c>
      <c r="K13" s="128">
        <f t="shared" ca="1" si="2"/>
        <v>233.60994608130844</v>
      </c>
      <c r="L13" s="1261">
        <f t="shared" ca="1" si="3"/>
        <v>1.8417808149050359</v>
      </c>
      <c r="M13" s="139">
        <f t="shared" ca="1" si="4"/>
        <v>3.2193687925446173</v>
      </c>
      <c r="N13" s="214" t="s">
        <v>1586</v>
      </c>
      <c r="O13" s="600"/>
      <c r="P13" s="600"/>
      <c r="Q13" s="600"/>
      <c r="R13" s="600"/>
      <c r="S13" s="600"/>
      <c r="T13" s="600"/>
      <c r="U13" s="600"/>
      <c r="V13" s="600"/>
      <c r="W13" s="600"/>
      <c r="X13" s="600"/>
      <c r="Y13" s="600"/>
      <c r="Z13" s="600"/>
      <c r="AA13" s="600"/>
      <c r="AB13" s="600"/>
    </row>
    <row r="14" spans="1:28" s="77" customFormat="1" x14ac:dyDescent="0.2">
      <c r="A14" s="559"/>
      <c r="B14" s="415"/>
      <c r="C14" s="415" t="s">
        <v>431</v>
      </c>
      <c r="D14" s="560" t="s">
        <v>1105</v>
      </c>
      <c r="E14" s="129">
        <f t="shared" ca="1" si="0"/>
        <v>1050.60419</v>
      </c>
      <c r="F14" s="129">
        <f t="shared" ca="1" si="1"/>
        <v>2316.5822389499999</v>
      </c>
      <c r="G14" s="130">
        <v>45000</v>
      </c>
      <c r="H14" s="130">
        <v>2009</v>
      </c>
      <c r="I14" s="131">
        <f ca="1">G14*VLOOKUP(DCFROR!$B$34,INDIRECT(IX_CHEM),4,FALSE)/VLOOKUP(H14,INDIRECT(IX_CHEM),4,FALSE)/100</f>
        <v>534.9132176234981</v>
      </c>
      <c r="J14" s="218">
        <f t="shared" ca="1" si="5"/>
        <v>0.26745660881174904</v>
      </c>
      <c r="K14" s="132">
        <f t="shared" ca="1" si="2"/>
        <v>619.5852296630959</v>
      </c>
      <c r="L14" s="131">
        <f t="shared" ca="1" si="3"/>
        <v>4.8848099506638478</v>
      </c>
      <c r="M14" s="140">
        <f t="shared" ca="1" si="4"/>
        <v>8.5384778608900049</v>
      </c>
      <c r="N14" s="214" t="s">
        <v>1568</v>
      </c>
      <c r="O14" s="600"/>
      <c r="P14" s="600"/>
      <c r="Q14" s="600"/>
      <c r="R14" s="600"/>
      <c r="S14" s="600"/>
      <c r="T14" s="600"/>
      <c r="U14" s="600"/>
      <c r="V14" s="600"/>
      <c r="W14" s="600"/>
      <c r="X14" s="600"/>
      <c r="Y14" s="600"/>
      <c r="Z14" s="600"/>
      <c r="AA14" s="600"/>
      <c r="AB14" s="600"/>
    </row>
    <row r="15" spans="1:28" ht="12.75" customHeight="1" x14ac:dyDescent="0.2">
      <c r="A15" s="561" t="s">
        <v>328</v>
      </c>
      <c r="B15" s="414"/>
      <c r="C15" s="414" t="s">
        <v>78</v>
      </c>
      <c r="D15" s="558" t="s">
        <v>796</v>
      </c>
      <c r="E15" s="126">
        <f t="shared" ca="1" si="0"/>
        <v>1158.0003400000001</v>
      </c>
      <c r="F15" s="126">
        <f t="shared" ca="1" si="1"/>
        <v>2553.3907497</v>
      </c>
      <c r="G15" s="127">
        <v>5700</v>
      </c>
      <c r="H15" s="127">
        <v>2009</v>
      </c>
      <c r="I15" s="1261">
        <f ca="1">G15*VLOOKUP(DCFROR!$B$34,INDIRECT(IX_CHEM),4,FALSE)/VLOOKUP(H15,INDIRECT(IX_CHEM),4,FALSE)/100</f>
        <v>67.755674232309758</v>
      </c>
      <c r="J15" s="217">
        <f t="shared" ca="1" si="5"/>
        <v>3.3877837116154878E-2</v>
      </c>
      <c r="K15" s="128">
        <f t="shared" ca="1" si="2"/>
        <v>86.503355912233189</v>
      </c>
      <c r="L15" s="1261">
        <f t="shared" ca="1" si="3"/>
        <v>0.68199245801204644</v>
      </c>
      <c r="M15" s="139">
        <f t="shared" ca="1" si="4"/>
        <v>1.1920990914372098</v>
      </c>
      <c r="N15" s="214" t="s">
        <v>1562</v>
      </c>
    </row>
    <row r="16" spans="1:28" ht="25.2" x14ac:dyDescent="0.2">
      <c r="A16" s="562"/>
      <c r="B16" s="416"/>
      <c r="C16" s="416" t="s">
        <v>1565</v>
      </c>
      <c r="D16" s="563" t="s">
        <v>666</v>
      </c>
      <c r="E16" s="133">
        <f t="shared" ca="1" si="0"/>
        <v>144.017628</v>
      </c>
      <c r="F16" s="133">
        <f t="shared" ca="1" si="1"/>
        <v>317.55886974000003</v>
      </c>
      <c r="G16" s="78">
        <v>99000</v>
      </c>
      <c r="H16" s="78">
        <v>2009</v>
      </c>
      <c r="I16" s="115">
        <f ca="1">G16*VLOOKUP(DCFROR!$B$34,INDIRECT(IX_CHEM),4,FALSE)/VLOOKUP(H16,INDIRECT(IX_CHEM),4,FALSE)/100</f>
        <v>1176.8090787716958</v>
      </c>
      <c r="J16" s="79">
        <f t="shared" ca="1" si="5"/>
        <v>0.58840453938584791</v>
      </c>
      <c r="K16" s="134">
        <f t="shared" ca="1" si="2"/>
        <v>186.85308047725519</v>
      </c>
      <c r="L16" s="115">
        <f t="shared" ca="1" si="3"/>
        <v>1.4731496864826801</v>
      </c>
      <c r="M16" s="141">
        <f t="shared" ca="1" si="4"/>
        <v>2.5750144040097198</v>
      </c>
      <c r="N16" s="214" t="s">
        <v>1564</v>
      </c>
    </row>
    <row r="17" spans="1:14" x14ac:dyDescent="0.2">
      <c r="A17" s="559"/>
      <c r="B17" s="415"/>
      <c r="C17" s="415" t="s">
        <v>747</v>
      </c>
      <c r="D17" s="560" t="s">
        <v>1591</v>
      </c>
      <c r="E17" s="129">
        <f t="shared" ca="1" si="0"/>
        <v>44.322620899999997</v>
      </c>
      <c r="F17" s="129">
        <f t="shared" ca="1" si="1"/>
        <v>97.731379084499991</v>
      </c>
      <c r="G17" s="130">
        <v>113000</v>
      </c>
      <c r="H17" s="130">
        <v>2009</v>
      </c>
      <c r="I17" s="115">
        <f ca="1">G17*VLOOKUP(DCFROR!$B$34,INDIRECT(IX_CHEM),4,FALSE)/VLOOKUP(H17,INDIRECT(IX_CHEM),4,FALSE)/100</f>
        <v>1343.2265242545618</v>
      </c>
      <c r="J17" s="79">
        <f t="shared" ca="1" si="5"/>
        <v>0.6716132621272809</v>
      </c>
      <c r="K17" s="134">
        <f t="shared" ca="1" si="2"/>
        <v>65.637690319138954</v>
      </c>
      <c r="L17" s="115">
        <f t="shared" ca="1" si="3"/>
        <v>0.51748755047609152</v>
      </c>
      <c r="M17" s="141">
        <f t="shared" ca="1" si="4"/>
        <v>0.90455023586451366</v>
      </c>
      <c r="N17" s="214" t="s">
        <v>1563</v>
      </c>
    </row>
    <row r="18" spans="1:14" x14ac:dyDescent="0.2">
      <c r="A18" s="564" t="s">
        <v>329</v>
      </c>
      <c r="B18" s="565"/>
      <c r="C18" s="414" t="s">
        <v>758</v>
      </c>
      <c r="D18" s="558" t="s">
        <v>1098</v>
      </c>
      <c r="E18" s="126">
        <f t="shared" ca="1" si="0"/>
        <v>1.0000000000000001E-5</v>
      </c>
      <c r="F18" s="126">
        <f t="shared" ca="1" si="1"/>
        <v>2.2050000000000004E-5</v>
      </c>
      <c r="G18" s="127">
        <f ca="1">IF(E18&gt;0.00001,1/(B7/(B3*1000000)*F18/2000/E7)*100,0)</f>
        <v>0</v>
      </c>
      <c r="H18" s="127">
        <f>DCFROR!$B$34</f>
        <v>2016</v>
      </c>
      <c r="I18" s="1261">
        <f ca="1">G18*VLOOKUP(DCFROR!$B$34,INDIRECT(IX_CHEM),4,FALSE)/VLOOKUP(H18,INDIRECT(IX_CHEM),4,FALSE)/100</f>
        <v>0</v>
      </c>
      <c r="J18" s="217">
        <f t="shared" ca="1" si="5"/>
        <v>0</v>
      </c>
      <c r="K18" s="128">
        <f t="shared" ca="1" si="2"/>
        <v>0</v>
      </c>
      <c r="L18" s="1261">
        <f t="shared" ca="1" si="3"/>
        <v>0</v>
      </c>
      <c r="M18" s="139">
        <f t="shared" ca="1" si="4"/>
        <v>0</v>
      </c>
      <c r="N18" s="214" t="s">
        <v>1560</v>
      </c>
    </row>
    <row r="19" spans="1:14" ht="25.2" x14ac:dyDescent="0.2">
      <c r="A19" s="562"/>
      <c r="B19" s="416"/>
      <c r="C19" s="417" t="s">
        <v>1074</v>
      </c>
      <c r="D19" s="417" t="s">
        <v>721</v>
      </c>
      <c r="E19" s="167">
        <f t="shared" ca="1" si="0"/>
        <v>2417.9653600000001</v>
      </c>
      <c r="F19" s="167">
        <f t="shared" ca="1" si="1"/>
        <v>5331.6136188</v>
      </c>
      <c r="G19" s="78">
        <v>58220</v>
      </c>
      <c r="H19" s="169">
        <v>2009</v>
      </c>
      <c r="I19" s="115">
        <f ca="1">G19*VLOOKUP(DCFROR!$B$34,INDIRECT(IX_CHEM),4,FALSE)/VLOOKUP(H19,INDIRECT(IX_CHEM),4,FALSE)/100</f>
        <v>692.05883400089022</v>
      </c>
      <c r="J19" s="79">
        <f t="shared" ca="1" si="5"/>
        <v>0.34602941700044509</v>
      </c>
      <c r="K19" s="134">
        <f t="shared" ca="1" si="2"/>
        <v>1844.8951521849974</v>
      </c>
      <c r="L19" s="115">
        <f t="shared" ca="1" si="3"/>
        <v>14.54515337982652</v>
      </c>
      <c r="M19" s="141">
        <f t="shared" ca="1" si="4"/>
        <v>25.424422110837749</v>
      </c>
      <c r="N19" s="214" t="s">
        <v>1558</v>
      </c>
    </row>
    <row r="20" spans="1:14" x14ac:dyDescent="0.2">
      <c r="A20" s="562"/>
      <c r="B20" s="416"/>
      <c r="C20" s="416" t="s">
        <v>78</v>
      </c>
      <c r="D20" s="563" t="s">
        <v>797</v>
      </c>
      <c r="E20" s="133">
        <f t="shared" ca="1" si="0"/>
        <v>164.492718</v>
      </c>
      <c r="F20" s="133">
        <f t="shared" ca="1" si="1"/>
        <v>362.70644319000002</v>
      </c>
      <c r="G20" s="78">
        <f>G15</f>
        <v>5700</v>
      </c>
      <c r="H20" s="78">
        <f>H15</f>
        <v>2009</v>
      </c>
      <c r="I20" s="115">
        <f ca="1">G20*VLOOKUP(DCFROR!$B$34,INDIRECT(IX_CHEM),4,FALSE)/VLOOKUP(H20,INDIRECT(IX_CHEM),4,FALSE)/100</f>
        <v>67.755674232309758</v>
      </c>
      <c r="J20" s="79">
        <f t="shared" ca="1" si="5"/>
        <v>3.3877837116154878E-2</v>
      </c>
      <c r="K20" s="134">
        <f t="shared" ca="1" si="2"/>
        <v>12.287709803370703</v>
      </c>
      <c r="L20" s="115">
        <f t="shared" ca="1" si="3"/>
        <v>9.6876304089774629E-2</v>
      </c>
      <c r="M20" s="141">
        <f t="shared" ca="1" si="4"/>
        <v>0.16933640941403974</v>
      </c>
      <c r="N20" s="214" t="str">
        <f>N15</f>
        <v>Corn Products via HGI</v>
      </c>
    </row>
    <row r="21" spans="1:14" x14ac:dyDescent="0.2">
      <c r="A21" s="562"/>
      <c r="B21" s="416"/>
      <c r="C21" s="417" t="s">
        <v>431</v>
      </c>
      <c r="D21" s="417" t="s">
        <v>798</v>
      </c>
      <c r="E21" s="133">
        <f t="shared" ca="1" si="0"/>
        <v>114.97313300000002</v>
      </c>
      <c r="F21" s="133">
        <f t="shared" ca="1" si="1"/>
        <v>253.51575826500004</v>
      </c>
      <c r="G21" s="78">
        <f>G14</f>
        <v>45000</v>
      </c>
      <c r="H21" s="78">
        <f>H14</f>
        <v>2009</v>
      </c>
      <c r="I21" s="115">
        <f ca="1">G21*VLOOKUP(DCFROR!$B$34,INDIRECT(IX_CHEM),4,FALSE)/VLOOKUP(H21,INDIRECT(IX_CHEM),4,FALSE)/100</f>
        <v>534.9132176234981</v>
      </c>
      <c r="J21" s="79">
        <f t="shared" ca="1" si="5"/>
        <v>0.26745660881174904</v>
      </c>
      <c r="K21" s="134">
        <f t="shared" ca="1" si="2"/>
        <v>67.804464985896047</v>
      </c>
      <c r="L21" s="115">
        <f t="shared" ca="1" si="3"/>
        <v>0.53457040194880434</v>
      </c>
      <c r="M21" s="141">
        <f t="shared" ca="1" si="4"/>
        <v>0.93441046596022248</v>
      </c>
      <c r="N21" s="214" t="str">
        <f>N14</f>
        <v>Terra Industries via HGI, anhydrous, delivery to Iowa</v>
      </c>
    </row>
    <row r="22" spans="1:14" x14ac:dyDescent="0.2">
      <c r="A22" s="562"/>
      <c r="B22" s="416"/>
      <c r="C22" s="417" t="s">
        <v>799</v>
      </c>
      <c r="D22" s="417" t="s">
        <v>800</v>
      </c>
      <c r="E22" s="133">
        <f t="shared" ca="1" si="0"/>
        <v>67.351979200000002</v>
      </c>
      <c r="F22" s="133">
        <f t="shared" ca="1" si="1"/>
        <v>148.511114136</v>
      </c>
      <c r="G22" s="78">
        <v>74530</v>
      </c>
      <c r="H22" s="78">
        <v>2007</v>
      </c>
      <c r="I22" s="115">
        <f ca="1">G22*VLOOKUP(DCFROR!$B$34,INDIRECT(IX_CHEM),4,FALSE)/VLOOKUP(H22,INDIRECT(IX_CHEM),4,FALSE)/100</f>
        <v>979.19149040826369</v>
      </c>
      <c r="J22" s="79">
        <f t="shared" ca="1" si="5"/>
        <v>0.48959574520413185</v>
      </c>
      <c r="K22" s="134">
        <f t="shared" ca="1" si="2"/>
        <v>72.7104095965108</v>
      </c>
      <c r="L22" s="115">
        <f t="shared" ca="1" si="3"/>
        <v>0.57324886925889107</v>
      </c>
      <c r="M22" s="141">
        <f t="shared" ca="1" si="4"/>
        <v>1.0020190812709269</v>
      </c>
      <c r="N22" s="214" t="s">
        <v>1559</v>
      </c>
    </row>
    <row r="23" spans="1:14" x14ac:dyDescent="0.2">
      <c r="A23" s="562"/>
      <c r="B23" s="416"/>
      <c r="C23" s="417" t="s">
        <v>801</v>
      </c>
      <c r="D23" s="417" t="s">
        <v>802</v>
      </c>
      <c r="E23" s="133">
        <f t="shared" ca="1" si="0"/>
        <v>16.4154968</v>
      </c>
      <c r="F23" s="133">
        <f t="shared" ca="1" si="1"/>
        <v>36.196170444000003</v>
      </c>
      <c r="G23" s="78">
        <v>25400</v>
      </c>
      <c r="H23" s="78">
        <v>2005</v>
      </c>
      <c r="I23" s="115">
        <f ca="1">G23*VLOOKUP(DCFROR!$B$34,INDIRECT(IX_CHEM),4,FALSE)/VLOOKUP(H23,INDIRECT(IX_CHEM),4,FALSE)/100</f>
        <v>362.21783235451147</v>
      </c>
      <c r="J23" s="79">
        <f t="shared" ca="1" si="5"/>
        <v>0.18110891617725575</v>
      </c>
      <c r="K23" s="134">
        <f t="shared" ca="1" si="2"/>
        <v>6.5554491988800585</v>
      </c>
      <c r="L23" s="115">
        <f t="shared" ca="1" si="3"/>
        <v>5.1683161483970383E-2</v>
      </c>
      <c r="M23" s="141">
        <f t="shared" ca="1" si="4"/>
        <v>9.0340368319081057E-2</v>
      </c>
      <c r="N23" s="214" t="s">
        <v>1559</v>
      </c>
    </row>
    <row r="24" spans="1:14" x14ac:dyDescent="0.2">
      <c r="A24" s="561" t="s">
        <v>365</v>
      </c>
      <c r="B24" s="414"/>
      <c r="C24" s="414" t="s">
        <v>3349</v>
      </c>
      <c r="D24" s="558" t="s">
        <v>3348</v>
      </c>
      <c r="E24" s="126">
        <f t="shared" ca="1" si="0"/>
        <v>2251.5064299999999</v>
      </c>
      <c r="F24" s="126">
        <f t="shared" ca="1" si="1"/>
        <v>4964.5716781499996</v>
      </c>
      <c r="G24" s="127">
        <v>15000</v>
      </c>
      <c r="H24" s="127">
        <v>2009</v>
      </c>
      <c r="I24" s="1261">
        <f ca="1">G24*VLOOKUP(DCFROR!$B$34,INDIRECT(IX_CHEM),4,FALSE)/VLOOKUP(H24,INDIRECT(IX_CHEM),4,FALSE)/100</f>
        <v>178.30440587449937</v>
      </c>
      <c r="J24" s="217">
        <f t="shared" ca="1" si="5"/>
        <v>8.915220293724968E-2</v>
      </c>
      <c r="K24" s="128">
        <f t="shared" ca="1" si="2"/>
        <v>442.60250174695096</v>
      </c>
      <c r="L24" s="1261">
        <f t="shared" ca="1" si="3"/>
        <v>3.4894781237729617</v>
      </c>
      <c r="M24" s="139">
        <f t="shared" ca="1" si="4"/>
        <v>6.0994863683174199</v>
      </c>
      <c r="N24" s="214"/>
    </row>
    <row r="25" spans="1:14" x14ac:dyDescent="0.2">
      <c r="A25" s="561" t="s">
        <v>394</v>
      </c>
      <c r="B25" s="414"/>
      <c r="C25" s="414" t="s">
        <v>1859</v>
      </c>
      <c r="D25" s="558" t="s">
        <v>581</v>
      </c>
      <c r="E25" s="126">
        <f t="shared" ca="1" si="0"/>
        <v>0.24903522299999997</v>
      </c>
      <c r="F25" s="126">
        <f t="shared" ca="1" si="1"/>
        <v>0.54912266671499999</v>
      </c>
      <c r="G25" s="127">
        <v>280000</v>
      </c>
      <c r="H25" s="127">
        <v>1991</v>
      </c>
      <c r="I25" s="1261">
        <f ca="1">G25*VLOOKUP(DCFROR!$B$34,INDIRECT(IX_CHEM),4,FALSE)/VLOOKUP(H25,INDIRECT(IX_CHEM),4,FALSE)/100</f>
        <v>5954.4585987261144</v>
      </c>
      <c r="J25" s="217">
        <f t="shared" ca="1" si="5"/>
        <v>2.9772292993630574</v>
      </c>
      <c r="K25" s="128">
        <f t="shared" ca="1" si="2"/>
        <v>1.6348640922882731</v>
      </c>
      <c r="L25" s="1261">
        <f t="shared" ca="1" si="3"/>
        <v>1.2889268503600747E-2</v>
      </c>
      <c r="M25" s="139">
        <f t="shared" ca="1" si="4"/>
        <v>2.2529992952152692E-2</v>
      </c>
      <c r="N25" s="214"/>
    </row>
    <row r="26" spans="1:14" x14ac:dyDescent="0.2">
      <c r="A26" s="562"/>
      <c r="B26" s="416"/>
      <c r="C26" s="416" t="s">
        <v>2658</v>
      </c>
      <c r="D26" s="563" t="s">
        <v>3162</v>
      </c>
      <c r="E26" s="133">
        <f ca="1">IFERROR(VLOOKUP(D26,INDIRECT(LU_SENS),2,FALSE),0)</f>
        <v>895.38848099999996</v>
      </c>
      <c r="F26" s="133">
        <f ca="1">E26*2.205</f>
        <v>1974.3316006049999</v>
      </c>
      <c r="G26" s="78">
        <v>20000</v>
      </c>
      <c r="H26" s="78">
        <v>2009</v>
      </c>
      <c r="I26" s="115">
        <f ca="1">G26*VLOOKUP(DCFROR!$B$34,INDIRECT(IX_CHEM),4,FALSE)/VLOOKUP(H26,INDIRECT(IX_CHEM),4,FALSE)/100</f>
        <v>237.73920783266578</v>
      </c>
      <c r="J26" s="79">
        <f t="shared" ca="1" si="5"/>
        <v>0.11886960391633289</v>
      </c>
      <c r="K26" s="134">
        <f ca="1">F26*J26</f>
        <v>234.68801536341587</v>
      </c>
      <c r="L26" s="115">
        <f t="shared" ca="1" si="3"/>
        <v>1.8502803131251708</v>
      </c>
      <c r="M26" s="141">
        <f ca="1">(L26*100)/$B$3</f>
        <v>3.2342256197526917</v>
      </c>
      <c r="N26" s="214"/>
    </row>
    <row r="27" spans="1:14" x14ac:dyDescent="0.2">
      <c r="A27" s="559"/>
      <c r="B27" s="415"/>
      <c r="C27" s="415" t="s">
        <v>231</v>
      </c>
      <c r="D27" s="560" t="s">
        <v>576</v>
      </c>
      <c r="E27" s="129">
        <f t="shared" ca="1" si="0"/>
        <v>9.9999999999999995E-8</v>
      </c>
      <c r="F27" s="129">
        <f t="shared" ca="1" si="1"/>
        <v>2.205E-7</v>
      </c>
      <c r="G27" s="130">
        <f ca="1">G12</f>
        <v>5700.800006840961</v>
      </c>
      <c r="H27" s="130">
        <f>H12</f>
        <v>2016</v>
      </c>
      <c r="I27" s="131">
        <f ca="1">G27*VLOOKUP(DCFROR!$B$34,INDIRECT(IX_CHEM),4,FALSE)/VLOOKUP(H27,INDIRECT(IX_CHEM),4,FALSE)/100</f>
        <v>57.008000068409608</v>
      </c>
      <c r="J27" s="218">
        <f t="shared" ca="1" si="5"/>
        <v>2.8504000034204804E-2</v>
      </c>
      <c r="K27" s="135">
        <f t="shared" ca="1" si="2"/>
        <v>6.2851320075421588E-9</v>
      </c>
      <c r="L27" s="131">
        <f t="shared" ca="1" si="3"/>
        <v>4.9551980747462385E-11</v>
      </c>
      <c r="M27" s="140">
        <f t="shared" ca="1" si="4"/>
        <v>8.6615138531224972E-11</v>
      </c>
      <c r="N27" s="214" t="s">
        <v>1561</v>
      </c>
    </row>
    <row r="28" spans="1:14" ht="25.2" x14ac:dyDescent="0.2">
      <c r="A28" s="561" t="s">
        <v>178</v>
      </c>
      <c r="B28" s="414"/>
      <c r="C28" s="414" t="s">
        <v>325</v>
      </c>
      <c r="D28" s="558" t="s">
        <v>582</v>
      </c>
      <c r="E28" s="126">
        <f t="shared" ca="1" si="0"/>
        <v>2.2213445599999999</v>
      </c>
      <c r="F28" s="126">
        <f t="shared" ca="1" si="1"/>
        <v>4.8980647548</v>
      </c>
      <c r="G28" s="127">
        <v>200000</v>
      </c>
      <c r="H28" s="127">
        <v>1999</v>
      </c>
      <c r="I28" s="1261">
        <f ca="1">G28*VLOOKUP(DCFROR!$B$34,INDIRECT(IX_CHEM),4,FALSE)/VLOOKUP(H28,INDIRECT(IX_CHEM),4,FALSE)/100</f>
        <v>3568.4702738810965</v>
      </c>
      <c r="J28" s="217">
        <f t="shared" ca="1" si="5"/>
        <v>1.7842351369405482</v>
      </c>
      <c r="K28" s="128">
        <f t="shared" ca="1" si="2"/>
        <v>8.7392992385242501</v>
      </c>
      <c r="L28" s="1261">
        <f t="shared" ca="1" si="3"/>
        <v>6.8900635196525187E-2</v>
      </c>
      <c r="M28" s="139">
        <f t="shared" ca="1" si="4"/>
        <v>0.1204359134067924</v>
      </c>
      <c r="N28" s="214"/>
    </row>
    <row r="29" spans="1:14" x14ac:dyDescent="0.2">
      <c r="A29" s="559"/>
      <c r="B29" s="415"/>
      <c r="C29" s="415" t="s">
        <v>290</v>
      </c>
      <c r="D29" s="560" t="s">
        <v>664</v>
      </c>
      <c r="E29" s="129">
        <f t="shared" ca="1" si="0"/>
        <v>147722.20199999999</v>
      </c>
      <c r="F29" s="129">
        <f t="shared" ca="1" si="1"/>
        <v>325727.45541</v>
      </c>
      <c r="G29" s="130">
        <v>19.97</v>
      </c>
      <c r="H29" s="130">
        <v>2004</v>
      </c>
      <c r="I29" s="131">
        <f ca="1">G29*VLOOKUP(DCFROR!$B$34,INDIRECT(IX_CHEM),4,FALSE)/VLOOKUP(H29,INDIRECT(IX_CHEM),4,FALSE)/100</f>
        <v>0.30867980324074074</v>
      </c>
      <c r="J29" s="218">
        <f t="shared" ca="1" si="5"/>
        <v>1.5433990162037038E-4</v>
      </c>
      <c r="K29" s="132">
        <f t="shared" ca="1" si="2"/>
        <v>50.272743423032978</v>
      </c>
      <c r="L29" s="131">
        <f t="shared" ca="1" si="3"/>
        <v>0.39635030914719199</v>
      </c>
      <c r="M29" s="140">
        <f t="shared" ca="1" si="4"/>
        <v>0.69280655214647413</v>
      </c>
      <c r="N29" s="214" t="s">
        <v>2925</v>
      </c>
    </row>
    <row r="30" spans="1:14" ht="13.2" thickBot="1" x14ac:dyDescent="0.25">
      <c r="A30" s="566"/>
      <c r="B30" s="567"/>
      <c r="C30" s="568" t="s">
        <v>293</v>
      </c>
      <c r="D30" s="567"/>
      <c r="E30" s="142"/>
      <c r="F30" s="142"/>
      <c r="G30" s="143"/>
      <c r="H30" s="569"/>
      <c r="I30" s="144"/>
      <c r="J30" s="144"/>
      <c r="K30" s="145">
        <f ca="1">SUM(K12:K28)</f>
        <v>10431.119697477008</v>
      </c>
      <c r="L30" s="146">
        <f ca="1">SUM(L12:L29)</f>
        <v>82.635298004055912</v>
      </c>
      <c r="M30" s="147">
        <f ca="1">SUM(M12:M29)</f>
        <v>144.44362619262</v>
      </c>
      <c r="N30" s="215"/>
    </row>
    <row r="31" spans="1:14" ht="13.5" customHeight="1" thickBot="1" x14ac:dyDescent="0.25">
      <c r="A31" s="1525" t="s">
        <v>294</v>
      </c>
      <c r="B31" s="1526"/>
      <c r="C31" s="1526"/>
      <c r="D31" s="1526"/>
      <c r="E31" s="1526"/>
      <c r="F31" s="1526"/>
      <c r="G31" s="1526"/>
      <c r="H31" s="1526"/>
      <c r="I31" s="1526"/>
      <c r="J31" s="1526"/>
      <c r="K31" s="1526"/>
      <c r="L31" s="1526"/>
      <c r="M31" s="1527"/>
    </row>
    <row r="32" spans="1:14" x14ac:dyDescent="0.2">
      <c r="A32" s="570" t="s">
        <v>394</v>
      </c>
      <c r="B32" s="419"/>
      <c r="C32" s="419" t="s">
        <v>1566</v>
      </c>
      <c r="D32" s="556" t="s">
        <v>569</v>
      </c>
      <c r="E32" s="154">
        <f ca="1">VLOOKUP(D32,INDIRECT(LU_SENS),2,FALSE)</f>
        <v>5725.61042</v>
      </c>
      <c r="F32" s="155">
        <f ca="1">E32*2.205</f>
        <v>12624.970976099999</v>
      </c>
      <c r="G32" s="156">
        <v>1820</v>
      </c>
      <c r="H32" s="156">
        <v>1993</v>
      </c>
      <c r="I32" s="157">
        <f ca="1">G32*VLOOKUP(DCFROR!$B$34,INDIRECT(IX_CHEM),4,FALSE)/VLOOKUP(H32,INDIRECT(IX_CHEM),4,FALSE)/100</f>
        <v>37.919032761310461</v>
      </c>
      <c r="J32" s="158">
        <f ca="1">I32/2000</f>
        <v>1.8959516380655232E-2</v>
      </c>
      <c r="K32" s="159">
        <f ca="1">F32*J32</f>
        <v>239.36334402666481</v>
      </c>
      <c r="L32" s="157">
        <f ca="1">($K32*$B$7/1000000)</f>
        <v>1.8871406043062253</v>
      </c>
      <c r="M32" s="160">
        <f ca="1">(L32*100)/$B$3</f>
        <v>3.2986561264405969</v>
      </c>
      <c r="N32" s="571"/>
    </row>
    <row r="33" spans="1:13" ht="13.2" thickBot="1" x14ac:dyDescent="0.25">
      <c r="A33" s="566"/>
      <c r="B33" s="567"/>
      <c r="C33" s="568" t="s">
        <v>293</v>
      </c>
      <c r="D33" s="567"/>
      <c r="E33" s="151"/>
      <c r="F33" s="151"/>
      <c r="G33" s="144"/>
      <c r="H33" s="142"/>
      <c r="I33" s="152"/>
      <c r="J33" s="153"/>
      <c r="K33" s="145">
        <f ca="1">SUM(K32:K32)</f>
        <v>239.36334402666481</v>
      </c>
      <c r="L33" s="146">
        <f ca="1">SUM(L32:L32)</f>
        <v>1.8871406043062253</v>
      </c>
      <c r="M33" s="147">
        <f ca="1">SUM(M32:M32)</f>
        <v>3.2986561264405969</v>
      </c>
    </row>
    <row r="34" spans="1:13" ht="13.5" customHeight="1" thickBot="1" x14ac:dyDescent="0.25">
      <c r="A34" s="1525" t="s">
        <v>2186</v>
      </c>
      <c r="B34" s="1526"/>
      <c r="C34" s="1526"/>
      <c r="D34" s="1526"/>
      <c r="E34" s="1526"/>
      <c r="F34" s="1526"/>
      <c r="G34" s="1526"/>
      <c r="H34" s="1526"/>
      <c r="I34" s="1526"/>
      <c r="J34" s="1526"/>
      <c r="K34" s="1526"/>
      <c r="L34" s="1526"/>
      <c r="M34" s="1527"/>
    </row>
    <row r="35" spans="1:13" x14ac:dyDescent="0.2">
      <c r="A35" s="582"/>
      <c r="B35" s="583"/>
      <c r="C35" s="773" t="s">
        <v>170</v>
      </c>
      <c r="D35" s="774" t="s">
        <v>590</v>
      </c>
      <c r="E35" s="775">
        <f ca="1">-1*VLOOKUP(D35,INDIRECT(LU_SENS),2,FALSE)</f>
        <v>12794.672399999999</v>
      </c>
      <c r="F35" s="149" t="s">
        <v>761</v>
      </c>
      <c r="G35" s="776" t="s">
        <v>1500</v>
      </c>
      <c r="H35" s="777">
        <f>DCFROR!$B$34</f>
        <v>2016</v>
      </c>
      <c r="I35" s="778" t="s">
        <v>1501</v>
      </c>
      <c r="J35" s="779">
        <f ca="1">VLOOKUP(H35,INDIRECT(IX_ELEC),2,FALSE)/100</f>
        <v>5.716754912076346E-2</v>
      </c>
      <c r="K35" s="780">
        <f ca="1">J35*E35</f>
        <v>731.44006291107644</v>
      </c>
      <c r="L35" s="781">
        <f ca="1">($K35*$B$7/1000000)</f>
        <v>5.7666734559909267</v>
      </c>
      <c r="M35" s="150">
        <f ca="1">(L35*100)/$B$3</f>
        <v>10.079944589915732</v>
      </c>
    </row>
    <row r="36" spans="1:13" x14ac:dyDescent="0.2">
      <c r="A36" s="559"/>
      <c r="B36" s="418"/>
      <c r="C36" s="415" t="s">
        <v>2181</v>
      </c>
      <c r="D36" s="782" t="s">
        <v>793</v>
      </c>
      <c r="E36" s="129">
        <f ca="1">VLOOKUP(D36,INDIRECT(LU_SENS),2,FALSE)</f>
        <v>859.48470299999997</v>
      </c>
      <c r="F36" s="171" t="s">
        <v>761</v>
      </c>
      <c r="G36" s="783" t="s">
        <v>1500</v>
      </c>
      <c r="H36" s="130">
        <f>DCFROR!$B$34</f>
        <v>2016</v>
      </c>
      <c r="I36" s="784" t="s">
        <v>1501</v>
      </c>
      <c r="J36" s="218">
        <f ca="1">VLOOKUP(H36,INDIRECT(IX_ELEC),2,FALSE)/100</f>
        <v>5.716754912076346E-2</v>
      </c>
      <c r="K36" s="132">
        <f ca="1">J36*E36</f>
        <v>49.134633977297291</v>
      </c>
      <c r="L36" s="131">
        <f ca="1">($K36*$B$7/1000000)</f>
        <v>0.38737745427701187</v>
      </c>
      <c r="M36" s="140">
        <f ca="1">(L36*100)/$B$3</f>
        <v>0.67712231398126144</v>
      </c>
    </row>
    <row r="37" spans="1:13" ht="13.2" thickBot="1" x14ac:dyDescent="0.25">
      <c r="A37" s="566"/>
      <c r="B37" s="567"/>
      <c r="C37" s="568" t="s">
        <v>293</v>
      </c>
      <c r="D37" s="567"/>
      <c r="E37" s="151"/>
      <c r="F37" s="151"/>
      <c r="G37" s="151"/>
      <c r="H37" s="151"/>
      <c r="I37" s="151"/>
      <c r="J37" s="153"/>
      <c r="K37" s="145">
        <f ca="1">SUM(K35:K36)</f>
        <v>780.57469688837375</v>
      </c>
      <c r="L37" s="146">
        <f ca="1">SUM(L35:L36)</f>
        <v>6.154050910267939</v>
      </c>
      <c r="M37" s="147">
        <f ca="1">SUM(M35:M36)</f>
        <v>10.757066903896993</v>
      </c>
    </row>
    <row r="38" spans="1:13" ht="13.2" thickBot="1" x14ac:dyDescent="0.25">
      <c r="A38" s="572"/>
      <c r="B38" s="573"/>
      <c r="C38" s="574" t="s">
        <v>296</v>
      </c>
      <c r="D38" s="573"/>
      <c r="E38" s="163"/>
      <c r="F38" s="163"/>
      <c r="G38" s="163"/>
      <c r="H38" s="163"/>
      <c r="I38" s="163"/>
      <c r="J38" s="163"/>
      <c r="K38" s="164">
        <f ca="1">K33+K30-K35</f>
        <v>9939.0429785925953</v>
      </c>
      <c r="L38" s="165">
        <f ca="1">L33+L30-L37</f>
        <v>78.368387698094196</v>
      </c>
      <c r="M38" s="166">
        <f ca="1">M33+M30-M35</f>
        <v>137.66233772914487</v>
      </c>
    </row>
    <row r="39" spans="1:13" ht="16.8" thickBot="1" x14ac:dyDescent="0.35">
      <c r="A39" s="549" t="s">
        <v>297</v>
      </c>
      <c r="B39" s="550"/>
      <c r="C39" s="575"/>
      <c r="D39" s="550"/>
      <c r="E39" s="161"/>
      <c r="F39" s="161"/>
      <c r="G39" s="162"/>
      <c r="H39" s="161"/>
      <c r="I39" s="162"/>
      <c r="J39" s="162"/>
      <c r="K39" s="162"/>
      <c r="L39" s="550"/>
      <c r="M39" s="551" t="str">
        <f>CASEID</f>
        <v>DW1102A</v>
      </c>
    </row>
    <row r="40" spans="1:13" ht="37.799999999999997" x14ac:dyDescent="0.2">
      <c r="A40" s="576"/>
      <c r="B40" s="577"/>
      <c r="C40" s="578" t="s">
        <v>754</v>
      </c>
      <c r="D40" s="578" t="s">
        <v>755</v>
      </c>
      <c r="E40" s="184" t="s">
        <v>757</v>
      </c>
      <c r="F40" s="185" t="str">
        <f>costyear &amp; " Salary"</f>
        <v>2016 Salary</v>
      </c>
      <c r="G40" s="578" t="s">
        <v>756</v>
      </c>
      <c r="H40" s="578" t="s">
        <v>200</v>
      </c>
      <c r="I40" s="185" t="str">
        <f>costyear &amp; " Cost"</f>
        <v>2016 Cost</v>
      </c>
      <c r="J40" s="186"/>
      <c r="K40" s="186"/>
      <c r="L40" s="185" t="str">
        <f>"MM$/yr ("&amp;DCFROR!$B$34&amp;")"</f>
        <v>MM$/yr (2016)</v>
      </c>
      <c r="M40" s="187" t="str">
        <f>"Cents/Gallon Ethanol ("&amp;DCFROR!$B$34&amp;")"</f>
        <v>Cents/Gallon Ethanol (2016)</v>
      </c>
    </row>
    <row r="41" spans="1:13" ht="13.5" customHeight="1" thickBot="1" x14ac:dyDescent="0.25">
      <c r="A41" s="1528" t="s">
        <v>753</v>
      </c>
      <c r="B41" s="1529"/>
      <c r="C41" s="1529"/>
      <c r="D41" s="1529"/>
      <c r="E41" s="1529"/>
      <c r="F41" s="1529"/>
      <c r="G41" s="1529"/>
      <c r="H41" s="1529"/>
      <c r="I41" s="1529"/>
      <c r="J41" s="1529"/>
      <c r="K41" s="1529"/>
      <c r="L41" s="1529"/>
      <c r="M41" s="1530"/>
    </row>
    <row r="42" spans="1:13" x14ac:dyDescent="0.2">
      <c r="A42" s="582"/>
      <c r="B42" s="583"/>
      <c r="C42" s="583" t="s">
        <v>7</v>
      </c>
      <c r="D42" s="859">
        <v>147000</v>
      </c>
      <c r="E42" s="859">
        <v>2009</v>
      </c>
      <c r="F42" s="149">
        <f t="shared" ref="F42:F53" ca="1" si="6">(D42)*VLOOKUP(costyear,INDIRECT(IX_LABOR),4,FALSE)/VLOOKUP(E42,INDIRECT(IX_LABOR),4,FALSE)</f>
        <v>164451.72413793101</v>
      </c>
      <c r="G42" s="149">
        <v>1</v>
      </c>
      <c r="H42" s="149">
        <f t="shared" ref="H42:H53" si="7">G42*D42</f>
        <v>147000</v>
      </c>
      <c r="I42" s="149">
        <f ca="1">(H42)*VLOOKUP(DCFROR!$B$34,INDIRECT(IX_LABOR),4,FALSE)/VLOOKUP(E42,INDIRECT(IX_LABOR),4,FALSE)</f>
        <v>164451.72413793101</v>
      </c>
      <c r="J42" s="168"/>
      <c r="K42" s="168"/>
      <c r="L42" s="583"/>
      <c r="M42" s="860"/>
    </row>
    <row r="43" spans="1:13" ht="13.95" customHeight="1" x14ac:dyDescent="0.2">
      <c r="A43" s="562"/>
      <c r="B43" s="417"/>
      <c r="C43" s="417" t="s">
        <v>8</v>
      </c>
      <c r="D43" s="169">
        <v>70000</v>
      </c>
      <c r="E43" s="169">
        <v>2009</v>
      </c>
      <c r="F43" s="114">
        <f t="shared" ca="1" si="6"/>
        <v>78310.344827586203</v>
      </c>
      <c r="G43" s="114">
        <v>2</v>
      </c>
      <c r="H43" s="114">
        <f t="shared" si="7"/>
        <v>140000</v>
      </c>
      <c r="I43" s="114">
        <f ca="1">(H43)*VLOOKUP(DCFROR!$B$34,INDIRECT(IX_LABOR),4,FALSE)/VLOOKUP(E43,INDIRECT(IX_LABOR),4,FALSE)</f>
        <v>156620.68965517241</v>
      </c>
      <c r="J43" s="116"/>
      <c r="K43" s="116"/>
      <c r="L43" s="417"/>
      <c r="M43" s="579"/>
    </row>
    <row r="44" spans="1:13" ht="13.95" customHeight="1" x14ac:dyDescent="0.2">
      <c r="A44" s="562"/>
      <c r="B44" s="417"/>
      <c r="C44" s="417" t="s">
        <v>9</v>
      </c>
      <c r="D44" s="169">
        <v>57000</v>
      </c>
      <c r="E44" s="169">
        <v>2009</v>
      </c>
      <c r="F44" s="114">
        <f t="shared" ca="1" si="6"/>
        <v>63766.995073891623</v>
      </c>
      <c r="G44" s="114">
        <v>1</v>
      </c>
      <c r="H44" s="114">
        <f t="shared" si="7"/>
        <v>57000</v>
      </c>
      <c r="I44" s="114">
        <f ca="1">(H44)*VLOOKUP(DCFROR!$B$34,INDIRECT(IX_LABOR),4,FALSE)/VLOOKUP(E44,INDIRECT(IX_LABOR),4,FALSE)</f>
        <v>63766.995073891623</v>
      </c>
      <c r="J44" s="116"/>
      <c r="K44" s="116"/>
      <c r="L44" s="417"/>
      <c r="M44" s="579"/>
    </row>
    <row r="45" spans="1:13" ht="13.95" customHeight="1" x14ac:dyDescent="0.2">
      <c r="A45" s="562"/>
      <c r="B45" s="417"/>
      <c r="C45" s="417" t="s">
        <v>13</v>
      </c>
      <c r="D45" s="169">
        <v>40000</v>
      </c>
      <c r="E45" s="169">
        <v>2009</v>
      </c>
      <c r="F45" s="114">
        <f t="shared" ca="1" si="6"/>
        <v>44748.768472906406</v>
      </c>
      <c r="G45" s="114">
        <v>12</v>
      </c>
      <c r="H45" s="114">
        <f t="shared" si="7"/>
        <v>480000</v>
      </c>
      <c r="I45" s="114">
        <f ca="1">(H45)*VLOOKUP(DCFROR!$B$34,INDIRECT(IX_LABOR),4,FALSE)/VLOOKUP(E45,INDIRECT(IX_LABOR),4,FALSE)</f>
        <v>536985.22167487687</v>
      </c>
      <c r="J45" s="116"/>
      <c r="K45" s="116"/>
      <c r="L45" s="417"/>
      <c r="M45" s="579"/>
    </row>
    <row r="46" spans="1:13" ht="13.95" customHeight="1" x14ac:dyDescent="0.2">
      <c r="A46" s="562"/>
      <c r="B46" s="417"/>
      <c r="C46" s="417" t="s">
        <v>10</v>
      </c>
      <c r="D46" s="169">
        <v>56000</v>
      </c>
      <c r="E46" s="169">
        <v>2009</v>
      </c>
      <c r="F46" s="114">
        <f t="shared" ca="1" si="6"/>
        <v>62648.275862068964</v>
      </c>
      <c r="G46" s="114">
        <v>1</v>
      </c>
      <c r="H46" s="114">
        <f t="shared" si="7"/>
        <v>56000</v>
      </c>
      <c r="I46" s="114">
        <f ca="1">(H46)*VLOOKUP(DCFROR!$B$34,INDIRECT(IX_LABOR),4,FALSE)/VLOOKUP(E46,INDIRECT(IX_LABOR),4,FALSE)</f>
        <v>62648.275862068964</v>
      </c>
      <c r="J46" s="116"/>
      <c r="K46" s="116"/>
      <c r="L46" s="417"/>
      <c r="M46" s="579"/>
    </row>
    <row r="47" spans="1:13" ht="13.95" customHeight="1" x14ac:dyDescent="0.2">
      <c r="A47" s="562"/>
      <c r="B47" s="417"/>
      <c r="C47" s="417" t="s">
        <v>12</v>
      </c>
      <c r="D47" s="169">
        <v>40000</v>
      </c>
      <c r="E47" s="169">
        <v>2009</v>
      </c>
      <c r="F47" s="114">
        <f t="shared" ca="1" si="6"/>
        <v>44748.768472906406</v>
      </c>
      <c r="G47" s="114">
        <v>2</v>
      </c>
      <c r="H47" s="114">
        <f t="shared" si="7"/>
        <v>80000</v>
      </c>
      <c r="I47" s="114">
        <f ca="1">(H47)*VLOOKUP(DCFROR!$B$34,INDIRECT(IX_LABOR),4,FALSE)/VLOOKUP(E47,INDIRECT(IX_LABOR),4,FALSE)</f>
        <v>89497.536945812812</v>
      </c>
      <c r="J47" s="116"/>
      <c r="K47" s="116"/>
      <c r="L47" s="580"/>
      <c r="M47" s="579"/>
    </row>
    <row r="48" spans="1:13" ht="13.95" customHeight="1" x14ac:dyDescent="0.2">
      <c r="A48" s="562"/>
      <c r="B48" s="417"/>
      <c r="C48" s="417" t="s">
        <v>2216</v>
      </c>
      <c r="D48" s="169">
        <v>40000</v>
      </c>
      <c r="E48" s="169">
        <v>2009</v>
      </c>
      <c r="F48" s="114">
        <f t="shared" ca="1" si="6"/>
        <v>44748.768472906406</v>
      </c>
      <c r="G48" s="114">
        <v>2</v>
      </c>
      <c r="H48" s="114">
        <f t="shared" si="7"/>
        <v>80000</v>
      </c>
      <c r="I48" s="114">
        <f ca="1">(H48)*VLOOKUP(DCFROR!$B$34,INDIRECT(IX_LABOR),4,FALSE)/VLOOKUP(E48,INDIRECT(IX_LABOR),4,FALSE)</f>
        <v>89497.536945812812</v>
      </c>
      <c r="J48" s="116"/>
      <c r="K48" s="116"/>
      <c r="L48" s="580"/>
      <c r="M48" s="579"/>
    </row>
    <row r="49" spans="1:14" ht="13.95" customHeight="1" x14ac:dyDescent="0.2">
      <c r="A49" s="562"/>
      <c r="B49" s="417"/>
      <c r="C49" s="417" t="s">
        <v>11</v>
      </c>
      <c r="D49" s="169">
        <v>48000</v>
      </c>
      <c r="E49" s="169">
        <v>2009</v>
      </c>
      <c r="F49" s="114">
        <f t="shared" ca="1" si="6"/>
        <v>53698.522167487681</v>
      </c>
      <c r="G49" s="114">
        <v>4</v>
      </c>
      <c r="H49" s="114">
        <f t="shared" si="7"/>
        <v>192000</v>
      </c>
      <c r="I49" s="114">
        <f ca="1">(H49)*VLOOKUP(DCFROR!$B$34,INDIRECT(IX_LABOR),4,FALSE)/VLOOKUP(E49,INDIRECT(IX_LABOR),4,FALSE)</f>
        <v>214794.08866995072</v>
      </c>
      <c r="J49" s="116"/>
      <c r="K49" s="116"/>
      <c r="L49" s="417"/>
      <c r="M49" s="579"/>
    </row>
    <row r="50" spans="1:14" ht="13.95" customHeight="1" x14ac:dyDescent="0.2">
      <c r="A50" s="562"/>
      <c r="B50" s="417"/>
      <c r="C50" s="417" t="s">
        <v>14</v>
      </c>
      <c r="D50" s="169">
        <v>40000</v>
      </c>
      <c r="E50" s="169">
        <v>2009</v>
      </c>
      <c r="F50" s="114">
        <f t="shared" ca="1" si="6"/>
        <v>44748.768472906406</v>
      </c>
      <c r="G50" s="114">
        <v>20</v>
      </c>
      <c r="H50" s="114">
        <f t="shared" si="7"/>
        <v>800000</v>
      </c>
      <c r="I50" s="114">
        <f ca="1">(H50)*VLOOKUP(DCFROR!$B$34,INDIRECT(IX_LABOR),4,FALSE)/VLOOKUP(E50,INDIRECT(IX_LABOR),4,FALSE)</f>
        <v>894975.369458128</v>
      </c>
      <c r="J50" s="116"/>
      <c r="K50" s="116"/>
      <c r="L50" s="417"/>
      <c r="M50" s="579"/>
    </row>
    <row r="51" spans="1:14" ht="13.95" customHeight="1" x14ac:dyDescent="0.2">
      <c r="A51" s="562"/>
      <c r="B51" s="417"/>
      <c r="C51" s="417" t="s">
        <v>2217</v>
      </c>
      <c r="D51" s="169">
        <v>40000</v>
      </c>
      <c r="E51" s="169">
        <v>2009</v>
      </c>
      <c r="F51" s="114">
        <f t="shared" ca="1" si="6"/>
        <v>44748.768472906406</v>
      </c>
      <c r="G51" s="114">
        <v>8</v>
      </c>
      <c r="H51" s="114">
        <f t="shared" si="7"/>
        <v>320000</v>
      </c>
      <c r="I51" s="114">
        <f ca="1">(H51)*VLOOKUP(DCFROR!$B$34,INDIRECT(IX_LABOR),4,FALSE)/VLOOKUP(E51,INDIRECT(IX_LABOR),4,FALSE)</f>
        <v>357990.14778325125</v>
      </c>
      <c r="J51" s="116"/>
      <c r="K51" s="116"/>
      <c r="L51" s="417"/>
      <c r="M51" s="579"/>
    </row>
    <row r="52" spans="1:14" ht="13.95" customHeight="1" x14ac:dyDescent="0.2">
      <c r="A52" s="562"/>
      <c r="B52" s="417"/>
      <c r="C52" s="417" t="s">
        <v>15</v>
      </c>
      <c r="D52" s="169">
        <v>28000</v>
      </c>
      <c r="E52" s="169">
        <v>2009</v>
      </c>
      <c r="F52" s="114">
        <f t="shared" ca="1" si="6"/>
        <v>31324.137931034482</v>
      </c>
      <c r="G52" s="114">
        <v>4</v>
      </c>
      <c r="H52" s="114">
        <f t="shared" si="7"/>
        <v>112000</v>
      </c>
      <c r="I52" s="114">
        <f ca="1">(H52)*VLOOKUP(DCFROR!$B$34,INDIRECT(IX_LABOR),4,FALSE)/VLOOKUP(E52,INDIRECT(IX_LABOR),4,FALSE)</f>
        <v>125296.55172413793</v>
      </c>
      <c r="J52" s="116"/>
      <c r="K52" s="116"/>
      <c r="L52" s="417"/>
      <c r="M52" s="579"/>
    </row>
    <row r="53" spans="1:14" ht="13.95" customHeight="1" x14ac:dyDescent="0.2">
      <c r="A53" s="559"/>
      <c r="B53" s="418"/>
      <c r="C53" s="418" t="s">
        <v>20</v>
      </c>
      <c r="D53" s="216">
        <v>36000</v>
      </c>
      <c r="E53" s="216">
        <v>2009</v>
      </c>
      <c r="F53" s="171">
        <f t="shared" ca="1" si="6"/>
        <v>40273.891625615761</v>
      </c>
      <c r="G53" s="171">
        <v>3</v>
      </c>
      <c r="H53" s="171">
        <f t="shared" si="7"/>
        <v>108000</v>
      </c>
      <c r="I53" s="171">
        <f ca="1">(H53)*VLOOKUP(DCFROR!$B$34,INDIRECT(IX_LABOR),4,FALSE)/VLOOKUP(E53,INDIRECT(IX_LABOR),4,FALSE)</f>
        <v>120821.67487684729</v>
      </c>
      <c r="J53" s="173"/>
      <c r="K53" s="173"/>
      <c r="L53" s="418"/>
      <c r="M53" s="581"/>
    </row>
    <row r="54" spans="1:14" ht="13.95" customHeight="1" x14ac:dyDescent="0.2">
      <c r="A54" s="562"/>
      <c r="B54" s="417"/>
      <c r="C54" s="417" t="s">
        <v>21</v>
      </c>
      <c r="D54" s="417"/>
      <c r="E54" s="177"/>
      <c r="F54" s="116"/>
      <c r="G54" s="114"/>
      <c r="H54" s="114">
        <f>SUM(H42:H53)</f>
        <v>2572000</v>
      </c>
      <c r="I54" s="114">
        <f ca="1">SUM(I42:I53)</f>
        <v>2877345.8128078822</v>
      </c>
      <c r="J54" s="170"/>
      <c r="K54" s="170"/>
      <c r="L54" s="116">
        <f ca="1">I54/1000000</f>
        <v>2.8773458128078824</v>
      </c>
      <c r="M54" s="141">
        <f ca="1">(L54*100)/$B$3</f>
        <v>5.0295003836220564</v>
      </c>
    </row>
    <row r="55" spans="1:14" ht="13.95" customHeight="1" x14ac:dyDescent="0.2">
      <c r="A55" s="559"/>
      <c r="B55" s="418"/>
      <c r="C55" s="861" t="s">
        <v>2215</v>
      </c>
      <c r="D55" s="861"/>
      <c r="E55" s="862"/>
      <c r="F55" s="172"/>
      <c r="G55" s="171"/>
      <c r="H55" s="171">
        <f>0.9*H54</f>
        <v>2314800</v>
      </c>
      <c r="I55" s="171">
        <f ca="1">0.9*I54</f>
        <v>2589611.2315270943</v>
      </c>
      <c r="J55" s="863"/>
      <c r="K55" s="863"/>
      <c r="L55" s="172">
        <f ca="1">I55/1000000</f>
        <v>2.589611231527094</v>
      </c>
      <c r="M55" s="140">
        <f ca="1">(L55*100)/$B$3</f>
        <v>4.5265503452598512</v>
      </c>
    </row>
    <row r="56" spans="1:14" ht="13.2" thickBot="1" x14ac:dyDescent="0.25">
      <c r="A56" s="1531" t="s">
        <v>759</v>
      </c>
      <c r="B56" s="1532"/>
      <c r="C56" s="1532"/>
      <c r="D56" s="1532"/>
      <c r="E56" s="1532"/>
      <c r="F56" s="1532"/>
      <c r="G56" s="1532"/>
      <c r="H56" s="1532"/>
      <c r="I56" s="1532"/>
      <c r="J56" s="1532"/>
      <c r="K56" s="1532"/>
      <c r="L56" s="1532"/>
      <c r="M56" s="1533"/>
      <c r="N56" s="517"/>
    </row>
    <row r="57" spans="1:14" x14ac:dyDescent="0.2">
      <c r="A57" s="562"/>
      <c r="B57" s="417"/>
      <c r="C57" s="417" t="s">
        <v>299</v>
      </c>
      <c r="D57" s="257">
        <v>0.03</v>
      </c>
      <c r="E57" s="865" t="s">
        <v>403</v>
      </c>
      <c r="F57" s="114"/>
      <c r="G57" s="116"/>
      <c r="I57" s="114">
        <f ca="1">ISBL*OPEX!D57</f>
        <v>3256243.4242545846</v>
      </c>
      <c r="J57" s="116"/>
      <c r="K57" s="170"/>
      <c r="L57" s="116">
        <f ca="1">I57/1000000</f>
        <v>3.2562434242545848</v>
      </c>
      <c r="M57" s="141">
        <f ca="1">(L57*100)/$B$3</f>
        <v>5.6918002273328874</v>
      </c>
      <c r="N57" s="586"/>
    </row>
    <row r="58" spans="1:14" ht="13.95" customHeight="1" x14ac:dyDescent="0.2">
      <c r="A58" s="559"/>
      <c r="B58" s="418"/>
      <c r="C58" s="861" t="s">
        <v>2280</v>
      </c>
      <c r="D58" s="176">
        <v>7.0000000000000001E-3</v>
      </c>
      <c r="E58" s="866" t="s">
        <v>2240</v>
      </c>
      <c r="F58" s="171"/>
      <c r="G58" s="172"/>
      <c r="H58" s="172"/>
      <c r="I58" s="171">
        <f ca="1">FCI*OPEX!D58</f>
        <v>2891567.5862282808</v>
      </c>
      <c r="J58" s="172"/>
      <c r="K58" s="171"/>
      <c r="L58" s="172">
        <f ca="1">I58/1000000</f>
        <v>2.8915675862282808</v>
      </c>
      <c r="M58" s="140">
        <f ca="1">(L58*100)/$B$3</f>
        <v>5.0543595488135633</v>
      </c>
      <c r="N58" s="80"/>
    </row>
    <row r="59" spans="1:14" ht="13.95" customHeight="1" thickBot="1" x14ac:dyDescent="0.25">
      <c r="A59" s="566"/>
      <c r="B59" s="567"/>
      <c r="C59" s="587" t="s">
        <v>300</v>
      </c>
      <c r="D59" s="567"/>
      <c r="E59" s="151"/>
      <c r="F59" s="151"/>
      <c r="G59" s="153"/>
      <c r="H59" s="153"/>
      <c r="I59" s="153"/>
      <c r="J59" s="153"/>
      <c r="K59" s="151"/>
      <c r="L59" s="146">
        <f ca="1">SUM(L40:L58)</f>
        <v>11.614768054817841</v>
      </c>
      <c r="M59" s="147">
        <f ca="1">SUM(M40:M58)</f>
        <v>20.302210505028356</v>
      </c>
    </row>
    <row r="60" spans="1:14" ht="13.95" customHeight="1" x14ac:dyDescent="0.2">
      <c r="A60" s="417"/>
      <c r="B60" s="417"/>
      <c r="C60" s="588"/>
      <c r="D60" s="417"/>
      <c r="E60" s="114"/>
      <c r="F60" s="114"/>
      <c r="G60" s="116"/>
      <c r="H60" s="116"/>
      <c r="I60" s="116"/>
      <c r="J60" s="116"/>
      <c r="K60" s="114"/>
      <c r="L60" s="177"/>
      <c r="M60" s="177"/>
    </row>
    <row r="61" spans="1:14" ht="13.95" customHeight="1" x14ac:dyDescent="0.2">
      <c r="A61" s="417"/>
      <c r="B61" s="417"/>
      <c r="C61" s="588"/>
      <c r="D61" s="417"/>
      <c r="E61" s="114"/>
      <c r="F61" s="114"/>
      <c r="G61" s="116"/>
      <c r="H61" s="116"/>
      <c r="I61" s="116"/>
      <c r="J61" s="116"/>
      <c r="K61" s="114"/>
      <c r="L61" s="177"/>
      <c r="M61" s="177"/>
    </row>
    <row r="62" spans="1:14" ht="13.95" customHeight="1" x14ac:dyDescent="0.2">
      <c r="A62" s="417"/>
      <c r="B62" s="417"/>
      <c r="C62" s="588"/>
      <c r="D62" s="417"/>
      <c r="E62" s="114"/>
      <c r="F62" s="114"/>
      <c r="G62" s="116"/>
      <c r="H62" s="116"/>
      <c r="I62" s="116"/>
      <c r="J62" s="116"/>
      <c r="K62" s="114"/>
      <c r="L62" s="177"/>
      <c r="M62" s="177"/>
    </row>
    <row r="63" spans="1:14" ht="13.95" customHeight="1" x14ac:dyDescent="0.2">
      <c r="A63" s="417"/>
      <c r="B63" s="417"/>
      <c r="C63" s="588"/>
      <c r="D63" s="417"/>
      <c r="E63" s="114"/>
      <c r="F63" s="114"/>
      <c r="G63" s="116"/>
      <c r="H63" s="116"/>
      <c r="I63" s="116"/>
      <c r="J63" s="116"/>
      <c r="K63" s="114"/>
      <c r="L63" s="177"/>
      <c r="M63" s="177"/>
    </row>
    <row r="64" spans="1:14" ht="13.95" customHeight="1" x14ac:dyDescent="0.2">
      <c r="A64" s="417"/>
      <c r="B64" s="417"/>
      <c r="C64" s="588"/>
      <c r="D64" s="417"/>
      <c r="E64" s="114"/>
      <c r="F64" s="114"/>
      <c r="G64" s="116"/>
      <c r="H64" s="116"/>
      <c r="I64" s="116"/>
      <c r="J64" s="116"/>
      <c r="K64" s="114"/>
      <c r="L64" s="177"/>
      <c r="M64" s="177"/>
    </row>
    <row r="65" spans="1:28" ht="13.95" customHeight="1" thickBot="1" x14ac:dyDescent="0.25">
      <c r="A65" s="417"/>
      <c r="B65" s="417"/>
      <c r="C65" s="588"/>
      <c r="D65" s="417"/>
      <c r="E65" s="114"/>
      <c r="F65" s="114"/>
      <c r="G65" s="116"/>
      <c r="H65" s="116"/>
      <c r="I65" s="116"/>
      <c r="J65" s="116"/>
      <c r="K65" s="114"/>
      <c r="L65" s="177"/>
      <c r="M65" s="177"/>
    </row>
    <row r="66" spans="1:28" ht="38.4" thickBot="1" x14ac:dyDescent="0.25">
      <c r="A66" s="589"/>
      <c r="B66" s="590"/>
      <c r="C66" s="590"/>
      <c r="D66" s="590"/>
      <c r="E66" s="183"/>
      <c r="F66" s="183"/>
      <c r="G66" s="182"/>
      <c r="H66" s="182"/>
      <c r="I66" s="182"/>
      <c r="J66" s="182"/>
      <c r="K66" s="183"/>
      <c r="L66" s="180" t="str">
        <f>"MM$/yr ("&amp;DCFROR!$B$34&amp;")"</f>
        <v>MM$/yr (2016)</v>
      </c>
      <c r="M66" s="181" t="str">
        <f>"Cents/Gallon Ethanol ("&amp;DCFROR!$B$34&amp;")"</f>
        <v>Cents/Gallon Ethanol (2016)</v>
      </c>
    </row>
    <row r="67" spans="1:28" ht="16.8" thickBot="1" x14ac:dyDescent="0.35">
      <c r="A67" s="591" t="s">
        <v>769</v>
      </c>
      <c r="B67" s="592"/>
      <c r="C67" s="192"/>
      <c r="D67" s="592"/>
      <c r="E67" s="192"/>
      <c r="F67" s="192"/>
      <c r="G67" s="193"/>
      <c r="H67" s="193"/>
      <c r="I67" s="193"/>
      <c r="J67" s="193"/>
      <c r="K67" s="192"/>
      <c r="L67" s="194">
        <f ca="1">L59+L38</f>
        <v>89.98315575291204</v>
      </c>
      <c r="M67" s="195">
        <f ca="1">M59+M38</f>
        <v>157.96454823417321</v>
      </c>
    </row>
    <row r="68" spans="1:28" x14ac:dyDescent="0.2">
      <c r="G68" s="64"/>
      <c r="I68" s="72"/>
    </row>
    <row r="69" spans="1:28" ht="13.2" thickBot="1" x14ac:dyDescent="0.25">
      <c r="G69" s="64"/>
      <c r="I69" s="72"/>
    </row>
    <row r="70" spans="1:28" ht="16.2" x14ac:dyDescent="0.3">
      <c r="A70" s="549" t="s">
        <v>770</v>
      </c>
      <c r="B70" s="550"/>
      <c r="C70" s="575"/>
      <c r="D70" s="550"/>
      <c r="E70" s="161"/>
      <c r="F70" s="161"/>
      <c r="G70" s="162"/>
      <c r="H70" s="161"/>
      <c r="I70" s="162"/>
      <c r="J70" s="162"/>
      <c r="K70" s="162"/>
      <c r="L70" s="550"/>
      <c r="M70" s="593"/>
    </row>
    <row r="71" spans="1:28" x14ac:dyDescent="0.2">
      <c r="A71" s="562"/>
      <c r="B71" s="196" t="s">
        <v>123</v>
      </c>
      <c r="C71" s="114"/>
      <c r="D71" s="594" t="s">
        <v>567</v>
      </c>
      <c r="E71" s="114">
        <f ca="1">VLOOKUP(D71,INDIRECT(LU_SENS),2,FALSE)</f>
        <v>22273.615600000001</v>
      </c>
      <c r="F71" s="116" t="s">
        <v>287</v>
      </c>
      <c r="G71" s="114"/>
      <c r="H71" s="116"/>
      <c r="I71" s="116"/>
      <c r="J71" s="417"/>
      <c r="K71" s="417"/>
      <c r="L71" s="417"/>
      <c r="M71" s="579"/>
    </row>
    <row r="72" spans="1:28" x14ac:dyDescent="0.2">
      <c r="A72" s="562"/>
      <c r="B72" s="196" t="s">
        <v>124</v>
      </c>
      <c r="C72" s="114"/>
      <c r="D72" s="594" t="s">
        <v>598</v>
      </c>
      <c r="E72" s="197">
        <f ca="1">VLOOKUP(D72,INDIRECT(LU_SENS),2,FALSE)</f>
        <v>0.80259468300000003</v>
      </c>
      <c r="F72" s="116" t="s">
        <v>771</v>
      </c>
      <c r="G72" s="114"/>
      <c r="H72" s="116"/>
      <c r="I72" s="116"/>
      <c r="J72" s="417"/>
      <c r="K72" s="417"/>
      <c r="L72" s="417"/>
      <c r="M72" s="579"/>
    </row>
    <row r="73" spans="1:28" x14ac:dyDescent="0.2">
      <c r="A73" s="562"/>
      <c r="B73" s="196" t="s">
        <v>126</v>
      </c>
      <c r="C73" s="114"/>
      <c r="D73" s="594" t="s">
        <v>566</v>
      </c>
      <c r="E73" s="114">
        <f ca="1">VLOOKUP(D73,INDIRECT(LU_SENS),2,FALSE)</f>
        <v>464.92940899999996</v>
      </c>
      <c r="F73" s="116" t="s">
        <v>287</v>
      </c>
      <c r="G73" s="114"/>
      <c r="H73" s="116"/>
      <c r="I73" s="116"/>
      <c r="J73" s="417"/>
      <c r="K73" s="417"/>
      <c r="L73" s="417"/>
      <c r="M73" s="579"/>
    </row>
    <row r="74" spans="1:28" x14ac:dyDescent="0.2">
      <c r="A74" s="562"/>
      <c r="B74" s="196" t="s">
        <v>127</v>
      </c>
      <c r="C74" s="114"/>
      <c r="D74" s="594" t="s">
        <v>597</v>
      </c>
      <c r="E74" s="197">
        <f ca="1">VLOOKUP(D74,INDIRECT(LU_SENS),2,FALSE)</f>
        <v>0.68559253899999995</v>
      </c>
      <c r="F74" s="116" t="s">
        <v>771</v>
      </c>
      <c r="G74" s="114"/>
      <c r="H74" s="116"/>
      <c r="I74" s="116"/>
      <c r="J74" s="417"/>
      <c r="K74" s="417"/>
      <c r="L74" s="417"/>
      <c r="M74" s="579"/>
    </row>
    <row r="75" spans="1:28" x14ac:dyDescent="0.2">
      <c r="A75" s="562"/>
      <c r="B75" s="196" t="s">
        <v>125</v>
      </c>
      <c r="C75" s="114"/>
      <c r="D75" s="417"/>
      <c r="E75" s="134">
        <f ca="1">VLOOKUP(D71,INDIRECT(LU_SENS),2,FALSE)*($B$7/($E$72*3.7854*1000000))</f>
        <v>57.800191833491233</v>
      </c>
      <c r="F75" s="116" t="s">
        <v>772</v>
      </c>
      <c r="G75" s="114"/>
      <c r="H75" s="116"/>
      <c r="I75" s="116"/>
      <c r="J75" s="417"/>
      <c r="K75" s="417"/>
      <c r="L75" s="417"/>
      <c r="M75" s="579"/>
    </row>
    <row r="76" spans="1:28" x14ac:dyDescent="0.2">
      <c r="A76" s="562"/>
      <c r="B76" s="196" t="s">
        <v>128</v>
      </c>
      <c r="C76" s="114"/>
      <c r="D76" s="417"/>
      <c r="E76" s="134">
        <f ca="1">E73*($B$7/($E$74*3.7854*1000000))</f>
        <v>1.4123937053302631</v>
      </c>
      <c r="F76" s="116" t="s">
        <v>772</v>
      </c>
      <c r="G76" s="114"/>
      <c r="H76" s="116"/>
      <c r="I76" s="116"/>
      <c r="J76" s="417"/>
      <c r="K76" s="417"/>
      <c r="L76" s="417"/>
      <c r="M76" s="579"/>
    </row>
    <row r="77" spans="1:28" x14ac:dyDescent="0.2">
      <c r="A77" s="562"/>
      <c r="B77" s="196" t="s">
        <v>2132</v>
      </c>
      <c r="C77" s="114"/>
      <c r="D77" s="417"/>
      <c r="E77" s="665">
        <v>2.1</v>
      </c>
      <c r="F77" s="116"/>
      <c r="G77" s="114"/>
      <c r="H77" s="116"/>
      <c r="I77" s="116"/>
      <c r="J77" s="417"/>
      <c r="K77" s="417"/>
      <c r="L77" s="417"/>
      <c r="M77" s="579"/>
    </row>
    <row r="78" spans="1:28" x14ac:dyDescent="0.2">
      <c r="A78" s="562"/>
      <c r="B78" s="63"/>
      <c r="C78" s="63"/>
      <c r="D78" s="63"/>
      <c r="E78" s="63"/>
      <c r="F78" s="63"/>
      <c r="G78" s="114"/>
      <c r="H78" s="116"/>
      <c r="I78" s="116"/>
      <c r="J78" s="417"/>
      <c r="K78" s="417"/>
      <c r="L78" s="417"/>
      <c r="M78" s="579"/>
    </row>
    <row r="79" spans="1:28" s="76" customFormat="1" ht="51" customHeight="1" x14ac:dyDescent="0.2">
      <c r="A79" s="595"/>
      <c r="B79" s="596" t="s">
        <v>81</v>
      </c>
      <c r="C79" s="597" t="s">
        <v>286</v>
      </c>
      <c r="D79" s="597" t="s">
        <v>283</v>
      </c>
      <c r="E79" s="198"/>
      <c r="F79" s="198"/>
      <c r="G79" s="198"/>
      <c r="H79" s="597"/>
      <c r="I79" s="113"/>
      <c r="J79" s="113"/>
      <c r="K79" s="198"/>
      <c r="L79" s="113" t="str">
        <f>"MM$/yr ("&amp;DCFROR!$B$34&amp;")"</f>
        <v>MM$/yr (2016)</v>
      </c>
      <c r="M79" s="199" t="str">
        <f>"Cents/Gallon Ethanol ("&amp;DCFROR!$B$34&amp;")"</f>
        <v>Cents/Gallon Ethanol (2016)</v>
      </c>
      <c r="N79" s="471"/>
      <c r="O79" s="471"/>
      <c r="P79" s="471"/>
      <c r="Q79" s="471"/>
      <c r="R79" s="471"/>
      <c r="S79" s="471"/>
      <c r="T79" s="471"/>
      <c r="U79" s="471"/>
      <c r="V79" s="471"/>
      <c r="W79" s="471"/>
      <c r="X79" s="471"/>
      <c r="Y79" s="471"/>
      <c r="Z79" s="471"/>
      <c r="AA79" s="471"/>
      <c r="AB79" s="471"/>
    </row>
    <row r="80" spans="1:28" ht="25.2" x14ac:dyDescent="0.2">
      <c r="A80" s="562"/>
      <c r="B80" s="417" t="s">
        <v>92</v>
      </c>
      <c r="C80" s="416" t="s">
        <v>530</v>
      </c>
      <c r="D80" s="563" t="s">
        <v>566</v>
      </c>
      <c r="E80" s="133"/>
      <c r="F80" s="114"/>
      <c r="G80" s="78"/>
      <c r="H80" s="416"/>
      <c r="I80" s="115"/>
      <c r="J80" s="79"/>
      <c r="K80" s="134"/>
      <c r="L80" s="116">
        <f ca="1">E76*E77</f>
        <v>2.9660267811935528</v>
      </c>
      <c r="M80" s="178">
        <f ca="1">(L80*100)/$B$3</f>
        <v>5.1845116313248321</v>
      </c>
    </row>
    <row r="81" spans="1:13" x14ac:dyDescent="0.2">
      <c r="A81" s="562"/>
      <c r="B81" s="417" t="s">
        <v>89</v>
      </c>
      <c r="C81" s="200">
        <f ca="1">B3*1000000*DCFROR!B35</f>
        <v>144581146.62466061</v>
      </c>
      <c r="D81" s="114" t="s">
        <v>90</v>
      </c>
      <c r="E81" s="114"/>
      <c r="F81" s="116"/>
      <c r="G81" s="114"/>
      <c r="H81" s="116"/>
      <c r="I81" s="116"/>
      <c r="J81" s="417"/>
      <c r="K81" s="417"/>
      <c r="L81" s="417"/>
      <c r="M81" s="579"/>
    </row>
    <row r="82" spans="1:13" x14ac:dyDescent="0.2">
      <c r="A82" s="562"/>
      <c r="B82" s="417" t="s">
        <v>91</v>
      </c>
      <c r="C82" s="200">
        <f ca="1">L80*1000000</f>
        <v>2966026.781193553</v>
      </c>
      <c r="D82" s="114" t="s">
        <v>90</v>
      </c>
      <c r="E82" s="114"/>
      <c r="F82" s="116"/>
      <c r="G82" s="114"/>
      <c r="H82" s="116"/>
      <c r="I82" s="116"/>
      <c r="J82" s="417"/>
      <c r="K82" s="417"/>
      <c r="L82" s="417"/>
      <c r="M82" s="579"/>
    </row>
    <row r="83" spans="1:13" ht="25.2" x14ac:dyDescent="0.2">
      <c r="A83" s="562"/>
      <c r="B83" s="417" t="s">
        <v>120</v>
      </c>
      <c r="C83" s="200">
        <f ca="1">C81+C82</f>
        <v>147547173.40585417</v>
      </c>
      <c r="D83" s="114" t="s">
        <v>90</v>
      </c>
      <c r="E83" s="114"/>
      <c r="F83" s="116"/>
      <c r="G83" s="114"/>
      <c r="H83" s="116"/>
      <c r="I83" s="116"/>
      <c r="J83" s="417"/>
      <c r="K83" s="417"/>
      <c r="L83" s="417"/>
      <c r="M83" s="579"/>
    </row>
    <row r="84" spans="1:13" ht="25.2" x14ac:dyDescent="0.2">
      <c r="A84" s="562"/>
      <c r="B84" s="417" t="s">
        <v>121</v>
      </c>
      <c r="C84" s="201">
        <f ca="1">C83/E75/1000000</f>
        <v>2.5527107908379074</v>
      </c>
      <c r="D84" s="114" t="s">
        <v>122</v>
      </c>
      <c r="E84" s="114"/>
      <c r="F84" s="116"/>
      <c r="G84" s="114"/>
      <c r="H84" s="116"/>
      <c r="I84" s="116"/>
      <c r="J84" s="417"/>
      <c r="K84" s="417"/>
      <c r="L84" s="417"/>
      <c r="M84" s="579"/>
    </row>
    <row r="85" spans="1:13" ht="13.2" thickBot="1" x14ac:dyDescent="0.25">
      <c r="A85" s="566"/>
      <c r="B85" s="567" t="s">
        <v>91</v>
      </c>
      <c r="C85" s="202">
        <f ca="1">L80/E76</f>
        <v>2.1</v>
      </c>
      <c r="D85" s="151" t="s">
        <v>122</v>
      </c>
      <c r="E85" s="151"/>
      <c r="F85" s="153"/>
      <c r="G85" s="151"/>
      <c r="H85" s="153"/>
      <c r="I85" s="153"/>
      <c r="J85" s="567"/>
      <c r="K85" s="567"/>
      <c r="L85" s="567"/>
      <c r="M85" s="598"/>
    </row>
    <row r="86" spans="1:13" x14ac:dyDescent="0.2">
      <c r="C86" s="470"/>
      <c r="E86" s="64"/>
      <c r="F86" s="72"/>
      <c r="G86" s="64"/>
      <c r="I86" s="72"/>
    </row>
    <row r="87" spans="1:13" x14ac:dyDescent="0.2">
      <c r="C87" s="470"/>
      <c r="E87" s="64"/>
      <c r="F87" s="72"/>
      <c r="G87" s="64"/>
      <c r="I87" s="72"/>
    </row>
    <row r="88" spans="1:13" s="470" customFormat="1" x14ac:dyDescent="0.2"/>
    <row r="89" spans="1:13" s="470" customFormat="1" x14ac:dyDescent="0.2"/>
    <row r="90" spans="1:13" s="470" customFormat="1" x14ac:dyDescent="0.2">
      <c r="B90" s="471"/>
      <c r="L90" s="472"/>
    </row>
    <row r="91" spans="1:13" s="470" customFormat="1" x14ac:dyDescent="0.2">
      <c r="L91" s="472"/>
    </row>
    <row r="92" spans="1:13" s="470" customFormat="1" x14ac:dyDescent="0.2">
      <c r="L92" s="472"/>
    </row>
    <row r="93" spans="1:13" s="470" customFormat="1" x14ac:dyDescent="0.2">
      <c r="L93" s="472"/>
    </row>
    <row r="94" spans="1:13" s="470" customFormat="1" x14ac:dyDescent="0.2">
      <c r="L94" s="472"/>
    </row>
    <row r="95" spans="1:13" s="470" customFormat="1" x14ac:dyDescent="0.2"/>
    <row r="96" spans="1:13" s="470" customFormat="1" x14ac:dyDescent="0.2"/>
    <row r="97" s="470" customFormat="1" x14ac:dyDescent="0.2"/>
    <row r="98" s="470" customFormat="1" x14ac:dyDescent="0.2"/>
    <row r="99" s="470" customFormat="1" x14ac:dyDescent="0.2"/>
    <row r="100" s="470" customFormat="1" x14ac:dyDescent="0.2"/>
    <row r="101" s="470" customFormat="1" x14ac:dyDescent="0.2"/>
    <row r="102" s="470" customFormat="1" x14ac:dyDescent="0.2"/>
    <row r="103" s="470" customFormat="1" x14ac:dyDescent="0.2"/>
    <row r="104" s="470" customFormat="1" x14ac:dyDescent="0.2"/>
    <row r="105" s="470" customFormat="1" x14ac:dyDescent="0.2"/>
    <row r="106" s="470" customFormat="1" x14ac:dyDescent="0.2"/>
    <row r="107" s="470" customFormat="1" x14ac:dyDescent="0.2"/>
    <row r="108" s="470" customFormat="1" x14ac:dyDescent="0.2"/>
    <row r="109" s="470" customFormat="1" x14ac:dyDescent="0.2"/>
    <row r="110" s="470" customFormat="1" x14ac:dyDescent="0.2"/>
    <row r="111" s="470" customFormat="1" x14ac:dyDescent="0.2"/>
    <row r="112" s="470" customFormat="1" x14ac:dyDescent="0.2"/>
    <row r="113" s="470" customFormat="1" x14ac:dyDescent="0.2"/>
    <row r="114" s="470" customFormat="1" x14ac:dyDescent="0.2"/>
    <row r="115" s="470" customFormat="1" x14ac:dyDescent="0.2"/>
    <row r="116" s="470" customFormat="1" x14ac:dyDescent="0.2"/>
    <row r="117" s="470" customFormat="1" x14ac:dyDescent="0.2"/>
    <row r="118" s="470" customFormat="1" x14ac:dyDescent="0.2"/>
    <row r="119" s="470" customFormat="1" x14ac:dyDescent="0.2"/>
    <row r="120" s="470" customFormat="1" x14ac:dyDescent="0.2"/>
    <row r="121" s="470" customFormat="1" x14ac:dyDescent="0.2"/>
    <row r="122" s="470" customFormat="1" x14ac:dyDescent="0.2"/>
    <row r="123" s="470" customFormat="1" x14ac:dyDescent="0.2"/>
    <row r="124" s="470" customFormat="1" x14ac:dyDescent="0.2"/>
    <row r="125" s="470" customFormat="1" x14ac:dyDescent="0.2"/>
    <row r="126" s="470" customFormat="1" x14ac:dyDescent="0.2"/>
    <row r="127" s="470" customFormat="1" x14ac:dyDescent="0.2"/>
    <row r="128" s="470" customFormat="1" x14ac:dyDescent="0.2"/>
    <row r="129" s="470" customFormat="1" x14ac:dyDescent="0.2"/>
    <row r="130" s="470" customFormat="1" x14ac:dyDescent="0.2"/>
    <row r="131" s="470" customFormat="1" x14ac:dyDescent="0.2"/>
    <row r="132" s="470" customFormat="1" x14ac:dyDescent="0.2"/>
    <row r="133" s="470" customFormat="1" x14ac:dyDescent="0.2"/>
    <row r="134" s="470" customFormat="1" x14ac:dyDescent="0.2"/>
    <row r="135" s="470" customFormat="1" x14ac:dyDescent="0.2"/>
    <row r="136" s="470" customFormat="1" x14ac:dyDescent="0.2"/>
    <row r="137" s="470" customFormat="1" x14ac:dyDescent="0.2"/>
    <row r="138" s="470" customFormat="1" x14ac:dyDescent="0.2"/>
    <row r="139" s="470" customFormat="1" x14ac:dyDescent="0.2"/>
    <row r="140" s="470" customFormat="1" x14ac:dyDescent="0.2"/>
    <row r="141" s="470" customFormat="1" x14ac:dyDescent="0.2"/>
    <row r="142" s="470" customFormat="1" x14ac:dyDescent="0.2"/>
    <row r="143" s="470" customFormat="1" x14ac:dyDescent="0.2"/>
    <row r="144" s="470" customFormat="1" x14ac:dyDescent="0.2"/>
    <row r="145" s="470" customFormat="1" x14ac:dyDescent="0.2"/>
    <row r="146" s="470" customFormat="1" x14ac:dyDescent="0.2"/>
    <row r="147" s="470" customFormat="1" x14ac:dyDescent="0.2"/>
    <row r="148" s="470" customFormat="1" x14ac:dyDescent="0.2"/>
    <row r="149" s="470" customFormat="1" x14ac:dyDescent="0.2"/>
    <row r="150" s="470" customFormat="1" x14ac:dyDescent="0.2"/>
    <row r="151" s="470" customFormat="1" x14ac:dyDescent="0.2"/>
    <row r="152" s="470" customFormat="1" x14ac:dyDescent="0.2"/>
    <row r="153" s="470" customFormat="1" x14ac:dyDescent="0.2"/>
    <row r="154" s="470" customFormat="1" x14ac:dyDescent="0.2"/>
    <row r="155" s="470" customFormat="1" x14ac:dyDescent="0.2"/>
    <row r="156" s="470" customFormat="1" x14ac:dyDescent="0.2"/>
    <row r="157" s="470" customFormat="1" x14ac:dyDescent="0.2"/>
    <row r="158" s="470" customFormat="1" x14ac:dyDescent="0.2"/>
    <row r="159" s="470" customFormat="1" x14ac:dyDescent="0.2"/>
    <row r="160" s="470" customFormat="1" x14ac:dyDescent="0.2"/>
    <row r="161" s="470" customFormat="1" x14ac:dyDescent="0.2"/>
    <row r="162" s="470" customFormat="1" x14ac:dyDescent="0.2"/>
    <row r="163" s="470" customFormat="1" x14ac:dyDescent="0.2"/>
    <row r="164" s="470" customFormat="1" x14ac:dyDescent="0.2"/>
    <row r="165" s="470" customFormat="1" x14ac:dyDescent="0.2"/>
    <row r="166" s="470" customFormat="1" x14ac:dyDescent="0.2"/>
    <row r="167" s="470" customFormat="1" x14ac:dyDescent="0.2"/>
    <row r="168" s="470" customFormat="1" x14ac:dyDescent="0.2"/>
    <row r="169" s="470" customFormat="1" x14ac:dyDescent="0.2"/>
    <row r="170" s="470" customFormat="1" x14ac:dyDescent="0.2"/>
    <row r="171" s="470" customFormat="1" x14ac:dyDescent="0.2"/>
    <row r="172" s="470" customFormat="1" x14ac:dyDescent="0.2"/>
    <row r="173" s="470" customFormat="1" x14ac:dyDescent="0.2"/>
    <row r="174" s="470" customFormat="1" x14ac:dyDescent="0.2"/>
    <row r="175" s="470" customFormat="1" x14ac:dyDescent="0.2"/>
    <row r="176" s="470" customFormat="1" x14ac:dyDescent="0.2"/>
    <row r="177" s="470" customFormat="1" x14ac:dyDescent="0.2"/>
    <row r="178" s="470" customFormat="1" x14ac:dyDescent="0.2"/>
    <row r="179" s="470" customFormat="1" x14ac:dyDescent="0.2"/>
    <row r="180" s="470" customFormat="1" x14ac:dyDescent="0.2"/>
    <row r="181" s="470" customFormat="1" x14ac:dyDescent="0.2"/>
    <row r="182" s="470" customFormat="1" x14ac:dyDescent="0.2"/>
    <row r="183" s="470" customFormat="1" x14ac:dyDescent="0.2"/>
    <row r="184" s="470" customFormat="1" x14ac:dyDescent="0.2"/>
    <row r="185" s="470" customFormat="1" x14ac:dyDescent="0.2"/>
    <row r="186" s="470" customFormat="1" x14ac:dyDescent="0.2"/>
    <row r="187" s="470" customFormat="1" x14ac:dyDescent="0.2"/>
    <row r="188" s="470" customFormat="1" x14ac:dyDescent="0.2"/>
    <row r="189" s="470" customFormat="1" x14ac:dyDescent="0.2"/>
    <row r="190" s="470" customFormat="1" x14ac:dyDescent="0.2"/>
    <row r="191" s="470" customFormat="1" x14ac:dyDescent="0.2"/>
    <row r="192" s="470" customFormat="1" x14ac:dyDescent="0.2"/>
    <row r="193" s="470" customFormat="1" x14ac:dyDescent="0.2"/>
    <row r="194" s="470" customFormat="1" x14ac:dyDescent="0.2"/>
    <row r="195" s="470" customFormat="1" x14ac:dyDescent="0.2"/>
    <row r="196" s="470" customFormat="1" x14ac:dyDescent="0.2"/>
    <row r="197" s="470" customFormat="1" x14ac:dyDescent="0.2"/>
    <row r="198" s="470" customFormat="1" x14ac:dyDescent="0.2"/>
    <row r="199" s="470" customFormat="1" x14ac:dyDescent="0.2"/>
    <row r="200" s="470" customFormat="1" x14ac:dyDescent="0.2"/>
    <row r="201" s="470" customFormat="1" x14ac:dyDescent="0.2"/>
    <row r="202" s="470" customFormat="1" x14ac:dyDescent="0.2"/>
    <row r="203" s="470" customFormat="1" x14ac:dyDescent="0.2"/>
    <row r="204" s="470" customFormat="1" x14ac:dyDescent="0.2"/>
    <row r="205" s="470" customFormat="1" x14ac:dyDescent="0.2"/>
    <row r="206" s="470" customFormat="1" x14ac:dyDescent="0.2"/>
    <row r="207" s="470" customFormat="1" x14ac:dyDescent="0.2"/>
    <row r="208" s="470" customFormat="1" x14ac:dyDescent="0.2"/>
    <row r="209" s="470" customFormat="1" x14ac:dyDescent="0.2"/>
    <row r="210" s="470" customFormat="1" x14ac:dyDescent="0.2"/>
    <row r="211" s="470" customFormat="1" x14ac:dyDescent="0.2"/>
    <row r="212" s="470" customFormat="1" x14ac:dyDescent="0.2"/>
    <row r="213" s="470" customFormat="1" x14ac:dyDescent="0.2"/>
    <row r="214" s="470" customFormat="1" x14ac:dyDescent="0.2"/>
    <row r="215" s="470" customFormat="1" x14ac:dyDescent="0.2"/>
    <row r="216" s="470" customFormat="1" x14ac:dyDescent="0.2"/>
    <row r="217" s="470" customFormat="1" x14ac:dyDescent="0.2"/>
    <row r="218" s="470" customFormat="1" x14ac:dyDescent="0.2"/>
    <row r="219" s="470" customFormat="1" x14ac:dyDescent="0.2"/>
    <row r="220" s="470" customFormat="1" x14ac:dyDescent="0.2"/>
    <row r="221" s="470" customFormat="1" x14ac:dyDescent="0.2"/>
    <row r="222" s="470" customFormat="1" x14ac:dyDescent="0.2"/>
    <row r="223" s="470" customFormat="1" x14ac:dyDescent="0.2"/>
    <row r="224" s="470" customFormat="1" x14ac:dyDescent="0.2"/>
    <row r="225" s="470" customFormat="1" x14ac:dyDescent="0.2"/>
    <row r="226" s="470" customFormat="1" x14ac:dyDescent="0.2"/>
    <row r="227" s="470" customFormat="1" x14ac:dyDescent="0.2"/>
    <row r="228" s="470" customFormat="1" x14ac:dyDescent="0.2"/>
    <row r="229" s="470" customFormat="1" x14ac:dyDescent="0.2"/>
    <row r="230" s="470" customFormat="1" x14ac:dyDescent="0.2"/>
    <row r="231" s="470" customFormat="1" x14ac:dyDescent="0.2"/>
    <row r="232" s="470" customFormat="1" x14ac:dyDescent="0.2"/>
    <row r="233" s="470" customFormat="1" x14ac:dyDescent="0.2"/>
    <row r="234" s="470" customFormat="1" x14ac:dyDescent="0.2"/>
    <row r="235" s="470" customFormat="1" x14ac:dyDescent="0.2"/>
    <row r="236" s="470" customFormat="1" x14ac:dyDescent="0.2"/>
    <row r="237" s="470" customFormat="1" x14ac:dyDescent="0.2"/>
    <row r="238" s="470" customFormat="1" x14ac:dyDescent="0.2"/>
    <row r="239" s="470" customFormat="1" x14ac:dyDescent="0.2"/>
    <row r="240" s="470" customFormat="1" x14ac:dyDescent="0.2"/>
    <row r="241" s="470" customFormat="1" x14ac:dyDescent="0.2"/>
    <row r="242" s="470" customFormat="1" x14ac:dyDescent="0.2"/>
    <row r="243" s="470" customFormat="1" x14ac:dyDescent="0.2"/>
    <row r="244" s="470" customFormat="1" x14ac:dyDescent="0.2"/>
    <row r="245" s="470" customFormat="1" x14ac:dyDescent="0.2"/>
    <row r="246" s="470" customFormat="1" x14ac:dyDescent="0.2"/>
    <row r="247" s="470" customFormat="1" x14ac:dyDescent="0.2"/>
    <row r="248" s="470" customFormat="1" x14ac:dyDescent="0.2"/>
    <row r="249" s="470" customFormat="1" x14ac:dyDescent="0.2"/>
    <row r="250" s="470" customFormat="1" x14ac:dyDescent="0.2"/>
    <row r="251" s="470" customFormat="1" x14ac:dyDescent="0.2"/>
    <row r="252" s="470" customFormat="1" x14ac:dyDescent="0.2"/>
    <row r="253" s="470" customFormat="1" x14ac:dyDescent="0.2"/>
    <row r="254" s="470" customFormat="1" x14ac:dyDescent="0.2"/>
    <row r="255" s="470" customFormat="1" x14ac:dyDescent="0.2"/>
    <row r="256" s="470" customFormat="1" x14ac:dyDescent="0.2"/>
    <row r="257" s="470" customFormat="1" x14ac:dyDescent="0.2"/>
    <row r="258" s="470" customFormat="1" x14ac:dyDescent="0.2"/>
    <row r="259" s="470" customFormat="1" x14ac:dyDescent="0.2"/>
    <row r="260" s="470" customFormat="1" x14ac:dyDescent="0.2"/>
    <row r="261" s="470" customFormat="1" x14ac:dyDescent="0.2"/>
    <row r="262" s="470" customFormat="1" x14ac:dyDescent="0.2"/>
    <row r="263" s="470" customFormat="1" x14ac:dyDescent="0.2"/>
    <row r="264" s="470" customFormat="1" x14ac:dyDescent="0.2"/>
    <row r="265" s="470" customFormat="1" x14ac:dyDescent="0.2"/>
    <row r="266" s="470" customFormat="1" x14ac:dyDescent="0.2"/>
    <row r="267" s="470" customFormat="1" x14ac:dyDescent="0.2"/>
    <row r="268" s="470" customFormat="1" x14ac:dyDescent="0.2"/>
    <row r="269" s="470" customFormat="1" x14ac:dyDescent="0.2"/>
    <row r="270" s="470" customFormat="1" x14ac:dyDescent="0.2"/>
    <row r="271" s="470" customFormat="1" x14ac:dyDescent="0.2"/>
    <row r="272" s="470" customFormat="1" x14ac:dyDescent="0.2"/>
    <row r="273" s="470" customFormat="1" x14ac:dyDescent="0.2"/>
    <row r="274" s="470" customFormat="1" x14ac:dyDescent="0.2"/>
    <row r="275" s="470" customFormat="1" x14ac:dyDescent="0.2"/>
    <row r="276" s="470" customFormat="1" x14ac:dyDescent="0.2"/>
    <row r="277" s="470" customFormat="1" x14ac:dyDescent="0.2"/>
    <row r="278" s="470" customFormat="1" x14ac:dyDescent="0.2"/>
    <row r="279" s="470" customFormat="1" x14ac:dyDescent="0.2"/>
    <row r="280" s="470" customFormat="1" x14ac:dyDescent="0.2"/>
    <row r="281" s="470" customFormat="1" x14ac:dyDescent="0.2"/>
    <row r="282" s="470" customFormat="1" x14ac:dyDescent="0.2"/>
    <row r="283" s="470" customFormat="1" x14ac:dyDescent="0.2"/>
    <row r="284" s="470" customFormat="1" x14ac:dyDescent="0.2"/>
    <row r="285" s="470" customFormat="1" x14ac:dyDescent="0.2"/>
    <row r="286" s="470" customFormat="1" x14ac:dyDescent="0.2"/>
    <row r="287" s="470" customFormat="1" x14ac:dyDescent="0.2"/>
    <row r="288" s="470" customFormat="1" x14ac:dyDescent="0.2"/>
    <row r="289" s="470" customFormat="1" x14ac:dyDescent="0.2"/>
    <row r="290" s="470" customFormat="1" x14ac:dyDescent="0.2"/>
    <row r="291" s="470" customFormat="1" x14ac:dyDescent="0.2"/>
  </sheetData>
  <mergeCells count="5">
    <mergeCell ref="A11:M11"/>
    <mergeCell ref="A31:M31"/>
    <mergeCell ref="A34:M34"/>
    <mergeCell ref="A41:M41"/>
    <mergeCell ref="A56:M56"/>
  </mergeCells>
  <phoneticPr fontId="0" type="noConversion"/>
  <printOptions gridLines="1" gridLinesSet="0"/>
  <pageMargins left="0.75" right="0.28000000000000003" top="0.87" bottom="0.59" header="0.5" footer="0.5"/>
  <pageSetup scale="25" orientation="portrait" horizontalDpi="4294967292" r:id="rId1"/>
  <headerFooter alignWithMargins="0">
    <oddHeader>&amp;L&amp;"Courier,Bold"NREL Protected Information&amp;C&amp;D&amp;R&amp;A</oddHeader>
    <oddFooter>&amp;F</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pageSetUpPr fitToPage="1"/>
  </sheetPr>
  <dimension ref="A1:Z235"/>
  <sheetViews>
    <sheetView showGridLines="0" zoomScale="70" zoomScaleNormal="70" workbookViewId="0">
      <pane xSplit="3" ySplit="2" topLeftCell="D3" activePane="bottomRight" state="frozen"/>
      <selection pane="topRight" activeCell="F1" sqref="F1"/>
      <selection pane="bottomLeft" activeCell="A11" sqref="A11"/>
      <selection pane="bottomRight" activeCell="Y228" sqref="Y228"/>
    </sheetView>
  </sheetViews>
  <sheetFormatPr defaultColWidth="7.77734375" defaultRowHeight="13.2" x14ac:dyDescent="0.25"/>
  <cols>
    <col min="1" max="1" width="3.109375" style="425" customWidth="1"/>
    <col min="2" max="2" width="3.88671875" style="1216" bestFit="1" customWidth="1"/>
    <col min="3" max="3" width="29" style="636" bestFit="1" customWidth="1"/>
    <col min="4" max="4" width="15.109375" style="426" bestFit="1" customWidth="1"/>
    <col min="5" max="5" width="14.21875" style="426" hidden="1" customWidth="1"/>
    <col min="6" max="6" width="36.109375" style="426" customWidth="1"/>
    <col min="7" max="7" width="9.21875" style="426" customWidth="1"/>
    <col min="8" max="8" width="11.77734375" style="426" customWidth="1"/>
    <col min="9" max="9" width="18.44140625" style="426" hidden="1" customWidth="1"/>
    <col min="10" max="10" width="3.109375" style="1215" bestFit="1" customWidth="1"/>
    <col min="11" max="11" width="11.6640625" style="226" bestFit="1" customWidth="1"/>
    <col min="12" max="12" width="5.44140625" style="1200" bestFit="1" customWidth="1"/>
    <col min="13" max="13" width="10.44140625" style="689" hidden="1" customWidth="1"/>
    <col min="14" max="14" width="18.33203125" style="689" bestFit="1" customWidth="1"/>
    <col min="15" max="15" width="8.6640625" style="1200" bestFit="1" customWidth="1"/>
    <col min="16" max="16" width="6.44140625" style="689" customWidth="1"/>
    <col min="17" max="17" width="4.33203125" style="691" bestFit="1" customWidth="1"/>
    <col min="18" max="18" width="3.33203125" style="1196" bestFit="1" customWidth="1"/>
    <col min="19" max="19" width="8.6640625" style="689" bestFit="1" customWidth="1"/>
    <col min="20" max="20" width="5.21875" style="689" customWidth="1"/>
    <col min="21" max="21" width="11.21875" style="689" customWidth="1"/>
    <col min="22" max="22" width="11.44140625" style="689" customWidth="1"/>
    <col min="23" max="23" width="13.33203125" style="689" bestFit="1" customWidth="1"/>
    <col min="24" max="24" width="14.109375" style="689" customWidth="1"/>
    <col min="25" max="25" width="21.44140625" style="689" bestFit="1" customWidth="1"/>
    <col min="26" max="26" width="65.6640625" style="425" bestFit="1" customWidth="1"/>
    <col min="27" max="250" width="7.77734375" style="219"/>
    <col min="251" max="251" width="4.77734375" style="219" customWidth="1"/>
    <col min="252" max="252" width="3" style="219" customWidth="1"/>
    <col min="253" max="253" width="5" style="219" customWidth="1"/>
    <col min="254" max="254" width="32.109375" style="219" customWidth="1"/>
    <col min="255" max="255" width="9.88671875" style="219" customWidth="1"/>
    <col min="256" max="256" width="15" style="219" customWidth="1"/>
    <col min="257" max="257" width="14.21875" style="219" customWidth="1"/>
    <col min="258" max="258" width="36.109375" style="219" customWidth="1"/>
    <col min="259" max="259" width="8.21875" style="219" customWidth="1"/>
    <col min="260" max="260" width="15.109375" style="219" customWidth="1"/>
    <col min="261" max="261" width="7.33203125" style="219" bestFit="1" customWidth="1"/>
    <col min="262" max="262" width="18.77734375" style="219" bestFit="1" customWidth="1"/>
    <col min="263" max="263" width="8.109375" style="219" customWidth="1"/>
    <col min="264" max="264" width="16" style="219" customWidth="1"/>
    <col min="265" max="265" width="38.88671875" style="219" customWidth="1"/>
    <col min="266" max="506" width="7.77734375" style="219"/>
    <col min="507" max="507" width="4.77734375" style="219" customWidth="1"/>
    <col min="508" max="508" width="3" style="219" customWidth="1"/>
    <col min="509" max="509" width="5" style="219" customWidth="1"/>
    <col min="510" max="510" width="32.109375" style="219" customWidth="1"/>
    <col min="511" max="511" width="9.88671875" style="219" customWidth="1"/>
    <col min="512" max="512" width="15" style="219" customWidth="1"/>
    <col min="513" max="513" width="14.21875" style="219" customWidth="1"/>
    <col min="514" max="514" width="36.109375" style="219" customWidth="1"/>
    <col min="515" max="515" width="8.21875" style="219" customWidth="1"/>
    <col min="516" max="516" width="15.109375" style="219" customWidth="1"/>
    <col min="517" max="517" width="7.33203125" style="219" bestFit="1" customWidth="1"/>
    <col min="518" max="518" width="18.77734375" style="219" bestFit="1" customWidth="1"/>
    <col min="519" max="519" width="8.109375" style="219" customWidth="1"/>
    <col min="520" max="520" width="16" style="219" customWidth="1"/>
    <col min="521" max="521" width="38.88671875" style="219" customWidth="1"/>
    <col min="522" max="762" width="7.77734375" style="219"/>
    <col min="763" max="763" width="4.77734375" style="219" customWidth="1"/>
    <col min="764" max="764" width="3" style="219" customWidth="1"/>
    <col min="765" max="765" width="5" style="219" customWidth="1"/>
    <col min="766" max="766" width="32.109375" style="219" customWidth="1"/>
    <col min="767" max="767" width="9.88671875" style="219" customWidth="1"/>
    <col min="768" max="768" width="15" style="219" customWidth="1"/>
    <col min="769" max="769" width="14.21875" style="219" customWidth="1"/>
    <col min="770" max="770" width="36.109375" style="219" customWidth="1"/>
    <col min="771" max="771" width="8.21875" style="219" customWidth="1"/>
    <col min="772" max="772" width="15.109375" style="219" customWidth="1"/>
    <col min="773" max="773" width="7.33203125" style="219" bestFit="1" customWidth="1"/>
    <col min="774" max="774" width="18.77734375" style="219" bestFit="1" customWidth="1"/>
    <col min="775" max="775" width="8.109375" style="219" customWidth="1"/>
    <col min="776" max="776" width="16" style="219" customWidth="1"/>
    <col min="777" max="777" width="38.88671875" style="219" customWidth="1"/>
    <col min="778" max="1018" width="7.77734375" style="219"/>
    <col min="1019" max="1019" width="4.77734375" style="219" customWidth="1"/>
    <col min="1020" max="1020" width="3" style="219" customWidth="1"/>
    <col min="1021" max="1021" width="5" style="219" customWidth="1"/>
    <col min="1022" max="1022" width="32.109375" style="219" customWidth="1"/>
    <col min="1023" max="1023" width="9.88671875" style="219" customWidth="1"/>
    <col min="1024" max="1024" width="15" style="219" customWidth="1"/>
    <col min="1025" max="1025" width="14.21875" style="219" customWidth="1"/>
    <col min="1026" max="1026" width="36.109375" style="219" customWidth="1"/>
    <col min="1027" max="1027" width="8.21875" style="219" customWidth="1"/>
    <col min="1028" max="1028" width="15.109375" style="219" customWidth="1"/>
    <col min="1029" max="1029" width="7.33203125" style="219" bestFit="1" customWidth="1"/>
    <col min="1030" max="1030" width="18.77734375" style="219" bestFit="1" customWidth="1"/>
    <col min="1031" max="1031" width="8.109375" style="219" customWidth="1"/>
    <col min="1032" max="1032" width="16" style="219" customWidth="1"/>
    <col min="1033" max="1033" width="38.88671875" style="219" customWidth="1"/>
    <col min="1034" max="1274" width="7.77734375" style="219"/>
    <col min="1275" max="1275" width="4.77734375" style="219" customWidth="1"/>
    <col min="1276" max="1276" width="3" style="219" customWidth="1"/>
    <col min="1277" max="1277" width="5" style="219" customWidth="1"/>
    <col min="1278" max="1278" width="32.109375" style="219" customWidth="1"/>
    <col min="1279" max="1279" width="9.88671875" style="219" customWidth="1"/>
    <col min="1280" max="1280" width="15" style="219" customWidth="1"/>
    <col min="1281" max="1281" width="14.21875" style="219" customWidth="1"/>
    <col min="1282" max="1282" width="36.109375" style="219" customWidth="1"/>
    <col min="1283" max="1283" width="8.21875" style="219" customWidth="1"/>
    <col min="1284" max="1284" width="15.109375" style="219" customWidth="1"/>
    <col min="1285" max="1285" width="7.33203125" style="219" bestFit="1" customWidth="1"/>
    <col min="1286" max="1286" width="18.77734375" style="219" bestFit="1" customWidth="1"/>
    <col min="1287" max="1287" width="8.109375" style="219" customWidth="1"/>
    <col min="1288" max="1288" width="16" style="219" customWidth="1"/>
    <col min="1289" max="1289" width="38.88671875" style="219" customWidth="1"/>
    <col min="1290" max="1530" width="7.77734375" style="219"/>
    <col min="1531" max="1531" width="4.77734375" style="219" customWidth="1"/>
    <col min="1532" max="1532" width="3" style="219" customWidth="1"/>
    <col min="1533" max="1533" width="5" style="219" customWidth="1"/>
    <col min="1534" max="1534" width="32.109375" style="219" customWidth="1"/>
    <col min="1535" max="1535" width="9.88671875" style="219" customWidth="1"/>
    <col min="1536" max="1536" width="15" style="219" customWidth="1"/>
    <col min="1537" max="1537" width="14.21875" style="219" customWidth="1"/>
    <col min="1538" max="1538" width="36.109375" style="219" customWidth="1"/>
    <col min="1539" max="1539" width="8.21875" style="219" customWidth="1"/>
    <col min="1540" max="1540" width="15.109375" style="219" customWidth="1"/>
    <col min="1541" max="1541" width="7.33203125" style="219" bestFit="1" customWidth="1"/>
    <col min="1542" max="1542" width="18.77734375" style="219" bestFit="1" customWidth="1"/>
    <col min="1543" max="1543" width="8.109375" style="219" customWidth="1"/>
    <col min="1544" max="1544" width="16" style="219" customWidth="1"/>
    <col min="1545" max="1545" width="38.88671875" style="219" customWidth="1"/>
    <col min="1546" max="1786" width="7.77734375" style="219"/>
    <col min="1787" max="1787" width="4.77734375" style="219" customWidth="1"/>
    <col min="1788" max="1788" width="3" style="219" customWidth="1"/>
    <col min="1789" max="1789" width="5" style="219" customWidth="1"/>
    <col min="1790" max="1790" width="32.109375" style="219" customWidth="1"/>
    <col min="1791" max="1791" width="9.88671875" style="219" customWidth="1"/>
    <col min="1792" max="1792" width="15" style="219" customWidth="1"/>
    <col min="1793" max="1793" width="14.21875" style="219" customWidth="1"/>
    <col min="1794" max="1794" width="36.109375" style="219" customWidth="1"/>
    <col min="1795" max="1795" width="8.21875" style="219" customWidth="1"/>
    <col min="1796" max="1796" width="15.109375" style="219" customWidth="1"/>
    <col min="1797" max="1797" width="7.33203125" style="219" bestFit="1" customWidth="1"/>
    <col min="1798" max="1798" width="18.77734375" style="219" bestFit="1" customWidth="1"/>
    <col min="1799" max="1799" width="8.109375" style="219" customWidth="1"/>
    <col min="1800" max="1800" width="16" style="219" customWidth="1"/>
    <col min="1801" max="1801" width="38.88671875" style="219" customWidth="1"/>
    <col min="1802" max="2042" width="7.77734375" style="219"/>
    <col min="2043" max="2043" width="4.77734375" style="219" customWidth="1"/>
    <col min="2044" max="2044" width="3" style="219" customWidth="1"/>
    <col min="2045" max="2045" width="5" style="219" customWidth="1"/>
    <col min="2046" max="2046" width="32.109375" style="219" customWidth="1"/>
    <col min="2047" max="2047" width="9.88671875" style="219" customWidth="1"/>
    <col min="2048" max="2048" width="15" style="219" customWidth="1"/>
    <col min="2049" max="2049" width="14.21875" style="219" customWidth="1"/>
    <col min="2050" max="2050" width="36.109375" style="219" customWidth="1"/>
    <col min="2051" max="2051" width="8.21875" style="219" customWidth="1"/>
    <col min="2052" max="2052" width="15.109375" style="219" customWidth="1"/>
    <col min="2053" max="2053" width="7.33203125" style="219" bestFit="1" customWidth="1"/>
    <col min="2054" max="2054" width="18.77734375" style="219" bestFit="1" customWidth="1"/>
    <col min="2055" max="2055" width="8.109375" style="219" customWidth="1"/>
    <col min="2056" max="2056" width="16" style="219" customWidth="1"/>
    <col min="2057" max="2057" width="38.88671875" style="219" customWidth="1"/>
    <col min="2058" max="2298" width="7.77734375" style="219"/>
    <col min="2299" max="2299" width="4.77734375" style="219" customWidth="1"/>
    <col min="2300" max="2300" width="3" style="219" customWidth="1"/>
    <col min="2301" max="2301" width="5" style="219" customWidth="1"/>
    <col min="2302" max="2302" width="32.109375" style="219" customWidth="1"/>
    <col min="2303" max="2303" width="9.88671875" style="219" customWidth="1"/>
    <col min="2304" max="2304" width="15" style="219" customWidth="1"/>
    <col min="2305" max="2305" width="14.21875" style="219" customWidth="1"/>
    <col min="2306" max="2306" width="36.109375" style="219" customWidth="1"/>
    <col min="2307" max="2307" width="8.21875" style="219" customWidth="1"/>
    <col min="2308" max="2308" width="15.109375" style="219" customWidth="1"/>
    <col min="2309" max="2309" width="7.33203125" style="219" bestFit="1" customWidth="1"/>
    <col min="2310" max="2310" width="18.77734375" style="219" bestFit="1" customWidth="1"/>
    <col min="2311" max="2311" width="8.109375" style="219" customWidth="1"/>
    <col min="2312" max="2312" width="16" style="219" customWidth="1"/>
    <col min="2313" max="2313" width="38.88671875" style="219" customWidth="1"/>
    <col min="2314" max="2554" width="7.77734375" style="219"/>
    <col min="2555" max="2555" width="4.77734375" style="219" customWidth="1"/>
    <col min="2556" max="2556" width="3" style="219" customWidth="1"/>
    <col min="2557" max="2557" width="5" style="219" customWidth="1"/>
    <col min="2558" max="2558" width="32.109375" style="219" customWidth="1"/>
    <col min="2559" max="2559" width="9.88671875" style="219" customWidth="1"/>
    <col min="2560" max="2560" width="15" style="219" customWidth="1"/>
    <col min="2561" max="2561" width="14.21875" style="219" customWidth="1"/>
    <col min="2562" max="2562" width="36.109375" style="219" customWidth="1"/>
    <col min="2563" max="2563" width="8.21875" style="219" customWidth="1"/>
    <col min="2564" max="2564" width="15.109375" style="219" customWidth="1"/>
    <col min="2565" max="2565" width="7.33203125" style="219" bestFit="1" customWidth="1"/>
    <col min="2566" max="2566" width="18.77734375" style="219" bestFit="1" customWidth="1"/>
    <col min="2567" max="2567" width="8.109375" style="219" customWidth="1"/>
    <col min="2568" max="2568" width="16" style="219" customWidth="1"/>
    <col min="2569" max="2569" width="38.88671875" style="219" customWidth="1"/>
    <col min="2570" max="2810" width="7.77734375" style="219"/>
    <col min="2811" max="2811" width="4.77734375" style="219" customWidth="1"/>
    <col min="2812" max="2812" width="3" style="219" customWidth="1"/>
    <col min="2813" max="2813" width="5" style="219" customWidth="1"/>
    <col min="2814" max="2814" width="32.109375" style="219" customWidth="1"/>
    <col min="2815" max="2815" width="9.88671875" style="219" customWidth="1"/>
    <col min="2816" max="2816" width="15" style="219" customWidth="1"/>
    <col min="2817" max="2817" width="14.21875" style="219" customWidth="1"/>
    <col min="2818" max="2818" width="36.109375" style="219" customWidth="1"/>
    <col min="2819" max="2819" width="8.21875" style="219" customWidth="1"/>
    <col min="2820" max="2820" width="15.109375" style="219" customWidth="1"/>
    <col min="2821" max="2821" width="7.33203125" style="219" bestFit="1" customWidth="1"/>
    <col min="2822" max="2822" width="18.77734375" style="219" bestFit="1" customWidth="1"/>
    <col min="2823" max="2823" width="8.109375" style="219" customWidth="1"/>
    <col min="2824" max="2824" width="16" style="219" customWidth="1"/>
    <col min="2825" max="2825" width="38.88671875" style="219" customWidth="1"/>
    <col min="2826" max="3066" width="7.77734375" style="219"/>
    <col min="3067" max="3067" width="4.77734375" style="219" customWidth="1"/>
    <col min="3068" max="3068" width="3" style="219" customWidth="1"/>
    <col min="3069" max="3069" width="5" style="219" customWidth="1"/>
    <col min="3070" max="3070" width="32.109375" style="219" customWidth="1"/>
    <col min="3071" max="3071" width="9.88671875" style="219" customWidth="1"/>
    <col min="3072" max="3072" width="15" style="219" customWidth="1"/>
    <col min="3073" max="3073" width="14.21875" style="219" customWidth="1"/>
    <col min="3074" max="3074" width="36.109375" style="219" customWidth="1"/>
    <col min="3075" max="3075" width="8.21875" style="219" customWidth="1"/>
    <col min="3076" max="3076" width="15.109375" style="219" customWidth="1"/>
    <col min="3077" max="3077" width="7.33203125" style="219" bestFit="1" customWidth="1"/>
    <col min="3078" max="3078" width="18.77734375" style="219" bestFit="1" customWidth="1"/>
    <col min="3079" max="3079" width="8.109375" style="219" customWidth="1"/>
    <col min="3080" max="3080" width="16" style="219" customWidth="1"/>
    <col min="3081" max="3081" width="38.88671875" style="219" customWidth="1"/>
    <col min="3082" max="3322" width="7.77734375" style="219"/>
    <col min="3323" max="3323" width="4.77734375" style="219" customWidth="1"/>
    <col min="3324" max="3324" width="3" style="219" customWidth="1"/>
    <col min="3325" max="3325" width="5" style="219" customWidth="1"/>
    <col min="3326" max="3326" width="32.109375" style="219" customWidth="1"/>
    <col min="3327" max="3327" width="9.88671875" style="219" customWidth="1"/>
    <col min="3328" max="3328" width="15" style="219" customWidth="1"/>
    <col min="3329" max="3329" width="14.21875" style="219" customWidth="1"/>
    <col min="3330" max="3330" width="36.109375" style="219" customWidth="1"/>
    <col min="3331" max="3331" width="8.21875" style="219" customWidth="1"/>
    <col min="3332" max="3332" width="15.109375" style="219" customWidth="1"/>
    <col min="3333" max="3333" width="7.33203125" style="219" bestFit="1" customWidth="1"/>
    <col min="3334" max="3334" width="18.77734375" style="219" bestFit="1" customWidth="1"/>
    <col min="3335" max="3335" width="8.109375" style="219" customWidth="1"/>
    <col min="3336" max="3336" width="16" style="219" customWidth="1"/>
    <col min="3337" max="3337" width="38.88671875" style="219" customWidth="1"/>
    <col min="3338" max="3578" width="7.77734375" style="219"/>
    <col min="3579" max="3579" width="4.77734375" style="219" customWidth="1"/>
    <col min="3580" max="3580" width="3" style="219" customWidth="1"/>
    <col min="3581" max="3581" width="5" style="219" customWidth="1"/>
    <col min="3582" max="3582" width="32.109375" style="219" customWidth="1"/>
    <col min="3583" max="3583" width="9.88671875" style="219" customWidth="1"/>
    <col min="3584" max="3584" width="15" style="219" customWidth="1"/>
    <col min="3585" max="3585" width="14.21875" style="219" customWidth="1"/>
    <col min="3586" max="3586" width="36.109375" style="219" customWidth="1"/>
    <col min="3587" max="3587" width="8.21875" style="219" customWidth="1"/>
    <col min="3588" max="3588" width="15.109375" style="219" customWidth="1"/>
    <col min="3589" max="3589" width="7.33203125" style="219" bestFit="1" customWidth="1"/>
    <col min="3590" max="3590" width="18.77734375" style="219" bestFit="1" customWidth="1"/>
    <col min="3591" max="3591" width="8.109375" style="219" customWidth="1"/>
    <col min="3592" max="3592" width="16" style="219" customWidth="1"/>
    <col min="3593" max="3593" width="38.88671875" style="219" customWidth="1"/>
    <col min="3594" max="3834" width="7.77734375" style="219"/>
    <col min="3835" max="3835" width="4.77734375" style="219" customWidth="1"/>
    <col min="3836" max="3836" width="3" style="219" customWidth="1"/>
    <col min="3837" max="3837" width="5" style="219" customWidth="1"/>
    <col min="3838" max="3838" width="32.109375" style="219" customWidth="1"/>
    <col min="3839" max="3839" width="9.88671875" style="219" customWidth="1"/>
    <col min="3840" max="3840" width="15" style="219" customWidth="1"/>
    <col min="3841" max="3841" width="14.21875" style="219" customWidth="1"/>
    <col min="3842" max="3842" width="36.109375" style="219" customWidth="1"/>
    <col min="3843" max="3843" width="8.21875" style="219" customWidth="1"/>
    <col min="3844" max="3844" width="15.109375" style="219" customWidth="1"/>
    <col min="3845" max="3845" width="7.33203125" style="219" bestFit="1" customWidth="1"/>
    <col min="3846" max="3846" width="18.77734375" style="219" bestFit="1" customWidth="1"/>
    <col min="3847" max="3847" width="8.109375" style="219" customWidth="1"/>
    <col min="3848" max="3848" width="16" style="219" customWidth="1"/>
    <col min="3849" max="3849" width="38.88671875" style="219" customWidth="1"/>
    <col min="3850" max="4090" width="7.77734375" style="219"/>
    <col min="4091" max="4091" width="4.77734375" style="219" customWidth="1"/>
    <col min="4092" max="4092" width="3" style="219" customWidth="1"/>
    <col min="4093" max="4093" width="5" style="219" customWidth="1"/>
    <col min="4094" max="4094" width="32.109375" style="219" customWidth="1"/>
    <col min="4095" max="4095" width="9.88671875" style="219" customWidth="1"/>
    <col min="4096" max="4096" width="15" style="219" customWidth="1"/>
    <col min="4097" max="4097" width="14.21875" style="219" customWidth="1"/>
    <col min="4098" max="4098" width="36.109375" style="219" customWidth="1"/>
    <col min="4099" max="4099" width="8.21875" style="219" customWidth="1"/>
    <col min="4100" max="4100" width="15.109375" style="219" customWidth="1"/>
    <col min="4101" max="4101" width="7.33203125" style="219" bestFit="1" customWidth="1"/>
    <col min="4102" max="4102" width="18.77734375" style="219" bestFit="1" customWidth="1"/>
    <col min="4103" max="4103" width="8.109375" style="219" customWidth="1"/>
    <col min="4104" max="4104" width="16" style="219" customWidth="1"/>
    <col min="4105" max="4105" width="38.88671875" style="219" customWidth="1"/>
    <col min="4106" max="4346" width="7.77734375" style="219"/>
    <col min="4347" max="4347" width="4.77734375" style="219" customWidth="1"/>
    <col min="4348" max="4348" width="3" style="219" customWidth="1"/>
    <col min="4349" max="4349" width="5" style="219" customWidth="1"/>
    <col min="4350" max="4350" width="32.109375" style="219" customWidth="1"/>
    <col min="4351" max="4351" width="9.88671875" style="219" customWidth="1"/>
    <col min="4352" max="4352" width="15" style="219" customWidth="1"/>
    <col min="4353" max="4353" width="14.21875" style="219" customWidth="1"/>
    <col min="4354" max="4354" width="36.109375" style="219" customWidth="1"/>
    <col min="4355" max="4355" width="8.21875" style="219" customWidth="1"/>
    <col min="4356" max="4356" width="15.109375" style="219" customWidth="1"/>
    <col min="4357" max="4357" width="7.33203125" style="219" bestFit="1" customWidth="1"/>
    <col min="4358" max="4358" width="18.77734375" style="219" bestFit="1" customWidth="1"/>
    <col min="4359" max="4359" width="8.109375" style="219" customWidth="1"/>
    <col min="4360" max="4360" width="16" style="219" customWidth="1"/>
    <col min="4361" max="4361" width="38.88671875" style="219" customWidth="1"/>
    <col min="4362" max="4602" width="7.77734375" style="219"/>
    <col min="4603" max="4603" width="4.77734375" style="219" customWidth="1"/>
    <col min="4604" max="4604" width="3" style="219" customWidth="1"/>
    <col min="4605" max="4605" width="5" style="219" customWidth="1"/>
    <col min="4606" max="4606" width="32.109375" style="219" customWidth="1"/>
    <col min="4607" max="4607" width="9.88671875" style="219" customWidth="1"/>
    <col min="4608" max="4608" width="15" style="219" customWidth="1"/>
    <col min="4609" max="4609" width="14.21875" style="219" customWidth="1"/>
    <col min="4610" max="4610" width="36.109375" style="219" customWidth="1"/>
    <col min="4611" max="4611" width="8.21875" style="219" customWidth="1"/>
    <col min="4612" max="4612" width="15.109375" style="219" customWidth="1"/>
    <col min="4613" max="4613" width="7.33203125" style="219" bestFit="1" customWidth="1"/>
    <col min="4614" max="4614" width="18.77734375" style="219" bestFit="1" customWidth="1"/>
    <col min="4615" max="4615" width="8.109375" style="219" customWidth="1"/>
    <col min="4616" max="4616" width="16" style="219" customWidth="1"/>
    <col min="4617" max="4617" width="38.88671875" style="219" customWidth="1"/>
    <col min="4618" max="4858" width="7.77734375" style="219"/>
    <col min="4859" max="4859" width="4.77734375" style="219" customWidth="1"/>
    <col min="4860" max="4860" width="3" style="219" customWidth="1"/>
    <col min="4861" max="4861" width="5" style="219" customWidth="1"/>
    <col min="4862" max="4862" width="32.109375" style="219" customWidth="1"/>
    <col min="4863" max="4863" width="9.88671875" style="219" customWidth="1"/>
    <col min="4864" max="4864" width="15" style="219" customWidth="1"/>
    <col min="4865" max="4865" width="14.21875" style="219" customWidth="1"/>
    <col min="4866" max="4866" width="36.109375" style="219" customWidth="1"/>
    <col min="4867" max="4867" width="8.21875" style="219" customWidth="1"/>
    <col min="4868" max="4868" width="15.109375" style="219" customWidth="1"/>
    <col min="4869" max="4869" width="7.33203125" style="219" bestFit="1" customWidth="1"/>
    <col min="4870" max="4870" width="18.77734375" style="219" bestFit="1" customWidth="1"/>
    <col min="4871" max="4871" width="8.109375" style="219" customWidth="1"/>
    <col min="4872" max="4872" width="16" style="219" customWidth="1"/>
    <col min="4873" max="4873" width="38.88671875" style="219" customWidth="1"/>
    <col min="4874" max="5114" width="7.77734375" style="219"/>
    <col min="5115" max="5115" width="4.77734375" style="219" customWidth="1"/>
    <col min="5116" max="5116" width="3" style="219" customWidth="1"/>
    <col min="5117" max="5117" width="5" style="219" customWidth="1"/>
    <col min="5118" max="5118" width="32.109375" style="219" customWidth="1"/>
    <col min="5119" max="5119" width="9.88671875" style="219" customWidth="1"/>
    <col min="5120" max="5120" width="15" style="219" customWidth="1"/>
    <col min="5121" max="5121" width="14.21875" style="219" customWidth="1"/>
    <col min="5122" max="5122" width="36.109375" style="219" customWidth="1"/>
    <col min="5123" max="5123" width="8.21875" style="219" customWidth="1"/>
    <col min="5124" max="5124" width="15.109375" style="219" customWidth="1"/>
    <col min="5125" max="5125" width="7.33203125" style="219" bestFit="1" customWidth="1"/>
    <col min="5126" max="5126" width="18.77734375" style="219" bestFit="1" customWidth="1"/>
    <col min="5127" max="5127" width="8.109375" style="219" customWidth="1"/>
    <col min="5128" max="5128" width="16" style="219" customWidth="1"/>
    <col min="5129" max="5129" width="38.88671875" style="219" customWidth="1"/>
    <col min="5130" max="5370" width="7.77734375" style="219"/>
    <col min="5371" max="5371" width="4.77734375" style="219" customWidth="1"/>
    <col min="5372" max="5372" width="3" style="219" customWidth="1"/>
    <col min="5373" max="5373" width="5" style="219" customWidth="1"/>
    <col min="5374" max="5374" width="32.109375" style="219" customWidth="1"/>
    <col min="5375" max="5375" width="9.88671875" style="219" customWidth="1"/>
    <col min="5376" max="5376" width="15" style="219" customWidth="1"/>
    <col min="5377" max="5377" width="14.21875" style="219" customWidth="1"/>
    <col min="5378" max="5378" width="36.109375" style="219" customWidth="1"/>
    <col min="5379" max="5379" width="8.21875" style="219" customWidth="1"/>
    <col min="5380" max="5380" width="15.109375" style="219" customWidth="1"/>
    <col min="5381" max="5381" width="7.33203125" style="219" bestFit="1" customWidth="1"/>
    <col min="5382" max="5382" width="18.77734375" style="219" bestFit="1" customWidth="1"/>
    <col min="5383" max="5383" width="8.109375" style="219" customWidth="1"/>
    <col min="5384" max="5384" width="16" style="219" customWidth="1"/>
    <col min="5385" max="5385" width="38.88671875" style="219" customWidth="1"/>
    <col min="5386" max="5626" width="7.77734375" style="219"/>
    <col min="5627" max="5627" width="4.77734375" style="219" customWidth="1"/>
    <col min="5628" max="5628" width="3" style="219" customWidth="1"/>
    <col min="5629" max="5629" width="5" style="219" customWidth="1"/>
    <col min="5630" max="5630" width="32.109375" style="219" customWidth="1"/>
    <col min="5631" max="5631" width="9.88671875" style="219" customWidth="1"/>
    <col min="5632" max="5632" width="15" style="219" customWidth="1"/>
    <col min="5633" max="5633" width="14.21875" style="219" customWidth="1"/>
    <col min="5634" max="5634" width="36.109375" style="219" customWidth="1"/>
    <col min="5635" max="5635" width="8.21875" style="219" customWidth="1"/>
    <col min="5636" max="5636" width="15.109375" style="219" customWidth="1"/>
    <col min="5637" max="5637" width="7.33203125" style="219" bestFit="1" customWidth="1"/>
    <col min="5638" max="5638" width="18.77734375" style="219" bestFit="1" customWidth="1"/>
    <col min="5639" max="5639" width="8.109375" style="219" customWidth="1"/>
    <col min="5640" max="5640" width="16" style="219" customWidth="1"/>
    <col min="5641" max="5641" width="38.88671875" style="219" customWidth="1"/>
    <col min="5642" max="5882" width="7.77734375" style="219"/>
    <col min="5883" max="5883" width="4.77734375" style="219" customWidth="1"/>
    <col min="5884" max="5884" width="3" style="219" customWidth="1"/>
    <col min="5885" max="5885" width="5" style="219" customWidth="1"/>
    <col min="5886" max="5886" width="32.109375" style="219" customWidth="1"/>
    <col min="5887" max="5887" width="9.88671875" style="219" customWidth="1"/>
    <col min="5888" max="5888" width="15" style="219" customWidth="1"/>
    <col min="5889" max="5889" width="14.21875" style="219" customWidth="1"/>
    <col min="5890" max="5890" width="36.109375" style="219" customWidth="1"/>
    <col min="5891" max="5891" width="8.21875" style="219" customWidth="1"/>
    <col min="5892" max="5892" width="15.109375" style="219" customWidth="1"/>
    <col min="5893" max="5893" width="7.33203125" style="219" bestFit="1" customWidth="1"/>
    <col min="5894" max="5894" width="18.77734375" style="219" bestFit="1" customWidth="1"/>
    <col min="5895" max="5895" width="8.109375" style="219" customWidth="1"/>
    <col min="5896" max="5896" width="16" style="219" customWidth="1"/>
    <col min="5897" max="5897" width="38.88671875" style="219" customWidth="1"/>
    <col min="5898" max="6138" width="7.77734375" style="219"/>
    <col min="6139" max="6139" width="4.77734375" style="219" customWidth="1"/>
    <col min="6140" max="6140" width="3" style="219" customWidth="1"/>
    <col min="6141" max="6141" width="5" style="219" customWidth="1"/>
    <col min="6142" max="6142" width="32.109375" style="219" customWidth="1"/>
    <col min="6143" max="6143" width="9.88671875" style="219" customWidth="1"/>
    <col min="6144" max="6144" width="15" style="219" customWidth="1"/>
    <col min="6145" max="6145" width="14.21875" style="219" customWidth="1"/>
    <col min="6146" max="6146" width="36.109375" style="219" customWidth="1"/>
    <col min="6147" max="6147" width="8.21875" style="219" customWidth="1"/>
    <col min="6148" max="6148" width="15.109375" style="219" customWidth="1"/>
    <col min="6149" max="6149" width="7.33203125" style="219" bestFit="1" customWidth="1"/>
    <col min="6150" max="6150" width="18.77734375" style="219" bestFit="1" customWidth="1"/>
    <col min="6151" max="6151" width="8.109375" style="219" customWidth="1"/>
    <col min="6152" max="6152" width="16" style="219" customWidth="1"/>
    <col min="6153" max="6153" width="38.88671875" style="219" customWidth="1"/>
    <col min="6154" max="6394" width="7.77734375" style="219"/>
    <col min="6395" max="6395" width="4.77734375" style="219" customWidth="1"/>
    <col min="6396" max="6396" width="3" style="219" customWidth="1"/>
    <col min="6397" max="6397" width="5" style="219" customWidth="1"/>
    <col min="6398" max="6398" width="32.109375" style="219" customWidth="1"/>
    <col min="6399" max="6399" width="9.88671875" style="219" customWidth="1"/>
    <col min="6400" max="6400" width="15" style="219" customWidth="1"/>
    <col min="6401" max="6401" width="14.21875" style="219" customWidth="1"/>
    <col min="6402" max="6402" width="36.109375" style="219" customWidth="1"/>
    <col min="6403" max="6403" width="8.21875" style="219" customWidth="1"/>
    <col min="6404" max="6404" width="15.109375" style="219" customWidth="1"/>
    <col min="6405" max="6405" width="7.33203125" style="219" bestFit="1" customWidth="1"/>
    <col min="6406" max="6406" width="18.77734375" style="219" bestFit="1" customWidth="1"/>
    <col min="6407" max="6407" width="8.109375" style="219" customWidth="1"/>
    <col min="6408" max="6408" width="16" style="219" customWidth="1"/>
    <col min="6409" max="6409" width="38.88671875" style="219" customWidth="1"/>
    <col min="6410" max="6650" width="7.77734375" style="219"/>
    <col min="6651" max="6651" width="4.77734375" style="219" customWidth="1"/>
    <col min="6652" max="6652" width="3" style="219" customWidth="1"/>
    <col min="6653" max="6653" width="5" style="219" customWidth="1"/>
    <col min="6654" max="6654" width="32.109375" style="219" customWidth="1"/>
    <col min="6655" max="6655" width="9.88671875" style="219" customWidth="1"/>
    <col min="6656" max="6656" width="15" style="219" customWidth="1"/>
    <col min="6657" max="6657" width="14.21875" style="219" customWidth="1"/>
    <col min="6658" max="6658" width="36.109375" style="219" customWidth="1"/>
    <col min="6659" max="6659" width="8.21875" style="219" customWidth="1"/>
    <col min="6660" max="6660" width="15.109375" style="219" customWidth="1"/>
    <col min="6661" max="6661" width="7.33203125" style="219" bestFit="1" customWidth="1"/>
    <col min="6662" max="6662" width="18.77734375" style="219" bestFit="1" customWidth="1"/>
    <col min="6663" max="6663" width="8.109375" style="219" customWidth="1"/>
    <col min="6664" max="6664" width="16" style="219" customWidth="1"/>
    <col min="6665" max="6665" width="38.88671875" style="219" customWidth="1"/>
    <col min="6666" max="6906" width="7.77734375" style="219"/>
    <col min="6907" max="6907" width="4.77734375" style="219" customWidth="1"/>
    <col min="6908" max="6908" width="3" style="219" customWidth="1"/>
    <col min="6909" max="6909" width="5" style="219" customWidth="1"/>
    <col min="6910" max="6910" width="32.109375" style="219" customWidth="1"/>
    <col min="6911" max="6911" width="9.88671875" style="219" customWidth="1"/>
    <col min="6912" max="6912" width="15" style="219" customWidth="1"/>
    <col min="6913" max="6913" width="14.21875" style="219" customWidth="1"/>
    <col min="6914" max="6914" width="36.109375" style="219" customWidth="1"/>
    <col min="6915" max="6915" width="8.21875" style="219" customWidth="1"/>
    <col min="6916" max="6916" width="15.109375" style="219" customWidth="1"/>
    <col min="6917" max="6917" width="7.33203125" style="219" bestFit="1" customWidth="1"/>
    <col min="6918" max="6918" width="18.77734375" style="219" bestFit="1" customWidth="1"/>
    <col min="6919" max="6919" width="8.109375" style="219" customWidth="1"/>
    <col min="6920" max="6920" width="16" style="219" customWidth="1"/>
    <col min="6921" max="6921" width="38.88671875" style="219" customWidth="1"/>
    <col min="6922" max="7162" width="7.77734375" style="219"/>
    <col min="7163" max="7163" width="4.77734375" style="219" customWidth="1"/>
    <col min="7164" max="7164" width="3" style="219" customWidth="1"/>
    <col min="7165" max="7165" width="5" style="219" customWidth="1"/>
    <col min="7166" max="7166" width="32.109375" style="219" customWidth="1"/>
    <col min="7167" max="7167" width="9.88671875" style="219" customWidth="1"/>
    <col min="7168" max="7168" width="15" style="219" customWidth="1"/>
    <col min="7169" max="7169" width="14.21875" style="219" customWidth="1"/>
    <col min="7170" max="7170" width="36.109375" style="219" customWidth="1"/>
    <col min="7171" max="7171" width="8.21875" style="219" customWidth="1"/>
    <col min="7172" max="7172" width="15.109375" style="219" customWidth="1"/>
    <col min="7173" max="7173" width="7.33203125" style="219" bestFit="1" customWidth="1"/>
    <col min="7174" max="7174" width="18.77734375" style="219" bestFit="1" customWidth="1"/>
    <col min="7175" max="7175" width="8.109375" style="219" customWidth="1"/>
    <col min="7176" max="7176" width="16" style="219" customWidth="1"/>
    <col min="7177" max="7177" width="38.88671875" style="219" customWidth="1"/>
    <col min="7178" max="7418" width="7.77734375" style="219"/>
    <col min="7419" max="7419" width="4.77734375" style="219" customWidth="1"/>
    <col min="7420" max="7420" width="3" style="219" customWidth="1"/>
    <col min="7421" max="7421" width="5" style="219" customWidth="1"/>
    <col min="7422" max="7422" width="32.109375" style="219" customWidth="1"/>
    <col min="7423" max="7423" width="9.88671875" style="219" customWidth="1"/>
    <col min="7424" max="7424" width="15" style="219" customWidth="1"/>
    <col min="7425" max="7425" width="14.21875" style="219" customWidth="1"/>
    <col min="7426" max="7426" width="36.109375" style="219" customWidth="1"/>
    <col min="7427" max="7427" width="8.21875" style="219" customWidth="1"/>
    <col min="7428" max="7428" width="15.109375" style="219" customWidth="1"/>
    <col min="7429" max="7429" width="7.33203125" style="219" bestFit="1" customWidth="1"/>
    <col min="7430" max="7430" width="18.77734375" style="219" bestFit="1" customWidth="1"/>
    <col min="7431" max="7431" width="8.109375" style="219" customWidth="1"/>
    <col min="7432" max="7432" width="16" style="219" customWidth="1"/>
    <col min="7433" max="7433" width="38.88671875" style="219" customWidth="1"/>
    <col min="7434" max="7674" width="7.77734375" style="219"/>
    <col min="7675" max="7675" width="4.77734375" style="219" customWidth="1"/>
    <col min="7676" max="7676" width="3" style="219" customWidth="1"/>
    <col min="7677" max="7677" width="5" style="219" customWidth="1"/>
    <col min="7678" max="7678" width="32.109375" style="219" customWidth="1"/>
    <col min="7679" max="7679" width="9.88671875" style="219" customWidth="1"/>
    <col min="7680" max="7680" width="15" style="219" customWidth="1"/>
    <col min="7681" max="7681" width="14.21875" style="219" customWidth="1"/>
    <col min="7682" max="7682" width="36.109375" style="219" customWidth="1"/>
    <col min="7683" max="7683" width="8.21875" style="219" customWidth="1"/>
    <col min="7684" max="7684" width="15.109375" style="219" customWidth="1"/>
    <col min="7685" max="7685" width="7.33203125" style="219" bestFit="1" customWidth="1"/>
    <col min="7686" max="7686" width="18.77734375" style="219" bestFit="1" customWidth="1"/>
    <col min="7687" max="7687" width="8.109375" style="219" customWidth="1"/>
    <col min="7688" max="7688" width="16" style="219" customWidth="1"/>
    <col min="7689" max="7689" width="38.88671875" style="219" customWidth="1"/>
    <col min="7690" max="7930" width="7.77734375" style="219"/>
    <col min="7931" max="7931" width="4.77734375" style="219" customWidth="1"/>
    <col min="7932" max="7932" width="3" style="219" customWidth="1"/>
    <col min="7933" max="7933" width="5" style="219" customWidth="1"/>
    <col min="7934" max="7934" width="32.109375" style="219" customWidth="1"/>
    <col min="7935" max="7935" width="9.88671875" style="219" customWidth="1"/>
    <col min="7936" max="7936" width="15" style="219" customWidth="1"/>
    <col min="7937" max="7937" width="14.21875" style="219" customWidth="1"/>
    <col min="7938" max="7938" width="36.109375" style="219" customWidth="1"/>
    <col min="7939" max="7939" width="8.21875" style="219" customWidth="1"/>
    <col min="7940" max="7940" width="15.109375" style="219" customWidth="1"/>
    <col min="7941" max="7941" width="7.33203125" style="219" bestFit="1" customWidth="1"/>
    <col min="7942" max="7942" width="18.77734375" style="219" bestFit="1" customWidth="1"/>
    <col min="7943" max="7943" width="8.109375" style="219" customWidth="1"/>
    <col min="7944" max="7944" width="16" style="219" customWidth="1"/>
    <col min="7945" max="7945" width="38.88671875" style="219" customWidth="1"/>
    <col min="7946" max="8186" width="7.77734375" style="219"/>
    <col min="8187" max="8187" width="4.77734375" style="219" customWidth="1"/>
    <col min="8188" max="8188" width="3" style="219" customWidth="1"/>
    <col min="8189" max="8189" width="5" style="219" customWidth="1"/>
    <col min="8190" max="8190" width="32.109375" style="219" customWidth="1"/>
    <col min="8191" max="8191" width="9.88671875" style="219" customWidth="1"/>
    <col min="8192" max="8192" width="15" style="219" customWidth="1"/>
    <col min="8193" max="8193" width="14.21875" style="219" customWidth="1"/>
    <col min="8194" max="8194" width="36.109375" style="219" customWidth="1"/>
    <col min="8195" max="8195" width="8.21875" style="219" customWidth="1"/>
    <col min="8196" max="8196" width="15.109375" style="219" customWidth="1"/>
    <col min="8197" max="8197" width="7.33203125" style="219" bestFit="1" customWidth="1"/>
    <col min="8198" max="8198" width="18.77734375" style="219" bestFit="1" customWidth="1"/>
    <col min="8199" max="8199" width="8.109375" style="219" customWidth="1"/>
    <col min="8200" max="8200" width="16" style="219" customWidth="1"/>
    <col min="8201" max="8201" width="38.88671875" style="219" customWidth="1"/>
    <col min="8202" max="8442" width="7.77734375" style="219"/>
    <col min="8443" max="8443" width="4.77734375" style="219" customWidth="1"/>
    <col min="8444" max="8444" width="3" style="219" customWidth="1"/>
    <col min="8445" max="8445" width="5" style="219" customWidth="1"/>
    <col min="8446" max="8446" width="32.109375" style="219" customWidth="1"/>
    <col min="8447" max="8447" width="9.88671875" style="219" customWidth="1"/>
    <col min="8448" max="8448" width="15" style="219" customWidth="1"/>
    <col min="8449" max="8449" width="14.21875" style="219" customWidth="1"/>
    <col min="8450" max="8450" width="36.109375" style="219" customWidth="1"/>
    <col min="8451" max="8451" width="8.21875" style="219" customWidth="1"/>
    <col min="8452" max="8452" width="15.109375" style="219" customWidth="1"/>
    <col min="8453" max="8453" width="7.33203125" style="219" bestFit="1" customWidth="1"/>
    <col min="8454" max="8454" width="18.77734375" style="219" bestFit="1" customWidth="1"/>
    <col min="8455" max="8455" width="8.109375" style="219" customWidth="1"/>
    <col min="8456" max="8456" width="16" style="219" customWidth="1"/>
    <col min="8457" max="8457" width="38.88671875" style="219" customWidth="1"/>
    <col min="8458" max="8698" width="7.77734375" style="219"/>
    <col min="8699" max="8699" width="4.77734375" style="219" customWidth="1"/>
    <col min="8700" max="8700" width="3" style="219" customWidth="1"/>
    <col min="8701" max="8701" width="5" style="219" customWidth="1"/>
    <col min="8702" max="8702" width="32.109375" style="219" customWidth="1"/>
    <col min="8703" max="8703" width="9.88671875" style="219" customWidth="1"/>
    <col min="8704" max="8704" width="15" style="219" customWidth="1"/>
    <col min="8705" max="8705" width="14.21875" style="219" customWidth="1"/>
    <col min="8706" max="8706" width="36.109375" style="219" customWidth="1"/>
    <col min="8707" max="8707" width="8.21875" style="219" customWidth="1"/>
    <col min="8708" max="8708" width="15.109375" style="219" customWidth="1"/>
    <col min="8709" max="8709" width="7.33203125" style="219" bestFit="1" customWidth="1"/>
    <col min="8710" max="8710" width="18.77734375" style="219" bestFit="1" customWidth="1"/>
    <col min="8711" max="8711" width="8.109375" style="219" customWidth="1"/>
    <col min="8712" max="8712" width="16" style="219" customWidth="1"/>
    <col min="8713" max="8713" width="38.88671875" style="219" customWidth="1"/>
    <col min="8714" max="8954" width="7.77734375" style="219"/>
    <col min="8955" max="8955" width="4.77734375" style="219" customWidth="1"/>
    <col min="8956" max="8956" width="3" style="219" customWidth="1"/>
    <col min="8957" max="8957" width="5" style="219" customWidth="1"/>
    <col min="8958" max="8958" width="32.109375" style="219" customWidth="1"/>
    <col min="8959" max="8959" width="9.88671875" style="219" customWidth="1"/>
    <col min="8960" max="8960" width="15" style="219" customWidth="1"/>
    <col min="8961" max="8961" width="14.21875" style="219" customWidth="1"/>
    <col min="8962" max="8962" width="36.109375" style="219" customWidth="1"/>
    <col min="8963" max="8963" width="8.21875" style="219" customWidth="1"/>
    <col min="8964" max="8964" width="15.109375" style="219" customWidth="1"/>
    <col min="8965" max="8965" width="7.33203125" style="219" bestFit="1" customWidth="1"/>
    <col min="8966" max="8966" width="18.77734375" style="219" bestFit="1" customWidth="1"/>
    <col min="8967" max="8967" width="8.109375" style="219" customWidth="1"/>
    <col min="8968" max="8968" width="16" style="219" customWidth="1"/>
    <col min="8969" max="8969" width="38.88671875" style="219" customWidth="1"/>
    <col min="8970" max="9210" width="7.77734375" style="219"/>
    <col min="9211" max="9211" width="4.77734375" style="219" customWidth="1"/>
    <col min="9212" max="9212" width="3" style="219" customWidth="1"/>
    <col min="9213" max="9213" width="5" style="219" customWidth="1"/>
    <col min="9214" max="9214" width="32.109375" style="219" customWidth="1"/>
    <col min="9215" max="9215" width="9.88671875" style="219" customWidth="1"/>
    <col min="9216" max="9216" width="15" style="219" customWidth="1"/>
    <col min="9217" max="9217" width="14.21875" style="219" customWidth="1"/>
    <col min="9218" max="9218" width="36.109375" style="219" customWidth="1"/>
    <col min="9219" max="9219" width="8.21875" style="219" customWidth="1"/>
    <col min="9220" max="9220" width="15.109375" style="219" customWidth="1"/>
    <col min="9221" max="9221" width="7.33203125" style="219" bestFit="1" customWidth="1"/>
    <col min="9222" max="9222" width="18.77734375" style="219" bestFit="1" customWidth="1"/>
    <col min="9223" max="9223" width="8.109375" style="219" customWidth="1"/>
    <col min="9224" max="9224" width="16" style="219" customWidth="1"/>
    <col min="9225" max="9225" width="38.88671875" style="219" customWidth="1"/>
    <col min="9226" max="9466" width="7.77734375" style="219"/>
    <col min="9467" max="9467" width="4.77734375" style="219" customWidth="1"/>
    <col min="9468" max="9468" width="3" style="219" customWidth="1"/>
    <col min="9469" max="9469" width="5" style="219" customWidth="1"/>
    <col min="9470" max="9470" width="32.109375" style="219" customWidth="1"/>
    <col min="9471" max="9471" width="9.88671875" style="219" customWidth="1"/>
    <col min="9472" max="9472" width="15" style="219" customWidth="1"/>
    <col min="9473" max="9473" width="14.21875" style="219" customWidth="1"/>
    <col min="9474" max="9474" width="36.109375" style="219" customWidth="1"/>
    <col min="9475" max="9475" width="8.21875" style="219" customWidth="1"/>
    <col min="9476" max="9476" width="15.109375" style="219" customWidth="1"/>
    <col min="9477" max="9477" width="7.33203125" style="219" bestFit="1" customWidth="1"/>
    <col min="9478" max="9478" width="18.77734375" style="219" bestFit="1" customWidth="1"/>
    <col min="9479" max="9479" width="8.109375" style="219" customWidth="1"/>
    <col min="9480" max="9480" width="16" style="219" customWidth="1"/>
    <col min="9481" max="9481" width="38.88671875" style="219" customWidth="1"/>
    <col min="9482" max="9722" width="7.77734375" style="219"/>
    <col min="9723" max="9723" width="4.77734375" style="219" customWidth="1"/>
    <col min="9724" max="9724" width="3" style="219" customWidth="1"/>
    <col min="9725" max="9725" width="5" style="219" customWidth="1"/>
    <col min="9726" max="9726" width="32.109375" style="219" customWidth="1"/>
    <col min="9727" max="9727" width="9.88671875" style="219" customWidth="1"/>
    <col min="9728" max="9728" width="15" style="219" customWidth="1"/>
    <col min="9729" max="9729" width="14.21875" style="219" customWidth="1"/>
    <col min="9730" max="9730" width="36.109375" style="219" customWidth="1"/>
    <col min="9731" max="9731" width="8.21875" style="219" customWidth="1"/>
    <col min="9732" max="9732" width="15.109375" style="219" customWidth="1"/>
    <col min="9733" max="9733" width="7.33203125" style="219" bestFit="1" customWidth="1"/>
    <col min="9734" max="9734" width="18.77734375" style="219" bestFit="1" customWidth="1"/>
    <col min="9735" max="9735" width="8.109375" style="219" customWidth="1"/>
    <col min="9736" max="9736" width="16" style="219" customWidth="1"/>
    <col min="9737" max="9737" width="38.88671875" style="219" customWidth="1"/>
    <col min="9738" max="9978" width="7.77734375" style="219"/>
    <col min="9979" max="9979" width="4.77734375" style="219" customWidth="1"/>
    <col min="9980" max="9980" width="3" style="219" customWidth="1"/>
    <col min="9981" max="9981" width="5" style="219" customWidth="1"/>
    <col min="9982" max="9982" width="32.109375" style="219" customWidth="1"/>
    <col min="9983" max="9983" width="9.88671875" style="219" customWidth="1"/>
    <col min="9984" max="9984" width="15" style="219" customWidth="1"/>
    <col min="9985" max="9985" width="14.21875" style="219" customWidth="1"/>
    <col min="9986" max="9986" width="36.109375" style="219" customWidth="1"/>
    <col min="9987" max="9987" width="8.21875" style="219" customWidth="1"/>
    <col min="9988" max="9988" width="15.109375" style="219" customWidth="1"/>
    <col min="9989" max="9989" width="7.33203125" style="219" bestFit="1" customWidth="1"/>
    <col min="9990" max="9990" width="18.77734375" style="219" bestFit="1" customWidth="1"/>
    <col min="9991" max="9991" width="8.109375" style="219" customWidth="1"/>
    <col min="9992" max="9992" width="16" style="219" customWidth="1"/>
    <col min="9993" max="9993" width="38.88671875" style="219" customWidth="1"/>
    <col min="9994" max="10234" width="7.77734375" style="219"/>
    <col min="10235" max="10235" width="4.77734375" style="219" customWidth="1"/>
    <col min="10236" max="10236" width="3" style="219" customWidth="1"/>
    <col min="10237" max="10237" width="5" style="219" customWidth="1"/>
    <col min="10238" max="10238" width="32.109375" style="219" customWidth="1"/>
    <col min="10239" max="10239" width="9.88671875" style="219" customWidth="1"/>
    <col min="10240" max="10240" width="15" style="219" customWidth="1"/>
    <col min="10241" max="10241" width="14.21875" style="219" customWidth="1"/>
    <col min="10242" max="10242" width="36.109375" style="219" customWidth="1"/>
    <col min="10243" max="10243" width="8.21875" style="219" customWidth="1"/>
    <col min="10244" max="10244" width="15.109375" style="219" customWidth="1"/>
    <col min="10245" max="10245" width="7.33203125" style="219" bestFit="1" customWidth="1"/>
    <col min="10246" max="10246" width="18.77734375" style="219" bestFit="1" customWidth="1"/>
    <col min="10247" max="10247" width="8.109375" style="219" customWidth="1"/>
    <col min="10248" max="10248" width="16" style="219" customWidth="1"/>
    <col min="10249" max="10249" width="38.88671875" style="219" customWidth="1"/>
    <col min="10250" max="10490" width="7.77734375" style="219"/>
    <col min="10491" max="10491" width="4.77734375" style="219" customWidth="1"/>
    <col min="10492" max="10492" width="3" style="219" customWidth="1"/>
    <col min="10493" max="10493" width="5" style="219" customWidth="1"/>
    <col min="10494" max="10494" width="32.109375" style="219" customWidth="1"/>
    <col min="10495" max="10495" width="9.88671875" style="219" customWidth="1"/>
    <col min="10496" max="10496" width="15" style="219" customWidth="1"/>
    <col min="10497" max="10497" width="14.21875" style="219" customWidth="1"/>
    <col min="10498" max="10498" width="36.109375" style="219" customWidth="1"/>
    <col min="10499" max="10499" width="8.21875" style="219" customWidth="1"/>
    <col min="10500" max="10500" width="15.109375" style="219" customWidth="1"/>
    <col min="10501" max="10501" width="7.33203125" style="219" bestFit="1" customWidth="1"/>
    <col min="10502" max="10502" width="18.77734375" style="219" bestFit="1" customWidth="1"/>
    <col min="10503" max="10503" width="8.109375" style="219" customWidth="1"/>
    <col min="10504" max="10504" width="16" style="219" customWidth="1"/>
    <col min="10505" max="10505" width="38.88671875" style="219" customWidth="1"/>
    <col min="10506" max="10746" width="7.77734375" style="219"/>
    <col min="10747" max="10747" width="4.77734375" style="219" customWidth="1"/>
    <col min="10748" max="10748" width="3" style="219" customWidth="1"/>
    <col min="10749" max="10749" width="5" style="219" customWidth="1"/>
    <col min="10750" max="10750" width="32.109375" style="219" customWidth="1"/>
    <col min="10751" max="10751" width="9.88671875" style="219" customWidth="1"/>
    <col min="10752" max="10752" width="15" style="219" customWidth="1"/>
    <col min="10753" max="10753" width="14.21875" style="219" customWidth="1"/>
    <col min="10754" max="10754" width="36.109375" style="219" customWidth="1"/>
    <col min="10755" max="10755" width="8.21875" style="219" customWidth="1"/>
    <col min="10756" max="10756" width="15.109375" style="219" customWidth="1"/>
    <col min="10757" max="10757" width="7.33203125" style="219" bestFit="1" customWidth="1"/>
    <col min="10758" max="10758" width="18.77734375" style="219" bestFit="1" customWidth="1"/>
    <col min="10759" max="10759" width="8.109375" style="219" customWidth="1"/>
    <col min="10760" max="10760" width="16" style="219" customWidth="1"/>
    <col min="10761" max="10761" width="38.88671875" style="219" customWidth="1"/>
    <col min="10762" max="11002" width="7.77734375" style="219"/>
    <col min="11003" max="11003" width="4.77734375" style="219" customWidth="1"/>
    <col min="11004" max="11004" width="3" style="219" customWidth="1"/>
    <col min="11005" max="11005" width="5" style="219" customWidth="1"/>
    <col min="11006" max="11006" width="32.109375" style="219" customWidth="1"/>
    <col min="11007" max="11007" width="9.88671875" style="219" customWidth="1"/>
    <col min="11008" max="11008" width="15" style="219" customWidth="1"/>
    <col min="11009" max="11009" width="14.21875" style="219" customWidth="1"/>
    <col min="11010" max="11010" width="36.109375" style="219" customWidth="1"/>
    <col min="11011" max="11011" width="8.21875" style="219" customWidth="1"/>
    <col min="11012" max="11012" width="15.109375" style="219" customWidth="1"/>
    <col min="11013" max="11013" width="7.33203125" style="219" bestFit="1" customWidth="1"/>
    <col min="11014" max="11014" width="18.77734375" style="219" bestFit="1" customWidth="1"/>
    <col min="11015" max="11015" width="8.109375" style="219" customWidth="1"/>
    <col min="11016" max="11016" width="16" style="219" customWidth="1"/>
    <col min="11017" max="11017" width="38.88671875" style="219" customWidth="1"/>
    <col min="11018" max="11258" width="7.77734375" style="219"/>
    <col min="11259" max="11259" width="4.77734375" style="219" customWidth="1"/>
    <col min="11260" max="11260" width="3" style="219" customWidth="1"/>
    <col min="11261" max="11261" width="5" style="219" customWidth="1"/>
    <col min="11262" max="11262" width="32.109375" style="219" customWidth="1"/>
    <col min="11263" max="11263" width="9.88671875" style="219" customWidth="1"/>
    <col min="11264" max="11264" width="15" style="219" customWidth="1"/>
    <col min="11265" max="11265" width="14.21875" style="219" customWidth="1"/>
    <col min="11266" max="11266" width="36.109375" style="219" customWidth="1"/>
    <col min="11267" max="11267" width="8.21875" style="219" customWidth="1"/>
    <col min="11268" max="11268" width="15.109375" style="219" customWidth="1"/>
    <col min="11269" max="11269" width="7.33203125" style="219" bestFit="1" customWidth="1"/>
    <col min="11270" max="11270" width="18.77734375" style="219" bestFit="1" customWidth="1"/>
    <col min="11271" max="11271" width="8.109375" style="219" customWidth="1"/>
    <col min="11272" max="11272" width="16" style="219" customWidth="1"/>
    <col min="11273" max="11273" width="38.88671875" style="219" customWidth="1"/>
    <col min="11274" max="11514" width="7.77734375" style="219"/>
    <col min="11515" max="11515" width="4.77734375" style="219" customWidth="1"/>
    <col min="11516" max="11516" width="3" style="219" customWidth="1"/>
    <col min="11517" max="11517" width="5" style="219" customWidth="1"/>
    <col min="11518" max="11518" width="32.109375" style="219" customWidth="1"/>
    <col min="11519" max="11519" width="9.88671875" style="219" customWidth="1"/>
    <col min="11520" max="11520" width="15" style="219" customWidth="1"/>
    <col min="11521" max="11521" width="14.21875" style="219" customWidth="1"/>
    <col min="11522" max="11522" width="36.109375" style="219" customWidth="1"/>
    <col min="11523" max="11523" width="8.21875" style="219" customWidth="1"/>
    <col min="11524" max="11524" width="15.109375" style="219" customWidth="1"/>
    <col min="11525" max="11525" width="7.33203125" style="219" bestFit="1" customWidth="1"/>
    <col min="11526" max="11526" width="18.77734375" style="219" bestFit="1" customWidth="1"/>
    <col min="11527" max="11527" width="8.109375" style="219" customWidth="1"/>
    <col min="11528" max="11528" width="16" style="219" customWidth="1"/>
    <col min="11529" max="11529" width="38.88671875" style="219" customWidth="1"/>
    <col min="11530" max="11770" width="7.77734375" style="219"/>
    <col min="11771" max="11771" width="4.77734375" style="219" customWidth="1"/>
    <col min="11772" max="11772" width="3" style="219" customWidth="1"/>
    <col min="11773" max="11773" width="5" style="219" customWidth="1"/>
    <col min="11774" max="11774" width="32.109375" style="219" customWidth="1"/>
    <col min="11775" max="11775" width="9.88671875" style="219" customWidth="1"/>
    <col min="11776" max="11776" width="15" style="219" customWidth="1"/>
    <col min="11777" max="11777" width="14.21875" style="219" customWidth="1"/>
    <col min="11778" max="11778" width="36.109375" style="219" customWidth="1"/>
    <col min="11779" max="11779" width="8.21875" style="219" customWidth="1"/>
    <col min="11780" max="11780" width="15.109375" style="219" customWidth="1"/>
    <col min="11781" max="11781" width="7.33203125" style="219" bestFit="1" customWidth="1"/>
    <col min="11782" max="11782" width="18.77734375" style="219" bestFit="1" customWidth="1"/>
    <col min="11783" max="11783" width="8.109375" style="219" customWidth="1"/>
    <col min="11784" max="11784" width="16" style="219" customWidth="1"/>
    <col min="11785" max="11785" width="38.88671875" style="219" customWidth="1"/>
    <col min="11786" max="12026" width="7.77734375" style="219"/>
    <col min="12027" max="12027" width="4.77734375" style="219" customWidth="1"/>
    <col min="12028" max="12028" width="3" style="219" customWidth="1"/>
    <col min="12029" max="12029" width="5" style="219" customWidth="1"/>
    <col min="12030" max="12030" width="32.109375" style="219" customWidth="1"/>
    <col min="12031" max="12031" width="9.88671875" style="219" customWidth="1"/>
    <col min="12032" max="12032" width="15" style="219" customWidth="1"/>
    <col min="12033" max="12033" width="14.21875" style="219" customWidth="1"/>
    <col min="12034" max="12034" width="36.109375" style="219" customWidth="1"/>
    <col min="12035" max="12035" width="8.21875" style="219" customWidth="1"/>
    <col min="12036" max="12036" width="15.109375" style="219" customWidth="1"/>
    <col min="12037" max="12037" width="7.33203125" style="219" bestFit="1" customWidth="1"/>
    <col min="12038" max="12038" width="18.77734375" style="219" bestFit="1" customWidth="1"/>
    <col min="12039" max="12039" width="8.109375" style="219" customWidth="1"/>
    <col min="12040" max="12040" width="16" style="219" customWidth="1"/>
    <col min="12041" max="12041" width="38.88671875" style="219" customWidth="1"/>
    <col min="12042" max="12282" width="7.77734375" style="219"/>
    <col min="12283" max="12283" width="4.77734375" style="219" customWidth="1"/>
    <col min="12284" max="12284" width="3" style="219" customWidth="1"/>
    <col min="12285" max="12285" width="5" style="219" customWidth="1"/>
    <col min="12286" max="12286" width="32.109375" style="219" customWidth="1"/>
    <col min="12287" max="12287" width="9.88671875" style="219" customWidth="1"/>
    <col min="12288" max="12288" width="15" style="219" customWidth="1"/>
    <col min="12289" max="12289" width="14.21875" style="219" customWidth="1"/>
    <col min="12290" max="12290" width="36.109375" style="219" customWidth="1"/>
    <col min="12291" max="12291" width="8.21875" style="219" customWidth="1"/>
    <col min="12292" max="12292" width="15.109375" style="219" customWidth="1"/>
    <col min="12293" max="12293" width="7.33203125" style="219" bestFit="1" customWidth="1"/>
    <col min="12294" max="12294" width="18.77734375" style="219" bestFit="1" customWidth="1"/>
    <col min="12295" max="12295" width="8.109375" style="219" customWidth="1"/>
    <col min="12296" max="12296" width="16" style="219" customWidth="1"/>
    <col min="12297" max="12297" width="38.88671875" style="219" customWidth="1"/>
    <col min="12298" max="12538" width="7.77734375" style="219"/>
    <col min="12539" max="12539" width="4.77734375" style="219" customWidth="1"/>
    <col min="12540" max="12540" width="3" style="219" customWidth="1"/>
    <col min="12541" max="12541" width="5" style="219" customWidth="1"/>
    <col min="12542" max="12542" width="32.109375" style="219" customWidth="1"/>
    <col min="12543" max="12543" width="9.88671875" style="219" customWidth="1"/>
    <col min="12544" max="12544" width="15" style="219" customWidth="1"/>
    <col min="12545" max="12545" width="14.21875" style="219" customWidth="1"/>
    <col min="12546" max="12546" width="36.109375" style="219" customWidth="1"/>
    <col min="12547" max="12547" width="8.21875" style="219" customWidth="1"/>
    <col min="12548" max="12548" width="15.109375" style="219" customWidth="1"/>
    <col min="12549" max="12549" width="7.33203125" style="219" bestFit="1" customWidth="1"/>
    <col min="12550" max="12550" width="18.77734375" style="219" bestFit="1" customWidth="1"/>
    <col min="12551" max="12551" width="8.109375" style="219" customWidth="1"/>
    <col min="12552" max="12552" width="16" style="219" customWidth="1"/>
    <col min="12553" max="12553" width="38.88671875" style="219" customWidth="1"/>
    <col min="12554" max="12794" width="7.77734375" style="219"/>
    <col min="12795" max="12795" width="4.77734375" style="219" customWidth="1"/>
    <col min="12796" max="12796" width="3" style="219" customWidth="1"/>
    <col min="12797" max="12797" width="5" style="219" customWidth="1"/>
    <col min="12798" max="12798" width="32.109375" style="219" customWidth="1"/>
    <col min="12799" max="12799" width="9.88671875" style="219" customWidth="1"/>
    <col min="12800" max="12800" width="15" style="219" customWidth="1"/>
    <col min="12801" max="12801" width="14.21875" style="219" customWidth="1"/>
    <col min="12802" max="12802" width="36.109375" style="219" customWidth="1"/>
    <col min="12803" max="12803" width="8.21875" style="219" customWidth="1"/>
    <col min="12804" max="12804" width="15.109375" style="219" customWidth="1"/>
    <col min="12805" max="12805" width="7.33203125" style="219" bestFit="1" customWidth="1"/>
    <col min="12806" max="12806" width="18.77734375" style="219" bestFit="1" customWidth="1"/>
    <col min="12807" max="12807" width="8.109375" style="219" customWidth="1"/>
    <col min="12808" max="12808" width="16" style="219" customWidth="1"/>
    <col min="12809" max="12809" width="38.88671875" style="219" customWidth="1"/>
    <col min="12810" max="13050" width="7.77734375" style="219"/>
    <col min="13051" max="13051" width="4.77734375" style="219" customWidth="1"/>
    <col min="13052" max="13052" width="3" style="219" customWidth="1"/>
    <col min="13053" max="13053" width="5" style="219" customWidth="1"/>
    <col min="13054" max="13054" width="32.109375" style="219" customWidth="1"/>
    <col min="13055" max="13055" width="9.88671875" style="219" customWidth="1"/>
    <col min="13056" max="13056" width="15" style="219" customWidth="1"/>
    <col min="13057" max="13057" width="14.21875" style="219" customWidth="1"/>
    <col min="13058" max="13058" width="36.109375" style="219" customWidth="1"/>
    <col min="13059" max="13059" width="8.21875" style="219" customWidth="1"/>
    <col min="13060" max="13060" width="15.109375" style="219" customWidth="1"/>
    <col min="13061" max="13061" width="7.33203125" style="219" bestFit="1" customWidth="1"/>
    <col min="13062" max="13062" width="18.77734375" style="219" bestFit="1" customWidth="1"/>
    <col min="13063" max="13063" width="8.109375" style="219" customWidth="1"/>
    <col min="13064" max="13064" width="16" style="219" customWidth="1"/>
    <col min="13065" max="13065" width="38.88671875" style="219" customWidth="1"/>
    <col min="13066" max="13306" width="7.77734375" style="219"/>
    <col min="13307" max="13307" width="4.77734375" style="219" customWidth="1"/>
    <col min="13308" max="13308" width="3" style="219" customWidth="1"/>
    <col min="13309" max="13309" width="5" style="219" customWidth="1"/>
    <col min="13310" max="13310" width="32.109375" style="219" customWidth="1"/>
    <col min="13311" max="13311" width="9.88671875" style="219" customWidth="1"/>
    <col min="13312" max="13312" width="15" style="219" customWidth="1"/>
    <col min="13313" max="13313" width="14.21875" style="219" customWidth="1"/>
    <col min="13314" max="13314" width="36.109375" style="219" customWidth="1"/>
    <col min="13315" max="13315" width="8.21875" style="219" customWidth="1"/>
    <col min="13316" max="13316" width="15.109375" style="219" customWidth="1"/>
    <col min="13317" max="13317" width="7.33203125" style="219" bestFit="1" customWidth="1"/>
    <col min="13318" max="13318" width="18.77734375" style="219" bestFit="1" customWidth="1"/>
    <col min="13319" max="13319" width="8.109375" style="219" customWidth="1"/>
    <col min="13320" max="13320" width="16" style="219" customWidth="1"/>
    <col min="13321" max="13321" width="38.88671875" style="219" customWidth="1"/>
    <col min="13322" max="13562" width="7.77734375" style="219"/>
    <col min="13563" max="13563" width="4.77734375" style="219" customWidth="1"/>
    <col min="13564" max="13564" width="3" style="219" customWidth="1"/>
    <col min="13565" max="13565" width="5" style="219" customWidth="1"/>
    <col min="13566" max="13566" width="32.109375" style="219" customWidth="1"/>
    <col min="13567" max="13567" width="9.88671875" style="219" customWidth="1"/>
    <col min="13568" max="13568" width="15" style="219" customWidth="1"/>
    <col min="13569" max="13569" width="14.21875" style="219" customWidth="1"/>
    <col min="13570" max="13570" width="36.109375" style="219" customWidth="1"/>
    <col min="13571" max="13571" width="8.21875" style="219" customWidth="1"/>
    <col min="13572" max="13572" width="15.109375" style="219" customWidth="1"/>
    <col min="13573" max="13573" width="7.33203125" style="219" bestFit="1" customWidth="1"/>
    <col min="13574" max="13574" width="18.77734375" style="219" bestFit="1" customWidth="1"/>
    <col min="13575" max="13575" width="8.109375" style="219" customWidth="1"/>
    <col min="13576" max="13576" width="16" style="219" customWidth="1"/>
    <col min="13577" max="13577" width="38.88671875" style="219" customWidth="1"/>
    <col min="13578" max="13818" width="7.77734375" style="219"/>
    <col min="13819" max="13819" width="4.77734375" style="219" customWidth="1"/>
    <col min="13820" max="13820" width="3" style="219" customWidth="1"/>
    <col min="13821" max="13821" width="5" style="219" customWidth="1"/>
    <col min="13822" max="13822" width="32.109375" style="219" customWidth="1"/>
    <col min="13823" max="13823" width="9.88671875" style="219" customWidth="1"/>
    <col min="13824" max="13824" width="15" style="219" customWidth="1"/>
    <col min="13825" max="13825" width="14.21875" style="219" customWidth="1"/>
    <col min="13826" max="13826" width="36.109375" style="219" customWidth="1"/>
    <col min="13827" max="13827" width="8.21875" style="219" customWidth="1"/>
    <col min="13828" max="13828" width="15.109375" style="219" customWidth="1"/>
    <col min="13829" max="13829" width="7.33203125" style="219" bestFit="1" customWidth="1"/>
    <col min="13830" max="13830" width="18.77734375" style="219" bestFit="1" customWidth="1"/>
    <col min="13831" max="13831" width="8.109375" style="219" customWidth="1"/>
    <col min="13832" max="13832" width="16" style="219" customWidth="1"/>
    <col min="13833" max="13833" width="38.88671875" style="219" customWidth="1"/>
    <col min="13834" max="14074" width="7.77734375" style="219"/>
    <col min="14075" max="14075" width="4.77734375" style="219" customWidth="1"/>
    <col min="14076" max="14076" width="3" style="219" customWidth="1"/>
    <col min="14077" max="14077" width="5" style="219" customWidth="1"/>
    <col min="14078" max="14078" width="32.109375" style="219" customWidth="1"/>
    <col min="14079" max="14079" width="9.88671875" style="219" customWidth="1"/>
    <col min="14080" max="14080" width="15" style="219" customWidth="1"/>
    <col min="14081" max="14081" width="14.21875" style="219" customWidth="1"/>
    <col min="14082" max="14082" width="36.109375" style="219" customWidth="1"/>
    <col min="14083" max="14083" width="8.21875" style="219" customWidth="1"/>
    <col min="14084" max="14084" width="15.109375" style="219" customWidth="1"/>
    <col min="14085" max="14085" width="7.33203125" style="219" bestFit="1" customWidth="1"/>
    <col min="14086" max="14086" width="18.77734375" style="219" bestFit="1" customWidth="1"/>
    <col min="14087" max="14087" width="8.109375" style="219" customWidth="1"/>
    <col min="14088" max="14088" width="16" style="219" customWidth="1"/>
    <col min="14089" max="14089" width="38.88671875" style="219" customWidth="1"/>
    <col min="14090" max="14330" width="7.77734375" style="219"/>
    <col min="14331" max="14331" width="4.77734375" style="219" customWidth="1"/>
    <col min="14332" max="14332" width="3" style="219" customWidth="1"/>
    <col min="14333" max="14333" width="5" style="219" customWidth="1"/>
    <col min="14334" max="14334" width="32.109375" style="219" customWidth="1"/>
    <col min="14335" max="14335" width="9.88671875" style="219" customWidth="1"/>
    <col min="14336" max="14336" width="15" style="219" customWidth="1"/>
    <col min="14337" max="14337" width="14.21875" style="219" customWidth="1"/>
    <col min="14338" max="14338" width="36.109375" style="219" customWidth="1"/>
    <col min="14339" max="14339" width="8.21875" style="219" customWidth="1"/>
    <col min="14340" max="14340" width="15.109375" style="219" customWidth="1"/>
    <col min="14341" max="14341" width="7.33203125" style="219" bestFit="1" customWidth="1"/>
    <col min="14342" max="14342" width="18.77734375" style="219" bestFit="1" customWidth="1"/>
    <col min="14343" max="14343" width="8.109375" style="219" customWidth="1"/>
    <col min="14344" max="14344" width="16" style="219" customWidth="1"/>
    <col min="14345" max="14345" width="38.88671875" style="219" customWidth="1"/>
    <col min="14346" max="14586" width="7.77734375" style="219"/>
    <col min="14587" max="14587" width="4.77734375" style="219" customWidth="1"/>
    <col min="14588" max="14588" width="3" style="219" customWidth="1"/>
    <col min="14589" max="14589" width="5" style="219" customWidth="1"/>
    <col min="14590" max="14590" width="32.109375" style="219" customWidth="1"/>
    <col min="14591" max="14591" width="9.88671875" style="219" customWidth="1"/>
    <col min="14592" max="14592" width="15" style="219" customWidth="1"/>
    <col min="14593" max="14593" width="14.21875" style="219" customWidth="1"/>
    <col min="14594" max="14594" width="36.109375" style="219" customWidth="1"/>
    <col min="14595" max="14595" width="8.21875" style="219" customWidth="1"/>
    <col min="14596" max="14596" width="15.109375" style="219" customWidth="1"/>
    <col min="14597" max="14597" width="7.33203125" style="219" bestFit="1" customWidth="1"/>
    <col min="14598" max="14598" width="18.77734375" style="219" bestFit="1" customWidth="1"/>
    <col min="14599" max="14599" width="8.109375" style="219" customWidth="1"/>
    <col min="14600" max="14600" width="16" style="219" customWidth="1"/>
    <col min="14601" max="14601" width="38.88671875" style="219" customWidth="1"/>
    <col min="14602" max="14842" width="7.77734375" style="219"/>
    <col min="14843" max="14843" width="4.77734375" style="219" customWidth="1"/>
    <col min="14844" max="14844" width="3" style="219" customWidth="1"/>
    <col min="14845" max="14845" width="5" style="219" customWidth="1"/>
    <col min="14846" max="14846" width="32.109375" style="219" customWidth="1"/>
    <col min="14847" max="14847" width="9.88671875" style="219" customWidth="1"/>
    <col min="14848" max="14848" width="15" style="219" customWidth="1"/>
    <col min="14849" max="14849" width="14.21875" style="219" customWidth="1"/>
    <col min="14850" max="14850" width="36.109375" style="219" customWidth="1"/>
    <col min="14851" max="14851" width="8.21875" style="219" customWidth="1"/>
    <col min="14852" max="14852" width="15.109375" style="219" customWidth="1"/>
    <col min="14853" max="14853" width="7.33203125" style="219" bestFit="1" customWidth="1"/>
    <col min="14854" max="14854" width="18.77734375" style="219" bestFit="1" customWidth="1"/>
    <col min="14855" max="14855" width="8.109375" style="219" customWidth="1"/>
    <col min="14856" max="14856" width="16" style="219" customWidth="1"/>
    <col min="14857" max="14857" width="38.88671875" style="219" customWidth="1"/>
    <col min="14858" max="15098" width="7.77734375" style="219"/>
    <col min="15099" max="15099" width="4.77734375" style="219" customWidth="1"/>
    <col min="15100" max="15100" width="3" style="219" customWidth="1"/>
    <col min="15101" max="15101" width="5" style="219" customWidth="1"/>
    <col min="15102" max="15102" width="32.109375" style="219" customWidth="1"/>
    <col min="15103" max="15103" width="9.88671875" style="219" customWidth="1"/>
    <col min="15104" max="15104" width="15" style="219" customWidth="1"/>
    <col min="15105" max="15105" width="14.21875" style="219" customWidth="1"/>
    <col min="15106" max="15106" width="36.109375" style="219" customWidth="1"/>
    <col min="15107" max="15107" width="8.21875" style="219" customWidth="1"/>
    <col min="15108" max="15108" width="15.109375" style="219" customWidth="1"/>
    <col min="15109" max="15109" width="7.33203125" style="219" bestFit="1" customWidth="1"/>
    <col min="15110" max="15110" width="18.77734375" style="219" bestFit="1" customWidth="1"/>
    <col min="15111" max="15111" width="8.109375" style="219" customWidth="1"/>
    <col min="15112" max="15112" width="16" style="219" customWidth="1"/>
    <col min="15113" max="15113" width="38.88671875" style="219" customWidth="1"/>
    <col min="15114" max="15354" width="7.77734375" style="219"/>
    <col min="15355" max="15355" width="4.77734375" style="219" customWidth="1"/>
    <col min="15356" max="15356" width="3" style="219" customWidth="1"/>
    <col min="15357" max="15357" width="5" style="219" customWidth="1"/>
    <col min="15358" max="15358" width="32.109375" style="219" customWidth="1"/>
    <col min="15359" max="15359" width="9.88671875" style="219" customWidth="1"/>
    <col min="15360" max="15360" width="15" style="219" customWidth="1"/>
    <col min="15361" max="15361" width="14.21875" style="219" customWidth="1"/>
    <col min="15362" max="15362" width="36.109375" style="219" customWidth="1"/>
    <col min="15363" max="15363" width="8.21875" style="219" customWidth="1"/>
    <col min="15364" max="15364" width="15.109375" style="219" customWidth="1"/>
    <col min="15365" max="15365" width="7.33203125" style="219" bestFit="1" customWidth="1"/>
    <col min="15366" max="15366" width="18.77734375" style="219" bestFit="1" customWidth="1"/>
    <col min="15367" max="15367" width="8.109375" style="219" customWidth="1"/>
    <col min="15368" max="15368" width="16" style="219" customWidth="1"/>
    <col min="15369" max="15369" width="38.88671875" style="219" customWidth="1"/>
    <col min="15370" max="15610" width="7.77734375" style="219"/>
    <col min="15611" max="15611" width="4.77734375" style="219" customWidth="1"/>
    <col min="15612" max="15612" width="3" style="219" customWidth="1"/>
    <col min="15613" max="15613" width="5" style="219" customWidth="1"/>
    <col min="15614" max="15614" width="32.109375" style="219" customWidth="1"/>
    <col min="15615" max="15615" width="9.88671875" style="219" customWidth="1"/>
    <col min="15616" max="15616" width="15" style="219" customWidth="1"/>
    <col min="15617" max="15617" width="14.21875" style="219" customWidth="1"/>
    <col min="15618" max="15618" width="36.109375" style="219" customWidth="1"/>
    <col min="15619" max="15619" width="8.21875" style="219" customWidth="1"/>
    <col min="15620" max="15620" width="15.109375" style="219" customWidth="1"/>
    <col min="15621" max="15621" width="7.33203125" style="219" bestFit="1" customWidth="1"/>
    <col min="15622" max="15622" width="18.77734375" style="219" bestFit="1" customWidth="1"/>
    <col min="15623" max="15623" width="8.109375" style="219" customWidth="1"/>
    <col min="15624" max="15624" width="16" style="219" customWidth="1"/>
    <col min="15625" max="15625" width="38.88671875" style="219" customWidth="1"/>
    <col min="15626" max="15866" width="7.77734375" style="219"/>
    <col min="15867" max="15867" width="4.77734375" style="219" customWidth="1"/>
    <col min="15868" max="15868" width="3" style="219" customWidth="1"/>
    <col min="15869" max="15869" width="5" style="219" customWidth="1"/>
    <col min="15870" max="15870" width="32.109375" style="219" customWidth="1"/>
    <col min="15871" max="15871" width="9.88671875" style="219" customWidth="1"/>
    <col min="15872" max="15872" width="15" style="219" customWidth="1"/>
    <col min="15873" max="15873" width="14.21875" style="219" customWidth="1"/>
    <col min="15874" max="15874" width="36.109375" style="219" customWidth="1"/>
    <col min="15875" max="15875" width="8.21875" style="219" customWidth="1"/>
    <col min="15876" max="15876" width="15.109375" style="219" customWidth="1"/>
    <col min="15877" max="15877" width="7.33203125" style="219" bestFit="1" customWidth="1"/>
    <col min="15878" max="15878" width="18.77734375" style="219" bestFit="1" customWidth="1"/>
    <col min="15879" max="15879" width="8.109375" style="219" customWidth="1"/>
    <col min="15880" max="15880" width="16" style="219" customWidth="1"/>
    <col min="15881" max="15881" width="38.88671875" style="219" customWidth="1"/>
    <col min="15882" max="16122" width="7.77734375" style="219"/>
    <col min="16123" max="16123" width="4.77734375" style="219" customWidth="1"/>
    <col min="16124" max="16124" width="3" style="219" customWidth="1"/>
    <col min="16125" max="16125" width="5" style="219" customWidth="1"/>
    <col min="16126" max="16126" width="32.109375" style="219" customWidth="1"/>
    <col min="16127" max="16127" width="9.88671875" style="219" customWidth="1"/>
    <col min="16128" max="16128" width="15" style="219" customWidth="1"/>
    <col min="16129" max="16129" width="14.21875" style="219" customWidth="1"/>
    <col min="16130" max="16130" width="36.109375" style="219" customWidth="1"/>
    <col min="16131" max="16131" width="8.21875" style="219" customWidth="1"/>
    <col min="16132" max="16132" width="15.109375" style="219" customWidth="1"/>
    <col min="16133" max="16133" width="7.33203125" style="219" bestFit="1" customWidth="1"/>
    <col min="16134" max="16134" width="18.77734375" style="219" bestFit="1" customWidth="1"/>
    <col min="16135" max="16135" width="8.109375" style="219" customWidth="1"/>
    <col min="16136" max="16136" width="16" style="219" customWidth="1"/>
    <col min="16137" max="16137" width="38.88671875" style="219" customWidth="1"/>
    <col min="16138" max="16384" width="7.77734375" style="219"/>
  </cols>
  <sheetData>
    <row r="1" spans="1:26" ht="21.6" thickBot="1" x14ac:dyDescent="0.3">
      <c r="A1" s="1386" t="s">
        <v>829</v>
      </c>
      <c r="B1" s="1387"/>
      <c r="C1" s="1388"/>
      <c r="D1" s="1389"/>
      <c r="E1" s="1389"/>
      <c r="F1" s="1389"/>
      <c r="G1" s="1389"/>
      <c r="H1" s="1389"/>
      <c r="I1" s="1389"/>
      <c r="J1" s="1389"/>
      <c r="K1" s="1390"/>
      <c r="L1" s="1375" t="s">
        <v>2154</v>
      </c>
      <c r="M1" s="1376"/>
      <c r="N1" s="1376"/>
      <c r="O1" s="1376"/>
      <c r="P1" s="1376"/>
      <c r="Q1" s="1376"/>
      <c r="R1" s="1376"/>
      <c r="S1" s="1376"/>
      <c r="T1" s="1376"/>
      <c r="U1" s="1376"/>
      <c r="V1" s="1376"/>
      <c r="W1" s="1377"/>
      <c r="X1" s="764"/>
      <c r="Y1" s="764"/>
      <c r="Z1" s="692"/>
    </row>
    <row r="2" spans="1:26" s="220" customFormat="1" ht="66" customHeight="1" thickBot="1" x14ac:dyDescent="0.25">
      <c r="A2" s="1534" t="s">
        <v>804</v>
      </c>
      <c r="B2" s="1535"/>
      <c r="C2" s="644" t="s">
        <v>805</v>
      </c>
      <c r="D2" s="644" t="s">
        <v>830</v>
      </c>
      <c r="E2" s="429" t="s">
        <v>831</v>
      </c>
      <c r="F2" s="693" t="s">
        <v>806</v>
      </c>
      <c r="G2" s="694" t="s">
        <v>807</v>
      </c>
      <c r="H2" s="693" t="s">
        <v>832</v>
      </c>
      <c r="I2" s="693" t="s">
        <v>833</v>
      </c>
      <c r="J2" s="1201" t="s">
        <v>808</v>
      </c>
      <c r="K2" s="697" t="s">
        <v>834</v>
      </c>
      <c r="L2" s="1250" t="s">
        <v>915</v>
      </c>
      <c r="M2" s="429" t="s">
        <v>925</v>
      </c>
      <c r="N2" s="429" t="s">
        <v>211</v>
      </c>
      <c r="O2" s="1201" t="s">
        <v>916</v>
      </c>
      <c r="P2" s="695" t="s">
        <v>199</v>
      </c>
      <c r="Q2" s="1194" t="s">
        <v>918</v>
      </c>
      <c r="R2" s="1197" t="s">
        <v>921</v>
      </c>
      <c r="S2" s="695" t="s">
        <v>917</v>
      </c>
      <c r="T2" s="695" t="s">
        <v>310</v>
      </c>
      <c r="U2" s="429" t="s">
        <v>920</v>
      </c>
      <c r="V2" s="429" t="s">
        <v>919</v>
      </c>
      <c r="W2" s="696" t="s">
        <v>922</v>
      </c>
      <c r="X2" s="765"/>
      <c r="Y2" s="765" t="s">
        <v>3503</v>
      </c>
      <c r="Z2" s="604" t="s">
        <v>3502</v>
      </c>
    </row>
    <row r="3" spans="1:26" s="221" customFormat="1" ht="15" customHeight="1" x14ac:dyDescent="0.2">
      <c r="A3" s="1392" t="s">
        <v>151</v>
      </c>
      <c r="B3" s="1217">
        <v>101</v>
      </c>
      <c r="C3" s="606" t="s">
        <v>809</v>
      </c>
      <c r="D3" s="715" t="s">
        <v>3324</v>
      </c>
      <c r="E3" s="421"/>
      <c r="F3" s="607" t="s">
        <v>930</v>
      </c>
      <c r="G3" s="716" t="s">
        <v>931</v>
      </c>
      <c r="H3" s="421" t="s">
        <v>637</v>
      </c>
      <c r="I3" s="717" t="s">
        <v>932</v>
      </c>
      <c r="J3" s="1212">
        <v>2</v>
      </c>
      <c r="K3" s="698">
        <v>5397000</v>
      </c>
      <c r="L3" s="1344">
        <v>2009</v>
      </c>
      <c r="M3" s="673">
        <f>K3</f>
        <v>5397000</v>
      </c>
      <c r="N3" s="1345" t="s">
        <v>536</v>
      </c>
      <c r="O3" s="686">
        <v>94697</v>
      </c>
      <c r="P3" s="1346" t="s">
        <v>287</v>
      </c>
      <c r="Q3" s="1347">
        <v>0.6</v>
      </c>
      <c r="R3" s="1348">
        <v>1.7</v>
      </c>
      <c r="S3" s="686">
        <f ca="1">IF(N3&lt;&gt;"",VLOOKUP(N3,INDIRECT(LU_SENS),2,FALSE),"")</f>
        <v>104166.667</v>
      </c>
      <c r="T3" s="672">
        <f t="shared" ref="T3:T16" ca="1" si="0">S3/O3</f>
        <v>1.0999996515201116</v>
      </c>
      <c r="U3" s="673">
        <f ca="1">M3*T3^Q3</f>
        <v>5714627.7609824995</v>
      </c>
      <c r="V3" s="674">
        <f ca="1">U3*VLOOKUP(DCFROR!$B$34,INDIRECT(IX_CAP),4,FALSE)/VLOOKUP(L3,INDIRECT(IX_CAP),4,FALSE)</f>
        <v>5931431.0368350651</v>
      </c>
      <c r="W3" s="675">
        <f t="shared" ref="W3:W16" ca="1" si="1">V3*R3</f>
        <v>10083432.762619611</v>
      </c>
      <c r="X3" s="766"/>
      <c r="Y3" s="238" t="s">
        <v>2245</v>
      </c>
      <c r="Z3" s="617"/>
    </row>
    <row r="4" spans="1:26" s="221" customFormat="1" ht="15" customHeight="1" x14ac:dyDescent="0.2">
      <c r="A4" s="1393" t="s">
        <v>151</v>
      </c>
      <c r="B4" s="1218">
        <v>102</v>
      </c>
      <c r="C4" s="609" t="s">
        <v>810</v>
      </c>
      <c r="D4" s="611" t="s">
        <v>3324</v>
      </c>
      <c r="E4" s="422"/>
      <c r="F4" s="422" t="s">
        <v>933</v>
      </c>
      <c r="G4" s="232" t="s">
        <v>934</v>
      </c>
      <c r="H4" s="422" t="s">
        <v>637</v>
      </c>
      <c r="I4" s="233" t="s">
        <v>935</v>
      </c>
      <c r="J4" s="1213">
        <v>2</v>
      </c>
      <c r="K4" s="699" t="s">
        <v>1023</v>
      </c>
      <c r="L4" s="1251"/>
      <c r="M4" s="841"/>
      <c r="N4" s="842"/>
      <c r="O4" s="844"/>
      <c r="P4" s="843"/>
      <c r="Q4" s="1204"/>
      <c r="R4" s="1210"/>
      <c r="S4" s="844"/>
      <c r="T4" s="845"/>
      <c r="U4" s="846"/>
      <c r="V4" s="841"/>
      <c r="W4" s="847"/>
      <c r="X4" s="766"/>
      <c r="Y4" s="842"/>
      <c r="Z4" s="617"/>
    </row>
    <row r="5" spans="1:26" s="221" customFormat="1" ht="15" customHeight="1" x14ac:dyDescent="0.2">
      <c r="A5" s="1393" t="s">
        <v>151</v>
      </c>
      <c r="B5" s="1218">
        <v>103</v>
      </c>
      <c r="C5" s="609" t="s">
        <v>811</v>
      </c>
      <c r="D5" s="611" t="s">
        <v>3324</v>
      </c>
      <c r="E5" s="422"/>
      <c r="F5" s="610" t="s">
        <v>936</v>
      </c>
      <c r="G5" s="232" t="s">
        <v>937</v>
      </c>
      <c r="H5" s="422" t="s">
        <v>637</v>
      </c>
      <c r="I5" s="233" t="s">
        <v>935</v>
      </c>
      <c r="J5" s="1213">
        <v>1</v>
      </c>
      <c r="K5" s="699" t="s">
        <v>1023</v>
      </c>
      <c r="L5" s="1251"/>
      <c r="M5" s="841"/>
      <c r="N5" s="842"/>
      <c r="O5" s="844"/>
      <c r="P5" s="843"/>
      <c r="Q5" s="1204"/>
      <c r="R5" s="1210"/>
      <c r="S5" s="844"/>
      <c r="T5" s="845"/>
      <c r="U5" s="841"/>
      <c r="V5" s="841"/>
      <c r="W5" s="847"/>
      <c r="X5" s="766"/>
      <c r="Y5" s="842"/>
      <c r="Z5" s="617"/>
    </row>
    <row r="6" spans="1:26" s="221" customFormat="1" ht="15" customHeight="1" x14ac:dyDescent="0.2">
      <c r="A6" s="1393" t="s">
        <v>151</v>
      </c>
      <c r="B6" s="1218">
        <v>104</v>
      </c>
      <c r="C6" s="609" t="s">
        <v>812</v>
      </c>
      <c r="D6" s="611" t="s">
        <v>835</v>
      </c>
      <c r="E6" s="422"/>
      <c r="F6" s="610" t="s">
        <v>938</v>
      </c>
      <c r="G6" s="232" t="s">
        <v>813</v>
      </c>
      <c r="H6" s="422" t="s">
        <v>637</v>
      </c>
      <c r="I6" s="234" t="s">
        <v>836</v>
      </c>
      <c r="J6" s="1213">
        <v>2</v>
      </c>
      <c r="K6" s="699">
        <v>3046000</v>
      </c>
      <c r="L6" s="1253">
        <v>2009</v>
      </c>
      <c r="M6" s="238">
        <f t="shared" ref="M6:M16" si="2">K6</f>
        <v>3046000</v>
      </c>
      <c r="N6" s="1159" t="s">
        <v>536</v>
      </c>
      <c r="O6" s="460">
        <v>94697</v>
      </c>
      <c r="P6" s="1349" t="s">
        <v>287</v>
      </c>
      <c r="Q6" s="1350">
        <v>0.6</v>
      </c>
      <c r="R6" s="1351">
        <v>1.7</v>
      </c>
      <c r="S6" s="460">
        <f ca="1">IF(N6&lt;&gt;"",VLOOKUP(N6,INDIRECT(LU_SENS),2,FALSE),"")</f>
        <v>104166.667</v>
      </c>
      <c r="T6" s="239">
        <f t="shared" ca="1" si="0"/>
        <v>1.0999996515201116</v>
      </c>
      <c r="U6" s="238">
        <f ca="1">M6*T6^Q6</f>
        <v>3225265.176941392</v>
      </c>
      <c r="V6" s="238">
        <f ca="1">U6*VLOOKUP(DCFROR!$B$34,INDIRECT(IX_CAP),4,FALSE)/VLOOKUP(L6,INDIRECT(IX_CAP),4,FALSE)</f>
        <v>3347626.2624049666</v>
      </c>
      <c r="W6" s="676">
        <f t="shared" ca="1" si="1"/>
        <v>5690964.6460884428</v>
      </c>
      <c r="X6" s="766"/>
      <c r="Y6" s="238" t="s">
        <v>2245</v>
      </c>
      <c r="Z6" s="617"/>
    </row>
    <row r="7" spans="1:26" s="221" customFormat="1" ht="15" customHeight="1" x14ac:dyDescent="0.2">
      <c r="A7" s="1393" t="s">
        <v>151</v>
      </c>
      <c r="B7" s="1218">
        <v>105</v>
      </c>
      <c r="C7" s="609" t="s">
        <v>814</v>
      </c>
      <c r="D7" s="611" t="s">
        <v>3324</v>
      </c>
      <c r="E7" s="422"/>
      <c r="F7" s="422" t="s">
        <v>939</v>
      </c>
      <c r="G7" s="232" t="s">
        <v>940</v>
      </c>
      <c r="H7" s="422" t="s">
        <v>637</v>
      </c>
      <c r="I7" s="233" t="s">
        <v>935</v>
      </c>
      <c r="J7" s="1213">
        <v>2</v>
      </c>
      <c r="K7" s="699" t="s">
        <v>1023</v>
      </c>
      <c r="L7" s="1251"/>
      <c r="M7" s="842"/>
      <c r="N7" s="842"/>
      <c r="O7" s="844"/>
      <c r="P7" s="848"/>
      <c r="Q7" s="845"/>
      <c r="R7" s="1199"/>
      <c r="S7" s="844"/>
      <c r="T7" s="842"/>
      <c r="U7" s="842"/>
      <c r="V7" s="842"/>
      <c r="W7" s="849"/>
      <c r="X7" s="767"/>
      <c r="Y7" s="842"/>
      <c r="Z7" s="617"/>
    </row>
    <row r="8" spans="1:26" s="221" customFormat="1" ht="15" customHeight="1" x14ac:dyDescent="0.2">
      <c r="A8" s="1393" t="s">
        <v>151</v>
      </c>
      <c r="B8" s="1218">
        <v>106</v>
      </c>
      <c r="C8" s="609" t="s">
        <v>810</v>
      </c>
      <c r="D8" s="611" t="s">
        <v>3324</v>
      </c>
      <c r="E8" s="422"/>
      <c r="F8" s="422" t="s">
        <v>941</v>
      </c>
      <c r="G8" s="232" t="s">
        <v>937</v>
      </c>
      <c r="H8" s="422" t="s">
        <v>637</v>
      </c>
      <c r="I8" s="233" t="s">
        <v>935</v>
      </c>
      <c r="J8" s="1213">
        <v>1</v>
      </c>
      <c r="K8" s="699" t="s">
        <v>1023</v>
      </c>
      <c r="L8" s="1251"/>
      <c r="M8" s="842"/>
      <c r="N8" s="842"/>
      <c r="O8" s="844"/>
      <c r="P8" s="848"/>
      <c r="Q8" s="845"/>
      <c r="R8" s="1199"/>
      <c r="S8" s="844"/>
      <c r="T8" s="842"/>
      <c r="U8" s="842"/>
      <c r="V8" s="842"/>
      <c r="W8" s="849"/>
      <c r="X8" s="767"/>
      <c r="Y8" s="842"/>
      <c r="Z8" s="617"/>
    </row>
    <row r="9" spans="1:26" s="221" customFormat="1" ht="15" customHeight="1" x14ac:dyDescent="0.2">
      <c r="A9" s="1393" t="s">
        <v>151</v>
      </c>
      <c r="B9" s="1218">
        <v>107</v>
      </c>
      <c r="C9" s="609" t="s">
        <v>815</v>
      </c>
      <c r="D9" s="611" t="s">
        <v>3324</v>
      </c>
      <c r="E9" s="422"/>
      <c r="F9" s="610" t="s">
        <v>942</v>
      </c>
      <c r="G9" s="232" t="s">
        <v>943</v>
      </c>
      <c r="H9" s="422" t="s">
        <v>637</v>
      </c>
      <c r="I9" s="233" t="s">
        <v>935</v>
      </c>
      <c r="J9" s="1213">
        <v>1</v>
      </c>
      <c r="K9" s="699" t="s">
        <v>1023</v>
      </c>
      <c r="L9" s="1251"/>
      <c r="M9" s="842"/>
      <c r="N9" s="842"/>
      <c r="O9" s="844"/>
      <c r="P9" s="848"/>
      <c r="Q9" s="845"/>
      <c r="R9" s="1199"/>
      <c r="S9" s="844"/>
      <c r="T9" s="842"/>
      <c r="U9" s="842"/>
      <c r="V9" s="842"/>
      <c r="W9" s="849"/>
      <c r="X9" s="767"/>
      <c r="Y9" s="842"/>
      <c r="Z9" s="617"/>
    </row>
    <row r="10" spans="1:26" s="221" customFormat="1" ht="15" customHeight="1" x14ac:dyDescent="0.2">
      <c r="A10" s="1393" t="s">
        <v>151</v>
      </c>
      <c r="B10" s="1218">
        <v>108</v>
      </c>
      <c r="C10" s="609" t="s">
        <v>816</v>
      </c>
      <c r="D10" s="611" t="s">
        <v>3324</v>
      </c>
      <c r="E10" s="422"/>
      <c r="F10" s="610" t="s">
        <v>944</v>
      </c>
      <c r="G10" s="232" t="s">
        <v>945</v>
      </c>
      <c r="H10" s="422" t="s">
        <v>637</v>
      </c>
      <c r="I10" s="233" t="s">
        <v>935</v>
      </c>
      <c r="J10" s="1213">
        <v>1</v>
      </c>
      <c r="K10" s="699" t="s">
        <v>1023</v>
      </c>
      <c r="L10" s="1251"/>
      <c r="M10" s="842"/>
      <c r="N10" s="842"/>
      <c r="O10" s="844"/>
      <c r="P10" s="848"/>
      <c r="Q10" s="845"/>
      <c r="R10" s="1199"/>
      <c r="S10" s="844"/>
      <c r="T10" s="842"/>
      <c r="U10" s="842"/>
      <c r="V10" s="842"/>
      <c r="W10" s="849"/>
      <c r="X10" s="767"/>
      <c r="Y10" s="842"/>
      <c r="Z10" s="617"/>
    </row>
    <row r="11" spans="1:26" s="221" customFormat="1" ht="15" customHeight="1" x14ac:dyDescent="0.2">
      <c r="A11" s="1393" t="s">
        <v>837</v>
      </c>
      <c r="B11" s="1218">
        <v>101</v>
      </c>
      <c r="C11" s="609" t="s">
        <v>817</v>
      </c>
      <c r="D11" s="611" t="s">
        <v>838</v>
      </c>
      <c r="E11" s="422"/>
      <c r="F11" s="610" t="s">
        <v>818</v>
      </c>
      <c r="G11" s="235"/>
      <c r="H11" s="422" t="s">
        <v>645</v>
      </c>
      <c r="I11" s="234" t="s">
        <v>836</v>
      </c>
      <c r="J11" s="1213">
        <v>2</v>
      </c>
      <c r="K11" s="699">
        <v>110000</v>
      </c>
      <c r="L11" s="1253">
        <v>2009</v>
      </c>
      <c r="M11" s="238">
        <f t="shared" si="2"/>
        <v>110000</v>
      </c>
      <c r="N11" s="1159" t="s">
        <v>536</v>
      </c>
      <c r="O11" s="460">
        <v>94697</v>
      </c>
      <c r="P11" s="1349" t="s">
        <v>287</v>
      </c>
      <c r="Q11" s="1350">
        <v>0.6</v>
      </c>
      <c r="R11" s="1351">
        <v>1.7</v>
      </c>
      <c r="S11" s="460">
        <f t="shared" ref="S11:S16" ca="1" si="3">IF(N11&lt;&gt;"",VLOOKUP(N11,INDIRECT(LU_SENS),2,FALSE),"")</f>
        <v>104166.667</v>
      </c>
      <c r="T11" s="239">
        <f t="shared" ca="1" si="0"/>
        <v>1.0999996515201116</v>
      </c>
      <c r="U11" s="238">
        <f t="shared" ref="U11:U16" ca="1" si="4">M11*T11^Q11</f>
        <v>116473.79168205947</v>
      </c>
      <c r="V11" s="238">
        <f ca="1">U11*VLOOKUP(DCFROR!$B$34,INDIRECT(IX_CAP),4,FALSE)/VLOOKUP(L11,INDIRECT(IX_CAP),4,FALSE)</f>
        <v>120892.60960753329</v>
      </c>
      <c r="W11" s="676">
        <f t="shared" ca="1" si="1"/>
        <v>205517.4363328066</v>
      </c>
      <c r="X11" s="766"/>
      <c r="Y11" s="238" t="s">
        <v>2245</v>
      </c>
      <c r="Z11" s="617"/>
    </row>
    <row r="12" spans="1:26" s="221" customFormat="1" ht="15" customHeight="1" x14ac:dyDescent="0.2">
      <c r="A12" s="1393" t="s">
        <v>837</v>
      </c>
      <c r="B12" s="1218">
        <v>102</v>
      </c>
      <c r="C12" s="609" t="s">
        <v>819</v>
      </c>
      <c r="D12" s="611" t="s">
        <v>839</v>
      </c>
      <c r="E12" s="422"/>
      <c r="F12" s="610" t="s">
        <v>820</v>
      </c>
      <c r="G12" s="235" t="s">
        <v>946</v>
      </c>
      <c r="H12" s="422" t="s">
        <v>637</v>
      </c>
      <c r="I12" s="234" t="s">
        <v>836</v>
      </c>
      <c r="J12" s="1213">
        <v>2</v>
      </c>
      <c r="K12" s="699">
        <v>484000</v>
      </c>
      <c r="L12" s="1253">
        <v>2009</v>
      </c>
      <c r="M12" s="238">
        <f t="shared" si="2"/>
        <v>484000</v>
      </c>
      <c r="N12" s="1159" t="s">
        <v>536</v>
      </c>
      <c r="O12" s="460">
        <v>94697</v>
      </c>
      <c r="P12" s="1349" t="s">
        <v>287</v>
      </c>
      <c r="Q12" s="1350">
        <v>0.6</v>
      </c>
      <c r="R12" s="1351">
        <v>1.7</v>
      </c>
      <c r="S12" s="460">
        <f t="shared" ca="1" si="3"/>
        <v>104166.667</v>
      </c>
      <c r="T12" s="239">
        <f t="shared" ca="1" si="0"/>
        <v>1.0999996515201116</v>
      </c>
      <c r="U12" s="238">
        <f t="shared" ca="1" si="4"/>
        <v>512484.68340106163</v>
      </c>
      <c r="V12" s="238">
        <f ca="1">U12*VLOOKUP(DCFROR!$B$34,INDIRECT(IX_CAP),4,FALSE)/VLOOKUP(L12,INDIRECT(IX_CAP),4,FALSE)</f>
        <v>531927.48227314639</v>
      </c>
      <c r="W12" s="676">
        <f t="shared" ca="1" si="1"/>
        <v>904276.71986434888</v>
      </c>
      <c r="X12" s="766"/>
      <c r="Y12" s="238" t="s">
        <v>2245</v>
      </c>
      <c r="Z12" s="617"/>
    </row>
    <row r="13" spans="1:26" s="221" customFormat="1" ht="15" customHeight="1" x14ac:dyDescent="0.2">
      <c r="A13" s="1393" t="s">
        <v>837</v>
      </c>
      <c r="B13" s="1218">
        <v>103</v>
      </c>
      <c r="C13" s="609" t="s">
        <v>821</v>
      </c>
      <c r="D13" s="611" t="s">
        <v>839</v>
      </c>
      <c r="E13" s="422"/>
      <c r="F13" s="610" t="s">
        <v>822</v>
      </c>
      <c r="G13" s="235" t="s">
        <v>934</v>
      </c>
      <c r="H13" s="422" t="s">
        <v>637</v>
      </c>
      <c r="I13" s="234" t="s">
        <v>836</v>
      </c>
      <c r="J13" s="1213">
        <v>2</v>
      </c>
      <c r="K13" s="699">
        <v>502000</v>
      </c>
      <c r="L13" s="1253">
        <v>2009</v>
      </c>
      <c r="M13" s="238">
        <f t="shared" si="2"/>
        <v>502000</v>
      </c>
      <c r="N13" s="1159" t="s">
        <v>536</v>
      </c>
      <c r="O13" s="460">
        <v>94697</v>
      </c>
      <c r="P13" s="1349" t="s">
        <v>287</v>
      </c>
      <c r="Q13" s="1350">
        <v>0.6</v>
      </c>
      <c r="R13" s="1351">
        <v>1.7</v>
      </c>
      <c r="S13" s="460">
        <f t="shared" ca="1" si="3"/>
        <v>104166.667</v>
      </c>
      <c r="T13" s="239">
        <f t="shared" ca="1" si="0"/>
        <v>1.0999996515201116</v>
      </c>
      <c r="U13" s="238">
        <f t="shared" ca="1" si="4"/>
        <v>531544.03113085323</v>
      </c>
      <c r="V13" s="238">
        <f ca="1">U13*VLOOKUP(DCFROR!$B$34,INDIRECT(IX_CAP),4,FALSE)/VLOOKUP(L13,INDIRECT(IX_CAP),4,FALSE)</f>
        <v>551709.9092998337</v>
      </c>
      <c r="W13" s="676">
        <f t="shared" ca="1" si="1"/>
        <v>937906.84580971731</v>
      </c>
      <c r="X13" s="766"/>
      <c r="Y13" s="238" t="s">
        <v>2245</v>
      </c>
      <c r="Z13" s="617"/>
    </row>
    <row r="14" spans="1:26" s="221" customFormat="1" ht="15" customHeight="1" x14ac:dyDescent="0.2">
      <c r="A14" s="1393" t="s">
        <v>837</v>
      </c>
      <c r="B14" s="1218">
        <v>104</v>
      </c>
      <c r="C14" s="609" t="s">
        <v>823</v>
      </c>
      <c r="D14" s="611" t="s">
        <v>840</v>
      </c>
      <c r="E14" s="422"/>
      <c r="F14" s="610" t="s">
        <v>824</v>
      </c>
      <c r="G14" s="235"/>
      <c r="H14" s="422" t="s">
        <v>645</v>
      </c>
      <c r="I14" s="234" t="s">
        <v>836</v>
      </c>
      <c r="J14" s="1213">
        <v>2</v>
      </c>
      <c r="K14" s="699">
        <v>3500000</v>
      </c>
      <c r="L14" s="1253">
        <v>2009</v>
      </c>
      <c r="M14" s="238">
        <f t="shared" si="2"/>
        <v>3500000</v>
      </c>
      <c r="N14" s="1159" t="s">
        <v>536</v>
      </c>
      <c r="O14" s="460">
        <v>94697</v>
      </c>
      <c r="P14" s="1349" t="s">
        <v>287</v>
      </c>
      <c r="Q14" s="1350">
        <v>0.6</v>
      </c>
      <c r="R14" s="1351">
        <v>1.7</v>
      </c>
      <c r="S14" s="460">
        <f t="shared" ca="1" si="3"/>
        <v>104166.667</v>
      </c>
      <c r="T14" s="239">
        <f t="shared" ca="1" si="0"/>
        <v>1.0999996515201116</v>
      </c>
      <c r="U14" s="238">
        <f t="shared" ca="1" si="4"/>
        <v>3705984.2807928012</v>
      </c>
      <c r="V14" s="238">
        <f ca="1">U14*VLOOKUP(DCFROR!$B$34,INDIRECT(IX_CAP),4,FALSE)/VLOOKUP(L14,INDIRECT(IX_CAP),4,FALSE)</f>
        <v>3846583.0329669681</v>
      </c>
      <c r="W14" s="676">
        <f t="shared" ca="1" si="1"/>
        <v>6539191.1560438452</v>
      </c>
      <c r="X14" s="766"/>
      <c r="Y14" s="238" t="s">
        <v>2245</v>
      </c>
      <c r="Z14" s="617"/>
    </row>
    <row r="15" spans="1:26" s="221" customFormat="1" ht="15" customHeight="1" x14ac:dyDescent="0.2">
      <c r="A15" s="1393" t="s">
        <v>837</v>
      </c>
      <c r="B15" s="1218">
        <v>105</v>
      </c>
      <c r="C15" s="609" t="s">
        <v>825</v>
      </c>
      <c r="D15" s="611" t="s">
        <v>947</v>
      </c>
      <c r="E15" s="422"/>
      <c r="F15" s="610" t="s">
        <v>948</v>
      </c>
      <c r="G15" s="235"/>
      <c r="H15" s="422" t="s">
        <v>637</v>
      </c>
      <c r="I15" s="233" t="s">
        <v>836</v>
      </c>
      <c r="J15" s="1213">
        <v>2</v>
      </c>
      <c r="K15" s="699">
        <v>10790</v>
      </c>
      <c r="L15" s="1253">
        <v>2009</v>
      </c>
      <c r="M15" s="238">
        <f t="shared" si="2"/>
        <v>10790</v>
      </c>
      <c r="N15" s="1159" t="s">
        <v>536</v>
      </c>
      <c r="O15" s="460">
        <v>94697</v>
      </c>
      <c r="P15" s="1349" t="s">
        <v>287</v>
      </c>
      <c r="Q15" s="1350">
        <v>0.6</v>
      </c>
      <c r="R15" s="1351">
        <v>1.7</v>
      </c>
      <c r="S15" s="460">
        <f t="shared" ca="1" si="3"/>
        <v>104166.667</v>
      </c>
      <c r="T15" s="239">
        <f t="shared" ca="1" si="0"/>
        <v>1.0999996515201116</v>
      </c>
      <c r="U15" s="238">
        <f t="shared" ca="1" si="4"/>
        <v>11425.020111358379</v>
      </c>
      <c r="V15" s="238">
        <f ca="1">U15*VLOOKUP(DCFROR!$B$34,INDIRECT(IX_CAP),4,FALSE)/VLOOKUP(L15,INDIRECT(IX_CAP),4,FALSE)</f>
        <v>11858.46597877531</v>
      </c>
      <c r="W15" s="676">
        <f t="shared" ca="1" si="1"/>
        <v>20159.392163918026</v>
      </c>
      <c r="X15" s="766"/>
      <c r="Y15" s="238" t="s">
        <v>2245</v>
      </c>
      <c r="Z15" s="617"/>
    </row>
    <row r="16" spans="1:26" s="221" customFormat="1" ht="15" customHeight="1" x14ac:dyDescent="0.2">
      <c r="A16" s="1393" t="s">
        <v>837</v>
      </c>
      <c r="B16" s="1218">
        <v>106</v>
      </c>
      <c r="C16" s="609" t="s">
        <v>826</v>
      </c>
      <c r="D16" s="611" t="s">
        <v>841</v>
      </c>
      <c r="E16" s="422"/>
      <c r="F16" s="610" t="s">
        <v>827</v>
      </c>
      <c r="G16" s="235" t="s">
        <v>949</v>
      </c>
      <c r="H16" s="422" t="s">
        <v>637</v>
      </c>
      <c r="I16" s="234" t="s">
        <v>836</v>
      </c>
      <c r="J16" s="1213">
        <v>6</v>
      </c>
      <c r="K16" s="699">
        <v>279900</v>
      </c>
      <c r="L16" s="1253">
        <v>2009</v>
      </c>
      <c r="M16" s="238">
        <f t="shared" si="2"/>
        <v>279900</v>
      </c>
      <c r="N16" s="1159" t="s">
        <v>536</v>
      </c>
      <c r="O16" s="460">
        <v>94697</v>
      </c>
      <c r="P16" s="1349" t="s">
        <v>287</v>
      </c>
      <c r="Q16" s="1350">
        <v>0.6</v>
      </c>
      <c r="R16" s="1351">
        <v>1.7</v>
      </c>
      <c r="S16" s="460">
        <f t="shared" ca="1" si="3"/>
        <v>104166.667</v>
      </c>
      <c r="T16" s="239">
        <f t="shared" ca="1" si="0"/>
        <v>1.0999996515201116</v>
      </c>
      <c r="U16" s="238">
        <f t="shared" ca="1" si="4"/>
        <v>296372.85719825857</v>
      </c>
      <c r="V16" s="238">
        <f ca="1">U16*VLOOKUP(DCFROR!$B$34,INDIRECT(IX_CAP),4,FALSE)/VLOOKUP(L16,INDIRECT(IX_CAP),4,FALSE)</f>
        <v>307616.74026498693</v>
      </c>
      <c r="W16" s="676">
        <f t="shared" ca="1" si="1"/>
        <v>522948.45845047774</v>
      </c>
      <c r="X16" s="766"/>
      <c r="Y16" s="238" t="s">
        <v>2245</v>
      </c>
      <c r="Z16" s="617"/>
    </row>
    <row r="17" spans="1:26" s="225" customFormat="1" ht="15" customHeight="1" thickBot="1" x14ac:dyDescent="0.25">
      <c r="A17" s="1394"/>
      <c r="B17" s="1219"/>
      <c r="C17" s="678"/>
      <c r="D17" s="680"/>
      <c r="E17" s="679"/>
      <c r="F17" s="679"/>
      <c r="G17" s="681"/>
      <c r="H17" s="679"/>
      <c r="I17" s="682"/>
      <c r="J17" s="1202"/>
      <c r="K17" s="704"/>
      <c r="L17" s="1252"/>
      <c r="M17" s="677"/>
      <c r="N17" s="682"/>
      <c r="O17" s="1202"/>
      <c r="P17" s="688"/>
      <c r="Q17" s="1195"/>
      <c r="R17" s="1198"/>
      <c r="S17" s="687"/>
      <c r="T17" s="703" t="s">
        <v>2152</v>
      </c>
      <c r="U17" s="684">
        <f ca="1">SUM(U3:U16)</f>
        <v>14114177.602240283</v>
      </c>
      <c r="V17" s="677">
        <f ca="1">SUM(V3:V16)</f>
        <v>14649645.539631275</v>
      </c>
      <c r="W17" s="685">
        <f ca="1">SUM(W3:W16)</f>
        <v>24904397.417373169</v>
      </c>
      <c r="X17" s="768">
        <f ca="1">W17/V17</f>
        <v>1.7</v>
      </c>
      <c r="Y17" s="1487"/>
      <c r="Z17" s="423"/>
    </row>
    <row r="18" spans="1:26" s="221" customFormat="1" ht="15" customHeight="1" x14ac:dyDescent="0.2">
      <c r="A18" s="1392" t="s">
        <v>828</v>
      </c>
      <c r="B18" s="1217">
        <v>201</v>
      </c>
      <c r="C18" s="606" t="s">
        <v>312</v>
      </c>
      <c r="D18" s="708" t="s">
        <v>1612</v>
      </c>
      <c r="E18" s="421"/>
      <c r="F18" s="709" t="s">
        <v>842</v>
      </c>
      <c r="G18" s="710"/>
      <c r="H18" s="421" t="s">
        <v>638</v>
      </c>
      <c r="I18" s="711" t="s">
        <v>1613</v>
      </c>
      <c r="J18" s="1212">
        <v>1</v>
      </c>
      <c r="K18" s="698">
        <v>6000</v>
      </c>
      <c r="L18" s="1352">
        <v>2009</v>
      </c>
      <c r="M18" s="674">
        <f>K18</f>
        <v>6000</v>
      </c>
      <c r="N18" s="1353" t="s">
        <v>984</v>
      </c>
      <c r="O18" s="1354">
        <v>136260</v>
      </c>
      <c r="P18" s="1355" t="s">
        <v>287</v>
      </c>
      <c r="Q18" s="1356">
        <v>0.5</v>
      </c>
      <c r="R18" s="1357">
        <v>1</v>
      </c>
      <c r="S18" s="705">
        <f t="shared" ref="S18:S24" ca="1" si="5">IF(N18&lt;&gt;"",VLOOKUP(N18,INDIRECT(LU_SENS),2,FALSE),"")</f>
        <v>38299.406900000002</v>
      </c>
      <c r="T18" s="706">
        <f ca="1">S18/O18</f>
        <v>0.28107593497724936</v>
      </c>
      <c r="U18" s="674">
        <f ca="1">M18*T18^Q18</f>
        <v>3180.9957024776027</v>
      </c>
      <c r="V18" s="674">
        <f ca="1">U18*VLOOKUP(DCFROR!$B$34,INDIRECT(IX_CAP),4,FALSE)/VLOOKUP(L18,INDIRECT(IX_CAP),4,FALSE)</f>
        <v>3301.6772792337952</v>
      </c>
      <c r="W18" s="675">
        <f ca="1">V18*R18</f>
        <v>3301.6772792337952</v>
      </c>
      <c r="X18" s="766"/>
      <c r="Y18" s="238" t="s">
        <v>2246</v>
      </c>
      <c r="Z18" s="422"/>
    </row>
    <row r="19" spans="1:26" s="221" customFormat="1" ht="15" customHeight="1" x14ac:dyDescent="0.2">
      <c r="A19" s="1393" t="s">
        <v>828</v>
      </c>
      <c r="B19" s="1218">
        <v>203</v>
      </c>
      <c r="C19" s="609" t="s">
        <v>843</v>
      </c>
      <c r="D19" s="611" t="s">
        <v>844</v>
      </c>
      <c r="E19" s="422"/>
      <c r="F19" s="610" t="s">
        <v>845</v>
      </c>
      <c r="G19" s="235" t="s">
        <v>846</v>
      </c>
      <c r="H19" s="422" t="s">
        <v>847</v>
      </c>
      <c r="I19" s="234" t="s">
        <v>848</v>
      </c>
      <c r="J19" s="1214">
        <v>1</v>
      </c>
      <c r="K19" s="885" t="s">
        <v>1023</v>
      </c>
      <c r="L19" s="1251"/>
      <c r="M19" s="842"/>
      <c r="N19" s="842"/>
      <c r="O19" s="1203"/>
      <c r="P19" s="848"/>
      <c r="Q19" s="845"/>
      <c r="R19" s="1199"/>
      <c r="S19" s="844"/>
      <c r="T19" s="842"/>
      <c r="U19" s="842"/>
      <c r="V19" s="842"/>
      <c r="W19" s="849"/>
      <c r="X19" s="766"/>
      <c r="Y19" s="1487"/>
      <c r="Z19" s="422"/>
    </row>
    <row r="20" spans="1:26" s="221" customFormat="1" ht="15" customHeight="1" x14ac:dyDescent="0.2">
      <c r="A20" s="1393" t="s">
        <v>828</v>
      </c>
      <c r="B20" s="1218">
        <v>204</v>
      </c>
      <c r="C20" s="609" t="s">
        <v>1614</v>
      </c>
      <c r="D20" s="611" t="s">
        <v>1615</v>
      </c>
      <c r="E20" s="422"/>
      <c r="F20" s="610" t="s">
        <v>845</v>
      </c>
      <c r="G20" s="235" t="s">
        <v>846</v>
      </c>
      <c r="H20" s="422" t="s">
        <v>847</v>
      </c>
      <c r="I20" s="234" t="s">
        <v>836</v>
      </c>
      <c r="J20" s="1213">
        <v>3</v>
      </c>
      <c r="K20" s="699">
        <f>J20*30000</f>
        <v>90000</v>
      </c>
      <c r="L20" s="1253">
        <v>2009</v>
      </c>
      <c r="M20" s="238">
        <f>K20</f>
        <v>90000</v>
      </c>
      <c r="N20" s="1159" t="s">
        <v>1629</v>
      </c>
      <c r="O20" s="1358">
        <v>252891</v>
      </c>
      <c r="P20" s="1359" t="s">
        <v>287</v>
      </c>
      <c r="Q20" s="1350">
        <v>0.5</v>
      </c>
      <c r="R20" s="1360">
        <v>1.5</v>
      </c>
      <c r="S20" s="460">
        <f t="shared" ca="1" si="5"/>
        <v>277415.196</v>
      </c>
      <c r="T20" s="239">
        <f ca="1">S20/O20</f>
        <v>1.0969753609262489</v>
      </c>
      <c r="U20" s="238">
        <f ca="1">M20*T20^Q20</f>
        <v>94262.932393929994</v>
      </c>
      <c r="V20" s="238">
        <f ca="1">U20*VLOOKUP(DCFROR!$B$34,INDIRECT(IX_CAP),4,FALSE)/VLOOKUP(L20,INDIRECT(IX_CAP),4,FALSE)</f>
        <v>97839.10802412701</v>
      </c>
      <c r="W20" s="676">
        <f ca="1">V20*R20</f>
        <v>146758.66203619051</v>
      </c>
      <c r="X20" s="766"/>
      <c r="Y20" s="238" t="s">
        <v>2247</v>
      </c>
      <c r="Z20" s="422" t="s">
        <v>1616</v>
      </c>
    </row>
    <row r="21" spans="1:26" s="221" customFormat="1" ht="15" customHeight="1" x14ac:dyDescent="0.2">
      <c r="A21" s="1393" t="s">
        <v>828</v>
      </c>
      <c r="B21" s="1218">
        <v>208</v>
      </c>
      <c r="C21" s="609" t="s">
        <v>1617</v>
      </c>
      <c r="D21" s="611" t="s">
        <v>1615</v>
      </c>
      <c r="E21" s="422"/>
      <c r="F21" s="610" t="s">
        <v>845</v>
      </c>
      <c r="G21" s="235" t="s">
        <v>846</v>
      </c>
      <c r="H21" s="422" t="s">
        <v>847</v>
      </c>
      <c r="I21" s="234" t="s">
        <v>836</v>
      </c>
      <c r="J21" s="1213">
        <v>3</v>
      </c>
      <c r="K21" s="699">
        <f>J21*30000</f>
        <v>90000</v>
      </c>
      <c r="L21" s="1253">
        <v>2009</v>
      </c>
      <c r="M21" s="238">
        <f>K21</f>
        <v>90000</v>
      </c>
      <c r="N21" s="1159" t="s">
        <v>1630</v>
      </c>
      <c r="O21" s="1358">
        <v>264116</v>
      </c>
      <c r="P21" s="1359" t="s">
        <v>287</v>
      </c>
      <c r="Q21" s="1350">
        <v>0.5</v>
      </c>
      <c r="R21" s="1361">
        <v>1.5</v>
      </c>
      <c r="S21" s="460">
        <f t="shared" ca="1" si="5"/>
        <v>291537.27</v>
      </c>
      <c r="T21" s="239">
        <f ca="1">S21/O21</f>
        <v>1.1038228278483697</v>
      </c>
      <c r="U21" s="238">
        <f ca="1">M21*T21^Q21</f>
        <v>94556.675626693817</v>
      </c>
      <c r="V21" s="238">
        <f ca="1">U21*VLOOKUP(DCFROR!$B$34,INDIRECT(IX_CAP),4,FALSE)/VLOOKUP(L21,INDIRECT(IX_CAP),4,FALSE)</f>
        <v>98143.995376470688</v>
      </c>
      <c r="W21" s="676">
        <f ca="1">V21*R21</f>
        <v>147215.99306470604</v>
      </c>
      <c r="X21" s="766"/>
      <c r="Y21" s="238" t="s">
        <v>2247</v>
      </c>
      <c r="Z21" s="422" t="s">
        <v>1616</v>
      </c>
    </row>
    <row r="22" spans="1:26" s="221" customFormat="1" ht="15" customHeight="1" x14ac:dyDescent="0.2">
      <c r="A22" s="1393" t="s">
        <v>828</v>
      </c>
      <c r="B22" s="1218">
        <v>209</v>
      </c>
      <c r="C22" s="609" t="s">
        <v>849</v>
      </c>
      <c r="D22" s="611" t="s">
        <v>989</v>
      </c>
      <c r="E22" s="422"/>
      <c r="F22" s="610"/>
      <c r="G22" s="235" t="s">
        <v>943</v>
      </c>
      <c r="H22" s="422" t="s">
        <v>649</v>
      </c>
      <c r="I22" s="234" t="s">
        <v>836</v>
      </c>
      <c r="J22" s="1213">
        <v>1</v>
      </c>
      <c r="K22" s="699">
        <v>21900</v>
      </c>
      <c r="L22" s="1253">
        <v>2009</v>
      </c>
      <c r="M22" s="238">
        <f>K22</f>
        <v>21900</v>
      </c>
      <c r="N22" s="1159" t="s">
        <v>975</v>
      </c>
      <c r="O22" s="1358">
        <v>410369</v>
      </c>
      <c r="P22" s="1359" t="s">
        <v>287</v>
      </c>
      <c r="Q22" s="1350">
        <v>0.5</v>
      </c>
      <c r="R22" s="1351">
        <v>1.5</v>
      </c>
      <c r="S22" s="460">
        <f t="shared" ca="1" si="5"/>
        <v>429389.386</v>
      </c>
      <c r="T22" s="239">
        <f ca="1">S22/O22</f>
        <v>1.0463494708420957</v>
      </c>
      <c r="U22" s="238">
        <f ca="1">M22*T22^Q22</f>
        <v>22401.778271168059</v>
      </c>
      <c r="V22" s="238">
        <f ca="1">U22*VLOOKUP(DCFROR!$B$34,INDIRECT(IX_CAP),4,FALSE)/VLOOKUP(L22,INDIRECT(IX_CAP),4,FALSE)</f>
        <v>23251.663708549033</v>
      </c>
      <c r="W22" s="676">
        <f ca="1">V22*R22</f>
        <v>34877.495562823548</v>
      </c>
      <c r="X22" s="766"/>
      <c r="Y22" s="238" t="s">
        <v>2247</v>
      </c>
      <c r="Z22" s="1488"/>
    </row>
    <row r="23" spans="1:26" s="221" customFormat="1" ht="15" customHeight="1" x14ac:dyDescent="0.2">
      <c r="A23" s="1393" t="s">
        <v>828</v>
      </c>
      <c r="B23" s="1218">
        <v>210</v>
      </c>
      <c r="C23" s="609" t="s">
        <v>1618</v>
      </c>
      <c r="D23" s="611" t="s">
        <v>1612</v>
      </c>
      <c r="E23" s="422"/>
      <c r="F23" s="610"/>
      <c r="G23" s="235"/>
      <c r="H23" s="422" t="s">
        <v>649</v>
      </c>
      <c r="I23" s="234" t="s">
        <v>882</v>
      </c>
      <c r="J23" s="1213">
        <v>1</v>
      </c>
      <c r="K23" s="699">
        <v>5000</v>
      </c>
      <c r="L23" s="1253">
        <v>2009</v>
      </c>
      <c r="M23" s="238">
        <f>K23</f>
        <v>5000</v>
      </c>
      <c r="N23" s="1159" t="s">
        <v>1631</v>
      </c>
      <c r="O23" s="1358">
        <v>157478</v>
      </c>
      <c r="P23" s="1359" t="s">
        <v>287</v>
      </c>
      <c r="Q23" s="1350">
        <v>0.5</v>
      </c>
      <c r="R23" s="1360">
        <v>1</v>
      </c>
      <c r="S23" s="460">
        <f t="shared" ca="1" si="5"/>
        <v>151974.19</v>
      </c>
      <c r="T23" s="239">
        <f ca="1">S23/O23</f>
        <v>0.96505029273930332</v>
      </c>
      <c r="U23" s="238">
        <f ca="1">M23*T23^Q23</f>
        <v>4911.8486660810904</v>
      </c>
      <c r="V23" s="238">
        <f ca="1">U23*VLOOKUP(DCFROR!$B$34,INDIRECT(IX_CAP),4,FALSE)/VLOOKUP(L23,INDIRECT(IX_CAP),4,FALSE)</f>
        <v>5098.195865905589</v>
      </c>
      <c r="W23" s="676">
        <f ca="1">V23*R23</f>
        <v>5098.195865905589</v>
      </c>
      <c r="X23" s="766"/>
      <c r="Y23" s="238" t="s">
        <v>2246</v>
      </c>
      <c r="Z23" s="1488"/>
    </row>
    <row r="24" spans="1:26" s="221" customFormat="1" ht="15" customHeight="1" x14ac:dyDescent="0.2">
      <c r="A24" s="1393" t="s">
        <v>828</v>
      </c>
      <c r="B24" s="1218">
        <v>224</v>
      </c>
      <c r="C24" s="609" t="s">
        <v>313</v>
      </c>
      <c r="D24" s="611" t="s">
        <v>989</v>
      </c>
      <c r="E24" s="422"/>
      <c r="F24" s="610"/>
      <c r="G24" s="235" t="s">
        <v>937</v>
      </c>
      <c r="H24" s="422" t="s">
        <v>649</v>
      </c>
      <c r="I24" s="234" t="s">
        <v>836</v>
      </c>
      <c r="J24" s="1213">
        <v>1</v>
      </c>
      <c r="K24" s="699">
        <v>0</v>
      </c>
      <c r="L24" s="1253">
        <v>2009</v>
      </c>
      <c r="M24" s="238">
        <f>K24</f>
        <v>0</v>
      </c>
      <c r="N24" s="1159" t="s">
        <v>976</v>
      </c>
      <c r="O24" s="1358">
        <v>410846</v>
      </c>
      <c r="P24" s="1359" t="s">
        <v>287</v>
      </c>
      <c r="Q24" s="1350">
        <v>0.5</v>
      </c>
      <c r="R24" s="1351">
        <v>1.5</v>
      </c>
      <c r="S24" s="460">
        <f t="shared" ca="1" si="5"/>
        <v>429389.71100000001</v>
      </c>
      <c r="T24" s="239">
        <f ca="1">S24/O24</f>
        <v>1.0451354303072198</v>
      </c>
      <c r="U24" s="238">
        <f ca="1">M24*T24^Q24</f>
        <v>0</v>
      </c>
      <c r="V24" s="238">
        <f ca="1">U24*VLOOKUP(DCFROR!$B$34,INDIRECT(IX_CAP),4,FALSE)/VLOOKUP(L24,INDIRECT(IX_CAP),4,FALSE)</f>
        <v>0</v>
      </c>
      <c r="W24" s="676">
        <f ca="1">V24*R24</f>
        <v>0</v>
      </c>
      <c r="X24" s="766"/>
      <c r="Y24" s="238" t="s">
        <v>2247</v>
      </c>
      <c r="Z24" s="1488"/>
    </row>
    <row r="25" spans="1:26" s="221" customFormat="1" ht="15" customHeight="1" x14ac:dyDescent="0.2">
      <c r="A25" s="1393" t="s">
        <v>151</v>
      </c>
      <c r="B25" s="1218">
        <v>201</v>
      </c>
      <c r="C25" s="609" t="s">
        <v>809</v>
      </c>
      <c r="D25" s="611" t="s">
        <v>844</v>
      </c>
      <c r="E25" s="422"/>
      <c r="F25" s="610" t="s">
        <v>850</v>
      </c>
      <c r="G25" s="235" t="s">
        <v>851</v>
      </c>
      <c r="H25" s="422" t="s">
        <v>852</v>
      </c>
      <c r="I25" s="234" t="s">
        <v>853</v>
      </c>
      <c r="J25" s="1213">
        <v>2</v>
      </c>
      <c r="K25" s="699" t="s">
        <v>1023</v>
      </c>
      <c r="L25" s="1251"/>
      <c r="M25" s="842"/>
      <c r="N25" s="842"/>
      <c r="O25" s="1203"/>
      <c r="P25" s="848"/>
      <c r="Q25" s="845"/>
      <c r="R25" s="1199"/>
      <c r="S25" s="844"/>
      <c r="T25" s="842"/>
      <c r="U25" s="842"/>
      <c r="V25" s="842"/>
      <c r="W25" s="849"/>
      <c r="X25" s="767"/>
      <c r="Y25" s="842"/>
      <c r="Z25" s="422"/>
    </row>
    <row r="26" spans="1:26" s="221" customFormat="1" ht="15" customHeight="1" x14ac:dyDescent="0.2">
      <c r="A26" s="1393" t="s">
        <v>151</v>
      </c>
      <c r="B26" s="1218">
        <v>202</v>
      </c>
      <c r="C26" s="609" t="s">
        <v>854</v>
      </c>
      <c r="D26" s="611" t="s">
        <v>844</v>
      </c>
      <c r="E26" s="422"/>
      <c r="F26" s="610" t="s">
        <v>850</v>
      </c>
      <c r="G26" s="235" t="s">
        <v>851</v>
      </c>
      <c r="H26" s="422" t="s">
        <v>852</v>
      </c>
      <c r="I26" s="234" t="s">
        <v>853</v>
      </c>
      <c r="J26" s="1213">
        <v>2</v>
      </c>
      <c r="K26" s="699" t="s">
        <v>1023</v>
      </c>
      <c r="L26" s="1251"/>
      <c r="M26" s="842"/>
      <c r="N26" s="842"/>
      <c r="O26" s="1203"/>
      <c r="P26" s="848"/>
      <c r="Q26" s="845"/>
      <c r="R26" s="1199"/>
      <c r="S26" s="844"/>
      <c r="T26" s="842"/>
      <c r="U26" s="842"/>
      <c r="V26" s="842"/>
      <c r="W26" s="849"/>
      <c r="X26" s="767"/>
      <c r="Y26" s="842"/>
      <c r="Z26" s="422"/>
    </row>
    <row r="27" spans="1:26" s="221" customFormat="1" ht="15" customHeight="1" x14ac:dyDescent="0.2">
      <c r="A27" s="1393" t="s">
        <v>151</v>
      </c>
      <c r="B27" s="1218">
        <v>203</v>
      </c>
      <c r="C27" s="609" t="s">
        <v>855</v>
      </c>
      <c r="D27" s="611" t="s">
        <v>844</v>
      </c>
      <c r="E27" s="422"/>
      <c r="F27" s="610" t="s">
        <v>850</v>
      </c>
      <c r="G27" s="235" t="s">
        <v>851</v>
      </c>
      <c r="H27" s="422" t="s">
        <v>852</v>
      </c>
      <c r="I27" s="234" t="s">
        <v>853</v>
      </c>
      <c r="J27" s="1213">
        <v>4</v>
      </c>
      <c r="K27" s="699" t="s">
        <v>1023</v>
      </c>
      <c r="L27" s="1251"/>
      <c r="M27" s="842"/>
      <c r="N27" s="842"/>
      <c r="O27" s="1203"/>
      <c r="P27" s="848"/>
      <c r="Q27" s="845"/>
      <c r="R27" s="1199"/>
      <c r="S27" s="844"/>
      <c r="T27" s="842"/>
      <c r="U27" s="842"/>
      <c r="V27" s="842"/>
      <c r="W27" s="849"/>
      <c r="X27" s="767"/>
      <c r="Y27" s="842"/>
      <c r="Z27" s="422"/>
    </row>
    <row r="28" spans="1:26" s="221" customFormat="1" ht="15" customHeight="1" x14ac:dyDescent="0.2">
      <c r="A28" s="1393" t="s">
        <v>151</v>
      </c>
      <c r="B28" s="1218">
        <v>204</v>
      </c>
      <c r="C28" s="609" t="s">
        <v>856</v>
      </c>
      <c r="D28" s="611" t="s">
        <v>844</v>
      </c>
      <c r="E28" s="422"/>
      <c r="F28" s="610" t="s">
        <v>857</v>
      </c>
      <c r="G28" s="235" t="s">
        <v>858</v>
      </c>
      <c r="H28" s="422" t="s">
        <v>859</v>
      </c>
      <c r="I28" s="234" t="s">
        <v>853</v>
      </c>
      <c r="J28" s="1213">
        <v>1</v>
      </c>
      <c r="K28" s="699" t="s">
        <v>1023</v>
      </c>
      <c r="L28" s="1251"/>
      <c r="M28" s="842"/>
      <c r="N28" s="842"/>
      <c r="O28" s="1203"/>
      <c r="P28" s="848"/>
      <c r="Q28" s="845"/>
      <c r="R28" s="1199"/>
      <c r="S28" s="844"/>
      <c r="T28" s="842"/>
      <c r="U28" s="842"/>
      <c r="V28" s="842"/>
      <c r="W28" s="849"/>
      <c r="X28" s="767"/>
      <c r="Y28" s="842"/>
      <c r="Z28" s="422"/>
    </row>
    <row r="29" spans="1:26" s="221" customFormat="1" ht="15" customHeight="1" x14ac:dyDescent="0.2">
      <c r="A29" s="1393" t="s">
        <v>151</v>
      </c>
      <c r="B29" s="1218">
        <v>205</v>
      </c>
      <c r="C29" s="609" t="s">
        <v>860</v>
      </c>
      <c r="D29" s="611" t="s">
        <v>844</v>
      </c>
      <c r="E29" s="422"/>
      <c r="F29" s="610" t="s">
        <v>861</v>
      </c>
      <c r="G29" s="235" t="s">
        <v>851</v>
      </c>
      <c r="H29" s="422" t="s">
        <v>859</v>
      </c>
      <c r="I29" s="234" t="s">
        <v>853</v>
      </c>
      <c r="J29" s="1213">
        <v>2</v>
      </c>
      <c r="K29" s="699" t="s">
        <v>1023</v>
      </c>
      <c r="L29" s="1251"/>
      <c r="M29" s="842"/>
      <c r="N29" s="842"/>
      <c r="O29" s="1203"/>
      <c r="P29" s="848"/>
      <c r="Q29" s="845"/>
      <c r="R29" s="1199"/>
      <c r="S29" s="844"/>
      <c r="T29" s="842"/>
      <c r="U29" s="842"/>
      <c r="V29" s="842"/>
      <c r="W29" s="849"/>
      <c r="X29" s="767"/>
      <c r="Y29" s="842"/>
      <c r="Z29" s="422"/>
    </row>
    <row r="30" spans="1:26" s="221" customFormat="1" ht="28.5" customHeight="1" x14ac:dyDescent="0.2">
      <c r="A30" s="1393" t="s">
        <v>151</v>
      </c>
      <c r="B30" s="1218">
        <v>206</v>
      </c>
      <c r="C30" s="609" t="s">
        <v>862</v>
      </c>
      <c r="D30" s="611" t="s">
        <v>844</v>
      </c>
      <c r="E30" s="422"/>
      <c r="F30" s="610" t="s">
        <v>863</v>
      </c>
      <c r="G30" s="235" t="s">
        <v>864</v>
      </c>
      <c r="H30" s="422" t="s">
        <v>865</v>
      </c>
      <c r="I30" s="234" t="s">
        <v>853</v>
      </c>
      <c r="J30" s="1213">
        <v>1</v>
      </c>
      <c r="K30" s="699" t="s">
        <v>1023</v>
      </c>
      <c r="L30" s="1251"/>
      <c r="M30" s="842"/>
      <c r="N30" s="842"/>
      <c r="O30" s="1203"/>
      <c r="P30" s="848"/>
      <c r="Q30" s="845"/>
      <c r="R30" s="1199"/>
      <c r="S30" s="844"/>
      <c r="T30" s="842"/>
      <c r="U30" s="842"/>
      <c r="V30" s="842"/>
      <c r="W30" s="849"/>
      <c r="X30" s="767"/>
      <c r="Y30" s="842"/>
      <c r="Z30" s="422"/>
    </row>
    <row r="31" spans="1:26" s="221" customFormat="1" ht="28.5" customHeight="1" x14ac:dyDescent="0.2">
      <c r="A31" s="1393" t="s">
        <v>151</v>
      </c>
      <c r="B31" s="1218">
        <v>207</v>
      </c>
      <c r="C31" s="609" t="s">
        <v>866</v>
      </c>
      <c r="D31" s="611" t="s">
        <v>844</v>
      </c>
      <c r="E31" s="422"/>
      <c r="F31" s="610" t="s">
        <v>867</v>
      </c>
      <c r="G31" s="235" t="s">
        <v>868</v>
      </c>
      <c r="H31" s="422" t="s">
        <v>865</v>
      </c>
      <c r="I31" s="234" t="s">
        <v>853</v>
      </c>
      <c r="J31" s="1213">
        <v>1</v>
      </c>
      <c r="K31" s="699" t="s">
        <v>1023</v>
      </c>
      <c r="L31" s="1251"/>
      <c r="M31" s="842"/>
      <c r="N31" s="842"/>
      <c r="O31" s="1203"/>
      <c r="P31" s="848"/>
      <c r="Q31" s="845"/>
      <c r="R31" s="1199"/>
      <c r="S31" s="844"/>
      <c r="T31" s="842"/>
      <c r="U31" s="842"/>
      <c r="V31" s="842"/>
      <c r="W31" s="849"/>
      <c r="X31" s="767"/>
      <c r="Y31" s="842"/>
      <c r="Z31" s="422"/>
    </row>
    <row r="32" spans="1:26" s="221" customFormat="1" ht="15" customHeight="1" x14ac:dyDescent="0.2">
      <c r="A32" s="1393" t="s">
        <v>869</v>
      </c>
      <c r="B32" s="1218">
        <v>201</v>
      </c>
      <c r="C32" s="609" t="s">
        <v>1619</v>
      </c>
      <c r="D32" s="611" t="s">
        <v>891</v>
      </c>
      <c r="E32" s="422"/>
      <c r="F32" s="610" t="s">
        <v>2665</v>
      </c>
      <c r="G32" s="235"/>
      <c r="H32" s="422" t="s">
        <v>647</v>
      </c>
      <c r="I32" s="234" t="s">
        <v>882</v>
      </c>
      <c r="J32" s="1213">
        <v>1</v>
      </c>
      <c r="K32" s="699">
        <v>92000</v>
      </c>
      <c r="L32" s="1253">
        <v>2010</v>
      </c>
      <c r="M32" s="238">
        <f>K32</f>
        <v>92000</v>
      </c>
      <c r="N32" s="1159" t="s">
        <v>1632</v>
      </c>
      <c r="O32" s="460">
        <v>-7.5</v>
      </c>
      <c r="P32" s="1349" t="s">
        <v>3079</v>
      </c>
      <c r="Q32" s="1350">
        <v>0.7</v>
      </c>
      <c r="R32" s="1351">
        <v>2.2000000000000002</v>
      </c>
      <c r="S32" s="460">
        <f ca="1">IF(N32&lt;&gt;"",VLOOKUP(N32,INDIRECT(LU_SENS),2,FALSE),"")</f>
        <v>-8.9823875900000001</v>
      </c>
      <c r="T32" s="239">
        <f ca="1">S32/O32</f>
        <v>1.1976516786666667</v>
      </c>
      <c r="U32" s="238">
        <f ca="1">M32*T32^Q32</f>
        <v>104380.45764152837</v>
      </c>
      <c r="V32" s="238">
        <f ca="1">U32*VLOOKUP(DCFROR!$B$34,INDIRECT(IX_CAP),4,FALSE)/VLOOKUP(L32,INDIRECT(IX_CAP),4,FALSE)</f>
        <v>102655.94390779943</v>
      </c>
      <c r="W32" s="676">
        <f ca="1">V32*R32</f>
        <v>225843.07659715877</v>
      </c>
      <c r="X32" s="766"/>
      <c r="Y32" s="238" t="s">
        <v>2248</v>
      </c>
      <c r="Z32" s="1488"/>
    </row>
    <row r="33" spans="1:26" s="221" customFormat="1" ht="15" customHeight="1" x14ac:dyDescent="0.2">
      <c r="A33" s="1393" t="s">
        <v>869</v>
      </c>
      <c r="B33" s="1218">
        <v>244</v>
      </c>
      <c r="C33" s="609" t="s">
        <v>950</v>
      </c>
      <c r="D33" s="611" t="s">
        <v>891</v>
      </c>
      <c r="E33" s="422"/>
      <c r="F33" s="610" t="s">
        <v>2153</v>
      </c>
      <c r="G33" s="232"/>
      <c r="H33" s="422" t="s">
        <v>647</v>
      </c>
      <c r="I33" s="234" t="s">
        <v>882</v>
      </c>
      <c r="J33" s="1213">
        <v>1</v>
      </c>
      <c r="K33" s="699">
        <v>34000</v>
      </c>
      <c r="L33" s="1253">
        <v>2009</v>
      </c>
      <c r="M33" s="238">
        <f>K33</f>
        <v>34000</v>
      </c>
      <c r="N33" s="1159" t="s">
        <v>1633</v>
      </c>
      <c r="O33" s="460">
        <v>1.83</v>
      </c>
      <c r="P33" s="1349" t="s">
        <v>3079</v>
      </c>
      <c r="Q33" s="1350">
        <v>0.7</v>
      </c>
      <c r="R33" s="1351">
        <v>2.2000000000000002</v>
      </c>
      <c r="S33" s="460">
        <f ca="1">IF(N33&lt;&gt;"",VLOOKUP(N33,INDIRECT(LU_SENS),2,FALSE),"")</f>
        <v>7.0084537100000004</v>
      </c>
      <c r="T33" s="239">
        <f ca="1">S33/O33</f>
        <v>3.8297561256830601</v>
      </c>
      <c r="U33" s="238">
        <f ca="1">M33*T33^Q33</f>
        <v>87035.95534471907</v>
      </c>
      <c r="V33" s="238">
        <f ca="1">U33*VLOOKUP(DCFROR!$B$34,INDIRECT(IX_CAP),4,FALSE)/VLOOKUP(L33,INDIRECT(IX_CAP),4,FALSE)</f>
        <v>90337.951734497663</v>
      </c>
      <c r="W33" s="676">
        <f ca="1">V33*R33</f>
        <v>198743.49381589488</v>
      </c>
      <c r="X33" s="766"/>
      <c r="Y33" s="238" t="s">
        <v>2248</v>
      </c>
      <c r="Z33" s="422"/>
    </row>
    <row r="34" spans="1:26" s="221" customFormat="1" ht="15" customHeight="1" x14ac:dyDescent="0.2">
      <c r="A34" s="1393" t="s">
        <v>837</v>
      </c>
      <c r="B34" s="1218">
        <v>201</v>
      </c>
      <c r="C34" s="609" t="s">
        <v>870</v>
      </c>
      <c r="D34" s="611" t="s">
        <v>844</v>
      </c>
      <c r="E34" s="422"/>
      <c r="F34" s="610" t="s">
        <v>871</v>
      </c>
      <c r="G34" s="235" t="s">
        <v>851</v>
      </c>
      <c r="H34" s="422" t="s">
        <v>872</v>
      </c>
      <c r="I34" s="234" t="s">
        <v>853</v>
      </c>
      <c r="J34" s="1213">
        <v>2</v>
      </c>
      <c r="K34" s="699" t="s">
        <v>1023</v>
      </c>
      <c r="L34" s="1251"/>
      <c r="M34" s="842"/>
      <c r="N34" s="842"/>
      <c r="O34" s="1203"/>
      <c r="P34" s="848"/>
      <c r="Q34" s="845"/>
      <c r="R34" s="1199"/>
      <c r="S34" s="844"/>
      <c r="T34" s="842"/>
      <c r="U34" s="842"/>
      <c r="V34" s="842"/>
      <c r="W34" s="849"/>
      <c r="X34" s="767"/>
      <c r="Y34" s="842"/>
      <c r="Z34" s="422"/>
    </row>
    <row r="35" spans="1:26" s="221" customFormat="1" ht="15" customHeight="1" x14ac:dyDescent="0.2">
      <c r="A35" s="1393" t="s">
        <v>837</v>
      </c>
      <c r="B35" s="1218">
        <v>202</v>
      </c>
      <c r="C35" s="609" t="s">
        <v>873</v>
      </c>
      <c r="D35" s="611" t="s">
        <v>844</v>
      </c>
      <c r="E35" s="422"/>
      <c r="F35" s="610"/>
      <c r="G35" s="235" t="s">
        <v>874</v>
      </c>
      <c r="H35" s="422" t="s">
        <v>847</v>
      </c>
      <c r="I35" s="234" t="s">
        <v>853</v>
      </c>
      <c r="J35" s="1213">
        <v>2</v>
      </c>
      <c r="K35" s="699" t="s">
        <v>1023</v>
      </c>
      <c r="L35" s="1251"/>
      <c r="M35" s="842"/>
      <c r="N35" s="842"/>
      <c r="O35" s="1203"/>
      <c r="P35" s="848"/>
      <c r="Q35" s="845"/>
      <c r="R35" s="1199"/>
      <c r="S35" s="844"/>
      <c r="T35" s="842"/>
      <c r="U35" s="842"/>
      <c r="V35" s="842"/>
      <c r="W35" s="849"/>
      <c r="X35" s="767"/>
      <c r="Y35" s="842"/>
      <c r="Z35" s="422"/>
    </row>
    <row r="36" spans="1:26" s="221" customFormat="1" ht="26.4" x14ac:dyDescent="0.2">
      <c r="A36" s="1393" t="s">
        <v>837</v>
      </c>
      <c r="B36" s="1218">
        <v>203</v>
      </c>
      <c r="C36" s="609" t="s">
        <v>875</v>
      </c>
      <c r="D36" s="611" t="s">
        <v>844</v>
      </c>
      <c r="E36" s="422"/>
      <c r="F36" s="610"/>
      <c r="G36" s="235" t="s">
        <v>3307</v>
      </c>
      <c r="H36" s="422" t="s">
        <v>847</v>
      </c>
      <c r="I36" s="234" t="s">
        <v>853</v>
      </c>
      <c r="J36" s="1213">
        <v>2</v>
      </c>
      <c r="K36" s="699" t="s">
        <v>1023</v>
      </c>
      <c r="L36" s="1251"/>
      <c r="M36" s="842"/>
      <c r="N36" s="842"/>
      <c r="O36" s="1203"/>
      <c r="P36" s="848"/>
      <c r="Q36" s="845"/>
      <c r="R36" s="1199"/>
      <c r="S36" s="844"/>
      <c r="T36" s="842"/>
      <c r="U36" s="842"/>
      <c r="V36" s="842"/>
      <c r="W36" s="849"/>
      <c r="X36" s="767"/>
      <c r="Y36" s="842"/>
      <c r="Z36" s="422"/>
    </row>
    <row r="37" spans="1:26" s="221" customFormat="1" ht="15" customHeight="1" x14ac:dyDescent="0.2">
      <c r="A37" s="1393" t="s">
        <v>837</v>
      </c>
      <c r="B37" s="1218">
        <v>204</v>
      </c>
      <c r="C37" s="609" t="s">
        <v>877</v>
      </c>
      <c r="D37" s="611" t="s">
        <v>844</v>
      </c>
      <c r="E37" s="422"/>
      <c r="F37" s="610" t="s">
        <v>3314</v>
      </c>
      <c r="G37" s="235" t="s">
        <v>878</v>
      </c>
      <c r="H37" s="422" t="s">
        <v>859</v>
      </c>
      <c r="I37" s="234" t="s">
        <v>853</v>
      </c>
      <c r="J37" s="1213">
        <v>1</v>
      </c>
      <c r="K37" s="699" t="s">
        <v>1023</v>
      </c>
      <c r="L37" s="1251"/>
      <c r="M37" s="842"/>
      <c r="N37" s="842"/>
      <c r="O37" s="1203"/>
      <c r="P37" s="848"/>
      <c r="Q37" s="845"/>
      <c r="R37" s="1199"/>
      <c r="S37" s="844"/>
      <c r="T37" s="842"/>
      <c r="U37" s="842"/>
      <c r="V37" s="842"/>
      <c r="W37" s="849"/>
      <c r="X37" s="767"/>
      <c r="Y37" s="842"/>
      <c r="Z37" s="422"/>
    </row>
    <row r="38" spans="1:26" s="221" customFormat="1" ht="28.5" customHeight="1" x14ac:dyDescent="0.2">
      <c r="A38" s="1393" t="s">
        <v>837</v>
      </c>
      <c r="B38" s="1218">
        <v>205</v>
      </c>
      <c r="C38" s="609" t="s">
        <v>873</v>
      </c>
      <c r="D38" s="611" t="s">
        <v>844</v>
      </c>
      <c r="E38" s="422"/>
      <c r="F38" s="610"/>
      <c r="G38" s="235" t="s">
        <v>874</v>
      </c>
      <c r="H38" s="422" t="s">
        <v>865</v>
      </c>
      <c r="I38" s="234" t="s">
        <v>853</v>
      </c>
      <c r="J38" s="1213">
        <v>2</v>
      </c>
      <c r="K38" s="699" t="s">
        <v>1023</v>
      </c>
      <c r="L38" s="1251"/>
      <c r="M38" s="842"/>
      <c r="N38" s="842"/>
      <c r="O38" s="1203"/>
      <c r="P38" s="848"/>
      <c r="Q38" s="845"/>
      <c r="R38" s="1199"/>
      <c r="S38" s="844"/>
      <c r="T38" s="842"/>
      <c r="U38" s="842"/>
      <c r="V38" s="842"/>
      <c r="W38" s="849"/>
      <c r="X38" s="767"/>
      <c r="Y38" s="842"/>
      <c r="Z38" s="422"/>
    </row>
    <row r="39" spans="1:26" s="221" customFormat="1" ht="28.5" customHeight="1" x14ac:dyDescent="0.2">
      <c r="A39" s="1393" t="s">
        <v>837</v>
      </c>
      <c r="B39" s="1218">
        <v>206</v>
      </c>
      <c r="C39" s="609" t="s">
        <v>875</v>
      </c>
      <c r="D39" s="611" t="s">
        <v>844</v>
      </c>
      <c r="E39" s="422"/>
      <c r="F39" s="610"/>
      <c r="G39" s="235" t="s">
        <v>876</v>
      </c>
      <c r="H39" s="422" t="s">
        <v>865</v>
      </c>
      <c r="I39" s="234" t="s">
        <v>853</v>
      </c>
      <c r="J39" s="1213">
        <v>2</v>
      </c>
      <c r="K39" s="699" t="s">
        <v>1023</v>
      </c>
      <c r="L39" s="1251"/>
      <c r="M39" s="842"/>
      <c r="N39" s="842"/>
      <c r="O39" s="1203"/>
      <c r="P39" s="848"/>
      <c r="Q39" s="845"/>
      <c r="R39" s="1199"/>
      <c r="S39" s="844"/>
      <c r="T39" s="842"/>
      <c r="U39" s="842"/>
      <c r="V39" s="842"/>
      <c r="W39" s="849"/>
      <c r="X39" s="767"/>
      <c r="Y39" s="842"/>
      <c r="Z39" s="422"/>
    </row>
    <row r="40" spans="1:26" s="221" customFormat="1" ht="28.5" customHeight="1" x14ac:dyDescent="0.2">
      <c r="A40" s="1393" t="s">
        <v>837</v>
      </c>
      <c r="B40" s="1218">
        <v>207</v>
      </c>
      <c r="C40" s="609" t="s">
        <v>879</v>
      </c>
      <c r="D40" s="611" t="s">
        <v>844</v>
      </c>
      <c r="E40" s="422"/>
      <c r="F40" s="610" t="s">
        <v>880</v>
      </c>
      <c r="G40" s="235"/>
      <c r="H40" s="422" t="s">
        <v>865</v>
      </c>
      <c r="I40" s="234" t="s">
        <v>848</v>
      </c>
      <c r="J40" s="1213">
        <v>3</v>
      </c>
      <c r="K40" s="699">
        <v>19812400</v>
      </c>
      <c r="L40" s="1253">
        <v>2009</v>
      </c>
      <c r="M40" s="238">
        <f>K40</f>
        <v>19812400</v>
      </c>
      <c r="N40" s="1159" t="s">
        <v>2370</v>
      </c>
      <c r="O40" s="1358">
        <v>83333</v>
      </c>
      <c r="P40" s="1359" t="s">
        <v>287</v>
      </c>
      <c r="Q40" s="1350">
        <v>0.6</v>
      </c>
      <c r="R40" s="1362">
        <v>1.5</v>
      </c>
      <c r="S40" s="460">
        <f t="shared" ref="S40:S48" ca="1" si="6">IF(N40&lt;&gt;"",VLOOKUP(N40,INDIRECT(LU_SENS),2,FALSE),"")</f>
        <v>83333.333299999998</v>
      </c>
      <c r="T40" s="239">
        <f t="shared" ref="T40:T48" ca="1" si="7">S40/O40</f>
        <v>1.0000039996159984</v>
      </c>
      <c r="U40" s="238">
        <f t="shared" ref="U40:U48" ca="1" si="8">M40*T40^Q40</f>
        <v>19812447.545157172</v>
      </c>
      <c r="V40" s="238">
        <f ca="1">U40*VLOOKUP(DCFROR!$B$34,INDIRECT(IX_CAP),4,FALSE)/VLOOKUP(L40,INDIRECT(IX_CAP),4,FALSE)</f>
        <v>20564098.170553058</v>
      </c>
      <c r="W40" s="676">
        <f t="shared" ref="W40:W48" ca="1" si="9">V40*R40</f>
        <v>30846147.255829588</v>
      </c>
      <c r="X40" s="767"/>
      <c r="Y40" s="238" t="s">
        <v>2254</v>
      </c>
      <c r="Z40" s="422"/>
    </row>
    <row r="41" spans="1:26" s="221" customFormat="1" ht="15" customHeight="1" x14ac:dyDescent="0.2">
      <c r="A41" s="1393" t="s">
        <v>881</v>
      </c>
      <c r="B41" s="1218">
        <v>201</v>
      </c>
      <c r="C41" s="609" t="s">
        <v>314</v>
      </c>
      <c r="D41" s="611" t="s">
        <v>991</v>
      </c>
      <c r="E41" s="616" t="s">
        <v>1621</v>
      </c>
      <c r="F41" s="610" t="s">
        <v>1622</v>
      </c>
      <c r="G41" s="254"/>
      <c r="H41" s="422" t="s">
        <v>909</v>
      </c>
      <c r="I41" s="234" t="s">
        <v>882</v>
      </c>
      <c r="J41" s="1213">
        <v>1</v>
      </c>
      <c r="K41" s="699">
        <v>8000</v>
      </c>
      <c r="L41" s="1253">
        <v>2009</v>
      </c>
      <c r="M41" s="238">
        <f t="shared" ref="M41:M53" si="10">K41</f>
        <v>8000</v>
      </c>
      <c r="N41" s="1159" t="s">
        <v>670</v>
      </c>
      <c r="O41" s="460">
        <v>3720</v>
      </c>
      <c r="P41" s="1349" t="s">
        <v>287</v>
      </c>
      <c r="Q41" s="1350">
        <v>0.8</v>
      </c>
      <c r="R41" s="1351">
        <v>2.2999999999999998</v>
      </c>
      <c r="S41" s="460">
        <f t="shared" ca="1" si="6"/>
        <v>1980.6120000000003</v>
      </c>
      <c r="T41" s="239">
        <f t="shared" ca="1" si="7"/>
        <v>0.53242258064516135</v>
      </c>
      <c r="U41" s="238">
        <f t="shared" ca="1" si="8"/>
        <v>4831.6465845222674</v>
      </c>
      <c r="V41" s="238">
        <f ca="1">U41*VLOOKUP(DCFROR!$B$34,INDIRECT(IX_CAP),4,FALSE)/VLOOKUP(L41,INDIRECT(IX_CAP),4,FALSE)</f>
        <v>5014.9510535269446</v>
      </c>
      <c r="W41" s="676">
        <f t="shared" ca="1" si="9"/>
        <v>11534.387423111972</v>
      </c>
      <c r="X41" s="766"/>
      <c r="Y41" s="238" t="s">
        <v>2249</v>
      </c>
      <c r="Z41" s="1489" t="s">
        <v>1635</v>
      </c>
    </row>
    <row r="42" spans="1:26" s="221" customFormat="1" ht="15" customHeight="1" x14ac:dyDescent="0.2">
      <c r="A42" s="1393" t="s">
        <v>881</v>
      </c>
      <c r="B42" s="1218">
        <v>203</v>
      </c>
      <c r="C42" s="609" t="s">
        <v>883</v>
      </c>
      <c r="D42" s="611" t="s">
        <v>990</v>
      </c>
      <c r="E42" s="718"/>
      <c r="F42" s="610" t="s">
        <v>2666</v>
      </c>
      <c r="G42" s="719">
        <v>125</v>
      </c>
      <c r="H42" s="422" t="s">
        <v>909</v>
      </c>
      <c r="I42" s="234" t="s">
        <v>882</v>
      </c>
      <c r="J42" s="1213">
        <v>1</v>
      </c>
      <c r="K42" s="699">
        <v>25635</v>
      </c>
      <c r="L42" s="1253">
        <v>2010</v>
      </c>
      <c r="M42" s="238">
        <f>K42</f>
        <v>25635</v>
      </c>
      <c r="N42" s="1159" t="s">
        <v>1630</v>
      </c>
      <c r="O42" s="460">
        <v>292407</v>
      </c>
      <c r="P42" s="1349" t="s">
        <v>287</v>
      </c>
      <c r="Q42" s="1350">
        <v>0.8</v>
      </c>
      <c r="R42" s="1351">
        <v>2.2999999999999998</v>
      </c>
      <c r="S42" s="460">
        <f t="shared" ca="1" si="6"/>
        <v>291537.27</v>
      </c>
      <c r="T42" s="239">
        <f t="shared" ca="1" si="7"/>
        <v>0.9970256184017483</v>
      </c>
      <c r="U42" s="238">
        <f t="shared" ca="1" si="8"/>
        <v>25573.983217244979</v>
      </c>
      <c r="V42" s="238">
        <f ca="1">U42*VLOOKUP(DCFROR!$B$34,INDIRECT(IX_CAP),4,FALSE)/VLOOKUP(L42,INDIRECT(IX_CAP),4,FALSE)</f>
        <v>25151.464612893258</v>
      </c>
      <c r="W42" s="676">
        <f t="shared" ca="1" si="9"/>
        <v>57848.368609654492</v>
      </c>
      <c r="X42" s="766"/>
      <c r="Y42" s="238" t="s">
        <v>2249</v>
      </c>
      <c r="Z42" s="1488" t="s">
        <v>951</v>
      </c>
    </row>
    <row r="43" spans="1:26" s="221" customFormat="1" ht="15" customHeight="1" x14ac:dyDescent="0.2">
      <c r="A43" s="1393" t="s">
        <v>881</v>
      </c>
      <c r="B43" s="1218">
        <v>204</v>
      </c>
      <c r="C43" s="609" t="s">
        <v>1624</v>
      </c>
      <c r="D43" s="611" t="s">
        <v>990</v>
      </c>
      <c r="E43" s="422"/>
      <c r="F43" s="610" t="s">
        <v>1623</v>
      </c>
      <c r="G43" s="232">
        <v>75</v>
      </c>
      <c r="H43" s="422" t="s">
        <v>909</v>
      </c>
      <c r="I43" s="234" t="s">
        <v>882</v>
      </c>
      <c r="J43" s="1213">
        <v>1</v>
      </c>
      <c r="K43" s="699">
        <v>30000</v>
      </c>
      <c r="L43" s="1253">
        <v>2009</v>
      </c>
      <c r="M43" s="238">
        <f>K43</f>
        <v>30000</v>
      </c>
      <c r="N43" s="1159" t="s">
        <v>1629</v>
      </c>
      <c r="O43" s="460">
        <v>204390</v>
      </c>
      <c r="P43" s="1349" t="s">
        <v>287</v>
      </c>
      <c r="Q43" s="1350">
        <v>0.8</v>
      </c>
      <c r="R43" s="1351">
        <v>2.2999999999999998</v>
      </c>
      <c r="S43" s="460">
        <f t="shared" ca="1" si="6"/>
        <v>277415.196</v>
      </c>
      <c r="T43" s="239">
        <f t="shared" ca="1" si="7"/>
        <v>1.3572836048730368</v>
      </c>
      <c r="U43" s="238">
        <f t="shared" ca="1" si="8"/>
        <v>38305.200263486069</v>
      </c>
      <c r="V43" s="238">
        <f ca="1">U43*VLOOKUP(DCFROR!$B$34,INDIRECT(IX_CAP),4,FALSE)/VLOOKUP(L43,INDIRECT(IX_CAP),4,FALSE)</f>
        <v>39758.434532918967</v>
      </c>
      <c r="W43" s="676">
        <f t="shared" ca="1" si="9"/>
        <v>91444.399425713622</v>
      </c>
      <c r="X43" s="766"/>
      <c r="Y43" s="238" t="s">
        <v>2249</v>
      </c>
      <c r="Z43" s="1489" t="s">
        <v>1636</v>
      </c>
    </row>
    <row r="44" spans="1:26" s="221" customFormat="1" ht="15" customHeight="1" x14ac:dyDescent="0.2">
      <c r="A44" s="1393" t="s">
        <v>881</v>
      </c>
      <c r="B44" s="1218">
        <v>208</v>
      </c>
      <c r="C44" s="609" t="s">
        <v>3323</v>
      </c>
      <c r="D44" s="611" t="s">
        <v>990</v>
      </c>
      <c r="E44" s="422"/>
      <c r="F44" s="610" t="s">
        <v>1623</v>
      </c>
      <c r="G44" s="232">
        <v>75</v>
      </c>
      <c r="H44" s="422" t="s">
        <v>909</v>
      </c>
      <c r="I44" s="234" t="s">
        <v>882</v>
      </c>
      <c r="J44" s="1213">
        <v>1</v>
      </c>
      <c r="K44" s="699">
        <v>17408</v>
      </c>
      <c r="L44" s="1253">
        <v>2010</v>
      </c>
      <c r="M44" s="238">
        <f>K44</f>
        <v>17408</v>
      </c>
      <c r="N44" s="1159" t="s">
        <v>1637</v>
      </c>
      <c r="O44" s="460">
        <v>292407</v>
      </c>
      <c r="P44" s="1349" t="s">
        <v>287</v>
      </c>
      <c r="Q44" s="1350">
        <v>0.8</v>
      </c>
      <c r="R44" s="1351">
        <v>2.2999999999999998</v>
      </c>
      <c r="S44" s="460">
        <f t="shared" ca="1" si="6"/>
        <v>291537.27</v>
      </c>
      <c r="T44" s="239">
        <f t="shared" ca="1" si="7"/>
        <v>0.9970256184017483</v>
      </c>
      <c r="U44" s="238">
        <f t="shared" ca="1" si="8"/>
        <v>17366.565236816878</v>
      </c>
      <c r="V44" s="238">
        <f ca="1">U44*VLOOKUP(DCFROR!$B$34,INDIRECT(IX_CAP),4,FALSE)/VLOOKUP(L44,INDIRECT(IX_CAP),4,FALSE)</f>
        <v>17079.644859810644</v>
      </c>
      <c r="W44" s="676">
        <f t="shared" ca="1" si="9"/>
        <v>39283.183177564475</v>
      </c>
      <c r="X44" s="766"/>
      <c r="Y44" s="238" t="s">
        <v>2249</v>
      </c>
      <c r="Z44" s="1489" t="s">
        <v>1636</v>
      </c>
    </row>
    <row r="45" spans="1:26" s="221" customFormat="1" ht="15" customHeight="1" x14ac:dyDescent="0.2">
      <c r="A45" s="1393" t="s">
        <v>881</v>
      </c>
      <c r="B45" s="1218">
        <v>209</v>
      </c>
      <c r="C45" s="609" t="s">
        <v>884</v>
      </c>
      <c r="D45" s="611" t="s">
        <v>991</v>
      </c>
      <c r="E45" s="422" t="s">
        <v>992</v>
      </c>
      <c r="F45" s="610" t="s">
        <v>885</v>
      </c>
      <c r="G45" s="232">
        <v>100</v>
      </c>
      <c r="H45" s="422" t="s">
        <v>909</v>
      </c>
      <c r="I45" s="234" t="s">
        <v>882</v>
      </c>
      <c r="J45" s="1213">
        <v>1</v>
      </c>
      <c r="K45" s="699">
        <v>22500</v>
      </c>
      <c r="L45" s="1253">
        <v>2009</v>
      </c>
      <c r="M45" s="238">
        <f t="shared" si="10"/>
        <v>22500</v>
      </c>
      <c r="N45" s="1159" t="s">
        <v>975</v>
      </c>
      <c r="O45" s="460">
        <v>402194</v>
      </c>
      <c r="P45" s="1349" t="s">
        <v>287</v>
      </c>
      <c r="Q45" s="1350">
        <v>0.8</v>
      </c>
      <c r="R45" s="1351">
        <v>2.2999999999999998</v>
      </c>
      <c r="S45" s="460">
        <f t="shared" ca="1" si="6"/>
        <v>429389.386</v>
      </c>
      <c r="T45" s="239">
        <f t="shared" ca="1" si="7"/>
        <v>1.0676175825596603</v>
      </c>
      <c r="U45" s="238">
        <f t="shared" ca="1" si="8"/>
        <v>23709.101295515244</v>
      </c>
      <c r="V45" s="238">
        <f ca="1">U45*VLOOKUP(DCFROR!$B$34,INDIRECT(IX_CAP),4,FALSE)/VLOOKUP(L45,INDIRECT(IX_CAP),4,FALSE)</f>
        <v>24608.584349071869</v>
      </c>
      <c r="W45" s="676">
        <f t="shared" ca="1" si="9"/>
        <v>56599.744002865293</v>
      </c>
      <c r="X45" s="766"/>
      <c r="Y45" s="238" t="s">
        <v>2249</v>
      </c>
      <c r="Z45" s="1489" t="s">
        <v>1636</v>
      </c>
    </row>
    <row r="46" spans="1:26" s="221" customFormat="1" ht="15" customHeight="1" x14ac:dyDescent="0.2">
      <c r="A46" s="1393" t="s">
        <v>881</v>
      </c>
      <c r="B46" s="1218">
        <v>239</v>
      </c>
      <c r="C46" s="609" t="s">
        <v>1625</v>
      </c>
      <c r="D46" s="611" t="s">
        <v>991</v>
      </c>
      <c r="E46" s="617" t="s">
        <v>992</v>
      </c>
      <c r="F46" s="610" t="s">
        <v>886</v>
      </c>
      <c r="G46" s="232">
        <v>60</v>
      </c>
      <c r="H46" s="422" t="s">
        <v>909</v>
      </c>
      <c r="I46" s="234" t="s">
        <v>882</v>
      </c>
      <c r="J46" s="1213">
        <v>1</v>
      </c>
      <c r="K46" s="699">
        <v>0</v>
      </c>
      <c r="L46" s="1253">
        <v>2009</v>
      </c>
      <c r="M46" s="238">
        <f t="shared" si="10"/>
        <v>0</v>
      </c>
      <c r="N46" s="1159" t="s">
        <v>976</v>
      </c>
      <c r="O46" s="460">
        <v>402194</v>
      </c>
      <c r="P46" s="1349" t="s">
        <v>287</v>
      </c>
      <c r="Q46" s="1350">
        <v>0.8</v>
      </c>
      <c r="R46" s="1351">
        <v>2.2999999999999998</v>
      </c>
      <c r="S46" s="460">
        <f t="shared" ca="1" si="6"/>
        <v>429389.71100000001</v>
      </c>
      <c r="T46" s="239">
        <f t="shared" ca="1" si="7"/>
        <v>1.0676183906274086</v>
      </c>
      <c r="U46" s="238">
        <f t="shared" ca="1" si="8"/>
        <v>0</v>
      </c>
      <c r="V46" s="238">
        <f ca="1">U46*VLOOKUP(DCFROR!$B$34,INDIRECT(IX_CAP),4,FALSE)/VLOOKUP(L46,INDIRECT(IX_CAP),4,FALSE)</f>
        <v>0</v>
      </c>
      <c r="W46" s="676">
        <f t="shared" ca="1" si="9"/>
        <v>0</v>
      </c>
      <c r="X46" s="766"/>
      <c r="Y46" s="238" t="s">
        <v>2249</v>
      </c>
      <c r="Z46" s="1489" t="s">
        <v>1636</v>
      </c>
    </row>
    <row r="47" spans="1:26" s="221" customFormat="1" ht="15" customHeight="1" x14ac:dyDescent="0.2">
      <c r="A47" s="1393" t="s">
        <v>911</v>
      </c>
      <c r="B47" s="1218">
        <v>205</v>
      </c>
      <c r="C47" s="609" t="s">
        <v>1881</v>
      </c>
      <c r="D47" s="611" t="s">
        <v>1702</v>
      </c>
      <c r="E47" s="617"/>
      <c r="F47" s="610"/>
      <c r="G47" s="232"/>
      <c r="H47" s="422"/>
      <c r="I47" s="234"/>
      <c r="J47" s="1213"/>
      <c r="K47" s="699">
        <v>35000000</v>
      </c>
      <c r="L47" s="1253">
        <v>2009</v>
      </c>
      <c r="M47" s="238">
        <f t="shared" si="10"/>
        <v>35000000</v>
      </c>
      <c r="N47" s="1159" t="s">
        <v>1882</v>
      </c>
      <c r="O47" s="460">
        <v>39000</v>
      </c>
      <c r="P47" s="1349" t="s">
        <v>287</v>
      </c>
      <c r="Q47" s="1350">
        <v>0.7</v>
      </c>
      <c r="R47" s="1351">
        <v>1.7</v>
      </c>
      <c r="S47" s="460">
        <f t="shared" ca="1" si="6"/>
        <v>0</v>
      </c>
      <c r="T47" s="239">
        <f t="shared" ca="1" si="7"/>
        <v>0</v>
      </c>
      <c r="U47" s="238">
        <f t="shared" ca="1" si="8"/>
        <v>0</v>
      </c>
      <c r="V47" s="238">
        <f ca="1">U47*VLOOKUP(DCFROR!$B$34,INDIRECT(IX_CAP),4,FALSE)/VLOOKUP(L47,INDIRECT(IX_CAP),4,FALSE)</f>
        <v>0</v>
      </c>
      <c r="W47" s="676">
        <f t="shared" ca="1" si="9"/>
        <v>0</v>
      </c>
      <c r="X47" s="766"/>
      <c r="Y47" s="238" t="s">
        <v>2245</v>
      </c>
      <c r="Z47" s="422"/>
    </row>
    <row r="48" spans="1:26" s="221" customFormat="1" ht="15" customHeight="1" x14ac:dyDescent="0.2">
      <c r="A48" s="1393" t="s">
        <v>887</v>
      </c>
      <c r="B48" s="1218">
        <v>201</v>
      </c>
      <c r="C48" s="609" t="s">
        <v>635</v>
      </c>
      <c r="D48" s="611"/>
      <c r="E48" s="422"/>
      <c r="F48" s="610" t="s">
        <v>888</v>
      </c>
      <c r="G48" s="235"/>
      <c r="H48" s="422" t="s">
        <v>648</v>
      </c>
      <c r="I48" s="234" t="s">
        <v>882</v>
      </c>
      <c r="J48" s="1213">
        <v>1</v>
      </c>
      <c r="K48" s="699">
        <v>6210</v>
      </c>
      <c r="L48" s="1253">
        <v>2010</v>
      </c>
      <c r="M48" s="238">
        <f t="shared" si="10"/>
        <v>6210</v>
      </c>
      <c r="N48" s="1159" t="s">
        <v>670</v>
      </c>
      <c r="O48" s="460">
        <v>1981</v>
      </c>
      <c r="P48" s="1349" t="s">
        <v>287</v>
      </c>
      <c r="Q48" s="1350">
        <v>0.7</v>
      </c>
      <c r="R48" s="1351">
        <v>3</v>
      </c>
      <c r="S48" s="460">
        <f t="shared" ca="1" si="6"/>
        <v>1980.6120000000003</v>
      </c>
      <c r="T48" s="239">
        <f t="shared" ca="1" si="7"/>
        <v>0.99980413932357415</v>
      </c>
      <c r="U48" s="238">
        <f t="shared" ca="1" si="8"/>
        <v>6209.1485686239002</v>
      </c>
      <c r="V48" s="238">
        <f ca="1">U48*VLOOKUP(DCFROR!$B$34,INDIRECT(IX_CAP),4,FALSE)/VLOOKUP(L48,INDIRECT(IX_CAP),4,FALSE)</f>
        <v>6106.5645962664621</v>
      </c>
      <c r="W48" s="676">
        <f t="shared" ca="1" si="9"/>
        <v>18319.693788799384</v>
      </c>
      <c r="X48" s="766"/>
      <c r="Y48" s="238" t="s">
        <v>2250</v>
      </c>
      <c r="Z48" s="1488" t="s">
        <v>952</v>
      </c>
    </row>
    <row r="49" spans="1:26" s="221" customFormat="1" ht="15" customHeight="1" x14ac:dyDescent="0.2">
      <c r="A49" s="1393" t="s">
        <v>887</v>
      </c>
      <c r="B49" s="1218">
        <v>203</v>
      </c>
      <c r="C49" s="609" t="s">
        <v>318</v>
      </c>
      <c r="D49" s="611" t="s">
        <v>844</v>
      </c>
      <c r="E49" s="422"/>
      <c r="F49" s="610" t="s">
        <v>3312</v>
      </c>
      <c r="G49" s="235"/>
      <c r="H49" s="422" t="s">
        <v>419</v>
      </c>
      <c r="I49" s="234" t="s">
        <v>853</v>
      </c>
      <c r="J49" s="1213">
        <v>1</v>
      </c>
      <c r="K49" s="699" t="s">
        <v>1023</v>
      </c>
      <c r="L49" s="1251"/>
      <c r="M49" s="842"/>
      <c r="N49" s="842"/>
      <c r="O49" s="844"/>
      <c r="P49" s="848"/>
      <c r="Q49" s="845"/>
      <c r="R49" s="1199"/>
      <c r="S49" s="844"/>
      <c r="T49" s="842"/>
      <c r="U49" s="842"/>
      <c r="V49" s="842"/>
      <c r="W49" s="849"/>
      <c r="X49" s="767"/>
      <c r="Y49" s="842"/>
      <c r="Z49" s="422"/>
    </row>
    <row r="50" spans="1:26" s="221" customFormat="1" ht="15" customHeight="1" x14ac:dyDescent="0.2">
      <c r="A50" s="1393" t="s">
        <v>887</v>
      </c>
      <c r="B50" s="1218">
        <v>204</v>
      </c>
      <c r="C50" s="609" t="s">
        <v>1626</v>
      </c>
      <c r="D50" s="611"/>
      <c r="E50" s="422"/>
      <c r="F50" s="610" t="s">
        <v>1627</v>
      </c>
      <c r="G50" s="235"/>
      <c r="H50" s="422" t="s">
        <v>419</v>
      </c>
      <c r="I50" s="234" t="s">
        <v>882</v>
      </c>
      <c r="J50" s="1213">
        <v>1</v>
      </c>
      <c r="K50" s="699">
        <v>511000</v>
      </c>
      <c r="L50" s="1253">
        <v>2009</v>
      </c>
      <c r="M50" s="238">
        <f>K50</f>
        <v>511000</v>
      </c>
      <c r="N50" s="1159" t="s">
        <v>1637</v>
      </c>
      <c r="O50" s="1363">
        <v>264116</v>
      </c>
      <c r="P50" s="1359" t="s">
        <v>287</v>
      </c>
      <c r="Q50" s="1350">
        <v>0.7</v>
      </c>
      <c r="R50" s="1351">
        <v>2</v>
      </c>
      <c r="S50" s="460">
        <f ca="1">IF(N50&lt;&gt;"",VLOOKUP(N50,INDIRECT(LU_SENS),2,FALSE),"")</f>
        <v>291537.27</v>
      </c>
      <c r="T50" s="239">
        <f ca="1">S50/O50</f>
        <v>1.1038228278483697</v>
      </c>
      <c r="U50" s="238">
        <f ca="1">M50*T50^Q50</f>
        <v>547583.63459309726</v>
      </c>
      <c r="V50" s="238">
        <f ca="1">U50*VLOOKUP(DCFROR!$B$34,INDIRECT(IX_CAP),4,FALSE)/VLOOKUP(L50,INDIRECT(IX_CAP),4,FALSE)</f>
        <v>568358.02808791108</v>
      </c>
      <c r="W50" s="676">
        <f ca="1">V50*R50</f>
        <v>1136716.0561758222</v>
      </c>
      <c r="X50" s="766"/>
      <c r="Y50" s="238" t="s">
        <v>2251</v>
      </c>
      <c r="Z50" s="422" t="s">
        <v>1616</v>
      </c>
    </row>
    <row r="51" spans="1:26" s="221" customFormat="1" ht="28.5" customHeight="1" x14ac:dyDescent="0.2">
      <c r="A51" s="1393" t="s">
        <v>887</v>
      </c>
      <c r="B51" s="1218">
        <v>208</v>
      </c>
      <c r="C51" s="609" t="s">
        <v>2194</v>
      </c>
      <c r="D51" s="611"/>
      <c r="E51" s="422"/>
      <c r="F51" s="610" t="s">
        <v>1628</v>
      </c>
      <c r="G51" s="235"/>
      <c r="H51" s="422" t="s">
        <v>419</v>
      </c>
      <c r="I51" s="234" t="s">
        <v>882</v>
      </c>
      <c r="J51" s="1213">
        <v>1</v>
      </c>
      <c r="K51" s="699">
        <v>203000</v>
      </c>
      <c r="L51" s="1253">
        <v>2009</v>
      </c>
      <c r="M51" s="238">
        <f>K51</f>
        <v>203000</v>
      </c>
      <c r="N51" s="1159" t="s">
        <v>1637</v>
      </c>
      <c r="O51" s="1363">
        <v>264116</v>
      </c>
      <c r="P51" s="1359" t="s">
        <v>287</v>
      </c>
      <c r="Q51" s="1350">
        <v>0.7</v>
      </c>
      <c r="R51" s="1351">
        <v>2</v>
      </c>
      <c r="S51" s="460">
        <f ca="1">IF(N51&lt;&gt;"",VLOOKUP(N51,INDIRECT(LU_SENS),2,FALSE),"")</f>
        <v>291537.27</v>
      </c>
      <c r="T51" s="239">
        <f ca="1">S51/O51</f>
        <v>1.1038228278483697</v>
      </c>
      <c r="U51" s="238">
        <f ca="1">M51*T51^Q51</f>
        <v>217533.22470136741</v>
      </c>
      <c r="V51" s="238">
        <f ca="1">U51*VLOOKUP(DCFROR!$B$34,INDIRECT(IX_CAP),4,FALSE)/VLOOKUP(L51,INDIRECT(IX_CAP),4,FALSE)</f>
        <v>225786.06595273182</v>
      </c>
      <c r="W51" s="676">
        <f ca="1">V51*R51</f>
        <v>451572.13190546364</v>
      </c>
      <c r="X51" s="766"/>
      <c r="Y51" s="238" t="s">
        <v>2251</v>
      </c>
      <c r="Z51" s="422" t="s">
        <v>1616</v>
      </c>
    </row>
    <row r="52" spans="1:26" s="221" customFormat="1" ht="15" customHeight="1" x14ac:dyDescent="0.2">
      <c r="A52" s="1393" t="s">
        <v>887</v>
      </c>
      <c r="B52" s="1218">
        <v>209</v>
      </c>
      <c r="C52" s="609" t="s">
        <v>889</v>
      </c>
      <c r="D52" s="611"/>
      <c r="E52" s="422"/>
      <c r="F52" s="610" t="s">
        <v>890</v>
      </c>
      <c r="G52" s="235"/>
      <c r="H52" s="422" t="s">
        <v>638</v>
      </c>
      <c r="I52" s="234" t="s">
        <v>882</v>
      </c>
      <c r="J52" s="1213">
        <v>1</v>
      </c>
      <c r="K52" s="699">
        <v>236000</v>
      </c>
      <c r="L52" s="1253">
        <v>2009</v>
      </c>
      <c r="M52" s="238">
        <f t="shared" si="10"/>
        <v>236000</v>
      </c>
      <c r="N52" s="1159" t="s">
        <v>975</v>
      </c>
      <c r="O52" s="1363">
        <v>410369</v>
      </c>
      <c r="P52" s="1359" t="s">
        <v>287</v>
      </c>
      <c r="Q52" s="1350">
        <v>0.7</v>
      </c>
      <c r="R52" s="1351">
        <v>2</v>
      </c>
      <c r="S52" s="460">
        <f ca="1">IF(N52&lt;&gt;"",VLOOKUP(N52,INDIRECT(LU_SENS),2,FALSE),"")</f>
        <v>429389.386</v>
      </c>
      <c r="T52" s="239">
        <f ca="1">S52/O52</f>
        <v>1.0463494708420957</v>
      </c>
      <c r="U52" s="238">
        <f ca="1">M52*T52^Q52</f>
        <v>243604.73991270899</v>
      </c>
      <c r="V52" s="238">
        <f ca="1">U52*VLOOKUP(DCFROR!$B$34,INDIRECT(IX_CAP),4,FALSE)/VLOOKUP(L52,INDIRECT(IX_CAP),4,FALSE)</f>
        <v>252846.69019106048</v>
      </c>
      <c r="W52" s="676">
        <f ca="1">V52*R52</f>
        <v>505693.38038212096</v>
      </c>
      <c r="X52" s="766"/>
      <c r="Y52" s="238" t="s">
        <v>2251</v>
      </c>
      <c r="Z52" s="422"/>
    </row>
    <row r="53" spans="1:26" s="221" customFormat="1" ht="15" customHeight="1" x14ac:dyDescent="0.2">
      <c r="A53" s="1393" t="s">
        <v>887</v>
      </c>
      <c r="B53" s="1218">
        <v>224</v>
      </c>
      <c r="C53" s="609" t="s">
        <v>319</v>
      </c>
      <c r="D53" s="611" t="s">
        <v>891</v>
      </c>
      <c r="E53" s="422"/>
      <c r="F53" s="610" t="s">
        <v>892</v>
      </c>
      <c r="G53" s="235"/>
      <c r="H53" s="422" t="s">
        <v>638</v>
      </c>
      <c r="I53" s="234" t="s">
        <v>836</v>
      </c>
      <c r="J53" s="1213">
        <v>1</v>
      </c>
      <c r="K53" s="699">
        <v>0</v>
      </c>
      <c r="L53" s="1253">
        <v>2009</v>
      </c>
      <c r="M53" s="238">
        <f t="shared" si="10"/>
        <v>0</v>
      </c>
      <c r="N53" s="1159" t="s">
        <v>976</v>
      </c>
      <c r="O53" s="1363">
        <v>410369</v>
      </c>
      <c r="P53" s="1359" t="s">
        <v>287</v>
      </c>
      <c r="Q53" s="1350">
        <v>0.7</v>
      </c>
      <c r="R53" s="1351">
        <v>2</v>
      </c>
      <c r="S53" s="460">
        <f ca="1">IF(N53&lt;&gt;"",VLOOKUP(N53,INDIRECT(LU_SENS),2,FALSE),"")</f>
        <v>429389.71100000001</v>
      </c>
      <c r="T53" s="239">
        <f ca="1">S53/O53</f>
        <v>1.0463502628122494</v>
      </c>
      <c r="U53" s="238">
        <f ca="1">M53*T53^Q53</f>
        <v>0</v>
      </c>
      <c r="V53" s="238">
        <f ca="1">U53*VLOOKUP(DCFROR!$B$34,INDIRECT(IX_CAP),4,FALSE)/VLOOKUP(L53,INDIRECT(IX_CAP),4,FALSE)</f>
        <v>0</v>
      </c>
      <c r="W53" s="676">
        <f ca="1">V53*R53</f>
        <v>0</v>
      </c>
      <c r="X53" s="766"/>
      <c r="Y53" s="238" t="s">
        <v>2251</v>
      </c>
      <c r="Z53" s="422"/>
    </row>
    <row r="54" spans="1:26" s="225" customFormat="1" ht="15" customHeight="1" thickBot="1" x14ac:dyDescent="0.25">
      <c r="A54" s="1394"/>
      <c r="B54" s="1219"/>
      <c r="C54" s="678"/>
      <c r="D54" s="680"/>
      <c r="E54" s="679"/>
      <c r="F54" s="679"/>
      <c r="G54" s="681"/>
      <c r="H54" s="679"/>
      <c r="I54" s="682"/>
      <c r="J54" s="1202"/>
      <c r="K54" s="704"/>
      <c r="L54" s="1252"/>
      <c r="M54" s="677"/>
      <c r="N54" s="682"/>
      <c r="O54" s="1202"/>
      <c r="P54" s="688"/>
      <c r="Q54" s="1195"/>
      <c r="R54" s="1198"/>
      <c r="S54" s="687"/>
      <c r="T54" s="707" t="s">
        <v>2155</v>
      </c>
      <c r="U54" s="683">
        <f ca="1">SUM(U18:U53)</f>
        <v>21347895.433177151</v>
      </c>
      <c r="V54" s="677">
        <f ca="1">SUM(V18:V53)</f>
        <v>22149437.134685833</v>
      </c>
      <c r="W54" s="685">
        <f ca="1">SUM(W18:W53)</f>
        <v>33976997.194942616</v>
      </c>
      <c r="X54" s="768">
        <f ca="1">W54/V54</f>
        <v>1.5339891929684715</v>
      </c>
      <c r="Y54" s="1487"/>
      <c r="Z54" s="423"/>
    </row>
    <row r="55" spans="1:26" s="221" customFormat="1" ht="15" customHeight="1" x14ac:dyDescent="0.2">
      <c r="A55" s="1392" t="s">
        <v>828</v>
      </c>
      <c r="B55" s="1217">
        <v>300</v>
      </c>
      <c r="C55" s="606" t="s">
        <v>0</v>
      </c>
      <c r="D55" s="708" t="s">
        <v>989</v>
      </c>
      <c r="E55" s="421"/>
      <c r="F55" s="709"/>
      <c r="G55" s="710" t="s">
        <v>993</v>
      </c>
      <c r="H55" s="421" t="s">
        <v>638</v>
      </c>
      <c r="I55" s="711" t="s">
        <v>836</v>
      </c>
      <c r="J55" s="1212">
        <v>1</v>
      </c>
      <c r="K55" s="698">
        <v>52500</v>
      </c>
      <c r="L55" s="1352">
        <v>2009</v>
      </c>
      <c r="M55" s="674">
        <f t="shared" ref="M55:M60" si="11">K55</f>
        <v>52500</v>
      </c>
      <c r="N55" s="1353" t="s">
        <v>974</v>
      </c>
      <c r="O55" s="705">
        <v>1</v>
      </c>
      <c r="P55" s="1364" t="s">
        <v>977</v>
      </c>
      <c r="Q55" s="1356">
        <v>1</v>
      </c>
      <c r="R55" s="1357">
        <v>1.5</v>
      </c>
      <c r="S55" s="705">
        <f t="shared" ref="S55:S68" ca="1" si="12">IF(N55&lt;&gt;"",VLOOKUP(N55,INDIRECT(LU_SENS),2,FALSE),"")</f>
        <v>12</v>
      </c>
      <c r="T55" s="1391">
        <f t="shared" ref="T55:T79" ca="1" si="13">S55/O55</f>
        <v>12</v>
      </c>
      <c r="U55" s="674">
        <f t="shared" ref="U55:U68" ca="1" si="14">M55*T55^Q55</f>
        <v>630000</v>
      </c>
      <c r="V55" s="674">
        <f ca="1">U55*VLOOKUP(DCFROR!$B$34,INDIRECT(IX_CAP),4,FALSE)/VLOOKUP(L55,INDIRECT(IX_CAP),4,FALSE)</f>
        <v>653901.13048476726</v>
      </c>
      <c r="W55" s="675">
        <f t="shared" ref="W55:W79" ca="1" si="15">V55*R55</f>
        <v>980851.69572715089</v>
      </c>
      <c r="X55" s="766"/>
      <c r="Y55" s="238" t="s">
        <v>2247</v>
      </c>
      <c r="Z55" s="1488"/>
    </row>
    <row r="56" spans="1:26" s="221" customFormat="1" ht="15" customHeight="1" x14ac:dyDescent="0.2">
      <c r="A56" s="1393" t="s">
        <v>828</v>
      </c>
      <c r="B56" s="1218">
        <v>301</v>
      </c>
      <c r="C56" s="609" t="s">
        <v>321</v>
      </c>
      <c r="D56" s="611" t="s">
        <v>989</v>
      </c>
      <c r="E56" s="422"/>
      <c r="F56" s="610"/>
      <c r="G56" s="235" t="s">
        <v>994</v>
      </c>
      <c r="H56" s="422" t="s">
        <v>638</v>
      </c>
      <c r="I56" s="234" t="s">
        <v>836</v>
      </c>
      <c r="J56" s="1213">
        <v>1</v>
      </c>
      <c r="K56" s="699">
        <v>31800</v>
      </c>
      <c r="L56" s="1253">
        <v>2009</v>
      </c>
      <c r="M56" s="238">
        <f t="shared" si="11"/>
        <v>31800</v>
      </c>
      <c r="N56" s="1159" t="s">
        <v>546</v>
      </c>
      <c r="O56" s="1363">
        <v>40414</v>
      </c>
      <c r="P56" s="1359" t="s">
        <v>287</v>
      </c>
      <c r="Q56" s="1350">
        <v>0.5</v>
      </c>
      <c r="R56" s="1351">
        <v>1.5</v>
      </c>
      <c r="S56" s="460">
        <f t="shared" ca="1" si="12"/>
        <v>42590.408199999998</v>
      </c>
      <c r="T56" s="239">
        <f t="shared" ca="1" si="13"/>
        <v>1.0538528282278419</v>
      </c>
      <c r="U56" s="238">
        <f t="shared" ca="1" si="14"/>
        <v>32645.032302283344</v>
      </c>
      <c r="V56" s="238">
        <f ca="1">U56*VLOOKUP(DCFROR!$B$34,INDIRECT(IX_CAP),4,FALSE)/VLOOKUP(L56,INDIRECT(IX_CAP),4,FALSE)</f>
        <v>33883.529408214003</v>
      </c>
      <c r="W56" s="676">
        <f t="shared" ca="1" si="15"/>
        <v>50825.294112321004</v>
      </c>
      <c r="X56" s="766"/>
      <c r="Y56" s="238" t="s">
        <v>2247</v>
      </c>
      <c r="Z56" s="1488"/>
    </row>
    <row r="57" spans="1:26" s="221" customFormat="1" ht="15" customHeight="1" x14ac:dyDescent="0.2">
      <c r="A57" s="1393" t="s">
        <v>828</v>
      </c>
      <c r="B57" s="1218">
        <v>304</v>
      </c>
      <c r="C57" s="609" t="s">
        <v>322</v>
      </c>
      <c r="D57" s="611" t="s">
        <v>989</v>
      </c>
      <c r="E57" s="422"/>
      <c r="F57" s="610"/>
      <c r="G57" s="235" t="s">
        <v>995</v>
      </c>
      <c r="H57" s="422" t="s">
        <v>649</v>
      </c>
      <c r="I57" s="234" t="s">
        <v>836</v>
      </c>
      <c r="J57" s="1213">
        <v>2</v>
      </c>
      <c r="K57" s="699">
        <v>26000</v>
      </c>
      <c r="L57" s="1253">
        <v>2009</v>
      </c>
      <c r="M57" s="238">
        <f t="shared" si="11"/>
        <v>26000</v>
      </c>
      <c r="N57" s="1159"/>
      <c r="O57" s="1363">
        <v>2</v>
      </c>
      <c r="P57" s="1359" t="s">
        <v>977</v>
      </c>
      <c r="Q57" s="1350">
        <v>0.5</v>
      </c>
      <c r="R57" s="1351">
        <v>1.5</v>
      </c>
      <c r="S57" s="460">
        <v>2</v>
      </c>
      <c r="T57" s="239">
        <f t="shared" si="13"/>
        <v>1</v>
      </c>
      <c r="U57" s="238">
        <f t="shared" si="14"/>
        <v>26000</v>
      </c>
      <c r="V57" s="238">
        <f ca="1">U57*VLOOKUP(DCFROR!$B$34,INDIRECT(IX_CAP),4,FALSE)/VLOOKUP(L57,INDIRECT(IX_CAP),4,FALSE)</f>
        <v>26986.395861276113</v>
      </c>
      <c r="W57" s="676">
        <f t="shared" ca="1" si="15"/>
        <v>40479.593791914172</v>
      </c>
      <c r="X57" s="766"/>
      <c r="Y57" s="238" t="s">
        <v>2247</v>
      </c>
      <c r="Z57" s="1488"/>
    </row>
    <row r="58" spans="1:26" s="221" customFormat="1" ht="15" customHeight="1" x14ac:dyDescent="0.2">
      <c r="A58" s="1393" t="s">
        <v>828</v>
      </c>
      <c r="B58" s="1218">
        <v>305</v>
      </c>
      <c r="C58" s="609" t="s">
        <v>323</v>
      </c>
      <c r="D58" s="611" t="s">
        <v>989</v>
      </c>
      <c r="E58" s="422"/>
      <c r="F58" s="610"/>
      <c r="G58" s="235" t="s">
        <v>943</v>
      </c>
      <c r="H58" s="422" t="s">
        <v>649</v>
      </c>
      <c r="I58" s="234" t="s">
        <v>836</v>
      </c>
      <c r="J58" s="1213">
        <v>2</v>
      </c>
      <c r="K58" s="699">
        <v>43000</v>
      </c>
      <c r="L58" s="1253">
        <v>2009</v>
      </c>
      <c r="M58" s="238">
        <f t="shared" si="11"/>
        <v>43000</v>
      </c>
      <c r="N58" s="1159"/>
      <c r="O58" s="1363">
        <v>2</v>
      </c>
      <c r="P58" s="1359" t="s">
        <v>977</v>
      </c>
      <c r="Q58" s="1350">
        <v>0.5</v>
      </c>
      <c r="R58" s="1351">
        <v>1.5</v>
      </c>
      <c r="S58" s="460">
        <v>2</v>
      </c>
      <c r="T58" s="239">
        <f t="shared" si="13"/>
        <v>1</v>
      </c>
      <c r="U58" s="238">
        <f t="shared" si="14"/>
        <v>43000</v>
      </c>
      <c r="V58" s="238">
        <f ca="1">U58*VLOOKUP(DCFROR!$B$34,INDIRECT(IX_CAP),4,FALSE)/VLOOKUP(L58,INDIRECT(IX_CAP),4,FALSE)</f>
        <v>44631.347001341259</v>
      </c>
      <c r="W58" s="676">
        <f t="shared" ca="1" si="15"/>
        <v>66947.020502011888</v>
      </c>
      <c r="X58" s="766"/>
      <c r="Y58" s="238" t="s">
        <v>2247</v>
      </c>
      <c r="Z58" s="1488"/>
    </row>
    <row r="59" spans="1:26" s="221" customFormat="1" ht="15" customHeight="1" x14ac:dyDescent="0.2">
      <c r="A59" s="1393" t="s">
        <v>828</v>
      </c>
      <c r="B59" s="1218">
        <v>306</v>
      </c>
      <c r="C59" s="609" t="s">
        <v>2</v>
      </c>
      <c r="D59" s="611" t="s">
        <v>989</v>
      </c>
      <c r="E59" s="422"/>
      <c r="F59" s="610"/>
      <c r="G59" s="235" t="s">
        <v>937</v>
      </c>
      <c r="H59" s="422" t="s">
        <v>638</v>
      </c>
      <c r="I59" s="234" t="s">
        <v>836</v>
      </c>
      <c r="J59" s="1213">
        <v>2</v>
      </c>
      <c r="K59" s="699">
        <v>68300</v>
      </c>
      <c r="L59" s="1253">
        <v>2009</v>
      </c>
      <c r="M59" s="238">
        <f t="shared" si="11"/>
        <v>68300</v>
      </c>
      <c r="N59" s="1159" t="s">
        <v>1135</v>
      </c>
      <c r="O59" s="1363">
        <v>425878</v>
      </c>
      <c r="P59" s="1359" t="s">
        <v>287</v>
      </c>
      <c r="Q59" s="1350">
        <v>0.5</v>
      </c>
      <c r="R59" s="1351">
        <v>1.5</v>
      </c>
      <c r="S59" s="460">
        <f t="shared" ca="1" si="12"/>
        <v>450517.05599999998</v>
      </c>
      <c r="T59" s="239">
        <f t="shared" ca="1" si="13"/>
        <v>1.0578547283494333</v>
      </c>
      <c r="U59" s="238">
        <f t="shared" ca="1" si="14"/>
        <v>70247.960423986602</v>
      </c>
      <c r="V59" s="238">
        <f ca="1">U59*VLOOKUP(DCFROR!$B$34,INDIRECT(IX_CAP),4,FALSE)/VLOOKUP(L59,INDIRECT(IX_CAP),4,FALSE)</f>
        <v>72913.048786498461</v>
      </c>
      <c r="W59" s="676">
        <f t="shared" ca="1" si="15"/>
        <v>109369.57317974769</v>
      </c>
      <c r="X59" s="766"/>
      <c r="Y59" s="238" t="s">
        <v>2247</v>
      </c>
      <c r="Z59" s="1488"/>
    </row>
    <row r="60" spans="1:26" s="221" customFormat="1" ht="15" customHeight="1" x14ac:dyDescent="0.2">
      <c r="A60" s="1393" t="s">
        <v>828</v>
      </c>
      <c r="B60" s="1218">
        <v>308</v>
      </c>
      <c r="C60" s="609" t="s">
        <v>1638</v>
      </c>
      <c r="D60" s="611" t="s">
        <v>1639</v>
      </c>
      <c r="E60" s="422"/>
      <c r="F60" s="610" t="s">
        <v>1640</v>
      </c>
      <c r="G60" s="235" t="s">
        <v>1641</v>
      </c>
      <c r="H60" s="422" t="s">
        <v>419</v>
      </c>
      <c r="I60" s="234" t="s">
        <v>882</v>
      </c>
      <c r="J60" s="1213">
        <v>1</v>
      </c>
      <c r="K60" s="699">
        <v>109000</v>
      </c>
      <c r="L60" s="1253">
        <v>2009</v>
      </c>
      <c r="M60" s="238">
        <f t="shared" si="11"/>
        <v>109000</v>
      </c>
      <c r="N60" s="1159" t="s">
        <v>1106</v>
      </c>
      <c r="O60" s="1363">
        <v>379938</v>
      </c>
      <c r="P60" s="1359" t="s">
        <v>287</v>
      </c>
      <c r="Q60" s="1350">
        <v>0.5</v>
      </c>
      <c r="R60" s="1351">
        <v>1.7</v>
      </c>
      <c r="S60" s="460">
        <f t="shared" ca="1" si="12"/>
        <v>443226.19400000002</v>
      </c>
      <c r="T60" s="239">
        <f ca="1">S60/O60</f>
        <v>1.1665750569829816</v>
      </c>
      <c r="U60" s="238">
        <f t="shared" ca="1" si="14"/>
        <v>117728.83356261882</v>
      </c>
      <c r="V60" s="238">
        <f ca="1">U60*VLOOKUP(DCFROR!$B$34,INDIRECT(IX_CAP),4,FALSE)/VLOOKUP(L60,INDIRECT(IX_CAP),4,FALSE)</f>
        <v>122195.26564642772</v>
      </c>
      <c r="W60" s="676">
        <f ca="1">V60*R60</f>
        <v>207731.95159892712</v>
      </c>
      <c r="X60" s="766"/>
      <c r="Y60" s="238" t="s">
        <v>2245</v>
      </c>
      <c r="Z60" s="1488" t="s">
        <v>1642</v>
      </c>
    </row>
    <row r="61" spans="1:26" s="221" customFormat="1" ht="15" customHeight="1" x14ac:dyDescent="0.2">
      <c r="A61" s="1393" t="s">
        <v>893</v>
      </c>
      <c r="B61" s="1218">
        <v>300</v>
      </c>
      <c r="C61" s="609" t="s">
        <v>652</v>
      </c>
      <c r="D61" s="611" t="s">
        <v>891</v>
      </c>
      <c r="E61" s="422"/>
      <c r="F61" s="610" t="s">
        <v>894</v>
      </c>
      <c r="G61" s="235"/>
      <c r="H61" s="422" t="s">
        <v>647</v>
      </c>
      <c r="I61" s="234" t="s">
        <v>836</v>
      </c>
      <c r="J61" s="1213">
        <v>12</v>
      </c>
      <c r="K61" s="699">
        <f>J61*844000</f>
        <v>10128000</v>
      </c>
      <c r="L61" s="1253">
        <v>2009</v>
      </c>
      <c r="M61" s="238">
        <f t="shared" ref="M61:M79" si="16">K61</f>
        <v>10128000</v>
      </c>
      <c r="N61" s="1159" t="s">
        <v>974</v>
      </c>
      <c r="O61" s="460">
        <v>12</v>
      </c>
      <c r="P61" s="1349" t="s">
        <v>977</v>
      </c>
      <c r="Q61" s="1350">
        <v>1</v>
      </c>
      <c r="R61" s="1351">
        <v>1.5</v>
      </c>
      <c r="S61" s="460">
        <f t="shared" ca="1" si="12"/>
        <v>12</v>
      </c>
      <c r="T61" s="239">
        <f t="shared" ca="1" si="13"/>
        <v>1</v>
      </c>
      <c r="U61" s="238">
        <f t="shared" ca="1" si="14"/>
        <v>10128000</v>
      </c>
      <c r="V61" s="238">
        <f ca="1">U61*VLOOKUP(DCFROR!$B$34,INDIRECT(IX_CAP),4,FALSE)/VLOOKUP(L61,INDIRECT(IX_CAP),4,FALSE)</f>
        <v>10512239.1262694</v>
      </c>
      <c r="W61" s="676">
        <f t="shared" ca="1" si="15"/>
        <v>15768358.6894041</v>
      </c>
      <c r="X61" s="766"/>
      <c r="Y61" s="238" t="s">
        <v>2252</v>
      </c>
      <c r="Z61" s="422" t="s">
        <v>1643</v>
      </c>
    </row>
    <row r="62" spans="1:26" s="221" customFormat="1" ht="15" customHeight="1" x14ac:dyDescent="0.2">
      <c r="A62" s="1393" t="s">
        <v>893</v>
      </c>
      <c r="B62" s="1218">
        <v>301</v>
      </c>
      <c r="C62" s="609" t="s">
        <v>373</v>
      </c>
      <c r="D62" s="611" t="s">
        <v>996</v>
      </c>
      <c r="E62" s="422"/>
      <c r="F62" s="610" t="s">
        <v>997</v>
      </c>
      <c r="G62" s="235"/>
      <c r="H62" s="422" t="s">
        <v>647</v>
      </c>
      <c r="I62" s="234" t="s">
        <v>836</v>
      </c>
      <c r="J62" s="1213">
        <v>2</v>
      </c>
      <c r="K62" s="699">
        <v>75400</v>
      </c>
      <c r="L62" s="1253">
        <v>2009</v>
      </c>
      <c r="M62" s="238">
        <f t="shared" si="16"/>
        <v>75400</v>
      </c>
      <c r="N62" s="1159"/>
      <c r="O62" s="1363">
        <v>2</v>
      </c>
      <c r="P62" s="1359" t="s">
        <v>977</v>
      </c>
      <c r="Q62" s="1350">
        <v>0.7</v>
      </c>
      <c r="R62" s="1351">
        <v>1.8</v>
      </c>
      <c r="S62" s="460">
        <v>2</v>
      </c>
      <c r="T62" s="239">
        <f t="shared" si="13"/>
        <v>1</v>
      </c>
      <c r="U62" s="238">
        <f t="shared" si="14"/>
        <v>75400</v>
      </c>
      <c r="V62" s="238">
        <f ca="1">U62*VLOOKUP(DCFROR!$B$34,INDIRECT(IX_CAP),4,FALSE)/VLOOKUP(L62,INDIRECT(IX_CAP),4,FALSE)</f>
        <v>78260.547997700705</v>
      </c>
      <c r="W62" s="676">
        <f t="shared" ca="1" si="15"/>
        <v>140868.98639586128</v>
      </c>
      <c r="X62" s="766"/>
      <c r="Y62" s="238" t="s">
        <v>2253</v>
      </c>
      <c r="Z62" s="422" t="s">
        <v>1644</v>
      </c>
    </row>
    <row r="63" spans="1:26" s="221" customFormat="1" ht="15" customHeight="1" x14ac:dyDescent="0.2">
      <c r="A63" s="1393" t="s">
        <v>893</v>
      </c>
      <c r="B63" s="1218">
        <v>302</v>
      </c>
      <c r="C63" s="609" t="s">
        <v>374</v>
      </c>
      <c r="D63" s="611" t="s">
        <v>996</v>
      </c>
      <c r="E63" s="422"/>
      <c r="F63" s="610" t="s">
        <v>998</v>
      </c>
      <c r="G63" s="235"/>
      <c r="H63" s="422" t="s">
        <v>647</v>
      </c>
      <c r="I63" s="234" t="s">
        <v>836</v>
      </c>
      <c r="J63" s="1213">
        <v>2</v>
      </c>
      <c r="K63" s="699">
        <v>116600</v>
      </c>
      <c r="L63" s="1253">
        <v>2009</v>
      </c>
      <c r="M63" s="238">
        <f t="shared" si="16"/>
        <v>116600</v>
      </c>
      <c r="N63" s="1159"/>
      <c r="O63" s="1363">
        <v>2</v>
      </c>
      <c r="P63" s="1359" t="s">
        <v>977</v>
      </c>
      <c r="Q63" s="1350">
        <v>0.7</v>
      </c>
      <c r="R63" s="1351">
        <v>1.8</v>
      </c>
      <c r="S63" s="460">
        <v>2</v>
      </c>
      <c r="T63" s="239">
        <f t="shared" si="13"/>
        <v>1</v>
      </c>
      <c r="U63" s="238">
        <f t="shared" si="14"/>
        <v>116600</v>
      </c>
      <c r="V63" s="238">
        <f ca="1">U63*VLOOKUP(DCFROR!$B$34,INDIRECT(IX_CAP),4,FALSE)/VLOOKUP(L63,INDIRECT(IX_CAP),4,FALSE)</f>
        <v>121023.60605479979</v>
      </c>
      <c r="W63" s="676">
        <f t="shared" ca="1" si="15"/>
        <v>217842.49089863963</v>
      </c>
      <c r="X63" s="766"/>
      <c r="Y63" s="238" t="s">
        <v>2253</v>
      </c>
      <c r="Z63" s="422" t="s">
        <v>1645</v>
      </c>
    </row>
    <row r="64" spans="1:26" s="221" customFormat="1" ht="15" customHeight="1" x14ac:dyDescent="0.2">
      <c r="A64" s="1393" t="s">
        <v>893</v>
      </c>
      <c r="B64" s="1218">
        <v>303</v>
      </c>
      <c r="C64" s="609" t="s">
        <v>375</v>
      </c>
      <c r="D64" s="611" t="s">
        <v>996</v>
      </c>
      <c r="E64" s="422"/>
      <c r="F64" s="610" t="s">
        <v>999</v>
      </c>
      <c r="G64" s="235"/>
      <c r="H64" s="422" t="s">
        <v>647</v>
      </c>
      <c r="I64" s="234" t="s">
        <v>836</v>
      </c>
      <c r="J64" s="1213">
        <v>2</v>
      </c>
      <c r="K64" s="699">
        <v>157600</v>
      </c>
      <c r="L64" s="1253">
        <v>2009</v>
      </c>
      <c r="M64" s="238">
        <f t="shared" si="16"/>
        <v>157600</v>
      </c>
      <c r="N64" s="1159"/>
      <c r="O64" s="1363">
        <v>2</v>
      </c>
      <c r="P64" s="1359" t="s">
        <v>977</v>
      </c>
      <c r="Q64" s="1350">
        <v>0.7</v>
      </c>
      <c r="R64" s="1351">
        <v>1.8</v>
      </c>
      <c r="S64" s="460">
        <v>2</v>
      </c>
      <c r="T64" s="239">
        <f t="shared" si="13"/>
        <v>1</v>
      </c>
      <c r="U64" s="238">
        <f t="shared" si="14"/>
        <v>157600</v>
      </c>
      <c r="V64" s="238">
        <f ca="1">U64*VLOOKUP(DCFROR!$B$34,INDIRECT(IX_CAP),4,FALSE)/VLOOKUP(L64,INDIRECT(IX_CAP),4,FALSE)</f>
        <v>163579.07645142748</v>
      </c>
      <c r="W64" s="676">
        <f t="shared" ca="1" si="15"/>
        <v>294442.33761256945</v>
      </c>
      <c r="X64" s="766"/>
      <c r="Y64" s="238" t="s">
        <v>2253</v>
      </c>
      <c r="Z64" s="422"/>
    </row>
    <row r="65" spans="1:26" s="221" customFormat="1" ht="15" customHeight="1" x14ac:dyDescent="0.2">
      <c r="A65" s="1393" t="s">
        <v>893</v>
      </c>
      <c r="B65" s="1218">
        <v>304</v>
      </c>
      <c r="C65" s="609" t="s">
        <v>376</v>
      </c>
      <c r="D65" s="611" t="s">
        <v>891</v>
      </c>
      <c r="E65" s="422"/>
      <c r="F65" s="610" t="s">
        <v>895</v>
      </c>
      <c r="G65" s="235"/>
      <c r="H65" s="422" t="s">
        <v>647</v>
      </c>
      <c r="I65" s="234" t="s">
        <v>836</v>
      </c>
      <c r="J65" s="1213">
        <v>2</v>
      </c>
      <c r="K65" s="699">
        <v>352000</v>
      </c>
      <c r="L65" s="1253">
        <v>2009</v>
      </c>
      <c r="M65" s="238">
        <f t="shared" si="16"/>
        <v>352000</v>
      </c>
      <c r="N65" s="1159"/>
      <c r="O65" s="1363">
        <v>2</v>
      </c>
      <c r="P65" s="1359" t="s">
        <v>977</v>
      </c>
      <c r="Q65" s="1350">
        <v>0.7</v>
      </c>
      <c r="R65" s="1351">
        <v>2</v>
      </c>
      <c r="S65" s="460">
        <v>2</v>
      </c>
      <c r="T65" s="239">
        <f t="shared" si="13"/>
        <v>1</v>
      </c>
      <c r="U65" s="238">
        <f t="shared" si="14"/>
        <v>352000</v>
      </c>
      <c r="V65" s="238">
        <f ca="1">U65*VLOOKUP(DCFROR!$B$34,INDIRECT(IX_CAP),4,FALSE)/VLOOKUP(L65,INDIRECT(IX_CAP),4,FALSE)</f>
        <v>365354.2824295843</v>
      </c>
      <c r="W65" s="676">
        <f t="shared" ca="1" si="15"/>
        <v>730708.5648591686</v>
      </c>
      <c r="X65" s="766"/>
      <c r="Y65" s="238" t="s">
        <v>2251</v>
      </c>
      <c r="Z65" s="422"/>
    </row>
    <row r="66" spans="1:26" s="221" customFormat="1" ht="15" customHeight="1" x14ac:dyDescent="0.2">
      <c r="A66" s="1393" t="s">
        <v>893</v>
      </c>
      <c r="B66" s="1218">
        <v>305</v>
      </c>
      <c r="C66" s="609" t="s">
        <v>377</v>
      </c>
      <c r="D66" s="611" t="s">
        <v>891</v>
      </c>
      <c r="E66" s="422"/>
      <c r="F66" s="610" t="s">
        <v>896</v>
      </c>
      <c r="G66" s="235"/>
      <c r="H66" s="422" t="s">
        <v>647</v>
      </c>
      <c r="I66" s="234" t="s">
        <v>836</v>
      </c>
      <c r="J66" s="1213">
        <v>2</v>
      </c>
      <c r="K66" s="699">
        <v>1180000</v>
      </c>
      <c r="L66" s="1253">
        <v>2009</v>
      </c>
      <c r="M66" s="238">
        <f t="shared" si="16"/>
        <v>1180000</v>
      </c>
      <c r="N66" s="1159"/>
      <c r="O66" s="1363">
        <v>2</v>
      </c>
      <c r="P66" s="1359" t="s">
        <v>977</v>
      </c>
      <c r="Q66" s="1350">
        <v>0.7</v>
      </c>
      <c r="R66" s="1351">
        <v>2</v>
      </c>
      <c r="S66" s="460">
        <v>2</v>
      </c>
      <c r="T66" s="239">
        <f t="shared" si="13"/>
        <v>1</v>
      </c>
      <c r="U66" s="238">
        <f t="shared" si="14"/>
        <v>1180000</v>
      </c>
      <c r="V66" s="238">
        <f ca="1">U66*VLOOKUP(DCFROR!$B$34,INDIRECT(IX_CAP),4,FALSE)/VLOOKUP(L66,INDIRECT(IX_CAP),4,FALSE)</f>
        <v>1224767.1967809927</v>
      </c>
      <c r="W66" s="676">
        <f t="shared" ca="1" si="15"/>
        <v>2449534.3935619853</v>
      </c>
      <c r="X66" s="766"/>
      <c r="Y66" s="238" t="s">
        <v>2251</v>
      </c>
      <c r="Z66" s="422"/>
    </row>
    <row r="67" spans="1:26" s="221" customFormat="1" ht="15" customHeight="1" x14ac:dyDescent="0.2">
      <c r="A67" s="1393" t="s">
        <v>869</v>
      </c>
      <c r="B67" s="1218">
        <v>300</v>
      </c>
      <c r="C67" s="609" t="s">
        <v>3</v>
      </c>
      <c r="D67" s="611" t="s">
        <v>1646</v>
      </c>
      <c r="E67" s="422"/>
      <c r="F67" s="610" t="s">
        <v>1647</v>
      </c>
      <c r="G67" s="235"/>
      <c r="H67" s="422" t="s">
        <v>647</v>
      </c>
      <c r="I67" s="234" t="s">
        <v>836</v>
      </c>
      <c r="J67" s="1213">
        <v>12</v>
      </c>
      <c r="K67" s="699">
        <v>86928</v>
      </c>
      <c r="L67" s="1253">
        <v>2009</v>
      </c>
      <c r="M67" s="238">
        <f>K67</f>
        <v>86928</v>
      </c>
      <c r="N67" s="1159" t="s">
        <v>974</v>
      </c>
      <c r="O67" s="460">
        <v>12</v>
      </c>
      <c r="P67" s="1349" t="s">
        <v>977</v>
      </c>
      <c r="Q67" s="1350">
        <v>1</v>
      </c>
      <c r="R67" s="1351">
        <v>2.2000000000000002</v>
      </c>
      <c r="S67" s="460">
        <f t="shared" ca="1" si="12"/>
        <v>12</v>
      </c>
      <c r="T67" s="239">
        <f t="shared" ca="1" si="13"/>
        <v>1</v>
      </c>
      <c r="U67" s="238">
        <f t="shared" ca="1" si="14"/>
        <v>86928</v>
      </c>
      <c r="V67" s="238">
        <f ca="1">U67*VLOOKUP(DCFROR!$B$34,INDIRECT(IX_CAP),4,FALSE)/VLOOKUP(L67,INDIRECT(IX_CAP),4,FALSE)</f>
        <v>90225.900747269596</v>
      </c>
      <c r="W67" s="676">
        <f t="shared" ca="1" si="15"/>
        <v>198496.98164399312</v>
      </c>
      <c r="X67" s="766"/>
      <c r="Y67" s="238" t="s">
        <v>2255</v>
      </c>
      <c r="Z67" s="422"/>
    </row>
    <row r="68" spans="1:26" s="221" customFormat="1" ht="15" customHeight="1" x14ac:dyDescent="0.2">
      <c r="A68" s="1393" t="s">
        <v>869</v>
      </c>
      <c r="B68" s="1218">
        <v>301</v>
      </c>
      <c r="C68" s="609" t="s">
        <v>650</v>
      </c>
      <c r="D68" s="611" t="s">
        <v>1648</v>
      </c>
      <c r="E68" s="422" t="s">
        <v>1649</v>
      </c>
      <c r="F68" s="610" t="s">
        <v>2726</v>
      </c>
      <c r="G68" s="235"/>
      <c r="H68" s="422" t="s">
        <v>1650</v>
      </c>
      <c r="I68" s="234" t="s">
        <v>836</v>
      </c>
      <c r="J68" s="1213">
        <v>1</v>
      </c>
      <c r="K68" s="699">
        <v>85000</v>
      </c>
      <c r="L68" s="1253">
        <v>2010</v>
      </c>
      <c r="M68" s="238">
        <f>K68</f>
        <v>85000</v>
      </c>
      <c r="N68" s="1159" t="s">
        <v>1737</v>
      </c>
      <c r="O68" s="460">
        <v>8.1999999999999993</v>
      </c>
      <c r="P68" s="1349" t="s">
        <v>3079</v>
      </c>
      <c r="Q68" s="1350">
        <v>0.7</v>
      </c>
      <c r="R68" s="1351">
        <v>2.2000000000000002</v>
      </c>
      <c r="S68" s="460">
        <f t="shared" ca="1" si="12"/>
        <v>10.9259465</v>
      </c>
      <c r="T68" s="239">
        <f t="shared" ca="1" si="13"/>
        <v>1.3324325000000001</v>
      </c>
      <c r="U68" s="238">
        <f t="shared" ca="1" si="14"/>
        <v>103913.16618654049</v>
      </c>
      <c r="V68" s="238">
        <f ca="1">U68*VLOOKUP(DCFROR!$B$34,INDIRECT(IX_CAP),4,FALSE)/VLOOKUP(L68,INDIRECT(IX_CAP),4,FALSE)</f>
        <v>102196.37277278322</v>
      </c>
      <c r="W68" s="676">
        <f t="shared" ca="1" si="15"/>
        <v>224832.0201001231</v>
      </c>
      <c r="X68" s="766"/>
      <c r="Y68" s="238" t="s">
        <v>2248</v>
      </c>
      <c r="Z68" s="1488" t="s">
        <v>1651</v>
      </c>
    </row>
    <row r="69" spans="1:26" s="225" customFormat="1" ht="15" customHeight="1" x14ac:dyDescent="0.2">
      <c r="A69" s="1393" t="s">
        <v>869</v>
      </c>
      <c r="B69" s="1218">
        <v>304</v>
      </c>
      <c r="C69" s="609" t="s">
        <v>448</v>
      </c>
      <c r="D69" s="611" t="s">
        <v>891</v>
      </c>
      <c r="E69" s="422"/>
      <c r="F69" s="610" t="s">
        <v>897</v>
      </c>
      <c r="G69" s="235"/>
      <c r="H69" s="422" t="s">
        <v>647</v>
      </c>
      <c r="I69" s="234" t="s">
        <v>836</v>
      </c>
      <c r="J69" s="1213">
        <v>1</v>
      </c>
      <c r="K69" s="699" t="s">
        <v>1023</v>
      </c>
      <c r="L69" s="1251"/>
      <c r="M69" s="842"/>
      <c r="N69" s="842"/>
      <c r="O69" s="844"/>
      <c r="P69" s="848"/>
      <c r="Q69" s="845"/>
      <c r="R69" s="1199"/>
      <c r="S69" s="844"/>
      <c r="T69" s="842"/>
      <c r="U69" s="842"/>
      <c r="V69" s="842"/>
      <c r="W69" s="849"/>
      <c r="X69" s="767"/>
      <c r="Y69" s="842"/>
      <c r="Z69" s="422"/>
    </row>
    <row r="70" spans="1:26" s="225" customFormat="1" ht="15" customHeight="1" x14ac:dyDescent="0.2">
      <c r="A70" s="1393" t="s">
        <v>869</v>
      </c>
      <c r="B70" s="1218">
        <v>305</v>
      </c>
      <c r="C70" s="609" t="s">
        <v>449</v>
      </c>
      <c r="D70" s="611" t="s">
        <v>891</v>
      </c>
      <c r="E70" s="422"/>
      <c r="F70" s="610" t="s">
        <v>897</v>
      </c>
      <c r="G70" s="235"/>
      <c r="H70" s="422" t="s">
        <v>647</v>
      </c>
      <c r="I70" s="234" t="s">
        <v>836</v>
      </c>
      <c r="J70" s="1213">
        <v>1</v>
      </c>
      <c r="K70" s="699" t="s">
        <v>1023</v>
      </c>
      <c r="L70" s="1251"/>
      <c r="M70" s="842"/>
      <c r="N70" s="842"/>
      <c r="O70" s="844"/>
      <c r="P70" s="848"/>
      <c r="Q70" s="845"/>
      <c r="R70" s="1199"/>
      <c r="S70" s="844"/>
      <c r="T70" s="842"/>
      <c r="U70" s="842"/>
      <c r="V70" s="842"/>
      <c r="W70" s="849"/>
      <c r="X70" s="767"/>
      <c r="Y70" s="842"/>
      <c r="Z70" s="422"/>
    </row>
    <row r="71" spans="1:26" s="225" customFormat="1" ht="15" customHeight="1" x14ac:dyDescent="0.2">
      <c r="A71" s="1393" t="s">
        <v>869</v>
      </c>
      <c r="B71" s="1218">
        <v>310</v>
      </c>
      <c r="C71" s="609" t="s">
        <v>1652</v>
      </c>
      <c r="D71" s="611" t="s">
        <v>1646</v>
      </c>
      <c r="E71" s="422"/>
      <c r="F71" s="610" t="s">
        <v>1647</v>
      </c>
      <c r="G71" s="235"/>
      <c r="H71" s="422" t="s">
        <v>638</v>
      </c>
      <c r="I71" s="234" t="s">
        <v>836</v>
      </c>
      <c r="J71" s="1213">
        <v>1</v>
      </c>
      <c r="K71" s="699">
        <v>23900</v>
      </c>
      <c r="L71" s="1253">
        <v>2009</v>
      </c>
      <c r="M71" s="238">
        <f>K71</f>
        <v>23900</v>
      </c>
      <c r="N71" s="1159" t="s">
        <v>3466</v>
      </c>
      <c r="O71" s="1363">
        <v>5.4039999999999999</v>
      </c>
      <c r="P71" s="1359" t="s">
        <v>3079</v>
      </c>
      <c r="Q71" s="1350">
        <v>0.7</v>
      </c>
      <c r="R71" s="1351">
        <v>1.8</v>
      </c>
      <c r="S71" s="772">
        <f t="shared" ref="S71:S79" ca="1" si="17">IF(N71&lt;&gt;"",VLOOKUP(N71,INDIRECT(LU_SENS),2,FALSE),"")</f>
        <v>6.3824260199999996</v>
      </c>
      <c r="T71" s="239">
        <f t="shared" ca="1" si="13"/>
        <v>1.1810558882309399</v>
      </c>
      <c r="U71" s="238">
        <f t="shared" ref="U71:U79" ca="1" si="18">M71*T71^Q71</f>
        <v>26852.65396399577</v>
      </c>
      <c r="V71" s="238">
        <f ca="1">U71*VLOOKUP(DCFROR!$B$34,INDIRECT(IX_CAP),4,FALSE)/VLOOKUP(L71,INDIRECT(IX_CAP),4,FALSE)</f>
        <v>27871.398069163653</v>
      </c>
      <c r="W71" s="676">
        <f t="shared" ca="1" si="15"/>
        <v>50168.516524494575</v>
      </c>
      <c r="X71" s="766"/>
      <c r="Y71" s="238" t="s">
        <v>2255</v>
      </c>
      <c r="Z71" s="422"/>
    </row>
    <row r="72" spans="1:26" s="225" customFormat="1" ht="15" customHeight="1" x14ac:dyDescent="0.2">
      <c r="A72" s="1393" t="s">
        <v>881</v>
      </c>
      <c r="B72" s="1218">
        <v>300</v>
      </c>
      <c r="C72" s="609" t="s">
        <v>450</v>
      </c>
      <c r="D72" s="611" t="s">
        <v>991</v>
      </c>
      <c r="E72" s="618" t="s">
        <v>1000</v>
      </c>
      <c r="F72" s="610" t="s">
        <v>1001</v>
      </c>
      <c r="G72" s="232">
        <v>20</v>
      </c>
      <c r="H72" s="422" t="s">
        <v>909</v>
      </c>
      <c r="I72" s="234" t="s">
        <v>882</v>
      </c>
      <c r="J72" s="1213">
        <v>5</v>
      </c>
      <c r="K72" s="699">
        <v>47200</v>
      </c>
      <c r="L72" s="1253">
        <v>2009</v>
      </c>
      <c r="M72" s="238">
        <f>K72</f>
        <v>47200</v>
      </c>
      <c r="N72" s="1159" t="s">
        <v>974</v>
      </c>
      <c r="O72" s="460">
        <v>12</v>
      </c>
      <c r="P72" s="1349" t="s">
        <v>977</v>
      </c>
      <c r="Q72" s="1350">
        <v>0.8</v>
      </c>
      <c r="R72" s="1351">
        <v>2.2999999999999998</v>
      </c>
      <c r="S72" s="460">
        <f t="shared" ca="1" si="17"/>
        <v>12</v>
      </c>
      <c r="T72" s="239">
        <f t="shared" ca="1" si="13"/>
        <v>1</v>
      </c>
      <c r="U72" s="238">
        <f t="shared" ca="1" si="18"/>
        <v>47200</v>
      </c>
      <c r="V72" s="238">
        <f ca="1">U72*VLOOKUP(DCFROR!$B$34,INDIRECT(IX_CAP),4,FALSE)/VLOOKUP(L72,INDIRECT(IX_CAP),4,FALSE)</f>
        <v>48990.687871239708</v>
      </c>
      <c r="W72" s="676">
        <f t="shared" ca="1" si="15"/>
        <v>112678.58210385132</v>
      </c>
      <c r="X72" s="766"/>
      <c r="Y72" s="238" t="s">
        <v>2249</v>
      </c>
      <c r="Z72" s="1488" t="s">
        <v>953</v>
      </c>
    </row>
    <row r="73" spans="1:26" s="225" customFormat="1" ht="15" customHeight="1" x14ac:dyDescent="0.2">
      <c r="A73" s="1393" t="s">
        <v>881</v>
      </c>
      <c r="B73" s="1218">
        <v>301</v>
      </c>
      <c r="C73" s="609" t="s">
        <v>451</v>
      </c>
      <c r="D73" s="611" t="s">
        <v>991</v>
      </c>
      <c r="E73" s="618" t="s">
        <v>1002</v>
      </c>
      <c r="F73" s="610" t="s">
        <v>898</v>
      </c>
      <c r="G73" s="232">
        <v>10</v>
      </c>
      <c r="H73" s="422" t="s">
        <v>909</v>
      </c>
      <c r="I73" s="234" t="s">
        <v>882</v>
      </c>
      <c r="J73" s="1213">
        <v>1</v>
      </c>
      <c r="K73" s="699">
        <v>8200</v>
      </c>
      <c r="L73" s="1253">
        <v>2009</v>
      </c>
      <c r="M73" s="238">
        <f t="shared" si="16"/>
        <v>8200</v>
      </c>
      <c r="N73" s="1159" t="s">
        <v>985</v>
      </c>
      <c r="O73" s="460">
        <v>43149</v>
      </c>
      <c r="P73" s="1349" t="s">
        <v>287</v>
      </c>
      <c r="Q73" s="1350">
        <v>0.8</v>
      </c>
      <c r="R73" s="1351">
        <v>2.2999999999999998</v>
      </c>
      <c r="S73" s="460">
        <f t="shared" ca="1" si="17"/>
        <v>42590.408199999998</v>
      </c>
      <c r="T73" s="239">
        <f t="shared" ca="1" si="13"/>
        <v>0.98705435120165008</v>
      </c>
      <c r="U73" s="238">
        <f t="shared" ca="1" si="18"/>
        <v>8114.9660315794699</v>
      </c>
      <c r="V73" s="238">
        <f ca="1">U73*VLOOKUP(DCFROR!$B$34,INDIRECT(IX_CAP),4,FALSE)/VLOOKUP(L73,INDIRECT(IX_CAP),4,FALSE)</f>
        <v>8422.834066500478</v>
      </c>
      <c r="W73" s="676">
        <f t="shared" ca="1" si="15"/>
        <v>19372.518352951098</v>
      </c>
      <c r="X73" s="766"/>
      <c r="Y73" s="238" t="s">
        <v>2249</v>
      </c>
      <c r="Z73" s="1489" t="s">
        <v>1636</v>
      </c>
    </row>
    <row r="74" spans="1:26" s="225" customFormat="1" ht="15" customHeight="1" x14ac:dyDescent="0.2">
      <c r="A74" s="1393" t="s">
        <v>881</v>
      </c>
      <c r="B74" s="1218">
        <v>302</v>
      </c>
      <c r="C74" s="609" t="s">
        <v>1</v>
      </c>
      <c r="D74" s="611" t="s">
        <v>991</v>
      </c>
      <c r="E74" s="619" t="s">
        <v>1003</v>
      </c>
      <c r="F74" s="610" t="s">
        <v>899</v>
      </c>
      <c r="G74" s="232">
        <v>40</v>
      </c>
      <c r="H74" s="422" t="s">
        <v>909</v>
      </c>
      <c r="I74" s="234" t="s">
        <v>882</v>
      </c>
      <c r="J74" s="1213">
        <v>2</v>
      </c>
      <c r="K74" s="699">
        <v>24300</v>
      </c>
      <c r="L74" s="1253">
        <v>2009</v>
      </c>
      <c r="M74" s="238">
        <f t="shared" si="16"/>
        <v>24300</v>
      </c>
      <c r="N74" s="1159" t="s">
        <v>985</v>
      </c>
      <c r="O74" s="460">
        <v>43149</v>
      </c>
      <c r="P74" s="1349" t="s">
        <v>287</v>
      </c>
      <c r="Q74" s="1350">
        <v>0.8</v>
      </c>
      <c r="R74" s="1351">
        <v>2.2999999999999998</v>
      </c>
      <c r="S74" s="460">
        <f t="shared" ca="1" si="17"/>
        <v>42590.408199999998</v>
      </c>
      <c r="T74" s="239">
        <f t="shared" ca="1" si="13"/>
        <v>0.98705435120165008</v>
      </c>
      <c r="U74" s="238">
        <f t="shared" ca="1" si="18"/>
        <v>24048.009093583063</v>
      </c>
      <c r="V74" s="238">
        <f ca="1">U74*VLOOKUP(DCFROR!$B$34,INDIRECT(IX_CAP),4,FALSE)/VLOOKUP(L74,INDIRECT(IX_CAP),4,FALSE)</f>
        <v>24960.349733653857</v>
      </c>
      <c r="W74" s="676">
        <f t="shared" ca="1" si="15"/>
        <v>57408.804387403863</v>
      </c>
      <c r="X74" s="766"/>
      <c r="Y74" s="238" t="s">
        <v>2249</v>
      </c>
      <c r="Z74" s="1489" t="s">
        <v>1636</v>
      </c>
    </row>
    <row r="75" spans="1:26" s="225" customFormat="1" ht="15" customHeight="1" x14ac:dyDescent="0.2">
      <c r="A75" s="1393" t="s">
        <v>881</v>
      </c>
      <c r="B75" s="1218">
        <v>306</v>
      </c>
      <c r="C75" s="609" t="s">
        <v>326</v>
      </c>
      <c r="D75" s="611" t="s">
        <v>991</v>
      </c>
      <c r="E75" s="620" t="s">
        <v>1004</v>
      </c>
      <c r="F75" s="610" t="s">
        <v>900</v>
      </c>
      <c r="G75" s="232">
        <v>125</v>
      </c>
      <c r="H75" s="422" t="s">
        <v>909</v>
      </c>
      <c r="I75" s="234" t="s">
        <v>882</v>
      </c>
      <c r="J75" s="1213">
        <v>1</v>
      </c>
      <c r="K75" s="699">
        <v>26800</v>
      </c>
      <c r="L75" s="1253">
        <v>2009</v>
      </c>
      <c r="M75" s="238">
        <f t="shared" si="16"/>
        <v>26800</v>
      </c>
      <c r="N75" s="1159" t="s">
        <v>1135</v>
      </c>
      <c r="O75" s="460">
        <v>488719</v>
      </c>
      <c r="P75" s="1349" t="s">
        <v>287</v>
      </c>
      <c r="Q75" s="1350">
        <v>0.8</v>
      </c>
      <c r="R75" s="1351">
        <v>2.2999999999999998</v>
      </c>
      <c r="S75" s="460">
        <f t="shared" ca="1" si="17"/>
        <v>450517.05599999998</v>
      </c>
      <c r="T75" s="239">
        <f t="shared" ca="1" si="13"/>
        <v>0.92183249679263546</v>
      </c>
      <c r="U75" s="238">
        <f t="shared" ca="1" si="18"/>
        <v>25110.560406075449</v>
      </c>
      <c r="V75" s="238">
        <f ca="1">U75*VLOOKUP(DCFROR!$B$34,INDIRECT(IX_CAP),4,FALSE)/VLOOKUP(L75,INDIRECT(IX_CAP),4,FALSE)</f>
        <v>26063.212439109164</v>
      </c>
      <c r="W75" s="676">
        <f t="shared" ca="1" si="15"/>
        <v>59945.388609951071</v>
      </c>
      <c r="X75" s="766"/>
      <c r="Y75" s="238" t="s">
        <v>2249</v>
      </c>
      <c r="Z75" s="1489" t="s">
        <v>1636</v>
      </c>
    </row>
    <row r="76" spans="1:26" s="225" customFormat="1" ht="15" customHeight="1" x14ac:dyDescent="0.2">
      <c r="A76" s="1393" t="s">
        <v>881</v>
      </c>
      <c r="B76" s="1218">
        <v>310</v>
      </c>
      <c r="C76" s="609" t="s">
        <v>1653</v>
      </c>
      <c r="D76" s="611" t="s">
        <v>991</v>
      </c>
      <c r="E76" s="620" t="s">
        <v>1000</v>
      </c>
      <c r="F76" s="610" t="s">
        <v>1005</v>
      </c>
      <c r="G76" s="232">
        <v>20</v>
      </c>
      <c r="H76" s="422" t="s">
        <v>909</v>
      </c>
      <c r="I76" s="234" t="s">
        <v>882</v>
      </c>
      <c r="J76" s="1213">
        <v>5</v>
      </c>
      <c r="K76" s="712">
        <v>47200</v>
      </c>
      <c r="L76" s="1253">
        <v>2009</v>
      </c>
      <c r="M76" s="238">
        <f>K76</f>
        <v>47200</v>
      </c>
      <c r="N76" s="1159" t="s">
        <v>1739</v>
      </c>
      <c r="O76" s="1363">
        <v>421776</v>
      </c>
      <c r="P76" s="1359" t="s">
        <v>287</v>
      </c>
      <c r="Q76" s="1350">
        <v>0.8</v>
      </c>
      <c r="R76" s="1351">
        <v>2.2999999999999998</v>
      </c>
      <c r="S76" s="460">
        <f t="shared" ca="1" si="17"/>
        <v>443226.19400000002</v>
      </c>
      <c r="T76" s="239">
        <f t="shared" ca="1" si="13"/>
        <v>1.0508568387011115</v>
      </c>
      <c r="U76" s="238">
        <f t="shared" ca="1" si="18"/>
        <v>49110.781205899177</v>
      </c>
      <c r="V76" s="238">
        <f ca="1">U76*VLOOKUP(DCFROR!$B$34,INDIRECT(IX_CAP),4,FALSE)/VLOOKUP(L76,INDIRECT(IX_CAP),4,FALSE)</f>
        <v>50973.960872265925</v>
      </c>
      <c r="W76" s="676">
        <f t="shared" ca="1" si="15"/>
        <v>117240.11000621162</v>
      </c>
      <c r="X76" s="766"/>
      <c r="Y76" s="238" t="s">
        <v>2249</v>
      </c>
      <c r="Z76" s="1488" t="s">
        <v>953</v>
      </c>
    </row>
    <row r="77" spans="1:26" s="225" customFormat="1" ht="15" customHeight="1" x14ac:dyDescent="0.2">
      <c r="A77" s="1393" t="s">
        <v>887</v>
      </c>
      <c r="B77" s="1218">
        <v>301</v>
      </c>
      <c r="C77" s="609" t="s">
        <v>372</v>
      </c>
      <c r="D77" s="611" t="s">
        <v>891</v>
      </c>
      <c r="E77" s="620" t="s">
        <v>1015</v>
      </c>
      <c r="F77" s="610" t="s">
        <v>901</v>
      </c>
      <c r="G77" s="235"/>
      <c r="H77" s="422" t="s">
        <v>909</v>
      </c>
      <c r="I77" s="234" t="s">
        <v>836</v>
      </c>
      <c r="J77" s="1213">
        <v>1</v>
      </c>
      <c r="K77" s="699">
        <v>439000</v>
      </c>
      <c r="L77" s="1253">
        <v>2009</v>
      </c>
      <c r="M77" s="238">
        <f t="shared" si="16"/>
        <v>439000</v>
      </c>
      <c r="N77" s="1159" t="s">
        <v>985</v>
      </c>
      <c r="O77" s="1363">
        <v>40414</v>
      </c>
      <c r="P77" s="1359" t="s">
        <v>287</v>
      </c>
      <c r="Q77" s="1350">
        <v>0.7</v>
      </c>
      <c r="R77" s="1351">
        <v>1.8</v>
      </c>
      <c r="S77" s="460">
        <f t="shared" ca="1" si="17"/>
        <v>42590.408199999998</v>
      </c>
      <c r="T77" s="239">
        <f t="shared" ca="1" si="13"/>
        <v>1.0538528282278419</v>
      </c>
      <c r="U77" s="238">
        <f t="shared" ca="1" si="18"/>
        <v>455418.31907967676</v>
      </c>
      <c r="V77" s="238">
        <f ca="1">U77*VLOOKUP(DCFROR!$B$34,INDIRECT(IX_CAP),4,FALSE)/VLOOKUP(L77,INDIRECT(IX_CAP),4,FALSE)</f>
        <v>472696.11696773506</v>
      </c>
      <c r="W77" s="676">
        <f t="shared" ca="1" si="15"/>
        <v>850853.01054192311</v>
      </c>
      <c r="X77" s="766"/>
      <c r="Y77" s="238" t="s">
        <v>2256</v>
      </c>
      <c r="Z77" s="422"/>
    </row>
    <row r="78" spans="1:26" s="225" customFormat="1" ht="15" customHeight="1" x14ac:dyDescent="0.2">
      <c r="A78" s="1393" t="s">
        <v>887</v>
      </c>
      <c r="B78" s="1218">
        <v>306</v>
      </c>
      <c r="C78" s="609" t="s">
        <v>327</v>
      </c>
      <c r="D78" s="611" t="s">
        <v>891</v>
      </c>
      <c r="E78" s="620" t="s">
        <v>1016</v>
      </c>
      <c r="F78" s="610" t="s">
        <v>892</v>
      </c>
      <c r="G78" s="235"/>
      <c r="H78" s="422" t="s">
        <v>909</v>
      </c>
      <c r="I78" s="234" t="s">
        <v>836</v>
      </c>
      <c r="J78" s="1213">
        <v>1</v>
      </c>
      <c r="K78" s="699">
        <v>636000</v>
      </c>
      <c r="L78" s="1253">
        <v>2009</v>
      </c>
      <c r="M78" s="238">
        <f t="shared" si="16"/>
        <v>636000</v>
      </c>
      <c r="N78" s="1159" t="s">
        <v>1135</v>
      </c>
      <c r="O78" s="1363">
        <v>425878</v>
      </c>
      <c r="P78" s="1359" t="s">
        <v>287</v>
      </c>
      <c r="Q78" s="1350">
        <v>0.7</v>
      </c>
      <c r="R78" s="1351">
        <v>1.8</v>
      </c>
      <c r="S78" s="460">
        <f t="shared" ca="1" si="17"/>
        <v>450517.05599999998</v>
      </c>
      <c r="T78" s="239">
        <f t="shared" ca="1" si="13"/>
        <v>1.0578547283494333</v>
      </c>
      <c r="U78" s="238">
        <f t="shared" ca="1" si="18"/>
        <v>661538.82532335306</v>
      </c>
      <c r="V78" s="238">
        <f ca="1">U78*VLOOKUP(DCFROR!$B$34,INDIRECT(IX_CAP),4,FALSE)/VLOOKUP(L78,INDIRECT(IX_CAP),4,FALSE)</f>
        <v>686636.48529921519</v>
      </c>
      <c r="W78" s="676">
        <f t="shared" ca="1" si="15"/>
        <v>1235945.6735385873</v>
      </c>
      <c r="X78" s="766"/>
      <c r="Y78" s="238" t="s">
        <v>2256</v>
      </c>
      <c r="Z78" s="422"/>
    </row>
    <row r="79" spans="1:26" s="225" customFormat="1" ht="15" customHeight="1" x14ac:dyDescent="0.2">
      <c r="A79" s="1393" t="s">
        <v>887</v>
      </c>
      <c r="B79" s="1218">
        <v>310</v>
      </c>
      <c r="C79" s="609" t="s">
        <v>371</v>
      </c>
      <c r="D79" s="611" t="s">
        <v>1654</v>
      </c>
      <c r="E79" s="620"/>
      <c r="F79" s="610" t="s">
        <v>1655</v>
      </c>
      <c r="G79" s="235"/>
      <c r="H79" s="422" t="s">
        <v>647</v>
      </c>
      <c r="I79" s="234" t="s">
        <v>836</v>
      </c>
      <c r="J79" s="1213">
        <v>8</v>
      </c>
      <c r="K79" s="699">
        <v>3840000</v>
      </c>
      <c r="L79" s="1253">
        <v>2009</v>
      </c>
      <c r="M79" s="238">
        <f t="shared" si="16"/>
        <v>3840000</v>
      </c>
      <c r="N79" s="1159" t="s">
        <v>1739</v>
      </c>
      <c r="O79" s="1363">
        <v>421776</v>
      </c>
      <c r="P79" s="1359" t="s">
        <v>287</v>
      </c>
      <c r="Q79" s="1350">
        <v>0.7</v>
      </c>
      <c r="R79" s="1351">
        <v>2</v>
      </c>
      <c r="S79" s="460">
        <f t="shared" ca="1" si="17"/>
        <v>443226.19400000002</v>
      </c>
      <c r="T79" s="239">
        <f t="shared" ca="1" si="13"/>
        <v>1.0508568387011115</v>
      </c>
      <c r="U79" s="238">
        <f t="shared" ca="1" si="18"/>
        <v>3975682.6705328291</v>
      </c>
      <c r="V79" s="238">
        <f ca="1">U79*VLOOKUP(DCFROR!$B$34,INDIRECT(IX_CAP),4,FALSE)/VLOOKUP(L79,INDIRECT(IX_CAP),4,FALSE)</f>
        <v>4126513.3217620878</v>
      </c>
      <c r="W79" s="676">
        <f t="shared" ca="1" si="15"/>
        <v>8253026.6435241755</v>
      </c>
      <c r="X79" s="766"/>
      <c r="Y79" s="238" t="s">
        <v>2251</v>
      </c>
      <c r="Z79" s="422" t="s">
        <v>2178</v>
      </c>
    </row>
    <row r="80" spans="1:26" s="225" customFormat="1" ht="15" customHeight="1" thickBot="1" x14ac:dyDescent="0.25">
      <c r="A80" s="1394"/>
      <c r="B80" s="1219"/>
      <c r="C80" s="678"/>
      <c r="D80" s="680"/>
      <c r="E80" s="679"/>
      <c r="F80" s="679"/>
      <c r="G80" s="681"/>
      <c r="H80" s="679"/>
      <c r="I80" s="682"/>
      <c r="J80" s="1202"/>
      <c r="K80" s="704"/>
      <c r="L80" s="1252"/>
      <c r="M80" s="677"/>
      <c r="N80" s="682"/>
      <c r="O80" s="1202"/>
      <c r="P80" s="688"/>
      <c r="Q80" s="1195"/>
      <c r="R80" s="1198"/>
      <c r="S80" s="687"/>
      <c r="T80" s="707" t="s">
        <v>2156</v>
      </c>
      <c r="U80" s="683">
        <f ca="1">SUM(U55:U79)</f>
        <v>18393139.778112423</v>
      </c>
      <c r="V80" s="677">
        <f ca="1">SUM(V55:V79)</f>
        <v>19085285.193773456</v>
      </c>
      <c r="W80" s="685">
        <f ca="1">SUM(W55:W79)</f>
        <v>32237928.840978064</v>
      </c>
      <c r="X80" s="768">
        <f ca="1">W80/V80</f>
        <v>1.6891510141800572</v>
      </c>
      <c r="Y80" s="1487"/>
      <c r="Z80" s="423"/>
    </row>
    <row r="81" spans="1:26" s="225" customFormat="1" ht="15" customHeight="1" x14ac:dyDescent="0.2">
      <c r="A81" s="1392" t="s">
        <v>828</v>
      </c>
      <c r="B81" s="1217">
        <v>400</v>
      </c>
      <c r="C81" s="606" t="s">
        <v>216</v>
      </c>
      <c r="D81" s="708" t="s">
        <v>989</v>
      </c>
      <c r="E81" s="421"/>
      <c r="F81" s="709"/>
      <c r="G81" s="710">
        <v>800</v>
      </c>
      <c r="H81" s="421" t="s">
        <v>419</v>
      </c>
      <c r="I81" s="711" t="s">
        <v>836</v>
      </c>
      <c r="J81" s="1212"/>
      <c r="K81" s="698">
        <v>580000</v>
      </c>
      <c r="L81" s="1352">
        <v>2009</v>
      </c>
      <c r="M81" s="674">
        <f>K81</f>
        <v>580000</v>
      </c>
      <c r="N81" s="1353" t="s">
        <v>215</v>
      </c>
      <c r="O81" s="705">
        <v>1</v>
      </c>
      <c r="P81" s="1364" t="s">
        <v>977</v>
      </c>
      <c r="Q81" s="1356">
        <v>1</v>
      </c>
      <c r="R81" s="1357">
        <v>1.5</v>
      </c>
      <c r="S81" s="705">
        <f ca="1">IF(N81&lt;&gt;"",CEILING(VLOOKUP(N81,INDIRECT(LU_SENS),2,FALSE),1),"")</f>
        <v>9</v>
      </c>
      <c r="T81" s="706">
        <f t="shared" ref="T81:T104" ca="1" si="19">S81/O81</f>
        <v>9</v>
      </c>
      <c r="U81" s="674">
        <f t="shared" ref="U81:U91" ca="1" si="20">M81*T81^Q81</f>
        <v>5220000</v>
      </c>
      <c r="V81" s="674">
        <f ca="1">U81*VLOOKUP(DCFROR!$B$34,INDIRECT(IX_CAP),4,FALSE)/VLOOKUP(L81,INDIRECT(IX_CAP),4,FALSE)</f>
        <v>5418037.9383023567</v>
      </c>
      <c r="W81" s="675">
        <f t="shared" ref="W81:W104" ca="1" si="21">V81*R81</f>
        <v>8127056.9074535351</v>
      </c>
      <c r="X81" s="766"/>
      <c r="Y81" s="238" t="s">
        <v>2247</v>
      </c>
      <c r="Z81" s="1490" t="s">
        <v>1006</v>
      </c>
    </row>
    <row r="82" spans="1:26" s="225" customFormat="1" ht="15" customHeight="1" x14ac:dyDescent="0.2">
      <c r="A82" s="1393" t="s">
        <v>828</v>
      </c>
      <c r="B82" s="1218">
        <v>401</v>
      </c>
      <c r="C82" s="609" t="s">
        <v>216</v>
      </c>
      <c r="D82" s="611" t="s">
        <v>989</v>
      </c>
      <c r="E82" s="422"/>
      <c r="F82" s="610"/>
      <c r="G82" s="235" t="s">
        <v>2214</v>
      </c>
      <c r="H82" s="422" t="s">
        <v>419</v>
      </c>
      <c r="I82" s="234" t="s">
        <v>836</v>
      </c>
      <c r="J82" s="1213"/>
      <c r="K82" s="699">
        <v>3420</v>
      </c>
      <c r="L82" s="1253">
        <v>2009</v>
      </c>
      <c r="M82" s="238">
        <f t="shared" ref="M82:M100" si="22">K82</f>
        <v>3420</v>
      </c>
      <c r="N82" s="1159" t="s">
        <v>1590</v>
      </c>
      <c r="O82" s="460">
        <v>1</v>
      </c>
      <c r="P82" s="1349" t="s">
        <v>977</v>
      </c>
      <c r="Q82" s="1350">
        <v>1</v>
      </c>
      <c r="R82" s="1361">
        <v>1.5</v>
      </c>
      <c r="S82" s="460">
        <f ca="1">IF(N82&lt;&gt;"",CEILING(VLOOKUP(N82,INDIRECT(LU_SENS),2,FALSE),1),"")</f>
        <v>4</v>
      </c>
      <c r="T82" s="239">
        <f t="shared" ca="1" si="19"/>
        <v>4</v>
      </c>
      <c r="U82" s="238">
        <f t="shared" ca="1" si="20"/>
        <v>13680</v>
      </c>
      <c r="V82" s="238">
        <f ca="1">U82*VLOOKUP(DCFROR!$B$34,INDIRECT(IX_CAP),4,FALSE)/VLOOKUP(L82,INDIRECT(IX_CAP),4,FALSE)</f>
        <v>14198.995976240662</v>
      </c>
      <c r="W82" s="676">
        <f t="shared" ca="1" si="21"/>
        <v>21298.493964360991</v>
      </c>
      <c r="X82" s="766"/>
      <c r="Y82" s="238" t="s">
        <v>2247</v>
      </c>
      <c r="Z82" s="1490" t="s">
        <v>1007</v>
      </c>
    </row>
    <row r="83" spans="1:26" s="225" customFormat="1" ht="15" customHeight="1" x14ac:dyDescent="0.2">
      <c r="A83" s="1393" t="s">
        <v>828</v>
      </c>
      <c r="B83" s="1218">
        <v>402</v>
      </c>
      <c r="C83" s="609" t="s">
        <v>216</v>
      </c>
      <c r="D83" s="611" t="s">
        <v>989</v>
      </c>
      <c r="E83" s="422"/>
      <c r="F83" s="610"/>
      <c r="G83" s="235" t="s">
        <v>2221</v>
      </c>
      <c r="H83" s="422" t="s">
        <v>419</v>
      </c>
      <c r="I83" s="234" t="s">
        <v>836</v>
      </c>
      <c r="J83" s="1213"/>
      <c r="K83" s="699">
        <v>63000</v>
      </c>
      <c r="L83" s="1253">
        <v>2009</v>
      </c>
      <c r="M83" s="238">
        <f t="shared" si="22"/>
        <v>63000</v>
      </c>
      <c r="N83" s="1159" t="s">
        <v>1590</v>
      </c>
      <c r="O83" s="460">
        <v>1</v>
      </c>
      <c r="P83" s="1349" t="s">
        <v>977</v>
      </c>
      <c r="Q83" s="1350">
        <v>1</v>
      </c>
      <c r="R83" s="1361">
        <v>1.5</v>
      </c>
      <c r="S83" s="460">
        <f ca="1">IF(N83&lt;&gt;"",CEILING(VLOOKUP(N83,INDIRECT(LU_SENS),2,FALSE),1),"")</f>
        <v>4</v>
      </c>
      <c r="T83" s="239">
        <f t="shared" ca="1" si="19"/>
        <v>4</v>
      </c>
      <c r="U83" s="238">
        <f t="shared" ca="1" si="20"/>
        <v>252000</v>
      </c>
      <c r="V83" s="238">
        <f ca="1">U83*VLOOKUP(DCFROR!$B$34,INDIRECT(IX_CAP),4,FALSE)/VLOOKUP(L83,INDIRECT(IX_CAP),4,FALSE)</f>
        <v>261560.45219390688</v>
      </c>
      <c r="W83" s="676">
        <f t="shared" ca="1" si="21"/>
        <v>392340.67829086032</v>
      </c>
      <c r="X83" s="766"/>
      <c r="Y83" s="238" t="s">
        <v>2247</v>
      </c>
      <c r="Z83" s="1490" t="s">
        <v>1008</v>
      </c>
    </row>
    <row r="84" spans="1:26" s="225" customFormat="1" ht="15" customHeight="1" x14ac:dyDescent="0.2">
      <c r="A84" s="1393" t="s">
        <v>828</v>
      </c>
      <c r="B84" s="1218">
        <v>403</v>
      </c>
      <c r="C84" s="609" t="s">
        <v>216</v>
      </c>
      <c r="D84" s="611" t="s">
        <v>989</v>
      </c>
      <c r="E84" s="422"/>
      <c r="F84" s="610"/>
      <c r="G84" s="235" t="s">
        <v>2222</v>
      </c>
      <c r="H84" s="422" t="s">
        <v>419</v>
      </c>
      <c r="I84" s="234" t="s">
        <v>836</v>
      </c>
      <c r="J84" s="1213"/>
      <c r="K84" s="699">
        <v>11000</v>
      </c>
      <c r="L84" s="1253">
        <v>2009</v>
      </c>
      <c r="M84" s="238">
        <f t="shared" si="22"/>
        <v>11000</v>
      </c>
      <c r="N84" s="1159" t="s">
        <v>1590</v>
      </c>
      <c r="O84" s="460">
        <v>1</v>
      </c>
      <c r="P84" s="1349" t="s">
        <v>977</v>
      </c>
      <c r="Q84" s="1350">
        <v>1</v>
      </c>
      <c r="R84" s="1361">
        <v>1.5</v>
      </c>
      <c r="S84" s="460">
        <f ca="1">IF(N84&lt;&gt;"",CEILING(VLOOKUP(N84,INDIRECT(LU_SENS),2,FALSE),1),"")</f>
        <v>4</v>
      </c>
      <c r="T84" s="239">
        <f t="shared" ca="1" si="19"/>
        <v>4</v>
      </c>
      <c r="U84" s="238">
        <f t="shared" ca="1" si="20"/>
        <v>44000</v>
      </c>
      <c r="V84" s="238">
        <f ca="1">U84*VLOOKUP(DCFROR!$B$34,INDIRECT(IX_CAP),4,FALSE)/VLOOKUP(L84,INDIRECT(IX_CAP),4,FALSE)</f>
        <v>45669.285303698038</v>
      </c>
      <c r="W84" s="676">
        <f t="shared" ca="1" si="21"/>
        <v>68503.927955547057</v>
      </c>
      <c r="X84" s="766"/>
      <c r="Y84" s="238" t="s">
        <v>2247</v>
      </c>
      <c r="Z84" s="1490" t="s">
        <v>1009</v>
      </c>
    </row>
    <row r="85" spans="1:26" s="225" customFormat="1" ht="15" customHeight="1" x14ac:dyDescent="0.2">
      <c r="A85" s="1393" t="s">
        <v>828</v>
      </c>
      <c r="B85" s="1218">
        <v>405</v>
      </c>
      <c r="C85" s="609" t="s">
        <v>902</v>
      </c>
      <c r="D85" s="611" t="s">
        <v>989</v>
      </c>
      <c r="E85" s="422"/>
      <c r="F85" s="610"/>
      <c r="G85" s="235" t="s">
        <v>995</v>
      </c>
      <c r="H85" s="422" t="s">
        <v>639</v>
      </c>
      <c r="I85" s="234" t="s">
        <v>836</v>
      </c>
      <c r="J85" s="1213">
        <v>1</v>
      </c>
      <c r="K85" s="699">
        <v>8500</v>
      </c>
      <c r="L85" s="1253">
        <v>2009</v>
      </c>
      <c r="M85" s="238">
        <f t="shared" si="22"/>
        <v>8500</v>
      </c>
      <c r="N85" s="1159" t="s">
        <v>3467</v>
      </c>
      <c r="O85" s="1363">
        <v>12255</v>
      </c>
      <c r="P85" s="1359" t="s">
        <v>287</v>
      </c>
      <c r="Q85" s="1350">
        <v>0.5</v>
      </c>
      <c r="R85" s="1351">
        <v>1.5</v>
      </c>
      <c r="S85" s="460">
        <f ca="1">IF(N85&lt;&gt;"",VLOOKUP(N85,INDIRECT(LU_SENS),2,FALSE),"")</f>
        <v>15801.260699999999</v>
      </c>
      <c r="T85" s="239">
        <f t="shared" ca="1" si="19"/>
        <v>1.2893725581395348</v>
      </c>
      <c r="U85" s="238">
        <f t="shared" ca="1" si="20"/>
        <v>9651.7960673431862</v>
      </c>
      <c r="V85" s="238">
        <f ca="1">U85*VLOOKUP(DCFROR!$B$34,INDIRECT(IX_CAP),4,FALSE)/VLOOKUP(L85,INDIRECT(IX_CAP),4,FALSE)</f>
        <v>10017.968824831969</v>
      </c>
      <c r="W85" s="676">
        <f t="shared" ca="1" si="21"/>
        <v>15026.953237247953</v>
      </c>
      <c r="X85" s="766"/>
      <c r="Y85" s="238" t="s">
        <v>2247</v>
      </c>
      <c r="Z85" s="422"/>
    </row>
    <row r="86" spans="1:26" s="225" customFormat="1" ht="15" customHeight="1" x14ac:dyDescent="0.2">
      <c r="A86" s="1393" t="s">
        <v>828</v>
      </c>
      <c r="B86" s="1218">
        <v>406</v>
      </c>
      <c r="C86" s="609" t="s">
        <v>903</v>
      </c>
      <c r="D86" s="611" t="s">
        <v>989</v>
      </c>
      <c r="E86" s="422"/>
      <c r="F86" s="610"/>
      <c r="G86" s="235" t="s">
        <v>1010</v>
      </c>
      <c r="H86" s="422" t="s">
        <v>637</v>
      </c>
      <c r="I86" s="234" t="s">
        <v>836</v>
      </c>
      <c r="J86" s="1213">
        <v>1</v>
      </c>
      <c r="K86" s="699">
        <v>4800</v>
      </c>
      <c r="L86" s="1253">
        <v>2009</v>
      </c>
      <c r="M86" s="238">
        <f t="shared" si="22"/>
        <v>4800</v>
      </c>
      <c r="N86" s="1159" t="s">
        <v>423</v>
      </c>
      <c r="O86" s="1363">
        <v>174</v>
      </c>
      <c r="P86" s="1359" t="s">
        <v>287</v>
      </c>
      <c r="Q86" s="1350">
        <v>0.5</v>
      </c>
      <c r="R86" s="1351">
        <v>1.6</v>
      </c>
      <c r="S86" s="460">
        <f ca="1">IF(N86&lt;&gt;"",VLOOKUP(N86,INDIRECT(LU_SENS),2,FALSE),"")</f>
        <v>223.984489</v>
      </c>
      <c r="T86" s="239">
        <f t="shared" ca="1" si="19"/>
        <v>1.2872671781609195</v>
      </c>
      <c r="U86" s="238">
        <f t="shared" ca="1" si="20"/>
        <v>5445.9742732432715</v>
      </c>
      <c r="V86" s="238">
        <f ca="1">U86*VLOOKUP(DCFROR!$B$34,INDIRECT(IX_CAP),4,FALSE)/VLOOKUP(L86,INDIRECT(IX_CAP),4,FALSE)</f>
        <v>5652.5852918487844</v>
      </c>
      <c r="W86" s="676">
        <f t="shared" ca="1" si="21"/>
        <v>9044.1364669580562</v>
      </c>
      <c r="X86" s="766"/>
      <c r="Y86" s="238" t="s">
        <v>2257</v>
      </c>
      <c r="Z86" s="254" t="s">
        <v>1011</v>
      </c>
    </row>
    <row r="87" spans="1:26" s="225" customFormat="1" ht="15" customHeight="1" x14ac:dyDescent="0.2">
      <c r="A87" s="1393" t="s">
        <v>828</v>
      </c>
      <c r="B87" s="1218">
        <v>410</v>
      </c>
      <c r="C87" s="609" t="s">
        <v>954</v>
      </c>
      <c r="D87" s="611" t="s">
        <v>989</v>
      </c>
      <c r="E87" s="422"/>
      <c r="F87" s="610"/>
      <c r="G87" s="235" t="s">
        <v>943</v>
      </c>
      <c r="H87" s="422" t="s">
        <v>419</v>
      </c>
      <c r="I87" s="234" t="s">
        <v>836</v>
      </c>
      <c r="J87" s="1213">
        <v>1</v>
      </c>
      <c r="K87" s="699">
        <v>26900</v>
      </c>
      <c r="L87" s="1253">
        <v>2009</v>
      </c>
      <c r="M87" s="238">
        <f t="shared" si="22"/>
        <v>26900</v>
      </c>
      <c r="N87" s="1159" t="s">
        <v>1072</v>
      </c>
      <c r="O87" s="1363">
        <v>10930</v>
      </c>
      <c r="P87" s="1359" t="s">
        <v>287</v>
      </c>
      <c r="Q87" s="1350">
        <v>0.5</v>
      </c>
      <c r="R87" s="1351">
        <v>1.5</v>
      </c>
      <c r="S87" s="460">
        <f ca="1">IF(N87&lt;&gt;"",VLOOKUP(N87,INDIRECT(LU_SENS),2,FALSE),"")</f>
        <v>13836.482900000001</v>
      </c>
      <c r="T87" s="239">
        <f t="shared" ca="1" si="19"/>
        <v>1.265917923147301</v>
      </c>
      <c r="U87" s="238">
        <f t="shared" ca="1" si="20"/>
        <v>30266.001856350609</v>
      </c>
      <c r="V87" s="238">
        <f ca="1">U87*VLOOKUP(DCFROR!$B$34,INDIRECT(IX_CAP),4,FALSE)/VLOOKUP(L87,INDIRECT(IX_CAP),4,FALSE)</f>
        <v>31414.242585907505</v>
      </c>
      <c r="W87" s="676">
        <f t="shared" ca="1" si="21"/>
        <v>47121.363878861259</v>
      </c>
      <c r="X87" s="766"/>
      <c r="Y87" s="238" t="s">
        <v>2247</v>
      </c>
      <c r="Z87" s="422"/>
    </row>
    <row r="88" spans="1:26" s="225" customFormat="1" ht="15" customHeight="1" x14ac:dyDescent="0.2">
      <c r="A88" s="1393" t="s">
        <v>893</v>
      </c>
      <c r="B88" s="1218">
        <v>400</v>
      </c>
      <c r="C88" s="609" t="s">
        <v>904</v>
      </c>
      <c r="D88" s="611" t="s">
        <v>891</v>
      </c>
      <c r="E88" s="422"/>
      <c r="F88" s="610" t="s">
        <v>1656</v>
      </c>
      <c r="G88" s="235"/>
      <c r="H88" s="422" t="s">
        <v>419</v>
      </c>
      <c r="I88" s="234" t="s">
        <v>836</v>
      </c>
      <c r="J88" s="1213"/>
      <c r="K88" s="699">
        <v>400500</v>
      </c>
      <c r="L88" s="1253">
        <v>2009</v>
      </c>
      <c r="M88" s="238">
        <f>K88</f>
        <v>400500</v>
      </c>
      <c r="N88" s="1159" t="s">
        <v>215</v>
      </c>
      <c r="O88" s="460">
        <v>1</v>
      </c>
      <c r="P88" s="1349" t="s">
        <v>977</v>
      </c>
      <c r="Q88" s="1350">
        <v>1</v>
      </c>
      <c r="R88" s="1351">
        <v>2</v>
      </c>
      <c r="S88" s="460">
        <f ca="1">IF(N88&lt;&gt;"",CEILING(VLOOKUP(N88,INDIRECT(LU_SENS),2,FALSE),1),"")</f>
        <v>9</v>
      </c>
      <c r="T88" s="239">
        <f t="shared" ca="1" si="19"/>
        <v>9</v>
      </c>
      <c r="U88" s="238">
        <f t="shared" ca="1" si="20"/>
        <v>3604500</v>
      </c>
      <c r="V88" s="238">
        <f ca="1">U88*VLOOKUP(DCFROR!$B$34,INDIRECT(IX_CAP),4,FALSE)/VLOOKUP(L88,INDIRECT(IX_CAP),4,FALSE)</f>
        <v>3741248.6108449902</v>
      </c>
      <c r="W88" s="676">
        <f t="shared" ca="1" si="21"/>
        <v>7482497.2216899805</v>
      </c>
      <c r="X88" s="766"/>
      <c r="Y88" s="238" t="s">
        <v>2251</v>
      </c>
      <c r="Z88" s="422"/>
    </row>
    <row r="89" spans="1:26" s="225" customFormat="1" ht="15" customHeight="1" x14ac:dyDescent="0.2">
      <c r="A89" s="1393" t="s">
        <v>893</v>
      </c>
      <c r="B89" s="1218">
        <v>401</v>
      </c>
      <c r="C89" s="609" t="s">
        <v>217</v>
      </c>
      <c r="D89" s="611" t="s">
        <v>996</v>
      </c>
      <c r="E89" s="422"/>
      <c r="F89" s="610" t="s">
        <v>1012</v>
      </c>
      <c r="G89" s="235"/>
      <c r="H89" s="422" t="s">
        <v>647</v>
      </c>
      <c r="I89" s="234" t="s">
        <v>836</v>
      </c>
      <c r="J89" s="1213"/>
      <c r="K89" s="699">
        <v>46000</v>
      </c>
      <c r="L89" s="1253">
        <v>2009</v>
      </c>
      <c r="M89" s="238">
        <f t="shared" si="22"/>
        <v>46000</v>
      </c>
      <c r="N89" s="1159" t="s">
        <v>1590</v>
      </c>
      <c r="O89" s="460">
        <v>1</v>
      </c>
      <c r="P89" s="1349" t="s">
        <v>977</v>
      </c>
      <c r="Q89" s="1350">
        <v>1</v>
      </c>
      <c r="R89" s="1361">
        <v>1.8</v>
      </c>
      <c r="S89" s="460">
        <f ca="1">IF(N89&lt;&gt;"",CEILING(VLOOKUP(N89,INDIRECT(LU_SENS),2,FALSE),1),"")</f>
        <v>4</v>
      </c>
      <c r="T89" s="239">
        <f t="shared" ca="1" si="19"/>
        <v>4</v>
      </c>
      <c r="U89" s="238">
        <f t="shared" ca="1" si="20"/>
        <v>184000</v>
      </c>
      <c r="V89" s="238">
        <f ca="1">U89*VLOOKUP(DCFROR!$B$34,INDIRECT(IX_CAP),4,FALSE)/VLOOKUP(L89,INDIRECT(IX_CAP),4,FALSE)</f>
        <v>190980.64763364632</v>
      </c>
      <c r="W89" s="676">
        <f t="shared" ca="1" si="21"/>
        <v>343765.16574056342</v>
      </c>
      <c r="X89" s="766"/>
      <c r="Y89" s="238" t="s">
        <v>2253</v>
      </c>
      <c r="Z89" s="1488"/>
    </row>
    <row r="90" spans="1:26" s="225" customFormat="1" ht="15" customHeight="1" x14ac:dyDescent="0.2">
      <c r="A90" s="1393" t="s">
        <v>893</v>
      </c>
      <c r="B90" s="1218">
        <v>402</v>
      </c>
      <c r="C90" s="609" t="s">
        <v>218</v>
      </c>
      <c r="D90" s="611" t="s">
        <v>996</v>
      </c>
      <c r="E90" s="422"/>
      <c r="F90" s="610" t="s">
        <v>1013</v>
      </c>
      <c r="G90" s="235"/>
      <c r="H90" s="422" t="s">
        <v>647</v>
      </c>
      <c r="I90" s="234" t="s">
        <v>836</v>
      </c>
      <c r="J90" s="1213"/>
      <c r="K90" s="699">
        <v>57500</v>
      </c>
      <c r="L90" s="1253">
        <v>2009</v>
      </c>
      <c r="M90" s="238">
        <f t="shared" si="22"/>
        <v>57500</v>
      </c>
      <c r="N90" s="1159" t="s">
        <v>1590</v>
      </c>
      <c r="O90" s="460">
        <v>1</v>
      </c>
      <c r="P90" s="1349" t="s">
        <v>977</v>
      </c>
      <c r="Q90" s="1350">
        <v>1</v>
      </c>
      <c r="R90" s="1361">
        <v>1.8</v>
      </c>
      <c r="S90" s="460">
        <f ca="1">IF(N90&lt;&gt;"",CEILING(VLOOKUP(N90,INDIRECT(LU_SENS),2,FALSE),1),"")</f>
        <v>4</v>
      </c>
      <c r="T90" s="239">
        <f t="shared" ca="1" si="19"/>
        <v>4</v>
      </c>
      <c r="U90" s="238">
        <f t="shared" ca="1" si="20"/>
        <v>230000</v>
      </c>
      <c r="V90" s="238">
        <f ca="1">U90*VLOOKUP(DCFROR!$B$34,INDIRECT(IX_CAP),4,FALSE)/VLOOKUP(L90,INDIRECT(IX_CAP),4,FALSE)</f>
        <v>238725.80954205789</v>
      </c>
      <c r="W90" s="676">
        <f t="shared" ca="1" si="21"/>
        <v>429706.45717570418</v>
      </c>
      <c r="X90" s="766"/>
      <c r="Y90" s="238" t="s">
        <v>2253</v>
      </c>
      <c r="Z90" s="1488"/>
    </row>
    <row r="91" spans="1:26" s="225" customFormat="1" ht="15" customHeight="1" x14ac:dyDescent="0.2">
      <c r="A91" s="1393" t="s">
        <v>893</v>
      </c>
      <c r="B91" s="1218">
        <v>403</v>
      </c>
      <c r="C91" s="609" t="s">
        <v>219</v>
      </c>
      <c r="D91" s="611" t="s">
        <v>996</v>
      </c>
      <c r="E91" s="422"/>
      <c r="F91" s="610" t="s">
        <v>1014</v>
      </c>
      <c r="G91" s="235"/>
      <c r="H91" s="422" t="s">
        <v>647</v>
      </c>
      <c r="I91" s="234" t="s">
        <v>836</v>
      </c>
      <c r="J91" s="1213"/>
      <c r="K91" s="699">
        <v>95400</v>
      </c>
      <c r="L91" s="1253">
        <v>2009</v>
      </c>
      <c r="M91" s="238">
        <f t="shared" si="22"/>
        <v>95400</v>
      </c>
      <c r="N91" s="1159" t="s">
        <v>1590</v>
      </c>
      <c r="O91" s="460">
        <v>1</v>
      </c>
      <c r="P91" s="1349" t="s">
        <v>977</v>
      </c>
      <c r="Q91" s="1350">
        <v>1</v>
      </c>
      <c r="R91" s="1361">
        <v>1.8</v>
      </c>
      <c r="S91" s="460">
        <f ca="1">IF(N91&lt;&gt;"",CEILING(VLOOKUP(N91,INDIRECT(LU_SENS),2,FALSE),1),"")</f>
        <v>4</v>
      </c>
      <c r="T91" s="239">
        <f t="shared" ca="1" si="19"/>
        <v>4</v>
      </c>
      <c r="U91" s="238">
        <f t="shared" ca="1" si="20"/>
        <v>381600</v>
      </c>
      <c r="V91" s="238">
        <f ca="1">U91*VLOOKUP(DCFROR!$B$34,INDIRECT(IX_CAP),4,FALSE)/VLOOKUP(L91,INDIRECT(IX_CAP),4,FALSE)</f>
        <v>396077.25617934478</v>
      </c>
      <c r="W91" s="676">
        <f t="shared" ca="1" si="21"/>
        <v>712939.0611228206</v>
      </c>
      <c r="X91" s="766"/>
      <c r="Y91" s="238" t="s">
        <v>2253</v>
      </c>
      <c r="Z91" s="1488"/>
    </row>
    <row r="92" spans="1:26" s="225" customFormat="1" ht="15" customHeight="1" x14ac:dyDescent="0.2">
      <c r="A92" s="1393" t="s">
        <v>869</v>
      </c>
      <c r="B92" s="1218">
        <v>400</v>
      </c>
      <c r="C92" s="609" t="s">
        <v>220</v>
      </c>
      <c r="D92" s="611" t="s">
        <v>891</v>
      </c>
      <c r="E92" s="422"/>
      <c r="F92" s="610" t="s">
        <v>1657</v>
      </c>
      <c r="G92" s="235"/>
      <c r="H92" s="422" t="s">
        <v>647</v>
      </c>
      <c r="I92" s="234" t="s">
        <v>836</v>
      </c>
      <c r="J92" s="1213"/>
      <c r="K92" s="699" t="s">
        <v>1023</v>
      </c>
      <c r="L92" s="1251"/>
      <c r="M92" s="842"/>
      <c r="N92" s="842"/>
      <c r="O92" s="844"/>
      <c r="P92" s="848"/>
      <c r="Q92" s="845"/>
      <c r="R92" s="1199"/>
      <c r="S92" s="844"/>
      <c r="T92" s="842"/>
      <c r="U92" s="842"/>
      <c r="V92" s="842"/>
      <c r="W92" s="849"/>
      <c r="X92" s="767"/>
      <c r="Y92" s="842"/>
      <c r="Z92" s="422" t="s">
        <v>1658</v>
      </c>
    </row>
    <row r="93" spans="1:26" s="225" customFormat="1" ht="15" customHeight="1" x14ac:dyDescent="0.2">
      <c r="A93" s="1393" t="s">
        <v>869</v>
      </c>
      <c r="B93" s="1218">
        <v>405</v>
      </c>
      <c r="C93" s="609" t="s">
        <v>1659</v>
      </c>
      <c r="D93" s="611" t="s">
        <v>891</v>
      </c>
      <c r="E93" s="422"/>
      <c r="F93" s="610" t="s">
        <v>1660</v>
      </c>
      <c r="G93" s="235"/>
      <c r="H93" s="422" t="s">
        <v>647</v>
      </c>
      <c r="I93" s="234" t="s">
        <v>836</v>
      </c>
      <c r="J93" s="1213">
        <v>1</v>
      </c>
      <c r="K93" s="699" t="s">
        <v>1023</v>
      </c>
      <c r="L93" s="1251"/>
      <c r="M93" s="842"/>
      <c r="N93" s="842"/>
      <c r="O93" s="844"/>
      <c r="P93" s="848"/>
      <c r="Q93" s="845"/>
      <c r="R93" s="1199"/>
      <c r="S93" s="844"/>
      <c r="T93" s="842"/>
      <c r="U93" s="842"/>
      <c r="V93" s="842"/>
      <c r="W93" s="849"/>
      <c r="X93" s="767"/>
      <c r="Y93" s="842"/>
      <c r="Z93" s="422" t="s">
        <v>1661</v>
      </c>
    </row>
    <row r="94" spans="1:26" s="225" customFormat="1" ht="15" customHeight="1" x14ac:dyDescent="0.2">
      <c r="A94" s="1393" t="s">
        <v>837</v>
      </c>
      <c r="B94" s="1218">
        <v>401</v>
      </c>
      <c r="C94" s="609" t="s">
        <v>955</v>
      </c>
      <c r="D94" s="611" t="s">
        <v>956</v>
      </c>
      <c r="E94" s="422" t="s">
        <v>957</v>
      </c>
      <c r="F94" s="610" t="s">
        <v>958</v>
      </c>
      <c r="G94" s="235"/>
      <c r="H94" s="422" t="s">
        <v>637</v>
      </c>
      <c r="I94" s="234" t="s">
        <v>836</v>
      </c>
      <c r="J94" s="1213">
        <v>2</v>
      </c>
      <c r="K94" s="699">
        <f>175000*2</f>
        <v>350000</v>
      </c>
      <c r="L94" s="1253">
        <v>2009</v>
      </c>
      <c r="M94" s="238">
        <f t="shared" si="22"/>
        <v>350000</v>
      </c>
      <c r="N94" s="1159" t="s">
        <v>672</v>
      </c>
      <c r="O94" s="460">
        <v>33168</v>
      </c>
      <c r="P94" s="1349" t="s">
        <v>287</v>
      </c>
      <c r="Q94" s="1350">
        <v>0.6</v>
      </c>
      <c r="R94" s="1351">
        <v>1.6</v>
      </c>
      <c r="S94" s="460">
        <f t="shared" ref="S94:S100" ca="1" si="23">IF(N94&lt;&gt;"",VLOOKUP(N94,INDIRECT(LU_SENS),2,FALSE),"")</f>
        <v>32582.828799999999</v>
      </c>
      <c r="T94" s="239">
        <f t="shared" ca="1" si="19"/>
        <v>0.98235735648818134</v>
      </c>
      <c r="U94" s="238">
        <f t="shared" ref="U94:U100" ca="1" si="24">M94*T94^Q94</f>
        <v>346281.86303536652</v>
      </c>
      <c r="V94" s="238">
        <f ca="1">U94*VLOOKUP(DCFROR!$B$34,INDIRECT(IX_CAP),4,FALSE)/VLOOKUP(L94,INDIRECT(IX_CAP),4,FALSE)</f>
        <v>359419.20905586908</v>
      </c>
      <c r="W94" s="676">
        <f t="shared" ca="1" si="21"/>
        <v>575070.73448939051</v>
      </c>
      <c r="X94" s="766"/>
      <c r="Y94" s="238" t="s">
        <v>2258</v>
      </c>
      <c r="Z94" s="422" t="s">
        <v>959</v>
      </c>
    </row>
    <row r="95" spans="1:26" s="225" customFormat="1" ht="15" customHeight="1" x14ac:dyDescent="0.2">
      <c r="A95" s="1393" t="s">
        <v>881</v>
      </c>
      <c r="B95" s="1218">
        <v>400</v>
      </c>
      <c r="C95" s="609" t="s">
        <v>221</v>
      </c>
      <c r="D95" s="611" t="s">
        <v>991</v>
      </c>
      <c r="E95" s="624" t="s">
        <v>1015</v>
      </c>
      <c r="F95" s="1367" t="s">
        <v>2667</v>
      </c>
      <c r="G95" s="1368">
        <v>3</v>
      </c>
      <c r="H95" s="422" t="s">
        <v>909</v>
      </c>
      <c r="I95" s="234" t="s">
        <v>882</v>
      </c>
      <c r="J95" s="1213">
        <v>1</v>
      </c>
      <c r="K95" s="699">
        <v>7357</v>
      </c>
      <c r="L95" s="1253">
        <v>2010</v>
      </c>
      <c r="M95" s="238">
        <f t="shared" si="22"/>
        <v>7357</v>
      </c>
      <c r="N95" s="1159" t="s">
        <v>607</v>
      </c>
      <c r="O95" s="460">
        <f>59*60*3.785</f>
        <v>13398.9</v>
      </c>
      <c r="P95" s="1349" t="s">
        <v>287</v>
      </c>
      <c r="Q95" s="1350">
        <v>0.8</v>
      </c>
      <c r="R95" s="1351">
        <v>2.2999999999999998</v>
      </c>
      <c r="S95" s="460">
        <f t="shared" ca="1" si="23"/>
        <v>13836.482900000001</v>
      </c>
      <c r="T95" s="239">
        <f t="shared" ca="1" si="19"/>
        <v>1.0326581211890529</v>
      </c>
      <c r="U95" s="238">
        <f t="shared" ca="1" si="24"/>
        <v>7548.5929636233586</v>
      </c>
      <c r="V95" s="238">
        <f ca="1">U95*VLOOKUP(DCFROR!$B$34,INDIRECT(IX_CAP),4,FALSE)/VLOOKUP(L95,INDIRECT(IX_CAP),4,FALSE)</f>
        <v>7423.8794633165835</v>
      </c>
      <c r="W95" s="676">
        <f t="shared" ca="1" si="21"/>
        <v>17074.92276562814</v>
      </c>
      <c r="X95" s="766"/>
      <c r="Y95" s="238" t="s">
        <v>2249</v>
      </c>
      <c r="Z95" s="1489" t="s">
        <v>1636</v>
      </c>
    </row>
    <row r="96" spans="1:26" s="225" customFormat="1" ht="15" customHeight="1" x14ac:dyDescent="0.2">
      <c r="A96" s="1393" t="s">
        <v>881</v>
      </c>
      <c r="B96" s="1218">
        <v>401</v>
      </c>
      <c r="C96" s="609" t="s">
        <v>222</v>
      </c>
      <c r="D96" s="611" t="s">
        <v>991</v>
      </c>
      <c r="E96" s="625" t="s">
        <v>1016</v>
      </c>
      <c r="F96" s="610" t="s">
        <v>2668</v>
      </c>
      <c r="G96" s="719">
        <v>2</v>
      </c>
      <c r="H96" s="422" t="s">
        <v>909</v>
      </c>
      <c r="I96" s="234" t="s">
        <v>882</v>
      </c>
      <c r="J96" s="1213">
        <v>4</v>
      </c>
      <c r="K96" s="699">
        <f>7493*4</f>
        <v>29972</v>
      </c>
      <c r="L96" s="1253">
        <v>2010</v>
      </c>
      <c r="M96" s="238">
        <f t="shared" si="22"/>
        <v>29972</v>
      </c>
      <c r="N96" s="1159" t="s">
        <v>1071</v>
      </c>
      <c r="O96" s="460">
        <f>3*60*3.785</f>
        <v>681.30000000000007</v>
      </c>
      <c r="P96" s="1349" t="s">
        <v>287</v>
      </c>
      <c r="Q96" s="1350">
        <v>0.8</v>
      </c>
      <c r="R96" s="1351">
        <v>2.2999999999999998</v>
      </c>
      <c r="S96" s="460">
        <f t="shared" ca="1" si="23"/>
        <v>769.70806000000005</v>
      </c>
      <c r="T96" s="239">
        <f t="shared" ca="1" si="19"/>
        <v>1.1297637751357699</v>
      </c>
      <c r="U96" s="238">
        <f t="shared" ca="1" si="24"/>
        <v>33045.00639203241</v>
      </c>
      <c r="V96" s="238">
        <f ca="1">U96*VLOOKUP(DCFROR!$B$34,INDIRECT(IX_CAP),4,FALSE)/VLOOKUP(L96,INDIRECT(IX_CAP),4,FALSE)</f>
        <v>32499.055850697096</v>
      </c>
      <c r="W96" s="676">
        <f t="shared" ca="1" si="21"/>
        <v>74747.828456603311</v>
      </c>
      <c r="X96" s="766"/>
      <c r="Y96" s="238" t="s">
        <v>2249</v>
      </c>
      <c r="Z96" s="1489" t="s">
        <v>2218</v>
      </c>
    </row>
    <row r="97" spans="1:26" s="225" customFormat="1" ht="15" customHeight="1" x14ac:dyDescent="0.2">
      <c r="A97" s="1393" t="s">
        <v>881</v>
      </c>
      <c r="B97" s="1218">
        <v>405</v>
      </c>
      <c r="C97" s="609" t="s">
        <v>223</v>
      </c>
      <c r="D97" s="611" t="s">
        <v>991</v>
      </c>
      <c r="E97" s="625" t="s">
        <v>1000</v>
      </c>
      <c r="F97" s="1367" t="s">
        <v>2669</v>
      </c>
      <c r="G97" s="1368">
        <v>3</v>
      </c>
      <c r="H97" s="422" t="s">
        <v>909</v>
      </c>
      <c r="I97" s="234" t="s">
        <v>882</v>
      </c>
      <c r="J97" s="1213">
        <v>1</v>
      </c>
      <c r="K97" s="699">
        <v>7357</v>
      </c>
      <c r="L97" s="1253">
        <v>2010</v>
      </c>
      <c r="M97" s="238">
        <f t="shared" si="22"/>
        <v>7357</v>
      </c>
      <c r="N97" s="1159" t="s">
        <v>3467</v>
      </c>
      <c r="O97" s="460">
        <f>63*60*3.785</f>
        <v>14307.300000000001</v>
      </c>
      <c r="P97" s="1349" t="s">
        <v>287</v>
      </c>
      <c r="Q97" s="1350">
        <v>0.8</v>
      </c>
      <c r="R97" s="1351">
        <v>2.2999999999999998</v>
      </c>
      <c r="S97" s="460">
        <f t="shared" ca="1" si="23"/>
        <v>15801.260699999999</v>
      </c>
      <c r="T97" s="239">
        <f t="shared" ca="1" si="19"/>
        <v>1.1044194711790483</v>
      </c>
      <c r="U97" s="238">
        <f t="shared" ca="1" si="24"/>
        <v>7965.4075218290154</v>
      </c>
      <c r="V97" s="238">
        <f ca="1">U97*VLOOKUP(DCFROR!$B$34,INDIRECT(IX_CAP),4,FALSE)/VLOOKUP(L97,INDIRECT(IX_CAP),4,FALSE)</f>
        <v>7833.8076517334384</v>
      </c>
      <c r="W97" s="676">
        <f t="shared" ca="1" si="21"/>
        <v>18017.757598986907</v>
      </c>
      <c r="X97" s="766"/>
      <c r="Y97" s="238" t="s">
        <v>2249</v>
      </c>
      <c r="Z97" s="1489" t="s">
        <v>1636</v>
      </c>
    </row>
    <row r="98" spans="1:26" s="225" customFormat="1" ht="15" customHeight="1" x14ac:dyDescent="0.2">
      <c r="A98" s="1393" t="s">
        <v>881</v>
      </c>
      <c r="B98" s="1218">
        <v>406</v>
      </c>
      <c r="C98" s="609" t="s">
        <v>905</v>
      </c>
      <c r="D98" s="611" t="s">
        <v>990</v>
      </c>
      <c r="E98" s="626"/>
      <c r="F98" s="610" t="s">
        <v>1017</v>
      </c>
      <c r="G98" s="232">
        <v>0.5</v>
      </c>
      <c r="H98" s="422" t="s">
        <v>909</v>
      </c>
      <c r="I98" s="234" t="s">
        <v>882</v>
      </c>
      <c r="J98" s="1213">
        <v>1</v>
      </c>
      <c r="K98" s="699">
        <v>1500</v>
      </c>
      <c r="L98" s="1253">
        <v>2009</v>
      </c>
      <c r="M98" s="238">
        <f t="shared" si="22"/>
        <v>1500</v>
      </c>
      <c r="N98" s="1159" t="s">
        <v>423</v>
      </c>
      <c r="O98" s="460">
        <v>454</v>
      </c>
      <c r="P98" s="1349" t="s">
        <v>287</v>
      </c>
      <c r="Q98" s="1350">
        <v>0.8</v>
      </c>
      <c r="R98" s="1351">
        <v>2.2999999999999998</v>
      </c>
      <c r="S98" s="460">
        <f t="shared" ca="1" si="23"/>
        <v>223.984489</v>
      </c>
      <c r="T98" s="239">
        <f t="shared" ca="1" si="19"/>
        <v>0.4933579052863436</v>
      </c>
      <c r="U98" s="238">
        <f t="shared" ca="1" si="24"/>
        <v>852.35582259123305</v>
      </c>
      <c r="V98" s="238">
        <f ca="1">U98*VLOOKUP(DCFROR!$B$34,INDIRECT(IX_CAP),4,FALSE)/VLOOKUP(L98,INDIRECT(IX_CAP),4,FALSE)</f>
        <v>884.69275550425562</v>
      </c>
      <c r="W98" s="676">
        <f t="shared" ca="1" si="21"/>
        <v>2034.7933376597878</v>
      </c>
      <c r="X98" s="766"/>
      <c r="Y98" s="238" t="s">
        <v>2249</v>
      </c>
      <c r="Z98" s="1489" t="s">
        <v>1636</v>
      </c>
    </row>
    <row r="99" spans="1:26" s="225" customFormat="1" ht="15" customHeight="1" x14ac:dyDescent="0.2">
      <c r="A99" s="1393" t="s">
        <v>881</v>
      </c>
      <c r="B99" s="1218">
        <v>410</v>
      </c>
      <c r="C99" s="609" t="s">
        <v>1662</v>
      </c>
      <c r="D99" s="611" t="s">
        <v>990</v>
      </c>
      <c r="E99" s="626"/>
      <c r="F99" s="610" t="s">
        <v>1663</v>
      </c>
      <c r="G99" s="232">
        <v>1</v>
      </c>
      <c r="H99" s="422" t="s">
        <v>909</v>
      </c>
      <c r="I99" s="234" t="s">
        <v>882</v>
      </c>
      <c r="J99" s="1213">
        <v>1</v>
      </c>
      <c r="K99" s="699">
        <v>1500</v>
      </c>
      <c r="L99" s="1253">
        <v>2009</v>
      </c>
      <c r="M99" s="238">
        <v>5700</v>
      </c>
      <c r="N99" s="1159" t="s">
        <v>1740</v>
      </c>
      <c r="O99" s="460">
        <v>18168</v>
      </c>
      <c r="P99" s="1349" t="s">
        <v>287</v>
      </c>
      <c r="Q99" s="1350">
        <v>0.8</v>
      </c>
      <c r="R99" s="1351">
        <v>2.2999999999999998</v>
      </c>
      <c r="S99" s="460">
        <f t="shared" ca="1" si="23"/>
        <v>13836.482900000001</v>
      </c>
      <c r="T99" s="239">
        <f ca="1">S99/O99</f>
        <v>0.76158536437692648</v>
      </c>
      <c r="U99" s="238">
        <f t="shared" ca="1" si="24"/>
        <v>4584.0540242376665</v>
      </c>
      <c r="V99" s="238">
        <f ca="1">U99*VLOOKUP(DCFROR!$B$34,INDIRECT(IX_CAP),4,FALSE)/VLOOKUP(L99,INDIRECT(IX_CAP),4,FALSE)</f>
        <v>4757.9652518289786</v>
      </c>
      <c r="W99" s="676">
        <f ca="1">V99*R99</f>
        <v>10943.320079206649</v>
      </c>
      <c r="X99" s="766"/>
      <c r="Y99" s="238" t="s">
        <v>2249</v>
      </c>
      <c r="Z99" s="422"/>
    </row>
    <row r="100" spans="1:26" s="225" customFormat="1" ht="15" customHeight="1" x14ac:dyDescent="0.2">
      <c r="A100" s="1393" t="s">
        <v>881</v>
      </c>
      <c r="B100" s="1218">
        <v>420</v>
      </c>
      <c r="C100" s="609" t="s">
        <v>224</v>
      </c>
      <c r="D100" s="611" t="s">
        <v>990</v>
      </c>
      <c r="E100" s="626"/>
      <c r="F100" s="610" t="s">
        <v>1017</v>
      </c>
      <c r="G100" s="232">
        <v>1</v>
      </c>
      <c r="H100" s="422" t="s">
        <v>909</v>
      </c>
      <c r="I100" s="234" t="s">
        <v>882</v>
      </c>
      <c r="J100" s="1213">
        <v>1</v>
      </c>
      <c r="K100" s="699">
        <v>1500</v>
      </c>
      <c r="L100" s="1253">
        <v>2009</v>
      </c>
      <c r="M100" s="238">
        <f t="shared" si="22"/>
        <v>1500</v>
      </c>
      <c r="N100" s="1159" t="s">
        <v>1073</v>
      </c>
      <c r="O100" s="460">
        <v>10.6</v>
      </c>
      <c r="P100" s="1349" t="s">
        <v>287</v>
      </c>
      <c r="Q100" s="1350">
        <v>0.8</v>
      </c>
      <c r="R100" s="1351">
        <v>2.2999999999999998</v>
      </c>
      <c r="S100" s="771">
        <f t="shared" ca="1" si="23"/>
        <v>13.357530000000001</v>
      </c>
      <c r="T100" s="239">
        <f t="shared" ca="1" si="19"/>
        <v>1.2601443396226415</v>
      </c>
      <c r="U100" s="238">
        <f t="shared" ca="1" si="24"/>
        <v>1804.7933971753921</v>
      </c>
      <c r="V100" s="238">
        <f ca="1">U100*VLOOKUP(DCFROR!$B$34,INDIRECT(IX_CAP),4,FALSE)/VLOOKUP(L100,INDIRECT(IX_CAP),4,FALSE)</f>
        <v>1873.2641947689406</v>
      </c>
      <c r="W100" s="676">
        <f t="shared" ca="1" si="21"/>
        <v>4308.5076479685631</v>
      </c>
      <c r="X100" s="766"/>
      <c r="Y100" s="238" t="s">
        <v>2249</v>
      </c>
      <c r="Z100" s="422"/>
    </row>
    <row r="101" spans="1:26" s="225" customFormat="1" ht="15" customHeight="1" x14ac:dyDescent="0.2">
      <c r="A101" s="1393" t="s">
        <v>887</v>
      </c>
      <c r="B101" s="1218">
        <v>401</v>
      </c>
      <c r="C101" s="609" t="s">
        <v>1664</v>
      </c>
      <c r="D101" s="611" t="s">
        <v>1665</v>
      </c>
      <c r="E101" s="422"/>
      <c r="F101" s="610" t="s">
        <v>2164</v>
      </c>
      <c r="G101" s="235"/>
      <c r="H101" s="422" t="s">
        <v>638</v>
      </c>
      <c r="I101" s="276"/>
      <c r="J101" s="1213">
        <v>1</v>
      </c>
      <c r="K101" s="699">
        <v>0</v>
      </c>
      <c r="L101" s="1251"/>
      <c r="M101" s="842"/>
      <c r="N101" s="842"/>
      <c r="O101" s="844"/>
      <c r="P101" s="848"/>
      <c r="Q101" s="845"/>
      <c r="R101" s="1199"/>
      <c r="S101" s="844"/>
      <c r="T101" s="842"/>
      <c r="U101" s="842"/>
      <c r="V101" s="842"/>
      <c r="W101" s="849"/>
      <c r="X101" s="767"/>
      <c r="Y101" s="842"/>
      <c r="Z101" s="1488" t="s">
        <v>1666</v>
      </c>
    </row>
    <row r="102" spans="1:26" s="225" customFormat="1" ht="15" customHeight="1" x14ac:dyDescent="0.2">
      <c r="A102" s="1393" t="s">
        <v>887</v>
      </c>
      <c r="B102" s="1218">
        <v>405</v>
      </c>
      <c r="C102" s="609" t="s">
        <v>225</v>
      </c>
      <c r="D102" s="611" t="s">
        <v>891</v>
      </c>
      <c r="E102" s="422"/>
      <c r="F102" s="610" t="s">
        <v>1667</v>
      </c>
      <c r="G102" s="235"/>
      <c r="H102" s="422" t="s">
        <v>647</v>
      </c>
      <c r="I102" s="234" t="s">
        <v>836</v>
      </c>
      <c r="J102" s="1213">
        <v>1</v>
      </c>
      <c r="K102" s="699">
        <v>176000</v>
      </c>
      <c r="L102" s="1253">
        <v>2009</v>
      </c>
      <c r="M102" s="238">
        <f>K102</f>
        <v>176000</v>
      </c>
      <c r="N102" s="1159" t="s">
        <v>3467</v>
      </c>
      <c r="O102" s="460">
        <v>12255</v>
      </c>
      <c r="P102" s="1349" t="s">
        <v>287</v>
      </c>
      <c r="Q102" s="1350">
        <v>0.7</v>
      </c>
      <c r="R102" s="1351">
        <v>1.8</v>
      </c>
      <c r="S102" s="460">
        <f ca="1">IF(N102&lt;&gt;"",VLOOKUP(N102,INDIRECT(LU_SENS),2,FALSE),"")</f>
        <v>15801.260699999999</v>
      </c>
      <c r="T102" s="239">
        <f t="shared" ca="1" si="19"/>
        <v>1.2893725581395348</v>
      </c>
      <c r="U102" s="238">
        <f ca="1">M102*T102^Q102</f>
        <v>210270.12060335118</v>
      </c>
      <c r="V102" s="238">
        <f ca="1">U102*VLOOKUP(DCFROR!$B$34,INDIRECT(IX_CAP),4,FALSE)/VLOOKUP(L102,INDIRECT(IX_CAP),4,FALSE)</f>
        <v>218247.41201539634</v>
      </c>
      <c r="W102" s="676">
        <f t="shared" ca="1" si="21"/>
        <v>392845.34162771341</v>
      </c>
      <c r="X102" s="766"/>
      <c r="Y102" s="238" t="s">
        <v>2256</v>
      </c>
      <c r="Z102" s="1488" t="s">
        <v>1668</v>
      </c>
    </row>
    <row r="103" spans="1:26" s="225" customFormat="1" ht="15" customHeight="1" x14ac:dyDescent="0.2">
      <c r="A103" s="1393" t="s">
        <v>887</v>
      </c>
      <c r="B103" s="1218">
        <v>406</v>
      </c>
      <c r="C103" s="609" t="s">
        <v>906</v>
      </c>
      <c r="D103" s="611" t="s">
        <v>1669</v>
      </c>
      <c r="E103" s="422"/>
      <c r="F103" s="1367" t="s">
        <v>2670</v>
      </c>
      <c r="G103" s="235"/>
      <c r="H103" s="422" t="s">
        <v>1670</v>
      </c>
      <c r="I103" s="234" t="s">
        <v>882</v>
      </c>
      <c r="J103" s="1213">
        <v>1</v>
      </c>
      <c r="K103" s="699">
        <v>9000</v>
      </c>
      <c r="L103" s="1253">
        <v>2010</v>
      </c>
      <c r="M103" s="238">
        <f>K103</f>
        <v>9000</v>
      </c>
      <c r="N103" s="1159" t="s">
        <v>423</v>
      </c>
      <c r="O103" s="460">
        <v>224</v>
      </c>
      <c r="P103" s="1349" t="s">
        <v>287</v>
      </c>
      <c r="Q103" s="1350">
        <v>0.7</v>
      </c>
      <c r="R103" s="1351">
        <v>3</v>
      </c>
      <c r="S103" s="460">
        <f ca="1">IF(N103&lt;&gt;"",VLOOKUP(N103,INDIRECT(LU_SENS),2,FALSE),"")</f>
        <v>223.984489</v>
      </c>
      <c r="T103" s="239">
        <f t="shared" ca="1" si="19"/>
        <v>0.9999307544642857</v>
      </c>
      <c r="U103" s="238">
        <f ca="1">M103*T103^Q103</f>
        <v>8999.5637485936422</v>
      </c>
      <c r="V103" s="238">
        <f ca="1">U103*VLOOKUP(DCFROR!$B$34,INDIRECT(IX_CAP),4,FALSE)/VLOOKUP(L103,INDIRECT(IX_CAP),4,FALSE)</f>
        <v>8850.8781456303132</v>
      </c>
      <c r="W103" s="676">
        <f t="shared" ca="1" si="21"/>
        <v>26552.634436890941</v>
      </c>
      <c r="X103" s="766"/>
      <c r="Y103" s="238" t="s">
        <v>2250</v>
      </c>
      <c r="Z103" s="1488" t="s">
        <v>1671</v>
      </c>
    </row>
    <row r="104" spans="1:26" s="225" customFormat="1" ht="15" customHeight="1" x14ac:dyDescent="0.2">
      <c r="A104" s="1393" t="s">
        <v>887</v>
      </c>
      <c r="B104" s="1218">
        <v>410</v>
      </c>
      <c r="C104" s="609" t="s">
        <v>960</v>
      </c>
      <c r="D104" s="611" t="s">
        <v>891</v>
      </c>
      <c r="E104" s="422"/>
      <c r="F104" s="232" t="s">
        <v>1672</v>
      </c>
      <c r="G104" s="235"/>
      <c r="H104" s="422" t="s">
        <v>647</v>
      </c>
      <c r="I104" s="234" t="s">
        <v>836</v>
      </c>
      <c r="J104" s="1213">
        <v>1</v>
      </c>
      <c r="K104" s="699">
        <f>273273*(80/94)^0.6</f>
        <v>248069.86171544748</v>
      </c>
      <c r="L104" s="1253">
        <v>2009</v>
      </c>
      <c r="M104" s="238">
        <f>K104</f>
        <v>248069.86171544748</v>
      </c>
      <c r="N104" s="1159" t="s">
        <v>1740</v>
      </c>
      <c r="O104" s="460">
        <v>10930</v>
      </c>
      <c r="P104" s="1349" t="s">
        <v>287</v>
      </c>
      <c r="Q104" s="1350">
        <v>0.7</v>
      </c>
      <c r="R104" s="1351">
        <v>1.8</v>
      </c>
      <c r="S104" s="460">
        <f ca="1">IF(N104&lt;&gt;"",VLOOKUP(N104,INDIRECT(LU_SENS),2,FALSE),"")</f>
        <v>13836.482900000001</v>
      </c>
      <c r="T104" s="239">
        <f t="shared" ca="1" si="19"/>
        <v>1.265917923147301</v>
      </c>
      <c r="U104" s="238">
        <f ca="1">M104*T104^Q104</f>
        <v>292588.92862414051</v>
      </c>
      <c r="V104" s="238">
        <f ca="1">U104*VLOOKUP(DCFROR!$B$34,INDIRECT(IX_CAP),4,FALSE)/VLOOKUP(L104,INDIRECT(IX_CAP),4,FALSE)</f>
        <v>303689.25586452754</v>
      </c>
      <c r="W104" s="676">
        <f t="shared" ca="1" si="21"/>
        <v>546640.66055614955</v>
      </c>
      <c r="X104" s="766"/>
      <c r="Y104" s="238" t="s">
        <v>2256</v>
      </c>
      <c r="Z104" s="1488" t="s">
        <v>1673</v>
      </c>
    </row>
    <row r="105" spans="1:26" s="225" customFormat="1" ht="15" customHeight="1" thickBot="1" x14ac:dyDescent="0.25">
      <c r="A105" s="1394"/>
      <c r="B105" s="1219"/>
      <c r="C105" s="678"/>
      <c r="D105" s="680"/>
      <c r="E105" s="679"/>
      <c r="F105" s="679"/>
      <c r="G105" s="681"/>
      <c r="H105" s="679"/>
      <c r="I105" s="682"/>
      <c r="J105" s="1202"/>
      <c r="K105" s="704"/>
      <c r="L105" s="1252"/>
      <c r="M105" s="677"/>
      <c r="N105" s="682"/>
      <c r="O105" s="1202"/>
      <c r="P105" s="688"/>
      <c r="Q105" s="1195"/>
      <c r="R105" s="1198"/>
      <c r="S105" s="687"/>
      <c r="T105" s="707" t="s">
        <v>2157</v>
      </c>
      <c r="U105" s="683">
        <f ca="1">SUM(U81:U104)</f>
        <v>10889084.458329877</v>
      </c>
      <c r="V105" s="677">
        <f ca="1">SUM(V81:V104)</f>
        <v>11299063.212928101</v>
      </c>
      <c r="W105" s="685">
        <f ca="1">SUM(W81:W104)</f>
        <v>19317536.867972635</v>
      </c>
      <c r="X105" s="768">
        <f ca="1">W105/V105</f>
        <v>1.7096582702422622</v>
      </c>
      <c r="Y105" s="1487"/>
      <c r="Z105" s="428"/>
    </row>
    <row r="106" spans="1:26" s="225" customFormat="1" ht="15" customHeight="1" x14ac:dyDescent="0.2">
      <c r="A106" s="1392" t="s">
        <v>828</v>
      </c>
      <c r="B106" s="1217">
        <v>530</v>
      </c>
      <c r="C106" s="606" t="s">
        <v>1674</v>
      </c>
      <c r="D106" s="708" t="s">
        <v>989</v>
      </c>
      <c r="E106" s="421"/>
      <c r="F106" s="709"/>
      <c r="G106" s="710" t="s">
        <v>995</v>
      </c>
      <c r="H106" s="421" t="s">
        <v>649</v>
      </c>
      <c r="I106" s="711" t="s">
        <v>836</v>
      </c>
      <c r="J106" s="1212">
        <v>1</v>
      </c>
      <c r="K106" s="698">
        <v>26000</v>
      </c>
      <c r="L106" s="1352">
        <v>2009</v>
      </c>
      <c r="M106" s="674">
        <f>K106</f>
        <v>26000</v>
      </c>
      <c r="N106" s="1353" t="s">
        <v>979</v>
      </c>
      <c r="O106" s="705">
        <v>337439</v>
      </c>
      <c r="P106" s="1364" t="s">
        <v>287</v>
      </c>
      <c r="Q106" s="1356">
        <v>0.5</v>
      </c>
      <c r="R106" s="1357">
        <v>1.5</v>
      </c>
      <c r="S106" s="705">
        <f ca="1">IF(N106&lt;&gt;"",VLOOKUP(N106,INDIRECT(LU_SENS),2,FALSE),"")</f>
        <v>355311.777</v>
      </c>
      <c r="T106" s="706">
        <f ca="1">S106/O106</f>
        <v>1.0529659494012251</v>
      </c>
      <c r="U106" s="674">
        <f ca="1">M106*T106^Q106</f>
        <v>26679.673569877654</v>
      </c>
      <c r="V106" s="674">
        <f ca="1">U106*VLOOKUP(DCFROR!$B$34,INDIRECT(IX_CAP),4,FALSE)/VLOOKUP(L106,INDIRECT(IX_CAP),4,FALSE)</f>
        <v>27691.85509255169</v>
      </c>
      <c r="W106" s="675">
        <f ca="1">V106*R106</f>
        <v>41537.782638827535</v>
      </c>
      <c r="X106" s="766"/>
      <c r="Y106" s="238" t="s">
        <v>2247</v>
      </c>
      <c r="Z106" s="422" t="s">
        <v>1675</v>
      </c>
    </row>
    <row r="107" spans="1:26" s="225" customFormat="1" ht="15" customHeight="1" x14ac:dyDescent="0.2">
      <c r="A107" s="1393" t="s">
        <v>151</v>
      </c>
      <c r="B107" s="1218">
        <v>501</v>
      </c>
      <c r="C107" s="609" t="s">
        <v>1676</v>
      </c>
      <c r="D107" s="611" t="s">
        <v>961</v>
      </c>
      <c r="E107" s="422"/>
      <c r="F107" s="610" t="s">
        <v>3313</v>
      </c>
      <c r="G107" s="232">
        <v>10</v>
      </c>
      <c r="H107" s="422" t="s">
        <v>638</v>
      </c>
      <c r="I107" s="234" t="s">
        <v>882</v>
      </c>
      <c r="J107" s="1213">
        <v>1</v>
      </c>
      <c r="K107" s="699">
        <v>70000</v>
      </c>
      <c r="L107" s="1253">
        <v>2009</v>
      </c>
      <c r="M107" s="238">
        <f>K107</f>
        <v>70000</v>
      </c>
      <c r="N107" s="1159" t="s">
        <v>978</v>
      </c>
      <c r="O107" s="460">
        <v>28630</v>
      </c>
      <c r="P107" s="1349" t="s">
        <v>287</v>
      </c>
      <c r="Q107" s="1350">
        <v>0.8</v>
      </c>
      <c r="R107" s="1351">
        <v>1.7</v>
      </c>
      <c r="S107" s="460">
        <f ca="1">IF(N107&lt;&gt;"",VLOOKUP(N107,INDIRECT(LU_SENS),2,FALSE),"")</f>
        <v>36530.594100000002</v>
      </c>
      <c r="T107" s="239">
        <f ca="1">S107/O107</f>
        <v>1.2759550855745723</v>
      </c>
      <c r="U107" s="238">
        <f ca="1">M107*T107^Q107</f>
        <v>85068.024951857748</v>
      </c>
      <c r="V107" s="238">
        <f ca="1">U107*VLOOKUP(DCFROR!$B$34,INDIRECT(IX_CAP),4,FALSE)/VLOOKUP(L107,INDIRECT(IX_CAP),4,FALSE)</f>
        <v>88295.361403374889</v>
      </c>
      <c r="W107" s="676">
        <f ca="1">V107*R107</f>
        <v>150102.11438573731</v>
      </c>
      <c r="X107" s="766"/>
      <c r="Y107" s="238" t="s">
        <v>2245</v>
      </c>
      <c r="Z107" s="422" t="s">
        <v>963</v>
      </c>
    </row>
    <row r="108" spans="1:26" s="225" customFormat="1" ht="15" customHeight="1" x14ac:dyDescent="0.2">
      <c r="A108" s="1393" t="s">
        <v>151</v>
      </c>
      <c r="B108" s="1218">
        <v>502</v>
      </c>
      <c r="C108" s="609" t="s">
        <v>421</v>
      </c>
      <c r="D108" s="611" t="s">
        <v>961</v>
      </c>
      <c r="E108" s="422"/>
      <c r="F108" s="610" t="s">
        <v>962</v>
      </c>
      <c r="G108" s="232">
        <v>15</v>
      </c>
      <c r="H108" s="422" t="s">
        <v>638</v>
      </c>
      <c r="I108" s="234" t="s">
        <v>882</v>
      </c>
      <c r="J108" s="1213">
        <v>1</v>
      </c>
      <c r="K108" s="699">
        <v>20000</v>
      </c>
      <c r="L108" s="1253">
        <v>2009</v>
      </c>
      <c r="M108" s="238">
        <f>K108</f>
        <v>20000</v>
      </c>
      <c r="N108" s="1159" t="s">
        <v>978</v>
      </c>
      <c r="O108" s="460">
        <v>28630</v>
      </c>
      <c r="P108" s="1349" t="s">
        <v>287</v>
      </c>
      <c r="Q108" s="1350">
        <v>0.8</v>
      </c>
      <c r="R108" s="1351">
        <v>1.7</v>
      </c>
      <c r="S108" s="460">
        <f ca="1">IF(N108&lt;&gt;"",VLOOKUP(N108,INDIRECT(LU_SENS),2,FALSE),"")</f>
        <v>36530.594100000002</v>
      </c>
      <c r="T108" s="239">
        <f ca="1">S108/O108</f>
        <v>1.2759550855745723</v>
      </c>
      <c r="U108" s="238">
        <f ca="1">M108*T108^Q108</f>
        <v>24305.149986245073</v>
      </c>
      <c r="V108" s="238">
        <f ca="1">U108*VLOOKUP(DCFROR!$B$34,INDIRECT(IX_CAP),4,FALSE)/VLOOKUP(L108,INDIRECT(IX_CAP),4,FALSE)</f>
        <v>25227.246115249967</v>
      </c>
      <c r="W108" s="676">
        <f ca="1">V108*R108</f>
        <v>42886.318395924944</v>
      </c>
      <c r="X108" s="766"/>
      <c r="Y108" s="238" t="s">
        <v>2245</v>
      </c>
      <c r="Z108" s="422" t="s">
        <v>963</v>
      </c>
    </row>
    <row r="109" spans="1:26" s="225" customFormat="1" ht="15" customHeight="1" x14ac:dyDescent="0.2">
      <c r="A109" s="1393" t="s">
        <v>907</v>
      </c>
      <c r="B109" s="1218">
        <v>501</v>
      </c>
      <c r="C109" s="609" t="s">
        <v>330</v>
      </c>
      <c r="D109" s="611" t="s">
        <v>1018</v>
      </c>
      <c r="E109" s="422"/>
      <c r="F109" s="610" t="s">
        <v>1019</v>
      </c>
      <c r="G109" s="235"/>
      <c r="H109" s="422" t="s">
        <v>909</v>
      </c>
      <c r="I109" s="234" t="s">
        <v>1020</v>
      </c>
      <c r="J109" s="1213">
        <v>1</v>
      </c>
      <c r="K109" s="699">
        <f>4162000-440000-315000</f>
        <v>3407000</v>
      </c>
      <c r="L109" s="1253">
        <v>2009</v>
      </c>
      <c r="M109" s="238">
        <f>K109</f>
        <v>3407000</v>
      </c>
      <c r="N109" s="1159" t="s">
        <v>1075</v>
      </c>
      <c r="O109" s="460">
        <v>30379</v>
      </c>
      <c r="P109" s="1349" t="s">
        <v>287</v>
      </c>
      <c r="Q109" s="1350">
        <v>0.6</v>
      </c>
      <c r="R109" s="1362">
        <v>2.4</v>
      </c>
      <c r="S109" s="460">
        <f ca="1">IF(N109&lt;&gt;"",VLOOKUP(N109,INDIRECT(LU_SENS),2,FALSE),"")</f>
        <v>29168.800400000004</v>
      </c>
      <c r="T109" s="239">
        <f ca="1">S109/O109</f>
        <v>0.96016328384739469</v>
      </c>
      <c r="U109" s="238">
        <f ca="1">M109*T109^Q109</f>
        <v>3324904.6123902318</v>
      </c>
      <c r="V109" s="238">
        <f ca="1">U109*VLOOKUP(DCFROR!$B$34,INDIRECT(IX_CAP),4,FALSE)/VLOOKUP(L109,INDIRECT(IX_CAP),4,FALSE)</f>
        <v>3451045.8488825234</v>
      </c>
      <c r="W109" s="676">
        <f ca="1">V109*R109</f>
        <v>8282510.0373180555</v>
      </c>
      <c r="X109" s="766"/>
      <c r="Y109" s="238" t="s">
        <v>2284</v>
      </c>
      <c r="Z109" s="422" t="s">
        <v>1677</v>
      </c>
    </row>
    <row r="110" spans="1:26" s="225" customFormat="1" ht="15" customHeight="1" x14ac:dyDescent="0.2">
      <c r="A110" s="1393" t="s">
        <v>907</v>
      </c>
      <c r="B110" s="1218">
        <v>502</v>
      </c>
      <c r="C110" s="609" t="s">
        <v>640</v>
      </c>
      <c r="D110" s="611" t="s">
        <v>1018</v>
      </c>
      <c r="E110" s="422"/>
      <c r="F110" s="610" t="s">
        <v>1021</v>
      </c>
      <c r="G110" s="235"/>
      <c r="H110" s="422" t="s">
        <v>909</v>
      </c>
      <c r="I110" s="234" t="s">
        <v>1022</v>
      </c>
      <c r="J110" s="1213">
        <v>1</v>
      </c>
      <c r="K110" s="699" t="s">
        <v>1023</v>
      </c>
      <c r="L110" s="1251"/>
      <c r="M110" s="842"/>
      <c r="N110" s="842"/>
      <c r="O110" s="844"/>
      <c r="P110" s="848"/>
      <c r="Q110" s="845"/>
      <c r="R110" s="1199"/>
      <c r="S110" s="844"/>
      <c r="T110" s="842"/>
      <c r="U110" s="842"/>
      <c r="V110" s="842"/>
      <c r="W110" s="849"/>
      <c r="X110" s="767"/>
      <c r="Y110" s="842"/>
      <c r="Z110" s="422"/>
    </row>
    <row r="111" spans="1:26" s="225" customFormat="1" ht="15" customHeight="1" x14ac:dyDescent="0.2">
      <c r="A111" s="1393" t="s">
        <v>869</v>
      </c>
      <c r="B111" s="1218">
        <v>501</v>
      </c>
      <c r="C111" s="609" t="s">
        <v>331</v>
      </c>
      <c r="D111" s="611" t="s">
        <v>1018</v>
      </c>
      <c r="E111" s="422"/>
      <c r="F111" s="610" t="s">
        <v>1024</v>
      </c>
      <c r="G111" s="235"/>
      <c r="H111" s="422" t="s">
        <v>1025</v>
      </c>
      <c r="I111" s="234" t="s">
        <v>1022</v>
      </c>
      <c r="J111" s="1213">
        <v>1</v>
      </c>
      <c r="K111" s="699" t="s">
        <v>1023</v>
      </c>
      <c r="L111" s="1251"/>
      <c r="M111" s="842"/>
      <c r="N111" s="842"/>
      <c r="O111" s="844"/>
      <c r="P111" s="848"/>
      <c r="Q111" s="845"/>
      <c r="R111" s="1199"/>
      <c r="S111" s="844"/>
      <c r="T111" s="842"/>
      <c r="U111" s="842"/>
      <c r="V111" s="842"/>
      <c r="W111" s="849"/>
      <c r="X111" s="767"/>
      <c r="Y111" s="842"/>
      <c r="Z111" s="422"/>
    </row>
    <row r="112" spans="1:26" s="225" customFormat="1" ht="15" customHeight="1" x14ac:dyDescent="0.2">
      <c r="A112" s="1393" t="s">
        <v>869</v>
      </c>
      <c r="B112" s="1218">
        <v>502</v>
      </c>
      <c r="C112" s="609" t="s">
        <v>641</v>
      </c>
      <c r="D112" s="611" t="s">
        <v>1018</v>
      </c>
      <c r="E112" s="422"/>
      <c r="F112" s="610" t="s">
        <v>1024</v>
      </c>
      <c r="G112" s="235"/>
      <c r="H112" s="422" t="s">
        <v>1025</v>
      </c>
      <c r="I112" s="234" t="s">
        <v>1022</v>
      </c>
      <c r="J112" s="1213">
        <v>1</v>
      </c>
      <c r="K112" s="699" t="s">
        <v>1023</v>
      </c>
      <c r="L112" s="1251"/>
      <c r="M112" s="842"/>
      <c r="N112" s="842"/>
      <c r="O112" s="844"/>
      <c r="P112" s="848"/>
      <c r="Q112" s="845"/>
      <c r="R112" s="1199"/>
      <c r="S112" s="844"/>
      <c r="T112" s="842"/>
      <c r="U112" s="842"/>
      <c r="V112" s="842"/>
      <c r="W112" s="849"/>
      <c r="X112" s="767"/>
      <c r="Y112" s="842"/>
      <c r="Z112" s="422"/>
    </row>
    <row r="113" spans="1:26" s="225" customFormat="1" ht="15" customHeight="1" x14ac:dyDescent="0.2">
      <c r="A113" s="1393" t="s">
        <v>869</v>
      </c>
      <c r="B113" s="1218">
        <v>504</v>
      </c>
      <c r="C113" s="609" t="s">
        <v>4</v>
      </c>
      <c r="D113" s="611" t="s">
        <v>1018</v>
      </c>
      <c r="E113" s="422"/>
      <c r="F113" s="610" t="s">
        <v>1024</v>
      </c>
      <c r="G113" s="235"/>
      <c r="H113" s="422" t="s">
        <v>1025</v>
      </c>
      <c r="I113" s="234" t="s">
        <v>1022</v>
      </c>
      <c r="J113" s="1213">
        <v>1</v>
      </c>
      <c r="K113" s="699" t="s">
        <v>1023</v>
      </c>
      <c r="L113" s="1251"/>
      <c r="M113" s="842"/>
      <c r="N113" s="842"/>
      <c r="O113" s="844"/>
      <c r="P113" s="848"/>
      <c r="Q113" s="845"/>
      <c r="R113" s="1199"/>
      <c r="S113" s="844"/>
      <c r="T113" s="842"/>
      <c r="U113" s="842"/>
      <c r="V113" s="842"/>
      <c r="W113" s="849"/>
      <c r="X113" s="767"/>
      <c r="Y113" s="842"/>
      <c r="Z113" s="422"/>
    </row>
    <row r="114" spans="1:26" s="225" customFormat="1" ht="15" customHeight="1" x14ac:dyDescent="0.2">
      <c r="A114" s="1393" t="s">
        <v>869</v>
      </c>
      <c r="B114" s="1218">
        <v>505</v>
      </c>
      <c r="C114" s="609" t="s">
        <v>1678</v>
      </c>
      <c r="D114" s="611" t="s">
        <v>1620</v>
      </c>
      <c r="E114" s="422" t="s">
        <v>1679</v>
      </c>
      <c r="F114" s="1367" t="s">
        <v>2671</v>
      </c>
      <c r="G114" s="1368" t="s">
        <v>3306</v>
      </c>
      <c r="H114" s="422" t="s">
        <v>637</v>
      </c>
      <c r="I114" s="234" t="s">
        <v>836</v>
      </c>
      <c r="J114" s="1213">
        <v>1</v>
      </c>
      <c r="K114" s="699">
        <v>487000</v>
      </c>
      <c r="L114" s="1253">
        <v>2010</v>
      </c>
      <c r="M114" s="238">
        <f>K114</f>
        <v>487000</v>
      </c>
      <c r="N114" s="1159" t="s">
        <v>1741</v>
      </c>
      <c r="O114" s="1363">
        <v>23.2</v>
      </c>
      <c r="P114" s="1359" t="s">
        <v>3079</v>
      </c>
      <c r="Q114" s="1350">
        <v>0.6</v>
      </c>
      <c r="R114" s="1351">
        <v>2.8</v>
      </c>
      <c r="S114" s="460">
        <f ca="1">IF(N114&lt;&gt;"",VLOOKUP(N114,INDIRECT(LU_SENS),2,FALSE),"")</f>
        <v>23.199588899999998</v>
      </c>
      <c r="T114" s="239">
        <f ca="1">S114/O114</f>
        <v>0.99998228017241375</v>
      </c>
      <c r="U114" s="238">
        <f ca="1">M114*T114^Q114</f>
        <v>486994.82224802946</v>
      </c>
      <c r="V114" s="238">
        <f ca="1">U114*VLOOKUP(DCFROR!$B$34,INDIRECT(IX_CAP),4,FALSE)/VLOOKUP(L114,INDIRECT(IX_CAP),4,FALSE)</f>
        <v>478948.97460377193</v>
      </c>
      <c r="W114" s="676">
        <f ca="1">V114*R114</f>
        <v>1341057.1288905614</v>
      </c>
      <c r="X114" s="766"/>
      <c r="Y114" s="238" t="s">
        <v>2259</v>
      </c>
      <c r="Z114" s="422" t="s">
        <v>1680</v>
      </c>
    </row>
    <row r="115" spans="1:26" s="225" customFormat="1" ht="15" customHeight="1" x14ac:dyDescent="0.2">
      <c r="A115" s="1393" t="s">
        <v>869</v>
      </c>
      <c r="B115" s="1218">
        <v>512</v>
      </c>
      <c r="C115" s="609" t="s">
        <v>324</v>
      </c>
      <c r="D115" s="611" t="s">
        <v>1018</v>
      </c>
      <c r="E115" s="422"/>
      <c r="F115" s="610" t="s">
        <v>1026</v>
      </c>
      <c r="G115" s="235"/>
      <c r="H115" s="422" t="s">
        <v>909</v>
      </c>
      <c r="I115" s="234" t="s">
        <v>1022</v>
      </c>
      <c r="J115" s="1213">
        <v>1</v>
      </c>
      <c r="K115" s="699" t="s">
        <v>1023</v>
      </c>
      <c r="L115" s="1251"/>
      <c r="M115" s="842"/>
      <c r="N115" s="842"/>
      <c r="O115" s="844"/>
      <c r="P115" s="848"/>
      <c r="Q115" s="845"/>
      <c r="R115" s="1199"/>
      <c r="S115" s="844"/>
      <c r="T115" s="842"/>
      <c r="U115" s="842"/>
      <c r="V115" s="842"/>
      <c r="W115" s="849"/>
      <c r="X115" s="767"/>
      <c r="Y115" s="842"/>
      <c r="Z115" s="422"/>
    </row>
    <row r="116" spans="1:26" s="225" customFormat="1" ht="15" customHeight="1" x14ac:dyDescent="0.2">
      <c r="A116" s="1393" t="s">
        <v>837</v>
      </c>
      <c r="B116" s="1218">
        <v>503</v>
      </c>
      <c r="C116" s="609" t="s">
        <v>1681</v>
      </c>
      <c r="D116" s="611" t="s">
        <v>1027</v>
      </c>
      <c r="E116" s="422"/>
      <c r="F116" s="610"/>
      <c r="G116" s="235"/>
      <c r="H116" s="422" t="s">
        <v>649</v>
      </c>
      <c r="I116" s="234" t="s">
        <v>836</v>
      </c>
      <c r="J116" s="1213">
        <v>1</v>
      </c>
      <c r="K116" s="699">
        <f>ROUND((1.2^0.6)*2331604.71, -3)</f>
        <v>2601000</v>
      </c>
      <c r="L116" s="1253">
        <v>2009</v>
      </c>
      <c r="M116" s="238">
        <f>K116</f>
        <v>2601000</v>
      </c>
      <c r="N116" s="1159" t="s">
        <v>980</v>
      </c>
      <c r="O116" s="460">
        <v>22687</v>
      </c>
      <c r="P116" s="1349" t="s">
        <v>287</v>
      </c>
      <c r="Q116" s="1350">
        <v>0.6</v>
      </c>
      <c r="R116" s="1351">
        <v>1.8</v>
      </c>
      <c r="S116" s="460">
        <f ca="1">IF(N116&lt;&gt;"",VLOOKUP(N116,INDIRECT(LU_SENS),2,FALSE),"")</f>
        <v>21808.6862</v>
      </c>
      <c r="T116" s="239">
        <f ca="1">S116/O116</f>
        <v>0.96128559086701637</v>
      </c>
      <c r="U116" s="238">
        <f ca="1">M116*T116^Q116</f>
        <v>2540105.8325571618</v>
      </c>
      <c r="V116" s="238">
        <f ca="1">U116*VLOOKUP(DCFROR!$B$34,INDIRECT(IX_CAP),4,FALSE)/VLOOKUP(L116,INDIRECT(IX_CAP),4,FALSE)</f>
        <v>2636473.1356509193</v>
      </c>
      <c r="W116" s="676">
        <f ca="1">V116*R116</f>
        <v>4745651.6441716552</v>
      </c>
      <c r="X116" s="766"/>
      <c r="Y116" s="238" t="s">
        <v>2253</v>
      </c>
      <c r="Z116" s="1488"/>
    </row>
    <row r="117" spans="1:26" s="225" customFormat="1" ht="15" customHeight="1" x14ac:dyDescent="0.2">
      <c r="A117" s="1393" t="s">
        <v>837</v>
      </c>
      <c r="B117" s="1218">
        <v>505</v>
      </c>
      <c r="C117" s="609" t="s">
        <v>3315</v>
      </c>
      <c r="D117" s="611" t="s">
        <v>1682</v>
      </c>
      <c r="E117" s="422" t="s">
        <v>1683</v>
      </c>
      <c r="F117" s="610" t="s">
        <v>1684</v>
      </c>
      <c r="G117" s="235" t="s">
        <v>973</v>
      </c>
      <c r="H117" s="422"/>
      <c r="I117" s="234" t="s">
        <v>1685</v>
      </c>
      <c r="J117" s="1213">
        <v>1</v>
      </c>
      <c r="K117" s="699">
        <v>75200</v>
      </c>
      <c r="L117" s="1253">
        <v>2009</v>
      </c>
      <c r="M117" s="238">
        <f>K117</f>
        <v>75200</v>
      </c>
      <c r="N117" s="1159" t="s">
        <v>1742</v>
      </c>
      <c r="O117" s="460">
        <v>808</v>
      </c>
      <c r="P117" s="1349" t="s">
        <v>287</v>
      </c>
      <c r="Q117" s="1350">
        <v>0.6</v>
      </c>
      <c r="R117" s="1351">
        <v>1.6</v>
      </c>
      <c r="S117" s="460">
        <f ca="1">IF(N117&lt;&gt;"",VLOOKUP(N117,INDIRECT(LU_SENS),2,FALSE),"")</f>
        <v>809.38039300000003</v>
      </c>
      <c r="T117" s="239">
        <f ca="1">S117/O117</f>
        <v>1.0017084071782179</v>
      </c>
      <c r="U117" s="238">
        <f ca="1">M117*T117^Q117</f>
        <v>75277.057014914288</v>
      </c>
      <c r="V117" s="238">
        <f ca="1">U117*VLOOKUP(DCFROR!$B$34,INDIRECT(IX_CAP),4,FALSE)/VLOOKUP(L117,INDIRECT(IX_CAP),4,FALSE)</f>
        <v>78132.940764474188</v>
      </c>
      <c r="W117" s="676">
        <f ca="1">V117*R117</f>
        <v>125012.7052231587</v>
      </c>
      <c r="X117" s="766"/>
      <c r="Y117" s="238" t="s">
        <v>2260</v>
      </c>
      <c r="Z117" s="1488"/>
    </row>
    <row r="118" spans="1:26" s="225" customFormat="1" ht="15" customHeight="1" x14ac:dyDescent="0.2">
      <c r="A118" s="1393" t="s">
        <v>837</v>
      </c>
      <c r="B118" s="1218">
        <v>507</v>
      </c>
      <c r="C118" s="609" t="s">
        <v>3316</v>
      </c>
      <c r="D118" s="611" t="s">
        <v>1682</v>
      </c>
      <c r="E118" s="422" t="s">
        <v>1686</v>
      </c>
      <c r="F118" s="610" t="s">
        <v>1687</v>
      </c>
      <c r="G118" s="235" t="s">
        <v>1688</v>
      </c>
      <c r="H118" s="422"/>
      <c r="I118" s="234" t="s">
        <v>1685</v>
      </c>
      <c r="J118" s="1213">
        <v>2</v>
      </c>
      <c r="K118" s="699">
        <v>405000</v>
      </c>
      <c r="L118" s="1253">
        <v>2009</v>
      </c>
      <c r="M118" s="238">
        <f>K118</f>
        <v>405000</v>
      </c>
      <c r="N118" s="1159" t="s">
        <v>1743</v>
      </c>
      <c r="O118" s="460">
        <v>12233</v>
      </c>
      <c r="P118" s="1349" t="s">
        <v>287</v>
      </c>
      <c r="Q118" s="1350">
        <v>0.6</v>
      </c>
      <c r="R118" s="1351">
        <v>1.6</v>
      </c>
      <c r="S118" s="460">
        <f ca="1">IF(N118&lt;&gt;"",VLOOKUP(N118,INDIRECT(LU_SENS),2,FALSE),"")</f>
        <v>12113.638199999999</v>
      </c>
      <c r="T118" s="239">
        <f ca="1">S118/O118</f>
        <v>0.99024263876399898</v>
      </c>
      <c r="U118" s="238">
        <f ca="1">M118*T118^Q118</f>
        <v>402624.31301028549</v>
      </c>
      <c r="V118" s="238">
        <f ca="1">U118*VLOOKUP(DCFROR!$B$34,INDIRECT(IX_CAP),4,FALSE)/VLOOKUP(L118,INDIRECT(IX_CAP),4,FALSE)</f>
        <v>417899.19593345793</v>
      </c>
      <c r="W118" s="676">
        <f ca="1">V118*R118</f>
        <v>668638.71349353273</v>
      </c>
      <c r="X118" s="766"/>
      <c r="Y118" s="238" t="s">
        <v>2260</v>
      </c>
      <c r="Z118" s="1488"/>
    </row>
    <row r="119" spans="1:26" s="225" customFormat="1" ht="15" customHeight="1" x14ac:dyDescent="0.2">
      <c r="A119" s="1393" t="s">
        <v>881</v>
      </c>
      <c r="B119" s="1218">
        <v>501</v>
      </c>
      <c r="C119" s="609" t="s">
        <v>3320</v>
      </c>
      <c r="D119" s="611" t="s">
        <v>1018</v>
      </c>
      <c r="E119" s="422"/>
      <c r="F119" s="610" t="s">
        <v>1028</v>
      </c>
      <c r="G119" s="232">
        <v>200</v>
      </c>
      <c r="H119" s="422" t="s">
        <v>909</v>
      </c>
      <c r="I119" s="234" t="s">
        <v>1022</v>
      </c>
      <c r="J119" s="1213">
        <v>1</v>
      </c>
      <c r="K119" s="699" t="s">
        <v>1023</v>
      </c>
      <c r="L119" s="1251"/>
      <c r="M119" s="850"/>
      <c r="N119" s="850"/>
      <c r="O119" s="852"/>
      <c r="P119" s="851"/>
      <c r="Q119" s="1205"/>
      <c r="R119" s="1207"/>
      <c r="S119" s="852"/>
      <c r="T119" s="850"/>
      <c r="U119" s="850"/>
      <c r="V119" s="850"/>
      <c r="W119" s="853"/>
      <c r="X119" s="767"/>
      <c r="Y119" s="842"/>
      <c r="Z119" s="422"/>
    </row>
    <row r="120" spans="1:26" s="225" customFormat="1" ht="15" customHeight="1" x14ac:dyDescent="0.2">
      <c r="A120" s="1393" t="s">
        <v>881</v>
      </c>
      <c r="B120" s="1218">
        <v>503</v>
      </c>
      <c r="C120" s="609" t="s">
        <v>358</v>
      </c>
      <c r="D120" s="611" t="s">
        <v>1018</v>
      </c>
      <c r="E120" s="422"/>
      <c r="F120" s="610" t="s">
        <v>1029</v>
      </c>
      <c r="G120" s="232">
        <v>2</v>
      </c>
      <c r="H120" s="422" t="s">
        <v>909</v>
      </c>
      <c r="I120" s="234" t="s">
        <v>1022</v>
      </c>
      <c r="J120" s="1213">
        <v>1</v>
      </c>
      <c r="K120" s="699" t="s">
        <v>1023</v>
      </c>
      <c r="L120" s="1251"/>
      <c r="M120" s="842"/>
      <c r="N120" s="842"/>
      <c r="O120" s="844"/>
      <c r="P120" s="848"/>
      <c r="Q120" s="845"/>
      <c r="R120" s="1199"/>
      <c r="S120" s="844"/>
      <c r="T120" s="842"/>
      <c r="U120" s="842"/>
      <c r="V120" s="842"/>
      <c r="W120" s="849"/>
      <c r="X120" s="767"/>
      <c r="Y120" s="842"/>
      <c r="Z120" s="422"/>
    </row>
    <row r="121" spans="1:26" s="225" customFormat="1" ht="15" customHeight="1" x14ac:dyDescent="0.2">
      <c r="A121" s="1393" t="s">
        <v>881</v>
      </c>
      <c r="B121" s="1218">
        <v>504</v>
      </c>
      <c r="C121" s="609" t="s">
        <v>3321</v>
      </c>
      <c r="D121" s="611" t="s">
        <v>1018</v>
      </c>
      <c r="E121" s="422"/>
      <c r="F121" s="610" t="s">
        <v>1030</v>
      </c>
      <c r="G121" s="232">
        <v>15</v>
      </c>
      <c r="H121" s="422" t="s">
        <v>909</v>
      </c>
      <c r="I121" s="234" t="s">
        <v>1022</v>
      </c>
      <c r="J121" s="1213">
        <v>1</v>
      </c>
      <c r="K121" s="699" t="s">
        <v>1023</v>
      </c>
      <c r="L121" s="1251"/>
      <c r="M121" s="842"/>
      <c r="N121" s="842"/>
      <c r="O121" s="844"/>
      <c r="P121" s="848"/>
      <c r="Q121" s="845"/>
      <c r="R121" s="1199"/>
      <c r="S121" s="844"/>
      <c r="T121" s="842"/>
      <c r="U121" s="842"/>
      <c r="V121" s="842"/>
      <c r="W121" s="849"/>
      <c r="X121" s="767"/>
      <c r="Y121" s="842"/>
      <c r="Z121" s="422"/>
    </row>
    <row r="122" spans="1:26" s="225" customFormat="1" ht="15" customHeight="1" x14ac:dyDescent="0.2">
      <c r="A122" s="1393" t="s">
        <v>881</v>
      </c>
      <c r="B122" s="1218">
        <v>505</v>
      </c>
      <c r="C122" s="609" t="s">
        <v>642</v>
      </c>
      <c r="D122" s="611" t="s">
        <v>1018</v>
      </c>
      <c r="E122" s="422"/>
      <c r="F122" s="610" t="s">
        <v>1031</v>
      </c>
      <c r="G122" s="232">
        <v>50</v>
      </c>
      <c r="H122" s="422" t="s">
        <v>909</v>
      </c>
      <c r="I122" s="234" t="s">
        <v>1022</v>
      </c>
      <c r="J122" s="1213">
        <v>1</v>
      </c>
      <c r="K122" s="699" t="s">
        <v>1023</v>
      </c>
      <c r="L122" s="1251"/>
      <c r="M122" s="842"/>
      <c r="N122" s="842"/>
      <c r="O122" s="844"/>
      <c r="P122" s="848"/>
      <c r="Q122" s="845"/>
      <c r="R122" s="1199"/>
      <c r="S122" s="844"/>
      <c r="T122" s="842"/>
      <c r="U122" s="842"/>
      <c r="V122" s="842"/>
      <c r="W122" s="849"/>
      <c r="X122" s="767"/>
      <c r="Y122" s="842"/>
      <c r="Z122" s="422"/>
    </row>
    <row r="123" spans="1:26" s="225" customFormat="1" ht="15" customHeight="1" x14ac:dyDescent="0.2">
      <c r="A123" s="1393" t="s">
        <v>881</v>
      </c>
      <c r="B123" s="1218">
        <v>506</v>
      </c>
      <c r="C123" s="609" t="s">
        <v>3322</v>
      </c>
      <c r="D123" s="611" t="s">
        <v>1018</v>
      </c>
      <c r="E123" s="422"/>
      <c r="F123" s="610" t="s">
        <v>1689</v>
      </c>
      <c r="G123" s="232">
        <v>75</v>
      </c>
      <c r="H123" s="422" t="s">
        <v>909</v>
      </c>
      <c r="I123" s="234" t="s">
        <v>1022</v>
      </c>
      <c r="J123" s="1213">
        <v>1</v>
      </c>
      <c r="K123" s="699" t="s">
        <v>1023</v>
      </c>
      <c r="L123" s="1251"/>
      <c r="M123" s="842"/>
      <c r="N123" s="842"/>
      <c r="O123" s="844"/>
      <c r="P123" s="848"/>
      <c r="Q123" s="845"/>
      <c r="R123" s="1199"/>
      <c r="S123" s="844"/>
      <c r="T123" s="842"/>
      <c r="U123" s="842"/>
      <c r="V123" s="842"/>
      <c r="W123" s="849"/>
      <c r="X123" s="767"/>
      <c r="Y123" s="842"/>
      <c r="Z123" s="422"/>
    </row>
    <row r="124" spans="1:26" s="225" customFormat="1" ht="15" customHeight="1" x14ac:dyDescent="0.2">
      <c r="A124" s="1393" t="s">
        <v>881</v>
      </c>
      <c r="B124" s="1218">
        <v>515</v>
      </c>
      <c r="C124" s="627" t="s">
        <v>361</v>
      </c>
      <c r="D124" s="628" t="s">
        <v>991</v>
      </c>
      <c r="E124" s="629" t="s">
        <v>1032</v>
      </c>
      <c r="F124" s="610" t="s">
        <v>910</v>
      </c>
      <c r="G124" s="232"/>
      <c r="H124" s="422" t="s">
        <v>909</v>
      </c>
      <c r="I124" s="234" t="s">
        <v>882</v>
      </c>
      <c r="J124" s="1213">
        <v>1</v>
      </c>
      <c r="K124" s="699">
        <v>6300</v>
      </c>
      <c r="L124" s="1253">
        <v>2009</v>
      </c>
      <c r="M124" s="238">
        <f t="shared" ref="M124:M130" si="25">K124</f>
        <v>6300</v>
      </c>
      <c r="N124" s="1159" t="s">
        <v>986</v>
      </c>
      <c r="O124" s="460">
        <v>24527</v>
      </c>
      <c r="P124" s="1349" t="s">
        <v>287</v>
      </c>
      <c r="Q124" s="1350">
        <v>0.8</v>
      </c>
      <c r="R124" s="1351">
        <v>2.2999999999999998</v>
      </c>
      <c r="S124" s="460">
        <f t="shared" ref="S124:S130" ca="1" si="26">IF(N124&lt;&gt;"",VLOOKUP(N124,INDIRECT(LU_SENS),2,FALSE),"")</f>
        <v>27138.3868</v>
      </c>
      <c r="T124" s="239">
        <f t="shared" ref="T124:T130" ca="1" si="27">S124/O124</f>
        <v>1.1064698821706691</v>
      </c>
      <c r="U124" s="238">
        <f t="shared" ref="U124:U130" ca="1" si="28">M124*T124^Q124</f>
        <v>6831.1249165950985</v>
      </c>
      <c r="V124" s="238">
        <f ca="1">U124*VLOOKUP(DCFROR!$B$34,INDIRECT(IX_CAP),4,FALSE)/VLOOKUP(L124,INDIRECT(IX_CAP),4,FALSE)</f>
        <v>7090.2861991177724</v>
      </c>
      <c r="W124" s="676">
        <f t="shared" ref="W124:W130" ca="1" si="29">V124*R124</f>
        <v>16307.658257970876</v>
      </c>
      <c r="X124" s="766"/>
      <c r="Y124" s="238" t="s">
        <v>2249</v>
      </c>
      <c r="Z124" s="422"/>
    </row>
    <row r="125" spans="1:26" s="225" customFormat="1" ht="15" customHeight="1" x14ac:dyDescent="0.2">
      <c r="A125" s="1393" t="s">
        <v>881</v>
      </c>
      <c r="B125" s="1218">
        <v>530</v>
      </c>
      <c r="C125" s="609" t="s">
        <v>1690</v>
      </c>
      <c r="D125" s="611" t="s">
        <v>1691</v>
      </c>
      <c r="E125" s="630" t="s">
        <v>1692</v>
      </c>
      <c r="F125" s="610" t="s">
        <v>2672</v>
      </c>
      <c r="G125" s="232"/>
      <c r="H125" s="422" t="s">
        <v>649</v>
      </c>
      <c r="I125" s="234" t="s">
        <v>1685</v>
      </c>
      <c r="J125" s="1213">
        <v>1</v>
      </c>
      <c r="K125" s="699">
        <v>13040</v>
      </c>
      <c r="L125" s="1253">
        <v>2010</v>
      </c>
      <c r="M125" s="238">
        <f t="shared" si="25"/>
        <v>13040</v>
      </c>
      <c r="N125" s="1159" t="s">
        <v>1746</v>
      </c>
      <c r="O125" s="460">
        <v>31815</v>
      </c>
      <c r="P125" s="1349" t="s">
        <v>287</v>
      </c>
      <c r="Q125" s="1350">
        <v>0.8</v>
      </c>
      <c r="R125" s="1351">
        <v>2.2999999999999998</v>
      </c>
      <c r="S125" s="460">
        <f t="shared" ca="1" si="26"/>
        <v>36530.594100000002</v>
      </c>
      <c r="T125" s="239">
        <f t="shared" ca="1" si="27"/>
        <v>1.1482192079207922</v>
      </c>
      <c r="U125" s="238">
        <f t="shared" ca="1" si="28"/>
        <v>14564.562298547589</v>
      </c>
      <c r="V125" s="238">
        <f ca="1">U125*VLOOKUP(DCFROR!$B$34,INDIRECT(IX_CAP),4,FALSE)/VLOOKUP(L125,INDIRECT(IX_CAP),4,FALSE)</f>
        <v>14323.934998408189</v>
      </c>
      <c r="W125" s="676">
        <f t="shared" ca="1" si="29"/>
        <v>32945.05049633883</v>
      </c>
      <c r="X125" s="766"/>
      <c r="Y125" s="238" t="s">
        <v>2249</v>
      </c>
      <c r="Z125" s="1491" t="s">
        <v>1747</v>
      </c>
    </row>
    <row r="126" spans="1:26" s="225" customFormat="1" ht="15" customHeight="1" x14ac:dyDescent="0.2">
      <c r="A126" s="1393" t="s">
        <v>881</v>
      </c>
      <c r="B126" s="1218">
        <v>531</v>
      </c>
      <c r="C126" s="609" t="s">
        <v>1694</v>
      </c>
      <c r="D126" s="611" t="s">
        <v>1695</v>
      </c>
      <c r="E126" s="277" t="s">
        <v>1696</v>
      </c>
      <c r="F126" s="610" t="s">
        <v>2673</v>
      </c>
      <c r="G126" s="232" t="s">
        <v>1641</v>
      </c>
      <c r="H126" s="422" t="s">
        <v>649</v>
      </c>
      <c r="I126" s="234" t="s">
        <v>1685</v>
      </c>
      <c r="J126" s="1213">
        <v>1</v>
      </c>
      <c r="K126" s="699">
        <v>18173</v>
      </c>
      <c r="L126" s="1253">
        <v>2010</v>
      </c>
      <c r="M126" s="238">
        <f t="shared" si="25"/>
        <v>18173</v>
      </c>
      <c r="N126" s="1159" t="s">
        <v>1746</v>
      </c>
      <c r="O126" s="460">
        <v>31815</v>
      </c>
      <c r="P126" s="1349" t="s">
        <v>287</v>
      </c>
      <c r="Q126" s="1350">
        <v>0.8</v>
      </c>
      <c r="R126" s="1351">
        <v>2.2999999999999998</v>
      </c>
      <c r="S126" s="460">
        <f t="shared" ca="1" si="26"/>
        <v>36530.594100000002</v>
      </c>
      <c r="T126" s="239">
        <f t="shared" ca="1" si="27"/>
        <v>1.1482192079207922</v>
      </c>
      <c r="U126" s="238">
        <f t="shared" ca="1" si="28"/>
        <v>20297.683332170654</v>
      </c>
      <c r="V126" s="238">
        <f ca="1">U126*VLOOKUP(DCFROR!$B$34,INDIRECT(IX_CAP),4,FALSE)/VLOOKUP(L126,INDIRECT(IX_CAP),4,FALSE)</f>
        <v>19962.336712122087</v>
      </c>
      <c r="W126" s="676">
        <f t="shared" ca="1" si="29"/>
        <v>45913.374437880797</v>
      </c>
      <c r="X126" s="766"/>
      <c r="Y126" s="238" t="s">
        <v>2249</v>
      </c>
      <c r="Z126" s="422" t="s">
        <v>1697</v>
      </c>
    </row>
    <row r="127" spans="1:26" s="225" customFormat="1" ht="15" customHeight="1" x14ac:dyDescent="0.2">
      <c r="A127" s="1393" t="s">
        <v>881</v>
      </c>
      <c r="B127" s="1218">
        <v>532</v>
      </c>
      <c r="C127" s="609" t="s">
        <v>1698</v>
      </c>
      <c r="D127" s="611" t="s">
        <v>1695</v>
      </c>
      <c r="E127" s="277" t="s">
        <v>1699</v>
      </c>
      <c r="F127" s="610"/>
      <c r="G127" s="232" t="s">
        <v>1641</v>
      </c>
      <c r="H127" s="422" t="s">
        <v>649</v>
      </c>
      <c r="I127" s="234" t="s">
        <v>1685</v>
      </c>
      <c r="J127" s="1213">
        <v>1</v>
      </c>
      <c r="K127" s="699">
        <v>17057</v>
      </c>
      <c r="L127" s="1253">
        <v>2010</v>
      </c>
      <c r="M127" s="238">
        <f t="shared" si="25"/>
        <v>17057</v>
      </c>
      <c r="N127" s="1159" t="s">
        <v>1746</v>
      </c>
      <c r="O127" s="460">
        <v>31815</v>
      </c>
      <c r="P127" s="1349" t="s">
        <v>287</v>
      </c>
      <c r="Q127" s="1350">
        <v>0.8</v>
      </c>
      <c r="R127" s="1351">
        <v>2.2999999999999998</v>
      </c>
      <c r="S127" s="460">
        <f t="shared" ca="1" si="26"/>
        <v>36530.594100000002</v>
      </c>
      <c r="T127" s="239">
        <f t="shared" ca="1" si="27"/>
        <v>1.1482192079207922</v>
      </c>
      <c r="U127" s="238">
        <f t="shared" ca="1" si="28"/>
        <v>19051.206988215203</v>
      </c>
      <c r="V127" s="238">
        <f ca="1">U127*VLOOKUP(DCFROR!$B$34,INDIRECT(IX_CAP),4,FALSE)/VLOOKUP(L127,INDIRECT(IX_CAP),4,FALSE)</f>
        <v>18736.453931583474</v>
      </c>
      <c r="W127" s="676">
        <f t="shared" ca="1" si="29"/>
        <v>43093.844042641984</v>
      </c>
      <c r="X127" s="766"/>
      <c r="Y127" s="238" t="s">
        <v>2249</v>
      </c>
      <c r="Z127" s="422" t="s">
        <v>1697</v>
      </c>
    </row>
    <row r="128" spans="1:26" s="225" customFormat="1" ht="15" customHeight="1" x14ac:dyDescent="0.2">
      <c r="A128" s="1393" t="s">
        <v>881</v>
      </c>
      <c r="B128" s="1218">
        <v>533</v>
      </c>
      <c r="C128" s="609" t="s">
        <v>1700</v>
      </c>
      <c r="D128" s="611" t="s">
        <v>1695</v>
      </c>
      <c r="E128" s="277" t="s">
        <v>1696</v>
      </c>
      <c r="F128" s="610"/>
      <c r="G128" s="232" t="s">
        <v>973</v>
      </c>
      <c r="H128" s="422" t="s">
        <v>649</v>
      </c>
      <c r="I128" s="234" t="s">
        <v>1685</v>
      </c>
      <c r="J128" s="1213">
        <v>1</v>
      </c>
      <c r="K128" s="699">
        <v>29154</v>
      </c>
      <c r="L128" s="1253">
        <v>2010</v>
      </c>
      <c r="M128" s="238">
        <f t="shared" si="25"/>
        <v>29154</v>
      </c>
      <c r="N128" s="1159" t="s">
        <v>1746</v>
      </c>
      <c r="O128" s="460">
        <v>31815</v>
      </c>
      <c r="P128" s="1349" t="s">
        <v>287</v>
      </c>
      <c r="Q128" s="1350">
        <v>0.8</v>
      </c>
      <c r="R128" s="1351">
        <v>2.2999999999999998</v>
      </c>
      <c r="S128" s="460">
        <f t="shared" ca="1" si="26"/>
        <v>36530.594100000002</v>
      </c>
      <c r="T128" s="239">
        <f t="shared" ca="1" si="27"/>
        <v>1.1482192079207922</v>
      </c>
      <c r="U128" s="238">
        <f t="shared" ca="1" si="28"/>
        <v>32562.519114406165</v>
      </c>
      <c r="V128" s="238">
        <f ca="1">U128*VLOOKUP(DCFROR!$B$34,INDIRECT(IX_CAP),4,FALSE)/VLOOKUP(L128,INDIRECT(IX_CAP),4,FALSE)</f>
        <v>32024.53994966199</v>
      </c>
      <c r="W128" s="676">
        <f t="shared" ca="1" si="29"/>
        <v>73656.441884222571</v>
      </c>
      <c r="X128" s="766"/>
      <c r="Y128" s="238" t="s">
        <v>2249</v>
      </c>
      <c r="Z128" s="422" t="s">
        <v>1697</v>
      </c>
    </row>
    <row r="129" spans="1:26" s="225" customFormat="1" ht="15" customHeight="1" x14ac:dyDescent="0.2">
      <c r="A129" s="1393" t="s">
        <v>881</v>
      </c>
      <c r="B129" s="1218">
        <v>581</v>
      </c>
      <c r="C129" s="609" t="s">
        <v>1701</v>
      </c>
      <c r="D129" s="611" t="s">
        <v>1691</v>
      </c>
      <c r="E129" s="630" t="s">
        <v>1692</v>
      </c>
      <c r="F129" s="610" t="s">
        <v>2672</v>
      </c>
      <c r="G129" s="232" t="s">
        <v>1693</v>
      </c>
      <c r="H129" s="422" t="s">
        <v>649</v>
      </c>
      <c r="I129" s="234" t="s">
        <v>1685</v>
      </c>
      <c r="J129" s="1213">
        <v>1</v>
      </c>
      <c r="K129" s="699">
        <v>13040</v>
      </c>
      <c r="L129" s="1253">
        <v>2010</v>
      </c>
      <c r="M129" s="238">
        <f t="shared" si="25"/>
        <v>13040</v>
      </c>
      <c r="N129" s="1159" t="s">
        <v>1746</v>
      </c>
      <c r="O129" s="460">
        <v>31815</v>
      </c>
      <c r="P129" s="1349" t="s">
        <v>287</v>
      </c>
      <c r="Q129" s="1350">
        <v>0.8</v>
      </c>
      <c r="R129" s="1351">
        <v>2.2999999999999998</v>
      </c>
      <c r="S129" s="460">
        <f t="shared" ca="1" si="26"/>
        <v>36530.594100000002</v>
      </c>
      <c r="T129" s="239">
        <f t="shared" ca="1" si="27"/>
        <v>1.1482192079207922</v>
      </c>
      <c r="U129" s="238">
        <f t="shared" ca="1" si="28"/>
        <v>14564.562298547589</v>
      </c>
      <c r="V129" s="238">
        <f ca="1">U129*VLOOKUP(DCFROR!$B$34,INDIRECT(IX_CAP),4,FALSE)/VLOOKUP(L129,INDIRECT(IX_CAP),4,FALSE)</f>
        <v>14323.934998408189</v>
      </c>
      <c r="W129" s="676">
        <f t="shared" ca="1" si="29"/>
        <v>32945.05049633883</v>
      </c>
      <c r="X129" s="766"/>
      <c r="Y129" s="238" t="s">
        <v>2249</v>
      </c>
      <c r="Z129" s="1488"/>
    </row>
    <row r="130" spans="1:26" s="225" customFormat="1" ht="15" customHeight="1" x14ac:dyDescent="0.2">
      <c r="A130" s="1393" t="s">
        <v>911</v>
      </c>
      <c r="B130" s="1218">
        <v>505</v>
      </c>
      <c r="C130" s="609" t="s">
        <v>964</v>
      </c>
      <c r="D130" s="611" t="s">
        <v>1702</v>
      </c>
      <c r="E130" s="422" t="s">
        <v>1703</v>
      </c>
      <c r="F130" s="610" t="s">
        <v>2674</v>
      </c>
      <c r="G130" s="235"/>
      <c r="H130" s="422" t="s">
        <v>419</v>
      </c>
      <c r="I130" s="234" t="s">
        <v>1685</v>
      </c>
      <c r="J130" s="1213">
        <v>2</v>
      </c>
      <c r="K130" s="699">
        <v>3294700</v>
      </c>
      <c r="L130" s="1253">
        <v>2010</v>
      </c>
      <c r="M130" s="238">
        <f t="shared" si="25"/>
        <v>3294700</v>
      </c>
      <c r="N130" s="1159" t="s">
        <v>1746</v>
      </c>
      <c r="O130" s="460">
        <v>31815</v>
      </c>
      <c r="P130" s="1349" t="s">
        <v>287</v>
      </c>
      <c r="Q130" s="1350">
        <v>0.8</v>
      </c>
      <c r="R130" s="1351">
        <v>1.7</v>
      </c>
      <c r="S130" s="460">
        <f t="shared" ca="1" si="26"/>
        <v>36530.594100000002</v>
      </c>
      <c r="T130" s="239">
        <f t="shared" ca="1" si="27"/>
        <v>1.1482192079207922</v>
      </c>
      <c r="U130" s="238">
        <f t="shared" ca="1" si="28"/>
        <v>3679897.5003853329</v>
      </c>
      <c r="V130" s="238">
        <f ca="1">U130*VLOOKUP(DCFROR!$B$34,INDIRECT(IX_CAP),4,FALSE)/VLOOKUP(L130,INDIRECT(IX_CAP),4,FALSE)</f>
        <v>3619100.3557711239</v>
      </c>
      <c r="W130" s="676">
        <f t="shared" ca="1" si="29"/>
        <v>6152470.6048109103</v>
      </c>
      <c r="X130" s="766"/>
      <c r="Y130" s="238" t="s">
        <v>2245</v>
      </c>
      <c r="Z130" s="422"/>
    </row>
    <row r="131" spans="1:26" s="225" customFormat="1" ht="15" customHeight="1" x14ac:dyDescent="0.2">
      <c r="A131" s="1393" t="s">
        <v>887</v>
      </c>
      <c r="B131" s="1218">
        <v>503</v>
      </c>
      <c r="C131" s="609" t="s">
        <v>965</v>
      </c>
      <c r="D131" s="611" t="s">
        <v>1018</v>
      </c>
      <c r="E131" s="422"/>
      <c r="F131" s="610" t="s">
        <v>1033</v>
      </c>
      <c r="G131" s="235"/>
      <c r="H131" s="422" t="s">
        <v>909</v>
      </c>
      <c r="I131" s="234" t="s">
        <v>1022</v>
      </c>
      <c r="J131" s="1213">
        <v>1</v>
      </c>
      <c r="K131" s="699" t="s">
        <v>1023</v>
      </c>
      <c r="L131" s="1251"/>
      <c r="M131" s="842"/>
      <c r="N131" s="842"/>
      <c r="O131" s="844"/>
      <c r="P131" s="848"/>
      <c r="Q131" s="845"/>
      <c r="R131" s="1199"/>
      <c r="S131" s="844"/>
      <c r="T131" s="842"/>
      <c r="U131" s="842"/>
      <c r="V131" s="842"/>
      <c r="W131" s="849"/>
      <c r="X131" s="767"/>
      <c r="Y131" s="842"/>
      <c r="Z131" s="422"/>
    </row>
    <row r="132" spans="1:26" s="225" customFormat="1" ht="15" customHeight="1" x14ac:dyDescent="0.2">
      <c r="A132" s="1393" t="s">
        <v>887</v>
      </c>
      <c r="B132" s="1218">
        <v>505</v>
      </c>
      <c r="C132" s="609" t="s">
        <v>643</v>
      </c>
      <c r="D132" s="611" t="s">
        <v>1018</v>
      </c>
      <c r="E132" s="422"/>
      <c r="F132" s="610" t="s">
        <v>1033</v>
      </c>
      <c r="G132" s="235"/>
      <c r="H132" s="422" t="s">
        <v>909</v>
      </c>
      <c r="I132" s="234" t="s">
        <v>1022</v>
      </c>
      <c r="J132" s="1213">
        <v>1</v>
      </c>
      <c r="K132" s="699" t="s">
        <v>1023</v>
      </c>
      <c r="L132" s="1251"/>
      <c r="M132" s="842"/>
      <c r="N132" s="842"/>
      <c r="O132" s="844"/>
      <c r="P132" s="848"/>
      <c r="Q132" s="845"/>
      <c r="R132" s="1199"/>
      <c r="S132" s="844"/>
      <c r="T132" s="842"/>
      <c r="U132" s="842"/>
      <c r="V132" s="842"/>
      <c r="W132" s="849"/>
      <c r="X132" s="767"/>
      <c r="Y132" s="842"/>
      <c r="Z132" s="422"/>
    </row>
    <row r="133" spans="1:26" s="225" customFormat="1" ht="15" customHeight="1" x14ac:dyDescent="0.2">
      <c r="A133" s="1393" t="s">
        <v>887</v>
      </c>
      <c r="B133" s="1218">
        <v>512</v>
      </c>
      <c r="C133" s="609" t="s">
        <v>5</v>
      </c>
      <c r="D133" s="611" t="s">
        <v>1034</v>
      </c>
      <c r="E133" s="422"/>
      <c r="F133" s="610" t="s">
        <v>1035</v>
      </c>
      <c r="G133" s="235"/>
      <c r="H133" s="422" t="s">
        <v>1036</v>
      </c>
      <c r="I133" s="234" t="s">
        <v>1034</v>
      </c>
      <c r="J133" s="1213">
        <v>1</v>
      </c>
      <c r="K133" s="699">
        <v>215000</v>
      </c>
      <c r="L133" s="1253">
        <v>2009</v>
      </c>
      <c r="M133" s="238">
        <f t="shared" ref="M133:M138" si="30">K133</f>
        <v>215000</v>
      </c>
      <c r="N133" s="1159" t="s">
        <v>987</v>
      </c>
      <c r="O133" s="460">
        <v>22608</v>
      </c>
      <c r="P133" s="1349" t="s">
        <v>287</v>
      </c>
      <c r="Q133" s="1350">
        <v>0.6</v>
      </c>
      <c r="R133" s="1351">
        <v>2.4</v>
      </c>
      <c r="S133" s="460">
        <f t="shared" ref="S133:S138" ca="1" si="31">IF(N133&lt;&gt;"",VLOOKUP(N133,INDIRECT(LU_SENS),2,FALSE),"")</f>
        <v>21759.645199999999</v>
      </c>
      <c r="T133" s="239">
        <f t="shared" ref="T133:T138" ca="1" si="32">S133/O133</f>
        <v>0.96247546001415429</v>
      </c>
      <c r="U133" s="238">
        <f t="shared" ref="U133:U138" ca="1" si="33">M133*T133^Q133</f>
        <v>210122.35472323687</v>
      </c>
      <c r="V133" s="238">
        <f ca="1">U133*VLOOKUP(DCFROR!$B$34,INDIRECT(IX_CAP),4,FALSE)/VLOOKUP(L133,INDIRECT(IX_CAP),4,FALSE)</f>
        <v>218094.04014864424</v>
      </c>
      <c r="W133" s="676">
        <f t="shared" ref="W133:W138" ca="1" si="34">V133*R133</f>
        <v>523425.69635674614</v>
      </c>
      <c r="X133" s="766"/>
      <c r="Y133" s="238" t="s">
        <v>2261</v>
      </c>
      <c r="Z133" s="422" t="s">
        <v>1037</v>
      </c>
    </row>
    <row r="134" spans="1:26" s="225" customFormat="1" ht="15" customHeight="1" x14ac:dyDescent="0.2">
      <c r="A134" s="1393" t="s">
        <v>887</v>
      </c>
      <c r="B134" s="1218">
        <v>530</v>
      </c>
      <c r="C134" s="609" t="s">
        <v>1704</v>
      </c>
      <c r="D134" s="611"/>
      <c r="E134" s="422"/>
      <c r="F134" s="610" t="s">
        <v>2675</v>
      </c>
      <c r="G134" s="235"/>
      <c r="H134" s="422" t="s">
        <v>649</v>
      </c>
      <c r="I134" s="234" t="s">
        <v>882</v>
      </c>
      <c r="J134" s="1213">
        <v>1</v>
      </c>
      <c r="K134" s="699">
        <v>103000</v>
      </c>
      <c r="L134" s="1253">
        <v>2010</v>
      </c>
      <c r="M134" s="238">
        <f t="shared" si="30"/>
        <v>103000</v>
      </c>
      <c r="N134" s="1159" t="s">
        <v>1746</v>
      </c>
      <c r="O134" s="460">
        <v>31815</v>
      </c>
      <c r="P134" s="1349" t="s">
        <v>287</v>
      </c>
      <c r="Q134" s="1350">
        <v>0.7</v>
      </c>
      <c r="R134" s="1351">
        <v>2</v>
      </c>
      <c r="S134" s="460">
        <f t="shared" ca="1" si="31"/>
        <v>36530.594100000002</v>
      </c>
      <c r="T134" s="239">
        <f t="shared" ca="1" si="32"/>
        <v>1.1482192079207922</v>
      </c>
      <c r="U134" s="238">
        <f t="shared" ca="1" si="33"/>
        <v>113463.08563952804</v>
      </c>
      <c r="V134" s="238">
        <f ca="1">U134*VLOOKUP(DCFROR!$B$34,INDIRECT(IX_CAP),4,FALSE)/VLOOKUP(L134,INDIRECT(IX_CAP),4,FALSE)</f>
        <v>111588.51396320325</v>
      </c>
      <c r="W134" s="676">
        <f t="shared" ca="1" si="34"/>
        <v>223177.0279264065</v>
      </c>
      <c r="X134" s="766"/>
      <c r="Y134" s="238" t="s">
        <v>2262</v>
      </c>
      <c r="Z134" s="1488" t="s">
        <v>1697</v>
      </c>
    </row>
    <row r="135" spans="1:26" s="225" customFormat="1" ht="15" customHeight="1" x14ac:dyDescent="0.2">
      <c r="A135" s="1393" t="s">
        <v>887</v>
      </c>
      <c r="B135" s="1218">
        <v>531</v>
      </c>
      <c r="C135" s="609" t="s">
        <v>1705</v>
      </c>
      <c r="D135" s="611"/>
      <c r="E135" s="422"/>
      <c r="F135" s="610" t="s">
        <v>2676</v>
      </c>
      <c r="G135" s="235"/>
      <c r="H135" s="422" t="s">
        <v>649</v>
      </c>
      <c r="I135" s="234" t="s">
        <v>882</v>
      </c>
      <c r="J135" s="1213">
        <v>1</v>
      </c>
      <c r="K135" s="699">
        <v>174800</v>
      </c>
      <c r="L135" s="1253">
        <v>2010</v>
      </c>
      <c r="M135" s="238">
        <f t="shared" si="30"/>
        <v>174800</v>
      </c>
      <c r="N135" s="1159" t="s">
        <v>1746</v>
      </c>
      <c r="O135" s="460">
        <v>31815</v>
      </c>
      <c r="P135" s="1349" t="s">
        <v>287</v>
      </c>
      <c r="Q135" s="1350">
        <v>0.7</v>
      </c>
      <c r="R135" s="1351">
        <v>2</v>
      </c>
      <c r="S135" s="460">
        <f t="shared" ca="1" si="31"/>
        <v>36530.594100000002</v>
      </c>
      <c r="T135" s="239">
        <f t="shared" ca="1" si="32"/>
        <v>1.1482192079207922</v>
      </c>
      <c r="U135" s="238">
        <f t="shared" ca="1" si="33"/>
        <v>192556.7705804806</v>
      </c>
      <c r="V135" s="238">
        <f ca="1">U135*VLOOKUP(DCFROR!$B$34,INDIRECT(IX_CAP),4,FALSE)/VLOOKUP(L135,INDIRECT(IX_CAP),4,FALSE)</f>
        <v>189375.45864823231</v>
      </c>
      <c r="W135" s="676">
        <f t="shared" ca="1" si="34"/>
        <v>378750.91729646461</v>
      </c>
      <c r="X135" s="766"/>
      <c r="Y135" s="238" t="s">
        <v>2262</v>
      </c>
      <c r="Z135" s="1488" t="s">
        <v>1697</v>
      </c>
    </row>
    <row r="136" spans="1:26" s="225" customFormat="1" ht="15" customHeight="1" x14ac:dyDescent="0.2">
      <c r="A136" s="1393" t="s">
        <v>887</v>
      </c>
      <c r="B136" s="1218">
        <v>532</v>
      </c>
      <c r="C136" s="609" t="s">
        <v>644</v>
      </c>
      <c r="D136" s="611" t="s">
        <v>1706</v>
      </c>
      <c r="E136" s="422"/>
      <c r="F136" s="610" t="s">
        <v>1707</v>
      </c>
      <c r="G136" s="235"/>
      <c r="H136" s="422" t="s">
        <v>1670</v>
      </c>
      <c r="I136" s="234" t="s">
        <v>882</v>
      </c>
      <c r="J136" s="1213">
        <v>1</v>
      </c>
      <c r="K136" s="699">
        <v>1520</v>
      </c>
      <c r="L136" s="1253">
        <v>2010</v>
      </c>
      <c r="M136" s="238">
        <f t="shared" si="30"/>
        <v>1520</v>
      </c>
      <c r="N136" s="1159" t="s">
        <v>1746</v>
      </c>
      <c r="O136" s="460">
        <v>31815</v>
      </c>
      <c r="P136" s="1349" t="s">
        <v>287</v>
      </c>
      <c r="Q136" s="1350">
        <v>0.7</v>
      </c>
      <c r="R136" s="1351">
        <v>3</v>
      </c>
      <c r="S136" s="460">
        <f t="shared" ca="1" si="31"/>
        <v>36530.594100000002</v>
      </c>
      <c r="T136" s="239">
        <f t="shared" ca="1" si="32"/>
        <v>1.1482192079207922</v>
      </c>
      <c r="U136" s="238">
        <f t="shared" ca="1" si="33"/>
        <v>1674.4067006998314</v>
      </c>
      <c r="V136" s="238">
        <f ca="1">U136*VLOOKUP(DCFROR!$B$34,INDIRECT(IX_CAP),4,FALSE)/VLOOKUP(L136,INDIRECT(IX_CAP),4,FALSE)</f>
        <v>1646.743118680281</v>
      </c>
      <c r="W136" s="676">
        <f t="shared" ca="1" si="34"/>
        <v>4940.2293560408434</v>
      </c>
      <c r="X136" s="766"/>
      <c r="Y136" s="238" t="s">
        <v>2263</v>
      </c>
      <c r="Z136" s="422" t="s">
        <v>1697</v>
      </c>
    </row>
    <row r="137" spans="1:26" s="225" customFormat="1" ht="15" customHeight="1" x14ac:dyDescent="0.2">
      <c r="A137" s="1393" t="s">
        <v>887</v>
      </c>
      <c r="B137" s="1218">
        <v>533</v>
      </c>
      <c r="C137" s="609" t="s">
        <v>1708</v>
      </c>
      <c r="D137" s="611"/>
      <c r="E137" s="422"/>
      <c r="F137" s="610" t="s">
        <v>1709</v>
      </c>
      <c r="G137" s="235"/>
      <c r="H137" s="422" t="s">
        <v>637</v>
      </c>
      <c r="I137" s="234" t="s">
        <v>1685</v>
      </c>
      <c r="J137" s="1213">
        <v>1</v>
      </c>
      <c r="K137" s="699">
        <v>8000</v>
      </c>
      <c r="L137" s="1253">
        <v>2010</v>
      </c>
      <c r="M137" s="238">
        <f t="shared" si="30"/>
        <v>8000</v>
      </c>
      <c r="N137" s="1159" t="s">
        <v>1746</v>
      </c>
      <c r="O137" s="460">
        <v>31815</v>
      </c>
      <c r="P137" s="1349" t="s">
        <v>287</v>
      </c>
      <c r="Q137" s="1350">
        <v>0.7</v>
      </c>
      <c r="R137" s="1351">
        <v>3.1</v>
      </c>
      <c r="S137" s="460">
        <f t="shared" ca="1" si="31"/>
        <v>36530.594100000002</v>
      </c>
      <c r="T137" s="239">
        <f t="shared" ca="1" si="32"/>
        <v>1.1482192079207922</v>
      </c>
      <c r="U137" s="238">
        <f t="shared" ca="1" si="33"/>
        <v>8812.6668457885862</v>
      </c>
      <c r="V137" s="238">
        <f ca="1">U137*VLOOKUP(DCFROR!$B$34,INDIRECT(IX_CAP),4,FALSE)/VLOOKUP(L137,INDIRECT(IX_CAP),4,FALSE)</f>
        <v>8667.0690456856901</v>
      </c>
      <c r="W137" s="676">
        <f t="shared" ca="1" si="34"/>
        <v>26867.914041625641</v>
      </c>
      <c r="X137" s="766"/>
      <c r="Y137" s="238" t="s">
        <v>2264</v>
      </c>
      <c r="Z137" s="422" t="s">
        <v>1697</v>
      </c>
    </row>
    <row r="138" spans="1:26" s="225" customFormat="1" ht="15" customHeight="1" x14ac:dyDescent="0.2">
      <c r="A138" s="1393" t="s">
        <v>887</v>
      </c>
      <c r="B138" s="1218">
        <v>534</v>
      </c>
      <c r="C138" s="609" t="s">
        <v>1710</v>
      </c>
      <c r="D138" s="611"/>
      <c r="E138" s="422"/>
      <c r="F138" s="610" t="s">
        <v>1711</v>
      </c>
      <c r="G138" s="235"/>
      <c r="H138" s="422" t="s">
        <v>637</v>
      </c>
      <c r="I138" s="234" t="s">
        <v>1685</v>
      </c>
      <c r="J138" s="1213">
        <v>2</v>
      </c>
      <c r="K138" s="699">
        <v>17000</v>
      </c>
      <c r="L138" s="1253">
        <v>2010</v>
      </c>
      <c r="M138" s="238">
        <f t="shared" si="30"/>
        <v>17000</v>
      </c>
      <c r="N138" s="1159" t="s">
        <v>1746</v>
      </c>
      <c r="O138" s="460">
        <v>31815</v>
      </c>
      <c r="P138" s="1349" t="s">
        <v>287</v>
      </c>
      <c r="Q138" s="1350">
        <v>0.7</v>
      </c>
      <c r="R138" s="1351">
        <v>3.1</v>
      </c>
      <c r="S138" s="460">
        <f t="shared" ca="1" si="31"/>
        <v>36530.594100000002</v>
      </c>
      <c r="T138" s="239">
        <f t="shared" ca="1" si="32"/>
        <v>1.1482192079207922</v>
      </c>
      <c r="U138" s="238">
        <f t="shared" ca="1" si="33"/>
        <v>18726.917047300743</v>
      </c>
      <c r="V138" s="238">
        <f ca="1">U138*VLOOKUP(DCFROR!$B$34,INDIRECT(IX_CAP),4,FALSE)/VLOOKUP(L138,INDIRECT(IX_CAP),4,FALSE)</f>
        <v>18417.521722082089</v>
      </c>
      <c r="W138" s="676">
        <f t="shared" ca="1" si="34"/>
        <v>57094.317338454479</v>
      </c>
      <c r="X138" s="766"/>
      <c r="Y138" s="238" t="s">
        <v>2264</v>
      </c>
      <c r="Z138" s="422" t="s">
        <v>1697</v>
      </c>
    </row>
    <row r="139" spans="1:26" s="225" customFormat="1" ht="15" customHeight="1" thickBot="1" x14ac:dyDescent="0.25">
      <c r="A139" s="1394"/>
      <c r="B139" s="1219"/>
      <c r="C139" s="678"/>
      <c r="D139" s="680"/>
      <c r="E139" s="679"/>
      <c r="F139" s="679"/>
      <c r="G139" s="681"/>
      <c r="H139" s="679"/>
      <c r="I139" s="682"/>
      <c r="J139" s="1202"/>
      <c r="K139" s="704"/>
      <c r="L139" s="1252"/>
      <c r="M139" s="677"/>
      <c r="N139" s="682"/>
      <c r="O139" s="1371"/>
      <c r="P139" s="1372"/>
      <c r="Q139" s="1195"/>
      <c r="R139" s="1198"/>
      <c r="S139" s="687"/>
      <c r="T139" s="707" t="s">
        <v>2158</v>
      </c>
      <c r="U139" s="683">
        <f ca="1">SUM(U106:U138)</f>
        <v>11299084.846599456</v>
      </c>
      <c r="V139" s="677">
        <f ca="1">SUM(V106:V138)</f>
        <v>11477065.747653276</v>
      </c>
      <c r="W139" s="685">
        <f ca="1">SUM(W106:W138)</f>
        <v>23008984.571259499</v>
      </c>
      <c r="X139" s="768">
        <f ca="1">W139/V139</f>
        <v>2.0047793640952318</v>
      </c>
      <c r="Y139" s="1487"/>
      <c r="Z139" s="423"/>
    </row>
    <row r="140" spans="1:26" s="225" customFormat="1" ht="15" customHeight="1" x14ac:dyDescent="0.2">
      <c r="A140" s="1395" t="s">
        <v>1171</v>
      </c>
      <c r="B140" s="1378">
        <v>606</v>
      </c>
      <c r="C140" s="1379" t="s">
        <v>2683</v>
      </c>
      <c r="D140" s="1381" t="s">
        <v>2678</v>
      </c>
      <c r="E140" s="1380"/>
      <c r="F140" s="1373" t="s">
        <v>2691</v>
      </c>
      <c r="G140" s="1382">
        <v>200</v>
      </c>
      <c r="H140" s="1380"/>
      <c r="I140" s="1383" t="s">
        <v>3311</v>
      </c>
      <c r="J140" s="1214">
        <v>4</v>
      </c>
      <c r="K140" s="699" t="s">
        <v>1023</v>
      </c>
      <c r="L140" s="1251"/>
      <c r="M140" s="842"/>
      <c r="N140" s="842"/>
      <c r="O140" s="844"/>
      <c r="P140" s="848"/>
      <c r="Q140" s="845"/>
      <c r="R140" s="1199"/>
      <c r="S140" s="844"/>
      <c r="T140" s="842"/>
      <c r="U140" s="842"/>
      <c r="V140" s="842"/>
      <c r="W140" s="849"/>
      <c r="X140" s="767"/>
      <c r="Y140" s="842"/>
      <c r="Z140" s="422" t="s">
        <v>1713</v>
      </c>
    </row>
    <row r="141" spans="1:26" s="225" customFormat="1" ht="15" customHeight="1" x14ac:dyDescent="0.2">
      <c r="A141" s="1395" t="s">
        <v>1171</v>
      </c>
      <c r="B141" s="1378">
        <v>608</v>
      </c>
      <c r="C141" s="1379" t="s">
        <v>2696</v>
      </c>
      <c r="D141" s="1381" t="s">
        <v>2678</v>
      </c>
      <c r="E141" s="1380"/>
      <c r="F141" s="1373" t="s">
        <v>2704</v>
      </c>
      <c r="G141" s="1385">
        <v>1000</v>
      </c>
      <c r="H141" s="1380"/>
      <c r="I141" s="1383" t="s">
        <v>3311</v>
      </c>
      <c r="J141" s="1214">
        <v>8</v>
      </c>
      <c r="K141" s="1384">
        <v>1933750</v>
      </c>
      <c r="L141" s="1253">
        <v>2010</v>
      </c>
      <c r="M141" s="238">
        <f t="shared" ref="M141:M148" si="35">K141</f>
        <v>1933750</v>
      </c>
      <c r="N141" s="1159" t="s">
        <v>2634</v>
      </c>
      <c r="O141" s="460">
        <v>393100</v>
      </c>
      <c r="P141" s="1343" t="s">
        <v>287</v>
      </c>
      <c r="Q141" s="239">
        <v>0.6</v>
      </c>
      <c r="R141" s="1208">
        <v>1</v>
      </c>
      <c r="S141" s="460">
        <f ca="1">IF(N141&lt;&gt;"",VLOOKUP(N141,INDIRECT(LU_SENS),2,FALSE),"")</f>
        <v>410588.28600000002</v>
      </c>
      <c r="T141" s="239">
        <f t="shared" ref="T141:T148" ca="1" si="36">S141/O141</f>
        <v>1.0444881353345206</v>
      </c>
      <c r="U141" s="238">
        <f t="shared" ref="U141:U148" ca="1" si="37">M141*T141^Q141</f>
        <v>1984917.3749569352</v>
      </c>
      <c r="V141" s="238">
        <f ca="1">U141*VLOOKUP(DCFROR!$B$34,INDIRECT(IX_CAP),4,FALSE)/VLOOKUP(L141,INDIRECT(IX_CAP),4,FALSE)</f>
        <v>1952123.7146226796</v>
      </c>
      <c r="W141" s="676">
        <f t="shared" ref="W141:W148" ca="1" si="38">V141*R141</f>
        <v>1952123.7146226796</v>
      </c>
      <c r="X141" s="767"/>
      <c r="Y141" s="842"/>
      <c r="Z141" s="422" t="s">
        <v>1713</v>
      </c>
    </row>
    <row r="142" spans="1:26" s="225" customFormat="1" ht="15" customHeight="1" x14ac:dyDescent="0.2">
      <c r="A142" s="1393" t="s">
        <v>151</v>
      </c>
      <c r="B142" s="1218">
        <v>614</v>
      </c>
      <c r="C142" s="1379" t="s">
        <v>2709</v>
      </c>
      <c r="D142" s="611"/>
      <c r="E142" s="1380"/>
      <c r="F142" s="610"/>
      <c r="G142" s="1374"/>
      <c r="H142" s="422" t="s">
        <v>637</v>
      </c>
      <c r="I142" s="234" t="s">
        <v>2695</v>
      </c>
      <c r="J142" s="1213">
        <v>1</v>
      </c>
      <c r="K142" s="699">
        <v>25000</v>
      </c>
      <c r="L142" s="1253">
        <v>2010</v>
      </c>
      <c r="M142" s="238">
        <f t="shared" si="35"/>
        <v>25000</v>
      </c>
      <c r="N142" s="1159" t="s">
        <v>2634</v>
      </c>
      <c r="O142" s="460">
        <v>393100</v>
      </c>
      <c r="P142" s="1343" t="s">
        <v>287</v>
      </c>
      <c r="Q142" s="239">
        <v>0.6</v>
      </c>
      <c r="R142" s="1208">
        <v>1</v>
      </c>
      <c r="S142" s="460">
        <f t="shared" ref="S142:S143" ca="1" si="39">IF(N142&lt;&gt;"",VLOOKUP(N142,INDIRECT(LU_SENS),2,FALSE),"")</f>
        <v>410588.28600000002</v>
      </c>
      <c r="T142" s="239">
        <f t="shared" ca="1" si="36"/>
        <v>1.0444881353345206</v>
      </c>
      <c r="U142" s="238">
        <f t="shared" ca="1" si="37"/>
        <v>25661.504524330125</v>
      </c>
      <c r="V142" s="238">
        <f ca="1">U142*VLOOKUP(DCFROR!$B$34,INDIRECT(IX_CAP),4,FALSE)/VLOOKUP(L142,INDIRECT(IX_CAP),4,FALSE)</f>
        <v>25237.539943408916</v>
      </c>
      <c r="W142" s="676">
        <f t="shared" ca="1" si="38"/>
        <v>25237.539943408916</v>
      </c>
      <c r="X142" s="767"/>
      <c r="Y142" s="842"/>
      <c r="Z142" s="422"/>
    </row>
    <row r="143" spans="1:26" s="225" customFormat="1" ht="15" customHeight="1" x14ac:dyDescent="0.2">
      <c r="A143" s="1393" t="s">
        <v>869</v>
      </c>
      <c r="B143" s="1218">
        <v>602</v>
      </c>
      <c r="C143" s="1379" t="s">
        <v>2679</v>
      </c>
      <c r="D143" s="611" t="s">
        <v>2680</v>
      </c>
      <c r="E143" s="422"/>
      <c r="F143" s="610" t="s">
        <v>2688</v>
      </c>
      <c r="G143" s="1374"/>
      <c r="H143" s="422" t="s">
        <v>2694</v>
      </c>
      <c r="I143" s="234" t="s">
        <v>2695</v>
      </c>
      <c r="J143" s="1213">
        <v>1</v>
      </c>
      <c r="K143" s="699">
        <v>83863</v>
      </c>
      <c r="L143" s="1253">
        <v>2010</v>
      </c>
      <c r="M143" s="238">
        <f t="shared" si="35"/>
        <v>83863</v>
      </c>
      <c r="N143" s="1159" t="s">
        <v>2634</v>
      </c>
      <c r="O143" s="460">
        <v>393100</v>
      </c>
      <c r="P143" s="1343" t="s">
        <v>287</v>
      </c>
      <c r="Q143" s="239">
        <v>0.6</v>
      </c>
      <c r="R143" s="1208">
        <v>1</v>
      </c>
      <c r="S143" s="460">
        <f t="shared" ca="1" si="39"/>
        <v>410588.28600000002</v>
      </c>
      <c r="T143" s="239">
        <f t="shared" ca="1" si="36"/>
        <v>1.0444881353345206</v>
      </c>
      <c r="U143" s="238">
        <f t="shared" ca="1" si="37"/>
        <v>86082.030156955894</v>
      </c>
      <c r="V143" s="238">
        <f ca="1">U143*VLOOKUP(DCFROR!$B$34,INDIRECT(IX_CAP),4,FALSE)/VLOOKUP(L143,INDIRECT(IX_CAP),4,FALSE)</f>
        <v>84659.83249096408</v>
      </c>
      <c r="W143" s="676">
        <f t="shared" ca="1" si="38"/>
        <v>84659.83249096408</v>
      </c>
      <c r="X143" s="767"/>
      <c r="Y143" s="842"/>
      <c r="Z143" s="422" t="s">
        <v>1712</v>
      </c>
    </row>
    <row r="144" spans="1:26" s="225" customFormat="1" ht="15" customHeight="1" x14ac:dyDescent="0.2">
      <c r="A144" s="1393" t="s">
        <v>837</v>
      </c>
      <c r="B144" s="1218">
        <v>606</v>
      </c>
      <c r="C144" s="1379" t="s">
        <v>2682</v>
      </c>
      <c r="D144" s="1381" t="s">
        <v>2678</v>
      </c>
      <c r="E144" s="1380"/>
      <c r="F144" s="1373"/>
      <c r="G144" s="1382"/>
      <c r="H144" s="1380"/>
      <c r="I144" s="1383" t="s">
        <v>3311</v>
      </c>
      <c r="J144" s="1214">
        <v>4</v>
      </c>
      <c r="K144" s="1384">
        <v>32955</v>
      </c>
      <c r="L144" s="1253">
        <v>2010</v>
      </c>
      <c r="M144" s="238">
        <f t="shared" si="35"/>
        <v>32955</v>
      </c>
      <c r="N144" s="1159" t="s">
        <v>2634</v>
      </c>
      <c r="O144" s="460">
        <v>393100</v>
      </c>
      <c r="P144" s="1343" t="s">
        <v>287</v>
      </c>
      <c r="Q144" s="239">
        <v>0.6</v>
      </c>
      <c r="R144" s="1208">
        <v>1</v>
      </c>
      <c r="S144" s="460">
        <f ca="1">IF(N144&lt;&gt;"",VLOOKUP(N144,INDIRECT(LU_SENS),2,FALSE),"")</f>
        <v>410588.28600000002</v>
      </c>
      <c r="T144" s="239">
        <f t="shared" ca="1" si="36"/>
        <v>1.0444881353345206</v>
      </c>
      <c r="U144" s="238">
        <f t="shared" ca="1" si="37"/>
        <v>33826.99526397197</v>
      </c>
      <c r="V144" s="238">
        <f ca="1">U144*VLOOKUP(DCFROR!$B$34,INDIRECT(IX_CAP),4,FALSE)/VLOOKUP(L144,INDIRECT(IX_CAP),4,FALSE)</f>
        <v>33268.125153401634</v>
      </c>
      <c r="W144" s="676">
        <f t="shared" ca="1" si="38"/>
        <v>33268.125153401634</v>
      </c>
      <c r="X144" s="767"/>
      <c r="Y144" s="842"/>
      <c r="Z144" s="422" t="s">
        <v>1713</v>
      </c>
    </row>
    <row r="145" spans="1:26" s="225" customFormat="1" ht="15" customHeight="1" x14ac:dyDescent="0.2">
      <c r="A145" s="1395" t="s">
        <v>837</v>
      </c>
      <c r="B145" s="1378" t="s">
        <v>3309</v>
      </c>
      <c r="C145" s="1379" t="s">
        <v>3319</v>
      </c>
      <c r="D145" s="1381" t="s">
        <v>2678</v>
      </c>
      <c r="E145" s="1380"/>
      <c r="F145" s="1373" t="s">
        <v>2711</v>
      </c>
      <c r="G145" s="1382">
        <v>10</v>
      </c>
      <c r="H145" s="1380"/>
      <c r="I145" s="1383" t="s">
        <v>3311</v>
      </c>
      <c r="J145" s="1214">
        <v>1</v>
      </c>
      <c r="K145" s="1384">
        <v>9300</v>
      </c>
      <c r="L145" s="1253">
        <v>2010</v>
      </c>
      <c r="M145" s="238">
        <f t="shared" si="35"/>
        <v>9300</v>
      </c>
      <c r="N145" s="1159" t="s">
        <v>2634</v>
      </c>
      <c r="O145" s="460">
        <v>393100</v>
      </c>
      <c r="P145" s="1343" t="s">
        <v>287</v>
      </c>
      <c r="Q145" s="239">
        <v>0.6</v>
      </c>
      <c r="R145" s="1208">
        <v>1</v>
      </c>
      <c r="S145" s="460">
        <f ca="1">IF(N145&lt;&gt;"",VLOOKUP(N145,INDIRECT(LU_SENS),2,FALSE),"")</f>
        <v>410588.28600000002</v>
      </c>
      <c r="T145" s="239">
        <f t="shared" ca="1" si="36"/>
        <v>1.0444881353345206</v>
      </c>
      <c r="U145" s="238">
        <f t="shared" ca="1" si="37"/>
        <v>9546.0796830508061</v>
      </c>
      <c r="V145" s="238">
        <f ca="1">U145*VLOOKUP(DCFROR!$B$34,INDIRECT(IX_CAP),4,FALSE)/VLOOKUP(L145,INDIRECT(IX_CAP),4,FALSE)</f>
        <v>9388.3648589481163</v>
      </c>
      <c r="W145" s="676">
        <f t="shared" ca="1" si="38"/>
        <v>9388.3648589481163</v>
      </c>
      <c r="X145" s="767"/>
      <c r="Y145" s="842"/>
      <c r="Z145" s="422"/>
    </row>
    <row r="146" spans="1:26" s="225" customFormat="1" ht="15" customHeight="1" x14ac:dyDescent="0.2">
      <c r="A146" s="1395" t="s">
        <v>837</v>
      </c>
      <c r="B146" s="1378" t="s">
        <v>3310</v>
      </c>
      <c r="C146" s="1379" t="s">
        <v>2708</v>
      </c>
      <c r="D146" s="1381" t="s">
        <v>2678</v>
      </c>
      <c r="E146" s="1380"/>
      <c r="F146" s="1373" t="s">
        <v>2712</v>
      </c>
      <c r="G146" s="1382">
        <v>1.5</v>
      </c>
      <c r="H146" s="1380"/>
      <c r="I146" s="1383" t="s">
        <v>3311</v>
      </c>
      <c r="J146" s="1214">
        <v>3</v>
      </c>
      <c r="K146" s="1384">
        <v>22800</v>
      </c>
      <c r="L146" s="1253">
        <v>2010</v>
      </c>
      <c r="M146" s="238">
        <f t="shared" si="35"/>
        <v>22800</v>
      </c>
      <c r="N146" s="1159" t="s">
        <v>2634</v>
      </c>
      <c r="O146" s="460">
        <v>393100</v>
      </c>
      <c r="P146" s="1343" t="s">
        <v>287</v>
      </c>
      <c r="Q146" s="239">
        <v>0.6</v>
      </c>
      <c r="R146" s="1208">
        <v>1</v>
      </c>
      <c r="S146" s="460">
        <f ca="1">IF(N146&lt;&gt;"",VLOOKUP(N146,INDIRECT(LU_SENS),2,FALSE),"")</f>
        <v>410588.28600000002</v>
      </c>
      <c r="T146" s="239">
        <f t="shared" ca="1" si="36"/>
        <v>1.0444881353345206</v>
      </c>
      <c r="U146" s="238">
        <f t="shared" ca="1" si="37"/>
        <v>23403.292126189073</v>
      </c>
      <c r="V146" s="238">
        <f ca="1">U146*VLOOKUP(DCFROR!$B$34,INDIRECT(IX_CAP),4,FALSE)/VLOOKUP(L146,INDIRECT(IX_CAP),4,FALSE)</f>
        <v>23016.636428388931</v>
      </c>
      <c r="W146" s="676">
        <f t="shared" ca="1" si="38"/>
        <v>23016.636428388931</v>
      </c>
      <c r="X146" s="767"/>
      <c r="Y146" s="842"/>
      <c r="Z146" s="422"/>
    </row>
    <row r="147" spans="1:26" s="225" customFormat="1" ht="15" customHeight="1" x14ac:dyDescent="0.2">
      <c r="A147" s="1395" t="s">
        <v>837</v>
      </c>
      <c r="B147" s="1378" t="s">
        <v>3308</v>
      </c>
      <c r="C147" s="1379" t="s">
        <v>2976</v>
      </c>
      <c r="D147" s="1381"/>
      <c r="E147" s="1380"/>
      <c r="F147" s="1373"/>
      <c r="G147" s="1382"/>
      <c r="H147" s="1380"/>
      <c r="I147" s="1383" t="s">
        <v>3311</v>
      </c>
      <c r="J147" s="1214"/>
      <c r="K147" s="1384">
        <v>3801095</v>
      </c>
      <c r="L147" s="1253">
        <v>2010</v>
      </c>
      <c r="M147" s="238">
        <f t="shared" si="35"/>
        <v>3801095</v>
      </c>
      <c r="N147" s="1159" t="s">
        <v>2634</v>
      </c>
      <c r="O147" s="460">
        <v>393100</v>
      </c>
      <c r="P147" s="1343" t="s">
        <v>287</v>
      </c>
      <c r="Q147" s="239">
        <v>0.6</v>
      </c>
      <c r="R147" s="1208">
        <v>1</v>
      </c>
      <c r="S147" s="460">
        <f ca="1">IF(N147&lt;&gt;"",VLOOKUP(N147,INDIRECT(LU_SENS),2,FALSE),"")</f>
        <v>410588.28600000002</v>
      </c>
      <c r="T147" s="239">
        <f t="shared" ca="1" si="36"/>
        <v>1.0444881353345206</v>
      </c>
      <c r="U147" s="238">
        <f t="shared" ca="1" si="37"/>
        <v>3901672.6615963448</v>
      </c>
      <c r="V147" s="238">
        <f ca="1">U147*VLOOKUP(DCFROR!$B$34,INDIRECT(IX_CAP),4,FALSE)/VLOOKUP(L147,INDIRECT(IX_CAP),4,FALSE)</f>
        <v>3837211.4756476767</v>
      </c>
      <c r="W147" s="676">
        <f t="shared" ca="1" si="38"/>
        <v>3837211.4756476767</v>
      </c>
      <c r="X147" s="767"/>
      <c r="Y147" s="842"/>
      <c r="Z147" s="422"/>
    </row>
    <row r="148" spans="1:26" s="225" customFormat="1" ht="15" customHeight="1" x14ac:dyDescent="0.2">
      <c r="A148" s="1395" t="s">
        <v>881</v>
      </c>
      <c r="B148" s="1378">
        <v>602</v>
      </c>
      <c r="C148" s="1379" t="s">
        <v>2677</v>
      </c>
      <c r="D148" s="1381" t="s">
        <v>2678</v>
      </c>
      <c r="E148" s="1380"/>
      <c r="F148" s="1373" t="s">
        <v>2687</v>
      </c>
      <c r="G148" s="1382">
        <v>50</v>
      </c>
      <c r="H148" s="1380" t="s">
        <v>637</v>
      </c>
      <c r="I148" s="1383" t="s">
        <v>3311</v>
      </c>
      <c r="J148" s="1214">
        <v>4</v>
      </c>
      <c r="K148" s="1384">
        <v>231488</v>
      </c>
      <c r="L148" s="1253">
        <v>2010</v>
      </c>
      <c r="M148" s="238">
        <f t="shared" si="35"/>
        <v>231488</v>
      </c>
      <c r="N148" s="1159" t="s">
        <v>2634</v>
      </c>
      <c r="O148" s="1369">
        <v>393100</v>
      </c>
      <c r="P148" s="1370" t="s">
        <v>287</v>
      </c>
      <c r="Q148" s="239">
        <v>0.6</v>
      </c>
      <c r="R148" s="1208">
        <v>1</v>
      </c>
      <c r="S148" s="460">
        <f t="shared" ref="S148:S161" ca="1" si="40">IF(N148&lt;&gt;"",VLOOKUP(N148,INDIRECT(LU_SENS),2,FALSE),"")</f>
        <v>410588.28600000002</v>
      </c>
      <c r="T148" s="239">
        <f t="shared" ca="1" si="36"/>
        <v>1.0444881353345206</v>
      </c>
      <c r="U148" s="238">
        <f t="shared" ca="1" si="37"/>
        <v>237613.21437312529</v>
      </c>
      <c r="V148" s="238">
        <f ca="1">U148*VLOOKUP(DCFROR!$B$34,INDIRECT(IX_CAP),4,FALSE)/VLOOKUP(L148,INDIRECT(IX_CAP),4,FALSE)</f>
        <v>233687.50585679372</v>
      </c>
      <c r="W148" s="676">
        <f t="shared" ca="1" si="38"/>
        <v>233687.50585679372</v>
      </c>
      <c r="X148" s="767"/>
      <c r="Y148" s="1487"/>
      <c r="Z148" s="422" t="s">
        <v>1712</v>
      </c>
    </row>
    <row r="149" spans="1:26" s="225" customFormat="1" ht="15" customHeight="1" x14ac:dyDescent="0.2">
      <c r="A149" s="1395" t="s">
        <v>881</v>
      </c>
      <c r="B149" s="1378">
        <v>606</v>
      </c>
      <c r="C149" s="1379" t="s">
        <v>3317</v>
      </c>
      <c r="D149" s="1381" t="s">
        <v>2678</v>
      </c>
      <c r="E149" s="1380"/>
      <c r="F149" s="1373" t="s">
        <v>2690</v>
      </c>
      <c r="G149" s="1382">
        <v>7.5</v>
      </c>
      <c r="H149" s="1380"/>
      <c r="I149" s="1383" t="s">
        <v>3311</v>
      </c>
      <c r="J149" s="1214">
        <v>4</v>
      </c>
      <c r="K149" s="699" t="s">
        <v>1023</v>
      </c>
      <c r="L149" s="1251"/>
      <c r="M149" s="842"/>
      <c r="N149" s="842"/>
      <c r="O149" s="844"/>
      <c r="P149" s="848"/>
      <c r="Q149" s="845"/>
      <c r="R149" s="1199"/>
      <c r="S149" s="844"/>
      <c r="T149" s="842"/>
      <c r="U149" s="842"/>
      <c r="V149" s="842"/>
      <c r="W149" s="849"/>
      <c r="X149" s="766"/>
      <c r="Y149" s="238"/>
      <c r="Z149" s="422" t="s">
        <v>1713</v>
      </c>
    </row>
    <row r="150" spans="1:26" s="225" customFormat="1" ht="15" customHeight="1" x14ac:dyDescent="0.2">
      <c r="A150" s="1395" t="s">
        <v>881</v>
      </c>
      <c r="B150" s="1378">
        <v>607</v>
      </c>
      <c r="C150" s="1379" t="s">
        <v>2684</v>
      </c>
      <c r="D150" s="1381" t="s">
        <v>2678</v>
      </c>
      <c r="E150" s="1380"/>
      <c r="F150" s="1373" t="s">
        <v>2692</v>
      </c>
      <c r="G150" s="1382">
        <v>3</v>
      </c>
      <c r="H150" s="1380"/>
      <c r="I150" s="1383" t="s">
        <v>3311</v>
      </c>
      <c r="J150" s="1214">
        <v>6</v>
      </c>
      <c r="K150" s="1384">
        <v>93300</v>
      </c>
      <c r="L150" s="1253">
        <v>2010</v>
      </c>
      <c r="M150" s="238">
        <f>K150</f>
        <v>93300</v>
      </c>
      <c r="N150" s="1159" t="s">
        <v>2634</v>
      </c>
      <c r="O150" s="460">
        <v>393100</v>
      </c>
      <c r="P150" s="1343" t="s">
        <v>287</v>
      </c>
      <c r="Q150" s="239">
        <v>0.6</v>
      </c>
      <c r="R150" s="1208">
        <v>1</v>
      </c>
      <c r="S150" s="460">
        <f ca="1">IF(N150&lt;&gt;"",VLOOKUP(N150,INDIRECT(LU_SENS),2,FALSE),"")</f>
        <v>410588.28600000002</v>
      </c>
      <c r="T150" s="239">
        <f ca="1">S150/O150</f>
        <v>1.0444881353345206</v>
      </c>
      <c r="U150" s="238">
        <f ca="1">M150*T150^Q150</f>
        <v>95768.734884800026</v>
      </c>
      <c r="V150" s="238">
        <f ca="1">U150*VLOOKUP(DCFROR!$B$34,INDIRECT(IX_CAP),4,FALSE)/VLOOKUP(L150,INDIRECT(IX_CAP),4,FALSE)</f>
        <v>94186.499068802077</v>
      </c>
      <c r="W150" s="676">
        <f ca="1">V150*R150</f>
        <v>94186.499068802077</v>
      </c>
      <c r="X150" s="767"/>
      <c r="Y150" s="842"/>
      <c r="Z150" s="422" t="s">
        <v>1713</v>
      </c>
    </row>
    <row r="151" spans="1:26" s="225" customFormat="1" ht="15" customHeight="1" x14ac:dyDescent="0.2">
      <c r="A151" s="1395" t="s">
        <v>881</v>
      </c>
      <c r="B151" s="1378">
        <v>608</v>
      </c>
      <c r="C151" s="1379" t="s">
        <v>2685</v>
      </c>
      <c r="D151" s="1381" t="s">
        <v>2678</v>
      </c>
      <c r="E151" s="1380"/>
      <c r="F151" s="1373"/>
      <c r="G151" s="1382">
        <v>15</v>
      </c>
      <c r="H151" s="1380"/>
      <c r="I151" s="1383" t="s">
        <v>3311</v>
      </c>
      <c r="J151" s="1214">
        <v>4</v>
      </c>
      <c r="K151" s="1384">
        <v>84000</v>
      </c>
      <c r="L151" s="1253">
        <v>2010</v>
      </c>
      <c r="M151" s="238">
        <f>K151</f>
        <v>84000</v>
      </c>
      <c r="N151" s="1159" t="s">
        <v>2634</v>
      </c>
      <c r="O151" s="460">
        <v>393100</v>
      </c>
      <c r="P151" s="1343" t="s">
        <v>287</v>
      </c>
      <c r="Q151" s="239">
        <v>0.6</v>
      </c>
      <c r="R151" s="1208">
        <v>1</v>
      </c>
      <c r="S151" s="460">
        <f ca="1">IF(N151&lt;&gt;"",VLOOKUP(N151,INDIRECT(LU_SENS),2,FALSE),"")</f>
        <v>410588.28600000002</v>
      </c>
      <c r="T151" s="239">
        <f ca="1">S151/O151</f>
        <v>1.0444881353345206</v>
      </c>
      <c r="U151" s="238">
        <f ca="1">M151*T151^Q151</f>
        <v>86222.655201749221</v>
      </c>
      <c r="V151" s="238">
        <f ca="1">U151*VLOOKUP(DCFROR!$B$34,INDIRECT(IX_CAP),4,FALSE)/VLOOKUP(L151,INDIRECT(IX_CAP),4,FALSE)</f>
        <v>84798.134209853961</v>
      </c>
      <c r="W151" s="676">
        <f ca="1">V151*R151</f>
        <v>84798.134209853961</v>
      </c>
      <c r="X151" s="767"/>
      <c r="Y151" s="842"/>
      <c r="Z151" s="422" t="s">
        <v>1713</v>
      </c>
    </row>
    <row r="152" spans="1:26" s="225" customFormat="1" ht="15" customHeight="1" x14ac:dyDescent="0.2">
      <c r="A152" s="1395" t="s">
        <v>881</v>
      </c>
      <c r="B152" s="1378">
        <v>609</v>
      </c>
      <c r="C152" s="1379" t="s">
        <v>2700</v>
      </c>
      <c r="D152" s="1381" t="s">
        <v>2678</v>
      </c>
      <c r="E152" s="1380"/>
      <c r="F152" s="1373"/>
      <c r="G152" s="1382">
        <v>40</v>
      </c>
      <c r="H152" s="1380"/>
      <c r="I152" s="1383" t="s">
        <v>3311</v>
      </c>
      <c r="J152" s="1214">
        <v>6</v>
      </c>
      <c r="K152" s="1384">
        <v>177300</v>
      </c>
      <c r="L152" s="1253">
        <v>2010</v>
      </c>
      <c r="M152" s="238">
        <f t="shared" ref="M152" si="41">K152</f>
        <v>177300</v>
      </c>
      <c r="N152" s="1159" t="s">
        <v>2634</v>
      </c>
      <c r="O152" s="460">
        <v>393100</v>
      </c>
      <c r="P152" s="1343" t="s">
        <v>287</v>
      </c>
      <c r="Q152" s="239">
        <v>0.6</v>
      </c>
      <c r="R152" s="1208">
        <v>1</v>
      </c>
      <c r="S152" s="460">
        <f t="shared" ref="S152" ca="1" si="42">IF(N152&lt;&gt;"",VLOOKUP(N152,INDIRECT(LU_SENS),2,FALSE),"")</f>
        <v>410588.28600000002</v>
      </c>
      <c r="T152" s="239">
        <f t="shared" ref="T152" ca="1" si="43">S152/O152</f>
        <v>1.0444881353345206</v>
      </c>
      <c r="U152" s="238">
        <f t="shared" ref="U152" ca="1" si="44">M152*T152^Q152</f>
        <v>181991.39008654925</v>
      </c>
      <c r="V152" s="238">
        <f ca="1">U152*VLOOKUP(DCFROR!$B$34,INDIRECT(IX_CAP),4,FALSE)/VLOOKUP(L152,INDIRECT(IX_CAP),4,FALSE)</f>
        <v>178984.63327865602</v>
      </c>
      <c r="W152" s="676">
        <f t="shared" ref="W152" ca="1" si="45">V152*R152</f>
        <v>178984.63327865602</v>
      </c>
      <c r="X152" s="767"/>
      <c r="Y152" s="842"/>
      <c r="Z152" s="422" t="s">
        <v>1713</v>
      </c>
    </row>
    <row r="153" spans="1:26" s="225" customFormat="1" ht="15" customHeight="1" x14ac:dyDescent="0.2">
      <c r="A153" s="1395" t="s">
        <v>881</v>
      </c>
      <c r="B153" s="1378">
        <v>610</v>
      </c>
      <c r="C153" s="1379" t="s">
        <v>2701</v>
      </c>
      <c r="D153" s="1381" t="s">
        <v>2678</v>
      </c>
      <c r="E153" s="1380"/>
      <c r="F153" s="1373"/>
      <c r="G153" s="1382" t="s">
        <v>2706</v>
      </c>
      <c r="H153" s="1380"/>
      <c r="I153" s="1383" t="s">
        <v>3311</v>
      </c>
      <c r="J153" s="1214">
        <v>1</v>
      </c>
      <c r="K153" s="699" t="s">
        <v>1023</v>
      </c>
      <c r="L153" s="1251"/>
      <c r="M153" s="842"/>
      <c r="N153" s="842"/>
      <c r="O153" s="844"/>
      <c r="P153" s="848"/>
      <c r="Q153" s="845"/>
      <c r="R153" s="1199"/>
      <c r="S153" s="844"/>
      <c r="T153" s="842"/>
      <c r="U153" s="842"/>
      <c r="V153" s="842"/>
      <c r="W153" s="849"/>
      <c r="X153" s="767"/>
      <c r="Y153" s="842"/>
      <c r="Z153" s="422" t="s">
        <v>1713</v>
      </c>
    </row>
    <row r="154" spans="1:26" s="225" customFormat="1" ht="15" customHeight="1" x14ac:dyDescent="0.2">
      <c r="A154" s="1395" t="s">
        <v>881</v>
      </c>
      <c r="B154" s="1378">
        <v>611</v>
      </c>
      <c r="C154" s="1379" t="s">
        <v>2703</v>
      </c>
      <c r="D154" s="1381" t="s">
        <v>2678</v>
      </c>
      <c r="E154" s="1380"/>
      <c r="F154" s="1373"/>
      <c r="G154" s="1382">
        <v>10</v>
      </c>
      <c r="H154" s="1380"/>
      <c r="I154" s="1383" t="s">
        <v>3311</v>
      </c>
      <c r="J154" s="1214">
        <v>2</v>
      </c>
      <c r="K154" s="1384">
        <v>61200</v>
      </c>
      <c r="L154" s="1253">
        <v>2010</v>
      </c>
      <c r="M154" s="238">
        <f>K154</f>
        <v>61200</v>
      </c>
      <c r="N154" s="1159" t="s">
        <v>2634</v>
      </c>
      <c r="O154" s="460">
        <v>393100</v>
      </c>
      <c r="P154" s="1343" t="s">
        <v>287</v>
      </c>
      <c r="Q154" s="239">
        <v>0.6</v>
      </c>
      <c r="R154" s="1208">
        <v>1</v>
      </c>
      <c r="S154" s="460">
        <f ca="1">IF(N154&lt;&gt;"",VLOOKUP(N154,INDIRECT(LU_SENS),2,FALSE),"")</f>
        <v>410588.28600000002</v>
      </c>
      <c r="T154" s="239">
        <f ca="1">S154/O154</f>
        <v>1.0444881353345206</v>
      </c>
      <c r="U154" s="238">
        <f ca="1">M154*T154^Q154</f>
        <v>62819.363075560148</v>
      </c>
      <c r="V154" s="238">
        <f ca="1">U154*VLOOKUP(DCFROR!$B$34,INDIRECT(IX_CAP),4,FALSE)/VLOOKUP(L154,INDIRECT(IX_CAP),4,FALSE)</f>
        <v>61781.497781465026</v>
      </c>
      <c r="W154" s="676">
        <f ca="1">V154*R154</f>
        <v>61781.497781465026</v>
      </c>
      <c r="X154" s="767"/>
      <c r="Y154" s="842"/>
      <c r="Z154" s="422" t="s">
        <v>1713</v>
      </c>
    </row>
    <row r="155" spans="1:26" s="225" customFormat="1" ht="15" customHeight="1" x14ac:dyDescent="0.2">
      <c r="A155" s="1395" t="s">
        <v>881</v>
      </c>
      <c r="B155" s="1378">
        <v>612</v>
      </c>
      <c r="C155" s="1379" t="s">
        <v>2707</v>
      </c>
      <c r="D155" s="1381" t="s">
        <v>2678</v>
      </c>
      <c r="E155" s="1380"/>
      <c r="F155" s="1373"/>
      <c r="G155" s="1382">
        <v>15</v>
      </c>
      <c r="H155" s="1380"/>
      <c r="I155" s="1383" t="s">
        <v>3311</v>
      </c>
      <c r="J155" s="1214">
        <v>2</v>
      </c>
      <c r="K155" s="1384">
        <v>70800</v>
      </c>
      <c r="L155" s="1253">
        <v>2010</v>
      </c>
      <c r="M155" s="238">
        <f>K155</f>
        <v>70800</v>
      </c>
      <c r="N155" s="1159" t="s">
        <v>2634</v>
      </c>
      <c r="O155" s="460">
        <v>393100</v>
      </c>
      <c r="P155" s="1343" t="s">
        <v>287</v>
      </c>
      <c r="Q155" s="239">
        <v>0.6</v>
      </c>
      <c r="R155" s="1208">
        <v>1</v>
      </c>
      <c r="S155" s="460">
        <f ca="1">IF(N155&lt;&gt;"",VLOOKUP(N155,INDIRECT(LU_SENS),2,FALSE),"")</f>
        <v>410588.28600000002</v>
      </c>
      <c r="T155" s="239">
        <f ca="1">S155/O155</f>
        <v>1.0444881353345206</v>
      </c>
      <c r="U155" s="238">
        <f ca="1">M155*T155^Q155</f>
        <v>72673.38081290292</v>
      </c>
      <c r="V155" s="238">
        <f ca="1">U155*VLOOKUP(DCFROR!$B$34,INDIRECT(IX_CAP),4,FALSE)/VLOOKUP(L155,INDIRECT(IX_CAP),4,FALSE)</f>
        <v>71472.71311973405</v>
      </c>
      <c r="W155" s="676">
        <f ca="1">V155*R155</f>
        <v>71472.71311973405</v>
      </c>
      <c r="X155" s="767"/>
      <c r="Y155" s="842"/>
      <c r="Z155" s="422"/>
    </row>
    <row r="156" spans="1:26" s="225" customFormat="1" ht="15" customHeight="1" x14ac:dyDescent="0.2">
      <c r="A156" s="1393" t="s">
        <v>881</v>
      </c>
      <c r="B156" s="1218">
        <v>616</v>
      </c>
      <c r="C156" s="609" t="s">
        <v>2710</v>
      </c>
      <c r="D156" s="611"/>
      <c r="E156" s="1380"/>
      <c r="F156" s="610"/>
      <c r="G156" s="1374"/>
      <c r="H156" s="422" t="s">
        <v>637</v>
      </c>
      <c r="I156" s="234" t="s">
        <v>882</v>
      </c>
      <c r="J156" s="1213">
        <v>1</v>
      </c>
      <c r="K156" s="699" t="s">
        <v>1023</v>
      </c>
      <c r="L156" s="1251"/>
      <c r="M156" s="842"/>
      <c r="N156" s="842"/>
      <c r="O156" s="844"/>
      <c r="P156" s="848"/>
      <c r="Q156" s="845"/>
      <c r="R156" s="1199"/>
      <c r="S156" s="844"/>
      <c r="T156" s="842"/>
      <c r="U156" s="842"/>
      <c r="V156" s="842"/>
      <c r="W156" s="849"/>
      <c r="X156" s="767"/>
      <c r="Y156" s="842"/>
      <c r="Z156" s="422"/>
    </row>
    <row r="157" spans="1:26" s="225" customFormat="1" ht="15" customHeight="1" x14ac:dyDescent="0.2">
      <c r="A157" s="1395" t="s">
        <v>2698</v>
      </c>
      <c r="B157" s="1378">
        <v>609</v>
      </c>
      <c r="C157" s="1379" t="s">
        <v>2699</v>
      </c>
      <c r="D157" s="1381" t="s">
        <v>2678</v>
      </c>
      <c r="E157" s="1380"/>
      <c r="F157" s="1373" t="s">
        <v>2705</v>
      </c>
      <c r="G157" s="1382"/>
      <c r="H157" s="1380"/>
      <c r="I157" s="1383" t="s">
        <v>3311</v>
      </c>
      <c r="J157" s="1214">
        <v>3</v>
      </c>
      <c r="K157" s="1384">
        <v>5248750</v>
      </c>
      <c r="L157" s="1253">
        <v>2010</v>
      </c>
      <c r="M157" s="238">
        <f>K157</f>
        <v>5248750</v>
      </c>
      <c r="N157" s="1159" t="s">
        <v>2634</v>
      </c>
      <c r="O157" s="460">
        <v>393100</v>
      </c>
      <c r="P157" s="1343" t="s">
        <v>287</v>
      </c>
      <c r="Q157" s="239">
        <v>0.6</v>
      </c>
      <c r="R157" s="1208">
        <v>1</v>
      </c>
      <c r="S157" s="460">
        <f ca="1">IF(N157&lt;&gt;"",VLOOKUP(N157,INDIRECT(LU_SENS),2,FALSE),"")</f>
        <v>410588.28600000002</v>
      </c>
      <c r="T157" s="239">
        <f ca="1">S157/O157</f>
        <v>1.0444881353345206</v>
      </c>
      <c r="U157" s="238">
        <f ca="1">M157*T157^Q157</f>
        <v>5387632.8748831097</v>
      </c>
      <c r="V157" s="238">
        <f ca="1">U157*VLOOKUP(DCFROR!$B$34,INDIRECT(IX_CAP),4,FALSE)/VLOOKUP(L157,INDIRECT(IX_CAP),4,FALSE)</f>
        <v>5298621.5111187017</v>
      </c>
      <c r="W157" s="676">
        <f ca="1">V157*R157</f>
        <v>5298621.5111187017</v>
      </c>
      <c r="X157" s="767"/>
      <c r="Y157" s="842"/>
      <c r="Z157" s="422" t="s">
        <v>1713</v>
      </c>
    </row>
    <row r="158" spans="1:26" s="225" customFormat="1" ht="15" customHeight="1" x14ac:dyDescent="0.2">
      <c r="A158" s="1395" t="s">
        <v>911</v>
      </c>
      <c r="B158" s="1378">
        <v>610</v>
      </c>
      <c r="C158" s="1379" t="s">
        <v>2702</v>
      </c>
      <c r="D158" s="1381" t="s">
        <v>2678</v>
      </c>
      <c r="E158" s="1380"/>
      <c r="F158" s="1373"/>
      <c r="G158" s="1382"/>
      <c r="H158" s="1380"/>
      <c r="I158" s="1383" t="s">
        <v>3311</v>
      </c>
      <c r="J158" s="1214">
        <v>1</v>
      </c>
      <c r="K158" s="1384">
        <v>2210979</v>
      </c>
      <c r="L158" s="1253">
        <v>2010</v>
      </c>
      <c r="M158" s="238">
        <f>K158</f>
        <v>2210979</v>
      </c>
      <c r="N158" s="1159" t="s">
        <v>2634</v>
      </c>
      <c r="O158" s="460">
        <v>393100</v>
      </c>
      <c r="P158" s="1343" t="s">
        <v>287</v>
      </c>
      <c r="Q158" s="239">
        <v>0.6</v>
      </c>
      <c r="R158" s="1208">
        <v>1</v>
      </c>
      <c r="S158" s="460">
        <f ca="1">IF(N158&lt;&gt;"",VLOOKUP(N158,INDIRECT(LU_SENS),2,FALSE),"")</f>
        <v>410588.28600000002</v>
      </c>
      <c r="T158" s="239">
        <f ca="1">S158/O158</f>
        <v>1.0444881353345206</v>
      </c>
      <c r="U158" s="238">
        <f ca="1">M158*T158^Q158</f>
        <v>2269481.9044679557</v>
      </c>
      <c r="V158" s="238">
        <f ca="1">U158*VLOOKUP(DCFROR!$B$34,INDIRECT(IX_CAP),4,FALSE)/VLOOKUP(L158,INDIRECT(IX_CAP),4,FALSE)</f>
        <v>2231986.8330615321</v>
      </c>
      <c r="W158" s="676">
        <f ca="1">V158*R158</f>
        <v>2231986.8330615321</v>
      </c>
      <c r="X158" s="767"/>
      <c r="Y158" s="842"/>
      <c r="Z158" s="422" t="s">
        <v>1713</v>
      </c>
    </row>
    <row r="159" spans="1:26" s="225" customFormat="1" ht="15" customHeight="1" x14ac:dyDescent="0.2">
      <c r="A159" s="1395" t="s">
        <v>911</v>
      </c>
      <c r="B159" s="1378">
        <v>611</v>
      </c>
      <c r="C159" s="1379" t="s">
        <v>2973</v>
      </c>
      <c r="D159" s="1381"/>
      <c r="E159" s="1380"/>
      <c r="F159" s="1373"/>
      <c r="G159" s="1382"/>
      <c r="H159" s="1380"/>
      <c r="I159" s="1383" t="s">
        <v>3311</v>
      </c>
      <c r="J159" s="1214">
        <v>3</v>
      </c>
      <c r="K159" s="1384">
        <v>6493500</v>
      </c>
      <c r="L159" s="1253">
        <v>2010</v>
      </c>
      <c r="M159" s="238">
        <f>K159</f>
        <v>6493500</v>
      </c>
      <c r="N159" s="1159" t="s">
        <v>2634</v>
      </c>
      <c r="O159" s="460">
        <v>393100</v>
      </c>
      <c r="P159" s="1343" t="s">
        <v>287</v>
      </c>
      <c r="Q159" s="239">
        <v>0.6</v>
      </c>
      <c r="R159" s="1208">
        <v>1</v>
      </c>
      <c r="S159" s="460">
        <f ca="1">IF(N159&lt;&gt;"",VLOOKUP(N159,INDIRECT(LU_SENS),2,FALSE),"")</f>
        <v>410588.28600000002</v>
      </c>
      <c r="T159" s="239">
        <f ca="1">S159/O159</f>
        <v>1.0444881353345206</v>
      </c>
      <c r="U159" s="238">
        <f ca="1">M159*T159^Q159</f>
        <v>6665319.1851495067</v>
      </c>
      <c r="V159" s="238">
        <f ca="1">U159*VLOOKUP(DCFROR!$B$34,INDIRECT(IX_CAP),4,FALSE)/VLOOKUP(L159,INDIRECT(IX_CAP),4,FALSE)</f>
        <v>6555198.6249010321</v>
      </c>
      <c r="W159" s="676">
        <f ca="1">V159*R159</f>
        <v>6555198.6249010321</v>
      </c>
      <c r="X159" s="767"/>
      <c r="Y159" s="842"/>
      <c r="Z159" s="422"/>
    </row>
    <row r="160" spans="1:26" s="225" customFormat="1" ht="15" customHeight="1" x14ac:dyDescent="0.2">
      <c r="A160" s="1395" t="s">
        <v>887</v>
      </c>
      <c r="B160" s="1378">
        <v>606</v>
      </c>
      <c r="C160" s="1379" t="s">
        <v>2681</v>
      </c>
      <c r="D160" s="1381" t="s">
        <v>2678</v>
      </c>
      <c r="E160" s="1380"/>
      <c r="F160" s="1373" t="s">
        <v>2689</v>
      </c>
      <c r="G160" s="1382"/>
      <c r="H160" s="1380" t="s">
        <v>645</v>
      </c>
      <c r="I160" s="1383" t="s">
        <v>3311</v>
      </c>
      <c r="J160" s="1214">
        <v>4</v>
      </c>
      <c r="K160" s="1384">
        <v>27000000</v>
      </c>
      <c r="L160" s="1253">
        <v>2010</v>
      </c>
      <c r="M160" s="238">
        <f>K160</f>
        <v>27000000</v>
      </c>
      <c r="N160" s="1159" t="s">
        <v>2634</v>
      </c>
      <c r="O160" s="460">
        <v>393100</v>
      </c>
      <c r="P160" s="1343" t="s">
        <v>287</v>
      </c>
      <c r="Q160" s="239">
        <v>0.6</v>
      </c>
      <c r="R160" s="1208">
        <v>1</v>
      </c>
      <c r="S160" s="460">
        <f ca="1">IF(N160&lt;&gt;"",VLOOKUP(N160,INDIRECT(LU_SENS),2,FALSE),"")</f>
        <v>410588.28600000002</v>
      </c>
      <c r="T160" s="239">
        <f ca="1">S160/O160</f>
        <v>1.0444881353345206</v>
      </c>
      <c r="U160" s="238">
        <f ca="1">M160*T160^Q160</f>
        <v>27714424.886276536</v>
      </c>
      <c r="V160" s="238">
        <f ca="1">U160*VLOOKUP(DCFROR!$B$34,INDIRECT(IX_CAP),4,FALSE)/VLOOKUP(L160,INDIRECT(IX_CAP),4,FALSE)</f>
        <v>27256543.138881627</v>
      </c>
      <c r="W160" s="676">
        <f ca="1">V160*R160</f>
        <v>27256543.138881627</v>
      </c>
      <c r="X160" s="767"/>
      <c r="Y160" s="842"/>
      <c r="Z160" s="422" t="s">
        <v>1712</v>
      </c>
    </row>
    <row r="161" spans="1:26" s="225" customFormat="1" ht="15" customHeight="1" x14ac:dyDescent="0.2">
      <c r="A161" s="1395" t="s">
        <v>887</v>
      </c>
      <c r="B161" s="1378">
        <v>608</v>
      </c>
      <c r="C161" s="1379" t="s">
        <v>2686</v>
      </c>
      <c r="D161" s="1381" t="s">
        <v>2678</v>
      </c>
      <c r="E161" s="1380"/>
      <c r="F161" s="1373" t="s">
        <v>2693</v>
      </c>
      <c r="G161" s="1382"/>
      <c r="H161" s="1380" t="s">
        <v>645</v>
      </c>
      <c r="I161" s="1383" t="s">
        <v>3311</v>
      </c>
      <c r="J161" s="1214">
        <v>3</v>
      </c>
      <c r="K161" s="1384">
        <v>2700000</v>
      </c>
      <c r="L161" s="1253">
        <v>2010</v>
      </c>
      <c r="M161" s="238">
        <f t="shared" ref="M161" si="46">K161</f>
        <v>2700000</v>
      </c>
      <c r="N161" s="1159" t="s">
        <v>2634</v>
      </c>
      <c r="O161" s="460">
        <v>393100</v>
      </c>
      <c r="P161" s="1343" t="s">
        <v>287</v>
      </c>
      <c r="Q161" s="239">
        <v>0.6</v>
      </c>
      <c r="R161" s="1208">
        <v>1</v>
      </c>
      <c r="S161" s="460">
        <f t="shared" ca="1" si="40"/>
        <v>410588.28600000002</v>
      </c>
      <c r="T161" s="239">
        <f t="shared" ref="T161" ca="1" si="47">S161/O161</f>
        <v>1.0444881353345206</v>
      </c>
      <c r="U161" s="238">
        <f t="shared" ref="U161" ca="1" si="48">M161*T161^Q161</f>
        <v>2771442.4886276536</v>
      </c>
      <c r="V161" s="238">
        <f ca="1">U161*VLOOKUP(DCFROR!$B$34,INDIRECT(IX_CAP),4,FALSE)/VLOOKUP(L161,INDIRECT(IX_CAP),4,FALSE)</f>
        <v>2725654.3138881628</v>
      </c>
      <c r="W161" s="676">
        <f t="shared" ref="W161" ca="1" si="49">V161*R161</f>
        <v>2725654.3138881628</v>
      </c>
      <c r="X161" s="767"/>
      <c r="Y161" s="842"/>
      <c r="Z161" s="422" t="s">
        <v>1713</v>
      </c>
    </row>
    <row r="162" spans="1:26" s="225" customFormat="1" ht="15" customHeight="1" x14ac:dyDescent="0.2">
      <c r="A162" s="1395" t="s">
        <v>887</v>
      </c>
      <c r="B162" s="1378">
        <v>609</v>
      </c>
      <c r="C162" s="1379" t="s">
        <v>2697</v>
      </c>
      <c r="D162" s="1381" t="s">
        <v>2678</v>
      </c>
      <c r="E162" s="1380"/>
      <c r="F162" s="1373"/>
      <c r="G162" s="1382"/>
      <c r="H162" s="1380"/>
      <c r="I162" s="1383" t="s">
        <v>3311</v>
      </c>
      <c r="J162" s="1214">
        <v>1</v>
      </c>
      <c r="K162" s="699" t="s">
        <v>1023</v>
      </c>
      <c r="L162" s="1251"/>
      <c r="M162" s="842"/>
      <c r="N162" s="842"/>
      <c r="O162" s="844"/>
      <c r="P162" s="848"/>
      <c r="Q162" s="845"/>
      <c r="R162" s="1199"/>
      <c r="S162" s="844"/>
      <c r="T162" s="842"/>
      <c r="U162" s="842"/>
      <c r="V162" s="842"/>
      <c r="W162" s="849"/>
      <c r="X162" s="767"/>
      <c r="Y162" s="842"/>
      <c r="Z162" s="422" t="s">
        <v>1713</v>
      </c>
    </row>
    <row r="163" spans="1:26" s="225" customFormat="1" ht="15" customHeight="1" thickBot="1" x14ac:dyDescent="0.25">
      <c r="A163" s="1394"/>
      <c r="B163" s="1219"/>
      <c r="C163" s="678"/>
      <c r="D163" s="680"/>
      <c r="E163" s="679"/>
      <c r="F163" s="679"/>
      <c r="G163" s="681"/>
      <c r="H163" s="679"/>
      <c r="I163" s="682"/>
      <c r="J163" s="1202"/>
      <c r="K163" s="704"/>
      <c r="L163" s="1252"/>
      <c r="M163" s="677"/>
      <c r="N163" s="682"/>
      <c r="O163" s="1202"/>
      <c r="P163" s="688"/>
      <c r="Q163" s="1195"/>
      <c r="R163" s="1198"/>
      <c r="S163" s="687"/>
      <c r="T163" s="707" t="s">
        <v>2160</v>
      </c>
      <c r="U163" s="683">
        <f ca="1">SUM(U140:U162)</f>
        <v>51610500.016147226</v>
      </c>
      <c r="V163" s="677">
        <f ca="1">SUM(V140:V162)</f>
        <v>50757821.094311833</v>
      </c>
      <c r="W163" s="685">
        <f ca="1">SUM(W140:W162)</f>
        <v>50757821.094311833</v>
      </c>
      <c r="X163" s="768">
        <f ca="1">W163/V163</f>
        <v>1</v>
      </c>
      <c r="Y163" s="1492"/>
      <c r="Z163" s="423"/>
    </row>
    <row r="164" spans="1:26" s="225" customFormat="1" ht="15" customHeight="1" x14ac:dyDescent="0.2">
      <c r="A164" s="1392" t="s">
        <v>828</v>
      </c>
      <c r="B164" s="1217">
        <v>701</v>
      </c>
      <c r="C164" s="606" t="s">
        <v>6</v>
      </c>
      <c r="D164" s="708"/>
      <c r="E164" s="421"/>
      <c r="F164" s="709" t="s">
        <v>1038</v>
      </c>
      <c r="G164" s="710"/>
      <c r="H164" s="421" t="s">
        <v>638</v>
      </c>
      <c r="I164" s="711" t="s">
        <v>882</v>
      </c>
      <c r="J164" s="1212">
        <v>1</v>
      </c>
      <c r="K164" s="698">
        <v>3850</v>
      </c>
      <c r="L164" s="1352">
        <v>2009</v>
      </c>
      <c r="M164" s="674">
        <f>K164</f>
        <v>3850</v>
      </c>
      <c r="N164" s="1353" t="s">
        <v>1076</v>
      </c>
      <c r="O164" s="705">
        <v>23154</v>
      </c>
      <c r="P164" s="1364" t="s">
        <v>287</v>
      </c>
      <c r="Q164" s="1356">
        <v>0.5</v>
      </c>
      <c r="R164" s="1357">
        <v>1</v>
      </c>
      <c r="S164" s="705">
        <f t="shared" ref="S164:S179" ca="1" si="50">IF(N164&lt;&gt;"",VLOOKUP(N164,INDIRECT(LU_SENS),2,FALSE),"")</f>
        <v>22273.615600000001</v>
      </c>
      <c r="T164" s="706">
        <f t="shared" ref="T164:T181" ca="1" si="51">S164/O164</f>
        <v>0.96197700613284964</v>
      </c>
      <c r="U164" s="674">
        <f t="shared" ref="U164:U179" ca="1" si="52">M164*T164^Q164</f>
        <v>3776.0964200354001</v>
      </c>
      <c r="V164" s="674">
        <f ca="1">U164*VLOOKUP(DCFROR!$B$34,INDIRECT(IX_CAP),4,FALSE)/VLOOKUP(L164,INDIRECT(IX_CAP),4,FALSE)</f>
        <v>3919.3551077470329</v>
      </c>
      <c r="W164" s="675">
        <f t="shared" ref="W164:W181" ca="1" si="53">V164*R164</f>
        <v>3919.3551077470329</v>
      </c>
      <c r="X164" s="766"/>
      <c r="Y164" s="238" t="s">
        <v>2246</v>
      </c>
      <c r="Z164" s="422"/>
    </row>
    <row r="165" spans="1:26" s="225" customFormat="1" ht="15" customHeight="1" x14ac:dyDescent="0.2">
      <c r="A165" s="1393" t="s">
        <v>828</v>
      </c>
      <c r="B165" s="1218">
        <v>720</v>
      </c>
      <c r="C165" s="609" t="s">
        <v>142</v>
      </c>
      <c r="D165" s="611" t="s">
        <v>989</v>
      </c>
      <c r="E165" s="422"/>
      <c r="F165" s="610"/>
      <c r="G165" s="235" t="s">
        <v>943</v>
      </c>
      <c r="H165" s="422" t="s">
        <v>638</v>
      </c>
      <c r="I165" s="234" t="s">
        <v>836</v>
      </c>
      <c r="J165" s="1213">
        <v>1</v>
      </c>
      <c r="K165" s="699">
        <v>21200</v>
      </c>
      <c r="L165" s="1253">
        <v>2009</v>
      </c>
      <c r="M165" s="238">
        <f t="shared" ref="M165:M179" si="54">K165</f>
        <v>21200</v>
      </c>
      <c r="N165" s="1159" t="s">
        <v>1077</v>
      </c>
      <c r="O165" s="460">
        <v>1393</v>
      </c>
      <c r="P165" s="1349" t="s">
        <v>287</v>
      </c>
      <c r="Q165" s="1350">
        <v>0.5</v>
      </c>
      <c r="R165" s="1351">
        <v>1.5</v>
      </c>
      <c r="S165" s="460">
        <f t="shared" ca="1" si="50"/>
        <v>1322.49305</v>
      </c>
      <c r="T165" s="239">
        <f t="shared" ca="1" si="51"/>
        <v>0.94938481694185217</v>
      </c>
      <c r="U165" s="238">
        <f t="shared" ca="1" si="52"/>
        <v>20656.51258384014</v>
      </c>
      <c r="V165" s="238">
        <f ca="1">U165*VLOOKUP(DCFROR!$B$34,INDIRECT(IX_CAP),4,FALSE)/VLOOKUP(L165,INDIRECT(IX_CAP),4,FALSE)</f>
        <v>21440.185603882364</v>
      </c>
      <c r="W165" s="676">
        <f t="shared" ca="1" si="53"/>
        <v>32160.278405823548</v>
      </c>
      <c r="X165" s="766"/>
      <c r="Y165" s="238" t="s">
        <v>2247</v>
      </c>
      <c r="Z165" s="422" t="s">
        <v>1039</v>
      </c>
    </row>
    <row r="166" spans="1:26" s="225" customFormat="1" ht="15" customHeight="1" x14ac:dyDescent="0.2">
      <c r="A166" s="1393" t="s">
        <v>828</v>
      </c>
      <c r="B166" s="1218">
        <v>760</v>
      </c>
      <c r="C166" s="609" t="s">
        <v>1040</v>
      </c>
      <c r="D166" s="611" t="s">
        <v>989</v>
      </c>
      <c r="E166" s="422"/>
      <c r="F166" s="610"/>
      <c r="G166" s="235" t="s">
        <v>1041</v>
      </c>
      <c r="H166" s="422" t="s">
        <v>638</v>
      </c>
      <c r="I166" s="234" t="s">
        <v>836</v>
      </c>
      <c r="J166" s="1213">
        <v>1</v>
      </c>
      <c r="K166" s="699">
        <v>9800</v>
      </c>
      <c r="L166" s="1253">
        <v>2009</v>
      </c>
      <c r="M166" s="238">
        <f t="shared" si="54"/>
        <v>9800</v>
      </c>
      <c r="N166" s="1159" t="s">
        <v>669</v>
      </c>
      <c r="O166" s="460">
        <v>163</v>
      </c>
      <c r="P166" s="1349" t="s">
        <v>287</v>
      </c>
      <c r="Q166" s="1350">
        <v>0.5</v>
      </c>
      <c r="R166" s="1351">
        <v>1.5</v>
      </c>
      <c r="S166" s="460">
        <f t="shared" ca="1" si="50"/>
        <v>144.017628</v>
      </c>
      <c r="T166" s="239">
        <f t="shared" ca="1" si="51"/>
        <v>0.88354373006134967</v>
      </c>
      <c r="U166" s="238">
        <f t="shared" ca="1" si="52"/>
        <v>9211.7066733093507</v>
      </c>
      <c r="V166" s="238">
        <f ca="1">U166*VLOOKUP(DCFROR!$B$34,INDIRECT(IX_CAP),4,FALSE)/VLOOKUP(L166,INDIRECT(IX_CAP),4,FALSE)</f>
        <v>9561.1831863032676</v>
      </c>
      <c r="W166" s="676">
        <f t="shared" ca="1" si="53"/>
        <v>14341.774779454901</v>
      </c>
      <c r="X166" s="766"/>
      <c r="Y166" s="238" t="s">
        <v>2247</v>
      </c>
      <c r="Z166" s="422"/>
    </row>
    <row r="167" spans="1:26" s="225" customFormat="1" ht="15" customHeight="1" x14ac:dyDescent="0.2">
      <c r="A167" s="1393" t="s">
        <v>151</v>
      </c>
      <c r="B167" s="1218">
        <v>755</v>
      </c>
      <c r="C167" s="609" t="s">
        <v>1042</v>
      </c>
      <c r="D167" s="611" t="s">
        <v>1043</v>
      </c>
      <c r="E167" s="422"/>
      <c r="F167" s="610" t="s">
        <v>1044</v>
      </c>
      <c r="G167" s="235"/>
      <c r="H167" s="422"/>
      <c r="I167" s="234" t="s">
        <v>882</v>
      </c>
      <c r="J167" s="1213">
        <v>1</v>
      </c>
      <c r="K167" s="699">
        <v>30000</v>
      </c>
      <c r="L167" s="1253">
        <v>2009</v>
      </c>
      <c r="M167" s="238">
        <f t="shared" si="54"/>
        <v>30000</v>
      </c>
      <c r="N167" s="1159" t="s">
        <v>669</v>
      </c>
      <c r="O167" s="460">
        <v>163</v>
      </c>
      <c r="P167" s="1349" t="s">
        <v>287</v>
      </c>
      <c r="Q167" s="1350">
        <v>0.6</v>
      </c>
      <c r="R167" s="1351">
        <v>1.7</v>
      </c>
      <c r="S167" s="460">
        <f t="shared" ca="1" si="50"/>
        <v>144.017628</v>
      </c>
      <c r="T167" s="239">
        <f t="shared" ca="1" si="51"/>
        <v>0.88354373006134967</v>
      </c>
      <c r="U167" s="238">
        <f t="shared" ca="1" si="52"/>
        <v>27852.108883373683</v>
      </c>
      <c r="V167" s="238">
        <f ca="1">U167*VLOOKUP(DCFROR!$B$34,INDIRECT(IX_CAP),4,FALSE)/VLOOKUP(L167,INDIRECT(IX_CAP),4,FALSE)</f>
        <v>28908.77061146489</v>
      </c>
      <c r="W167" s="676">
        <f t="shared" ca="1" si="53"/>
        <v>49144.910039490314</v>
      </c>
      <c r="X167" s="766"/>
      <c r="Y167" s="238" t="s">
        <v>2245</v>
      </c>
      <c r="Z167" s="422" t="s">
        <v>1045</v>
      </c>
    </row>
    <row r="168" spans="1:26" s="225" customFormat="1" ht="15" customHeight="1" x14ac:dyDescent="0.2">
      <c r="A168" s="1393" t="s">
        <v>881</v>
      </c>
      <c r="B168" s="1218">
        <v>701</v>
      </c>
      <c r="C168" s="609" t="s">
        <v>359</v>
      </c>
      <c r="D168" s="611" t="s">
        <v>991</v>
      </c>
      <c r="E168" s="631" t="s">
        <v>1032</v>
      </c>
      <c r="F168" s="610" t="s">
        <v>1046</v>
      </c>
      <c r="G168" s="235">
        <v>5</v>
      </c>
      <c r="H168" s="422" t="s">
        <v>637</v>
      </c>
      <c r="I168" s="234" t="s">
        <v>882</v>
      </c>
      <c r="J168" s="1213">
        <v>2</v>
      </c>
      <c r="K168" s="699">
        <v>9200</v>
      </c>
      <c r="L168" s="1253">
        <v>2009</v>
      </c>
      <c r="M168" s="238">
        <f t="shared" si="54"/>
        <v>9200</v>
      </c>
      <c r="N168" s="1159" t="s">
        <v>980</v>
      </c>
      <c r="O168" s="460">
        <v>22681</v>
      </c>
      <c r="P168" s="1349" t="s">
        <v>287</v>
      </c>
      <c r="Q168" s="1350">
        <v>0.8</v>
      </c>
      <c r="R168" s="1351">
        <v>3.1</v>
      </c>
      <c r="S168" s="460">
        <f t="shared" ca="1" si="50"/>
        <v>21808.6862</v>
      </c>
      <c r="T168" s="239">
        <f t="shared" ca="1" si="51"/>
        <v>0.96153988801199242</v>
      </c>
      <c r="U168" s="238">
        <f t="shared" ca="1" si="52"/>
        <v>8915.8277876417178</v>
      </c>
      <c r="V168" s="238">
        <f ca="1">U168*VLOOKUP(DCFROR!$B$34,INDIRECT(IX_CAP),4,FALSE)/VLOOKUP(L168,INDIRECT(IX_CAP),4,FALSE)</f>
        <v>9254.0791580101923</v>
      </c>
      <c r="W168" s="676">
        <f t="shared" ca="1" si="53"/>
        <v>28687.645389831596</v>
      </c>
      <c r="X168" s="766"/>
      <c r="Y168" s="238" t="s">
        <v>2265</v>
      </c>
      <c r="Z168" s="422"/>
    </row>
    <row r="169" spans="1:26" s="225" customFormat="1" ht="15" customHeight="1" x14ac:dyDescent="0.2">
      <c r="A169" s="1393" t="s">
        <v>881</v>
      </c>
      <c r="B169" s="1218">
        <v>703</v>
      </c>
      <c r="C169" s="609" t="s">
        <v>314</v>
      </c>
      <c r="D169" s="611" t="s">
        <v>991</v>
      </c>
      <c r="E169" s="422" t="s">
        <v>1047</v>
      </c>
      <c r="F169" s="1373" t="s">
        <v>2713</v>
      </c>
      <c r="G169" s="235">
        <v>0.5</v>
      </c>
      <c r="H169" s="422" t="s">
        <v>419</v>
      </c>
      <c r="I169" s="234" t="s">
        <v>882</v>
      </c>
      <c r="J169" s="1213">
        <v>1</v>
      </c>
      <c r="K169" s="699">
        <v>7493</v>
      </c>
      <c r="L169" s="1253">
        <v>2010</v>
      </c>
      <c r="M169" s="238">
        <f t="shared" si="54"/>
        <v>7493</v>
      </c>
      <c r="N169" s="1159" t="s">
        <v>670</v>
      </c>
      <c r="O169" s="460">
        <v>1981</v>
      </c>
      <c r="P169" s="1349" t="s">
        <v>287</v>
      </c>
      <c r="Q169" s="1350">
        <v>0.8</v>
      </c>
      <c r="R169" s="1351">
        <v>2.2999999999999998</v>
      </c>
      <c r="S169" s="460">
        <f t="shared" ca="1" si="50"/>
        <v>1980.6120000000003</v>
      </c>
      <c r="T169" s="239">
        <f t="shared" ca="1" si="51"/>
        <v>0.99980413932357415</v>
      </c>
      <c r="U169" s="238">
        <f t="shared" ca="1" si="52"/>
        <v>7491.8259097640703</v>
      </c>
      <c r="V169" s="238">
        <f ca="1">U169*VLOOKUP(DCFROR!$B$34,INDIRECT(IX_CAP),4,FALSE)/VLOOKUP(L169,INDIRECT(IX_CAP),4,FALSE)</f>
        <v>7368.0502819883759</v>
      </c>
      <c r="W169" s="676">
        <f t="shared" ca="1" si="53"/>
        <v>16946.515648573262</v>
      </c>
      <c r="X169" s="766"/>
      <c r="Y169" s="238" t="s">
        <v>2249</v>
      </c>
      <c r="Z169" s="1491" t="s">
        <v>1635</v>
      </c>
    </row>
    <row r="170" spans="1:26" s="225" customFormat="1" ht="15" customHeight="1" x14ac:dyDescent="0.2">
      <c r="A170" s="1393" t="s">
        <v>881</v>
      </c>
      <c r="B170" s="1218">
        <v>704</v>
      </c>
      <c r="C170" s="609" t="s">
        <v>366</v>
      </c>
      <c r="D170" s="611" t="s">
        <v>991</v>
      </c>
      <c r="E170" s="632" t="s">
        <v>1048</v>
      </c>
      <c r="F170" s="610" t="s">
        <v>1049</v>
      </c>
      <c r="G170" s="235">
        <v>125</v>
      </c>
      <c r="H170" s="422" t="s">
        <v>637</v>
      </c>
      <c r="I170" s="234" t="s">
        <v>882</v>
      </c>
      <c r="J170" s="1213">
        <v>1</v>
      </c>
      <c r="K170" s="699">
        <v>15000</v>
      </c>
      <c r="L170" s="1253">
        <v>2009</v>
      </c>
      <c r="M170" s="238">
        <f t="shared" si="54"/>
        <v>15000</v>
      </c>
      <c r="N170" s="1159" t="s">
        <v>981</v>
      </c>
      <c r="O170" s="460">
        <v>8343</v>
      </c>
      <c r="P170" s="1349" t="s">
        <v>287</v>
      </c>
      <c r="Q170" s="1350">
        <v>0.8</v>
      </c>
      <c r="R170" s="1351">
        <v>3.1</v>
      </c>
      <c r="S170" s="460">
        <f t="shared" ca="1" si="50"/>
        <v>8021.5972499999989</v>
      </c>
      <c r="T170" s="239">
        <f t="shared" ca="1" si="51"/>
        <v>0.9614763574253864</v>
      </c>
      <c r="U170" s="238">
        <f t="shared" ca="1" si="52"/>
        <v>14535.90736520033</v>
      </c>
      <c r="V170" s="238">
        <f ca="1">U170*VLOOKUP(DCFROR!$B$34,INDIRECT(IX_CAP),4,FALSE)/VLOOKUP(L170,INDIRECT(IX_CAP),4,FALSE)</f>
        <v>15087.37501385135</v>
      </c>
      <c r="W170" s="676">
        <f t="shared" ca="1" si="53"/>
        <v>46770.862542939183</v>
      </c>
      <c r="X170" s="766"/>
      <c r="Y170" s="238" t="s">
        <v>2265</v>
      </c>
      <c r="Z170" s="1488" t="s">
        <v>966</v>
      </c>
    </row>
    <row r="171" spans="1:26" s="225" customFormat="1" ht="15" customHeight="1" x14ac:dyDescent="0.2">
      <c r="A171" s="1393" t="s">
        <v>881</v>
      </c>
      <c r="B171" s="1218">
        <v>710</v>
      </c>
      <c r="C171" s="609" t="s">
        <v>367</v>
      </c>
      <c r="D171" s="611" t="s">
        <v>991</v>
      </c>
      <c r="E171" s="422"/>
      <c r="F171" s="610" t="s">
        <v>1050</v>
      </c>
      <c r="G171" s="235">
        <v>0.5</v>
      </c>
      <c r="H171" s="422" t="s">
        <v>637</v>
      </c>
      <c r="I171" s="234" t="s">
        <v>882</v>
      </c>
      <c r="J171" s="1213">
        <v>1</v>
      </c>
      <c r="K171" s="699">
        <v>3000</v>
      </c>
      <c r="L171" s="1253">
        <v>2009</v>
      </c>
      <c r="M171" s="238">
        <f t="shared" si="54"/>
        <v>3000</v>
      </c>
      <c r="N171" s="1159" t="s">
        <v>1078</v>
      </c>
      <c r="O171" s="460">
        <v>473</v>
      </c>
      <c r="P171" s="1349" t="s">
        <v>287</v>
      </c>
      <c r="Q171" s="1350">
        <v>0.8</v>
      </c>
      <c r="R171" s="1351">
        <v>3.1</v>
      </c>
      <c r="S171" s="460">
        <f t="shared" ca="1" si="50"/>
        <v>464.92940899999996</v>
      </c>
      <c r="T171" s="239">
        <f t="shared" ca="1" si="51"/>
        <v>0.9829374397463001</v>
      </c>
      <c r="U171" s="238">
        <f t="shared" ca="1" si="52"/>
        <v>2958.9795025612989</v>
      </c>
      <c r="V171" s="238">
        <f ca="1">U171*VLOOKUP(DCFROR!$B$34,INDIRECT(IX_CAP),4,FALSE)/VLOOKUP(L171,INDIRECT(IX_CAP),4,FALSE)</f>
        <v>3071.2381615969648</v>
      </c>
      <c r="W171" s="676">
        <f t="shared" ca="1" si="53"/>
        <v>9520.8383009505906</v>
      </c>
      <c r="X171" s="766"/>
      <c r="Y171" s="238" t="s">
        <v>2265</v>
      </c>
      <c r="Z171" s="422"/>
    </row>
    <row r="172" spans="1:26" s="225" customFormat="1" ht="15" customHeight="1" x14ac:dyDescent="0.2">
      <c r="A172" s="1393" t="s">
        <v>881</v>
      </c>
      <c r="B172" s="1218">
        <v>720</v>
      </c>
      <c r="C172" s="609" t="s">
        <v>368</v>
      </c>
      <c r="D172" s="611" t="s">
        <v>991</v>
      </c>
      <c r="E172" s="422"/>
      <c r="F172" s="610" t="s">
        <v>1051</v>
      </c>
      <c r="G172" s="235">
        <v>0.5</v>
      </c>
      <c r="H172" s="422" t="s">
        <v>637</v>
      </c>
      <c r="I172" s="234" t="s">
        <v>882</v>
      </c>
      <c r="J172" s="1213">
        <v>1</v>
      </c>
      <c r="K172" s="699">
        <v>3000</v>
      </c>
      <c r="L172" s="1253">
        <v>2009</v>
      </c>
      <c r="M172" s="238">
        <f t="shared" si="54"/>
        <v>3000</v>
      </c>
      <c r="N172" s="1159" t="s">
        <v>1077</v>
      </c>
      <c r="O172" s="460">
        <v>1393</v>
      </c>
      <c r="P172" s="1349" t="s">
        <v>287</v>
      </c>
      <c r="Q172" s="1350">
        <v>0.8</v>
      </c>
      <c r="R172" s="1351">
        <v>3.1</v>
      </c>
      <c r="S172" s="460">
        <f t="shared" ca="1" si="50"/>
        <v>1322.49305</v>
      </c>
      <c r="T172" s="239">
        <f t="shared" ca="1" si="51"/>
        <v>0.94938481694185217</v>
      </c>
      <c r="U172" s="238">
        <f t="shared" ca="1" si="52"/>
        <v>2877.8958988530153</v>
      </c>
      <c r="V172" s="238">
        <f ca="1">U172*VLOOKUP(DCFROR!$B$34,INDIRECT(IX_CAP),4,FALSE)/VLOOKUP(L172,INDIRECT(IX_CAP),4,FALSE)</f>
        <v>2987.078383615019</v>
      </c>
      <c r="W172" s="676">
        <f t="shared" ca="1" si="53"/>
        <v>9259.94298920656</v>
      </c>
      <c r="X172" s="766"/>
      <c r="Y172" s="238" t="s">
        <v>2265</v>
      </c>
      <c r="Z172" s="422"/>
    </row>
    <row r="173" spans="1:26" s="225" customFormat="1" ht="15" customHeight="1" x14ac:dyDescent="0.2">
      <c r="A173" s="1393" t="s">
        <v>881</v>
      </c>
      <c r="B173" s="1218">
        <v>760</v>
      </c>
      <c r="C173" s="609" t="s">
        <v>1052</v>
      </c>
      <c r="D173" s="611" t="s">
        <v>991</v>
      </c>
      <c r="E173" s="422"/>
      <c r="F173" s="610" t="s">
        <v>1053</v>
      </c>
      <c r="G173" s="235">
        <v>0.5</v>
      </c>
      <c r="H173" s="422" t="s">
        <v>637</v>
      </c>
      <c r="I173" s="234" t="s">
        <v>882</v>
      </c>
      <c r="J173" s="1213">
        <v>1</v>
      </c>
      <c r="K173" s="699">
        <v>3000</v>
      </c>
      <c r="L173" s="1253">
        <v>2009</v>
      </c>
      <c r="M173" s="238">
        <f t="shared" si="54"/>
        <v>3000</v>
      </c>
      <c r="N173" s="1159" t="s">
        <v>669</v>
      </c>
      <c r="O173" s="460">
        <v>163</v>
      </c>
      <c r="P173" s="1349" t="s">
        <v>287</v>
      </c>
      <c r="Q173" s="1350">
        <v>0.8</v>
      </c>
      <c r="R173" s="1351">
        <v>3.1</v>
      </c>
      <c r="S173" s="460">
        <f t="shared" ca="1" si="50"/>
        <v>144.017628</v>
      </c>
      <c r="T173" s="239">
        <f t="shared" ca="1" si="51"/>
        <v>0.88354373006134967</v>
      </c>
      <c r="U173" s="238">
        <f t="shared" ca="1" si="52"/>
        <v>2717.0879359835326</v>
      </c>
      <c r="V173" s="238">
        <f ca="1">U173*VLOOKUP(DCFROR!$B$34,INDIRECT(IX_CAP),4,FALSE)/VLOOKUP(L173,INDIRECT(IX_CAP),4,FALSE)</f>
        <v>2820.1696396288171</v>
      </c>
      <c r="W173" s="676">
        <f t="shared" ca="1" si="53"/>
        <v>8742.5258828493334</v>
      </c>
      <c r="X173" s="766"/>
      <c r="Y173" s="238" t="s">
        <v>2265</v>
      </c>
      <c r="Z173" s="422"/>
    </row>
    <row r="174" spans="1:26" s="225" customFormat="1" ht="15" customHeight="1" x14ac:dyDescent="0.2">
      <c r="A174" s="1393" t="s">
        <v>887</v>
      </c>
      <c r="B174" s="1218">
        <v>701</v>
      </c>
      <c r="C174" s="609" t="s">
        <v>369</v>
      </c>
      <c r="D174" s="611" t="s">
        <v>891</v>
      </c>
      <c r="E174" s="422"/>
      <c r="F174" s="610" t="s">
        <v>912</v>
      </c>
      <c r="G174" s="235"/>
      <c r="H174" s="422" t="s">
        <v>639</v>
      </c>
      <c r="I174" s="234" t="s">
        <v>836</v>
      </c>
      <c r="J174" s="1213">
        <v>2</v>
      </c>
      <c r="K174" s="699">
        <v>1340000</v>
      </c>
      <c r="L174" s="1253">
        <v>2009</v>
      </c>
      <c r="M174" s="238">
        <f t="shared" si="54"/>
        <v>1340000</v>
      </c>
      <c r="N174" s="1159" t="s">
        <v>980</v>
      </c>
      <c r="O174" s="460">
        <v>22681</v>
      </c>
      <c r="P174" s="1349" t="s">
        <v>287</v>
      </c>
      <c r="Q174" s="1350">
        <v>0.7</v>
      </c>
      <c r="R174" s="1351">
        <v>1.7</v>
      </c>
      <c r="S174" s="460">
        <f t="shared" ca="1" si="50"/>
        <v>21808.6862</v>
      </c>
      <c r="T174" s="239">
        <f t="shared" ca="1" si="51"/>
        <v>0.96153988801199242</v>
      </c>
      <c r="U174" s="238">
        <f t="shared" ca="1" si="52"/>
        <v>1303712.7470423719</v>
      </c>
      <c r="V174" s="238">
        <f ca="1">U174*VLOOKUP(DCFROR!$B$34,INDIRECT(IX_CAP),4,FALSE)/VLOOKUP(L174,INDIRECT(IX_CAP),4,FALSE)</f>
        <v>1353173.3954260452</v>
      </c>
      <c r="W174" s="676">
        <f t="shared" ca="1" si="53"/>
        <v>2300394.7722242768</v>
      </c>
      <c r="X174" s="766"/>
      <c r="Y174" s="238" t="s">
        <v>2266</v>
      </c>
      <c r="Z174" s="422"/>
    </row>
    <row r="175" spans="1:26" s="225" customFormat="1" ht="15" customHeight="1" x14ac:dyDescent="0.2">
      <c r="A175" s="1393" t="s">
        <v>887</v>
      </c>
      <c r="B175" s="1218">
        <v>703</v>
      </c>
      <c r="C175" s="609" t="s">
        <v>370</v>
      </c>
      <c r="D175" s="611"/>
      <c r="E175" s="422"/>
      <c r="F175" s="1373" t="s">
        <v>2714</v>
      </c>
      <c r="G175" s="235"/>
      <c r="H175" s="422" t="s">
        <v>649</v>
      </c>
      <c r="I175" s="234" t="s">
        <v>882</v>
      </c>
      <c r="J175" s="1213">
        <v>1</v>
      </c>
      <c r="K175" s="699">
        <v>96000</v>
      </c>
      <c r="L175" s="1253">
        <v>2010</v>
      </c>
      <c r="M175" s="238">
        <f t="shared" si="54"/>
        <v>96000</v>
      </c>
      <c r="N175" s="1159" t="s">
        <v>670</v>
      </c>
      <c r="O175" s="460">
        <v>1981</v>
      </c>
      <c r="P175" s="1349" t="s">
        <v>287</v>
      </c>
      <c r="Q175" s="1350">
        <v>0.7</v>
      </c>
      <c r="R175" s="1351">
        <v>1.5</v>
      </c>
      <c r="S175" s="460">
        <f t="shared" ca="1" si="50"/>
        <v>1980.6120000000003</v>
      </c>
      <c r="T175" s="239">
        <f t="shared" ca="1" si="51"/>
        <v>0.99980413932357415</v>
      </c>
      <c r="U175" s="238">
        <f t="shared" ca="1" si="52"/>
        <v>95986.837775828404</v>
      </c>
      <c r="V175" s="238">
        <f ca="1">U175*VLOOKUP(DCFROR!$B$34,INDIRECT(IX_CAP),4,FALSE)/VLOOKUP(L175,INDIRECT(IX_CAP),4,FALSE)</f>
        <v>94400.99858962647</v>
      </c>
      <c r="W175" s="676">
        <f t="shared" ca="1" si="53"/>
        <v>141601.49788443971</v>
      </c>
      <c r="X175" s="766"/>
      <c r="Y175" s="238" t="s">
        <v>2268</v>
      </c>
      <c r="Z175" s="422" t="s">
        <v>1054</v>
      </c>
    </row>
    <row r="176" spans="1:26" s="225" customFormat="1" ht="15" customHeight="1" x14ac:dyDescent="0.2">
      <c r="A176" s="1393" t="s">
        <v>887</v>
      </c>
      <c r="B176" s="1218">
        <v>704</v>
      </c>
      <c r="C176" s="609" t="s">
        <v>378</v>
      </c>
      <c r="D176" s="611"/>
      <c r="E176" s="422"/>
      <c r="F176" s="610" t="s">
        <v>967</v>
      </c>
      <c r="G176" s="235"/>
      <c r="H176" s="422" t="s">
        <v>968</v>
      </c>
      <c r="I176" s="234" t="s">
        <v>882</v>
      </c>
      <c r="J176" s="1213">
        <v>1</v>
      </c>
      <c r="K176" s="699">
        <v>803000</v>
      </c>
      <c r="L176" s="1253">
        <v>2009</v>
      </c>
      <c r="M176" s="238">
        <f t="shared" si="54"/>
        <v>803000</v>
      </c>
      <c r="N176" s="1159" t="s">
        <v>981</v>
      </c>
      <c r="O176" s="460">
        <v>8343</v>
      </c>
      <c r="P176" s="1349" t="s">
        <v>287</v>
      </c>
      <c r="Q176" s="1350">
        <v>0.7</v>
      </c>
      <c r="R176" s="1351">
        <v>1.7</v>
      </c>
      <c r="S176" s="460">
        <f t="shared" ca="1" si="50"/>
        <v>8021.5972499999989</v>
      </c>
      <c r="T176" s="239">
        <f t="shared" ca="1" si="51"/>
        <v>0.9614763574253864</v>
      </c>
      <c r="U176" s="238">
        <f t="shared" ca="1" si="52"/>
        <v>781218.59472061542</v>
      </c>
      <c r="V176" s="238">
        <f ca="1">U176*VLOOKUP(DCFROR!$B$34,INDIRECT(IX_CAP),4,FALSE)/VLOOKUP(L176,INDIRECT(IX_CAP),4,FALSE)</f>
        <v>810856.7019738598</v>
      </c>
      <c r="W176" s="676">
        <f t="shared" ca="1" si="53"/>
        <v>1378456.3933555617</v>
      </c>
      <c r="X176" s="766"/>
      <c r="Y176" s="238" t="s">
        <v>2266</v>
      </c>
      <c r="Z176" s="422" t="s">
        <v>969</v>
      </c>
    </row>
    <row r="177" spans="1:26" s="225" customFormat="1" ht="15" customHeight="1" x14ac:dyDescent="0.2">
      <c r="A177" s="1393" t="s">
        <v>887</v>
      </c>
      <c r="B177" s="1218">
        <v>706</v>
      </c>
      <c r="C177" s="609" t="s">
        <v>432</v>
      </c>
      <c r="D177" s="611" t="s">
        <v>1714</v>
      </c>
      <c r="E177" s="422"/>
      <c r="F177" s="1373" t="s">
        <v>2715</v>
      </c>
      <c r="G177" s="235"/>
      <c r="H177" s="422" t="s">
        <v>913</v>
      </c>
      <c r="I177" s="234" t="s">
        <v>836</v>
      </c>
      <c r="J177" s="1213">
        <v>2</v>
      </c>
      <c r="K177" s="699">
        <v>196000</v>
      </c>
      <c r="L177" s="1253">
        <v>2010</v>
      </c>
      <c r="M177" s="238">
        <f t="shared" si="54"/>
        <v>196000</v>
      </c>
      <c r="N177" s="1159" t="s">
        <v>665</v>
      </c>
      <c r="O177" s="460">
        <v>1171</v>
      </c>
      <c r="P177" s="1349" t="s">
        <v>287</v>
      </c>
      <c r="Q177" s="1350">
        <v>0.7</v>
      </c>
      <c r="R177" s="1351">
        <v>2</v>
      </c>
      <c r="S177" s="460">
        <f t="shared" ca="1" si="50"/>
        <v>1165.5773200000001</v>
      </c>
      <c r="T177" s="239">
        <f t="shared" ca="1" si="51"/>
        <v>0.9953691887275834</v>
      </c>
      <c r="U177" s="238">
        <f t="shared" ca="1" si="52"/>
        <v>195364.21047943647</v>
      </c>
      <c r="V177" s="238">
        <f ca="1">U177*VLOOKUP(DCFROR!$B$34,INDIRECT(IX_CAP),4,FALSE)/VLOOKUP(L177,INDIRECT(IX_CAP),4,FALSE)</f>
        <v>192136.51564399191</v>
      </c>
      <c r="W177" s="676">
        <f t="shared" ca="1" si="53"/>
        <v>384273.03128798382</v>
      </c>
      <c r="X177" s="766"/>
      <c r="Y177" s="238" t="s">
        <v>2262</v>
      </c>
      <c r="Z177" s="422"/>
    </row>
    <row r="178" spans="1:26" s="225" customFormat="1" ht="15" customHeight="1" x14ac:dyDescent="0.2">
      <c r="A178" s="1393" t="s">
        <v>887</v>
      </c>
      <c r="B178" s="1218">
        <v>710</v>
      </c>
      <c r="C178" s="609" t="s">
        <v>379</v>
      </c>
      <c r="D178" s="611"/>
      <c r="E178" s="422"/>
      <c r="F178" s="610" t="s">
        <v>1055</v>
      </c>
      <c r="G178" s="235"/>
      <c r="H178" s="422" t="s">
        <v>637</v>
      </c>
      <c r="I178" s="234" t="s">
        <v>882</v>
      </c>
      <c r="J178" s="1213">
        <v>1</v>
      </c>
      <c r="K178" s="699">
        <f>ROUND((65/80)^0.65*232770,-4)</f>
        <v>200000</v>
      </c>
      <c r="L178" s="1253">
        <v>2009</v>
      </c>
      <c r="M178" s="238">
        <f t="shared" si="54"/>
        <v>200000</v>
      </c>
      <c r="N178" s="1159" t="s">
        <v>1078</v>
      </c>
      <c r="O178" s="460">
        <v>473</v>
      </c>
      <c r="P178" s="1349" t="s">
        <v>287</v>
      </c>
      <c r="Q178" s="1350">
        <v>0.7</v>
      </c>
      <c r="R178" s="1351">
        <v>1.7</v>
      </c>
      <c r="S178" s="460">
        <f t="shared" ca="1" si="50"/>
        <v>464.92940899999996</v>
      </c>
      <c r="T178" s="239">
        <f t="shared" ca="1" si="51"/>
        <v>0.9829374397463001</v>
      </c>
      <c r="U178" s="238">
        <f t="shared" ca="1" si="52"/>
        <v>197605.08216202274</v>
      </c>
      <c r="V178" s="238">
        <f ca="1">U178*VLOOKUP(DCFROR!$B$34,INDIRECT(IX_CAP),4,FALSE)/VLOOKUP(L178,INDIRECT(IX_CAP),4,FALSE)</f>
        <v>205101.88351632061</v>
      </c>
      <c r="W178" s="676">
        <f t="shared" ca="1" si="53"/>
        <v>348673.20197774505</v>
      </c>
      <c r="X178" s="766"/>
      <c r="Y178" s="238" t="s">
        <v>2266</v>
      </c>
      <c r="Z178" s="422" t="s">
        <v>1056</v>
      </c>
    </row>
    <row r="179" spans="1:26" s="225" customFormat="1" ht="15" customHeight="1" x14ac:dyDescent="0.2">
      <c r="A179" s="1393" t="s">
        <v>887</v>
      </c>
      <c r="B179" s="1218">
        <v>720</v>
      </c>
      <c r="C179" s="609" t="s">
        <v>380</v>
      </c>
      <c r="D179" s="611"/>
      <c r="E179" s="422"/>
      <c r="F179" s="610" t="s">
        <v>970</v>
      </c>
      <c r="G179" s="235"/>
      <c r="H179" s="422" t="s">
        <v>1057</v>
      </c>
      <c r="I179" s="234" t="s">
        <v>882</v>
      </c>
      <c r="J179" s="1213">
        <v>1</v>
      </c>
      <c r="K179" s="699">
        <v>70000</v>
      </c>
      <c r="L179" s="1253">
        <v>2009</v>
      </c>
      <c r="M179" s="238">
        <f t="shared" si="54"/>
        <v>70000</v>
      </c>
      <c r="N179" s="1159" t="s">
        <v>1077</v>
      </c>
      <c r="O179" s="460">
        <v>1393</v>
      </c>
      <c r="P179" s="1349" t="s">
        <v>287</v>
      </c>
      <c r="Q179" s="1350">
        <v>0.7</v>
      </c>
      <c r="R179" s="1351">
        <v>2.6</v>
      </c>
      <c r="S179" s="460">
        <f t="shared" ca="1" si="50"/>
        <v>1322.49305</v>
      </c>
      <c r="T179" s="239">
        <f t="shared" ca="1" si="51"/>
        <v>0.94938481694185217</v>
      </c>
      <c r="U179" s="238">
        <f t="shared" ca="1" si="52"/>
        <v>67500.600650688153</v>
      </c>
      <c r="V179" s="238">
        <f ca="1">U179*VLOOKUP(DCFROR!$B$34,INDIRECT(IX_CAP),4,FALSE)/VLOOKUP(L179,INDIRECT(IX_CAP),4,FALSE)</f>
        <v>70061.458847437782</v>
      </c>
      <c r="W179" s="676">
        <f t="shared" ca="1" si="53"/>
        <v>182159.79300333824</v>
      </c>
      <c r="X179" s="766"/>
      <c r="Y179" s="238" t="s">
        <v>2269</v>
      </c>
      <c r="Z179" s="422" t="s">
        <v>1056</v>
      </c>
    </row>
    <row r="180" spans="1:26" s="225" customFormat="1" ht="15" customHeight="1" x14ac:dyDescent="0.2">
      <c r="A180" s="1393" t="s">
        <v>887</v>
      </c>
      <c r="B180" s="1218">
        <v>755</v>
      </c>
      <c r="C180" s="609" t="s">
        <v>1058</v>
      </c>
      <c r="D180" s="611" t="s">
        <v>1043</v>
      </c>
      <c r="E180" s="422"/>
      <c r="F180" s="610" t="s">
        <v>1059</v>
      </c>
      <c r="G180" s="235"/>
      <c r="H180" s="422"/>
      <c r="I180" s="234" t="s">
        <v>882</v>
      </c>
      <c r="J180" s="1213">
        <v>1</v>
      </c>
      <c r="K180" s="699" t="s">
        <v>1023</v>
      </c>
      <c r="L180" s="1251"/>
      <c r="M180" s="842"/>
      <c r="N180" s="842"/>
      <c r="O180" s="844"/>
      <c r="P180" s="848"/>
      <c r="Q180" s="845"/>
      <c r="R180" s="1199"/>
      <c r="S180" s="844"/>
      <c r="T180" s="842"/>
      <c r="U180" s="842"/>
      <c r="V180" s="842"/>
      <c r="W180" s="849"/>
      <c r="X180" s="767"/>
      <c r="Y180" s="842"/>
      <c r="Z180" s="422" t="s">
        <v>1715</v>
      </c>
    </row>
    <row r="181" spans="1:26" s="225" customFormat="1" ht="15" customHeight="1" x14ac:dyDescent="0.2">
      <c r="A181" s="1393" t="s">
        <v>887</v>
      </c>
      <c r="B181" s="1218">
        <v>760</v>
      </c>
      <c r="C181" s="609" t="s">
        <v>1060</v>
      </c>
      <c r="D181" s="611"/>
      <c r="E181" s="422"/>
      <c r="F181" s="610" t="s">
        <v>914</v>
      </c>
      <c r="G181" s="235"/>
      <c r="H181" s="422" t="s">
        <v>638</v>
      </c>
      <c r="I181" s="234" t="s">
        <v>882</v>
      </c>
      <c r="J181" s="1213">
        <v>1</v>
      </c>
      <c r="K181" s="699">
        <v>102000</v>
      </c>
      <c r="L181" s="1253">
        <v>2009</v>
      </c>
      <c r="M181" s="238">
        <f>K181</f>
        <v>102000</v>
      </c>
      <c r="N181" s="1159" t="s">
        <v>665</v>
      </c>
      <c r="O181" s="460">
        <v>1615</v>
      </c>
      <c r="P181" s="1349" t="s">
        <v>287</v>
      </c>
      <c r="Q181" s="1350">
        <v>0.7</v>
      </c>
      <c r="R181" s="1351">
        <v>1.8</v>
      </c>
      <c r="S181" s="460">
        <f ca="1">IF(N181&lt;&gt;"",VLOOKUP(N181,INDIRECT(LU_SENS),2,FALSE),"")</f>
        <v>1165.5773200000001</v>
      </c>
      <c r="T181" s="239">
        <f t="shared" ca="1" si="51"/>
        <v>0.72171970278637776</v>
      </c>
      <c r="U181" s="238">
        <f ca="1">M181*T181^Q181</f>
        <v>81181.704371289394</v>
      </c>
      <c r="V181" s="238">
        <f ca="1">U181*VLOOKUP(DCFROR!$B$34,INDIRECT(IX_CAP),4,FALSE)/VLOOKUP(L181,INDIRECT(IX_CAP),4,FALSE)</f>
        <v>84261.600417565569</v>
      </c>
      <c r="W181" s="676">
        <f t="shared" ca="1" si="53"/>
        <v>151670.88075161804</v>
      </c>
      <c r="X181" s="766"/>
      <c r="Y181" s="238" t="s">
        <v>2270</v>
      </c>
      <c r="Z181" s="422"/>
    </row>
    <row r="182" spans="1:26" s="225" customFormat="1" ht="15" customHeight="1" thickBot="1" x14ac:dyDescent="0.25">
      <c r="A182" s="1394"/>
      <c r="B182" s="1219"/>
      <c r="C182" s="678"/>
      <c r="D182" s="680"/>
      <c r="E182" s="679"/>
      <c r="F182" s="679"/>
      <c r="G182" s="681"/>
      <c r="H182" s="679"/>
      <c r="I182" s="682"/>
      <c r="J182" s="1202"/>
      <c r="K182" s="704"/>
      <c r="L182" s="1252"/>
      <c r="M182" s="677"/>
      <c r="N182" s="682"/>
      <c r="O182" s="1202"/>
      <c r="P182" s="688"/>
      <c r="Q182" s="1195"/>
      <c r="R182" s="1198"/>
      <c r="S182" s="687"/>
      <c r="T182" s="707" t="s">
        <v>2161</v>
      </c>
      <c r="U182" s="683">
        <f ca="1">SUM(U164:U181)</f>
        <v>2823563.7261628145</v>
      </c>
      <c r="V182" s="677">
        <f ca="1">SUM(V164:V181)</f>
        <v>2914410.0395629359</v>
      </c>
      <c r="W182" s="685">
        <f ca="1">SUM(W164:W181)</f>
        <v>5106724.2195718298</v>
      </c>
      <c r="X182" s="768">
        <f ca="1">W182/V182</f>
        <v>1.7522325788919075</v>
      </c>
      <c r="Y182" s="842"/>
      <c r="Z182" s="428"/>
    </row>
    <row r="183" spans="1:26" s="225" customFormat="1" ht="15" customHeight="1" x14ac:dyDescent="0.2">
      <c r="A183" s="1392" t="s">
        <v>869</v>
      </c>
      <c r="B183" s="1217">
        <v>801</v>
      </c>
      <c r="C183" s="606" t="s">
        <v>150</v>
      </c>
      <c r="D183" s="708" t="s">
        <v>1716</v>
      </c>
      <c r="E183" s="421"/>
      <c r="F183" s="709"/>
      <c r="G183" s="710"/>
      <c r="H183" s="421" t="s">
        <v>163</v>
      </c>
      <c r="I183" s="711" t="s">
        <v>1717</v>
      </c>
      <c r="J183" s="1212">
        <v>1</v>
      </c>
      <c r="K183" s="698" t="s">
        <v>1023</v>
      </c>
      <c r="L183" s="1254"/>
      <c r="M183" s="854"/>
      <c r="N183" s="854"/>
      <c r="O183" s="856"/>
      <c r="P183" s="855"/>
      <c r="Q183" s="1206"/>
      <c r="R183" s="1209"/>
      <c r="S183" s="856"/>
      <c r="T183" s="854"/>
      <c r="U183" s="854"/>
      <c r="V183" s="854"/>
      <c r="W183" s="857"/>
      <c r="X183" s="767"/>
      <c r="Y183" s="842"/>
      <c r="Z183" s="422"/>
    </row>
    <row r="184" spans="1:26" s="225" customFormat="1" ht="15" customHeight="1" x14ac:dyDescent="0.2">
      <c r="A184" s="1393" t="s">
        <v>869</v>
      </c>
      <c r="B184" s="1218">
        <v>811</v>
      </c>
      <c r="C184" s="609" t="s">
        <v>382</v>
      </c>
      <c r="D184" s="611" t="s">
        <v>1716</v>
      </c>
      <c r="E184" s="422"/>
      <c r="F184" s="610"/>
      <c r="G184" s="235"/>
      <c r="H184" s="422"/>
      <c r="I184" s="234" t="s">
        <v>1717</v>
      </c>
      <c r="J184" s="1213">
        <v>1</v>
      </c>
      <c r="K184" s="699" t="s">
        <v>1023</v>
      </c>
      <c r="L184" s="1251"/>
      <c r="M184" s="842"/>
      <c r="N184" s="842"/>
      <c r="O184" s="844"/>
      <c r="P184" s="848"/>
      <c r="Q184" s="845"/>
      <c r="R184" s="1199"/>
      <c r="S184" s="844"/>
      <c r="T184" s="842"/>
      <c r="U184" s="842"/>
      <c r="V184" s="842"/>
      <c r="W184" s="849"/>
      <c r="X184" s="767"/>
      <c r="Y184" s="842"/>
      <c r="Z184" s="422"/>
    </row>
    <row r="185" spans="1:26" s="225" customFormat="1" ht="15" customHeight="1" x14ac:dyDescent="0.2">
      <c r="A185" s="1393" t="s">
        <v>869</v>
      </c>
      <c r="B185" s="1218">
        <v>812</v>
      </c>
      <c r="C185" s="609" t="s">
        <v>3318</v>
      </c>
      <c r="D185" s="611" t="s">
        <v>891</v>
      </c>
      <c r="E185" s="422"/>
      <c r="F185" s="610" t="s">
        <v>1718</v>
      </c>
      <c r="G185" s="235"/>
      <c r="H185" s="422" t="s">
        <v>638</v>
      </c>
      <c r="I185" s="234" t="s">
        <v>882</v>
      </c>
      <c r="J185" s="1213">
        <v>1</v>
      </c>
      <c r="K185" s="699">
        <v>41000</v>
      </c>
      <c r="L185" s="1253">
        <v>2009</v>
      </c>
      <c r="M185" s="238">
        <f t="shared" ref="M185:M191" si="55">K185</f>
        <v>41000</v>
      </c>
      <c r="N185" s="1159" t="s">
        <v>1749</v>
      </c>
      <c r="O185" s="460">
        <v>-2.4</v>
      </c>
      <c r="P185" s="1349" t="s">
        <v>3079</v>
      </c>
      <c r="Q185" s="1350">
        <v>0.7</v>
      </c>
      <c r="R185" s="1351">
        <v>2.2000000000000002</v>
      </c>
      <c r="S185" s="460">
        <f ca="1">IF(N185&lt;&gt;"",VLOOKUP(N185,INDIRECT(LU_SENS),2,FALSE),"")</f>
        <v>-2.2741624900000001</v>
      </c>
      <c r="T185" s="239">
        <f ca="1">S185/O185</f>
        <v>0.9475677041666668</v>
      </c>
      <c r="U185" s="238">
        <f ca="1">M185*T185^Q185</f>
        <v>39483.080738417302</v>
      </c>
      <c r="V185" s="238">
        <f ca="1">U185*VLOOKUP(DCFROR!$B$34,INDIRECT(IX_CAP),4,FALSE)/VLOOKUP(L185,INDIRECT(IX_CAP),4,FALSE)</f>
        <v>40981.001793448275</v>
      </c>
      <c r="W185" s="676">
        <f ca="1">V185*R185</f>
        <v>90158.20394558621</v>
      </c>
      <c r="X185" s="766"/>
      <c r="Y185" s="238" t="s">
        <v>2271</v>
      </c>
      <c r="Z185" s="422" t="s">
        <v>1616</v>
      </c>
    </row>
    <row r="186" spans="1:26" s="225" customFormat="1" ht="15" customHeight="1" x14ac:dyDescent="0.2">
      <c r="A186" s="1393" t="s">
        <v>837</v>
      </c>
      <c r="B186" s="1218" t="s">
        <v>3374</v>
      </c>
      <c r="C186" s="609" t="s">
        <v>3375</v>
      </c>
      <c r="D186" s="611" t="s">
        <v>1716</v>
      </c>
      <c r="E186" s="422"/>
      <c r="F186" s="1468"/>
      <c r="G186" s="235"/>
      <c r="H186" s="422"/>
      <c r="I186" s="234"/>
      <c r="J186" s="1213"/>
      <c r="K186" s="699" t="s">
        <v>1023</v>
      </c>
      <c r="L186" s="1251"/>
      <c r="M186" s="842"/>
      <c r="N186" s="842"/>
      <c r="O186" s="844"/>
      <c r="P186" s="848"/>
      <c r="Q186" s="845"/>
      <c r="R186" s="1199"/>
      <c r="S186" s="844"/>
      <c r="T186" s="842"/>
      <c r="U186" s="842"/>
      <c r="V186" s="842"/>
      <c r="W186" s="849"/>
      <c r="X186" s="766"/>
      <c r="Y186" s="238"/>
      <c r="Z186" s="422"/>
    </row>
    <row r="187" spans="1:26" s="225" customFormat="1" ht="15" customHeight="1" x14ac:dyDescent="0.2">
      <c r="A187" s="1393" t="s">
        <v>837</v>
      </c>
      <c r="B187" s="1218">
        <v>803</v>
      </c>
      <c r="C187" s="609" t="s">
        <v>988</v>
      </c>
      <c r="D187" s="611" t="s">
        <v>1716</v>
      </c>
      <c r="E187" s="422" t="s">
        <v>1719</v>
      </c>
      <c r="F187" s="1373" t="s">
        <v>2716</v>
      </c>
      <c r="G187" s="235" t="s">
        <v>1720</v>
      </c>
      <c r="H187" s="422" t="s">
        <v>637</v>
      </c>
      <c r="I187" s="234" t="s">
        <v>1717</v>
      </c>
      <c r="J187" s="1213">
        <v>1</v>
      </c>
      <c r="K187" s="699">
        <v>28550000</v>
      </c>
      <c r="L187" s="1253">
        <v>2010</v>
      </c>
      <c r="M187" s="238">
        <f t="shared" si="55"/>
        <v>28550000</v>
      </c>
      <c r="N187" s="1159" t="s">
        <v>767</v>
      </c>
      <c r="O187" s="1363">
        <v>238686</v>
      </c>
      <c r="P187" s="1359" t="s">
        <v>287</v>
      </c>
      <c r="Q187" s="1350">
        <v>0.6</v>
      </c>
      <c r="R187" s="1351">
        <v>1.8</v>
      </c>
      <c r="S187" s="460">
        <f ca="1">IF(N187&lt;&gt;"",VLOOKUP(N187,INDIRECT(LU_SENS),2,FALSE),"")</f>
        <v>235125.15599999999</v>
      </c>
      <c r="T187" s="239">
        <f ca="1">S187/O187</f>
        <v>0.98508147105402066</v>
      </c>
      <c r="U187" s="238">
        <f ca="1">M187*T187^Q187</f>
        <v>28293677.743501768</v>
      </c>
      <c r="V187" s="238">
        <f ca="1">U187*VLOOKUP(DCFROR!$B$34,INDIRECT(IX_CAP),4,FALSE)/VLOOKUP(L187,INDIRECT(IX_CAP),4,FALSE)</f>
        <v>27826225.914406154</v>
      </c>
      <c r="W187" s="676">
        <f ca="1">V187*R187</f>
        <v>50087206.64593108</v>
      </c>
      <c r="X187" s="766"/>
      <c r="Y187" s="238" t="s">
        <v>2272</v>
      </c>
      <c r="Z187" s="422"/>
    </row>
    <row r="188" spans="1:26" s="225" customFormat="1" ht="15" customHeight="1" x14ac:dyDescent="0.2">
      <c r="A188" s="1393" t="s">
        <v>837</v>
      </c>
      <c r="B188" s="1218">
        <v>804</v>
      </c>
      <c r="C188" s="609" t="s">
        <v>52</v>
      </c>
      <c r="D188" s="611" t="s">
        <v>1716</v>
      </c>
      <c r="E188" s="422"/>
      <c r="F188" s="610" t="s">
        <v>2717</v>
      </c>
      <c r="G188" s="235"/>
      <c r="H188" s="422"/>
      <c r="I188" s="234"/>
      <c r="J188" s="1213"/>
      <c r="K188" s="699" t="s">
        <v>1023</v>
      </c>
      <c r="L188" s="1251"/>
      <c r="M188" s="842"/>
      <c r="N188" s="842"/>
      <c r="O188" s="844"/>
      <c r="P188" s="848"/>
      <c r="Q188" s="845"/>
      <c r="R188" s="1199"/>
      <c r="S188" s="844"/>
      <c r="T188" s="842"/>
      <c r="U188" s="842"/>
      <c r="V188" s="842"/>
      <c r="W188" s="849"/>
      <c r="X188" s="767"/>
      <c r="Y188" s="842"/>
      <c r="Z188" s="422"/>
    </row>
    <row r="189" spans="1:26" s="225" customFormat="1" ht="15" customHeight="1" x14ac:dyDescent="0.2">
      <c r="A189" s="1393" t="s">
        <v>837</v>
      </c>
      <c r="B189" s="1218">
        <v>811</v>
      </c>
      <c r="C189" s="609" t="s">
        <v>383</v>
      </c>
      <c r="D189" s="611" t="s">
        <v>1721</v>
      </c>
      <c r="E189" s="422" t="s">
        <v>1722</v>
      </c>
      <c r="F189" s="610" t="s">
        <v>1723</v>
      </c>
      <c r="G189" s="235"/>
      <c r="H189" s="422" t="s">
        <v>163</v>
      </c>
      <c r="I189" s="234" t="s">
        <v>836</v>
      </c>
      <c r="J189" s="1213">
        <v>1</v>
      </c>
      <c r="K189" s="699">
        <v>9500000</v>
      </c>
      <c r="L189" s="1253">
        <v>2010</v>
      </c>
      <c r="M189" s="238">
        <f t="shared" si="55"/>
        <v>9500000</v>
      </c>
      <c r="N189" s="1159" t="s">
        <v>1750</v>
      </c>
      <c r="O189" s="1363">
        <v>-42200</v>
      </c>
      <c r="P189" s="1359" t="s">
        <v>761</v>
      </c>
      <c r="Q189" s="1350">
        <v>0.6</v>
      </c>
      <c r="R189" s="1351">
        <v>1.8</v>
      </c>
      <c r="S189" s="460">
        <f ca="1">IF(N189&lt;&gt;"",VLOOKUP(N189,INDIRECT(LU_SENS),2,FALSE),"")</f>
        <v>-41139.1976</v>
      </c>
      <c r="T189" s="239">
        <f ca="1">S189/O189</f>
        <v>0.9748625023696682</v>
      </c>
      <c r="U189" s="238">
        <f ca="1">M189*T189^Q189</f>
        <v>9355987.3245073259</v>
      </c>
      <c r="V189" s="238">
        <f ca="1">U189*VLOOKUP(DCFROR!$B$34,INDIRECT(IX_CAP),4,FALSE)/VLOOKUP(L189,INDIRECT(IX_CAP),4,FALSE)</f>
        <v>9201413.0967422277</v>
      </c>
      <c r="W189" s="676">
        <f ca="1">V189*R189</f>
        <v>16562543.574136009</v>
      </c>
      <c r="X189" s="766"/>
      <c r="Y189" s="238" t="s">
        <v>2273</v>
      </c>
      <c r="Z189" s="422"/>
    </row>
    <row r="190" spans="1:26" s="225" customFormat="1" ht="15" customHeight="1" x14ac:dyDescent="0.2">
      <c r="A190" s="1393" t="s">
        <v>837</v>
      </c>
      <c r="B190" s="1218">
        <v>820</v>
      </c>
      <c r="C190" s="609" t="s">
        <v>30</v>
      </c>
      <c r="D190" s="611" t="s">
        <v>1724</v>
      </c>
      <c r="E190" s="422"/>
      <c r="F190" s="610"/>
      <c r="G190" s="235"/>
      <c r="H190" s="422" t="s">
        <v>163</v>
      </c>
      <c r="I190" s="234" t="s">
        <v>836</v>
      </c>
      <c r="J190" s="1213">
        <v>1</v>
      </c>
      <c r="K190" s="699">
        <v>78000</v>
      </c>
      <c r="L190" s="1253">
        <v>2010</v>
      </c>
      <c r="M190" s="238">
        <f t="shared" si="55"/>
        <v>78000</v>
      </c>
      <c r="N190" s="1159" t="s">
        <v>767</v>
      </c>
      <c r="O190" s="460">
        <v>235803</v>
      </c>
      <c r="P190" s="1349" t="s">
        <v>287</v>
      </c>
      <c r="Q190" s="1350">
        <v>0.6</v>
      </c>
      <c r="R190" s="1351">
        <v>1.8</v>
      </c>
      <c r="S190" s="460">
        <f ca="1">IF(N190&lt;&gt;"",VLOOKUP(N190,INDIRECT(LU_SENS),2,FALSE),"")</f>
        <v>235125.15599999999</v>
      </c>
      <c r="T190" s="239">
        <f ca="1">S190/O190</f>
        <v>0.9971253800842228</v>
      </c>
      <c r="U190" s="238">
        <f ca="1">M190*T190^Q190</f>
        <v>77865.390338208541</v>
      </c>
      <c r="V190" s="238">
        <f ca="1">U190*VLOOKUP(DCFROR!$B$34,INDIRECT(IX_CAP),4,FALSE)/VLOOKUP(L190,INDIRECT(IX_CAP),4,FALSE)</f>
        <v>76578.94325745746</v>
      </c>
      <c r="W190" s="676">
        <f ca="1">V190*R190</f>
        <v>137842.09786342343</v>
      </c>
      <c r="X190" s="766"/>
      <c r="Y190" s="238" t="s">
        <v>2274</v>
      </c>
      <c r="Z190" s="422"/>
    </row>
    <row r="191" spans="1:26" s="225" customFormat="1" ht="15" customHeight="1" x14ac:dyDescent="0.2">
      <c r="A191" s="1393" t="s">
        <v>837</v>
      </c>
      <c r="B191" s="1218">
        <v>830</v>
      </c>
      <c r="C191" s="609" t="s">
        <v>1725</v>
      </c>
      <c r="D191" s="611" t="s">
        <v>1724</v>
      </c>
      <c r="E191" s="422"/>
      <c r="F191" s="610"/>
      <c r="G191" s="235"/>
      <c r="H191" s="422" t="s">
        <v>163</v>
      </c>
      <c r="I191" s="234" t="s">
        <v>836</v>
      </c>
      <c r="J191" s="1213">
        <v>1</v>
      </c>
      <c r="K191" s="699">
        <v>40000</v>
      </c>
      <c r="L191" s="1253">
        <v>2010</v>
      </c>
      <c r="M191" s="238">
        <f t="shared" si="55"/>
        <v>40000</v>
      </c>
      <c r="N191" s="1159" t="s">
        <v>767</v>
      </c>
      <c r="O191" s="460">
        <v>235803</v>
      </c>
      <c r="P191" s="1349" t="s">
        <v>287</v>
      </c>
      <c r="Q191" s="1350">
        <v>0</v>
      </c>
      <c r="R191" s="1351">
        <v>1.8</v>
      </c>
      <c r="S191" s="460">
        <f ca="1">IF(N191&lt;&gt;"",VLOOKUP(N191,INDIRECT(LU_SENS),2,FALSE),"")</f>
        <v>235125.15599999999</v>
      </c>
      <c r="T191" s="239">
        <f ca="1">S191/O191</f>
        <v>0.9971253800842228</v>
      </c>
      <c r="U191" s="238">
        <f ca="1">M191*T191^Q191</f>
        <v>40000</v>
      </c>
      <c r="V191" s="238">
        <f ca="1">U191*VLOOKUP(DCFROR!$B$34,INDIRECT(IX_CAP),4,FALSE)/VLOOKUP(L191,INDIRECT(IX_CAP),4,FALSE)</f>
        <v>39339.143064633266</v>
      </c>
      <c r="W191" s="676">
        <f ca="1">V191*R191</f>
        <v>70810.457516339884</v>
      </c>
      <c r="X191" s="766"/>
      <c r="Y191" s="238" t="s">
        <v>2274</v>
      </c>
      <c r="Z191" s="422" t="s">
        <v>1726</v>
      </c>
    </row>
    <row r="192" spans="1:26" s="225" customFormat="1" ht="15" customHeight="1" x14ac:dyDescent="0.2">
      <c r="A192" s="1393" t="s">
        <v>837</v>
      </c>
      <c r="B192" s="1218">
        <v>832</v>
      </c>
      <c r="C192" s="609" t="s">
        <v>646</v>
      </c>
      <c r="D192" s="611" t="s">
        <v>1724</v>
      </c>
      <c r="E192" s="422"/>
      <c r="F192" s="610"/>
      <c r="G192" s="235"/>
      <c r="H192" s="422" t="s">
        <v>163</v>
      </c>
      <c r="I192" s="234" t="s">
        <v>836</v>
      </c>
      <c r="J192" s="1213">
        <v>1</v>
      </c>
      <c r="K192" s="699" t="s">
        <v>1023</v>
      </c>
      <c r="L192" s="1251"/>
      <c r="M192" s="842"/>
      <c r="N192" s="842"/>
      <c r="O192" s="844"/>
      <c r="P192" s="848"/>
      <c r="Q192" s="845"/>
      <c r="R192" s="1199"/>
      <c r="S192" s="844"/>
      <c r="T192" s="842"/>
      <c r="U192" s="842"/>
      <c r="V192" s="842"/>
      <c r="W192" s="849"/>
      <c r="X192" s="767"/>
      <c r="Y192" s="842"/>
      <c r="Z192" s="422"/>
    </row>
    <row r="193" spans="1:26" s="225" customFormat="1" ht="15" customHeight="1" x14ac:dyDescent="0.2">
      <c r="A193" s="1393" t="s">
        <v>837</v>
      </c>
      <c r="B193" s="1218">
        <v>834</v>
      </c>
      <c r="C193" s="609" t="s">
        <v>384</v>
      </c>
      <c r="D193" s="611" t="s">
        <v>1724</v>
      </c>
      <c r="E193" s="422"/>
      <c r="F193" s="610"/>
      <c r="G193" s="235"/>
      <c r="H193" s="422" t="s">
        <v>163</v>
      </c>
      <c r="I193" s="234" t="s">
        <v>836</v>
      </c>
      <c r="J193" s="1213">
        <v>1</v>
      </c>
      <c r="K193" s="699" t="s">
        <v>1023</v>
      </c>
      <c r="L193" s="1251"/>
      <c r="M193" s="842"/>
      <c r="N193" s="842"/>
      <c r="O193" s="844"/>
      <c r="P193" s="848"/>
      <c r="Q193" s="845"/>
      <c r="R193" s="1199"/>
      <c r="S193" s="844"/>
      <c r="T193" s="842"/>
      <c r="U193" s="842"/>
      <c r="V193" s="842"/>
      <c r="W193" s="849"/>
      <c r="X193" s="767"/>
      <c r="Y193" s="842"/>
      <c r="Z193" s="422"/>
    </row>
    <row r="194" spans="1:26" s="225" customFormat="1" ht="15" customHeight="1" x14ac:dyDescent="0.2">
      <c r="A194" s="1393" t="s">
        <v>881</v>
      </c>
      <c r="B194" s="1218">
        <v>804</v>
      </c>
      <c r="C194" s="609" t="s">
        <v>360</v>
      </c>
      <c r="D194" s="611" t="s">
        <v>1724</v>
      </c>
      <c r="E194" s="422"/>
      <c r="F194" s="610"/>
      <c r="G194" s="235"/>
      <c r="H194" s="422" t="s">
        <v>419</v>
      </c>
      <c r="I194" s="234" t="s">
        <v>836</v>
      </c>
      <c r="J194" s="1213">
        <v>2</v>
      </c>
      <c r="K194" s="699" t="s">
        <v>1023</v>
      </c>
      <c r="L194" s="1251"/>
      <c r="M194" s="842"/>
      <c r="N194" s="842"/>
      <c r="O194" s="844"/>
      <c r="P194" s="848"/>
      <c r="Q194" s="845"/>
      <c r="R194" s="1199"/>
      <c r="S194" s="844"/>
      <c r="T194" s="842"/>
      <c r="U194" s="842"/>
      <c r="V194" s="842"/>
      <c r="W194" s="849"/>
      <c r="X194" s="767"/>
      <c r="Y194" s="842"/>
      <c r="Z194" s="422"/>
    </row>
    <row r="195" spans="1:26" s="225" customFormat="1" ht="15" customHeight="1" x14ac:dyDescent="0.2">
      <c r="A195" s="1393" t="s">
        <v>881</v>
      </c>
      <c r="B195" s="1218">
        <v>811</v>
      </c>
      <c r="C195" s="609" t="s">
        <v>385</v>
      </c>
      <c r="D195" s="611" t="s">
        <v>1724</v>
      </c>
      <c r="E195" s="422"/>
      <c r="F195" s="610"/>
      <c r="G195" s="235"/>
      <c r="H195" s="422" t="s">
        <v>638</v>
      </c>
      <c r="I195" s="234" t="s">
        <v>836</v>
      </c>
      <c r="J195" s="1213">
        <v>2</v>
      </c>
      <c r="K195" s="699" t="s">
        <v>1023</v>
      </c>
      <c r="L195" s="1251"/>
      <c r="M195" s="842"/>
      <c r="N195" s="842"/>
      <c r="O195" s="844"/>
      <c r="P195" s="848"/>
      <c r="Q195" s="845"/>
      <c r="R195" s="1199"/>
      <c r="S195" s="844"/>
      <c r="T195" s="842"/>
      <c r="U195" s="842"/>
      <c r="V195" s="842"/>
      <c r="W195" s="849"/>
      <c r="X195" s="767"/>
      <c r="Y195" s="842"/>
      <c r="Z195" s="422"/>
    </row>
    <row r="196" spans="1:26" s="225" customFormat="1" ht="15" customHeight="1" x14ac:dyDescent="0.2">
      <c r="A196" s="1393" t="s">
        <v>881</v>
      </c>
      <c r="B196" s="1218">
        <v>824</v>
      </c>
      <c r="C196" s="609" t="s">
        <v>386</v>
      </c>
      <c r="D196" s="611" t="s">
        <v>1724</v>
      </c>
      <c r="E196" s="422"/>
      <c r="F196" s="610"/>
      <c r="G196" s="235"/>
      <c r="H196" s="422" t="s">
        <v>638</v>
      </c>
      <c r="I196" s="234" t="s">
        <v>836</v>
      </c>
      <c r="J196" s="1213">
        <v>2</v>
      </c>
      <c r="K196" s="699" t="s">
        <v>1023</v>
      </c>
      <c r="L196" s="1251"/>
      <c r="M196" s="842"/>
      <c r="N196" s="842"/>
      <c r="O196" s="844"/>
      <c r="P196" s="848"/>
      <c r="Q196" s="845"/>
      <c r="R196" s="1199"/>
      <c r="S196" s="844"/>
      <c r="T196" s="842"/>
      <c r="U196" s="842"/>
      <c r="V196" s="842"/>
      <c r="W196" s="849"/>
      <c r="X196" s="767"/>
      <c r="Y196" s="842"/>
      <c r="Z196" s="422"/>
    </row>
    <row r="197" spans="1:26" s="225" customFormat="1" ht="15" customHeight="1" x14ac:dyDescent="0.2">
      <c r="A197" s="1393" t="s">
        <v>881</v>
      </c>
      <c r="B197" s="1218">
        <v>826</v>
      </c>
      <c r="C197" s="609" t="s">
        <v>387</v>
      </c>
      <c r="D197" s="611" t="s">
        <v>1724</v>
      </c>
      <c r="E197" s="422"/>
      <c r="F197" s="610"/>
      <c r="G197" s="235"/>
      <c r="H197" s="422" t="s">
        <v>419</v>
      </c>
      <c r="I197" s="234" t="s">
        <v>836</v>
      </c>
      <c r="J197" s="1213">
        <v>5</v>
      </c>
      <c r="K197" s="699" t="s">
        <v>1023</v>
      </c>
      <c r="L197" s="1251"/>
      <c r="M197" s="842"/>
      <c r="N197" s="842"/>
      <c r="O197" s="844"/>
      <c r="P197" s="848"/>
      <c r="Q197" s="845"/>
      <c r="R197" s="1199"/>
      <c r="S197" s="844"/>
      <c r="T197" s="842"/>
      <c r="U197" s="842"/>
      <c r="V197" s="842"/>
      <c r="W197" s="849"/>
      <c r="X197" s="767"/>
      <c r="Y197" s="842"/>
      <c r="Z197" s="422"/>
    </row>
    <row r="198" spans="1:26" s="225" customFormat="1" ht="15" customHeight="1" x14ac:dyDescent="0.2">
      <c r="A198" s="1393" t="s">
        <v>881</v>
      </c>
      <c r="B198" s="1218">
        <v>828</v>
      </c>
      <c r="C198" s="609" t="s">
        <v>388</v>
      </c>
      <c r="D198" s="611" t="s">
        <v>1724</v>
      </c>
      <c r="E198" s="422"/>
      <c r="F198" s="610"/>
      <c r="G198" s="235"/>
      <c r="H198" s="422" t="s">
        <v>637</v>
      </c>
      <c r="I198" s="234" t="s">
        <v>836</v>
      </c>
      <c r="J198" s="1213">
        <v>2</v>
      </c>
      <c r="K198" s="699" t="s">
        <v>1023</v>
      </c>
      <c r="L198" s="1251"/>
      <c r="M198" s="842"/>
      <c r="N198" s="842"/>
      <c r="O198" s="844"/>
      <c r="P198" s="848"/>
      <c r="Q198" s="845"/>
      <c r="R198" s="1199"/>
      <c r="S198" s="844"/>
      <c r="T198" s="842"/>
      <c r="U198" s="842"/>
      <c r="V198" s="842"/>
      <c r="W198" s="849"/>
      <c r="X198" s="767"/>
      <c r="Y198" s="842"/>
      <c r="Z198" s="422"/>
    </row>
    <row r="199" spans="1:26" s="225" customFormat="1" ht="15" customHeight="1" x14ac:dyDescent="0.2">
      <c r="A199" s="1393" t="s">
        <v>881</v>
      </c>
      <c r="B199" s="1218">
        <v>830</v>
      </c>
      <c r="C199" s="609" t="s">
        <v>1727</v>
      </c>
      <c r="D199" s="611" t="s">
        <v>1724</v>
      </c>
      <c r="E199" s="422"/>
      <c r="F199" s="610"/>
      <c r="G199" s="235"/>
      <c r="H199" s="422" t="s">
        <v>637</v>
      </c>
      <c r="I199" s="234" t="s">
        <v>836</v>
      </c>
      <c r="J199" s="1213">
        <v>1</v>
      </c>
      <c r="K199" s="699" t="s">
        <v>1023</v>
      </c>
      <c r="L199" s="1251"/>
      <c r="M199" s="842"/>
      <c r="N199" s="842"/>
      <c r="O199" s="844"/>
      <c r="P199" s="848"/>
      <c r="Q199" s="845"/>
      <c r="R199" s="1199"/>
      <c r="S199" s="844"/>
      <c r="T199" s="842"/>
      <c r="U199" s="842"/>
      <c r="V199" s="842"/>
      <c r="W199" s="849"/>
      <c r="X199" s="767"/>
      <c r="Y199" s="842"/>
      <c r="Z199" s="422" t="s">
        <v>1726</v>
      </c>
    </row>
    <row r="200" spans="1:26" s="225" customFormat="1" ht="15" customHeight="1" x14ac:dyDescent="0.2">
      <c r="A200" s="1393" t="s">
        <v>887</v>
      </c>
      <c r="B200" s="1218">
        <v>804</v>
      </c>
      <c r="C200" s="609" t="s">
        <v>389</v>
      </c>
      <c r="D200" s="611" t="s">
        <v>1724</v>
      </c>
      <c r="E200" s="422"/>
      <c r="F200" s="610"/>
      <c r="G200" s="235"/>
      <c r="H200" s="422" t="s">
        <v>639</v>
      </c>
      <c r="I200" s="234" t="s">
        <v>836</v>
      </c>
      <c r="J200" s="1213">
        <v>1</v>
      </c>
      <c r="K200" s="699" t="s">
        <v>1023</v>
      </c>
      <c r="L200" s="1251"/>
      <c r="M200" s="842"/>
      <c r="N200" s="842"/>
      <c r="O200" s="844"/>
      <c r="P200" s="848"/>
      <c r="Q200" s="845"/>
      <c r="R200" s="1199"/>
      <c r="S200" s="844"/>
      <c r="T200" s="842"/>
      <c r="U200" s="842"/>
      <c r="V200" s="842"/>
      <c r="W200" s="849"/>
      <c r="X200" s="767"/>
      <c r="Y200" s="842"/>
      <c r="Z200" s="422"/>
    </row>
    <row r="201" spans="1:26" s="225" customFormat="1" ht="15" customHeight="1" x14ac:dyDescent="0.2">
      <c r="A201" s="1393" t="s">
        <v>887</v>
      </c>
      <c r="B201" s="1218">
        <v>824</v>
      </c>
      <c r="C201" s="609" t="s">
        <v>390</v>
      </c>
      <c r="D201" s="611" t="s">
        <v>1724</v>
      </c>
      <c r="E201" s="422"/>
      <c r="F201" s="610"/>
      <c r="G201" s="235"/>
      <c r="H201" s="422" t="s">
        <v>638</v>
      </c>
      <c r="I201" s="234" t="s">
        <v>836</v>
      </c>
      <c r="J201" s="1213">
        <v>1</v>
      </c>
      <c r="K201" s="699" t="s">
        <v>1023</v>
      </c>
      <c r="L201" s="1251"/>
      <c r="M201" s="842"/>
      <c r="N201" s="842"/>
      <c r="O201" s="844"/>
      <c r="P201" s="848"/>
      <c r="Q201" s="845"/>
      <c r="R201" s="1199"/>
      <c r="S201" s="844"/>
      <c r="T201" s="842"/>
      <c r="U201" s="842"/>
      <c r="V201" s="842"/>
      <c r="W201" s="849"/>
      <c r="X201" s="767"/>
      <c r="Y201" s="842"/>
      <c r="Z201" s="422"/>
    </row>
    <row r="202" spans="1:26" s="225" customFormat="1" ht="15" customHeight="1" x14ac:dyDescent="0.2">
      <c r="A202" s="1393" t="s">
        <v>887</v>
      </c>
      <c r="B202" s="1218">
        <v>826</v>
      </c>
      <c r="C202" s="609" t="s">
        <v>392</v>
      </c>
      <c r="D202" s="611" t="s">
        <v>1724</v>
      </c>
      <c r="E202" s="422"/>
      <c r="F202" s="610" t="s">
        <v>1728</v>
      </c>
      <c r="G202" s="235"/>
      <c r="H202" s="422" t="s">
        <v>29</v>
      </c>
      <c r="I202" s="234" t="s">
        <v>836</v>
      </c>
      <c r="J202" s="1213">
        <v>1</v>
      </c>
      <c r="K202" s="699">
        <v>305000</v>
      </c>
      <c r="L202" s="1253">
        <v>2010</v>
      </c>
      <c r="M202" s="238">
        <f>K202</f>
        <v>305000</v>
      </c>
      <c r="N202" s="1159" t="s">
        <v>767</v>
      </c>
      <c r="O202" s="460">
        <v>235803</v>
      </c>
      <c r="P202" s="1349" t="s">
        <v>287</v>
      </c>
      <c r="Q202" s="1350">
        <v>0.6</v>
      </c>
      <c r="R202" s="1351">
        <v>3</v>
      </c>
      <c r="S202" s="460">
        <f ca="1">IF(N202&lt;&gt;"",VLOOKUP(N202,INDIRECT(LU_SENS),2,FALSE),"")</f>
        <v>235125.15599999999</v>
      </c>
      <c r="T202" s="239">
        <f ca="1">S202/O202</f>
        <v>0.9971253800842228</v>
      </c>
      <c r="U202" s="238">
        <f ca="1">M202*T202^Q202</f>
        <v>304473.64170709753</v>
      </c>
      <c r="V202" s="238">
        <f ca="1">U202*VLOOKUP(DCFROR!$B$34,INDIRECT(IX_CAP),4,FALSE)/VLOOKUP(L202,INDIRECT(IX_CAP),4,FALSE)</f>
        <v>299443.30376313505</v>
      </c>
      <c r="W202" s="676">
        <f ca="1">V202*R202</f>
        <v>898329.91128940508</v>
      </c>
      <c r="X202" s="766"/>
      <c r="Y202" s="238" t="s">
        <v>2275</v>
      </c>
      <c r="Z202" s="422"/>
    </row>
    <row r="203" spans="1:26" s="225" customFormat="1" ht="15" customHeight="1" x14ac:dyDescent="0.2">
      <c r="A203" s="1393" t="s">
        <v>887</v>
      </c>
      <c r="B203" s="1218">
        <v>828</v>
      </c>
      <c r="C203" s="609" t="s">
        <v>393</v>
      </c>
      <c r="D203" s="611" t="s">
        <v>1724</v>
      </c>
      <c r="E203" s="422"/>
      <c r="F203" s="610"/>
      <c r="G203" s="235"/>
      <c r="H203" s="422" t="s">
        <v>637</v>
      </c>
      <c r="I203" s="234" t="s">
        <v>836</v>
      </c>
      <c r="J203" s="1213">
        <v>1</v>
      </c>
      <c r="K203" s="699" t="s">
        <v>1023</v>
      </c>
      <c r="L203" s="1251"/>
      <c r="M203" s="842"/>
      <c r="N203" s="842"/>
      <c r="O203" s="844"/>
      <c r="P203" s="848"/>
      <c r="Q203" s="845"/>
      <c r="R203" s="1199"/>
      <c r="S203" s="844"/>
      <c r="T203" s="842"/>
      <c r="U203" s="842"/>
      <c r="V203" s="842"/>
      <c r="W203" s="849"/>
      <c r="X203" s="767"/>
      <c r="Y203" s="842"/>
      <c r="Z203" s="422"/>
    </row>
    <row r="204" spans="1:26" s="225" customFormat="1" ht="15" customHeight="1" x14ac:dyDescent="0.2">
      <c r="A204" s="1393" t="s">
        <v>887</v>
      </c>
      <c r="B204" s="1218">
        <v>830</v>
      </c>
      <c r="C204" s="609" t="s">
        <v>1729</v>
      </c>
      <c r="D204" s="611" t="s">
        <v>1724</v>
      </c>
      <c r="E204" s="422"/>
      <c r="F204" s="610"/>
      <c r="G204" s="235"/>
      <c r="H204" s="422" t="s">
        <v>419</v>
      </c>
      <c r="I204" s="234" t="s">
        <v>836</v>
      </c>
      <c r="J204" s="1213">
        <v>1</v>
      </c>
      <c r="K204" s="699" t="s">
        <v>1023</v>
      </c>
      <c r="L204" s="1251"/>
      <c r="M204" s="842"/>
      <c r="N204" s="842"/>
      <c r="O204" s="844"/>
      <c r="P204" s="848"/>
      <c r="Q204" s="845"/>
      <c r="R204" s="1199"/>
      <c r="S204" s="844"/>
      <c r="T204" s="842"/>
      <c r="U204" s="842"/>
      <c r="V204" s="842"/>
      <c r="W204" s="849"/>
      <c r="X204" s="767"/>
      <c r="Y204" s="842"/>
      <c r="Z204" s="422" t="s">
        <v>1726</v>
      </c>
    </row>
    <row r="205" spans="1:26" s="225" customFormat="1" ht="15" customHeight="1" thickBot="1" x14ac:dyDescent="0.25">
      <c r="A205" s="1394"/>
      <c r="B205" s="1219"/>
      <c r="C205" s="678"/>
      <c r="D205" s="680"/>
      <c r="E205" s="679"/>
      <c r="F205" s="679"/>
      <c r="G205" s="681"/>
      <c r="H205" s="679"/>
      <c r="I205" s="682"/>
      <c r="J205" s="1202"/>
      <c r="K205" s="704"/>
      <c r="L205" s="1252"/>
      <c r="M205" s="677"/>
      <c r="N205" s="682"/>
      <c r="O205" s="1202"/>
      <c r="P205" s="688"/>
      <c r="Q205" s="1195"/>
      <c r="R205" s="1198"/>
      <c r="S205" s="687"/>
      <c r="T205" s="707" t="s">
        <v>2159</v>
      </c>
      <c r="U205" s="683">
        <f ca="1">SUM(U183:U204)</f>
        <v>38111487.180792823</v>
      </c>
      <c r="V205" s="677">
        <f ca="1">SUM(V183:V204)</f>
        <v>37483981.403027058</v>
      </c>
      <c r="W205" s="685">
        <f ca="1">SUM(W183:W204)</f>
        <v>67846890.890681848</v>
      </c>
      <c r="X205" s="768">
        <f ca="1">W205/V205</f>
        <v>1.8100235981123074</v>
      </c>
      <c r="Y205" s="842"/>
      <c r="Z205" s="423"/>
    </row>
    <row r="206" spans="1:26" s="225" customFormat="1" ht="15" customHeight="1" x14ac:dyDescent="0.2">
      <c r="A206" s="1392" t="s">
        <v>837</v>
      </c>
      <c r="B206" s="1217">
        <v>902</v>
      </c>
      <c r="C206" s="606" t="s">
        <v>395</v>
      </c>
      <c r="D206" s="708" t="s">
        <v>971</v>
      </c>
      <c r="E206" s="421"/>
      <c r="F206" s="1373" t="s">
        <v>2718</v>
      </c>
      <c r="G206" s="710" t="s">
        <v>2719</v>
      </c>
      <c r="H206" s="421" t="s">
        <v>28</v>
      </c>
      <c r="I206" s="711"/>
      <c r="J206" s="1212">
        <v>1</v>
      </c>
      <c r="K206" s="698">
        <v>1375000</v>
      </c>
      <c r="L206" s="1352">
        <v>2010</v>
      </c>
      <c r="M206" s="674">
        <f>K206</f>
        <v>1375000</v>
      </c>
      <c r="N206" s="1353" t="s">
        <v>1751</v>
      </c>
      <c r="O206" s="1365">
        <f>44200*60*3.785</f>
        <v>10037820</v>
      </c>
      <c r="P206" s="1366" t="s">
        <v>287</v>
      </c>
      <c r="Q206" s="1356">
        <v>0.6</v>
      </c>
      <c r="R206" s="1357">
        <v>1.5</v>
      </c>
      <c r="S206" s="705">
        <f t="shared" ref="S206:S215" ca="1" si="56">IF(N206&lt;&gt;"",VLOOKUP(N206,INDIRECT(LU_SENS),2,FALSE),"")</f>
        <v>11106722.800000001</v>
      </c>
      <c r="T206" s="706">
        <f t="shared" ref="T206:T215" ca="1" si="57">S206/O206</f>
        <v>1.106487544108183</v>
      </c>
      <c r="U206" s="674">
        <f t="shared" ref="U206:U215" ca="1" si="58">M206*T206^Q206</f>
        <v>1461068.6282966456</v>
      </c>
      <c r="V206" s="674">
        <f ca="1">U206*VLOOKUP(DCFROR!$B$34,INDIRECT(IX_CAP),4,FALSE)/VLOOKUP(L206,INDIRECT(IX_CAP),4,FALSE)</f>
        <v>1436929.6948952307</v>
      </c>
      <c r="W206" s="675">
        <f t="shared" ref="W206:W215" ca="1" si="59">V206*R206</f>
        <v>2155394.5423428463</v>
      </c>
      <c r="X206" s="766"/>
      <c r="Y206" s="238" t="s">
        <v>2276</v>
      </c>
      <c r="Z206" s="422" t="s">
        <v>972</v>
      </c>
    </row>
    <row r="207" spans="1:26" s="225" customFormat="1" ht="15" customHeight="1" x14ac:dyDescent="0.2">
      <c r="A207" s="1393" t="s">
        <v>837</v>
      </c>
      <c r="B207" s="1218">
        <v>904</v>
      </c>
      <c r="C207" s="609" t="s">
        <v>396</v>
      </c>
      <c r="D207" s="611" t="s">
        <v>1061</v>
      </c>
      <c r="E207" s="422" t="s">
        <v>1062</v>
      </c>
      <c r="F207" s="1373" t="s">
        <v>2720</v>
      </c>
      <c r="G207" s="235" t="s">
        <v>973</v>
      </c>
      <c r="H207" s="422" t="s">
        <v>163</v>
      </c>
      <c r="I207" s="234" t="s">
        <v>882</v>
      </c>
      <c r="J207" s="1213">
        <v>1</v>
      </c>
      <c r="K207" s="699">
        <v>28000</v>
      </c>
      <c r="L207" s="1253">
        <v>2010</v>
      </c>
      <c r="M207" s="238">
        <f t="shared" ref="M207:M214" si="60">K207</f>
        <v>28000</v>
      </c>
      <c r="N207" s="1159" t="s">
        <v>2370</v>
      </c>
      <c r="O207" s="460">
        <v>83333</v>
      </c>
      <c r="P207" s="1349" t="s">
        <v>287</v>
      </c>
      <c r="Q207" s="1350">
        <v>0.6</v>
      </c>
      <c r="R207" s="1351">
        <v>1.6</v>
      </c>
      <c r="S207" s="460">
        <f t="shared" ca="1" si="56"/>
        <v>83333.333299999998</v>
      </c>
      <c r="T207" s="239">
        <f t="shared" ca="1" si="57"/>
        <v>1.0000039996159984</v>
      </c>
      <c r="U207" s="238">
        <f t="shared" ca="1" si="58"/>
        <v>28000.067193495026</v>
      </c>
      <c r="V207" s="238">
        <f ca="1">U207*VLOOKUP(DCFROR!$B$34,INDIRECT(IX_CAP),4,FALSE)/VLOOKUP(L207,INDIRECT(IX_CAP),4,FALSE)</f>
        <v>27537.466228606132</v>
      </c>
      <c r="W207" s="676">
        <f t="shared" ca="1" si="59"/>
        <v>44059.945965769817</v>
      </c>
      <c r="X207" s="766"/>
      <c r="Y207" s="238" t="s">
        <v>2260</v>
      </c>
      <c r="Z207" s="422" t="s">
        <v>1063</v>
      </c>
    </row>
    <row r="208" spans="1:26" s="225" customFormat="1" ht="15" customHeight="1" x14ac:dyDescent="0.2">
      <c r="A208" s="1393" t="s">
        <v>837</v>
      </c>
      <c r="B208" s="1218">
        <v>908</v>
      </c>
      <c r="C208" s="609" t="s">
        <v>430</v>
      </c>
      <c r="D208" s="611" t="s">
        <v>1730</v>
      </c>
      <c r="E208" s="422"/>
      <c r="F208" s="1373" t="s">
        <v>2721</v>
      </c>
      <c r="G208" s="235" t="s">
        <v>2722</v>
      </c>
      <c r="H208" s="422"/>
      <c r="I208" s="234" t="s">
        <v>882</v>
      </c>
      <c r="J208" s="1213">
        <v>1</v>
      </c>
      <c r="K208" s="699">
        <v>1275750</v>
      </c>
      <c r="L208" s="1253">
        <v>2010</v>
      </c>
      <c r="M208" s="238">
        <f>K208</f>
        <v>1275750</v>
      </c>
      <c r="N208" s="1159" t="s">
        <v>1096</v>
      </c>
      <c r="O208" s="460">
        <v>14.2</v>
      </c>
      <c r="P208" s="1349" t="s">
        <v>3079</v>
      </c>
      <c r="Q208" s="1350">
        <v>0.6</v>
      </c>
      <c r="R208" s="1351">
        <v>1.6</v>
      </c>
      <c r="S208" s="460">
        <f t="shared" ca="1" si="56"/>
        <v>13.220241100000001</v>
      </c>
      <c r="T208" s="239">
        <f ca="1">S208/O208</f>
        <v>0.93100289436619732</v>
      </c>
      <c r="U208" s="238">
        <f t="shared" ca="1" si="58"/>
        <v>1222182.8792790861</v>
      </c>
      <c r="V208" s="238">
        <f ca="1">U208*VLOOKUP(DCFROR!$B$34,INDIRECT(IX_CAP),4,FALSE)/VLOOKUP(L208,INDIRECT(IX_CAP),4,FALSE)</f>
        <v>1201990.6784776344</v>
      </c>
      <c r="W208" s="676">
        <f ca="1">V208*R208</f>
        <v>1923185.0855642152</v>
      </c>
      <c r="X208" s="766"/>
      <c r="Y208" s="238" t="s">
        <v>2260</v>
      </c>
      <c r="Z208" s="422" t="s">
        <v>1731</v>
      </c>
    </row>
    <row r="209" spans="1:26" s="225" customFormat="1" ht="15" customHeight="1" x14ac:dyDescent="0.2">
      <c r="A209" s="1393" t="s">
        <v>837</v>
      </c>
      <c r="B209" s="1218">
        <v>910</v>
      </c>
      <c r="C209" s="609" t="s">
        <v>636</v>
      </c>
      <c r="D209" s="611"/>
      <c r="E209" s="422"/>
      <c r="F209" s="610" t="s">
        <v>1732</v>
      </c>
      <c r="G209" s="235"/>
      <c r="H209" s="422" t="s">
        <v>1733</v>
      </c>
      <c r="I209" s="234" t="s">
        <v>882</v>
      </c>
      <c r="J209" s="1213">
        <v>1</v>
      </c>
      <c r="K209" s="699">
        <v>421000</v>
      </c>
      <c r="L209" s="1253">
        <v>2009</v>
      </c>
      <c r="M209" s="238">
        <f>K209</f>
        <v>421000</v>
      </c>
      <c r="N209" s="1159" t="s">
        <v>1079</v>
      </c>
      <c r="O209" s="460">
        <v>63</v>
      </c>
      <c r="P209" s="1349" t="s">
        <v>287</v>
      </c>
      <c r="Q209" s="1350">
        <v>0.6</v>
      </c>
      <c r="R209" s="1351">
        <v>1.8</v>
      </c>
      <c r="S209" s="460">
        <f t="shared" ca="1" si="56"/>
        <v>145</v>
      </c>
      <c r="T209" s="239">
        <f t="shared" ca="1" si="57"/>
        <v>2.3015873015873014</v>
      </c>
      <c r="U209" s="238">
        <f t="shared" ca="1" si="58"/>
        <v>694222.31185777427</v>
      </c>
      <c r="V209" s="238">
        <f ca="1">U209*VLOOKUP(DCFROR!$B$34,INDIRECT(IX_CAP),4,FALSE)/VLOOKUP(L209,INDIRECT(IX_CAP),4,FALSE)</f>
        <v>720559.92782785289</v>
      </c>
      <c r="W209" s="676">
        <f t="shared" ca="1" si="59"/>
        <v>1297007.8700901351</v>
      </c>
      <c r="X209" s="766"/>
      <c r="Y209" s="238" t="s">
        <v>2253</v>
      </c>
      <c r="Z209" s="422"/>
    </row>
    <row r="210" spans="1:26" s="225" customFormat="1" ht="15" customHeight="1" x14ac:dyDescent="0.2">
      <c r="A210" s="1393" t="s">
        <v>881</v>
      </c>
      <c r="B210" s="1218">
        <v>902</v>
      </c>
      <c r="C210" s="609" t="s">
        <v>422</v>
      </c>
      <c r="D210" s="611" t="s">
        <v>991</v>
      </c>
      <c r="E210" s="633" t="s">
        <v>1064</v>
      </c>
      <c r="F210" s="610" t="s">
        <v>2723</v>
      </c>
      <c r="G210" s="1374">
        <v>500</v>
      </c>
      <c r="H210" s="422" t="s">
        <v>637</v>
      </c>
      <c r="I210" s="234" t="s">
        <v>882</v>
      </c>
      <c r="J210" s="1213">
        <v>3</v>
      </c>
      <c r="K210" s="699">
        <f>94557*3</f>
        <v>283671</v>
      </c>
      <c r="L210" s="1253">
        <v>2010</v>
      </c>
      <c r="M210" s="238">
        <f t="shared" si="60"/>
        <v>283671</v>
      </c>
      <c r="N210" s="1159" t="s">
        <v>1751</v>
      </c>
      <c r="O210" s="1363">
        <f>16120*60*3.785*3</f>
        <v>10982556</v>
      </c>
      <c r="P210" s="1359" t="s">
        <v>287</v>
      </c>
      <c r="Q210" s="1350">
        <v>0.8</v>
      </c>
      <c r="R210" s="1351">
        <v>3.1</v>
      </c>
      <c r="S210" s="460">
        <f t="shared" ca="1" si="56"/>
        <v>11106722.800000001</v>
      </c>
      <c r="T210" s="239">
        <f t="shared" ca="1" si="57"/>
        <v>1.0113058198838232</v>
      </c>
      <c r="U210" s="238">
        <f t="shared" ca="1" si="58"/>
        <v>286233.81888127746</v>
      </c>
      <c r="V210" s="238">
        <f ca="1">U210*VLOOKUP(DCFROR!$B$34,INDIRECT(IX_CAP),4,FALSE)/VLOOKUP(L210,INDIRECT(IX_CAP),4,FALSE)</f>
        <v>281504.82877267251</v>
      </c>
      <c r="W210" s="676">
        <f t="shared" ca="1" si="59"/>
        <v>872664.96919528476</v>
      </c>
      <c r="X210" s="766"/>
      <c r="Y210" s="238" t="s">
        <v>2265</v>
      </c>
      <c r="Z210" s="422"/>
    </row>
    <row r="211" spans="1:26" s="225" customFormat="1" ht="15" customHeight="1" x14ac:dyDescent="0.2">
      <c r="A211" s="1393" t="s">
        <v>881</v>
      </c>
      <c r="B211" s="1218">
        <v>912</v>
      </c>
      <c r="C211" s="609" t="s">
        <v>397</v>
      </c>
      <c r="D211" s="611" t="s">
        <v>991</v>
      </c>
      <c r="E211" s="634" t="s">
        <v>1065</v>
      </c>
      <c r="F211" s="610" t="s">
        <v>2724</v>
      </c>
      <c r="G211" s="1374">
        <v>20</v>
      </c>
      <c r="H211" s="422" t="s">
        <v>637</v>
      </c>
      <c r="I211" s="234" t="s">
        <v>882</v>
      </c>
      <c r="J211" s="1213">
        <v>1</v>
      </c>
      <c r="K211" s="699">
        <v>6864</v>
      </c>
      <c r="L211" s="1253">
        <v>2010</v>
      </c>
      <c r="M211" s="238">
        <f t="shared" si="60"/>
        <v>6864</v>
      </c>
      <c r="N211" s="1159" t="s">
        <v>1080</v>
      </c>
      <c r="O211" s="1363">
        <f>685*60*3.785</f>
        <v>155563.5</v>
      </c>
      <c r="P211" s="1359" t="s">
        <v>287</v>
      </c>
      <c r="Q211" s="1350">
        <v>0.8</v>
      </c>
      <c r="R211" s="1351">
        <v>3.1</v>
      </c>
      <c r="S211" s="460">
        <f t="shared" ca="1" si="56"/>
        <v>147722.20199999999</v>
      </c>
      <c r="T211" s="239">
        <f t="shared" ca="1" si="57"/>
        <v>0.94959423000896737</v>
      </c>
      <c r="U211" s="238">
        <f t="shared" ca="1" si="58"/>
        <v>6585.7877279528639</v>
      </c>
      <c r="V211" s="238">
        <f ca="1">U211*VLOOKUP(DCFROR!$B$34,INDIRECT(IX_CAP),4,FALSE)/VLOOKUP(L211,INDIRECT(IX_CAP),4,FALSE)</f>
        <v>6476.9811405810951</v>
      </c>
      <c r="W211" s="676">
        <f t="shared" ca="1" si="59"/>
        <v>20078.641535801395</v>
      </c>
      <c r="X211" s="766"/>
      <c r="Y211" s="238" t="s">
        <v>2265</v>
      </c>
      <c r="Z211" s="422"/>
    </row>
    <row r="212" spans="1:26" s="225" customFormat="1" ht="15" customHeight="1" x14ac:dyDescent="0.2">
      <c r="A212" s="1393" t="s">
        <v>881</v>
      </c>
      <c r="B212" s="1218">
        <v>914</v>
      </c>
      <c r="C212" s="609" t="s">
        <v>398</v>
      </c>
      <c r="D212" s="611" t="s">
        <v>991</v>
      </c>
      <c r="E212" s="422" t="s">
        <v>1003</v>
      </c>
      <c r="F212" s="610" t="s">
        <v>2725</v>
      </c>
      <c r="G212" s="1374">
        <v>75</v>
      </c>
      <c r="H212" s="422" t="s">
        <v>637</v>
      </c>
      <c r="I212" s="234" t="s">
        <v>882</v>
      </c>
      <c r="J212" s="1213">
        <v>1</v>
      </c>
      <c r="K212" s="699">
        <v>15292</v>
      </c>
      <c r="L212" s="1253">
        <v>2010</v>
      </c>
      <c r="M212" s="238">
        <f t="shared" si="60"/>
        <v>15292</v>
      </c>
      <c r="N212" s="1159" t="s">
        <v>1081</v>
      </c>
      <c r="O212" s="1363">
        <f>2285*60*3.785</f>
        <v>518923.5</v>
      </c>
      <c r="P212" s="1359" t="s">
        <v>287</v>
      </c>
      <c r="Q212" s="1350">
        <v>0.8</v>
      </c>
      <c r="R212" s="1351">
        <v>3.1</v>
      </c>
      <c r="S212" s="460">
        <f t="shared" ca="1" si="56"/>
        <v>523461.20899999997</v>
      </c>
      <c r="T212" s="239">
        <f t="shared" ca="1" si="57"/>
        <v>1.0087444661881761</v>
      </c>
      <c r="U212" s="238">
        <f t="shared" ca="1" si="58"/>
        <v>15398.88308213024</v>
      </c>
      <c r="V212" s="238">
        <f ca="1">U212*VLOOKUP(DCFROR!$B$34,INDIRECT(IX_CAP),4,FALSE)/VLOOKUP(L212,INDIRECT(IX_CAP),4,FALSE)</f>
        <v>15144.471615087059</v>
      </c>
      <c r="W212" s="676">
        <f t="shared" ca="1" si="59"/>
        <v>46947.862006769887</v>
      </c>
      <c r="X212" s="766"/>
      <c r="Y212" s="238" t="s">
        <v>2265</v>
      </c>
      <c r="Z212" s="422"/>
    </row>
    <row r="213" spans="1:26" s="225" customFormat="1" ht="15" customHeight="1" x14ac:dyDescent="0.2">
      <c r="A213" s="1393" t="s">
        <v>911</v>
      </c>
      <c r="B213" s="1218">
        <v>904</v>
      </c>
      <c r="C213" s="609" t="s">
        <v>399</v>
      </c>
      <c r="D213" s="611" t="s">
        <v>1066</v>
      </c>
      <c r="E213" s="422" t="s">
        <v>1067</v>
      </c>
      <c r="F213" s="610" t="s">
        <v>1068</v>
      </c>
      <c r="G213" s="235"/>
      <c r="H213" s="422" t="s">
        <v>637</v>
      </c>
      <c r="I213" s="234" t="s">
        <v>882</v>
      </c>
      <c r="J213" s="1213">
        <v>1</v>
      </c>
      <c r="K213" s="699">
        <v>15000</v>
      </c>
      <c r="L213" s="1253">
        <v>2009</v>
      </c>
      <c r="M213" s="238">
        <f t="shared" si="60"/>
        <v>15000</v>
      </c>
      <c r="N213" s="1159" t="s">
        <v>2370</v>
      </c>
      <c r="O213" s="460">
        <v>83333</v>
      </c>
      <c r="P213" s="1349" t="s">
        <v>287</v>
      </c>
      <c r="Q213" s="1350">
        <v>0.6</v>
      </c>
      <c r="R213" s="1351">
        <v>1.8</v>
      </c>
      <c r="S213" s="460">
        <f t="shared" ca="1" si="56"/>
        <v>83333.333299999998</v>
      </c>
      <c r="T213" s="239">
        <f t="shared" ca="1" si="57"/>
        <v>1.0000039996159984</v>
      </c>
      <c r="U213" s="238">
        <f t="shared" ca="1" si="58"/>
        <v>15000.035996515191</v>
      </c>
      <c r="V213" s="238">
        <f ca="1">U213*VLOOKUP(DCFROR!$B$34,INDIRECT(IX_CAP),4,FALSE)/VLOOKUP(L213,INDIRECT(IX_CAP),4,FALSE)</f>
        <v>15569.11189751347</v>
      </c>
      <c r="W213" s="676">
        <f t="shared" ca="1" si="59"/>
        <v>28024.401415524248</v>
      </c>
      <c r="X213" s="766"/>
      <c r="Y213" s="238" t="s">
        <v>2253</v>
      </c>
      <c r="Z213" s="422" t="s">
        <v>1069</v>
      </c>
    </row>
    <row r="214" spans="1:26" s="225" customFormat="1" ht="15" customHeight="1" x14ac:dyDescent="0.2">
      <c r="A214" s="1393" t="s">
        <v>887</v>
      </c>
      <c r="B214" s="1218">
        <v>904</v>
      </c>
      <c r="C214" s="609" t="s">
        <v>400</v>
      </c>
      <c r="D214" s="611" t="s">
        <v>1061</v>
      </c>
      <c r="E214" s="422"/>
      <c r="F214" s="610" t="s">
        <v>1070</v>
      </c>
      <c r="G214" s="235"/>
      <c r="H214" s="422" t="s">
        <v>637</v>
      </c>
      <c r="I214" s="234" t="s">
        <v>882</v>
      </c>
      <c r="J214" s="1213">
        <v>1</v>
      </c>
      <c r="K214" s="699">
        <v>16000</v>
      </c>
      <c r="L214" s="1253">
        <v>2009</v>
      </c>
      <c r="M214" s="238">
        <f t="shared" si="60"/>
        <v>16000</v>
      </c>
      <c r="N214" s="1159" t="s">
        <v>2370</v>
      </c>
      <c r="O214" s="460">
        <v>83333</v>
      </c>
      <c r="P214" s="1349" t="s">
        <v>287</v>
      </c>
      <c r="Q214" s="1350">
        <v>0.6</v>
      </c>
      <c r="R214" s="1351">
        <v>3.1</v>
      </c>
      <c r="S214" s="460">
        <f t="shared" ca="1" si="56"/>
        <v>83333.333299999998</v>
      </c>
      <c r="T214" s="239">
        <f t="shared" ca="1" si="57"/>
        <v>1.0000039996159984</v>
      </c>
      <c r="U214" s="238">
        <f t="shared" ca="1" si="58"/>
        <v>16000.038396282871</v>
      </c>
      <c r="V214" s="238">
        <f ca="1">U214*VLOOKUP(DCFROR!$B$34,INDIRECT(IX_CAP),4,FALSE)/VLOOKUP(L214,INDIRECT(IX_CAP),4,FALSE)</f>
        <v>16607.052690681034</v>
      </c>
      <c r="W214" s="676">
        <f t="shared" ca="1" si="59"/>
        <v>51481.86334111121</v>
      </c>
      <c r="X214" s="766"/>
      <c r="Y214" s="238" t="s">
        <v>2267</v>
      </c>
      <c r="Z214" s="422"/>
    </row>
    <row r="215" spans="1:26" s="225" customFormat="1" ht="15" customHeight="1" x14ac:dyDescent="0.2">
      <c r="A215" s="1393" t="s">
        <v>887</v>
      </c>
      <c r="B215" s="1218">
        <v>914</v>
      </c>
      <c r="C215" s="609" t="s">
        <v>1734</v>
      </c>
      <c r="D215" s="611"/>
      <c r="E215" s="422"/>
      <c r="F215" s="610" t="s">
        <v>1735</v>
      </c>
      <c r="G215" s="235"/>
      <c r="H215" s="422" t="s">
        <v>637</v>
      </c>
      <c r="I215" s="234" t="s">
        <v>882</v>
      </c>
      <c r="J215" s="1213">
        <v>1</v>
      </c>
      <c r="K215" s="699">
        <v>250000</v>
      </c>
      <c r="L215" s="1253">
        <v>2009</v>
      </c>
      <c r="M215" s="238">
        <f>K215</f>
        <v>250000</v>
      </c>
      <c r="N215" s="1159" t="s">
        <v>1081</v>
      </c>
      <c r="O215" s="1363">
        <v>451555</v>
      </c>
      <c r="P215" s="1359" t="s">
        <v>287</v>
      </c>
      <c r="Q215" s="1350">
        <v>0.7</v>
      </c>
      <c r="R215" s="1351">
        <v>1.7</v>
      </c>
      <c r="S215" s="460">
        <f t="shared" ca="1" si="56"/>
        <v>523461.20899999997</v>
      </c>
      <c r="T215" s="239">
        <f t="shared" ca="1" si="57"/>
        <v>1.1592413083677513</v>
      </c>
      <c r="U215" s="238">
        <f t="shared" ca="1" si="58"/>
        <v>277243.71045294247</v>
      </c>
      <c r="V215" s="238">
        <f ca="1">U215*VLOOKUP(DCFROR!$B$34,INDIRECT(IX_CAP),4,FALSE)/VLOOKUP(L215,INDIRECT(IX_CAP),4,FALSE)</f>
        <v>287761.86616661999</v>
      </c>
      <c r="W215" s="676">
        <f t="shared" ca="1" si="59"/>
        <v>489195.17248325399</v>
      </c>
      <c r="X215" s="766"/>
      <c r="Y215" s="238" t="s">
        <v>2266</v>
      </c>
      <c r="Z215" s="1488" t="s">
        <v>1736</v>
      </c>
    </row>
    <row r="216" spans="1:26" ht="15" customHeight="1" thickBot="1" x14ac:dyDescent="0.3">
      <c r="A216" s="1394"/>
      <c r="B216" s="1219"/>
      <c r="C216" s="678"/>
      <c r="D216" s="680"/>
      <c r="E216" s="679"/>
      <c r="F216" s="679"/>
      <c r="G216" s="681"/>
      <c r="H216" s="679"/>
      <c r="I216" s="682"/>
      <c r="J216" s="1202"/>
      <c r="K216" s="704"/>
      <c r="L216" s="1252"/>
      <c r="M216" s="677"/>
      <c r="N216" s="682"/>
      <c r="O216" s="1202"/>
      <c r="P216" s="688"/>
      <c r="Q216" s="1195"/>
      <c r="R216" s="1198" t="s">
        <v>268</v>
      </c>
      <c r="S216" s="687"/>
      <c r="T216" s="707" t="s">
        <v>2162</v>
      </c>
      <c r="U216" s="683">
        <f ca="1">SUM(U206:U215)</f>
        <v>4021936.1611641031</v>
      </c>
      <c r="V216" s="677">
        <f ca="1">SUM(V206:V215)</f>
        <v>4010082.0797124789</v>
      </c>
      <c r="W216" s="685">
        <f ca="1">SUM(W206:W215)</f>
        <v>6928040.3539407114</v>
      </c>
      <c r="X216" s="768">
        <f ca="1">W216/V216</f>
        <v>1.727655498372604</v>
      </c>
      <c r="Y216" s="1493"/>
      <c r="Z216" s="431"/>
    </row>
    <row r="217" spans="1:26" ht="15" customHeight="1" thickBot="1" x14ac:dyDescent="0.3">
      <c r="B217" s="1220"/>
      <c r="C217" s="425"/>
      <c r="D217" s="425"/>
      <c r="E217" s="425"/>
      <c r="F217" s="425"/>
      <c r="G217" s="425"/>
      <c r="H217" s="425"/>
      <c r="I217" s="425"/>
      <c r="J217" s="443"/>
      <c r="K217" s="425"/>
      <c r="Y217" s="767"/>
    </row>
    <row r="218" spans="1:26" ht="15" customHeight="1" thickBot="1" x14ac:dyDescent="0.3">
      <c r="B218" s="1220"/>
      <c r="C218" s="425"/>
      <c r="D218" s="425"/>
      <c r="E218" s="425"/>
      <c r="F218" s="425"/>
      <c r="G218" s="425"/>
      <c r="H218" s="425"/>
      <c r="I218" s="425"/>
      <c r="J218" s="443"/>
      <c r="K218" s="425"/>
      <c r="R218" s="1211"/>
      <c r="S218" s="714"/>
      <c r="T218" s="713" t="s">
        <v>2163</v>
      </c>
      <c r="U218" s="700">
        <f ca="1">U216+U205+U182+U163+U139+U105+U80+U54</f>
        <v>158496691.60048586</v>
      </c>
      <c r="V218" s="701">
        <f ca="1">V216+V205+V182+V163+V139+V105+V80+V54</f>
        <v>159177145.905655</v>
      </c>
      <c r="W218" s="702">
        <f ca="1">W216+W205+W182+W163+W139+W105+W80+W54</f>
        <v>239180924.03365904</v>
      </c>
      <c r="X218" s="768">
        <f ca="1">W218/V218</f>
        <v>1.502608447166295</v>
      </c>
      <c r="Y218" s="767"/>
    </row>
    <row r="219" spans="1:26" ht="15" customHeight="1" x14ac:dyDescent="0.25">
      <c r="B219" s="1220"/>
      <c r="C219" s="425"/>
      <c r="D219" s="425"/>
      <c r="E219" s="425"/>
      <c r="F219" s="425"/>
      <c r="G219" s="425"/>
      <c r="H219" s="425"/>
      <c r="I219" s="425"/>
      <c r="J219" s="443"/>
      <c r="K219" s="425"/>
    </row>
    <row r="220" spans="1:26" ht="15" customHeight="1" x14ac:dyDescent="0.25">
      <c r="B220" s="1220"/>
      <c r="C220" s="425"/>
      <c r="D220" s="425"/>
      <c r="E220" s="425"/>
      <c r="F220" s="425"/>
      <c r="G220" s="425"/>
      <c r="H220" s="425"/>
      <c r="I220" s="425"/>
      <c r="J220" s="443"/>
      <c r="K220" s="425"/>
    </row>
    <row r="221" spans="1:26" ht="15" customHeight="1" x14ac:dyDescent="0.25">
      <c r="B221" s="1220"/>
      <c r="C221" s="425"/>
      <c r="D221" s="425"/>
      <c r="E221" s="425"/>
      <c r="F221" s="425"/>
      <c r="G221" s="425"/>
      <c r="H221" s="425"/>
      <c r="I221" s="425"/>
      <c r="J221" s="443"/>
      <c r="K221" s="425"/>
      <c r="U221" s="689" t="s">
        <v>2100</v>
      </c>
      <c r="V221" s="690">
        <f ca="1">V216+V182+V139+V105+V80+V54</f>
        <v>70935343.408316076</v>
      </c>
      <c r="W221" s="690">
        <f ca="1">W216+W182+W139+W105+W80+W54</f>
        <v>120576212.04866534</v>
      </c>
      <c r="X221" s="690"/>
      <c r="Y221" s="690"/>
    </row>
    <row r="222" spans="1:26" ht="15" customHeight="1" x14ac:dyDescent="0.25">
      <c r="B222" s="1220"/>
      <c r="C222" s="425"/>
      <c r="D222" s="425"/>
      <c r="E222" s="425"/>
      <c r="F222" s="425"/>
      <c r="G222" s="425"/>
      <c r="H222" s="425"/>
      <c r="I222" s="425"/>
      <c r="J222" s="443"/>
      <c r="K222" s="425"/>
    </row>
    <row r="223" spans="1:26" ht="15" customHeight="1" thickBot="1" x14ac:dyDescent="0.3">
      <c r="B223" s="1220"/>
      <c r="C223" s="425"/>
      <c r="D223" s="425"/>
      <c r="E223" s="425"/>
      <c r="F223" s="425"/>
      <c r="G223" s="425"/>
      <c r="H223" s="425"/>
      <c r="I223" s="425"/>
      <c r="J223" s="443"/>
      <c r="K223" s="425"/>
      <c r="W223" s="691">
        <f ca="1">W221/V221</f>
        <v>1.6998044452200345</v>
      </c>
      <c r="X223" s="691"/>
      <c r="Y223" s="691"/>
    </row>
    <row r="224" spans="1:26" ht="13.8" thickBot="1" x14ac:dyDescent="0.3">
      <c r="B224" s="1220"/>
      <c r="C224" s="425"/>
      <c r="D224" s="425"/>
      <c r="E224" s="425"/>
      <c r="F224" s="425"/>
      <c r="G224" s="425"/>
      <c r="H224" s="425"/>
      <c r="I224" s="425"/>
      <c r="J224" s="443"/>
      <c r="K224" s="425"/>
      <c r="U224" s="700"/>
      <c r="V224" s="700">
        <f ca="1">V216+V205+V182+V163/1.7+V139+V80+V54</f>
        <v>126977803.41859846</v>
      </c>
    </row>
    <row r="225" spans="2:25" x14ac:dyDescent="0.25">
      <c r="B225" s="1220"/>
      <c r="C225" s="425"/>
      <c r="D225" s="425"/>
      <c r="E225" s="425"/>
      <c r="F225" s="425"/>
      <c r="G225" s="425"/>
      <c r="H225" s="425"/>
      <c r="I225" s="425"/>
      <c r="J225" s="443"/>
      <c r="K225" s="425"/>
      <c r="W225" s="690"/>
      <c r="X225" s="690"/>
      <c r="Y225" s="690"/>
    </row>
    <row r="226" spans="2:25" x14ac:dyDescent="0.25">
      <c r="B226" s="1220"/>
      <c r="C226" s="425"/>
      <c r="D226" s="425"/>
      <c r="E226" s="425"/>
      <c r="F226" s="425"/>
      <c r="G226" s="425"/>
      <c r="H226" s="425"/>
      <c r="I226" s="425"/>
      <c r="J226" s="443"/>
      <c r="K226" s="425"/>
    </row>
    <row r="227" spans="2:25" x14ac:dyDescent="0.25">
      <c r="B227" s="1220"/>
      <c r="C227" s="425"/>
      <c r="D227" s="425"/>
      <c r="E227" s="425"/>
      <c r="F227" s="425"/>
      <c r="G227" s="425"/>
      <c r="H227" s="425"/>
      <c r="I227" s="425"/>
      <c r="J227" s="443"/>
      <c r="K227" s="425"/>
    </row>
    <row r="228" spans="2:25" x14ac:dyDescent="0.25">
      <c r="B228" s="1220"/>
      <c r="C228" s="425"/>
      <c r="D228" s="425"/>
      <c r="E228" s="425"/>
      <c r="F228" s="425"/>
      <c r="G228" s="425"/>
      <c r="H228" s="425"/>
      <c r="I228" s="425"/>
      <c r="J228" s="443"/>
      <c r="K228" s="425"/>
    </row>
    <row r="229" spans="2:25" x14ac:dyDescent="0.25">
      <c r="B229" s="1220"/>
      <c r="C229" s="425"/>
      <c r="D229" s="425"/>
      <c r="E229" s="425"/>
      <c r="F229" s="425"/>
      <c r="G229" s="425"/>
      <c r="H229" s="425"/>
      <c r="I229" s="425"/>
      <c r="J229" s="443"/>
      <c r="K229" s="425"/>
    </row>
    <row r="230" spans="2:25" x14ac:dyDescent="0.25">
      <c r="B230" s="1220"/>
      <c r="C230" s="425"/>
      <c r="D230" s="425"/>
      <c r="E230" s="425"/>
      <c r="F230" s="425"/>
      <c r="G230" s="425"/>
      <c r="H230" s="425"/>
      <c r="I230" s="425"/>
      <c r="J230" s="443"/>
      <c r="K230" s="425"/>
    </row>
    <row r="231" spans="2:25" x14ac:dyDescent="0.25">
      <c r="B231" s="1220"/>
      <c r="C231" s="425"/>
      <c r="D231" s="425"/>
      <c r="E231" s="425"/>
      <c r="F231" s="425"/>
      <c r="G231" s="425"/>
      <c r="H231" s="425"/>
      <c r="I231" s="425"/>
      <c r="J231" s="443"/>
      <c r="K231" s="425"/>
    </row>
    <row r="232" spans="2:25" x14ac:dyDescent="0.25">
      <c r="B232" s="1220"/>
    </row>
    <row r="233" spans="2:25" x14ac:dyDescent="0.25">
      <c r="B233" s="1220"/>
    </row>
    <row r="234" spans="2:25" x14ac:dyDescent="0.25">
      <c r="B234" s="1220"/>
    </row>
    <row r="235" spans="2:25" x14ac:dyDescent="0.25">
      <c r="B235" s="1220"/>
    </row>
  </sheetData>
  <mergeCells count="1">
    <mergeCell ref="A2:B2"/>
  </mergeCells>
  <printOptions horizontalCentered="1"/>
  <pageMargins left="0.62" right="0.35" top="0.5" bottom="0.5" header="0.3" footer="0.3"/>
  <pageSetup scale="60" fitToHeight="0" orientation="landscape" r:id="rId1"/>
  <rowBreaks count="3" manualBreakCount="3">
    <brk id="17" max="16383" man="1"/>
    <brk id="54" max="16383" man="1"/>
    <brk id="105" max="16383" man="1"/>
  </rowBreaks>
  <ignoredErrors>
    <ignoredError sqref="U54:W54 U17:W17 U80:W80 U105:W105 U139:W139" formula="1"/>
    <ignoredError sqref="A144:B159 B186" numberStoredAsText="1"/>
  </ignoredError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pageSetUpPr fitToPage="1"/>
  </sheetPr>
  <dimension ref="A1:BG124"/>
  <sheetViews>
    <sheetView showGridLines="0" tabSelected="1" zoomScale="80" zoomScaleNormal="80" workbookViewId="0">
      <selection activeCell="D34" sqref="D34"/>
    </sheetView>
  </sheetViews>
  <sheetFormatPr defaultColWidth="8.88671875" defaultRowHeight="12.6" x14ac:dyDescent="0.2"/>
  <cols>
    <col min="1" max="1" width="42.33203125" style="440" customWidth="1"/>
    <col min="2" max="2" width="19.77734375" style="440" customWidth="1"/>
    <col min="3" max="3" width="17.88671875" style="440" customWidth="1"/>
    <col min="4" max="4" width="17.6640625" style="440" customWidth="1"/>
    <col min="5" max="8" width="15.6640625" style="440" customWidth="1"/>
    <col min="9" max="9" width="14.88671875" style="440" bestFit="1" customWidth="1"/>
    <col min="10" max="10" width="17.33203125" style="440" customWidth="1"/>
    <col min="11" max="11" width="20.88671875" style="440" customWidth="1"/>
    <col min="12" max="12" width="17.21875" style="440" customWidth="1"/>
    <col min="13" max="13" width="15.6640625" style="440" customWidth="1"/>
    <col min="14" max="14" width="17.77734375" style="440" customWidth="1"/>
    <col min="15" max="19" width="15.6640625" style="440" customWidth="1"/>
    <col min="20" max="20" width="16.88671875" style="440" customWidth="1"/>
    <col min="21" max="21" width="17.6640625" style="440" customWidth="1"/>
    <col min="22" max="66" width="15.6640625" style="440" customWidth="1"/>
    <col min="67" max="16384" width="8.88671875" style="440"/>
  </cols>
  <sheetData>
    <row r="1" spans="1:57" s="83" customFormat="1" ht="18" thickBot="1" x14ac:dyDescent="0.25">
      <c r="A1" s="742" t="str">
        <f>Summary!A2</f>
        <v>Corn Stover Design Report Case: 2012 model DW1102A</v>
      </c>
      <c r="B1" s="743"/>
      <c r="C1" s="744"/>
      <c r="D1" s="1255">
        <v>1</v>
      </c>
      <c r="E1" s="1157"/>
      <c r="F1" s="440"/>
      <c r="G1" s="741" t="s">
        <v>1836</v>
      </c>
      <c r="H1" s="740"/>
      <c r="I1" s="437"/>
      <c r="J1" s="740"/>
      <c r="K1" s="740"/>
      <c r="L1" s="437"/>
      <c r="M1" s="740"/>
      <c r="N1" s="437"/>
      <c r="O1" s="437"/>
      <c r="P1" s="437"/>
      <c r="Q1" s="741" t="s">
        <v>2365</v>
      </c>
      <c r="R1" s="740"/>
      <c r="S1" s="437"/>
      <c r="T1" s="740"/>
      <c r="U1" s="740"/>
      <c r="V1" s="437"/>
      <c r="W1" s="437"/>
      <c r="X1" s="437"/>
      <c r="Y1" s="437"/>
      <c r="Z1" s="437"/>
      <c r="AA1" s="437"/>
      <c r="AB1" s="437"/>
      <c r="AC1" s="437"/>
      <c r="AD1" s="437"/>
      <c r="AE1" s="437"/>
      <c r="AF1" s="437"/>
      <c r="AG1" s="437"/>
      <c r="AH1" s="437"/>
      <c r="AI1" s="437"/>
      <c r="AJ1" s="437"/>
      <c r="AK1" s="437"/>
      <c r="AL1" s="437"/>
      <c r="AM1" s="437"/>
      <c r="AN1" s="437"/>
      <c r="AO1" s="437"/>
      <c r="AP1" s="437"/>
      <c r="AQ1" s="437"/>
      <c r="AR1" s="437"/>
      <c r="AS1" s="437"/>
      <c r="AT1" s="437"/>
      <c r="AU1" s="437"/>
      <c r="AV1" s="437"/>
      <c r="AW1" s="437"/>
      <c r="AX1" s="437"/>
      <c r="AY1" s="437"/>
      <c r="AZ1" s="437"/>
      <c r="BA1" s="437"/>
      <c r="BB1" s="437"/>
      <c r="BC1" s="437"/>
      <c r="BD1" s="437"/>
      <c r="BE1" s="437"/>
    </row>
    <row r="2" spans="1:57" s="83" customFormat="1" ht="13.2" thickBot="1" x14ac:dyDescent="0.25">
      <c r="A2" s="744"/>
      <c r="B2" s="744"/>
      <c r="C2" s="744"/>
      <c r="D2" s="1255"/>
      <c r="E2" s="1157"/>
      <c r="F2" s="440"/>
      <c r="G2" s="874" t="s">
        <v>2101</v>
      </c>
      <c r="H2" s="867"/>
      <c r="I2" s="867"/>
      <c r="J2" s="882" t="s">
        <v>2148</v>
      </c>
      <c r="K2" s="868" t="s">
        <v>2149</v>
      </c>
      <c r="L2" s="437"/>
      <c r="M2" s="740"/>
      <c r="N2" s="740"/>
      <c r="O2" s="437"/>
      <c r="P2" s="437"/>
      <c r="Q2" s="874" t="s">
        <v>2101</v>
      </c>
      <c r="R2" s="867"/>
      <c r="S2" s="867"/>
      <c r="T2" s="882" t="s">
        <v>2148</v>
      </c>
      <c r="U2" s="868" t="s">
        <v>2149</v>
      </c>
      <c r="V2" s="437"/>
      <c r="W2" s="437"/>
      <c r="X2" s="437"/>
      <c r="Y2" s="437"/>
      <c r="Z2" s="437"/>
      <c r="AA2" s="437"/>
      <c r="AB2" s="437"/>
      <c r="AC2" s="437"/>
      <c r="AD2" s="437"/>
      <c r="AE2" s="437"/>
      <c r="AF2" s="437"/>
      <c r="AG2" s="437"/>
      <c r="AH2" s="437"/>
      <c r="AI2" s="437"/>
      <c r="AJ2" s="437"/>
      <c r="AK2" s="437"/>
      <c r="AL2" s="437"/>
      <c r="AM2" s="437"/>
      <c r="AN2" s="437"/>
      <c r="AO2" s="437"/>
      <c r="AP2" s="437"/>
      <c r="AQ2" s="437"/>
      <c r="AR2" s="437"/>
      <c r="AS2" s="437"/>
      <c r="AT2" s="437"/>
      <c r="AU2" s="437"/>
      <c r="AV2" s="437"/>
      <c r="AW2" s="437"/>
      <c r="AX2" s="437"/>
      <c r="AY2" s="437"/>
      <c r="AZ2" s="437"/>
      <c r="BA2" s="437"/>
      <c r="BB2" s="437"/>
      <c r="BC2" s="437"/>
      <c r="BD2" s="437"/>
      <c r="BE2" s="437"/>
    </row>
    <row r="3" spans="1:57" s="83" customFormat="1" x14ac:dyDescent="0.2">
      <c r="A3" s="745" t="s">
        <v>240</v>
      </c>
      <c r="B3" s="745" t="s">
        <v>241</v>
      </c>
      <c r="C3" s="745"/>
      <c r="D3" s="743" t="s">
        <v>2655</v>
      </c>
      <c r="E3" s="1157"/>
      <c r="F3" s="440"/>
      <c r="G3" s="788" t="s">
        <v>2230</v>
      </c>
      <c r="H3" s="539"/>
      <c r="I3" s="539"/>
      <c r="J3" s="883">
        <f ca="1">CAPEX!V17</f>
        <v>14649645.539631275</v>
      </c>
      <c r="K3" s="872">
        <f ca="1">CAPEX!W17</f>
        <v>24904397.417373169</v>
      </c>
      <c r="L3" s="437"/>
      <c r="M3" s="740"/>
      <c r="N3" s="1486"/>
      <c r="O3" s="437"/>
      <c r="P3" s="437"/>
      <c r="Q3" s="788" t="s">
        <v>2230</v>
      </c>
      <c r="R3" s="539"/>
      <c r="S3" s="539"/>
      <c r="T3" s="883">
        <f ca="1">ROUND(J3,-5)</f>
        <v>14600000</v>
      </c>
      <c r="U3" s="872">
        <f ca="1">ROUND(K3,-5)</f>
        <v>24900000</v>
      </c>
      <c r="V3" s="437"/>
      <c r="W3" s="437"/>
      <c r="X3" s="437"/>
      <c r="Y3" s="437"/>
      <c r="Z3" s="437"/>
      <c r="AA3" s="437"/>
      <c r="AB3" s="437"/>
      <c r="AC3" s="437"/>
      <c r="AD3" s="437"/>
      <c r="AE3" s="437"/>
      <c r="AF3" s="437"/>
      <c r="AG3" s="437"/>
      <c r="AH3" s="437"/>
      <c r="AI3" s="437"/>
      <c r="AJ3" s="437"/>
      <c r="AK3" s="437"/>
      <c r="AL3" s="437"/>
      <c r="AM3" s="437"/>
      <c r="AN3" s="437"/>
      <c r="AO3" s="437"/>
      <c r="AP3" s="437"/>
      <c r="AQ3" s="437"/>
      <c r="AR3" s="437"/>
      <c r="AS3" s="437"/>
      <c r="AT3" s="437"/>
      <c r="AU3" s="437"/>
      <c r="AV3" s="437"/>
      <c r="AW3" s="437"/>
      <c r="AX3" s="437"/>
      <c r="AY3" s="437"/>
      <c r="AZ3" s="437"/>
      <c r="BA3" s="437"/>
      <c r="BB3" s="437"/>
      <c r="BC3" s="437"/>
      <c r="BD3" s="437"/>
      <c r="BE3" s="437"/>
    </row>
    <row r="4" spans="1:57" s="83" customFormat="1" x14ac:dyDescent="0.2">
      <c r="A4" s="746" t="s">
        <v>243</v>
      </c>
      <c r="B4" s="751">
        <f ca="1">K24*D1</f>
        <v>413081083.74689722</v>
      </c>
      <c r="C4" s="1154"/>
      <c r="D4" s="1248">
        <v>132</v>
      </c>
      <c r="E4" s="1157" t="s">
        <v>2656</v>
      </c>
      <c r="F4" s="440"/>
      <c r="G4" s="788" t="s">
        <v>2231</v>
      </c>
      <c r="H4" s="539"/>
      <c r="I4" s="539"/>
      <c r="J4" s="883">
        <f ca="1">CAPEX!V40</f>
        <v>20564098.170553058</v>
      </c>
      <c r="K4" s="789">
        <f ca="1">CAPEX!W40</f>
        <v>30846147.255829588</v>
      </c>
      <c r="L4" s="437"/>
      <c r="M4" s="437"/>
      <c r="N4" s="1486"/>
      <c r="O4" s="437"/>
      <c r="P4" s="437"/>
      <c r="Q4" s="788" t="s">
        <v>2231</v>
      </c>
      <c r="R4" s="539"/>
      <c r="S4" s="539"/>
      <c r="T4" s="883">
        <f t="shared" ref="T4:T13" ca="1" si="0">ROUND(J4,-5)</f>
        <v>20600000</v>
      </c>
      <c r="U4" s="789">
        <f t="shared" ref="U4:U23" ca="1" si="1">ROUND(K4,-5)</f>
        <v>30800000</v>
      </c>
      <c r="V4" s="437"/>
      <c r="W4" s="437"/>
      <c r="X4" s="437"/>
      <c r="Y4" s="437"/>
      <c r="Z4" s="437"/>
      <c r="AA4" s="437"/>
      <c r="AB4" s="437"/>
      <c r="AC4" s="437"/>
      <c r="AD4" s="437"/>
      <c r="AE4" s="437"/>
      <c r="AF4" s="437"/>
      <c r="AG4" s="437"/>
      <c r="AH4" s="437"/>
      <c r="AI4" s="437"/>
      <c r="AJ4" s="437"/>
      <c r="AK4" s="437"/>
      <c r="AL4" s="437"/>
      <c r="AM4" s="437"/>
      <c r="AN4" s="437"/>
      <c r="AO4" s="437"/>
      <c r="AP4" s="437"/>
      <c r="AQ4" s="437"/>
      <c r="AR4" s="437"/>
      <c r="AS4" s="437"/>
      <c r="AT4" s="437"/>
      <c r="AU4" s="437"/>
      <c r="AV4" s="437"/>
      <c r="AW4" s="437"/>
      <c r="AX4" s="437"/>
      <c r="AY4" s="437"/>
      <c r="AZ4" s="437"/>
      <c r="BA4" s="437"/>
      <c r="BB4" s="437"/>
      <c r="BC4" s="437"/>
      <c r="BD4" s="437"/>
      <c r="BE4" s="437"/>
    </row>
    <row r="5" spans="1:57" s="83" customFormat="1" x14ac:dyDescent="0.2">
      <c r="A5" s="746" t="s">
        <v>244</v>
      </c>
      <c r="B5" s="751">
        <f ca="1">B4-B6</f>
        <v>345234192.85621536</v>
      </c>
      <c r="C5" s="1154"/>
      <c r="D5" s="1156">
        <v>14000</v>
      </c>
      <c r="E5" s="1256" t="s">
        <v>2657</v>
      </c>
      <c r="F5" s="440"/>
      <c r="G5" s="788" t="s">
        <v>2975</v>
      </c>
      <c r="H5" s="539"/>
      <c r="I5" s="539"/>
      <c r="J5" s="883">
        <f ca="1">CAPEX!V54-J4</f>
        <v>1585338.9641327746</v>
      </c>
      <c r="K5" s="789">
        <f ca="1">CAPEX!W54-CAPEXpt</f>
        <v>3130849.9391130283</v>
      </c>
      <c r="L5" s="664" t="s">
        <v>2278</v>
      </c>
      <c r="M5" s="886">
        <f ca="1">CAPEXpt+CAPEXnc</f>
        <v>33976997.194942616</v>
      </c>
      <c r="N5" s="1486"/>
      <c r="O5" s="437"/>
      <c r="P5" s="437"/>
      <c r="Q5" s="788" t="s">
        <v>2975</v>
      </c>
      <c r="R5" s="539"/>
      <c r="S5" s="539"/>
      <c r="T5" s="883">
        <f t="shared" ca="1" si="0"/>
        <v>1600000</v>
      </c>
      <c r="U5" s="789">
        <f t="shared" ca="1" si="1"/>
        <v>3100000</v>
      </c>
      <c r="V5" s="437"/>
      <c r="W5" s="437"/>
      <c r="X5" s="437"/>
      <c r="Y5" s="437"/>
      <c r="Z5" s="437"/>
      <c r="AA5" s="437"/>
      <c r="AB5" s="437"/>
      <c r="AC5" s="437"/>
      <c r="AD5" s="437"/>
      <c r="AE5" s="437"/>
      <c r="AF5" s="437"/>
      <c r="AG5" s="437"/>
      <c r="AH5" s="437"/>
      <c r="AI5" s="437"/>
      <c r="AJ5" s="437"/>
      <c r="AK5" s="437"/>
      <c r="AL5" s="437"/>
      <c r="AM5" s="437"/>
      <c r="AN5" s="437"/>
      <c r="AO5" s="437"/>
      <c r="AP5" s="437"/>
      <c r="AQ5" s="437"/>
      <c r="AR5" s="437"/>
      <c r="AS5" s="437"/>
      <c r="AT5" s="437"/>
      <c r="AU5" s="437"/>
      <c r="AV5" s="437"/>
      <c r="AW5" s="437"/>
      <c r="AX5" s="437"/>
      <c r="AY5" s="437"/>
      <c r="AZ5" s="437"/>
      <c r="BA5" s="437"/>
      <c r="BB5" s="437"/>
      <c r="BC5" s="437"/>
      <c r="BD5" s="437"/>
      <c r="BE5" s="437"/>
    </row>
    <row r="6" spans="1:57" s="83" customFormat="1" x14ac:dyDescent="0.2">
      <c r="A6" s="746" t="s">
        <v>245</v>
      </c>
      <c r="B6" s="751">
        <f ca="1">CAPEX800*D1</f>
        <v>67846890.890681848</v>
      </c>
      <c r="C6" s="1154"/>
      <c r="D6" s="1155"/>
      <c r="E6" s="1157"/>
      <c r="F6" s="440"/>
      <c r="G6" s="788" t="s">
        <v>2232</v>
      </c>
      <c r="H6" s="539"/>
      <c r="I6" s="539"/>
      <c r="J6" s="883">
        <f ca="1">CAPEX!V80</f>
        <v>19085285.193773456</v>
      </c>
      <c r="K6" s="789">
        <f ca="1">CAPEX!W80</f>
        <v>32237928.840978064</v>
      </c>
      <c r="L6" s="437"/>
      <c r="M6" s="740"/>
      <c r="N6" s="1486"/>
      <c r="O6" s="437"/>
      <c r="P6" s="437"/>
      <c r="Q6" s="788" t="s">
        <v>2232</v>
      </c>
      <c r="R6" s="539"/>
      <c r="S6" s="539"/>
      <c r="T6" s="883">
        <f t="shared" ca="1" si="0"/>
        <v>19100000</v>
      </c>
      <c r="U6" s="789">
        <f t="shared" ca="1" si="1"/>
        <v>32200000</v>
      </c>
      <c r="V6" s="437"/>
      <c r="W6" s="437"/>
      <c r="X6" s="437"/>
      <c r="Y6" s="437"/>
      <c r="Z6" s="437"/>
      <c r="AA6" s="437"/>
      <c r="AB6" s="437"/>
      <c r="AC6" s="437"/>
      <c r="AD6" s="437"/>
      <c r="AE6" s="437"/>
      <c r="AF6" s="437"/>
      <c r="AG6" s="437"/>
      <c r="AH6" s="437"/>
      <c r="AI6" s="437"/>
      <c r="AJ6" s="437"/>
      <c r="AK6" s="437"/>
      <c r="AL6" s="437"/>
      <c r="AM6" s="437"/>
      <c r="AN6" s="437"/>
      <c r="AO6" s="437"/>
      <c r="AP6" s="437"/>
      <c r="AQ6" s="437"/>
      <c r="AR6" s="437"/>
      <c r="AS6" s="437"/>
      <c r="AT6" s="437"/>
      <c r="AU6" s="437"/>
      <c r="AV6" s="437"/>
      <c r="AW6" s="437"/>
      <c r="AX6" s="437"/>
      <c r="AY6" s="437"/>
      <c r="AZ6" s="437"/>
      <c r="BA6" s="437"/>
      <c r="BB6" s="437"/>
      <c r="BC6" s="437"/>
      <c r="BD6" s="437"/>
      <c r="BE6" s="437"/>
    </row>
    <row r="7" spans="1:57" s="83" customFormat="1" x14ac:dyDescent="0.2">
      <c r="A7" s="746"/>
      <c r="B7" s="751"/>
      <c r="C7" s="1154"/>
      <c r="D7" s="1155"/>
      <c r="E7" s="1157"/>
      <c r="F7" s="440"/>
      <c r="G7" s="788" t="s">
        <v>2233</v>
      </c>
      <c r="H7" s="539"/>
      <c r="I7" s="539"/>
      <c r="J7" s="883">
        <f ca="1">CAPEX!V105</f>
        <v>11299063.212928101</v>
      </c>
      <c r="K7" s="789">
        <f ca="1">CAPEX!W105</f>
        <v>19317536.867972635</v>
      </c>
      <c r="L7" s="437"/>
      <c r="M7" s="740"/>
      <c r="N7" s="1486"/>
      <c r="O7" s="437"/>
      <c r="P7" s="437"/>
      <c r="Q7" s="788" t="s">
        <v>2233</v>
      </c>
      <c r="R7" s="539"/>
      <c r="S7" s="539"/>
      <c r="T7" s="883">
        <f t="shared" ca="1" si="0"/>
        <v>11300000</v>
      </c>
      <c r="U7" s="789">
        <f t="shared" ca="1" si="1"/>
        <v>19300000</v>
      </c>
      <c r="V7" s="437"/>
      <c r="W7" s="437"/>
      <c r="X7" s="437"/>
      <c r="Y7" s="437"/>
      <c r="Z7" s="437"/>
      <c r="AA7" s="437"/>
      <c r="AB7" s="437"/>
      <c r="AC7" s="437"/>
      <c r="AD7" s="437"/>
      <c r="AE7" s="437"/>
      <c r="AF7" s="437"/>
      <c r="AG7" s="437"/>
      <c r="AH7" s="437"/>
      <c r="AI7" s="437"/>
      <c r="AJ7" s="437"/>
      <c r="AK7" s="437"/>
      <c r="AL7" s="437"/>
      <c r="AM7" s="437"/>
      <c r="AN7" s="437"/>
      <c r="AO7" s="437"/>
      <c r="AP7" s="437"/>
      <c r="AQ7" s="437"/>
      <c r="AR7" s="437"/>
      <c r="AS7" s="437"/>
      <c r="AT7" s="437"/>
      <c r="AU7" s="437"/>
      <c r="AV7" s="437"/>
      <c r="AW7" s="437"/>
      <c r="AX7" s="437"/>
      <c r="AY7" s="437"/>
      <c r="AZ7" s="437"/>
      <c r="BA7" s="437"/>
      <c r="BB7" s="437"/>
      <c r="BC7" s="437"/>
      <c r="BD7" s="437"/>
      <c r="BE7" s="437"/>
    </row>
    <row r="8" spans="1:57" s="83" customFormat="1" x14ac:dyDescent="0.2">
      <c r="A8" s="746" t="s">
        <v>31</v>
      </c>
      <c r="B8" s="747">
        <v>0.4</v>
      </c>
      <c r="C8" s="1154"/>
      <c r="D8" s="1155"/>
      <c r="E8" s="1157"/>
      <c r="F8" s="440"/>
      <c r="G8" s="788" t="s">
        <v>2234</v>
      </c>
      <c r="H8" s="539"/>
      <c r="I8" s="539"/>
      <c r="J8" s="883">
        <f ca="1">CAPEX!V139</f>
        <v>11477065.747653276</v>
      </c>
      <c r="K8" s="789">
        <f ca="1">CAPEX!W139</f>
        <v>23008984.571259499</v>
      </c>
      <c r="L8" s="664" t="s">
        <v>2279</v>
      </c>
      <c r="M8" s="887">
        <f ca="1">SUM(K4:K8)</f>
        <v>108541447.47515282</v>
      </c>
      <c r="N8" s="1486"/>
      <c r="O8" s="437"/>
      <c r="P8" s="437"/>
      <c r="Q8" s="788" t="s">
        <v>2234</v>
      </c>
      <c r="R8" s="539"/>
      <c r="S8" s="539"/>
      <c r="T8" s="883">
        <f t="shared" ca="1" si="0"/>
        <v>11500000</v>
      </c>
      <c r="U8" s="789">
        <f t="shared" ca="1" si="1"/>
        <v>23000000</v>
      </c>
      <c r="V8" s="437"/>
      <c r="W8" s="437"/>
      <c r="X8" s="437"/>
      <c r="Y8" s="437"/>
      <c r="Z8" s="437"/>
      <c r="AA8" s="437"/>
      <c r="AB8" s="437"/>
      <c r="AC8" s="437"/>
      <c r="AD8" s="437"/>
      <c r="AE8" s="437"/>
      <c r="AF8" s="437"/>
      <c r="AG8" s="437"/>
      <c r="AH8" s="437"/>
      <c r="AI8" s="437"/>
      <c r="AJ8" s="437"/>
      <c r="AK8" s="437"/>
      <c r="AL8" s="437"/>
      <c r="AM8" s="437"/>
      <c r="AN8" s="437"/>
      <c r="AO8" s="437"/>
      <c r="AP8" s="437"/>
      <c r="AQ8" s="437"/>
      <c r="AR8" s="437"/>
      <c r="AS8" s="437"/>
      <c r="AT8" s="437"/>
      <c r="AU8" s="437"/>
      <c r="AV8" s="437"/>
      <c r="AW8" s="437"/>
      <c r="AX8" s="437"/>
      <c r="AY8" s="437"/>
      <c r="AZ8" s="437"/>
      <c r="BA8" s="437"/>
      <c r="BB8" s="437"/>
      <c r="BC8" s="437"/>
      <c r="BD8" s="437"/>
      <c r="BE8" s="437"/>
    </row>
    <row r="9" spans="1:57" s="83" customFormat="1" x14ac:dyDescent="0.2">
      <c r="A9" s="746" t="s">
        <v>32</v>
      </c>
      <c r="B9" s="748">
        <v>0.08</v>
      </c>
      <c r="C9" s="1154"/>
      <c r="D9" s="1155"/>
      <c r="E9" s="1157"/>
      <c r="F9" s="440"/>
      <c r="G9" s="788" t="s">
        <v>2235</v>
      </c>
      <c r="H9" s="539"/>
      <c r="I9" s="539"/>
      <c r="J9" s="883">
        <f ca="1">CAPEX!V163</f>
        <v>50757821.094311833</v>
      </c>
      <c r="K9" s="789">
        <f ca="1">CAPEX!W163</f>
        <v>50757821.094311833</v>
      </c>
      <c r="L9" s="437"/>
      <c r="M9" s="740"/>
      <c r="N9" s="1486"/>
      <c r="O9" s="437"/>
      <c r="P9" s="437"/>
      <c r="Q9" s="788" t="s">
        <v>2235</v>
      </c>
      <c r="R9" s="539"/>
      <c r="S9" s="539"/>
      <c r="T9" s="883">
        <f t="shared" ca="1" si="0"/>
        <v>50800000</v>
      </c>
      <c r="U9" s="789">
        <f t="shared" ca="1" si="1"/>
        <v>50800000</v>
      </c>
      <c r="V9" s="437"/>
      <c r="W9" s="437"/>
      <c r="X9" s="437"/>
      <c r="Y9" s="437"/>
      <c r="Z9" s="437"/>
      <c r="AA9" s="437"/>
      <c r="AB9" s="437"/>
      <c r="AC9" s="437"/>
      <c r="AD9" s="437"/>
      <c r="AE9" s="437"/>
      <c r="AF9" s="437"/>
      <c r="AG9" s="437"/>
      <c r="AH9" s="437"/>
      <c r="AI9" s="437"/>
      <c r="AJ9" s="437"/>
      <c r="AK9" s="437"/>
      <c r="AL9" s="437"/>
      <c r="AM9" s="437"/>
      <c r="AN9" s="437"/>
      <c r="AO9" s="437"/>
      <c r="AP9" s="437"/>
      <c r="AQ9" s="437"/>
      <c r="AR9" s="437"/>
      <c r="AS9" s="437"/>
      <c r="AT9" s="437"/>
      <c r="AU9" s="437"/>
      <c r="AV9" s="437"/>
      <c r="AW9" s="437"/>
      <c r="AX9" s="437"/>
      <c r="AY9" s="437"/>
      <c r="AZ9" s="437"/>
      <c r="BA9" s="437"/>
      <c r="BB9" s="437"/>
      <c r="BC9" s="437"/>
      <c r="BD9" s="437"/>
      <c r="BE9" s="437"/>
    </row>
    <row r="10" spans="1:57" s="83" customFormat="1" x14ac:dyDescent="0.2">
      <c r="A10" s="746" t="s">
        <v>33</v>
      </c>
      <c r="B10" s="749">
        <v>10</v>
      </c>
      <c r="C10" s="1154"/>
      <c r="D10" s="1155"/>
      <c r="E10" s="1157"/>
      <c r="F10" s="440"/>
      <c r="G10" s="788" t="s">
        <v>2236</v>
      </c>
      <c r="H10" s="539"/>
      <c r="I10" s="539"/>
      <c r="J10" s="883">
        <f ca="1">CAPEX!V182</f>
        <v>2914410.0395629359</v>
      </c>
      <c r="K10" s="789">
        <f ca="1">CAPEX!W182</f>
        <v>5106724.2195718298</v>
      </c>
      <c r="L10" s="437"/>
      <c r="M10" s="740"/>
      <c r="N10" s="1486"/>
      <c r="O10" s="437"/>
      <c r="P10" s="437"/>
      <c r="Q10" s="788" t="s">
        <v>2236</v>
      </c>
      <c r="R10" s="539"/>
      <c r="S10" s="539"/>
      <c r="T10" s="883">
        <f t="shared" ca="1" si="0"/>
        <v>2900000</v>
      </c>
      <c r="U10" s="789">
        <f t="shared" ca="1" si="1"/>
        <v>5100000</v>
      </c>
      <c r="V10" s="437"/>
      <c r="W10" s="437"/>
      <c r="X10" s="437"/>
      <c r="Y10" s="437"/>
      <c r="Z10" s="437"/>
      <c r="AA10" s="437"/>
      <c r="AB10" s="437"/>
      <c r="AC10" s="437"/>
      <c r="AD10" s="437"/>
      <c r="AE10" s="437"/>
      <c r="AF10" s="437"/>
      <c r="AG10" s="437"/>
      <c r="AH10" s="437"/>
      <c r="AI10" s="437"/>
      <c r="AJ10" s="437"/>
      <c r="AK10" s="437"/>
      <c r="AL10" s="437"/>
      <c r="AM10" s="437"/>
      <c r="AN10" s="437"/>
      <c r="AO10" s="437"/>
      <c r="AP10" s="437"/>
      <c r="AQ10" s="437"/>
      <c r="AR10" s="437"/>
      <c r="AS10" s="437"/>
      <c r="AT10" s="437"/>
      <c r="AU10" s="437"/>
      <c r="AV10" s="437"/>
      <c r="AW10" s="437"/>
      <c r="AX10" s="437"/>
      <c r="AY10" s="437"/>
      <c r="AZ10" s="437"/>
      <c r="BA10" s="437"/>
      <c r="BB10" s="437"/>
      <c r="BC10" s="437"/>
      <c r="BD10" s="437"/>
      <c r="BE10" s="437"/>
    </row>
    <row r="11" spans="1:57" s="83" customFormat="1" x14ac:dyDescent="0.2">
      <c r="A11" s="746" t="s">
        <v>34</v>
      </c>
      <c r="B11" s="750">
        <f ca="1">-PMT(B9,B10,FCI*(1-B8))</f>
        <v>36936757.620740324</v>
      </c>
      <c r="C11" s="1154"/>
      <c r="D11" s="440"/>
      <c r="E11" s="440"/>
      <c r="F11" s="440"/>
      <c r="G11" s="788" t="s">
        <v>2237</v>
      </c>
      <c r="H11" s="539"/>
      <c r="I11" s="539"/>
      <c r="J11" s="883">
        <f ca="1">CAPEX!V205</f>
        <v>37483981.403027058</v>
      </c>
      <c r="K11" s="789">
        <f ca="1">CAPEX!W205</f>
        <v>67846890.890681848</v>
      </c>
      <c r="L11" s="437"/>
      <c r="M11" s="740"/>
      <c r="N11" s="1486"/>
      <c r="O11" s="437"/>
      <c r="P11" s="437"/>
      <c r="Q11" s="788" t="s">
        <v>2237</v>
      </c>
      <c r="R11" s="539"/>
      <c r="S11" s="539"/>
      <c r="T11" s="883">
        <f t="shared" ca="1" si="0"/>
        <v>37500000</v>
      </c>
      <c r="U11" s="789">
        <f t="shared" ca="1" si="1"/>
        <v>67800000</v>
      </c>
      <c r="V11" s="437"/>
      <c r="W11" s="437"/>
      <c r="X11" s="437"/>
      <c r="Y11" s="437"/>
      <c r="Z11" s="437"/>
      <c r="AA11" s="437"/>
      <c r="AB11" s="437"/>
      <c r="AC11" s="437"/>
      <c r="AD11" s="437"/>
      <c r="AE11" s="437"/>
      <c r="AF11" s="437"/>
      <c r="AG11" s="437"/>
      <c r="AH11" s="437"/>
      <c r="AI11" s="437"/>
      <c r="AJ11" s="437"/>
      <c r="AK11" s="437"/>
      <c r="AL11" s="437"/>
      <c r="AM11" s="437"/>
      <c r="AN11" s="437"/>
      <c r="AO11" s="437"/>
      <c r="AP11" s="437"/>
      <c r="AQ11" s="437"/>
      <c r="AR11" s="437"/>
      <c r="AS11" s="437"/>
      <c r="AT11" s="437"/>
      <c r="AU11" s="437"/>
      <c r="AV11" s="437"/>
      <c r="AW11" s="437"/>
      <c r="AX11" s="437"/>
      <c r="AY11" s="437"/>
      <c r="AZ11" s="437"/>
      <c r="BA11" s="437"/>
      <c r="BB11" s="437"/>
      <c r="BC11" s="437"/>
      <c r="BD11" s="437"/>
      <c r="BE11" s="437"/>
    </row>
    <row r="12" spans="1:57" s="83" customFormat="1" ht="13.2" thickBot="1" x14ac:dyDescent="0.25">
      <c r="A12" s="437" t="s">
        <v>2654</v>
      </c>
      <c r="B12" s="437"/>
      <c r="C12" s="743" t="s">
        <v>48</v>
      </c>
      <c r="D12" s="757">
        <v>4320</v>
      </c>
      <c r="E12" s="440"/>
      <c r="F12" s="440"/>
      <c r="G12" s="788" t="s">
        <v>2238</v>
      </c>
      <c r="H12" s="539"/>
      <c r="I12" s="539"/>
      <c r="J12" s="883">
        <f ca="1">CAPEX!V216</f>
        <v>4010082.0797124789</v>
      </c>
      <c r="K12" s="789">
        <f ca="1">CAPEX!W216</f>
        <v>6928040.3539407114</v>
      </c>
      <c r="L12" s="437"/>
      <c r="M12" s="740"/>
      <c r="N12" s="1486"/>
      <c r="O12" s="437"/>
      <c r="P12" s="437"/>
      <c r="Q12" s="788" t="s">
        <v>2238</v>
      </c>
      <c r="R12" s="539"/>
      <c r="S12" s="539"/>
      <c r="T12" s="883">
        <f t="shared" ca="1" si="0"/>
        <v>4000000</v>
      </c>
      <c r="U12" s="789">
        <f t="shared" ca="1" si="1"/>
        <v>6900000</v>
      </c>
      <c r="V12" s="437"/>
      <c r="W12" s="437"/>
      <c r="X12" s="437"/>
      <c r="Y12" s="437"/>
      <c r="Z12" s="437"/>
      <c r="AA12" s="437"/>
      <c r="AB12" s="437"/>
      <c r="AC12" s="437"/>
      <c r="AD12" s="437"/>
      <c r="AE12" s="437"/>
      <c r="AF12" s="437"/>
      <c r="AG12" s="437"/>
      <c r="AH12" s="437"/>
      <c r="AI12" s="437"/>
      <c r="AJ12" s="437"/>
      <c r="AK12" s="437"/>
      <c r="AL12" s="437"/>
      <c r="AM12" s="437"/>
      <c r="AN12" s="437"/>
      <c r="AO12" s="437"/>
      <c r="AP12" s="437"/>
      <c r="AQ12" s="437"/>
      <c r="AR12" s="437"/>
      <c r="AS12" s="437"/>
      <c r="AT12" s="437"/>
      <c r="AU12" s="437"/>
      <c r="AV12" s="437"/>
      <c r="AW12" s="437"/>
      <c r="AX12" s="437"/>
      <c r="AY12" s="437"/>
      <c r="AZ12" s="437"/>
      <c r="BA12" s="437"/>
      <c r="BB12" s="437"/>
      <c r="BC12" s="437"/>
      <c r="BD12" s="437"/>
      <c r="BE12" s="437"/>
    </row>
    <row r="13" spans="1:57" s="83" customFormat="1" ht="13.2" thickBot="1" x14ac:dyDescent="0.25">
      <c r="A13" s="746" t="s">
        <v>47</v>
      </c>
      <c r="B13" s="750">
        <f ca="1">(D12*D13)*VLOOKUP(B34,INDIRECT(IX_CAP),4,FALSE)/VLOOKUP(D14,INDIRECT(IX_CAP),4,FALSE)</f>
        <v>480645.75096277287</v>
      </c>
      <c r="C13" s="743" t="s">
        <v>49</v>
      </c>
      <c r="D13" s="1494">
        <v>80</v>
      </c>
      <c r="E13" s="440"/>
      <c r="F13" s="440"/>
      <c r="G13" s="871" t="s">
        <v>2228</v>
      </c>
      <c r="H13" s="869"/>
      <c r="I13" s="869"/>
      <c r="J13" s="884">
        <f ca="1">SUM(J4:J12)</f>
        <v>159177145.905655</v>
      </c>
      <c r="K13" s="870">
        <f ca="1">SUM(K4:K12)</f>
        <v>239180924.03365904</v>
      </c>
      <c r="L13" s="437"/>
      <c r="M13" s="740"/>
      <c r="N13" s="740"/>
      <c r="O13" s="437"/>
      <c r="P13" s="437"/>
      <c r="Q13" s="871" t="s">
        <v>2228</v>
      </c>
      <c r="R13" s="869"/>
      <c r="S13" s="869"/>
      <c r="T13" s="884">
        <f t="shared" ca="1" si="0"/>
        <v>159200000</v>
      </c>
      <c r="U13" s="870">
        <f t="shared" ca="1" si="1"/>
        <v>239200000</v>
      </c>
      <c r="V13" s="437"/>
      <c r="W13" s="437"/>
      <c r="X13" s="437"/>
      <c r="Y13" s="437"/>
      <c r="Z13" s="437"/>
      <c r="AA13" s="437"/>
      <c r="AB13" s="437"/>
      <c r="AC13" s="437"/>
      <c r="AD13" s="437"/>
      <c r="AE13" s="437"/>
      <c r="AF13" s="437"/>
      <c r="AG13" s="437"/>
      <c r="AH13" s="437"/>
      <c r="AI13" s="437"/>
      <c r="AJ13" s="437"/>
      <c r="AK13" s="437"/>
      <c r="AL13" s="437"/>
      <c r="AM13" s="437"/>
      <c r="AN13" s="437"/>
      <c r="AO13" s="437"/>
      <c r="AP13" s="437"/>
      <c r="AQ13" s="437"/>
      <c r="AR13" s="437"/>
      <c r="AS13" s="437"/>
      <c r="AT13" s="437"/>
      <c r="AU13" s="437"/>
      <c r="AV13" s="437"/>
      <c r="AW13" s="437"/>
      <c r="AX13" s="437"/>
      <c r="AY13" s="437"/>
      <c r="AZ13" s="437"/>
      <c r="BA13" s="437"/>
      <c r="BB13" s="437"/>
      <c r="BC13" s="437"/>
      <c r="BD13" s="437"/>
      <c r="BE13" s="437"/>
    </row>
    <row r="14" spans="1:57" s="83" customFormat="1" x14ac:dyDescent="0.2">
      <c r="A14" s="437"/>
      <c r="B14" s="437"/>
      <c r="C14" s="743" t="s">
        <v>50</v>
      </c>
      <c r="D14" s="757">
        <v>1998</v>
      </c>
      <c r="E14" s="440"/>
      <c r="F14" s="440"/>
      <c r="G14" s="875" t="s">
        <v>401</v>
      </c>
      <c r="H14" s="539"/>
      <c r="I14" s="876">
        <v>0.04</v>
      </c>
      <c r="J14" s="785" t="s">
        <v>403</v>
      </c>
      <c r="K14" s="789">
        <f ca="1">I14*ISBL</f>
        <v>4341657.8990061125</v>
      </c>
      <c r="L14" s="437"/>
      <c r="M14" s="437"/>
      <c r="N14" s="437"/>
      <c r="O14" s="437"/>
      <c r="P14" s="437"/>
      <c r="Q14" s="875" t="s">
        <v>401</v>
      </c>
      <c r="R14" s="539"/>
      <c r="S14" s="876">
        <v>0.04</v>
      </c>
      <c r="T14" s="785" t="s">
        <v>403</v>
      </c>
      <c r="U14" s="789">
        <f t="shared" ca="1" si="1"/>
        <v>4300000</v>
      </c>
      <c r="V14" s="437"/>
      <c r="W14" s="437"/>
      <c r="X14" s="437"/>
      <c r="Y14" s="437"/>
      <c r="Z14" s="437"/>
      <c r="AA14" s="437"/>
      <c r="AB14" s="437"/>
      <c r="AC14" s="437"/>
      <c r="AD14" s="437"/>
      <c r="AE14" s="437"/>
      <c r="AF14" s="437"/>
      <c r="AG14" s="437"/>
      <c r="AH14" s="437"/>
      <c r="AI14" s="437"/>
      <c r="AJ14" s="437"/>
      <c r="AK14" s="437"/>
      <c r="AL14" s="437"/>
      <c r="AM14" s="437"/>
      <c r="AN14" s="437"/>
      <c r="AO14" s="437"/>
      <c r="AP14" s="437"/>
      <c r="AQ14" s="437"/>
      <c r="AR14" s="437"/>
      <c r="AS14" s="437"/>
      <c r="AT14" s="437"/>
      <c r="AU14" s="437"/>
      <c r="AV14" s="437"/>
      <c r="AW14" s="437"/>
      <c r="AX14" s="437"/>
      <c r="AY14" s="437"/>
      <c r="AZ14" s="437"/>
      <c r="BA14" s="437"/>
      <c r="BB14" s="437"/>
      <c r="BC14" s="437"/>
      <c r="BD14" s="437"/>
      <c r="BE14" s="437"/>
    </row>
    <row r="15" spans="1:57" s="83" customFormat="1" x14ac:dyDescent="0.2">
      <c r="A15" s="437"/>
      <c r="B15" s="437"/>
      <c r="C15" s="437"/>
      <c r="D15" s="1157"/>
      <c r="E15" s="1157"/>
      <c r="F15" s="440"/>
      <c r="G15" s="788" t="s">
        <v>402</v>
      </c>
      <c r="H15" s="539"/>
      <c r="I15" s="876">
        <v>0.09</v>
      </c>
      <c r="J15" s="785" t="s">
        <v>403</v>
      </c>
      <c r="K15" s="789">
        <f ca="1">I15*ISBL</f>
        <v>9768730.2727637533</v>
      </c>
      <c r="L15" s="437"/>
      <c r="M15" s="437"/>
      <c r="N15" s="437"/>
      <c r="O15" s="769"/>
      <c r="P15" s="437"/>
      <c r="Q15" s="788" t="s">
        <v>402</v>
      </c>
      <c r="R15" s="539"/>
      <c r="S15" s="876">
        <v>0.09</v>
      </c>
      <c r="T15" s="785" t="s">
        <v>403</v>
      </c>
      <c r="U15" s="789">
        <f t="shared" ca="1" si="1"/>
        <v>9800000</v>
      </c>
      <c r="V15" s="437"/>
      <c r="W15" s="437"/>
      <c r="X15" s="437"/>
      <c r="Y15" s="437"/>
      <c r="Z15" s="437"/>
      <c r="AA15" s="437"/>
      <c r="AB15" s="437"/>
      <c r="AC15" s="437"/>
      <c r="AD15" s="437"/>
      <c r="AE15" s="437"/>
      <c r="AF15" s="437"/>
      <c r="AG15" s="437"/>
      <c r="AH15" s="437"/>
      <c r="AI15" s="437"/>
      <c r="AJ15" s="437"/>
      <c r="AK15" s="437"/>
      <c r="AL15" s="437"/>
      <c r="AM15" s="437"/>
      <c r="AN15" s="437"/>
      <c r="AO15" s="437"/>
      <c r="AP15" s="437"/>
      <c r="AQ15" s="437"/>
      <c r="AR15" s="437"/>
      <c r="AS15" s="437"/>
      <c r="AT15" s="437"/>
      <c r="AU15" s="437"/>
      <c r="AV15" s="437"/>
      <c r="AW15" s="437"/>
      <c r="AX15" s="437"/>
      <c r="AY15" s="437"/>
      <c r="AZ15" s="437"/>
      <c r="BA15" s="437"/>
      <c r="BB15" s="437"/>
      <c r="BC15" s="437"/>
      <c r="BD15" s="437"/>
      <c r="BE15" s="437"/>
    </row>
    <row r="16" spans="1:57" s="83" customFormat="1" x14ac:dyDescent="0.2">
      <c r="A16" s="746" t="s">
        <v>26</v>
      </c>
      <c r="B16" s="752">
        <v>0.05</v>
      </c>
      <c r="C16" s="437"/>
      <c r="D16" s="1157"/>
      <c r="E16" s="1157"/>
      <c r="F16" s="440"/>
      <c r="G16" s="792" t="s">
        <v>2223</v>
      </c>
      <c r="H16" s="539"/>
      <c r="I16" s="876">
        <v>4.4999999999999998E-2</v>
      </c>
      <c r="J16" s="785" t="s">
        <v>403</v>
      </c>
      <c r="K16" s="789">
        <f ca="1">I16*ISBL</f>
        <v>4884365.1363818767</v>
      </c>
      <c r="L16" s="437"/>
      <c r="M16" s="437"/>
      <c r="N16" s="437"/>
      <c r="O16" s="770"/>
      <c r="P16" s="437"/>
      <c r="Q16" s="792" t="s">
        <v>2223</v>
      </c>
      <c r="R16" s="539"/>
      <c r="S16" s="876">
        <v>4.4999999999999998E-2</v>
      </c>
      <c r="T16" s="785" t="s">
        <v>403</v>
      </c>
      <c r="U16" s="789">
        <f t="shared" ca="1" si="1"/>
        <v>4900000</v>
      </c>
      <c r="V16" s="437"/>
      <c r="W16" s="437"/>
      <c r="X16" s="437"/>
      <c r="Y16" s="437"/>
      <c r="Z16" s="437"/>
      <c r="AA16" s="437"/>
      <c r="AB16" s="437"/>
      <c r="AC16" s="437"/>
      <c r="AD16" s="437"/>
      <c r="AE16" s="437"/>
      <c r="AF16" s="437"/>
      <c r="AG16" s="437"/>
      <c r="AH16" s="437"/>
      <c r="AI16" s="437"/>
      <c r="AJ16" s="437"/>
      <c r="AK16" s="437"/>
      <c r="AL16" s="437"/>
      <c r="AM16" s="437"/>
      <c r="AN16" s="437"/>
      <c r="AO16" s="437"/>
      <c r="AP16" s="437"/>
      <c r="AQ16" s="437"/>
      <c r="AR16" s="437"/>
      <c r="AS16" s="437"/>
      <c r="AT16" s="437"/>
      <c r="AU16" s="437"/>
      <c r="AV16" s="437"/>
      <c r="AW16" s="437"/>
      <c r="AX16" s="437"/>
      <c r="AY16" s="437"/>
      <c r="AZ16" s="437"/>
      <c r="BA16" s="437"/>
      <c r="BB16" s="437"/>
      <c r="BC16" s="437"/>
      <c r="BD16" s="437"/>
      <c r="BE16" s="437"/>
    </row>
    <row r="17" spans="1:57" s="83" customFormat="1" x14ac:dyDescent="0.2">
      <c r="A17" s="753" t="s">
        <v>247</v>
      </c>
      <c r="B17" s="743"/>
      <c r="C17" s="743"/>
      <c r="D17" s="1157"/>
      <c r="E17" s="1157"/>
      <c r="F17" s="440"/>
      <c r="G17" s="791" t="s">
        <v>2224</v>
      </c>
      <c r="H17" s="539"/>
      <c r="I17" s="877"/>
      <c r="J17" s="785"/>
      <c r="K17" s="790">
        <f ca="1">SUM(K13:K16)</f>
        <v>258175677.34181076</v>
      </c>
      <c r="L17" s="437"/>
      <c r="M17" s="437"/>
      <c r="N17" s="437"/>
      <c r="O17" s="770"/>
      <c r="P17" s="437"/>
      <c r="Q17" s="791" t="s">
        <v>2224</v>
      </c>
      <c r="R17" s="539"/>
      <c r="S17" s="877"/>
      <c r="T17" s="785"/>
      <c r="U17" s="790">
        <f t="shared" ca="1" si="1"/>
        <v>258200000</v>
      </c>
      <c r="V17" s="437"/>
      <c r="W17" s="437"/>
      <c r="X17" s="437"/>
      <c r="Y17" s="437"/>
      <c r="Z17" s="437"/>
      <c r="AA17" s="437"/>
      <c r="AB17" s="437"/>
      <c r="AC17" s="437"/>
      <c r="AD17" s="437"/>
      <c r="AE17" s="437"/>
      <c r="AF17" s="437"/>
      <c r="AG17" s="437"/>
      <c r="AH17" s="437"/>
      <c r="AI17" s="437"/>
      <c r="AJ17" s="437"/>
      <c r="AK17" s="437"/>
      <c r="AL17" s="437"/>
      <c r="AM17" s="437"/>
      <c r="AN17" s="437"/>
      <c r="AO17" s="437"/>
      <c r="AP17" s="437"/>
      <c r="AQ17" s="437"/>
      <c r="AR17" s="437"/>
      <c r="AS17" s="437"/>
      <c r="AT17" s="437"/>
      <c r="AU17" s="437"/>
      <c r="AV17" s="437"/>
      <c r="AW17" s="437"/>
      <c r="AX17" s="437"/>
      <c r="AY17" s="437"/>
      <c r="AZ17" s="437"/>
      <c r="BA17" s="437"/>
      <c r="BB17" s="437"/>
      <c r="BC17" s="437"/>
      <c r="BD17" s="437"/>
      <c r="BE17" s="437"/>
    </row>
    <row r="18" spans="1:57" s="83" customFormat="1" x14ac:dyDescent="0.2">
      <c r="A18" s="743" t="s">
        <v>244</v>
      </c>
      <c r="B18" s="757">
        <v>0</v>
      </c>
      <c r="C18" s="743" t="s">
        <v>2282</v>
      </c>
      <c r="D18" s="1157"/>
      <c r="E18" s="1157"/>
      <c r="F18" s="440"/>
      <c r="G18" s="788" t="s">
        <v>923</v>
      </c>
      <c r="H18" s="539"/>
      <c r="I18" s="876">
        <v>0.1</v>
      </c>
      <c r="J18" s="785" t="s">
        <v>2229</v>
      </c>
      <c r="K18" s="789">
        <f ca="1">I18*K17</f>
        <v>25817567.734181076</v>
      </c>
      <c r="L18" s="437"/>
      <c r="M18" s="437"/>
      <c r="N18" s="437"/>
      <c r="O18" s="770"/>
      <c r="P18" s="437"/>
      <c r="Q18" s="788" t="s">
        <v>923</v>
      </c>
      <c r="R18" s="539"/>
      <c r="S18" s="876">
        <v>0.1</v>
      </c>
      <c r="T18" s="785" t="s">
        <v>2229</v>
      </c>
      <c r="U18" s="789">
        <f t="shared" ca="1" si="1"/>
        <v>25800000</v>
      </c>
      <c r="V18" s="437"/>
      <c r="W18" s="437"/>
      <c r="X18" s="437"/>
      <c r="Y18" s="437"/>
      <c r="Z18" s="437"/>
      <c r="AA18" s="437"/>
      <c r="AB18" s="437"/>
      <c r="AC18" s="437"/>
      <c r="AD18" s="437"/>
      <c r="AE18" s="437"/>
      <c r="AF18" s="437"/>
      <c r="AG18" s="437"/>
      <c r="AH18" s="437"/>
      <c r="AI18" s="437"/>
      <c r="AJ18" s="437"/>
      <c r="AK18" s="437"/>
      <c r="AL18" s="437"/>
      <c r="AM18" s="437"/>
      <c r="AN18" s="437"/>
      <c r="AO18" s="437"/>
      <c r="AP18" s="437"/>
      <c r="AQ18" s="437"/>
      <c r="AR18" s="437"/>
      <c r="AS18" s="437"/>
      <c r="AT18" s="437"/>
      <c r="AU18" s="437"/>
      <c r="AV18" s="437"/>
      <c r="AW18" s="437"/>
      <c r="AX18" s="437"/>
      <c r="AY18" s="437"/>
      <c r="AZ18" s="437"/>
      <c r="BA18" s="437"/>
      <c r="BB18" s="437"/>
      <c r="BC18" s="437"/>
      <c r="BD18" s="437"/>
      <c r="BE18" s="437"/>
    </row>
    <row r="19" spans="1:57" s="83" customFormat="1" x14ac:dyDescent="0.2">
      <c r="A19" s="743" t="s">
        <v>245</v>
      </c>
      <c r="B19" s="757">
        <v>0</v>
      </c>
      <c r="C19" s="743" t="s">
        <v>2282</v>
      </c>
      <c r="D19" s="1157"/>
      <c r="E19" s="1157"/>
      <c r="F19" s="440"/>
      <c r="G19" s="788" t="s">
        <v>405</v>
      </c>
      <c r="H19" s="539"/>
      <c r="I19" s="876">
        <v>0.1</v>
      </c>
      <c r="J19" s="785" t="s">
        <v>2229</v>
      </c>
      <c r="K19" s="789">
        <f ca="1">I19*K17</f>
        <v>25817567.734181076</v>
      </c>
      <c r="L19" s="437"/>
      <c r="M19" s="437"/>
      <c r="N19" s="437"/>
      <c r="O19" s="770"/>
      <c r="P19" s="437"/>
      <c r="Q19" s="788" t="s">
        <v>405</v>
      </c>
      <c r="R19" s="539"/>
      <c r="S19" s="876">
        <v>0.1</v>
      </c>
      <c r="T19" s="785" t="s">
        <v>2229</v>
      </c>
      <c r="U19" s="789">
        <f t="shared" ca="1" si="1"/>
        <v>25800000</v>
      </c>
      <c r="V19" s="437"/>
      <c r="W19" s="437"/>
      <c r="X19" s="437"/>
      <c r="Y19" s="437"/>
      <c r="Z19" s="437"/>
      <c r="AA19" s="437"/>
      <c r="AB19" s="437"/>
      <c r="AC19" s="437"/>
      <c r="AD19" s="437"/>
      <c r="AE19" s="437"/>
      <c r="AF19" s="437"/>
      <c r="AG19" s="437"/>
      <c r="AH19" s="437"/>
      <c r="AI19" s="437"/>
      <c r="AJ19" s="437"/>
      <c r="AK19" s="437"/>
      <c r="AL19" s="437"/>
      <c r="AM19" s="437"/>
      <c r="AN19" s="437"/>
      <c r="AO19" s="437"/>
      <c r="AP19" s="437"/>
      <c r="AQ19" s="437"/>
      <c r="AR19" s="437"/>
      <c r="AS19" s="437"/>
      <c r="AT19" s="437"/>
      <c r="AU19" s="437"/>
      <c r="AV19" s="437"/>
      <c r="AW19" s="437"/>
      <c r="AX19" s="437"/>
      <c r="AY19" s="437"/>
      <c r="AZ19" s="437"/>
      <c r="BA19" s="437"/>
      <c r="BB19" s="437"/>
      <c r="BC19" s="437"/>
      <c r="BD19" s="437"/>
      <c r="BE19" s="437"/>
    </row>
    <row r="20" spans="1:57" s="83" customFormat="1" x14ac:dyDescent="0.2">
      <c r="A20" s="753" t="s">
        <v>252</v>
      </c>
      <c r="B20" s="1248"/>
      <c r="C20" s="743"/>
      <c r="D20" s="1157"/>
      <c r="E20" s="1157"/>
      <c r="F20" s="440"/>
      <c r="G20" s="788" t="s">
        <v>406</v>
      </c>
      <c r="H20" s="539"/>
      <c r="I20" s="876">
        <v>0.2</v>
      </c>
      <c r="J20" s="785" t="s">
        <v>2229</v>
      </c>
      <c r="K20" s="789">
        <f ca="1">I20*K17</f>
        <v>51635135.468362153</v>
      </c>
      <c r="L20" s="437"/>
      <c r="M20" s="437"/>
      <c r="N20" s="437"/>
      <c r="O20" s="770"/>
      <c r="P20" s="437"/>
      <c r="Q20" s="788" t="s">
        <v>406</v>
      </c>
      <c r="R20" s="539"/>
      <c r="S20" s="876">
        <v>0.2</v>
      </c>
      <c r="T20" s="785" t="s">
        <v>2229</v>
      </c>
      <c r="U20" s="789">
        <f t="shared" ca="1" si="1"/>
        <v>51600000</v>
      </c>
      <c r="V20" s="437"/>
      <c r="W20" s="437"/>
      <c r="X20" s="437"/>
      <c r="Y20" s="437"/>
      <c r="Z20" s="437"/>
      <c r="AA20" s="437"/>
      <c r="AB20" s="437"/>
      <c r="AC20" s="437"/>
      <c r="AD20" s="437"/>
      <c r="AE20" s="437"/>
      <c r="AF20" s="437"/>
      <c r="AG20" s="437"/>
      <c r="AH20" s="437"/>
      <c r="AI20" s="437"/>
      <c r="AJ20" s="437"/>
      <c r="AK20" s="437"/>
      <c r="AL20" s="437"/>
      <c r="AM20" s="437"/>
      <c r="AN20" s="437"/>
      <c r="AO20" s="437"/>
      <c r="AP20" s="437"/>
      <c r="AQ20" s="437"/>
      <c r="AR20" s="437"/>
      <c r="AS20" s="437"/>
      <c r="AT20" s="437"/>
      <c r="AU20" s="437"/>
      <c r="AV20" s="437"/>
      <c r="AW20" s="437"/>
      <c r="AX20" s="437"/>
      <c r="AY20" s="437"/>
      <c r="AZ20" s="437"/>
      <c r="BA20" s="437"/>
      <c r="BB20" s="437"/>
      <c r="BC20" s="437"/>
      <c r="BD20" s="437"/>
      <c r="BE20" s="437"/>
    </row>
    <row r="21" spans="1:57" s="83" customFormat="1" x14ac:dyDescent="0.2">
      <c r="A21" s="743" t="s">
        <v>244</v>
      </c>
      <c r="B21" s="757">
        <v>7</v>
      </c>
      <c r="C21" s="743" t="s">
        <v>2281</v>
      </c>
      <c r="D21" s="1157"/>
      <c r="E21" s="1157"/>
      <c r="F21" s="440"/>
      <c r="G21" s="788" t="s">
        <v>407</v>
      </c>
      <c r="H21" s="539"/>
      <c r="I21" s="876">
        <v>0.1</v>
      </c>
      <c r="J21" s="785" t="s">
        <v>2229</v>
      </c>
      <c r="K21" s="789">
        <f ca="1">I21*K17</f>
        <v>25817567.734181076</v>
      </c>
      <c r="L21" s="437"/>
      <c r="M21" s="25">
        <f ca="1">K21/FCI</f>
        <v>6.25E-2</v>
      </c>
      <c r="N21" s="437" t="s">
        <v>2240</v>
      </c>
      <c r="O21" s="25">
        <f ca="1">K21/J13</f>
        <v>0.16219393548797051</v>
      </c>
      <c r="P21" s="437" t="s">
        <v>2277</v>
      </c>
      <c r="Q21" s="788" t="s">
        <v>407</v>
      </c>
      <c r="R21" s="539"/>
      <c r="S21" s="876">
        <v>0.1</v>
      </c>
      <c r="T21" s="785" t="s">
        <v>2229</v>
      </c>
      <c r="U21" s="789">
        <f t="shared" ca="1" si="1"/>
        <v>25800000</v>
      </c>
      <c r="V21" s="437"/>
      <c r="W21" s="437"/>
      <c r="X21" s="437"/>
      <c r="Y21" s="437"/>
      <c r="Z21" s="437"/>
      <c r="AA21" s="437"/>
      <c r="AB21" s="437"/>
      <c r="AC21" s="437"/>
      <c r="AD21" s="437"/>
      <c r="AE21" s="437"/>
      <c r="AF21" s="437"/>
      <c r="AG21" s="437"/>
      <c r="AH21" s="437"/>
      <c r="AI21" s="437"/>
      <c r="AJ21" s="437"/>
      <c r="AK21" s="437"/>
      <c r="AL21" s="437"/>
      <c r="AM21" s="437"/>
      <c r="AN21" s="437"/>
      <c r="AO21" s="437"/>
      <c r="AP21" s="437"/>
      <c r="AQ21" s="437"/>
      <c r="AR21" s="437"/>
      <c r="AS21" s="437"/>
      <c r="AT21" s="437"/>
      <c r="AU21" s="437"/>
      <c r="AV21" s="437"/>
      <c r="AW21" s="437"/>
      <c r="AX21" s="437"/>
      <c r="AY21" s="437"/>
      <c r="AZ21" s="437"/>
      <c r="BA21" s="437"/>
      <c r="BB21" s="437"/>
      <c r="BC21" s="437"/>
      <c r="BD21" s="437"/>
      <c r="BE21" s="437"/>
    </row>
    <row r="22" spans="1:57" s="83" customFormat="1" x14ac:dyDescent="0.2">
      <c r="A22" s="743" t="s">
        <v>253</v>
      </c>
      <c r="B22" s="757">
        <v>20</v>
      </c>
      <c r="C22" s="743" t="s">
        <v>2281</v>
      </c>
      <c r="D22" s="1157"/>
      <c r="E22" s="1157"/>
      <c r="F22" s="440"/>
      <c r="G22" s="788" t="s">
        <v>2227</v>
      </c>
      <c r="H22" s="539"/>
      <c r="I22" s="876">
        <v>0.1</v>
      </c>
      <c r="J22" s="785" t="s">
        <v>2229</v>
      </c>
      <c r="K22" s="789">
        <f ca="1">I22*K17</f>
        <v>25817567.734181076</v>
      </c>
      <c r="L22" s="437"/>
      <c r="M22" s="25">
        <f ca="1">K22/FCI</f>
        <v>6.25E-2</v>
      </c>
      <c r="N22" s="437" t="s">
        <v>2240</v>
      </c>
      <c r="O22" s="770"/>
      <c r="P22" s="437"/>
      <c r="Q22" s="788" t="s">
        <v>2227</v>
      </c>
      <c r="R22" s="539"/>
      <c r="S22" s="876">
        <v>0.1</v>
      </c>
      <c r="T22" s="785" t="s">
        <v>2229</v>
      </c>
      <c r="U22" s="789">
        <f t="shared" ca="1" si="1"/>
        <v>25800000</v>
      </c>
      <c r="V22" s="437"/>
      <c r="W22" s="437"/>
      <c r="X22" s="437"/>
      <c r="Y22" s="437"/>
      <c r="Z22" s="437"/>
      <c r="AA22" s="437"/>
      <c r="AB22" s="437"/>
      <c r="AC22" s="437"/>
      <c r="AD22" s="437"/>
      <c r="AE22" s="437"/>
      <c r="AF22" s="437"/>
      <c r="AG22" s="437"/>
      <c r="AH22" s="437"/>
      <c r="AI22" s="437"/>
      <c r="AJ22" s="437"/>
      <c r="AK22" s="437"/>
      <c r="AL22" s="437"/>
      <c r="AM22" s="437"/>
      <c r="AN22" s="437"/>
      <c r="AO22" s="437"/>
      <c r="AP22" s="437"/>
      <c r="AQ22" s="437"/>
      <c r="AR22" s="437"/>
      <c r="AS22" s="437"/>
      <c r="AT22" s="437"/>
      <c r="AU22" s="437"/>
      <c r="AV22" s="437"/>
      <c r="AW22" s="437"/>
      <c r="AX22" s="437"/>
      <c r="AY22" s="437"/>
      <c r="AZ22" s="437"/>
      <c r="BA22" s="437"/>
      <c r="BB22" s="437"/>
      <c r="BC22" s="437"/>
      <c r="BD22" s="437"/>
      <c r="BE22" s="437"/>
    </row>
    <row r="23" spans="1:57" s="83" customFormat="1" x14ac:dyDescent="0.2">
      <c r="A23" s="753" t="s">
        <v>254</v>
      </c>
      <c r="B23" s="757">
        <v>3</v>
      </c>
      <c r="C23" s="743"/>
      <c r="D23" s="1157"/>
      <c r="E23" s="1157"/>
      <c r="F23" s="440"/>
      <c r="G23" s="878" t="s">
        <v>2225</v>
      </c>
      <c r="H23" s="539"/>
      <c r="I23" s="539"/>
      <c r="J23" s="539"/>
      <c r="K23" s="879">
        <f ca="1">SUM(K18:K22)</f>
        <v>154905406.40508646</v>
      </c>
      <c r="L23" s="437"/>
      <c r="M23" s="400">
        <f ca="1">K23/J13</f>
        <v>0.97316361292782305</v>
      </c>
      <c r="N23" s="437" t="s">
        <v>2277</v>
      </c>
      <c r="O23" s="770"/>
      <c r="P23" s="437"/>
      <c r="Q23" s="878" t="s">
        <v>2225</v>
      </c>
      <c r="R23" s="539"/>
      <c r="S23" s="539"/>
      <c r="T23" s="539"/>
      <c r="U23" s="879">
        <f t="shared" ca="1" si="1"/>
        <v>154900000</v>
      </c>
      <c r="V23" s="437"/>
      <c r="W23" s="437"/>
      <c r="X23" s="437"/>
      <c r="Y23" s="437"/>
      <c r="Z23" s="437"/>
      <c r="AA23" s="437"/>
      <c r="AB23" s="437"/>
      <c r="AC23" s="437"/>
      <c r="AD23" s="437"/>
      <c r="AE23" s="437"/>
      <c r="AF23" s="437"/>
      <c r="AG23" s="437"/>
      <c r="AH23" s="437"/>
      <c r="AI23" s="437"/>
      <c r="AJ23" s="437"/>
      <c r="AK23" s="437"/>
      <c r="AL23" s="437"/>
      <c r="AM23" s="437"/>
      <c r="AN23" s="437"/>
      <c r="AO23" s="437"/>
      <c r="AP23" s="437"/>
      <c r="AQ23" s="437"/>
      <c r="AR23" s="437"/>
      <c r="AS23" s="437"/>
      <c r="AT23" s="437"/>
      <c r="AU23" s="437"/>
      <c r="AV23" s="437"/>
      <c r="AW23" s="437"/>
      <c r="AX23" s="437"/>
      <c r="AY23" s="437"/>
      <c r="AZ23" s="437"/>
      <c r="BA23" s="437"/>
      <c r="BB23" s="437"/>
      <c r="BC23" s="437"/>
      <c r="BD23" s="437"/>
      <c r="BE23" s="437"/>
    </row>
    <row r="24" spans="1:57" s="83" customFormat="1" x14ac:dyDescent="0.2">
      <c r="A24" s="753" t="s">
        <v>256</v>
      </c>
      <c r="B24" s="755">
        <v>0.08</v>
      </c>
      <c r="C24" s="743"/>
      <c r="D24" s="1157"/>
      <c r="E24" s="1157"/>
      <c r="F24" s="440"/>
      <c r="G24" s="880" t="s">
        <v>2226</v>
      </c>
      <c r="H24" s="539"/>
      <c r="I24" s="539"/>
      <c r="J24" s="539"/>
      <c r="K24" s="790">
        <f ca="1">K17+K23</f>
        <v>413081083.74689722</v>
      </c>
      <c r="L24" s="437"/>
      <c r="M24" s="437"/>
      <c r="N24" s="437"/>
      <c r="O24" s="770"/>
      <c r="P24" s="437"/>
      <c r="Q24" s="880" t="s">
        <v>2226</v>
      </c>
      <c r="R24" s="539"/>
      <c r="S24" s="539"/>
      <c r="T24" s="539"/>
      <c r="U24" s="790">
        <f ca="1">ROUND(K24,-5)</f>
        <v>413100000</v>
      </c>
      <c r="V24" s="437"/>
      <c r="W24" s="437"/>
      <c r="X24" s="437"/>
      <c r="Y24" s="437"/>
      <c r="Z24" s="437"/>
      <c r="AA24" s="437"/>
      <c r="AB24" s="437"/>
      <c r="AC24" s="437"/>
      <c r="AD24" s="437"/>
      <c r="AE24" s="437"/>
      <c r="AF24" s="437"/>
      <c r="AG24" s="437"/>
      <c r="AH24" s="437"/>
      <c r="AI24" s="437"/>
      <c r="AJ24" s="437"/>
      <c r="AK24" s="437"/>
      <c r="AL24" s="437"/>
      <c r="AM24" s="437"/>
      <c r="AN24" s="437"/>
      <c r="AO24" s="437"/>
      <c r="AP24" s="437"/>
      <c r="AQ24" s="437"/>
      <c r="AR24" s="437"/>
      <c r="AS24" s="437"/>
      <c r="AT24" s="437"/>
      <c r="AU24" s="437"/>
      <c r="AV24" s="437"/>
      <c r="AW24" s="437"/>
      <c r="AX24" s="437"/>
      <c r="AY24" s="437"/>
      <c r="AZ24" s="437"/>
      <c r="BA24" s="437"/>
      <c r="BB24" s="437"/>
      <c r="BC24" s="437"/>
      <c r="BD24" s="437"/>
      <c r="BE24" s="437"/>
    </row>
    <row r="25" spans="1:57" s="83" customFormat="1" x14ac:dyDescent="0.2">
      <c r="A25" s="753" t="s">
        <v>257</v>
      </c>
      <c r="B25" s="755">
        <v>0.6</v>
      </c>
      <c r="C25" s="743"/>
      <c r="D25" s="1157"/>
      <c r="E25" s="1157"/>
      <c r="F25" s="440"/>
      <c r="G25" s="792" t="s">
        <v>2653</v>
      </c>
      <c r="H25" s="539"/>
      <c r="I25" s="539"/>
      <c r="J25" s="539"/>
      <c r="K25" s="789">
        <f>D4*D5</f>
        <v>1848000</v>
      </c>
      <c r="L25" s="437"/>
      <c r="M25" s="437"/>
      <c r="N25" s="437"/>
      <c r="O25" s="437"/>
      <c r="P25" s="437"/>
      <c r="Q25" s="437" t="s">
        <v>2653</v>
      </c>
      <c r="R25" s="437"/>
      <c r="S25" s="437"/>
      <c r="T25" s="437"/>
      <c r="U25" s="789">
        <f>ROUND(K25,-5)</f>
        <v>1800000</v>
      </c>
      <c r="V25" s="437"/>
      <c r="W25" s="437"/>
      <c r="X25" s="437"/>
      <c r="Y25" s="437"/>
      <c r="Z25" s="437"/>
      <c r="AA25" s="437"/>
      <c r="AB25" s="437"/>
      <c r="AC25" s="437"/>
      <c r="AD25" s="437"/>
      <c r="AE25" s="437"/>
      <c r="AF25" s="437"/>
      <c r="AG25" s="437"/>
      <c r="AH25" s="437"/>
      <c r="AI25" s="437"/>
      <c r="AJ25" s="437"/>
      <c r="AK25" s="437"/>
      <c r="AL25" s="437"/>
      <c r="AM25" s="437"/>
      <c r="AN25" s="437"/>
      <c r="AO25" s="437"/>
      <c r="AP25" s="437"/>
      <c r="AQ25" s="437"/>
      <c r="AR25" s="437"/>
      <c r="AS25" s="437"/>
      <c r="AT25" s="437"/>
      <c r="AU25" s="437"/>
      <c r="AV25" s="437"/>
      <c r="AW25" s="437"/>
      <c r="AX25" s="437"/>
      <c r="AY25" s="437"/>
      <c r="AZ25" s="437"/>
      <c r="BA25" s="437"/>
      <c r="BB25" s="437"/>
      <c r="BC25" s="437"/>
      <c r="BD25" s="437"/>
      <c r="BE25" s="437"/>
    </row>
    <row r="26" spans="1:57" s="83" customFormat="1" x14ac:dyDescent="0.2">
      <c r="A26" s="753" t="s">
        <v>2147</v>
      </c>
      <c r="B26" s="1249">
        <f>1-SUM(B24:B25)</f>
        <v>0.32000000000000006</v>
      </c>
      <c r="C26" s="743"/>
      <c r="D26" s="1157"/>
      <c r="E26" s="1157"/>
      <c r="F26" s="440"/>
      <c r="G26" s="792" t="s">
        <v>2239</v>
      </c>
      <c r="H26" s="539"/>
      <c r="I26" s="876">
        <v>0.05</v>
      </c>
      <c r="J26" s="785" t="s">
        <v>2240</v>
      </c>
      <c r="K26" s="789">
        <f ca="1">I26*K24</f>
        <v>20654054.187344864</v>
      </c>
      <c r="L26" s="437"/>
      <c r="M26" s="739"/>
      <c r="N26" s="740"/>
      <c r="O26" s="770"/>
      <c r="P26" s="437"/>
      <c r="Q26" s="792" t="s">
        <v>2239</v>
      </c>
      <c r="R26" s="539"/>
      <c r="S26" s="876">
        <v>0.05</v>
      </c>
      <c r="T26" s="785" t="s">
        <v>2240</v>
      </c>
      <c r="U26" s="789">
        <f ca="1">ROUND(K26,-5)</f>
        <v>20700000</v>
      </c>
      <c r="V26" s="437"/>
      <c r="W26" s="437"/>
      <c r="X26" s="437"/>
      <c r="Y26" s="437"/>
      <c r="Z26" s="437"/>
      <c r="AA26" s="437"/>
      <c r="AB26" s="437"/>
      <c r="AC26" s="437"/>
      <c r="AD26" s="437"/>
      <c r="AE26" s="437"/>
      <c r="AF26" s="437"/>
      <c r="AG26" s="437"/>
      <c r="AH26" s="437"/>
      <c r="AI26" s="437"/>
      <c r="AJ26" s="437"/>
      <c r="AK26" s="437"/>
      <c r="AL26" s="437"/>
      <c r="AM26" s="437"/>
      <c r="AN26" s="437"/>
      <c r="AO26" s="437"/>
      <c r="AP26" s="437"/>
      <c r="AQ26" s="437"/>
      <c r="AR26" s="437"/>
      <c r="AS26" s="437"/>
      <c r="AT26" s="437"/>
      <c r="AU26" s="437"/>
      <c r="AV26" s="437"/>
      <c r="AW26" s="437"/>
      <c r="AX26" s="437"/>
      <c r="AY26" s="437"/>
      <c r="AZ26" s="437"/>
      <c r="BA26" s="437"/>
      <c r="BB26" s="437"/>
      <c r="BC26" s="437"/>
      <c r="BD26" s="437"/>
      <c r="BE26" s="437"/>
    </row>
    <row r="27" spans="1:57" s="83" customFormat="1" x14ac:dyDescent="0.2">
      <c r="A27" s="746" t="s">
        <v>22</v>
      </c>
      <c r="B27" s="1149">
        <v>0.5</v>
      </c>
      <c r="C27" s="743"/>
      <c r="D27" s="1157"/>
      <c r="E27" s="1157"/>
      <c r="F27" s="440"/>
      <c r="G27" s="881" t="s">
        <v>408</v>
      </c>
      <c r="H27" s="539"/>
      <c r="I27" s="539"/>
      <c r="J27" s="785"/>
      <c r="K27" s="790">
        <f ca="1">FCI+K26+K25</f>
        <v>435583137.93424207</v>
      </c>
      <c r="L27" s="437"/>
      <c r="M27" s="437" t="s">
        <v>2298</v>
      </c>
      <c r="N27" s="437"/>
      <c r="O27" s="437"/>
      <c r="P27" s="437"/>
      <c r="Q27" s="881" t="s">
        <v>408</v>
      </c>
      <c r="R27" s="539"/>
      <c r="S27" s="539"/>
      <c r="T27" s="785"/>
      <c r="U27" s="790">
        <f ca="1">ROUND(K27,-5)</f>
        <v>435600000</v>
      </c>
      <c r="V27" s="437"/>
      <c r="W27" s="437"/>
      <c r="X27" s="437"/>
      <c r="Y27" s="437"/>
      <c r="Z27" s="437"/>
      <c r="AA27" s="437"/>
      <c r="AB27" s="437"/>
      <c r="AC27" s="437"/>
      <c r="AD27" s="437"/>
      <c r="AE27" s="437"/>
      <c r="AF27" s="437"/>
      <c r="AG27" s="437"/>
      <c r="AH27" s="437"/>
      <c r="AI27" s="437"/>
      <c r="AJ27" s="437"/>
      <c r="AK27" s="437"/>
      <c r="AL27" s="437"/>
      <c r="AM27" s="437"/>
      <c r="AN27" s="437"/>
      <c r="AO27" s="437"/>
      <c r="AP27" s="437"/>
      <c r="AQ27" s="437"/>
      <c r="AR27" s="437"/>
      <c r="AS27" s="437"/>
      <c r="AT27" s="437"/>
      <c r="AU27" s="437"/>
      <c r="AV27" s="437"/>
      <c r="AW27" s="437"/>
      <c r="AX27" s="437"/>
      <c r="AY27" s="437"/>
      <c r="AZ27" s="437"/>
      <c r="BA27" s="437"/>
      <c r="BB27" s="437"/>
      <c r="BC27" s="437"/>
      <c r="BD27" s="437"/>
      <c r="BE27" s="437"/>
    </row>
    <row r="28" spans="1:57" s="83" customFormat="1" x14ac:dyDescent="0.2">
      <c r="A28" s="753" t="s">
        <v>2288</v>
      </c>
      <c r="B28" s="755">
        <v>0.5</v>
      </c>
      <c r="C28" s="743"/>
      <c r="D28" s="1157"/>
      <c r="E28" s="1157"/>
      <c r="F28" s="440"/>
      <c r="G28" s="792"/>
      <c r="H28" s="539"/>
      <c r="I28" s="539"/>
      <c r="J28" s="539"/>
      <c r="K28" s="786"/>
      <c r="L28" s="437"/>
      <c r="M28" s="437" t="s">
        <v>2299</v>
      </c>
      <c r="N28" s="437"/>
      <c r="O28" s="770">
        <f ca="1">0.1*FCI</f>
        <v>41308108.374689728</v>
      </c>
      <c r="P28" s="437"/>
      <c r="Q28" s="792"/>
      <c r="R28" s="539"/>
      <c r="S28" s="539"/>
      <c r="T28" s="539"/>
      <c r="U28" s="786"/>
      <c r="V28" s="437"/>
      <c r="W28" s="437"/>
      <c r="X28" s="437"/>
      <c r="Y28" s="437"/>
      <c r="Z28" s="437"/>
      <c r="AA28" s="437"/>
      <c r="AB28" s="437"/>
      <c r="AC28" s="437"/>
      <c r="AD28" s="437"/>
      <c r="AE28" s="437"/>
      <c r="AF28" s="437"/>
      <c r="AG28" s="437"/>
      <c r="AH28" s="437"/>
      <c r="AI28" s="437"/>
      <c r="AJ28" s="437"/>
      <c r="AK28" s="437"/>
      <c r="AL28" s="437"/>
      <c r="AM28" s="437"/>
      <c r="AN28" s="437"/>
      <c r="AO28" s="437"/>
      <c r="AP28" s="437"/>
      <c r="AQ28" s="437"/>
      <c r="AR28" s="437"/>
      <c r="AS28" s="437"/>
      <c r="AT28" s="437"/>
      <c r="AU28" s="437"/>
      <c r="AV28" s="437"/>
      <c r="AW28" s="437"/>
      <c r="AX28" s="437"/>
      <c r="AY28" s="437"/>
      <c r="AZ28" s="437"/>
      <c r="BA28" s="437"/>
      <c r="BB28" s="437"/>
      <c r="BC28" s="437"/>
      <c r="BD28" s="437"/>
      <c r="BE28" s="437"/>
    </row>
    <row r="29" spans="1:57" s="83" customFormat="1" x14ac:dyDescent="0.2">
      <c r="A29" s="753" t="s">
        <v>23</v>
      </c>
      <c r="B29" s="755">
        <v>0.75</v>
      </c>
      <c r="C29" s="743"/>
      <c r="D29" s="1157"/>
      <c r="E29" s="1157"/>
      <c r="F29" s="440"/>
      <c r="G29" s="788" t="s">
        <v>3390</v>
      </c>
      <c r="H29" s="539"/>
      <c r="I29" s="539"/>
      <c r="J29" s="785"/>
      <c r="K29" s="888">
        <f ca="1">(FCI-J9*1.6)/(J13-CAPEX600)</f>
        <v>3.0609724841348318</v>
      </c>
      <c r="L29" s="437"/>
      <c r="M29" s="437" t="s">
        <v>2300</v>
      </c>
      <c r="N29" s="437"/>
      <c r="O29" s="770">
        <f ca="1">J55/12</f>
        <v>8011433.8885983313</v>
      </c>
      <c r="P29" s="437"/>
      <c r="Q29" s="788" t="s">
        <v>2241</v>
      </c>
      <c r="R29" s="539"/>
      <c r="S29" s="539"/>
      <c r="T29" s="785"/>
      <c r="U29" s="888">
        <f ca="1">K29</f>
        <v>3.0609724841348318</v>
      </c>
      <c r="V29" s="437"/>
      <c r="W29" s="437"/>
      <c r="X29" s="437"/>
      <c r="Y29" s="437"/>
      <c r="Z29" s="437"/>
      <c r="AA29" s="437"/>
      <c r="AB29" s="437"/>
      <c r="AC29" s="437"/>
      <c r="AD29" s="437"/>
      <c r="AE29" s="437"/>
      <c r="AF29" s="437"/>
      <c r="AG29" s="437"/>
      <c r="AH29" s="437"/>
      <c r="AI29" s="437"/>
      <c r="AJ29" s="437"/>
      <c r="AK29" s="437"/>
      <c r="AL29" s="437"/>
      <c r="AM29" s="437"/>
      <c r="AN29" s="437"/>
      <c r="AO29" s="437"/>
      <c r="AP29" s="437"/>
      <c r="AQ29" s="437"/>
      <c r="AR29" s="437"/>
      <c r="AS29" s="437"/>
      <c r="AT29" s="437"/>
      <c r="AU29" s="437"/>
      <c r="AV29" s="437"/>
      <c r="AW29" s="437"/>
      <c r="AX29" s="437"/>
      <c r="AY29" s="437"/>
      <c r="AZ29" s="437"/>
      <c r="BA29" s="437"/>
      <c r="BB29" s="437"/>
      <c r="BC29" s="437"/>
      <c r="BD29" s="437"/>
      <c r="BE29" s="437"/>
    </row>
    <row r="30" spans="1:57" s="83" customFormat="1" x14ac:dyDescent="0.2">
      <c r="A30" s="753" t="s">
        <v>25</v>
      </c>
      <c r="B30" s="755">
        <v>1</v>
      </c>
      <c r="C30" s="743"/>
      <c r="D30" s="1157"/>
      <c r="E30" s="1157"/>
      <c r="F30" s="440"/>
      <c r="G30" s="792" t="s">
        <v>2244</v>
      </c>
      <c r="H30" s="539"/>
      <c r="I30" s="539"/>
      <c r="J30" s="539"/>
      <c r="K30" s="795" t="str">
        <f ca="1">TEXT(Summary!B36,"$#.##") &amp; "/gal"</f>
        <v>$7.61/gal</v>
      </c>
      <c r="L30" s="437"/>
      <c r="M30" s="437" t="s">
        <v>2301</v>
      </c>
      <c r="N30" s="437"/>
      <c r="O30" s="770">
        <f ca="1">J55</f>
        <v>96137206.663179979</v>
      </c>
      <c r="P30" s="437"/>
      <c r="Q30" s="792" t="s">
        <v>2244</v>
      </c>
      <c r="R30" s="539"/>
      <c r="S30" s="539"/>
      <c r="T30" s="539"/>
      <c r="U30" s="795" t="str">
        <f ca="1">K30</f>
        <v>$7.61/gal</v>
      </c>
      <c r="V30" s="437"/>
      <c r="W30" s="437"/>
      <c r="X30" s="437"/>
      <c r="Y30" s="437"/>
      <c r="Z30" s="437"/>
      <c r="AA30" s="437"/>
      <c r="AB30" s="437"/>
      <c r="AC30" s="437"/>
      <c r="AD30" s="437"/>
      <c r="AE30" s="437"/>
      <c r="AF30" s="437"/>
      <c r="AG30" s="437"/>
      <c r="AH30" s="437"/>
      <c r="AI30" s="437"/>
      <c r="AJ30" s="437"/>
      <c r="AK30" s="437"/>
      <c r="AL30" s="437"/>
      <c r="AM30" s="437"/>
      <c r="AN30" s="437"/>
      <c r="AO30" s="437"/>
      <c r="AP30" s="437"/>
      <c r="AQ30" s="437"/>
      <c r="AR30" s="437"/>
      <c r="AS30" s="437"/>
      <c r="AT30" s="437"/>
      <c r="AU30" s="437"/>
      <c r="AV30" s="437"/>
      <c r="AW30" s="437"/>
      <c r="AX30" s="437"/>
      <c r="AY30" s="437"/>
      <c r="AZ30" s="437"/>
      <c r="BA30" s="437"/>
      <c r="BB30" s="437"/>
      <c r="BC30" s="437"/>
      <c r="BD30" s="437"/>
      <c r="BE30" s="437"/>
    </row>
    <row r="31" spans="1:57" s="83" customFormat="1" x14ac:dyDescent="0.2">
      <c r="A31" s="743" t="s">
        <v>2340</v>
      </c>
      <c r="B31" s="754">
        <v>0.1</v>
      </c>
      <c r="C31" s="743" t="s">
        <v>251</v>
      </c>
      <c r="D31" s="1157"/>
      <c r="E31" s="1157"/>
      <c r="F31" s="440"/>
      <c r="G31" s="792"/>
      <c r="H31" s="539"/>
      <c r="I31" s="539"/>
      <c r="J31" s="539"/>
      <c r="K31" s="786"/>
      <c r="L31" s="437"/>
      <c r="M31" s="437" t="s">
        <v>2302</v>
      </c>
      <c r="N31" s="437"/>
      <c r="O31" s="770">
        <f ca="1">O30*0.1</f>
        <v>9613720.6663179975</v>
      </c>
      <c r="P31" s="437"/>
      <c r="Q31" s="792"/>
      <c r="R31" s="539"/>
      <c r="S31" s="539"/>
      <c r="T31" s="539"/>
      <c r="U31" s="786"/>
      <c r="V31" s="437"/>
      <c r="W31" s="437"/>
      <c r="X31" s="437"/>
      <c r="Y31" s="437"/>
      <c r="Z31" s="437"/>
      <c r="AA31" s="437"/>
      <c r="AB31" s="437"/>
      <c r="AC31" s="437"/>
      <c r="AD31" s="437"/>
      <c r="AE31" s="437"/>
      <c r="AF31" s="437"/>
      <c r="AG31" s="437"/>
      <c r="AH31" s="437"/>
      <c r="AI31" s="437"/>
      <c r="AJ31" s="437"/>
      <c r="AK31" s="437"/>
      <c r="AL31" s="437"/>
      <c r="AM31" s="437"/>
      <c r="AN31" s="437"/>
      <c r="AO31" s="437"/>
      <c r="AP31" s="437"/>
      <c r="AQ31" s="437"/>
      <c r="AR31" s="437"/>
      <c r="AS31" s="437"/>
      <c r="AT31" s="437"/>
      <c r="AU31" s="437"/>
      <c r="AV31" s="437"/>
      <c r="AW31" s="437"/>
      <c r="AX31" s="437"/>
      <c r="AY31" s="437"/>
      <c r="AZ31" s="437"/>
      <c r="BA31" s="437"/>
      <c r="BB31" s="437"/>
      <c r="BC31" s="437"/>
      <c r="BD31" s="437"/>
      <c r="BE31" s="437"/>
    </row>
    <row r="32" spans="1:57" s="83" customFormat="1" x14ac:dyDescent="0.2">
      <c r="A32" s="743" t="s">
        <v>258</v>
      </c>
      <c r="B32" s="754">
        <v>0.21</v>
      </c>
      <c r="C32" s="743"/>
      <c r="D32" s="1157"/>
      <c r="E32" s="1157"/>
      <c r="F32" s="440"/>
      <c r="G32" s="873" t="str">
        <f>DCFROR!$B$34&amp;" Dollars"</f>
        <v>2016 Dollars</v>
      </c>
      <c r="H32" s="539"/>
      <c r="I32" s="539"/>
      <c r="J32" s="539"/>
      <c r="K32" s="786"/>
      <c r="L32" s="437"/>
      <c r="M32" s="437" t="s">
        <v>2303</v>
      </c>
      <c r="N32" s="437"/>
      <c r="O32" s="770">
        <f ca="1">O30*0.35</f>
        <v>33648022.33211299</v>
      </c>
      <c r="P32" s="437"/>
      <c r="Q32" s="873" t="str">
        <f>DCFROR!$B$34&amp;" Dollars"</f>
        <v>2016 Dollars</v>
      </c>
      <c r="R32" s="539"/>
      <c r="S32" s="539"/>
      <c r="T32" s="539"/>
      <c r="U32" s="786"/>
      <c r="V32" s="437"/>
      <c r="W32" s="437"/>
      <c r="X32" s="437"/>
      <c r="Y32" s="437"/>
      <c r="Z32" s="437"/>
      <c r="AA32" s="437"/>
      <c r="AB32" s="437"/>
      <c r="AC32" s="437"/>
      <c r="AD32" s="437"/>
      <c r="AE32" s="437"/>
      <c r="AF32" s="437"/>
      <c r="AG32" s="437"/>
      <c r="AH32" s="437"/>
      <c r="AI32" s="437"/>
      <c r="AJ32" s="437"/>
      <c r="AK32" s="437"/>
      <c r="AL32" s="437"/>
      <c r="AM32" s="437"/>
      <c r="AN32" s="437"/>
      <c r="AO32" s="437"/>
      <c r="AP32" s="437"/>
      <c r="AQ32" s="437"/>
      <c r="AR32" s="437"/>
      <c r="AS32" s="437"/>
      <c r="AT32" s="437"/>
      <c r="AU32" s="437"/>
      <c r="AV32" s="437"/>
      <c r="AW32" s="437"/>
      <c r="AX32" s="437"/>
      <c r="AY32" s="437"/>
      <c r="AZ32" s="437"/>
      <c r="BA32" s="437"/>
      <c r="BB32" s="437"/>
      <c r="BC32" s="437"/>
      <c r="BD32" s="437"/>
      <c r="BE32" s="437"/>
    </row>
    <row r="33" spans="1:57" s="83" customFormat="1" ht="13.2" thickBot="1" x14ac:dyDescent="0.25">
      <c r="A33" s="743" t="s">
        <v>259</v>
      </c>
      <c r="B33" s="756">
        <f ca="1">OPEX!B3</f>
        <v>57.209376545185314</v>
      </c>
      <c r="C33" s="743" t="s">
        <v>260</v>
      </c>
      <c r="D33" s="1157"/>
      <c r="E33" s="1157"/>
      <c r="F33" s="440"/>
      <c r="G33" s="793" t="s">
        <v>2242</v>
      </c>
      <c r="H33" s="538"/>
      <c r="I33" s="538"/>
      <c r="J33" s="538"/>
      <c r="K33" s="794" t="str">
        <f>CASEID</f>
        <v>DW1102A</v>
      </c>
      <c r="L33" s="437"/>
      <c r="M33" s="437" t="s">
        <v>2304</v>
      </c>
      <c r="N33" s="437"/>
      <c r="O33" s="769">
        <f ca="1">K26</f>
        <v>20654054.187344864</v>
      </c>
      <c r="P33" s="437"/>
      <c r="Q33" s="793" t="s">
        <v>2242</v>
      </c>
      <c r="R33" s="538"/>
      <c r="S33" s="538"/>
      <c r="T33" s="538"/>
      <c r="U33" s="794" t="str">
        <f>CASEID</f>
        <v>DW1102A</v>
      </c>
      <c r="V33" s="437"/>
      <c r="W33" s="437"/>
      <c r="X33" s="437"/>
      <c r="Y33" s="437"/>
      <c r="Z33" s="437"/>
      <c r="AA33" s="437"/>
      <c r="AB33" s="437"/>
      <c r="AC33" s="437"/>
      <c r="AD33" s="437"/>
      <c r="AE33" s="437"/>
      <c r="AF33" s="437"/>
      <c r="AG33" s="437"/>
      <c r="AH33" s="437"/>
      <c r="AI33" s="437"/>
      <c r="AJ33" s="437"/>
      <c r="AK33" s="437"/>
      <c r="AL33" s="437"/>
      <c r="AM33" s="437"/>
      <c r="AN33" s="437"/>
      <c r="AO33" s="437"/>
      <c r="AP33" s="437"/>
      <c r="AQ33" s="437"/>
      <c r="AR33" s="437"/>
      <c r="AS33" s="437"/>
      <c r="AT33" s="437"/>
      <c r="AU33" s="437"/>
      <c r="AV33" s="437"/>
      <c r="AW33" s="437"/>
      <c r="AX33" s="437"/>
      <c r="AY33" s="437"/>
      <c r="AZ33" s="437"/>
      <c r="BA33" s="437"/>
      <c r="BB33" s="437"/>
      <c r="BC33" s="437"/>
      <c r="BD33" s="437"/>
      <c r="BE33" s="437"/>
    </row>
    <row r="34" spans="1:57" s="83" customFormat="1" x14ac:dyDescent="0.2">
      <c r="A34" s="743" t="s">
        <v>261</v>
      </c>
      <c r="B34" s="757">
        <v>2016</v>
      </c>
      <c r="C34" s="743"/>
      <c r="D34" s="1257"/>
      <c r="E34" s="1257"/>
      <c r="F34" s="440"/>
      <c r="G34" s="437"/>
      <c r="H34" s="437"/>
      <c r="I34" s="437"/>
      <c r="J34" s="437"/>
      <c r="K34" s="437"/>
      <c r="L34" s="437"/>
      <c r="M34" s="437"/>
      <c r="N34" s="437"/>
      <c r="O34" s="437"/>
      <c r="P34" s="437"/>
      <c r="Q34" s="437"/>
      <c r="R34" s="437"/>
      <c r="S34" s="437"/>
      <c r="T34" s="437"/>
      <c r="U34" s="437"/>
      <c r="V34" s="437"/>
      <c r="W34" s="437"/>
      <c r="X34" s="437"/>
      <c r="Y34" s="437"/>
      <c r="Z34" s="437"/>
      <c r="AA34" s="437"/>
      <c r="AB34" s="437"/>
      <c r="AC34" s="437"/>
      <c r="AD34" s="437"/>
      <c r="AE34" s="437"/>
      <c r="AF34" s="437"/>
      <c r="AG34" s="437"/>
      <c r="AH34" s="437"/>
      <c r="AI34" s="437"/>
      <c r="AJ34" s="437"/>
      <c r="AK34" s="437"/>
      <c r="AL34" s="437"/>
      <c r="AM34" s="437"/>
      <c r="AN34" s="437"/>
      <c r="AO34" s="437"/>
      <c r="AP34" s="437"/>
      <c r="AQ34" s="437"/>
      <c r="AR34" s="437"/>
      <c r="AS34" s="437"/>
      <c r="AT34" s="437"/>
      <c r="AU34" s="437"/>
      <c r="AV34" s="437"/>
      <c r="AW34" s="437"/>
      <c r="AX34" s="437"/>
      <c r="AY34" s="437"/>
      <c r="AZ34" s="437"/>
      <c r="BA34" s="437"/>
      <c r="BB34" s="437"/>
      <c r="BC34" s="437"/>
      <c r="BD34" s="437"/>
      <c r="BE34" s="437"/>
    </row>
    <row r="35" spans="1:57" s="83" customFormat="1" x14ac:dyDescent="0.2">
      <c r="A35" s="758" t="s">
        <v>651</v>
      </c>
      <c r="B35" s="759">
        <v>2.5272281460796382</v>
      </c>
      <c r="C35" s="760" t="s">
        <v>262</v>
      </c>
      <c r="D35" s="1258"/>
      <c r="E35" s="1259"/>
      <c r="F35" s="440"/>
      <c r="G35" s="437"/>
      <c r="H35" s="437"/>
      <c r="I35" s="437"/>
      <c r="J35" s="437"/>
      <c r="K35" s="437"/>
      <c r="L35" s="437"/>
      <c r="M35" s="437"/>
      <c r="N35" s="437"/>
      <c r="O35" s="437"/>
      <c r="P35" s="437"/>
      <c r="Q35" s="437"/>
      <c r="R35" s="437"/>
      <c r="S35" s="437"/>
      <c r="T35" s="437"/>
      <c r="U35" s="437"/>
      <c r="V35" s="437"/>
      <c r="W35" s="437"/>
      <c r="X35" s="437"/>
      <c r="Y35" s="437"/>
      <c r="Z35" s="437"/>
      <c r="AA35" s="437"/>
      <c r="AB35" s="437"/>
      <c r="AC35" s="437"/>
      <c r="AD35" s="437"/>
      <c r="AE35" s="437"/>
      <c r="AF35" s="437"/>
      <c r="AG35" s="437"/>
      <c r="AH35" s="437"/>
      <c r="AI35" s="437"/>
      <c r="AJ35" s="437"/>
      <c r="AK35" s="437"/>
      <c r="AL35" s="437"/>
      <c r="AM35" s="437"/>
      <c r="AN35" s="437"/>
      <c r="AO35" s="437"/>
      <c r="AP35" s="437"/>
      <c r="AQ35" s="437"/>
      <c r="AR35" s="437"/>
      <c r="AS35" s="437"/>
      <c r="AT35" s="437"/>
      <c r="AU35" s="437"/>
      <c r="AV35" s="437"/>
      <c r="AW35" s="437"/>
      <c r="AX35" s="437"/>
      <c r="AY35" s="437"/>
      <c r="AZ35" s="437"/>
      <c r="BA35" s="437"/>
      <c r="BB35" s="437"/>
      <c r="BC35" s="437"/>
      <c r="BD35" s="437"/>
      <c r="BE35" s="437"/>
    </row>
    <row r="36" spans="1:57" s="83" customFormat="1" x14ac:dyDescent="0.2">
      <c r="A36" s="758"/>
      <c r="B36" s="761"/>
      <c r="C36" s="760"/>
      <c r="D36" s="1260"/>
      <c r="E36" s="1260"/>
      <c r="F36" s="440"/>
      <c r="G36" s="437"/>
      <c r="H36" s="437"/>
      <c r="I36" s="437"/>
      <c r="J36" s="437" t="s">
        <v>2297</v>
      </c>
      <c r="K36" s="440">
        <f ca="1">SUM(K4:K8,CAPEX700,CAPEX900)/SUM(J4:J8,J10,J12)</f>
        <v>1.6998044452200347</v>
      </c>
      <c r="L36" s="437"/>
      <c r="M36" s="437"/>
      <c r="N36" s="437"/>
      <c r="O36" s="437"/>
      <c r="P36" s="437"/>
      <c r="Q36" s="437"/>
      <c r="R36" s="437"/>
      <c r="S36" s="437"/>
      <c r="T36" s="437"/>
      <c r="U36" s="437"/>
      <c r="V36" s="437"/>
      <c r="W36" s="437"/>
      <c r="X36" s="437"/>
      <c r="Y36" s="437"/>
      <c r="Z36" s="437"/>
      <c r="AA36" s="437"/>
      <c r="AB36" s="437"/>
      <c r="AC36" s="437"/>
      <c r="AD36" s="437"/>
      <c r="AE36" s="437"/>
      <c r="AF36" s="437"/>
      <c r="AG36" s="437"/>
      <c r="AH36" s="437"/>
      <c r="AI36" s="437"/>
      <c r="AJ36" s="437"/>
      <c r="AK36" s="437"/>
      <c r="AL36" s="437"/>
      <c r="AM36" s="437"/>
      <c r="AN36" s="437"/>
      <c r="AO36" s="437"/>
      <c r="AP36" s="437"/>
      <c r="AQ36" s="437"/>
      <c r="AR36" s="437"/>
      <c r="AS36" s="437"/>
      <c r="AT36" s="437"/>
      <c r="AU36" s="437"/>
      <c r="AV36" s="437"/>
      <c r="AW36" s="437"/>
      <c r="AX36" s="437"/>
      <c r="AY36" s="437"/>
      <c r="AZ36" s="437"/>
      <c r="BA36" s="437"/>
      <c r="BB36" s="437"/>
      <c r="BC36" s="437"/>
      <c r="BD36" s="437"/>
      <c r="BE36" s="437"/>
    </row>
    <row r="37" spans="1:57" s="83" customFormat="1" x14ac:dyDescent="0.2">
      <c r="A37" s="760" t="s">
        <v>924</v>
      </c>
      <c r="B37" s="762">
        <f ca="1">E71</f>
        <v>0</v>
      </c>
      <c r="C37" s="760" t="s">
        <v>264</v>
      </c>
      <c r="D37" s="753"/>
      <c r="E37" s="743"/>
      <c r="F37" s="440"/>
      <c r="G37" s="437"/>
      <c r="H37" s="437"/>
      <c r="I37" s="437"/>
      <c r="J37" s="437"/>
      <c r="K37" s="437"/>
      <c r="L37" s="437"/>
      <c r="M37" s="437"/>
      <c r="N37" s="437"/>
      <c r="O37" s="437"/>
      <c r="P37" s="437"/>
      <c r="Q37" s="437"/>
      <c r="R37" s="437"/>
      <c r="S37" s="437"/>
      <c r="T37" s="437"/>
      <c r="U37" s="437"/>
      <c r="V37" s="437"/>
      <c r="W37" s="437"/>
      <c r="X37" s="437"/>
      <c r="Y37" s="437"/>
      <c r="Z37" s="437"/>
      <c r="AA37" s="437"/>
      <c r="AB37" s="437"/>
      <c r="AC37" s="437"/>
      <c r="AD37" s="437"/>
      <c r="AE37" s="437"/>
      <c r="AF37" s="437"/>
      <c r="AG37" s="437"/>
      <c r="AH37" s="437"/>
      <c r="AI37" s="437"/>
      <c r="AJ37" s="437"/>
      <c r="AK37" s="437"/>
      <c r="AL37" s="437"/>
      <c r="AM37" s="437"/>
      <c r="AN37" s="437"/>
      <c r="AO37" s="437"/>
      <c r="AP37" s="437"/>
      <c r="AQ37" s="437"/>
      <c r="AR37" s="437"/>
      <c r="AS37" s="437"/>
      <c r="AT37" s="437"/>
      <c r="AU37" s="437"/>
      <c r="AV37" s="437"/>
      <c r="AW37" s="437"/>
      <c r="AX37" s="437"/>
      <c r="AY37" s="437"/>
      <c r="AZ37" s="437"/>
      <c r="BA37" s="437"/>
      <c r="BB37" s="437"/>
      <c r="BC37" s="437"/>
      <c r="BD37" s="437"/>
      <c r="BE37" s="437"/>
    </row>
    <row r="38" spans="1:57" s="83" customFormat="1" x14ac:dyDescent="0.2">
      <c r="A38" s="437"/>
      <c r="B38" s="437"/>
      <c r="C38" s="437"/>
      <c r="D38" s="437"/>
      <c r="E38" s="437"/>
      <c r="F38" s="440"/>
      <c r="G38" s="437"/>
      <c r="H38" s="437"/>
      <c r="I38" s="437"/>
      <c r="J38" s="437"/>
      <c r="K38" s="437"/>
      <c r="L38" s="437"/>
      <c r="M38" s="437"/>
      <c r="N38" s="437"/>
      <c r="O38" s="437"/>
      <c r="P38" s="437"/>
      <c r="Q38" s="437"/>
      <c r="R38" s="437"/>
      <c r="S38" s="437"/>
      <c r="T38" s="437"/>
      <c r="U38" s="437"/>
      <c r="V38" s="437"/>
      <c r="W38" s="437"/>
      <c r="X38" s="437"/>
      <c r="Y38" s="437"/>
      <c r="Z38" s="437"/>
      <c r="AA38" s="437"/>
      <c r="AB38" s="437"/>
      <c r="AC38" s="437"/>
      <c r="AD38" s="437"/>
      <c r="AE38" s="437"/>
      <c r="AF38" s="437"/>
      <c r="AG38" s="437"/>
      <c r="AH38" s="437"/>
      <c r="AI38" s="437"/>
      <c r="AJ38" s="437"/>
      <c r="AK38" s="437"/>
      <c r="AL38" s="437"/>
      <c r="AM38" s="437"/>
      <c r="AN38" s="437"/>
      <c r="AO38" s="437"/>
      <c r="AP38" s="437"/>
      <c r="AQ38" s="437"/>
      <c r="AR38" s="437"/>
      <c r="AS38" s="437"/>
      <c r="AT38" s="437"/>
      <c r="AU38" s="437"/>
      <c r="AV38" s="437"/>
      <c r="AW38" s="437"/>
      <c r="AX38" s="437"/>
      <c r="AY38" s="437"/>
      <c r="AZ38" s="437"/>
      <c r="BA38" s="437"/>
      <c r="BB38" s="437"/>
      <c r="BC38" s="437"/>
      <c r="BD38" s="437"/>
      <c r="BE38" s="437"/>
    </row>
    <row r="39" spans="1:57" s="83" customFormat="1" x14ac:dyDescent="0.2">
      <c r="A39" s="536" t="s">
        <v>265</v>
      </c>
      <c r="B39" s="90"/>
      <c r="C39" s="90"/>
      <c r="D39" s="90"/>
      <c r="E39" s="90"/>
      <c r="F39" s="440"/>
      <c r="G39" s="437"/>
      <c r="H39" s="437"/>
      <c r="I39" s="437"/>
      <c r="J39" s="437"/>
      <c r="K39" s="437"/>
      <c r="L39" s="437"/>
      <c r="M39" s="437"/>
      <c r="N39" s="437"/>
      <c r="O39" s="437"/>
      <c r="P39" s="437"/>
      <c r="Q39" s="437"/>
      <c r="R39" s="437"/>
      <c r="S39" s="437"/>
      <c r="T39" s="437"/>
      <c r="U39" s="437"/>
      <c r="V39" s="437"/>
      <c r="W39" s="437"/>
      <c r="X39" s="437"/>
      <c r="Y39" s="437"/>
      <c r="Z39" s="437"/>
      <c r="AA39" s="437"/>
      <c r="AB39" s="437"/>
      <c r="AC39" s="437"/>
      <c r="AD39" s="437"/>
      <c r="AE39" s="437"/>
      <c r="AF39" s="437"/>
      <c r="AG39" s="437"/>
      <c r="AH39" s="437"/>
      <c r="AI39" s="437"/>
      <c r="AJ39" s="437"/>
      <c r="AK39" s="437"/>
      <c r="AL39" s="437"/>
      <c r="AM39" s="437"/>
      <c r="AN39" s="437"/>
      <c r="AO39" s="437"/>
      <c r="AP39" s="437"/>
      <c r="AQ39" s="437"/>
      <c r="AR39" s="437"/>
      <c r="AS39" s="437"/>
      <c r="AT39" s="437"/>
      <c r="AU39" s="437"/>
      <c r="AV39" s="437"/>
      <c r="AW39" s="437"/>
      <c r="AX39" s="437"/>
      <c r="AY39" s="437"/>
      <c r="AZ39" s="437"/>
      <c r="BA39" s="437"/>
      <c r="BB39" s="437"/>
      <c r="BC39" s="437"/>
      <c r="BD39" s="437"/>
      <c r="BE39" s="437"/>
    </row>
    <row r="40" spans="1:57" s="1495" customFormat="1" ht="13.2" thickBot="1" x14ac:dyDescent="0.25">
      <c r="A40" s="1396" t="s">
        <v>266</v>
      </c>
      <c r="B40" s="1397"/>
      <c r="C40" s="1397">
        <v>-2</v>
      </c>
      <c r="D40" s="1397">
        <v>-1</v>
      </c>
      <c r="E40" s="1397">
        <v>0</v>
      </c>
      <c r="F40" s="1397">
        <v>1</v>
      </c>
      <c r="G40" s="1397">
        <v>2</v>
      </c>
      <c r="H40" s="1397">
        <v>3</v>
      </c>
      <c r="I40" s="1397">
        <v>4</v>
      </c>
      <c r="J40" s="1397">
        <v>5</v>
      </c>
      <c r="K40" s="1397">
        <v>6</v>
      </c>
      <c r="L40" s="1397">
        <v>7</v>
      </c>
      <c r="M40" s="1397">
        <v>8</v>
      </c>
      <c r="N40" s="1397">
        <v>9</v>
      </c>
      <c r="O40" s="1397">
        <v>10</v>
      </c>
      <c r="P40" s="1397">
        <v>11</v>
      </c>
      <c r="Q40" s="1397">
        <v>12</v>
      </c>
      <c r="R40" s="1397">
        <v>13</v>
      </c>
      <c r="S40" s="1397">
        <v>14</v>
      </c>
      <c r="T40" s="1397">
        <v>15</v>
      </c>
      <c r="U40" s="1397">
        <v>16</v>
      </c>
      <c r="V40" s="1397">
        <v>17</v>
      </c>
      <c r="W40" s="1397">
        <v>18</v>
      </c>
      <c r="X40" s="1397">
        <v>19</v>
      </c>
      <c r="Y40" s="1397">
        <v>20</v>
      </c>
      <c r="Z40" s="1397">
        <v>21</v>
      </c>
      <c r="AA40" s="1397">
        <v>22</v>
      </c>
      <c r="AB40" s="1397">
        <v>23</v>
      </c>
      <c r="AC40" s="1397">
        <v>24</v>
      </c>
      <c r="AD40" s="1397">
        <v>25</v>
      </c>
      <c r="AE40" s="1397">
        <v>26</v>
      </c>
      <c r="AF40" s="1397">
        <v>27</v>
      </c>
      <c r="AG40" s="1397">
        <v>28</v>
      </c>
      <c r="AH40" s="1397">
        <v>29</v>
      </c>
      <c r="AI40" s="1397">
        <v>30</v>
      </c>
    </row>
    <row r="41" spans="1:57" s="1405" customFormat="1" x14ac:dyDescent="0.2">
      <c r="A41" s="1155" t="s">
        <v>243</v>
      </c>
      <c r="B41" s="1155"/>
      <c r="C41" s="1404">
        <f ca="1">FCI*B24*B8</f>
        <v>13218594.679900713</v>
      </c>
      <c r="D41" s="1404">
        <f ca="1">FCI*B25*B8</f>
        <v>99139460.099255323</v>
      </c>
      <c r="E41" s="1404">
        <f ca="1">FCI*B26*B8</f>
        <v>52874378.719602853</v>
      </c>
      <c r="F41" s="1155"/>
      <c r="G41" s="1155"/>
      <c r="H41" s="1155"/>
      <c r="I41" s="1155"/>
      <c r="J41" s="1155"/>
      <c r="K41" s="1155"/>
      <c r="L41" s="1155"/>
      <c r="M41" s="1155"/>
      <c r="N41" s="1155"/>
      <c r="O41" s="1155"/>
      <c r="P41" s="1155"/>
      <c r="Q41" s="1155"/>
      <c r="R41" s="1155"/>
      <c r="S41" s="1155"/>
      <c r="T41" s="1155"/>
      <c r="U41" s="1155"/>
      <c r="V41" s="1155"/>
      <c r="W41" s="1155"/>
      <c r="X41" s="1155"/>
      <c r="Y41" s="1155"/>
      <c r="Z41" s="1155"/>
      <c r="AA41" s="1155"/>
      <c r="AB41" s="1155"/>
      <c r="AC41" s="1155"/>
      <c r="AD41" s="1155"/>
      <c r="AE41" s="1155"/>
      <c r="AF41" s="1155"/>
      <c r="AG41" s="1155"/>
      <c r="AH41" s="1155"/>
      <c r="AI41" s="1155"/>
      <c r="AJ41" s="1260"/>
      <c r="AK41" s="1260"/>
      <c r="AL41" s="1260"/>
      <c r="AM41" s="1260"/>
      <c r="AN41" s="1260"/>
      <c r="AO41" s="1260"/>
      <c r="AP41" s="1260"/>
      <c r="AQ41" s="1260"/>
      <c r="AR41" s="1260"/>
      <c r="AS41" s="1260"/>
      <c r="AT41" s="1260"/>
      <c r="AU41" s="1260"/>
      <c r="AV41" s="1260"/>
      <c r="AW41" s="1260"/>
      <c r="AX41" s="1260"/>
      <c r="AY41" s="1260"/>
      <c r="AZ41" s="1260"/>
      <c r="BA41" s="1260"/>
      <c r="BB41" s="1260"/>
      <c r="BC41" s="1260"/>
      <c r="BD41" s="1260"/>
      <c r="BE41" s="1260"/>
    </row>
    <row r="42" spans="1:57" s="1405" customFormat="1" x14ac:dyDescent="0.2">
      <c r="A42" s="1155" t="s">
        <v>2652</v>
      </c>
      <c r="B42" s="1155"/>
      <c r="C42" s="1404">
        <f>K25</f>
        <v>1848000</v>
      </c>
      <c r="D42" s="1398"/>
      <c r="E42" s="1398"/>
      <c r="F42" s="1155"/>
      <c r="G42" s="1155"/>
      <c r="H42" s="1155"/>
      <c r="I42" s="1155"/>
      <c r="J42" s="1155"/>
      <c r="K42" s="1155"/>
      <c r="L42" s="1155"/>
      <c r="M42" s="1155"/>
      <c r="N42" s="1155"/>
      <c r="O42" s="1155"/>
      <c r="P42" s="1155"/>
      <c r="Q42" s="1155"/>
      <c r="R42" s="1155"/>
      <c r="S42" s="1155"/>
      <c r="T42" s="1155"/>
      <c r="U42" s="1155"/>
      <c r="V42" s="1155"/>
      <c r="W42" s="1155"/>
      <c r="X42" s="1155"/>
      <c r="Y42" s="1155"/>
      <c r="Z42" s="1155"/>
      <c r="AA42" s="1155"/>
      <c r="AB42" s="1155"/>
      <c r="AC42" s="1155"/>
      <c r="AD42" s="1155"/>
      <c r="AE42" s="1155"/>
      <c r="AF42" s="1155"/>
      <c r="AG42" s="1155"/>
      <c r="AH42" s="1155"/>
      <c r="AI42" s="1400">
        <f>-C42</f>
        <v>-1848000</v>
      </c>
      <c r="AJ42" s="1260"/>
      <c r="AK42" s="1260"/>
      <c r="AL42" s="1260"/>
      <c r="AM42" s="1260"/>
      <c r="AN42" s="1260"/>
      <c r="AO42" s="1260"/>
      <c r="AP42" s="1260"/>
      <c r="AQ42" s="1260"/>
      <c r="AR42" s="1260"/>
      <c r="AS42" s="1260"/>
      <c r="AT42" s="1260"/>
      <c r="AU42" s="1260"/>
      <c r="AV42" s="1260"/>
      <c r="AW42" s="1260"/>
      <c r="AX42" s="1260"/>
      <c r="AY42" s="1260"/>
      <c r="AZ42" s="1260"/>
      <c r="BA42" s="1260"/>
      <c r="BB42" s="1260"/>
      <c r="BC42" s="1260"/>
      <c r="BD42" s="1260"/>
      <c r="BE42" s="1260"/>
    </row>
    <row r="43" spans="1:57" s="1405" customFormat="1" ht="13.2" thickBot="1" x14ac:dyDescent="0.25">
      <c r="A43" s="1401" t="s">
        <v>267</v>
      </c>
      <c r="B43" s="1402" t="s">
        <v>268</v>
      </c>
      <c r="C43" s="1401"/>
      <c r="D43" s="1401"/>
      <c r="E43" s="1406">
        <f ca="1">B16*B4</f>
        <v>20654054.187344864</v>
      </c>
      <c r="F43" s="1401"/>
      <c r="G43" s="1401"/>
      <c r="H43" s="1401"/>
      <c r="I43" s="1401"/>
      <c r="J43" s="1401"/>
      <c r="K43" s="1401"/>
      <c r="L43" s="1401"/>
      <c r="M43" s="1401"/>
      <c r="N43" s="1401"/>
      <c r="O43" s="1401"/>
      <c r="P43" s="1401"/>
      <c r="Q43" s="1401"/>
      <c r="R43" s="1401"/>
      <c r="S43" s="1401"/>
      <c r="T43" s="1401"/>
      <c r="U43" s="1401"/>
      <c r="V43" s="1401"/>
      <c r="W43" s="1401"/>
      <c r="X43" s="1401"/>
      <c r="Y43" s="1401"/>
      <c r="Z43" s="1401"/>
      <c r="AA43" s="1401"/>
      <c r="AB43" s="1401"/>
      <c r="AC43" s="1401"/>
      <c r="AD43" s="1401"/>
      <c r="AE43" s="1401"/>
      <c r="AF43" s="1401"/>
      <c r="AG43" s="1401"/>
      <c r="AH43" s="1401"/>
      <c r="AI43" s="1402">
        <f ca="1">-E43</f>
        <v>-20654054.187344864</v>
      </c>
      <c r="AJ43" s="1260"/>
      <c r="AK43" s="1260"/>
      <c r="AL43" s="1260"/>
      <c r="AM43" s="1260"/>
      <c r="AN43" s="1260"/>
      <c r="AO43" s="1260"/>
      <c r="AP43" s="1260"/>
      <c r="AQ43" s="1260"/>
      <c r="AR43" s="1260"/>
      <c r="AS43" s="1260"/>
      <c r="AT43" s="1260"/>
      <c r="AU43" s="1260"/>
      <c r="AV43" s="1260"/>
      <c r="AW43" s="1260"/>
      <c r="AX43" s="1260"/>
      <c r="AY43" s="1260"/>
      <c r="AZ43" s="1260"/>
      <c r="BA43" s="1260"/>
      <c r="BB43" s="1260"/>
      <c r="BC43" s="1260"/>
      <c r="BD43" s="1260"/>
      <c r="BE43" s="1260"/>
    </row>
    <row r="44" spans="1:57" s="1405" customFormat="1" x14ac:dyDescent="0.2">
      <c r="A44" s="1260" t="s">
        <v>35</v>
      </c>
      <c r="B44" s="1400"/>
      <c r="C44" s="1260"/>
      <c r="D44" s="1260"/>
      <c r="E44" s="1400"/>
      <c r="F44" s="1404">
        <f ca="1">B11</f>
        <v>36936757.620740324</v>
      </c>
      <c r="G44" s="1404">
        <f ca="1">IF($B$10&gt;1,$B$11,0)</f>
        <v>36936757.620740324</v>
      </c>
      <c r="H44" s="1404">
        <f ca="1">IF($B$10&gt;2,$B$11,0)</f>
        <v>36936757.620740324</v>
      </c>
      <c r="I44" s="1404">
        <f ca="1">IF($B$10&gt;3,$B$11,0)</f>
        <v>36936757.620740324</v>
      </c>
      <c r="J44" s="1404">
        <f ca="1">IF($B$10&gt;4,$B$11,0)</f>
        <v>36936757.620740324</v>
      </c>
      <c r="K44" s="1404">
        <f ca="1">IF($B$10&gt;5,$B$11,0)</f>
        <v>36936757.620740324</v>
      </c>
      <c r="L44" s="1404">
        <f ca="1">IF($B$10&gt;6,$B$11,0)</f>
        <v>36936757.620740324</v>
      </c>
      <c r="M44" s="1404">
        <f ca="1">IF($B$10&gt;7,$B$11,0)</f>
        <v>36936757.620740324</v>
      </c>
      <c r="N44" s="1404">
        <f ca="1">IF($B$10&gt;8,$B$11,0)</f>
        <v>36936757.620740324</v>
      </c>
      <c r="O44" s="1404">
        <f ca="1">IF($B$10&gt;9,$B$11,0)</f>
        <v>36936757.620740324</v>
      </c>
      <c r="P44" s="1404">
        <f>IF($B$10&gt;10,$B$11,0)</f>
        <v>0</v>
      </c>
      <c r="Q44" s="1404">
        <f>IF($B$10&gt;11,$B$11,0)</f>
        <v>0</v>
      </c>
      <c r="R44" s="1404">
        <f>IF($B$10&gt;12,$B$11,0)</f>
        <v>0</v>
      </c>
      <c r="S44" s="1404">
        <f>IF($B$10&gt;13,$B$11,0)</f>
        <v>0</v>
      </c>
      <c r="T44" s="1404">
        <f>IF($B$10&gt;14,$B$11,0)</f>
        <v>0</v>
      </c>
      <c r="U44" s="1404">
        <f>IF($B$10&gt;15,$B$11,0)</f>
        <v>0</v>
      </c>
      <c r="V44" s="1404">
        <f>IF($B$10&gt;16,$B$11,0)</f>
        <v>0</v>
      </c>
      <c r="W44" s="1404">
        <f>IF($B$10&gt;17,$B$11,0)</f>
        <v>0</v>
      </c>
      <c r="X44" s="1404">
        <f t="shared" ref="X44:AH44" si="2">IF($B$10&gt;18,$B$11,0)</f>
        <v>0</v>
      </c>
      <c r="Y44" s="1404">
        <f t="shared" si="2"/>
        <v>0</v>
      </c>
      <c r="Z44" s="1404">
        <f t="shared" si="2"/>
        <v>0</v>
      </c>
      <c r="AA44" s="1404">
        <f t="shared" si="2"/>
        <v>0</v>
      </c>
      <c r="AB44" s="1404">
        <f t="shared" si="2"/>
        <v>0</v>
      </c>
      <c r="AC44" s="1404">
        <f t="shared" si="2"/>
        <v>0</v>
      </c>
      <c r="AD44" s="1404">
        <f t="shared" si="2"/>
        <v>0</v>
      </c>
      <c r="AE44" s="1404">
        <f t="shared" si="2"/>
        <v>0</v>
      </c>
      <c r="AF44" s="1404">
        <f t="shared" si="2"/>
        <v>0</v>
      </c>
      <c r="AG44" s="1404">
        <f t="shared" si="2"/>
        <v>0</v>
      </c>
      <c r="AH44" s="1404">
        <f t="shared" si="2"/>
        <v>0</v>
      </c>
      <c r="AI44" s="1404">
        <f>IF($B$10&gt;19,$B$11,0)</f>
        <v>0</v>
      </c>
      <c r="AJ44" s="1260"/>
      <c r="AK44" s="1260"/>
      <c r="AL44" s="1260"/>
      <c r="AM44" s="1260"/>
      <c r="AN44" s="1260"/>
      <c r="AO44" s="1260"/>
      <c r="AP44" s="1260"/>
      <c r="AQ44" s="1260"/>
      <c r="AR44" s="1260"/>
      <c r="AS44" s="1260"/>
      <c r="AT44" s="1260"/>
      <c r="AU44" s="1260"/>
      <c r="AV44" s="1260"/>
      <c r="AW44" s="1260"/>
      <c r="AX44" s="1260"/>
      <c r="AY44" s="1260"/>
      <c r="AZ44" s="1260"/>
      <c r="BA44" s="1260"/>
      <c r="BB44" s="1260"/>
      <c r="BC44" s="1260"/>
      <c r="BD44" s="1260"/>
      <c r="BE44" s="1260"/>
    </row>
    <row r="45" spans="1:57" s="1405" customFormat="1" x14ac:dyDescent="0.2">
      <c r="A45" s="1260" t="s">
        <v>36</v>
      </c>
      <c r="B45" s="1400"/>
      <c r="C45" s="1404">
        <f ca="1">$B$9*C46</f>
        <v>1586231.3615880853</v>
      </c>
      <c r="D45" s="1404">
        <f ca="1">$B$9*D46</f>
        <v>13482966.573498724</v>
      </c>
      <c r="E45" s="1404">
        <f ca="1">$B$9*E46</f>
        <v>19827892.019851066</v>
      </c>
      <c r="F45" s="1404">
        <f ca="1">B4*(1-B8)*B9</f>
        <v>19827892.019851066</v>
      </c>
      <c r="G45" s="1404">
        <f t="shared" ref="G45:AH45" ca="1" si="3">$B$9*F46</f>
        <v>18459182.771779925</v>
      </c>
      <c r="H45" s="1404">
        <f t="shared" ca="1" si="3"/>
        <v>16980976.78386309</v>
      </c>
      <c r="I45" s="1404">
        <f t="shared" ca="1" si="3"/>
        <v>15384514.316912914</v>
      </c>
      <c r="J45" s="1404">
        <f t="shared" ca="1" si="3"/>
        <v>13660334.852606721</v>
      </c>
      <c r="K45" s="1404">
        <f t="shared" ca="1" si="3"/>
        <v>11798221.031156031</v>
      </c>
      <c r="L45" s="1404">
        <f t="shared" ca="1" si="3"/>
        <v>9787138.1039892882</v>
      </c>
      <c r="M45" s="1404">
        <f t="shared" ca="1" si="3"/>
        <v>7615168.5426492058</v>
      </c>
      <c r="N45" s="1404">
        <f t="shared" ca="1" si="3"/>
        <v>5269441.4164019171</v>
      </c>
      <c r="O45" s="1404">
        <f t="shared" ca="1" si="3"/>
        <v>2736056.1200548443</v>
      </c>
      <c r="P45" s="1404">
        <f t="shared" ca="1" si="3"/>
        <v>5.6251883506774903E-9</v>
      </c>
      <c r="Q45" s="1404">
        <f t="shared" ca="1" si="3"/>
        <v>6.0752034187316904E-9</v>
      </c>
      <c r="R45" s="1404">
        <f t="shared" ca="1" si="3"/>
        <v>6.5612196922302252E-9</v>
      </c>
      <c r="S45" s="1404">
        <f t="shared" ca="1" si="3"/>
        <v>7.0861172676086436E-9</v>
      </c>
      <c r="T45" s="1404">
        <f t="shared" ca="1" si="3"/>
        <v>7.6530066490173347E-9</v>
      </c>
      <c r="U45" s="1404">
        <f t="shared" ca="1" si="3"/>
        <v>8.2652471809387222E-9</v>
      </c>
      <c r="V45" s="1404">
        <f t="shared" ca="1" si="3"/>
        <v>8.9264669554138201E-9</v>
      </c>
      <c r="W45" s="1404">
        <f t="shared" ca="1" si="3"/>
        <v>9.6405843118469253E-9</v>
      </c>
      <c r="X45" s="1404">
        <f t="shared" ca="1" si="3"/>
        <v>1.0411831056794679E-8</v>
      </c>
      <c r="Y45" s="1404">
        <f t="shared" ca="1" si="3"/>
        <v>1.1244777541338253E-8</v>
      </c>
      <c r="Z45" s="1404">
        <f t="shared" ca="1" si="3"/>
        <v>1.2144359744645313E-8</v>
      </c>
      <c r="AA45" s="1404">
        <f t="shared" ca="1" si="3"/>
        <v>1.3115908524216939E-8</v>
      </c>
      <c r="AB45" s="1404">
        <f t="shared" ca="1" si="3"/>
        <v>1.4165181206154295E-8</v>
      </c>
      <c r="AC45" s="1404">
        <f t="shared" ca="1" si="3"/>
        <v>1.5298395702646635E-8</v>
      </c>
      <c r="AD45" s="1404">
        <f t="shared" ca="1" si="3"/>
        <v>1.6522267358858369E-8</v>
      </c>
      <c r="AE45" s="1404">
        <f t="shared" ca="1" si="3"/>
        <v>1.7844048747567036E-8</v>
      </c>
      <c r="AF45" s="1404">
        <f t="shared" ca="1" si="3"/>
        <v>1.92715726473724E-8</v>
      </c>
      <c r="AG45" s="1404">
        <f t="shared" ca="1" si="3"/>
        <v>2.0813298459162192E-8</v>
      </c>
      <c r="AH45" s="1404">
        <f t="shared" ca="1" si="3"/>
        <v>2.2478362335895168E-8</v>
      </c>
      <c r="AI45" s="1404">
        <f ca="1">$B$9*X46</f>
        <v>1.1244777541338253E-8</v>
      </c>
      <c r="AJ45" s="1260"/>
      <c r="AK45" s="1260"/>
      <c r="AL45" s="1260"/>
      <c r="AM45" s="1260"/>
      <c r="AN45" s="1260"/>
      <c r="AO45" s="1260"/>
      <c r="AP45" s="1260"/>
      <c r="AQ45" s="1260"/>
      <c r="AR45" s="1260"/>
      <c r="AS45" s="1260"/>
      <c r="AT45" s="1260"/>
      <c r="AU45" s="1260"/>
      <c r="AV45" s="1260"/>
      <c r="AW45" s="1260"/>
      <c r="AX45" s="1260"/>
      <c r="AY45" s="1260"/>
      <c r="AZ45" s="1260"/>
      <c r="BA45" s="1260"/>
      <c r="BB45" s="1260"/>
      <c r="BC45" s="1260"/>
      <c r="BD45" s="1260"/>
      <c r="BE45" s="1260"/>
    </row>
    <row r="46" spans="1:57" s="1405" customFormat="1" ht="13.2" thickBot="1" x14ac:dyDescent="0.25">
      <c r="A46" s="1401" t="s">
        <v>37</v>
      </c>
      <c r="B46" s="1402"/>
      <c r="C46" s="1406">
        <f ca="1">FCI*(1-B8)*B24</f>
        <v>19827892.019851066</v>
      </c>
      <c r="D46" s="1406">
        <f ca="1">FCI*(1-B8)*B25+C46</f>
        <v>168537082.16873404</v>
      </c>
      <c r="E46" s="1406">
        <f ca="1">FCI*(1-B8)*B26+D46</f>
        <v>247848650.24813831</v>
      </c>
      <c r="F46" s="1406">
        <f ca="1">FCI*(1-B8)-F44+F45</f>
        <v>230739784.64724904</v>
      </c>
      <c r="G46" s="1406">
        <f t="shared" ref="G46:X46" ca="1" si="4">F46-G44+G45</f>
        <v>212262209.79828864</v>
      </c>
      <c r="H46" s="1406">
        <f t="shared" ca="1" si="4"/>
        <v>192306428.96141142</v>
      </c>
      <c r="I46" s="1406">
        <f t="shared" ca="1" si="4"/>
        <v>170754185.65758401</v>
      </c>
      <c r="J46" s="1406">
        <f t="shared" ca="1" si="4"/>
        <v>147477762.8894504</v>
      </c>
      <c r="K46" s="1406">
        <f t="shared" ca="1" si="4"/>
        <v>122339226.29986611</v>
      </c>
      <c r="L46" s="1406">
        <f t="shared" ca="1" si="4"/>
        <v>95189606.783115074</v>
      </c>
      <c r="M46" s="1406">
        <f t="shared" ca="1" si="4"/>
        <v>65868017.705023959</v>
      </c>
      <c r="N46" s="1406">
        <f t="shared" ca="1" si="4"/>
        <v>34200701.50068555</v>
      </c>
      <c r="O46" s="1406">
        <f t="shared" ca="1" si="4"/>
        <v>7.0314854383468628E-8</v>
      </c>
      <c r="P46" s="1406">
        <f t="shared" ca="1" si="4"/>
        <v>7.5940042734146124E-8</v>
      </c>
      <c r="Q46" s="1406">
        <f t="shared" ca="1" si="4"/>
        <v>8.2015246152877816E-8</v>
      </c>
      <c r="R46" s="1406">
        <f t="shared" ca="1" si="4"/>
        <v>8.8576465845108043E-8</v>
      </c>
      <c r="S46" s="1406">
        <f t="shared" ca="1" si="4"/>
        <v>9.5662583112716683E-8</v>
      </c>
      <c r="T46" s="1406">
        <f t="shared" ca="1" si="4"/>
        <v>1.0331558976173402E-7</v>
      </c>
      <c r="U46" s="1406">
        <f t="shared" ca="1" si="4"/>
        <v>1.1158083694267275E-7</v>
      </c>
      <c r="V46" s="1406">
        <f t="shared" ca="1" si="4"/>
        <v>1.2050730389808656E-7</v>
      </c>
      <c r="W46" s="1406">
        <f t="shared" ca="1" si="4"/>
        <v>1.3014788820993349E-7</v>
      </c>
      <c r="X46" s="1406">
        <f t="shared" ca="1" si="4"/>
        <v>1.4055971926672816E-7</v>
      </c>
      <c r="Y46" s="1406">
        <f t="shared" ref="Y46:AH46" ca="1" si="5">X46-Y44+Y45</f>
        <v>1.5180449680806641E-7</v>
      </c>
      <c r="Z46" s="1406">
        <f t="shared" ca="1" si="5"/>
        <v>1.6394885655271172E-7</v>
      </c>
      <c r="AA46" s="1406">
        <f t="shared" ca="1" si="5"/>
        <v>1.7706476507692867E-7</v>
      </c>
      <c r="AB46" s="1406">
        <f t="shared" ca="1" si="5"/>
        <v>1.9122994628308295E-7</v>
      </c>
      <c r="AC46" s="1406">
        <f t="shared" ca="1" si="5"/>
        <v>2.0652834198572959E-7</v>
      </c>
      <c r="AD46" s="1406">
        <f t="shared" ca="1" si="5"/>
        <v>2.2305060934458795E-7</v>
      </c>
      <c r="AE46" s="1406">
        <f t="shared" ca="1" si="5"/>
        <v>2.4089465809215501E-7</v>
      </c>
      <c r="AF46" s="1406">
        <f t="shared" ca="1" si="5"/>
        <v>2.6016623073952738E-7</v>
      </c>
      <c r="AG46" s="1406">
        <f t="shared" ca="1" si="5"/>
        <v>2.8097952919868958E-7</v>
      </c>
      <c r="AH46" s="1406">
        <f t="shared" ca="1" si="5"/>
        <v>3.0345789153458475E-7</v>
      </c>
      <c r="AI46" s="1406">
        <f ca="1">X46-AI44+AI45</f>
        <v>1.5180449680806641E-7</v>
      </c>
      <c r="AJ46" s="1260"/>
      <c r="AK46" s="1260"/>
      <c r="AL46" s="1260"/>
      <c r="AM46" s="1260"/>
      <c r="AN46" s="1260"/>
      <c r="AO46" s="1260"/>
      <c r="AP46" s="1260"/>
      <c r="AQ46" s="1260"/>
      <c r="AR46" s="1260"/>
      <c r="AS46" s="1260"/>
      <c r="AT46" s="1260"/>
      <c r="AU46" s="1260"/>
      <c r="AV46" s="1260"/>
      <c r="AW46" s="1260"/>
      <c r="AX46" s="1260"/>
      <c r="AY46" s="1260"/>
      <c r="AZ46" s="1260"/>
      <c r="BA46" s="1260"/>
      <c r="BB46" s="1260"/>
      <c r="BC46" s="1260"/>
      <c r="BD46" s="1260"/>
      <c r="BE46" s="1260"/>
    </row>
    <row r="47" spans="1:57" s="1405" customFormat="1" x14ac:dyDescent="0.2">
      <c r="A47" s="1155" t="s">
        <v>38</v>
      </c>
      <c r="B47" s="1398" t="s">
        <v>268</v>
      </c>
      <c r="C47" s="1398" t="s">
        <v>268</v>
      </c>
      <c r="D47" s="1398" t="s">
        <v>268</v>
      </c>
      <c r="E47" s="1398" t="s">
        <v>268</v>
      </c>
      <c r="F47" s="1404">
        <f ca="1">($B$33*$B$35*1000000)*(1-B27)+($B$33*$B$35*1000000)*B27*B28</f>
        <v>108435859.96849546</v>
      </c>
      <c r="G47" s="1404">
        <f t="shared" ref="G47:AH47" ca="1" si="6">$B$33*$B$35*1000000</f>
        <v>144581146.62466061</v>
      </c>
      <c r="H47" s="1404">
        <f t="shared" ca="1" si="6"/>
        <v>144581146.62466061</v>
      </c>
      <c r="I47" s="1404">
        <f t="shared" ca="1" si="6"/>
        <v>144581146.62466061</v>
      </c>
      <c r="J47" s="1404">
        <f t="shared" ca="1" si="6"/>
        <v>144581146.62466061</v>
      </c>
      <c r="K47" s="1404">
        <f t="shared" ca="1" si="6"/>
        <v>144581146.62466061</v>
      </c>
      <c r="L47" s="1404">
        <f t="shared" ca="1" si="6"/>
        <v>144581146.62466061</v>
      </c>
      <c r="M47" s="1404">
        <f t="shared" ca="1" si="6"/>
        <v>144581146.62466061</v>
      </c>
      <c r="N47" s="1404">
        <f t="shared" ca="1" si="6"/>
        <v>144581146.62466061</v>
      </c>
      <c r="O47" s="1404">
        <f t="shared" ca="1" si="6"/>
        <v>144581146.62466061</v>
      </c>
      <c r="P47" s="1404">
        <f t="shared" ca="1" si="6"/>
        <v>144581146.62466061</v>
      </c>
      <c r="Q47" s="1404">
        <f t="shared" ca="1" si="6"/>
        <v>144581146.62466061</v>
      </c>
      <c r="R47" s="1404">
        <f t="shared" ca="1" si="6"/>
        <v>144581146.62466061</v>
      </c>
      <c r="S47" s="1404">
        <f t="shared" ca="1" si="6"/>
        <v>144581146.62466061</v>
      </c>
      <c r="T47" s="1404">
        <f t="shared" ca="1" si="6"/>
        <v>144581146.62466061</v>
      </c>
      <c r="U47" s="1404">
        <f t="shared" ca="1" si="6"/>
        <v>144581146.62466061</v>
      </c>
      <c r="V47" s="1404">
        <f t="shared" ca="1" si="6"/>
        <v>144581146.62466061</v>
      </c>
      <c r="W47" s="1404">
        <f t="shared" ca="1" si="6"/>
        <v>144581146.62466061</v>
      </c>
      <c r="X47" s="1404">
        <f t="shared" ca="1" si="6"/>
        <v>144581146.62466061</v>
      </c>
      <c r="Y47" s="1404">
        <f t="shared" ca="1" si="6"/>
        <v>144581146.62466061</v>
      </c>
      <c r="Z47" s="1404">
        <f t="shared" ca="1" si="6"/>
        <v>144581146.62466061</v>
      </c>
      <c r="AA47" s="1404">
        <f t="shared" ca="1" si="6"/>
        <v>144581146.62466061</v>
      </c>
      <c r="AB47" s="1404">
        <f t="shared" ca="1" si="6"/>
        <v>144581146.62466061</v>
      </c>
      <c r="AC47" s="1404">
        <f t="shared" ca="1" si="6"/>
        <v>144581146.62466061</v>
      </c>
      <c r="AD47" s="1404">
        <f t="shared" ca="1" si="6"/>
        <v>144581146.62466061</v>
      </c>
      <c r="AE47" s="1404">
        <f t="shared" ca="1" si="6"/>
        <v>144581146.62466061</v>
      </c>
      <c r="AF47" s="1404">
        <f t="shared" ca="1" si="6"/>
        <v>144581146.62466061</v>
      </c>
      <c r="AG47" s="1404">
        <f t="shared" ca="1" si="6"/>
        <v>144581146.62466061</v>
      </c>
      <c r="AH47" s="1404">
        <f t="shared" ca="1" si="6"/>
        <v>144581146.62466061</v>
      </c>
      <c r="AI47" s="1404">
        <f ca="1">$B$33*$B$35*1000000</f>
        <v>144581146.62466061</v>
      </c>
      <c r="AJ47" s="1260"/>
      <c r="AK47" s="1260"/>
      <c r="AL47" s="1260"/>
      <c r="AM47" s="1260"/>
      <c r="AN47" s="1260"/>
      <c r="AO47" s="1260"/>
      <c r="AP47" s="1260"/>
      <c r="AQ47" s="1260"/>
      <c r="AR47" s="1260"/>
      <c r="AS47" s="1260"/>
      <c r="AT47" s="1260"/>
      <c r="AU47" s="1260"/>
      <c r="AV47" s="1260"/>
      <c r="AW47" s="1260"/>
      <c r="AX47" s="1260"/>
      <c r="AY47" s="1260"/>
      <c r="AZ47" s="1260"/>
      <c r="BA47" s="1260"/>
      <c r="BB47" s="1260"/>
      <c r="BC47" s="1260"/>
      <c r="BD47" s="1260"/>
      <c r="BE47" s="1260"/>
    </row>
    <row r="48" spans="1:57" s="1405" customFormat="1" ht="12" customHeight="1" x14ac:dyDescent="0.2">
      <c r="A48" s="1155" t="s">
        <v>39</v>
      </c>
      <c r="B48" s="1398" t="s">
        <v>268</v>
      </c>
      <c r="C48" s="1398" t="s">
        <v>268</v>
      </c>
      <c r="D48" s="1398" t="s">
        <v>268</v>
      </c>
      <c r="E48" s="1398" t="s">
        <v>268</v>
      </c>
      <c r="F48" s="1404">
        <f ca="1">(OPEX!$L$37*1000000)*(1-B27)+(OPEX!$L$37*1000000)*B27*B28</f>
        <v>4615538.1827009544</v>
      </c>
      <c r="G48" s="1404">
        <f ca="1">OPEX!$L$37*1000000</f>
        <v>6154050.9102679389</v>
      </c>
      <c r="H48" s="1404">
        <f ca="1">OPEX!$L$37*1000000</f>
        <v>6154050.9102679389</v>
      </c>
      <c r="I48" s="1404">
        <f ca="1">OPEX!$L$37*1000000</f>
        <v>6154050.9102679389</v>
      </c>
      <c r="J48" s="1404">
        <f ca="1">OPEX!$L$37*1000000</f>
        <v>6154050.9102679389</v>
      </c>
      <c r="K48" s="1404">
        <f ca="1">OPEX!$L$37*1000000</f>
        <v>6154050.9102679389</v>
      </c>
      <c r="L48" s="1404">
        <f ca="1">OPEX!$L$37*1000000</f>
        <v>6154050.9102679389</v>
      </c>
      <c r="M48" s="1404">
        <f ca="1">OPEX!$L$37*1000000</f>
        <v>6154050.9102679389</v>
      </c>
      <c r="N48" s="1404">
        <f ca="1">OPEX!$L$37*1000000</f>
        <v>6154050.9102679389</v>
      </c>
      <c r="O48" s="1404">
        <f ca="1">OPEX!$L$37*1000000</f>
        <v>6154050.9102679389</v>
      </c>
      <c r="P48" s="1404">
        <f ca="1">OPEX!$L$37*1000000</f>
        <v>6154050.9102679389</v>
      </c>
      <c r="Q48" s="1404">
        <f ca="1">OPEX!$L$37*1000000</f>
        <v>6154050.9102679389</v>
      </c>
      <c r="R48" s="1404">
        <f ca="1">OPEX!$L$37*1000000</f>
        <v>6154050.9102679389</v>
      </c>
      <c r="S48" s="1404">
        <f ca="1">OPEX!$L$37*1000000</f>
        <v>6154050.9102679389</v>
      </c>
      <c r="T48" s="1404">
        <f ca="1">OPEX!$L$37*1000000</f>
        <v>6154050.9102679389</v>
      </c>
      <c r="U48" s="1404">
        <f ca="1">OPEX!$L$37*1000000</f>
        <v>6154050.9102679389</v>
      </c>
      <c r="V48" s="1404">
        <f ca="1">OPEX!$L$37*1000000</f>
        <v>6154050.9102679389</v>
      </c>
      <c r="W48" s="1404">
        <f ca="1">OPEX!$L$37*1000000</f>
        <v>6154050.9102679389</v>
      </c>
      <c r="X48" s="1404">
        <f ca="1">OPEX!$L$37*1000000</f>
        <v>6154050.9102679389</v>
      </c>
      <c r="Y48" s="1404">
        <f ca="1">OPEX!$L$37*1000000</f>
        <v>6154050.9102679389</v>
      </c>
      <c r="Z48" s="1404">
        <f ca="1">OPEX!$L$37*1000000</f>
        <v>6154050.9102679389</v>
      </c>
      <c r="AA48" s="1404">
        <f ca="1">OPEX!$L$37*1000000</f>
        <v>6154050.9102679389</v>
      </c>
      <c r="AB48" s="1404">
        <f ca="1">OPEX!$L$37*1000000</f>
        <v>6154050.9102679389</v>
      </c>
      <c r="AC48" s="1404">
        <f ca="1">OPEX!$L$37*1000000</f>
        <v>6154050.9102679389</v>
      </c>
      <c r="AD48" s="1404">
        <f ca="1">OPEX!$L$37*1000000</f>
        <v>6154050.9102679389</v>
      </c>
      <c r="AE48" s="1404">
        <f ca="1">OPEX!$L$37*1000000</f>
        <v>6154050.9102679389</v>
      </c>
      <c r="AF48" s="1404">
        <f ca="1">OPEX!$L$37*1000000</f>
        <v>6154050.9102679389</v>
      </c>
      <c r="AG48" s="1404">
        <f ca="1">OPEX!$L$37*1000000</f>
        <v>6154050.9102679389</v>
      </c>
      <c r="AH48" s="1404">
        <f ca="1">OPEX!$L$37*1000000</f>
        <v>6154050.9102679389</v>
      </c>
      <c r="AI48" s="1404">
        <f ca="1">OPEX!$L$37*1000000</f>
        <v>6154050.9102679389</v>
      </c>
      <c r="AJ48" s="1260"/>
      <c r="AK48" s="1260"/>
      <c r="AL48" s="1260"/>
      <c r="AM48" s="1260"/>
      <c r="AN48" s="1260"/>
      <c r="AO48" s="1260"/>
      <c r="AP48" s="1260"/>
      <c r="AQ48" s="1260"/>
      <c r="AR48" s="1260"/>
      <c r="AS48" s="1260"/>
      <c r="AT48" s="1260"/>
      <c r="AU48" s="1260"/>
      <c r="AV48" s="1260"/>
      <c r="AW48" s="1260"/>
      <c r="AX48" s="1260"/>
      <c r="AY48" s="1260"/>
      <c r="AZ48" s="1260"/>
      <c r="BA48" s="1260"/>
      <c r="BB48" s="1260"/>
      <c r="BC48" s="1260"/>
      <c r="BD48" s="1260"/>
      <c r="BE48" s="1260"/>
    </row>
    <row r="49" spans="1:59" s="1405" customFormat="1" ht="13.2" thickBot="1" x14ac:dyDescent="0.25">
      <c r="A49" s="1401" t="s">
        <v>40</v>
      </c>
      <c r="B49" s="1402"/>
      <c r="C49" s="1402"/>
      <c r="D49" s="1402"/>
      <c r="E49" s="1402"/>
      <c r="F49" s="1406">
        <f t="shared" ref="F49:X49" ca="1" si="7">F47+F48</f>
        <v>113051398.15119642</v>
      </c>
      <c r="G49" s="1406">
        <f t="shared" ca="1" si="7"/>
        <v>150735197.53492856</v>
      </c>
      <c r="H49" s="1406">
        <f t="shared" ca="1" si="7"/>
        <v>150735197.53492856</v>
      </c>
      <c r="I49" s="1406">
        <f t="shared" ca="1" si="7"/>
        <v>150735197.53492856</v>
      </c>
      <c r="J49" s="1406">
        <f t="shared" ca="1" si="7"/>
        <v>150735197.53492856</v>
      </c>
      <c r="K49" s="1406">
        <f t="shared" ca="1" si="7"/>
        <v>150735197.53492856</v>
      </c>
      <c r="L49" s="1406">
        <f t="shared" ca="1" si="7"/>
        <v>150735197.53492856</v>
      </c>
      <c r="M49" s="1406">
        <f t="shared" ca="1" si="7"/>
        <v>150735197.53492856</v>
      </c>
      <c r="N49" s="1406">
        <f t="shared" ca="1" si="7"/>
        <v>150735197.53492856</v>
      </c>
      <c r="O49" s="1406">
        <f t="shared" ca="1" si="7"/>
        <v>150735197.53492856</v>
      </c>
      <c r="P49" s="1406">
        <f t="shared" ca="1" si="7"/>
        <v>150735197.53492856</v>
      </c>
      <c r="Q49" s="1406">
        <f t="shared" ca="1" si="7"/>
        <v>150735197.53492856</v>
      </c>
      <c r="R49" s="1406">
        <f t="shared" ca="1" si="7"/>
        <v>150735197.53492856</v>
      </c>
      <c r="S49" s="1406">
        <f t="shared" ca="1" si="7"/>
        <v>150735197.53492856</v>
      </c>
      <c r="T49" s="1406">
        <f t="shared" ca="1" si="7"/>
        <v>150735197.53492856</v>
      </c>
      <c r="U49" s="1406">
        <f t="shared" ca="1" si="7"/>
        <v>150735197.53492856</v>
      </c>
      <c r="V49" s="1406">
        <f t="shared" ca="1" si="7"/>
        <v>150735197.53492856</v>
      </c>
      <c r="W49" s="1406">
        <f t="shared" ca="1" si="7"/>
        <v>150735197.53492856</v>
      </c>
      <c r="X49" s="1406">
        <f t="shared" ca="1" si="7"/>
        <v>150735197.53492856</v>
      </c>
      <c r="Y49" s="1406">
        <f t="shared" ref="Y49:AH49" ca="1" si="8">Y47+Y48</f>
        <v>150735197.53492856</v>
      </c>
      <c r="Z49" s="1406">
        <f t="shared" ca="1" si="8"/>
        <v>150735197.53492856</v>
      </c>
      <c r="AA49" s="1406">
        <f t="shared" ca="1" si="8"/>
        <v>150735197.53492856</v>
      </c>
      <c r="AB49" s="1406">
        <f t="shared" ca="1" si="8"/>
        <v>150735197.53492856</v>
      </c>
      <c r="AC49" s="1406">
        <f t="shared" ca="1" si="8"/>
        <v>150735197.53492856</v>
      </c>
      <c r="AD49" s="1406">
        <f t="shared" ca="1" si="8"/>
        <v>150735197.53492856</v>
      </c>
      <c r="AE49" s="1406">
        <f t="shared" ca="1" si="8"/>
        <v>150735197.53492856</v>
      </c>
      <c r="AF49" s="1406">
        <f t="shared" ca="1" si="8"/>
        <v>150735197.53492856</v>
      </c>
      <c r="AG49" s="1406">
        <f t="shared" ca="1" si="8"/>
        <v>150735197.53492856</v>
      </c>
      <c r="AH49" s="1406">
        <f t="shared" ca="1" si="8"/>
        <v>150735197.53492856</v>
      </c>
      <c r="AI49" s="1406">
        <f ca="1">AI47+AI48</f>
        <v>150735197.53492856</v>
      </c>
      <c r="AJ49" s="1260"/>
      <c r="AK49" s="1260"/>
      <c r="AL49" s="1260"/>
      <c r="AM49" s="1260"/>
      <c r="AN49" s="1260"/>
      <c r="AO49" s="1260"/>
      <c r="AP49" s="1260"/>
      <c r="AQ49" s="1260"/>
      <c r="AR49" s="1260"/>
      <c r="AS49" s="1260"/>
      <c r="AT49" s="1260"/>
      <c r="AU49" s="1260"/>
      <c r="AV49" s="1260"/>
      <c r="AW49" s="1260"/>
      <c r="AX49" s="1260"/>
      <c r="AY49" s="1260"/>
      <c r="AZ49" s="1260"/>
      <c r="BA49" s="1260"/>
      <c r="BB49" s="1260"/>
      <c r="BC49" s="1260"/>
      <c r="BD49" s="1260"/>
      <c r="BE49" s="1260"/>
    </row>
    <row r="50" spans="1:59" s="1405" customFormat="1" x14ac:dyDescent="0.2">
      <c r="A50" s="1155" t="s">
        <v>269</v>
      </c>
      <c r="B50" s="1155"/>
      <c r="C50" s="1155"/>
      <c r="D50" s="1155"/>
      <c r="E50" s="1155"/>
      <c r="F50" s="1155"/>
      <c r="G50" s="1155"/>
      <c r="H50" s="1155"/>
      <c r="I50" s="1155"/>
      <c r="J50" s="1155"/>
      <c r="K50" s="1155"/>
      <c r="L50" s="1155"/>
      <c r="M50" s="1155"/>
      <c r="N50" s="1155"/>
      <c r="O50" s="1155"/>
      <c r="P50" s="1155"/>
      <c r="Q50" s="1155"/>
      <c r="R50" s="1155"/>
      <c r="S50" s="1155"/>
      <c r="T50" s="1155"/>
      <c r="U50" s="1155"/>
      <c r="V50" s="1155"/>
      <c r="W50" s="1155"/>
      <c r="X50" s="1155"/>
      <c r="Y50" s="1155"/>
      <c r="Z50" s="1155"/>
      <c r="AA50" s="1155"/>
      <c r="AB50" s="1155"/>
      <c r="AC50" s="1155"/>
      <c r="AD50" s="1155"/>
      <c r="AE50" s="1155"/>
      <c r="AF50" s="1155"/>
      <c r="AG50" s="1155"/>
      <c r="AH50" s="1155"/>
      <c r="AI50" s="1155"/>
      <c r="AJ50" s="1260"/>
      <c r="AK50" s="1260"/>
      <c r="AL50" s="1260"/>
      <c r="AM50" s="1260"/>
      <c r="AN50" s="1260"/>
      <c r="AO50" s="1260"/>
      <c r="AP50" s="1260"/>
      <c r="AQ50" s="1260"/>
      <c r="AR50" s="1260"/>
      <c r="AS50" s="1260"/>
      <c r="AT50" s="1260"/>
      <c r="AU50" s="1260"/>
      <c r="AV50" s="1260"/>
      <c r="AW50" s="1260"/>
      <c r="AX50" s="1260"/>
      <c r="AY50" s="1260"/>
      <c r="AZ50" s="1260"/>
      <c r="BA50" s="1260"/>
      <c r="BB50" s="1260"/>
      <c r="BC50" s="1260"/>
      <c r="BD50" s="1260"/>
      <c r="BE50" s="1260"/>
    </row>
    <row r="51" spans="1:59" s="1405" customFormat="1" x14ac:dyDescent="0.2">
      <c r="A51" s="753" t="s">
        <v>783</v>
      </c>
      <c r="B51" s="1155"/>
      <c r="C51" s="1155"/>
      <c r="D51" s="1155"/>
      <c r="E51" s="1155"/>
      <c r="F51" s="1404">
        <f ca="1">(OPEX!$L$12*1000000)*(1-B27)+(OPEX!$L$12*1000000)*(B27)*B28</f>
        <v>38712485.082834937</v>
      </c>
      <c r="G51" s="1404">
        <f ca="1">OPEX!$L$12*1000000</f>
        <v>51616646.777113251</v>
      </c>
      <c r="H51" s="1404">
        <f ca="1">OPEX!$L$12*1000000</f>
        <v>51616646.777113251</v>
      </c>
      <c r="I51" s="1404">
        <f ca="1">OPEX!$L$12*1000000</f>
        <v>51616646.777113251</v>
      </c>
      <c r="J51" s="1404">
        <f ca="1">OPEX!$L$12*1000000</f>
        <v>51616646.777113251</v>
      </c>
      <c r="K51" s="1404">
        <f ca="1">OPEX!$L$12*1000000</f>
        <v>51616646.777113251</v>
      </c>
      <c r="L51" s="1404">
        <f ca="1">OPEX!$L$12*1000000</f>
        <v>51616646.777113251</v>
      </c>
      <c r="M51" s="1404">
        <f ca="1">OPEX!$L$12*1000000</f>
        <v>51616646.777113251</v>
      </c>
      <c r="N51" s="1404">
        <f ca="1">OPEX!$L$12*1000000</f>
        <v>51616646.777113251</v>
      </c>
      <c r="O51" s="1404">
        <f ca="1">OPEX!$L$12*1000000</f>
        <v>51616646.777113251</v>
      </c>
      <c r="P51" s="1404">
        <f ca="1">OPEX!$L$12*1000000</f>
        <v>51616646.777113251</v>
      </c>
      <c r="Q51" s="1404">
        <f ca="1">OPEX!$L$12*1000000</f>
        <v>51616646.777113251</v>
      </c>
      <c r="R51" s="1404">
        <f ca="1">OPEX!$L$12*1000000</f>
        <v>51616646.777113251</v>
      </c>
      <c r="S51" s="1404">
        <f ca="1">OPEX!$L$12*1000000</f>
        <v>51616646.777113251</v>
      </c>
      <c r="T51" s="1404">
        <f ca="1">OPEX!$L$12*1000000</f>
        <v>51616646.777113251</v>
      </c>
      <c r="U51" s="1404">
        <f ca="1">OPEX!$L$12*1000000</f>
        <v>51616646.777113251</v>
      </c>
      <c r="V51" s="1404">
        <f ca="1">OPEX!$L$12*1000000</f>
        <v>51616646.777113251</v>
      </c>
      <c r="W51" s="1404">
        <f ca="1">OPEX!$L$12*1000000</f>
        <v>51616646.777113251</v>
      </c>
      <c r="X51" s="1404">
        <f ca="1">OPEX!$L$12*1000000</f>
        <v>51616646.777113251</v>
      </c>
      <c r="Y51" s="1404">
        <f ca="1">OPEX!$L$12*1000000</f>
        <v>51616646.777113251</v>
      </c>
      <c r="Z51" s="1404">
        <f ca="1">OPEX!$L$12*1000000</f>
        <v>51616646.777113251</v>
      </c>
      <c r="AA51" s="1404">
        <f ca="1">OPEX!$L$12*1000000</f>
        <v>51616646.777113251</v>
      </c>
      <c r="AB51" s="1404">
        <f ca="1">OPEX!$L$12*1000000</f>
        <v>51616646.777113251</v>
      </c>
      <c r="AC51" s="1404">
        <f ca="1">OPEX!$L$12*1000000</f>
        <v>51616646.777113251</v>
      </c>
      <c r="AD51" s="1404">
        <f ca="1">OPEX!$L$12*1000000</f>
        <v>51616646.777113251</v>
      </c>
      <c r="AE51" s="1404">
        <f ca="1">OPEX!$L$12*1000000</f>
        <v>51616646.777113251</v>
      </c>
      <c r="AF51" s="1404">
        <f ca="1">OPEX!$L$12*1000000</f>
        <v>51616646.777113251</v>
      </c>
      <c r="AG51" s="1404">
        <f ca="1">OPEX!$L$12*1000000</f>
        <v>51616646.777113251</v>
      </c>
      <c r="AH51" s="1404">
        <f ca="1">OPEX!$L$12*1000000</f>
        <v>51616646.777113251</v>
      </c>
      <c r="AI51" s="1404">
        <f ca="1">OPEX!$L$12*1000000</f>
        <v>51616646.777113251</v>
      </c>
      <c r="AJ51" s="1400" t="s">
        <v>268</v>
      </c>
      <c r="AK51" s="1400" t="s">
        <v>268</v>
      </c>
      <c r="AL51" s="1400" t="s">
        <v>268</v>
      </c>
      <c r="AM51" s="1400" t="s">
        <v>268</v>
      </c>
      <c r="AN51" s="1400" t="s">
        <v>268</v>
      </c>
      <c r="AO51" s="1400" t="s">
        <v>268</v>
      </c>
      <c r="AP51" s="1400" t="s">
        <v>268</v>
      </c>
      <c r="AQ51" s="1400" t="s">
        <v>268</v>
      </c>
      <c r="AR51" s="1400" t="s">
        <v>268</v>
      </c>
      <c r="AS51" s="1400" t="s">
        <v>268</v>
      </c>
      <c r="AT51" s="1400" t="s">
        <v>268</v>
      </c>
      <c r="AU51" s="1400" t="s">
        <v>268</v>
      </c>
      <c r="AV51" s="1400" t="s">
        <v>268</v>
      </c>
      <c r="AW51" s="1400" t="s">
        <v>268</v>
      </c>
      <c r="AX51" s="1400" t="s">
        <v>268</v>
      </c>
      <c r="AY51" s="1400" t="s">
        <v>268</v>
      </c>
      <c r="AZ51" s="1400" t="s">
        <v>268</v>
      </c>
      <c r="BA51" s="1400" t="s">
        <v>268</v>
      </c>
      <c r="BB51" s="1400" t="s">
        <v>268</v>
      </c>
      <c r="BC51" s="1400" t="s">
        <v>268</v>
      </c>
      <c r="BD51" s="1400" t="s">
        <v>268</v>
      </c>
      <c r="BE51" s="1400" t="s">
        <v>268</v>
      </c>
      <c r="BF51" s="1400" t="s">
        <v>268</v>
      </c>
      <c r="BG51" s="1400" t="s">
        <v>268</v>
      </c>
    </row>
    <row r="52" spans="1:59" s="1405" customFormat="1" x14ac:dyDescent="0.2">
      <c r="A52" s="1154" t="s">
        <v>51</v>
      </c>
      <c r="B52" s="1155"/>
      <c r="C52" s="1155"/>
      <c r="D52" s="1155"/>
      <c r="E52" s="1155"/>
      <c r="F52" s="1404">
        <f ca="1">B13</f>
        <v>480645.75096277287</v>
      </c>
      <c r="G52" s="1404"/>
      <c r="H52" s="1404"/>
      <c r="I52" s="1404"/>
      <c r="J52" s="1404"/>
      <c r="K52" s="1404">
        <f ca="1">B13</f>
        <v>480645.75096277287</v>
      </c>
      <c r="L52" s="1404"/>
      <c r="M52" s="1404"/>
      <c r="N52" s="1404"/>
      <c r="O52" s="1404"/>
      <c r="P52" s="1404">
        <f ca="1">B13</f>
        <v>480645.75096277287</v>
      </c>
      <c r="Q52" s="1404"/>
      <c r="R52" s="1404"/>
      <c r="S52" s="1404"/>
      <c r="T52" s="1404"/>
      <c r="U52" s="1404">
        <f ca="1">B13</f>
        <v>480645.75096277287</v>
      </c>
      <c r="V52" s="1404"/>
      <c r="W52" s="1404"/>
      <c r="X52" s="1404"/>
      <c r="Y52" s="1404"/>
      <c r="Z52" s="1404">
        <f ca="1">U52</f>
        <v>480645.75096277287</v>
      </c>
      <c r="AA52" s="1404"/>
      <c r="AB52" s="1404"/>
      <c r="AC52" s="1404"/>
      <c r="AD52" s="1404"/>
      <c r="AE52" s="1404">
        <f ca="1">Z52</f>
        <v>480645.75096277287</v>
      </c>
      <c r="AF52" s="1404"/>
      <c r="AG52" s="1404"/>
      <c r="AH52" s="1404"/>
      <c r="AI52" s="1404"/>
      <c r="AJ52" s="1400"/>
      <c r="AK52" s="1400"/>
      <c r="AL52" s="1400"/>
      <c r="AM52" s="1400"/>
      <c r="AN52" s="1400"/>
      <c r="AO52" s="1400"/>
      <c r="AP52" s="1400"/>
      <c r="AQ52" s="1400"/>
      <c r="AR52" s="1400"/>
      <c r="AS52" s="1400"/>
      <c r="AT52" s="1400"/>
      <c r="AU52" s="1400"/>
      <c r="AV52" s="1400"/>
      <c r="AW52" s="1400"/>
      <c r="AX52" s="1400"/>
      <c r="AY52" s="1400"/>
      <c r="AZ52" s="1400"/>
      <c r="BA52" s="1400"/>
      <c r="BB52" s="1400"/>
      <c r="BC52" s="1400"/>
      <c r="BD52" s="1400"/>
      <c r="BE52" s="1400"/>
      <c r="BF52" s="1400"/>
      <c r="BG52" s="1400"/>
    </row>
    <row r="53" spans="1:59" s="1405" customFormat="1" x14ac:dyDescent="0.2">
      <c r="A53" s="1155" t="s">
        <v>271</v>
      </c>
      <c r="B53" s="1155"/>
      <c r="C53" s="1155"/>
      <c r="D53" s="1155"/>
      <c r="E53" s="1155"/>
      <c r="F53" s="1404">
        <f ca="1">((SUM(OPEX!$L$13:$L$29)+OPEX!$L$32)*1000000)*(1-B27)+((SUM(OPEX!$L$13:$L$29)+OPEX!$L$32)*1000000)*B27*B29</f>
        <v>28792567.852342777</v>
      </c>
      <c r="G53" s="1404">
        <f ca="1">(SUM(OPEX!$L$13:$L$29)+OPEX!$L$32)*1000000</f>
        <v>32905791.831248891</v>
      </c>
      <c r="H53" s="1404">
        <f ca="1">(SUM(OPEX!$L$13:$L$29)+OPEX!$L$32)*1000000</f>
        <v>32905791.831248891</v>
      </c>
      <c r="I53" s="1404">
        <f ca="1">(SUM(OPEX!$L$13:$L$29)+OPEX!$L$32)*1000000</f>
        <v>32905791.831248891</v>
      </c>
      <c r="J53" s="1404">
        <f ca="1">(SUM(OPEX!$L$13:$L$29)+OPEX!$L$32)*1000000</f>
        <v>32905791.831248891</v>
      </c>
      <c r="K53" s="1404">
        <f ca="1">(SUM(OPEX!$L$13:$L$29)+OPEX!$L$32)*1000000</f>
        <v>32905791.831248891</v>
      </c>
      <c r="L53" s="1404">
        <f ca="1">(SUM(OPEX!$L$13:$L$29)+OPEX!$L$32)*1000000</f>
        <v>32905791.831248891</v>
      </c>
      <c r="M53" s="1404">
        <f ca="1">(SUM(OPEX!$L$13:$L$29)+OPEX!$L$32)*1000000</f>
        <v>32905791.831248891</v>
      </c>
      <c r="N53" s="1404">
        <f ca="1">(SUM(OPEX!$L$13:$L$29)+OPEX!$L$32)*1000000</f>
        <v>32905791.831248891</v>
      </c>
      <c r="O53" s="1404">
        <f ca="1">(SUM(OPEX!$L$13:$L$29)+OPEX!$L$32)*1000000</f>
        <v>32905791.831248891</v>
      </c>
      <c r="P53" s="1404">
        <f ca="1">(SUM(OPEX!$L$13:$L$29)+OPEX!$L$32)*1000000</f>
        <v>32905791.831248891</v>
      </c>
      <c r="Q53" s="1404">
        <f ca="1">(SUM(OPEX!$L$13:$L$29)+OPEX!$L$32)*1000000</f>
        <v>32905791.831248891</v>
      </c>
      <c r="R53" s="1404">
        <f ca="1">(SUM(OPEX!$L$13:$L$29)+OPEX!$L$32)*1000000</f>
        <v>32905791.831248891</v>
      </c>
      <c r="S53" s="1404">
        <f ca="1">(SUM(OPEX!$L$13:$L$29)+OPEX!$L$32)*1000000</f>
        <v>32905791.831248891</v>
      </c>
      <c r="T53" s="1404">
        <f ca="1">(SUM(OPEX!$L$13:$L$29)+OPEX!$L$32)*1000000</f>
        <v>32905791.831248891</v>
      </c>
      <c r="U53" s="1404">
        <f ca="1">(SUM(OPEX!$L$13:$L$29)+OPEX!$L$32)*1000000</f>
        <v>32905791.831248891</v>
      </c>
      <c r="V53" s="1404">
        <f ca="1">(SUM(OPEX!$L$13:$L$29)+OPEX!$L$32)*1000000</f>
        <v>32905791.831248891</v>
      </c>
      <c r="W53" s="1404">
        <f ca="1">(SUM(OPEX!$L$13:$L$29)+OPEX!$L$32)*1000000</f>
        <v>32905791.831248891</v>
      </c>
      <c r="X53" s="1404">
        <f ca="1">(SUM(OPEX!$L$13:$L$29)+OPEX!$L$32)*1000000</f>
        <v>32905791.831248891</v>
      </c>
      <c r="Y53" s="1404">
        <f ca="1">(SUM(OPEX!$L$13:$L$29)+OPEX!$L$32)*1000000</f>
        <v>32905791.831248891</v>
      </c>
      <c r="Z53" s="1404">
        <f ca="1">(SUM(OPEX!$L$13:$L$29)+OPEX!$L$32)*1000000</f>
        <v>32905791.831248891</v>
      </c>
      <c r="AA53" s="1404">
        <f ca="1">(SUM(OPEX!$L$13:$L$29)+OPEX!$L$32)*1000000</f>
        <v>32905791.831248891</v>
      </c>
      <c r="AB53" s="1404">
        <f ca="1">(SUM(OPEX!$L$13:$L$29)+OPEX!$L$32)*1000000</f>
        <v>32905791.831248891</v>
      </c>
      <c r="AC53" s="1404">
        <f ca="1">(SUM(OPEX!$L$13:$L$29)+OPEX!$L$32)*1000000</f>
        <v>32905791.831248891</v>
      </c>
      <c r="AD53" s="1404">
        <f ca="1">(SUM(OPEX!$L$13:$L$29)+OPEX!$L$32)*1000000</f>
        <v>32905791.831248891</v>
      </c>
      <c r="AE53" s="1404">
        <f ca="1">(SUM(OPEX!$L$13:$L$29)+OPEX!$L$32)*1000000</f>
        <v>32905791.831248891</v>
      </c>
      <c r="AF53" s="1404">
        <f ca="1">(SUM(OPEX!$L$13:$L$29)+OPEX!$L$32)*1000000</f>
        <v>32905791.831248891</v>
      </c>
      <c r="AG53" s="1404">
        <f ca="1">(SUM(OPEX!$L$13:$L$29)+OPEX!$L$32)*1000000</f>
        <v>32905791.831248891</v>
      </c>
      <c r="AH53" s="1404">
        <f ca="1">(SUM(OPEX!$L$13:$L$29)+OPEX!$L$32)*1000000</f>
        <v>32905791.831248891</v>
      </c>
      <c r="AI53" s="1404">
        <f ca="1">(SUM(OPEX!$L$13:$L$29)+OPEX!$L$32)*1000000</f>
        <v>32905791.831248891</v>
      </c>
      <c r="AJ53" s="1260"/>
      <c r="AK53" s="1260"/>
      <c r="AL53" s="1260"/>
      <c r="AM53" s="1260"/>
      <c r="AN53" s="1260"/>
      <c r="AO53" s="1260"/>
      <c r="AP53" s="1260"/>
      <c r="AQ53" s="1260"/>
      <c r="AR53" s="1260"/>
      <c r="AS53" s="1260"/>
      <c r="AT53" s="1260"/>
      <c r="AU53" s="1260"/>
      <c r="AV53" s="1260"/>
      <c r="AW53" s="1260"/>
      <c r="AX53" s="1260"/>
      <c r="AY53" s="1260"/>
      <c r="AZ53" s="1260"/>
      <c r="BA53" s="1260"/>
      <c r="BB53" s="1260"/>
      <c r="BC53" s="1260"/>
      <c r="BD53" s="1260"/>
      <c r="BE53" s="1260"/>
    </row>
    <row r="54" spans="1:59" s="1405" customFormat="1" x14ac:dyDescent="0.2">
      <c r="A54" s="1155" t="s">
        <v>272</v>
      </c>
      <c r="B54" s="1155"/>
      <c r="C54" s="1155"/>
      <c r="D54" s="1155"/>
      <c r="E54" s="1155"/>
      <c r="F54" s="1404">
        <f ca="1">(OPEX!$L$59*1000000)*(1-B27)+(OPEX!$L$59*1000000)*B27*B30</f>
        <v>11614768.05481784</v>
      </c>
      <c r="G54" s="1404">
        <f ca="1">OPEX!$L$59*1000000</f>
        <v>11614768.05481784</v>
      </c>
      <c r="H54" s="1404">
        <f ca="1">OPEX!$L$59*1000000</f>
        <v>11614768.05481784</v>
      </c>
      <c r="I54" s="1404">
        <f ca="1">OPEX!$L$59*1000000</f>
        <v>11614768.05481784</v>
      </c>
      <c r="J54" s="1404">
        <f ca="1">OPEX!$L$59*1000000</f>
        <v>11614768.05481784</v>
      </c>
      <c r="K54" s="1404">
        <f ca="1">OPEX!$L$59*1000000</f>
        <v>11614768.05481784</v>
      </c>
      <c r="L54" s="1404">
        <f ca="1">OPEX!$L$59*1000000</f>
        <v>11614768.05481784</v>
      </c>
      <c r="M54" s="1404">
        <f ca="1">OPEX!$L$59*1000000</f>
        <v>11614768.05481784</v>
      </c>
      <c r="N54" s="1404">
        <f ca="1">OPEX!$L$59*1000000</f>
        <v>11614768.05481784</v>
      </c>
      <c r="O54" s="1404">
        <f ca="1">OPEX!$L$59*1000000</f>
        <v>11614768.05481784</v>
      </c>
      <c r="P54" s="1404">
        <f ca="1">OPEX!$L$59*1000000</f>
        <v>11614768.05481784</v>
      </c>
      <c r="Q54" s="1404">
        <f ca="1">OPEX!$L$59*1000000</f>
        <v>11614768.05481784</v>
      </c>
      <c r="R54" s="1404">
        <f ca="1">OPEX!$L$59*1000000</f>
        <v>11614768.05481784</v>
      </c>
      <c r="S54" s="1404">
        <f ca="1">OPEX!$L$59*1000000</f>
        <v>11614768.05481784</v>
      </c>
      <c r="T54" s="1404">
        <f ca="1">OPEX!$L$59*1000000</f>
        <v>11614768.05481784</v>
      </c>
      <c r="U54" s="1404">
        <f ca="1">OPEX!$L$59*1000000</f>
        <v>11614768.05481784</v>
      </c>
      <c r="V54" s="1404">
        <f ca="1">OPEX!$L$59*1000000</f>
        <v>11614768.05481784</v>
      </c>
      <c r="W54" s="1404">
        <f ca="1">OPEX!$L$59*1000000</f>
        <v>11614768.05481784</v>
      </c>
      <c r="X54" s="1404">
        <f ca="1">OPEX!$L$59*1000000</f>
        <v>11614768.05481784</v>
      </c>
      <c r="Y54" s="1404">
        <f ca="1">OPEX!$L$59*1000000</f>
        <v>11614768.05481784</v>
      </c>
      <c r="Z54" s="1404">
        <f ca="1">OPEX!$L$59*1000000</f>
        <v>11614768.05481784</v>
      </c>
      <c r="AA54" s="1404">
        <f ca="1">OPEX!$L$59*1000000</f>
        <v>11614768.05481784</v>
      </c>
      <c r="AB54" s="1404">
        <f ca="1">OPEX!$L$59*1000000</f>
        <v>11614768.05481784</v>
      </c>
      <c r="AC54" s="1404">
        <f ca="1">OPEX!$L$59*1000000</f>
        <v>11614768.05481784</v>
      </c>
      <c r="AD54" s="1404">
        <f ca="1">OPEX!$L$59*1000000</f>
        <v>11614768.05481784</v>
      </c>
      <c r="AE54" s="1404">
        <f ca="1">OPEX!$L$59*1000000</f>
        <v>11614768.05481784</v>
      </c>
      <c r="AF54" s="1404">
        <f ca="1">OPEX!$L$59*1000000</f>
        <v>11614768.05481784</v>
      </c>
      <c r="AG54" s="1404">
        <f ca="1">OPEX!$L$59*1000000</f>
        <v>11614768.05481784</v>
      </c>
      <c r="AH54" s="1404">
        <f ca="1">OPEX!$L$59*1000000</f>
        <v>11614768.05481784</v>
      </c>
      <c r="AI54" s="1404">
        <f ca="1">OPEX!$L$59*1000000</f>
        <v>11614768.05481784</v>
      </c>
      <c r="AJ54" s="1260"/>
      <c r="AK54" s="1260"/>
      <c r="AL54" s="1260"/>
      <c r="AM54" s="1260"/>
      <c r="AN54" s="1260"/>
      <c r="AO54" s="1260"/>
      <c r="AP54" s="1260"/>
      <c r="AQ54" s="1260"/>
      <c r="AR54" s="1260"/>
      <c r="AS54" s="1260"/>
      <c r="AT54" s="1260"/>
      <c r="AU54" s="1260"/>
      <c r="AV54" s="1260"/>
      <c r="AW54" s="1260"/>
      <c r="AX54" s="1260"/>
      <c r="AY54" s="1260"/>
      <c r="AZ54" s="1260"/>
      <c r="BA54" s="1260"/>
      <c r="BB54" s="1260"/>
      <c r="BC54" s="1260"/>
      <c r="BD54" s="1260"/>
      <c r="BE54" s="1260"/>
    </row>
    <row r="55" spans="1:59" s="1405" customFormat="1" ht="13.2" thickBot="1" x14ac:dyDescent="0.25">
      <c r="A55" s="1401" t="s">
        <v>273</v>
      </c>
      <c r="B55" s="1401"/>
      <c r="C55" s="1401"/>
      <c r="D55" s="1401"/>
      <c r="E55" s="1401"/>
      <c r="F55" s="1406">
        <f t="shared" ref="F55:X55" ca="1" si="9">SUM(F51:F54)</f>
        <v>79600466.740958318</v>
      </c>
      <c r="G55" s="1406">
        <f t="shared" ca="1" si="9"/>
        <v>96137206.663179979</v>
      </c>
      <c r="H55" s="1406">
        <f t="shared" ca="1" si="9"/>
        <v>96137206.663179979</v>
      </c>
      <c r="I55" s="1406">
        <f t="shared" ca="1" si="9"/>
        <v>96137206.663179979</v>
      </c>
      <c r="J55" s="1406">
        <f t="shared" ca="1" si="9"/>
        <v>96137206.663179979</v>
      </c>
      <c r="K55" s="1406">
        <f t="shared" ca="1" si="9"/>
        <v>96617852.414142758</v>
      </c>
      <c r="L55" s="1406">
        <f t="shared" ca="1" si="9"/>
        <v>96137206.663179979</v>
      </c>
      <c r="M55" s="1406">
        <f t="shared" ca="1" si="9"/>
        <v>96137206.663179979</v>
      </c>
      <c r="N55" s="1406">
        <f t="shared" ca="1" si="9"/>
        <v>96137206.663179979</v>
      </c>
      <c r="O55" s="1406">
        <f t="shared" ca="1" si="9"/>
        <v>96137206.663179979</v>
      </c>
      <c r="P55" s="1406">
        <f t="shared" ca="1" si="9"/>
        <v>96617852.414142758</v>
      </c>
      <c r="Q55" s="1406">
        <f t="shared" ca="1" si="9"/>
        <v>96137206.663179979</v>
      </c>
      <c r="R55" s="1406">
        <f t="shared" ca="1" si="9"/>
        <v>96137206.663179979</v>
      </c>
      <c r="S55" s="1406">
        <f t="shared" ca="1" si="9"/>
        <v>96137206.663179979</v>
      </c>
      <c r="T55" s="1406">
        <f t="shared" ca="1" si="9"/>
        <v>96137206.663179979</v>
      </c>
      <c r="U55" s="1406">
        <f t="shared" ca="1" si="9"/>
        <v>96617852.414142758</v>
      </c>
      <c r="V55" s="1406">
        <f t="shared" ca="1" si="9"/>
        <v>96137206.663179979</v>
      </c>
      <c r="W55" s="1406">
        <f t="shared" ca="1" si="9"/>
        <v>96137206.663179979</v>
      </c>
      <c r="X55" s="1406">
        <f t="shared" ca="1" si="9"/>
        <v>96137206.663179979</v>
      </c>
      <c r="Y55" s="1406">
        <f t="shared" ref="Y55:AH55" ca="1" si="10">SUM(Y51:Y54)</f>
        <v>96137206.663179979</v>
      </c>
      <c r="Z55" s="1406">
        <f t="shared" ca="1" si="10"/>
        <v>96617852.414142758</v>
      </c>
      <c r="AA55" s="1406">
        <f t="shared" ca="1" si="10"/>
        <v>96137206.663179979</v>
      </c>
      <c r="AB55" s="1406">
        <f t="shared" ca="1" si="10"/>
        <v>96137206.663179979</v>
      </c>
      <c r="AC55" s="1406">
        <f t="shared" ca="1" si="10"/>
        <v>96137206.663179979</v>
      </c>
      <c r="AD55" s="1406">
        <f t="shared" ca="1" si="10"/>
        <v>96137206.663179979</v>
      </c>
      <c r="AE55" s="1406">
        <f t="shared" ca="1" si="10"/>
        <v>96617852.414142758</v>
      </c>
      <c r="AF55" s="1406">
        <f t="shared" ca="1" si="10"/>
        <v>96137206.663179979</v>
      </c>
      <c r="AG55" s="1406">
        <f t="shared" ca="1" si="10"/>
        <v>96137206.663179979</v>
      </c>
      <c r="AH55" s="1406">
        <f t="shared" ca="1" si="10"/>
        <v>96137206.663179979</v>
      </c>
      <c r="AI55" s="1406">
        <f ca="1">SUM(AI51:AI54)</f>
        <v>96137206.663179979</v>
      </c>
      <c r="AJ55" s="1260"/>
      <c r="AK55" s="1260"/>
      <c r="AL55" s="1260"/>
      <c r="AM55" s="1260"/>
      <c r="AN55" s="1260"/>
      <c r="AO55" s="1260"/>
      <c r="AP55" s="1260"/>
      <c r="AQ55" s="1260"/>
      <c r="AR55" s="1260"/>
      <c r="AS55" s="1260"/>
      <c r="AT55" s="1260"/>
      <c r="AU55" s="1260"/>
      <c r="AV55" s="1260"/>
      <c r="AW55" s="1260"/>
      <c r="AX55" s="1260"/>
      <c r="AY55" s="1260"/>
      <c r="AZ55" s="1260"/>
      <c r="BA55" s="1260"/>
      <c r="BB55" s="1260"/>
      <c r="BC55" s="1260"/>
      <c r="BD55" s="1260"/>
      <c r="BE55" s="1260"/>
    </row>
    <row r="56" spans="1:59" s="1405" customFormat="1" x14ac:dyDescent="0.2">
      <c r="A56" s="1260" t="s">
        <v>274</v>
      </c>
      <c r="B56" s="1260"/>
      <c r="C56" s="1260"/>
      <c r="D56" s="1260"/>
      <c r="E56" s="1260"/>
      <c r="F56" s="1400"/>
      <c r="G56" s="1400"/>
      <c r="H56" s="1400"/>
      <c r="I56" s="1400"/>
      <c r="J56" s="1400"/>
      <c r="K56" s="1400"/>
      <c r="L56" s="1400"/>
      <c r="M56" s="1400"/>
      <c r="N56" s="1400"/>
      <c r="O56" s="1400"/>
      <c r="P56" s="1400"/>
      <c r="Q56" s="1400"/>
      <c r="R56" s="1400"/>
      <c r="S56" s="1400"/>
      <c r="T56" s="1400"/>
      <c r="U56" s="1400"/>
      <c r="V56" s="1400"/>
      <c r="W56" s="1400"/>
      <c r="X56" s="1400"/>
      <c r="Y56" s="1400"/>
      <c r="Z56" s="1400"/>
      <c r="AA56" s="1400"/>
      <c r="AB56" s="1400"/>
      <c r="AC56" s="1400"/>
      <c r="AD56" s="1400"/>
      <c r="AE56" s="1400"/>
      <c r="AF56" s="1400"/>
      <c r="AG56" s="1400"/>
      <c r="AH56" s="1400"/>
      <c r="AI56" s="1400"/>
      <c r="AJ56" s="1260"/>
      <c r="AK56" s="1260"/>
      <c r="AL56" s="1260"/>
      <c r="AM56" s="1260"/>
      <c r="AN56" s="1260"/>
      <c r="AO56" s="1260"/>
      <c r="AP56" s="1260"/>
      <c r="AQ56" s="1260"/>
      <c r="AR56" s="1260"/>
      <c r="AS56" s="1260"/>
      <c r="AT56" s="1260"/>
      <c r="AU56" s="1260"/>
      <c r="AV56" s="1260"/>
      <c r="AW56" s="1260"/>
      <c r="AX56" s="1260"/>
      <c r="AY56" s="1260"/>
      <c r="AZ56" s="1260"/>
      <c r="BA56" s="1260"/>
      <c r="BB56" s="1260"/>
      <c r="BC56" s="1260"/>
      <c r="BD56" s="1260"/>
      <c r="BE56" s="1260"/>
    </row>
    <row r="57" spans="1:59" s="1405" customFormat="1" x14ac:dyDescent="0.2">
      <c r="A57" s="1155" t="s">
        <v>2366</v>
      </c>
      <c r="B57" s="1155"/>
      <c r="C57" s="1155"/>
      <c r="D57" s="1155"/>
      <c r="E57" s="1155"/>
      <c r="F57" s="1407">
        <v>0.1429</v>
      </c>
      <c r="G57" s="739">
        <v>0.24490000000000001</v>
      </c>
      <c r="H57" s="739">
        <v>0.1749</v>
      </c>
      <c r="I57" s="739">
        <v>0.1249</v>
      </c>
      <c r="J57" s="739">
        <v>8.9300000000000004E-2</v>
      </c>
      <c r="K57" s="739">
        <v>8.9200000000000002E-2</v>
      </c>
      <c r="L57" s="739">
        <v>8.9300000000000004E-2</v>
      </c>
      <c r="M57" s="739">
        <v>4.4600000000000001E-2</v>
      </c>
      <c r="N57" s="1155"/>
      <c r="O57" s="1155"/>
      <c r="P57" s="1155"/>
      <c r="Q57" s="1155"/>
      <c r="R57" s="1155"/>
      <c r="S57" s="1155"/>
      <c r="T57" s="1155"/>
      <c r="U57" s="1155"/>
      <c r="V57" s="1155"/>
      <c r="W57" s="1155"/>
      <c r="X57" s="1155"/>
      <c r="Y57" s="1155"/>
      <c r="Z57" s="1155"/>
      <c r="AA57" s="1155"/>
      <c r="AB57" s="1155"/>
      <c r="AC57" s="1155"/>
      <c r="AD57" s="1155"/>
      <c r="AE57" s="1155"/>
      <c r="AF57" s="1155"/>
      <c r="AG57" s="1155"/>
      <c r="AH57" s="1155"/>
      <c r="AI57" s="1155"/>
      <c r="AJ57" s="1260"/>
      <c r="AK57" s="1260"/>
      <c r="AL57" s="1260"/>
      <c r="AM57" s="1260"/>
      <c r="AN57" s="1260"/>
      <c r="AO57" s="1260"/>
      <c r="AP57" s="1260"/>
      <c r="AQ57" s="1260"/>
      <c r="AR57" s="1260"/>
      <c r="AS57" s="1260"/>
      <c r="AT57" s="1260"/>
      <c r="AU57" s="1260"/>
      <c r="AV57" s="1260"/>
      <c r="AW57" s="1260"/>
      <c r="AX57" s="1260"/>
      <c r="AY57" s="1260"/>
      <c r="AZ57" s="1260"/>
      <c r="BA57" s="1260"/>
      <c r="BB57" s="1260"/>
      <c r="BC57" s="1260"/>
      <c r="BD57" s="1260"/>
      <c r="BE57" s="1260"/>
    </row>
    <row r="58" spans="1:59" s="1405" customFormat="1" x14ac:dyDescent="0.2">
      <c r="A58" s="1155" t="s">
        <v>2283</v>
      </c>
      <c r="B58" s="1155"/>
      <c r="C58" s="1155"/>
      <c r="D58" s="1155"/>
      <c r="E58" s="1155"/>
      <c r="F58" s="1404">
        <f ca="1">$B$5*F57</f>
        <v>49333966.159153171</v>
      </c>
      <c r="G58" s="1404">
        <f t="shared" ref="G58:M58" ca="1" si="11">$B$5*G57</f>
        <v>84547853.830487147</v>
      </c>
      <c r="H58" s="1404">
        <f t="shared" ca="1" si="11"/>
        <v>60381460.330552064</v>
      </c>
      <c r="I58" s="1404">
        <f t="shared" ca="1" si="11"/>
        <v>43119750.687741295</v>
      </c>
      <c r="J58" s="1404">
        <f t="shared" ca="1" si="11"/>
        <v>30829413.422060031</v>
      </c>
      <c r="K58" s="1404">
        <f t="shared" ca="1" si="11"/>
        <v>30794890.00277441</v>
      </c>
      <c r="L58" s="1404">
        <f t="shared" ca="1" si="11"/>
        <v>30829413.422060031</v>
      </c>
      <c r="M58" s="1404">
        <f t="shared" ca="1" si="11"/>
        <v>15397445.001387205</v>
      </c>
      <c r="N58" s="1398"/>
      <c r="O58" s="1398"/>
      <c r="P58" s="1398"/>
      <c r="Q58" s="1398"/>
      <c r="R58" s="1398"/>
      <c r="S58" s="1398"/>
      <c r="T58" s="1398"/>
      <c r="U58" s="1398"/>
      <c r="V58" s="1398"/>
      <c r="W58" s="1398"/>
      <c r="X58" s="1398"/>
      <c r="Y58" s="1398"/>
      <c r="Z58" s="1398"/>
      <c r="AA58" s="1398"/>
      <c r="AB58" s="1398"/>
      <c r="AC58" s="1398"/>
      <c r="AD58" s="1398"/>
      <c r="AE58" s="1398"/>
      <c r="AF58" s="1398"/>
      <c r="AG58" s="1398"/>
      <c r="AH58" s="1398"/>
      <c r="AI58" s="1398"/>
      <c r="AJ58" s="1260"/>
      <c r="AK58" s="1260"/>
      <c r="AL58" s="1260"/>
      <c r="AM58" s="1260"/>
      <c r="AN58" s="1260"/>
      <c r="AO58" s="1260"/>
      <c r="AP58" s="1260"/>
      <c r="AQ58" s="1260"/>
      <c r="AR58" s="1260"/>
      <c r="AS58" s="1260"/>
      <c r="AT58" s="1260"/>
      <c r="AU58" s="1260"/>
      <c r="AV58" s="1260"/>
      <c r="AW58" s="1260"/>
      <c r="AX58" s="1260"/>
      <c r="AY58" s="1260"/>
      <c r="AZ58" s="1260"/>
      <c r="BA58" s="1260"/>
      <c r="BB58" s="1260"/>
      <c r="BC58" s="1260"/>
      <c r="BD58" s="1260"/>
      <c r="BE58" s="1260"/>
    </row>
    <row r="59" spans="1:59" s="1405" customFormat="1" x14ac:dyDescent="0.2">
      <c r="A59" s="1155" t="s">
        <v>275</v>
      </c>
      <c r="B59" s="1155"/>
      <c r="C59" s="1155"/>
      <c r="D59" s="1155"/>
      <c r="E59" s="1155"/>
      <c r="F59" s="1404">
        <f ca="1">$B$5-$B$18-F58</f>
        <v>295900226.69706219</v>
      </c>
      <c r="G59" s="1404">
        <f t="shared" ref="G59:M59" ca="1" si="12">F59-G58</f>
        <v>211352372.86657506</v>
      </c>
      <c r="H59" s="1404">
        <f t="shared" ca="1" si="12"/>
        <v>150970912.53602299</v>
      </c>
      <c r="I59" s="1404">
        <f t="shared" ca="1" si="12"/>
        <v>107851161.8482817</v>
      </c>
      <c r="J59" s="1404">
        <f t="shared" ca="1" si="12"/>
        <v>77021748.426221669</v>
      </c>
      <c r="K59" s="1404">
        <f t="shared" ca="1" si="12"/>
        <v>46226858.423447259</v>
      </c>
      <c r="L59" s="1404">
        <f t="shared" ca="1" si="12"/>
        <v>15397445.001387227</v>
      </c>
      <c r="M59" s="1404">
        <f t="shared" ca="1" si="12"/>
        <v>2.2351741790771484E-8</v>
      </c>
      <c r="N59" s="1399"/>
      <c r="O59" s="1399"/>
      <c r="P59" s="1399"/>
      <c r="Q59" s="1399"/>
      <c r="R59" s="1399"/>
      <c r="S59" s="1399"/>
      <c r="T59" s="1399"/>
      <c r="U59" s="1399"/>
      <c r="V59" s="1399"/>
      <c r="W59" s="1399"/>
      <c r="X59" s="1399"/>
      <c r="Y59" s="1399"/>
      <c r="Z59" s="1399"/>
      <c r="AA59" s="1399"/>
      <c r="AB59" s="1399"/>
      <c r="AC59" s="1399"/>
      <c r="AD59" s="1399"/>
      <c r="AE59" s="1399"/>
      <c r="AF59" s="1399"/>
      <c r="AG59" s="1399"/>
      <c r="AH59" s="1399"/>
      <c r="AI59" s="1399"/>
      <c r="AJ59" s="1260"/>
      <c r="AK59" s="1260"/>
      <c r="AL59" s="1260"/>
      <c r="AM59" s="1260"/>
      <c r="AN59" s="1260"/>
      <c r="AO59" s="1260"/>
      <c r="AP59" s="1260"/>
      <c r="AQ59" s="1260"/>
      <c r="AR59" s="1260"/>
      <c r="AS59" s="1260"/>
      <c r="AT59" s="1260"/>
      <c r="AU59" s="1260"/>
      <c r="AV59" s="1260"/>
      <c r="AW59" s="1260"/>
      <c r="AX59" s="1260"/>
      <c r="AY59" s="1260"/>
      <c r="AZ59" s="1260"/>
      <c r="BA59" s="1260"/>
      <c r="BB59" s="1260"/>
      <c r="BC59" s="1260"/>
      <c r="BD59" s="1260"/>
      <c r="BE59" s="1260"/>
    </row>
    <row r="60" spans="1:59" s="1405" customFormat="1" x14ac:dyDescent="0.2">
      <c r="A60" s="1155" t="s">
        <v>2367</v>
      </c>
      <c r="B60" s="1155"/>
      <c r="C60" s="1155"/>
      <c r="D60" s="1155"/>
      <c r="E60" s="1155"/>
      <c r="F60" s="739">
        <v>3.7499999999999999E-2</v>
      </c>
      <c r="G60" s="739">
        <v>7.2190000000000004E-2</v>
      </c>
      <c r="H60" s="739">
        <v>6.6769999999999996E-2</v>
      </c>
      <c r="I60" s="739">
        <v>6.1769999999999999E-2</v>
      </c>
      <c r="J60" s="739">
        <v>5.713E-2</v>
      </c>
      <c r="K60" s="739">
        <v>5.2850000000000001E-2</v>
      </c>
      <c r="L60" s="739">
        <v>4.888E-2</v>
      </c>
      <c r="M60" s="739">
        <v>4.5220000000000003E-2</v>
      </c>
      <c r="N60" s="739">
        <v>4.462E-2</v>
      </c>
      <c r="O60" s="739">
        <v>4.4609999999999997E-2</v>
      </c>
      <c r="P60" s="739">
        <v>4.462E-2</v>
      </c>
      <c r="Q60" s="739">
        <v>4.4609999999999997E-2</v>
      </c>
      <c r="R60" s="739">
        <v>4.462E-2</v>
      </c>
      <c r="S60" s="739">
        <v>4.4609999999999997E-2</v>
      </c>
      <c r="T60" s="739">
        <v>4.462E-2</v>
      </c>
      <c r="U60" s="739">
        <v>4.4609999999999997E-2</v>
      </c>
      <c r="V60" s="739">
        <v>4.462E-2</v>
      </c>
      <c r="W60" s="739">
        <v>4.4609999999999997E-2</v>
      </c>
      <c r="X60" s="739">
        <v>4.462E-2</v>
      </c>
      <c r="Y60" s="739">
        <v>4.4609999999999997E-2</v>
      </c>
      <c r="Z60" s="739">
        <v>2.231E-2</v>
      </c>
      <c r="AA60" s="1399"/>
      <c r="AB60" s="1399"/>
      <c r="AC60" s="1399"/>
      <c r="AD60" s="1399"/>
      <c r="AE60" s="1399"/>
      <c r="AF60" s="1399"/>
      <c r="AG60" s="1399"/>
      <c r="AH60" s="1399"/>
      <c r="AI60" s="1399"/>
      <c r="AJ60" s="1260"/>
      <c r="AK60" s="1260"/>
      <c r="AL60" s="1260"/>
      <c r="AM60" s="1260"/>
      <c r="AN60" s="1260"/>
      <c r="AO60" s="1260"/>
      <c r="AP60" s="1260"/>
      <c r="AQ60" s="1260"/>
      <c r="AR60" s="1260"/>
      <c r="AS60" s="1260"/>
      <c r="AT60" s="1260"/>
      <c r="AU60" s="1260"/>
      <c r="AV60" s="1260"/>
      <c r="AW60" s="1260"/>
      <c r="AX60" s="1260"/>
      <c r="AY60" s="1260"/>
      <c r="AZ60" s="1260"/>
      <c r="BA60" s="1260"/>
      <c r="BB60" s="1260"/>
      <c r="BC60" s="1260"/>
      <c r="BD60" s="1260"/>
      <c r="BE60" s="1260"/>
    </row>
    <row r="61" spans="1:59" s="1405" customFormat="1" x14ac:dyDescent="0.2">
      <c r="A61" s="1155" t="s">
        <v>2283</v>
      </c>
      <c r="B61" s="1155"/>
      <c r="C61" s="1155"/>
      <c r="D61" s="1155"/>
      <c r="E61" s="1155"/>
      <c r="F61" s="1404">
        <f t="shared" ref="F61:Z61" ca="1" si="13">$B$6*F60</f>
        <v>2544258.4084005691</v>
      </c>
      <c r="G61" s="1404">
        <f t="shared" ca="1" si="13"/>
        <v>4897867.0533983232</v>
      </c>
      <c r="H61" s="1404">
        <f t="shared" ca="1" si="13"/>
        <v>4530136.9047708269</v>
      </c>
      <c r="I61" s="1404">
        <f t="shared" ca="1" si="13"/>
        <v>4190902.4503174177</v>
      </c>
      <c r="J61" s="1404">
        <f t="shared" ca="1" si="13"/>
        <v>3876092.8765846542</v>
      </c>
      <c r="K61" s="1404">
        <f t="shared" ca="1" si="13"/>
        <v>3585708.1835725359</v>
      </c>
      <c r="L61" s="1404">
        <f t="shared" ca="1" si="13"/>
        <v>3316356.0267365286</v>
      </c>
      <c r="M61" s="1404">
        <f t="shared" ca="1" si="13"/>
        <v>3068036.4060766334</v>
      </c>
      <c r="N61" s="1404">
        <f t="shared" ca="1" si="13"/>
        <v>3027328.2715422241</v>
      </c>
      <c r="O61" s="1404">
        <f t="shared" ca="1" si="13"/>
        <v>3026649.8026333172</v>
      </c>
      <c r="P61" s="1404">
        <f t="shared" ca="1" si="13"/>
        <v>3027328.2715422241</v>
      </c>
      <c r="Q61" s="1404">
        <f t="shared" ca="1" si="13"/>
        <v>3026649.8026333172</v>
      </c>
      <c r="R61" s="1404">
        <f t="shared" ca="1" si="13"/>
        <v>3027328.2715422241</v>
      </c>
      <c r="S61" s="1404">
        <f t="shared" ca="1" si="13"/>
        <v>3026649.8026333172</v>
      </c>
      <c r="T61" s="1404">
        <f t="shared" ca="1" si="13"/>
        <v>3027328.2715422241</v>
      </c>
      <c r="U61" s="1404">
        <f t="shared" ca="1" si="13"/>
        <v>3026649.8026333172</v>
      </c>
      <c r="V61" s="1404">
        <f t="shared" ca="1" si="13"/>
        <v>3027328.2715422241</v>
      </c>
      <c r="W61" s="1404">
        <f t="shared" ca="1" si="13"/>
        <v>3026649.8026333172</v>
      </c>
      <c r="X61" s="1404">
        <f t="shared" ca="1" si="13"/>
        <v>3027328.2715422241</v>
      </c>
      <c r="Y61" s="1404">
        <f t="shared" ca="1" si="13"/>
        <v>3026649.8026333172</v>
      </c>
      <c r="Z61" s="1404">
        <f t="shared" ca="1" si="13"/>
        <v>1513664.1357711121</v>
      </c>
      <c r="AA61" s="1399"/>
      <c r="AB61" s="1399"/>
      <c r="AC61" s="1399"/>
      <c r="AD61" s="1399"/>
      <c r="AE61" s="1399"/>
      <c r="AF61" s="1399"/>
      <c r="AG61" s="1399"/>
      <c r="AH61" s="1399"/>
      <c r="AI61" s="1399"/>
      <c r="AJ61" s="1260"/>
      <c r="AK61" s="1260"/>
      <c r="AL61" s="1260"/>
      <c r="AM61" s="1260"/>
      <c r="AN61" s="1260"/>
      <c r="AO61" s="1260"/>
      <c r="AP61" s="1260"/>
      <c r="AQ61" s="1260"/>
      <c r="AR61" s="1260"/>
      <c r="AS61" s="1260"/>
      <c r="AT61" s="1260"/>
      <c r="AU61" s="1260"/>
      <c r="AV61" s="1260"/>
      <c r="AW61" s="1260"/>
      <c r="AX61" s="1260"/>
      <c r="AY61" s="1260"/>
      <c r="AZ61" s="1260"/>
      <c r="BA61" s="1260"/>
      <c r="BB61" s="1260"/>
      <c r="BC61" s="1260"/>
      <c r="BD61" s="1260"/>
      <c r="BE61" s="1260"/>
    </row>
    <row r="62" spans="1:59" s="1405" customFormat="1" ht="13.2" thickBot="1" x14ac:dyDescent="0.25">
      <c r="A62" s="1401" t="s">
        <v>275</v>
      </c>
      <c r="B62" s="1401"/>
      <c r="C62" s="1401"/>
      <c r="D62" s="1401"/>
      <c r="E62" s="1401"/>
      <c r="F62" s="1406">
        <f ca="1">B6-B19-F61</f>
        <v>65302632.482281283</v>
      </c>
      <c r="G62" s="1406">
        <f ca="1">F62-G61</f>
        <v>60404765.428882957</v>
      </c>
      <c r="H62" s="1406">
        <f t="shared" ref="H62:U62" ca="1" si="14">G62-H61</f>
        <v>55874628.524112128</v>
      </c>
      <c r="I62" s="1406">
        <f t="shared" ca="1" si="14"/>
        <v>51683726.073794708</v>
      </c>
      <c r="J62" s="1406">
        <f t="shared" ca="1" si="14"/>
        <v>47807633.197210051</v>
      </c>
      <c r="K62" s="1406">
        <f t="shared" ca="1" si="14"/>
        <v>44221925.013637513</v>
      </c>
      <c r="L62" s="1406">
        <f t="shared" ca="1" si="14"/>
        <v>40905568.986900985</v>
      </c>
      <c r="M62" s="1406">
        <f t="shared" ca="1" si="14"/>
        <v>37837532.580824353</v>
      </c>
      <c r="N62" s="1406">
        <f t="shared" ca="1" si="14"/>
        <v>34810204.309282131</v>
      </c>
      <c r="O62" s="1406">
        <f t="shared" ca="1" si="14"/>
        <v>31783554.506648816</v>
      </c>
      <c r="P62" s="1406">
        <f t="shared" ca="1" si="14"/>
        <v>28756226.235106591</v>
      </c>
      <c r="Q62" s="1406">
        <f t="shared" ca="1" si="14"/>
        <v>25729576.432473272</v>
      </c>
      <c r="R62" s="1406">
        <f t="shared" ca="1" si="14"/>
        <v>22702248.160931047</v>
      </c>
      <c r="S62" s="1406">
        <f t="shared" ca="1" si="14"/>
        <v>19675598.358297728</v>
      </c>
      <c r="T62" s="1406">
        <f t="shared" ca="1" si="14"/>
        <v>16648270.086755503</v>
      </c>
      <c r="U62" s="1406">
        <f t="shared" ca="1" si="14"/>
        <v>13621620.284122186</v>
      </c>
      <c r="V62" s="1406">
        <f ca="1">U62-V61</f>
        <v>10594292.012579963</v>
      </c>
      <c r="W62" s="1406">
        <f ca="1">V62-W61</f>
        <v>7567642.2099466454</v>
      </c>
      <c r="X62" s="1406">
        <f ca="1">W62-X61</f>
        <v>4540313.9384044213</v>
      </c>
      <c r="Y62" s="1406">
        <f ca="1">X62-Y61</f>
        <v>1513664.1357711041</v>
      </c>
      <c r="Z62" s="1406">
        <f ca="1">Y62-Z61</f>
        <v>-7.9162418842315674E-9</v>
      </c>
      <c r="AA62" s="1403"/>
      <c r="AB62" s="1403"/>
      <c r="AC62" s="1403"/>
      <c r="AD62" s="1403"/>
      <c r="AE62" s="1403"/>
      <c r="AF62" s="1403"/>
      <c r="AG62" s="1403"/>
      <c r="AH62" s="1403"/>
      <c r="AI62" s="1403"/>
      <c r="AJ62" s="1260"/>
      <c r="AK62" s="1260"/>
      <c r="AL62" s="1260"/>
      <c r="AM62" s="1260"/>
      <c r="AN62" s="1260"/>
      <c r="AO62" s="1260"/>
      <c r="AP62" s="1260"/>
      <c r="AQ62" s="1260"/>
      <c r="AR62" s="1260"/>
      <c r="AS62" s="1260"/>
      <c r="AT62" s="1260"/>
      <c r="AU62" s="1260"/>
      <c r="AV62" s="1260"/>
      <c r="AW62" s="1260"/>
      <c r="AX62" s="1260"/>
      <c r="AY62" s="1260"/>
      <c r="AZ62" s="1260"/>
      <c r="BA62" s="1260"/>
      <c r="BB62" s="1260"/>
      <c r="BC62" s="1260"/>
      <c r="BD62" s="1260"/>
      <c r="BE62" s="1260"/>
    </row>
    <row r="63" spans="1:59" s="1405" customFormat="1" x14ac:dyDescent="0.2">
      <c r="A63" s="1260" t="s">
        <v>138</v>
      </c>
      <c r="B63" s="1260"/>
      <c r="C63" s="1260"/>
      <c r="D63" s="1260"/>
      <c r="E63" s="1260"/>
      <c r="F63" s="1400">
        <f ca="1">F49-F55-F58-F61-F45</f>
        <v>-38255185.1771667</v>
      </c>
      <c r="G63" s="1400">
        <f t="shared" ref="G63:AI63" ca="1" si="15">G49-G55-G58-G61-G45</f>
        <v>-53306912.783916816</v>
      </c>
      <c r="H63" s="1400">
        <f t="shared" ca="1" si="15"/>
        <v>-27294583.147437401</v>
      </c>
      <c r="I63" s="1400">
        <f t="shared" ca="1" si="15"/>
        <v>-8097176.5832230449</v>
      </c>
      <c r="J63" s="1400">
        <f t="shared" ca="1" si="15"/>
        <v>6232149.7204971761</v>
      </c>
      <c r="K63" s="1404">
        <f t="shared" ca="1" si="15"/>
        <v>7938525.9032828268</v>
      </c>
      <c r="L63" s="1404">
        <f t="shared" ca="1" si="15"/>
        <v>10665083.318962734</v>
      </c>
      <c r="M63" s="1404">
        <f t="shared" ca="1" si="15"/>
        <v>28517340.921635535</v>
      </c>
      <c r="N63" s="1404">
        <f t="shared" ca="1" si="15"/>
        <v>46301221.183804445</v>
      </c>
      <c r="O63" s="1404">
        <f t="shared" ca="1" si="15"/>
        <v>48835284.949060425</v>
      </c>
      <c r="P63" s="1404">
        <f t="shared" ca="1" si="15"/>
        <v>51090016.849243574</v>
      </c>
      <c r="Q63" s="1404">
        <f t="shared" ca="1" si="15"/>
        <v>51571341.069115259</v>
      </c>
      <c r="R63" s="1404">
        <f t="shared" ca="1" si="15"/>
        <v>51570662.600206353</v>
      </c>
      <c r="S63" s="1404">
        <f t="shared" ca="1" si="15"/>
        <v>51571341.069115259</v>
      </c>
      <c r="T63" s="1404">
        <f t="shared" ca="1" si="15"/>
        <v>51570662.600206353</v>
      </c>
      <c r="U63" s="1404">
        <f t="shared" ca="1" si="15"/>
        <v>51090695.31815248</v>
      </c>
      <c r="V63" s="1404">
        <f t="shared" ca="1" si="15"/>
        <v>51570662.600206353</v>
      </c>
      <c r="W63" s="1404">
        <f t="shared" ca="1" si="15"/>
        <v>51571341.069115259</v>
      </c>
      <c r="X63" s="1404">
        <f t="shared" ca="1" si="15"/>
        <v>51570662.600206353</v>
      </c>
      <c r="Y63" s="1404">
        <f t="shared" ca="1" si="15"/>
        <v>51571341.069115251</v>
      </c>
      <c r="Z63" s="1404">
        <f t="shared" ca="1" si="15"/>
        <v>52603680.985014677</v>
      </c>
      <c r="AA63" s="1404">
        <f t="shared" ca="1" si="15"/>
        <v>54597990.871748567</v>
      </c>
      <c r="AB63" s="1404">
        <f t="shared" ca="1" si="15"/>
        <v>54597990.871748567</v>
      </c>
      <c r="AC63" s="1404">
        <f t="shared" ca="1" si="15"/>
        <v>54597990.871748567</v>
      </c>
      <c r="AD63" s="1404">
        <f t="shared" ca="1" si="15"/>
        <v>54597990.871748567</v>
      </c>
      <c r="AE63" s="1404">
        <f t="shared" ca="1" si="15"/>
        <v>54117345.120785788</v>
      </c>
      <c r="AF63" s="1404">
        <f t="shared" ca="1" si="15"/>
        <v>54597990.871748559</v>
      </c>
      <c r="AG63" s="1404">
        <f t="shared" ca="1" si="15"/>
        <v>54597990.871748559</v>
      </c>
      <c r="AH63" s="1404">
        <f t="shared" ca="1" si="15"/>
        <v>54597990.871748559</v>
      </c>
      <c r="AI63" s="1404">
        <f t="shared" ca="1" si="15"/>
        <v>54597990.871748567</v>
      </c>
      <c r="AJ63" s="1260"/>
      <c r="AK63" s="1260"/>
      <c r="AL63" s="1260"/>
      <c r="AM63" s="1260"/>
      <c r="AN63" s="1260"/>
      <c r="AO63" s="1260"/>
      <c r="AP63" s="1260"/>
      <c r="AQ63" s="1260"/>
      <c r="AR63" s="1260"/>
      <c r="AS63" s="1260"/>
      <c r="AT63" s="1260"/>
      <c r="AU63" s="1260"/>
      <c r="AV63" s="1260"/>
      <c r="AW63" s="1260"/>
      <c r="AX63" s="1260"/>
      <c r="AY63" s="1260"/>
      <c r="AZ63" s="1260"/>
      <c r="BA63" s="1260"/>
      <c r="BB63" s="1260"/>
      <c r="BC63" s="1260"/>
      <c r="BD63" s="1260"/>
      <c r="BE63" s="1260"/>
    </row>
    <row r="64" spans="1:59" s="1405" customFormat="1" x14ac:dyDescent="0.2">
      <c r="A64" s="1155" t="s">
        <v>139</v>
      </c>
      <c r="B64" s="1155"/>
      <c r="C64" s="1155"/>
      <c r="D64" s="1155"/>
      <c r="E64" s="1155"/>
      <c r="F64" s="1404"/>
      <c r="G64" s="1400">
        <f ca="1">IF(F65&lt;0,F65,0)</f>
        <v>-38255185.1771667</v>
      </c>
      <c r="H64" s="1400">
        <f t="shared" ref="H64:X64" ca="1" si="16">IF(G65&lt;0,G65,0)</f>
        <v>-91562097.961083516</v>
      </c>
      <c r="I64" s="1400">
        <f t="shared" ca="1" si="16"/>
        <v>-118856681.10852093</v>
      </c>
      <c r="J64" s="1400">
        <f t="shared" ca="1" si="16"/>
        <v>-126953857.69174397</v>
      </c>
      <c r="K64" s="1400">
        <f t="shared" ca="1" si="16"/>
        <v>-120721707.97124679</v>
      </c>
      <c r="L64" s="1400">
        <f t="shared" ca="1" si="16"/>
        <v>-112783182.06796397</v>
      </c>
      <c r="M64" s="1400">
        <f t="shared" ca="1" si="16"/>
        <v>-102118098.74900123</v>
      </c>
      <c r="N64" s="1400">
        <f t="shared" ca="1" si="16"/>
        <v>-73600757.827365696</v>
      </c>
      <c r="O64" s="1404">
        <f t="shared" ca="1" si="16"/>
        <v>-27299536.643561251</v>
      </c>
      <c r="P64" s="1404">
        <f t="shared" ca="1" si="16"/>
        <v>0</v>
      </c>
      <c r="Q64" s="1404">
        <f t="shared" ca="1" si="16"/>
        <v>0</v>
      </c>
      <c r="R64" s="1404">
        <f t="shared" ca="1" si="16"/>
        <v>0</v>
      </c>
      <c r="S64" s="1404">
        <f t="shared" ca="1" si="16"/>
        <v>0</v>
      </c>
      <c r="T64" s="1404">
        <f t="shared" ca="1" si="16"/>
        <v>0</v>
      </c>
      <c r="U64" s="1404">
        <f t="shared" ca="1" si="16"/>
        <v>0</v>
      </c>
      <c r="V64" s="1404">
        <f t="shared" ca="1" si="16"/>
        <v>0</v>
      </c>
      <c r="W64" s="1404">
        <f t="shared" ca="1" si="16"/>
        <v>0</v>
      </c>
      <c r="X64" s="1404">
        <f t="shared" ca="1" si="16"/>
        <v>0</v>
      </c>
      <c r="Y64" s="1404">
        <f t="shared" ref="Y64:AH64" ca="1" si="17">IF(X65&lt;0,X65,0)</f>
        <v>0</v>
      </c>
      <c r="Z64" s="1404">
        <f t="shared" ca="1" si="17"/>
        <v>0</v>
      </c>
      <c r="AA64" s="1404">
        <f t="shared" ca="1" si="17"/>
        <v>0</v>
      </c>
      <c r="AB64" s="1404">
        <f t="shared" ca="1" si="17"/>
        <v>0</v>
      </c>
      <c r="AC64" s="1404">
        <f t="shared" ca="1" si="17"/>
        <v>0</v>
      </c>
      <c r="AD64" s="1404">
        <f t="shared" ca="1" si="17"/>
        <v>0</v>
      </c>
      <c r="AE64" s="1404">
        <f t="shared" ca="1" si="17"/>
        <v>0</v>
      </c>
      <c r="AF64" s="1404">
        <f t="shared" ca="1" si="17"/>
        <v>0</v>
      </c>
      <c r="AG64" s="1404">
        <f t="shared" ca="1" si="17"/>
        <v>0</v>
      </c>
      <c r="AH64" s="1404">
        <f t="shared" ca="1" si="17"/>
        <v>0</v>
      </c>
      <c r="AI64" s="1404">
        <f ca="1">IF(X65&lt;0,X65,0)</f>
        <v>0</v>
      </c>
      <c r="AJ64" s="1260"/>
      <c r="AK64" s="1260"/>
      <c r="AL64" s="1260"/>
      <c r="AM64" s="1260"/>
      <c r="AN64" s="1260"/>
      <c r="AO64" s="1260"/>
      <c r="AP64" s="1260"/>
      <c r="AQ64" s="1260"/>
      <c r="AR64" s="1260"/>
      <c r="AS64" s="1260"/>
      <c r="AT64" s="1260"/>
      <c r="AU64" s="1260"/>
      <c r="AV64" s="1260"/>
      <c r="AW64" s="1260"/>
      <c r="AX64" s="1260"/>
      <c r="AY64" s="1260"/>
      <c r="AZ64" s="1260"/>
      <c r="BA64" s="1260"/>
      <c r="BB64" s="1260"/>
      <c r="BC64" s="1260"/>
      <c r="BD64" s="1260"/>
      <c r="BE64" s="1260"/>
    </row>
    <row r="65" spans="1:57" s="1405" customFormat="1" x14ac:dyDescent="0.2">
      <c r="A65" s="1155" t="s">
        <v>41</v>
      </c>
      <c r="B65" s="1155"/>
      <c r="C65" s="1155"/>
      <c r="D65" s="1155"/>
      <c r="E65" s="1155"/>
      <c r="F65" s="1400">
        <f ca="1">F63+F64</f>
        <v>-38255185.1771667</v>
      </c>
      <c r="G65" s="1400">
        <f t="shared" ref="G65:X65" ca="1" si="18">G63+G64</f>
        <v>-91562097.961083516</v>
      </c>
      <c r="H65" s="1400">
        <f t="shared" ca="1" si="18"/>
        <v>-118856681.10852093</v>
      </c>
      <c r="I65" s="1400">
        <f t="shared" ca="1" si="18"/>
        <v>-126953857.69174397</v>
      </c>
      <c r="J65" s="1400">
        <f t="shared" ca="1" si="18"/>
        <v>-120721707.97124679</v>
      </c>
      <c r="K65" s="1400">
        <f t="shared" ca="1" si="18"/>
        <v>-112783182.06796397</v>
      </c>
      <c r="L65" s="1400">
        <f t="shared" ca="1" si="18"/>
        <v>-102118098.74900123</v>
      </c>
      <c r="M65" s="1400">
        <f t="shared" ca="1" si="18"/>
        <v>-73600757.827365696</v>
      </c>
      <c r="N65" s="1404">
        <f ca="1">N63+N64</f>
        <v>-27299536.643561251</v>
      </c>
      <c r="O65" s="1404">
        <f t="shared" ca="1" si="18"/>
        <v>21535748.305499174</v>
      </c>
      <c r="P65" s="1404">
        <f t="shared" ca="1" si="18"/>
        <v>51090016.849243574</v>
      </c>
      <c r="Q65" s="1404">
        <f t="shared" ca="1" si="18"/>
        <v>51571341.069115259</v>
      </c>
      <c r="R65" s="1404">
        <f t="shared" ca="1" si="18"/>
        <v>51570662.600206353</v>
      </c>
      <c r="S65" s="1404">
        <f t="shared" ca="1" si="18"/>
        <v>51571341.069115259</v>
      </c>
      <c r="T65" s="1404">
        <f t="shared" ca="1" si="18"/>
        <v>51570662.600206353</v>
      </c>
      <c r="U65" s="1404">
        <f t="shared" ca="1" si="18"/>
        <v>51090695.31815248</v>
      </c>
      <c r="V65" s="1404">
        <f t="shared" ca="1" si="18"/>
        <v>51570662.600206353</v>
      </c>
      <c r="W65" s="1404">
        <f t="shared" ca="1" si="18"/>
        <v>51571341.069115259</v>
      </c>
      <c r="X65" s="1404">
        <f t="shared" ca="1" si="18"/>
        <v>51570662.600206353</v>
      </c>
      <c r="Y65" s="1404">
        <f t="shared" ref="Y65:AH65" ca="1" si="19">Y63+Y64</f>
        <v>51571341.069115251</v>
      </c>
      <c r="Z65" s="1404">
        <f t="shared" ca="1" si="19"/>
        <v>52603680.985014677</v>
      </c>
      <c r="AA65" s="1404">
        <f t="shared" ca="1" si="19"/>
        <v>54597990.871748567</v>
      </c>
      <c r="AB65" s="1404">
        <f t="shared" ca="1" si="19"/>
        <v>54597990.871748567</v>
      </c>
      <c r="AC65" s="1404">
        <f t="shared" ca="1" si="19"/>
        <v>54597990.871748567</v>
      </c>
      <c r="AD65" s="1404">
        <f t="shared" ca="1" si="19"/>
        <v>54597990.871748567</v>
      </c>
      <c r="AE65" s="1404">
        <f t="shared" ca="1" si="19"/>
        <v>54117345.120785788</v>
      </c>
      <c r="AF65" s="1404">
        <f t="shared" ca="1" si="19"/>
        <v>54597990.871748559</v>
      </c>
      <c r="AG65" s="1404">
        <f t="shared" ca="1" si="19"/>
        <v>54597990.871748559</v>
      </c>
      <c r="AH65" s="1404">
        <f t="shared" ca="1" si="19"/>
        <v>54597990.871748559</v>
      </c>
      <c r="AI65" s="1404">
        <f ca="1">AI63+AI64</f>
        <v>54597990.871748567</v>
      </c>
      <c r="AJ65" s="1260"/>
      <c r="AK65" s="1260"/>
      <c r="AL65" s="1260"/>
      <c r="AM65" s="1260"/>
      <c r="AN65" s="1260"/>
      <c r="AO65" s="1260"/>
      <c r="AP65" s="1260"/>
      <c r="AQ65" s="1260"/>
      <c r="AR65" s="1260"/>
      <c r="AS65" s="1260"/>
      <c r="AT65" s="1260"/>
      <c r="AU65" s="1260"/>
      <c r="AV65" s="1260"/>
      <c r="AW65" s="1260"/>
      <c r="AX65" s="1260"/>
      <c r="AY65" s="1260"/>
      <c r="AZ65" s="1260"/>
      <c r="BA65" s="1260"/>
      <c r="BB65" s="1260"/>
      <c r="BC65" s="1260"/>
      <c r="BD65" s="1260"/>
      <c r="BE65" s="1260"/>
    </row>
    <row r="66" spans="1:57" s="1405" customFormat="1" ht="13.2" thickBot="1" x14ac:dyDescent="0.25">
      <c r="A66" s="1401" t="s">
        <v>42</v>
      </c>
      <c r="B66" s="1401"/>
      <c r="C66" s="1401"/>
      <c r="D66" s="1401"/>
      <c r="E66" s="1401"/>
      <c r="F66" s="1406">
        <f t="shared" ref="F66:X66" ca="1" si="20">IF(F65*($B$32)&lt;0,0,F65*$B$32)</f>
        <v>0</v>
      </c>
      <c r="G66" s="1406">
        <f t="shared" ca="1" si="20"/>
        <v>0</v>
      </c>
      <c r="H66" s="1406">
        <f t="shared" ca="1" si="20"/>
        <v>0</v>
      </c>
      <c r="I66" s="1406">
        <f t="shared" ca="1" si="20"/>
        <v>0</v>
      </c>
      <c r="J66" s="1406">
        <f t="shared" ca="1" si="20"/>
        <v>0</v>
      </c>
      <c r="K66" s="1406">
        <f t="shared" ca="1" si="20"/>
        <v>0</v>
      </c>
      <c r="L66" s="1406">
        <f t="shared" ca="1" si="20"/>
        <v>0</v>
      </c>
      <c r="M66" s="1406">
        <f t="shared" ca="1" si="20"/>
        <v>0</v>
      </c>
      <c r="N66" s="1406">
        <f t="shared" ca="1" si="20"/>
        <v>0</v>
      </c>
      <c r="O66" s="1406">
        <f t="shared" ca="1" si="20"/>
        <v>4522507.1441548262</v>
      </c>
      <c r="P66" s="1406">
        <f t="shared" ca="1" si="20"/>
        <v>10728903.53834115</v>
      </c>
      <c r="Q66" s="1406">
        <f t="shared" ca="1" si="20"/>
        <v>10829981.624514204</v>
      </c>
      <c r="R66" s="1406">
        <f t="shared" ca="1" si="20"/>
        <v>10829839.146043334</v>
      </c>
      <c r="S66" s="1406">
        <f t="shared" ca="1" si="20"/>
        <v>10829981.624514204</v>
      </c>
      <c r="T66" s="1406">
        <f t="shared" ca="1" si="20"/>
        <v>10829839.146043334</v>
      </c>
      <c r="U66" s="1406">
        <f t="shared" ca="1" si="20"/>
        <v>10729046.016812021</v>
      </c>
      <c r="V66" s="1406">
        <f t="shared" ca="1" si="20"/>
        <v>10829839.146043334</v>
      </c>
      <c r="W66" s="1406">
        <f t="shared" ca="1" si="20"/>
        <v>10829981.624514204</v>
      </c>
      <c r="X66" s="1406">
        <f t="shared" ca="1" si="20"/>
        <v>10829839.146043334</v>
      </c>
      <c r="Y66" s="1406">
        <f t="shared" ref="Y66:AH66" ca="1" si="21">IF(Y65*($B$32)&lt;0,0,Y65*$B$32)</f>
        <v>10829981.624514202</v>
      </c>
      <c r="Z66" s="1406">
        <f t="shared" ca="1" si="21"/>
        <v>11046773.006853081</v>
      </c>
      <c r="AA66" s="1406">
        <f t="shared" ca="1" si="21"/>
        <v>11465578.083067199</v>
      </c>
      <c r="AB66" s="1406">
        <f t="shared" ca="1" si="21"/>
        <v>11465578.083067199</v>
      </c>
      <c r="AC66" s="1406">
        <f t="shared" ca="1" si="21"/>
        <v>11465578.083067199</v>
      </c>
      <c r="AD66" s="1406">
        <f t="shared" ca="1" si="21"/>
        <v>11465578.083067199</v>
      </c>
      <c r="AE66" s="1406">
        <f t="shared" ca="1" si="21"/>
        <v>11364642.475365015</v>
      </c>
      <c r="AF66" s="1406">
        <f t="shared" ca="1" si="21"/>
        <v>11465578.083067197</v>
      </c>
      <c r="AG66" s="1406">
        <f t="shared" ca="1" si="21"/>
        <v>11465578.083067197</v>
      </c>
      <c r="AH66" s="1406">
        <f t="shared" ca="1" si="21"/>
        <v>11465578.083067197</v>
      </c>
      <c r="AI66" s="1406">
        <f ca="1">IF(AI65*($B$32)&lt;0,0,AI65*$B$32)</f>
        <v>11465578.083067199</v>
      </c>
      <c r="AJ66" s="1260"/>
      <c r="AK66" s="1260"/>
      <c r="AL66" s="1260"/>
      <c r="AM66" s="1260"/>
      <c r="AN66" s="1260"/>
      <c r="AO66" s="1260"/>
      <c r="AP66" s="1260"/>
      <c r="AQ66" s="1260"/>
      <c r="AR66" s="1260"/>
      <c r="AS66" s="1260"/>
      <c r="AT66" s="1260"/>
      <c r="AU66" s="1260"/>
      <c r="AV66" s="1260"/>
      <c r="AW66" s="1260"/>
      <c r="AX66" s="1260"/>
      <c r="AY66" s="1260"/>
      <c r="AZ66" s="1260"/>
      <c r="BA66" s="1260"/>
      <c r="BB66" s="1260"/>
      <c r="BC66" s="1260"/>
      <c r="BD66" s="1260"/>
      <c r="BE66" s="1260"/>
    </row>
    <row r="67" spans="1:57" s="1405" customFormat="1" x14ac:dyDescent="0.2">
      <c r="A67" s="1155" t="s">
        <v>276</v>
      </c>
      <c r="B67" s="1155"/>
      <c r="C67" s="1155"/>
      <c r="D67" s="1155"/>
      <c r="E67" s="1155"/>
      <c r="F67" s="1404">
        <f t="shared" ref="F67:AI67" ca="1" si="22">F49-F55-F66-F44</f>
        <v>-3485826.2105022222</v>
      </c>
      <c r="G67" s="1404">
        <f t="shared" ca="1" si="22"/>
        <v>17661233.251008257</v>
      </c>
      <c r="H67" s="1404">
        <f t="shared" ca="1" si="22"/>
        <v>17661233.251008257</v>
      </c>
      <c r="I67" s="1404">
        <f t="shared" ca="1" si="22"/>
        <v>17661233.251008257</v>
      </c>
      <c r="J67" s="1404">
        <f t="shared" ca="1" si="22"/>
        <v>17661233.251008257</v>
      </c>
      <c r="K67" s="1404">
        <f t="shared" ca="1" si="22"/>
        <v>17180587.500045478</v>
      </c>
      <c r="L67" s="1404">
        <f t="shared" ca="1" si="22"/>
        <v>17661233.251008257</v>
      </c>
      <c r="M67" s="1404">
        <f t="shared" ca="1" si="22"/>
        <v>17661233.251008257</v>
      </c>
      <c r="N67" s="1404">
        <f t="shared" ca="1" si="22"/>
        <v>17661233.251008257</v>
      </c>
      <c r="O67" s="1404">
        <f t="shared" ca="1" si="22"/>
        <v>13138726.106853433</v>
      </c>
      <c r="P67" s="1404">
        <f t="shared" ca="1" si="22"/>
        <v>43388441.582444653</v>
      </c>
      <c r="Q67" s="1404">
        <f t="shared" ca="1" si="22"/>
        <v>43768009.247234374</v>
      </c>
      <c r="R67" s="1404">
        <f t="shared" ca="1" si="22"/>
        <v>43768151.725705251</v>
      </c>
      <c r="S67" s="1404">
        <f t="shared" ca="1" si="22"/>
        <v>43768009.247234374</v>
      </c>
      <c r="T67" s="1404">
        <f t="shared" ca="1" si="22"/>
        <v>43768151.725705251</v>
      </c>
      <c r="U67" s="1404">
        <f t="shared" ca="1" si="22"/>
        <v>43388299.103973784</v>
      </c>
      <c r="V67" s="1404">
        <f t="shared" ca="1" si="22"/>
        <v>43768151.725705251</v>
      </c>
      <c r="W67" s="1404">
        <f t="shared" ca="1" si="22"/>
        <v>43768009.247234374</v>
      </c>
      <c r="X67" s="1404">
        <f t="shared" ca="1" si="22"/>
        <v>43768151.725705251</v>
      </c>
      <c r="Y67" s="1404">
        <f t="shared" ca="1" si="22"/>
        <v>43768009.247234382</v>
      </c>
      <c r="Z67" s="1404">
        <f t="shared" ca="1" si="22"/>
        <v>43070572.113932721</v>
      </c>
      <c r="AA67" s="1404">
        <f t="shared" ca="1" si="22"/>
        <v>43132412.78868138</v>
      </c>
      <c r="AB67" s="1404">
        <f t="shared" ca="1" si="22"/>
        <v>43132412.78868138</v>
      </c>
      <c r="AC67" s="1404">
        <f t="shared" ca="1" si="22"/>
        <v>43132412.78868138</v>
      </c>
      <c r="AD67" s="1404">
        <f t="shared" ca="1" si="22"/>
        <v>43132412.78868138</v>
      </c>
      <c r="AE67" s="1404">
        <f t="shared" ca="1" si="22"/>
        <v>42752702.64542079</v>
      </c>
      <c r="AF67" s="1404">
        <f t="shared" ca="1" si="22"/>
        <v>43132412.788681388</v>
      </c>
      <c r="AG67" s="1404">
        <f t="shared" ca="1" si="22"/>
        <v>43132412.788681388</v>
      </c>
      <c r="AH67" s="1404">
        <f t="shared" ca="1" si="22"/>
        <v>43132412.788681388</v>
      </c>
      <c r="AI67" s="1404">
        <f t="shared" ca="1" si="22"/>
        <v>43132412.78868138</v>
      </c>
      <c r="AJ67" s="1260"/>
      <c r="AK67" s="1260"/>
      <c r="AL67" s="1260"/>
      <c r="AM67" s="1260"/>
      <c r="AN67" s="1260"/>
      <c r="AO67" s="1260"/>
      <c r="AP67" s="1260"/>
      <c r="AQ67" s="1260"/>
      <c r="AR67" s="1260"/>
      <c r="AS67" s="1260"/>
      <c r="AT67" s="1260"/>
      <c r="AU67" s="1260"/>
      <c r="AV67" s="1260"/>
      <c r="AW67" s="1260"/>
      <c r="AX67" s="1260"/>
      <c r="AY67" s="1260"/>
      <c r="AZ67" s="1260"/>
      <c r="BA67" s="1260"/>
      <c r="BB67" s="1260"/>
      <c r="BC67" s="1260"/>
      <c r="BD67" s="1260"/>
      <c r="BE67" s="1260"/>
    </row>
    <row r="68" spans="1:57" s="1496" customFormat="1" x14ac:dyDescent="0.2">
      <c r="A68" s="1408" t="s">
        <v>277</v>
      </c>
      <c r="B68" s="1408"/>
      <c r="C68" s="1408">
        <f t="shared" ref="C68:X68" si="23">1/(1+$B$31)^C40</f>
        <v>1.2100000000000002</v>
      </c>
      <c r="D68" s="1408">
        <f t="shared" si="23"/>
        <v>1.1000000000000001</v>
      </c>
      <c r="E68" s="1408">
        <f t="shared" si="23"/>
        <v>1</v>
      </c>
      <c r="F68" s="1408">
        <f t="shared" si="23"/>
        <v>0.90909090909090906</v>
      </c>
      <c r="G68" s="1408">
        <f t="shared" si="23"/>
        <v>0.82644628099173545</v>
      </c>
      <c r="H68" s="1408">
        <f t="shared" si="23"/>
        <v>0.75131480090157754</v>
      </c>
      <c r="I68" s="1408">
        <f t="shared" si="23"/>
        <v>0.68301345536507052</v>
      </c>
      <c r="J68" s="1408">
        <f t="shared" si="23"/>
        <v>0.62092132305915493</v>
      </c>
      <c r="K68" s="1408">
        <f t="shared" si="23"/>
        <v>0.56447393005377722</v>
      </c>
      <c r="L68" s="1408">
        <f t="shared" si="23"/>
        <v>0.51315811823070645</v>
      </c>
      <c r="M68" s="1408">
        <f t="shared" si="23"/>
        <v>0.46650738020973315</v>
      </c>
      <c r="N68" s="1408">
        <f t="shared" si="23"/>
        <v>0.42409761837248466</v>
      </c>
      <c r="O68" s="1408">
        <f t="shared" si="23"/>
        <v>0.38554328942953148</v>
      </c>
      <c r="P68" s="1408">
        <f t="shared" si="23"/>
        <v>0.3504938994813922</v>
      </c>
      <c r="Q68" s="1408">
        <f t="shared" si="23"/>
        <v>0.31863081771035656</v>
      </c>
      <c r="R68" s="1408">
        <f t="shared" si="23"/>
        <v>0.28966437973668779</v>
      </c>
      <c r="S68" s="1408">
        <f t="shared" si="23"/>
        <v>0.26333125430607973</v>
      </c>
      <c r="T68" s="1408">
        <f t="shared" si="23"/>
        <v>0.23939204936916339</v>
      </c>
      <c r="U68" s="1408">
        <f t="shared" si="23"/>
        <v>0.21762913579014853</v>
      </c>
      <c r="V68" s="1408">
        <f t="shared" si="23"/>
        <v>0.19784466890013502</v>
      </c>
      <c r="W68" s="1408">
        <f t="shared" si="23"/>
        <v>0.17985878990921364</v>
      </c>
      <c r="X68" s="1408">
        <f t="shared" si="23"/>
        <v>0.16350799082655781</v>
      </c>
      <c r="Y68" s="1408">
        <f t="shared" ref="Y68:AH68" si="24">1/(1+$B$31)^Y40</f>
        <v>0.14864362802414349</v>
      </c>
      <c r="Z68" s="1408">
        <f t="shared" si="24"/>
        <v>0.13513057093103953</v>
      </c>
      <c r="AA68" s="1408">
        <f t="shared" si="24"/>
        <v>0.12284597357367227</v>
      </c>
      <c r="AB68" s="1408">
        <f t="shared" si="24"/>
        <v>0.11167815779424752</v>
      </c>
      <c r="AC68" s="1408">
        <f t="shared" si="24"/>
        <v>0.10152559799477048</v>
      </c>
      <c r="AD68" s="1408">
        <f t="shared" si="24"/>
        <v>9.2295998177064048E-2</v>
      </c>
      <c r="AE68" s="1408">
        <f t="shared" si="24"/>
        <v>8.3905452888240042E-2</v>
      </c>
      <c r="AF68" s="1408">
        <f t="shared" si="24"/>
        <v>7.6277684443854576E-2</v>
      </c>
      <c r="AG68" s="1408">
        <f t="shared" si="24"/>
        <v>6.9343349494413245E-2</v>
      </c>
      <c r="AH68" s="1408">
        <f t="shared" si="24"/>
        <v>6.3039408631284766E-2</v>
      </c>
      <c r="AI68" s="1408">
        <f>1/(1+$B$31)^Y40</f>
        <v>0.14864362802414349</v>
      </c>
    </row>
    <row r="69" spans="1:57" s="1405" customFormat="1" x14ac:dyDescent="0.2">
      <c r="A69" s="1155" t="s">
        <v>278</v>
      </c>
      <c r="B69" s="1404">
        <f ca="1">SUM(F69:AI69)</f>
        <v>234046126.80462682</v>
      </c>
      <c r="C69" s="1155"/>
      <c r="D69" s="1155"/>
      <c r="E69" s="1155"/>
      <c r="F69" s="1404">
        <f ca="1">F68*F67</f>
        <v>-3168932.9186383835</v>
      </c>
      <c r="G69" s="1404">
        <f t="shared" ref="G69:X69" ca="1" si="25">G68*G67</f>
        <v>14596060.538023351</v>
      </c>
      <c r="H69" s="1404">
        <f t="shared" ca="1" si="25"/>
        <v>13269145.94365759</v>
      </c>
      <c r="I69" s="1404">
        <f t="shared" ca="1" si="25"/>
        <v>12062859.948779628</v>
      </c>
      <c r="J69" s="1404">
        <f t="shared" ca="1" si="25"/>
        <v>10966236.317072388</v>
      </c>
      <c r="K69" s="1404">
        <f t="shared" ca="1" si="25"/>
        <v>9697993.7467834707</v>
      </c>
      <c r="L69" s="1404">
        <f t="shared" ca="1" si="25"/>
        <v>9063005.2207209785</v>
      </c>
      <c r="M69" s="1404">
        <f t="shared" ca="1" si="25"/>
        <v>8239095.6552008903</v>
      </c>
      <c r="N69" s="1404">
        <f t="shared" ca="1" si="25"/>
        <v>7490086.9592735367</v>
      </c>
      <c r="O69" s="1404">
        <f t="shared" ca="1" si="25"/>
        <v>5065547.6821499346</v>
      </c>
      <c r="P69" s="1404">
        <f t="shared" ca="1" si="25"/>
        <v>15207384.082651613</v>
      </c>
      <c r="Q69" s="1404">
        <f t="shared" ca="1" si="25"/>
        <v>13945836.576000737</v>
      </c>
      <c r="R69" s="1404">
        <f t="shared" ca="1" si="25"/>
        <v>12678074.521847652</v>
      </c>
      <c r="S69" s="1404">
        <f t="shared" ca="1" si="25"/>
        <v>11525484.773554325</v>
      </c>
      <c r="T69" s="1404">
        <f t="shared" ca="1" si="25"/>
        <v>10477747.538717065</v>
      </c>
      <c r="U69" s="1404">
        <f t="shared" ca="1" si="25"/>
        <v>9442558.0374022909</v>
      </c>
      <c r="V69" s="1404">
        <f t="shared" ca="1" si="25"/>
        <v>8659295.4865430295</v>
      </c>
      <c r="W69" s="1404">
        <f t="shared" ca="1" si="25"/>
        <v>7872061.1799428472</v>
      </c>
      <c r="X69" s="1404">
        <f t="shared" ca="1" si="25"/>
        <v>7156442.550862005</v>
      </c>
      <c r="Y69" s="1404">
        <f t="shared" ref="Y69:AH69" ca="1" si="26">Y68*Y67</f>
        <v>6505835.6859031804</v>
      </c>
      <c r="Z69" s="1404">
        <f t="shared" ca="1" si="26"/>
        <v>5820151.0000822386</v>
      </c>
      <c r="AA69" s="1404">
        <f t="shared" ca="1" si="26"/>
        <v>5298643.2416070765</v>
      </c>
      <c r="AB69" s="1404">
        <f t="shared" ca="1" si="26"/>
        <v>4816948.4014609791</v>
      </c>
      <c r="AC69" s="1404">
        <f t="shared" ca="1" si="26"/>
        <v>4379044.0013281628</v>
      </c>
      <c r="AD69" s="1404">
        <f t="shared" ca="1" si="26"/>
        <v>3980949.0921165105</v>
      </c>
      <c r="AE69" s="1404">
        <f t="shared" ca="1" si="26"/>
        <v>3587184.8776602894</v>
      </c>
      <c r="AF69" s="1404">
        <f t="shared" ca="1" si="26"/>
        <v>3290040.5719971163</v>
      </c>
      <c r="AG69" s="1404">
        <f t="shared" ca="1" si="26"/>
        <v>2990945.9745428329</v>
      </c>
      <c r="AH69" s="1404">
        <f t="shared" ca="1" si="26"/>
        <v>2719041.795038939</v>
      </c>
      <c r="AI69" s="1404">
        <f ca="1">AI68*AI67</f>
        <v>6411358.3223445648</v>
      </c>
      <c r="AJ69" s="1260"/>
      <c r="AK69" s="1260"/>
      <c r="AL69" s="1260"/>
      <c r="AM69" s="1260"/>
      <c r="AN69" s="1260"/>
      <c r="AO69" s="1260"/>
      <c r="AP69" s="1260"/>
      <c r="AQ69" s="1260"/>
      <c r="AR69" s="1260"/>
      <c r="AS69" s="1260"/>
      <c r="AT69" s="1260"/>
      <c r="AU69" s="1260"/>
      <c r="AV69" s="1260"/>
      <c r="AW69" s="1260"/>
      <c r="AX69" s="1260"/>
      <c r="AY69" s="1260"/>
      <c r="AZ69" s="1260"/>
      <c r="BA69" s="1260"/>
      <c r="BB69" s="1260"/>
      <c r="BC69" s="1260"/>
      <c r="BD69" s="1260"/>
      <c r="BE69" s="1260"/>
    </row>
    <row r="70" spans="1:57" s="1400" customFormat="1" x14ac:dyDescent="0.2">
      <c r="A70" s="1398" t="s">
        <v>43</v>
      </c>
      <c r="B70" s="1398"/>
      <c r="C70" s="1404">
        <f ca="1">(C41+C42+C45)*C68</f>
        <v>20149919.51020145</v>
      </c>
      <c r="D70" s="1404">
        <f ca="1">(D41+D45)*D68</f>
        <v>123884669.34002946</v>
      </c>
      <c r="E70" s="1404">
        <f ca="1">(E41+E45+E43)*E68</f>
        <v>93356324.926798776</v>
      </c>
      <c r="F70" s="1398"/>
      <c r="G70" s="1398" t="s">
        <v>268</v>
      </c>
      <c r="H70" s="1398"/>
      <c r="I70" s="1398"/>
      <c r="J70" s="1398"/>
      <c r="K70" s="1398"/>
      <c r="L70" s="1398"/>
      <c r="M70" s="1398"/>
      <c r="N70" s="1398"/>
      <c r="O70" s="1398"/>
      <c r="P70" s="1398"/>
      <c r="Q70" s="1398"/>
      <c r="R70" s="1398"/>
      <c r="S70" s="1398"/>
      <c r="T70" s="1398"/>
      <c r="U70" s="1398"/>
      <c r="V70" s="1398"/>
      <c r="W70" s="1398"/>
      <c r="X70" s="1398"/>
      <c r="Y70" s="1398"/>
      <c r="Z70" s="1398"/>
      <c r="AA70" s="1398"/>
      <c r="AB70" s="1398"/>
      <c r="AC70" s="1398"/>
      <c r="AD70" s="1398"/>
      <c r="AE70" s="1398"/>
      <c r="AF70" s="1398"/>
      <c r="AG70" s="1398"/>
      <c r="AH70" s="1398"/>
      <c r="AI70" s="1398">
        <f ca="1">(AI41+AI45+AI43+AI42)*AI68</f>
        <v>-3344786.9724028087</v>
      </c>
    </row>
    <row r="71" spans="1:57" s="1399" customFormat="1" x14ac:dyDescent="0.2">
      <c r="A71" s="1155" t="s">
        <v>263</v>
      </c>
      <c r="B71" s="1155"/>
      <c r="C71" s="1404"/>
      <c r="D71" s="1404"/>
      <c r="E71" s="1404">
        <f ca="1">B69-SUM(B70:AI70)</f>
        <v>0</v>
      </c>
      <c r="F71" s="1155"/>
      <c r="G71" s="1398"/>
      <c r="H71" s="1155"/>
      <c r="I71" s="1155"/>
      <c r="J71" s="1155"/>
      <c r="K71" s="1155"/>
      <c r="L71" s="1155"/>
      <c r="M71" s="1155"/>
      <c r="N71" s="1155"/>
      <c r="O71" s="1155"/>
      <c r="P71" s="1155"/>
      <c r="Q71" s="1155"/>
      <c r="R71" s="1155"/>
      <c r="S71" s="1155"/>
      <c r="T71" s="1155"/>
      <c r="U71" s="1155"/>
      <c r="V71" s="1155"/>
      <c r="W71" s="1155"/>
      <c r="X71" s="1155"/>
      <c r="Y71" s="1155"/>
      <c r="Z71" s="1155"/>
      <c r="AA71" s="1155"/>
      <c r="AB71" s="1155"/>
      <c r="AC71" s="1155"/>
      <c r="AD71" s="1155"/>
      <c r="AE71" s="1155"/>
      <c r="AF71" s="1155"/>
      <c r="AG71" s="1155"/>
      <c r="AH71" s="1155"/>
      <c r="AI71" s="1155"/>
      <c r="AJ71" s="1155"/>
      <c r="AK71" s="1155"/>
      <c r="AL71" s="1155"/>
      <c r="AM71" s="1155"/>
      <c r="AN71" s="1155"/>
      <c r="AO71" s="1155"/>
      <c r="AP71" s="1155"/>
      <c r="AQ71" s="1155"/>
      <c r="AR71" s="1155"/>
      <c r="AS71" s="1155"/>
      <c r="AT71" s="1155"/>
      <c r="AU71" s="1155"/>
      <c r="AV71" s="1155"/>
      <c r="AW71" s="1155"/>
      <c r="AX71" s="1155"/>
      <c r="AY71" s="1155"/>
      <c r="AZ71" s="1155"/>
      <c r="BA71" s="1155"/>
      <c r="BB71" s="1155"/>
      <c r="BC71" s="1155"/>
      <c r="BD71" s="1155"/>
      <c r="BE71" s="1155"/>
    </row>
    <row r="72" spans="1:57" s="1399" customFormat="1" x14ac:dyDescent="0.2">
      <c r="A72" s="1155"/>
      <c r="B72" s="1155"/>
      <c r="C72" s="1155"/>
      <c r="D72" s="1155"/>
      <c r="E72" s="1155"/>
      <c r="F72" s="1155"/>
      <c r="G72" s="1398"/>
      <c r="H72" s="1155"/>
      <c r="I72" s="1155"/>
      <c r="J72" s="1155"/>
      <c r="K72" s="1155"/>
      <c r="L72" s="1155"/>
      <c r="M72" s="1155"/>
      <c r="N72" s="1155"/>
      <c r="O72" s="1155"/>
      <c r="P72" s="1155"/>
      <c r="Q72" s="1155"/>
      <c r="R72" s="1155"/>
      <c r="S72" s="1155"/>
      <c r="T72" s="1155"/>
      <c r="U72" s="1155"/>
      <c r="V72" s="1155"/>
      <c r="W72" s="1155"/>
      <c r="X72" s="1155"/>
      <c r="Y72" s="1155"/>
      <c r="Z72" s="1155"/>
      <c r="AA72" s="1155"/>
      <c r="AB72" s="1155"/>
      <c r="AC72" s="1155"/>
      <c r="AD72" s="1155"/>
      <c r="AE72" s="1155"/>
      <c r="AF72" s="1155"/>
      <c r="AG72" s="1155"/>
      <c r="AH72" s="1155"/>
      <c r="AI72" s="1155"/>
      <c r="AJ72" s="1155"/>
      <c r="AK72" s="1155"/>
      <c r="AL72" s="1155"/>
      <c r="AM72" s="1155"/>
      <c r="AN72" s="1155"/>
      <c r="AO72" s="1155"/>
      <c r="AP72" s="1155"/>
      <c r="AQ72" s="1155"/>
      <c r="AR72" s="1155"/>
      <c r="AS72" s="1155"/>
      <c r="AT72" s="1155"/>
      <c r="AU72" s="1155"/>
      <c r="AV72" s="1155"/>
      <c r="AW72" s="1155"/>
      <c r="AX72" s="1155"/>
      <c r="AY72" s="1155"/>
      <c r="AZ72" s="1155"/>
      <c r="BA72" s="1155"/>
      <c r="BB72" s="1155"/>
      <c r="BC72" s="1155"/>
      <c r="BD72" s="1155"/>
      <c r="BE72" s="1155"/>
    </row>
    <row r="73" spans="1:57" s="1399" customFormat="1" x14ac:dyDescent="0.2">
      <c r="A73" s="1155"/>
      <c r="B73" s="1155"/>
      <c r="C73" s="1155"/>
      <c r="D73" s="1155"/>
      <c r="E73" s="1155"/>
      <c r="F73" s="1155"/>
      <c r="G73" s="1398" t="s">
        <v>268</v>
      </c>
      <c r="H73" s="1155"/>
      <c r="I73" s="1155"/>
      <c r="J73" s="1155"/>
      <c r="K73" s="1155"/>
      <c r="L73" s="1155"/>
      <c r="M73" s="1155"/>
      <c r="N73" s="1155"/>
      <c r="O73" s="1155"/>
      <c r="P73" s="1155"/>
      <c r="Q73" s="1155"/>
      <c r="R73" s="1155"/>
      <c r="S73" s="1155"/>
      <c r="T73" s="1155"/>
      <c r="U73" s="1155"/>
      <c r="V73" s="1155"/>
      <c r="W73" s="1155"/>
      <c r="X73" s="1155"/>
      <c r="Y73" s="1155"/>
      <c r="Z73" s="1155"/>
      <c r="AA73" s="1155"/>
      <c r="AB73" s="1155"/>
      <c r="AC73" s="1155"/>
      <c r="AD73" s="1155"/>
      <c r="AE73" s="1155"/>
      <c r="AF73" s="1155"/>
      <c r="AG73" s="1155"/>
      <c r="AH73" s="1155"/>
      <c r="AI73" s="1155"/>
      <c r="AJ73" s="1155"/>
      <c r="AK73" s="1155"/>
      <c r="AL73" s="1155"/>
      <c r="AM73" s="1155"/>
      <c r="AN73" s="1155"/>
      <c r="AO73" s="1155"/>
      <c r="AP73" s="1155"/>
      <c r="AQ73" s="1155"/>
      <c r="AR73" s="1155"/>
      <c r="AS73" s="1155"/>
      <c r="AT73" s="1155"/>
      <c r="AU73" s="1155"/>
      <c r="AV73" s="1155"/>
      <c r="AW73" s="1155"/>
      <c r="AX73" s="1155"/>
      <c r="AY73" s="1155"/>
      <c r="AZ73" s="1155"/>
      <c r="BA73" s="1155"/>
      <c r="BB73" s="1155"/>
      <c r="BC73" s="1155"/>
      <c r="BD73" s="1155"/>
      <c r="BE73" s="1155"/>
    </row>
    <row r="74" spans="1:57" s="1399" customFormat="1" x14ac:dyDescent="0.2">
      <c r="A74" s="1155"/>
      <c r="B74" s="1409"/>
      <c r="C74" s="1155"/>
      <c r="D74" s="1155"/>
      <c r="E74" s="1155"/>
      <c r="F74" s="1155" t="s">
        <v>1587</v>
      </c>
      <c r="G74" s="1398"/>
      <c r="H74" s="1155"/>
      <c r="I74" s="1155"/>
      <c r="J74" s="1155"/>
      <c r="K74" s="1155"/>
      <c r="L74" s="1155"/>
      <c r="M74" s="1155"/>
      <c r="N74" s="1155"/>
      <c r="O74" s="1155"/>
      <c r="P74" s="1155"/>
      <c r="Q74" s="1155"/>
      <c r="R74" s="1155"/>
      <c r="S74" s="1155"/>
      <c r="T74" s="1155"/>
      <c r="U74" s="1155"/>
      <c r="V74" s="1155"/>
      <c r="W74" s="1155"/>
      <c r="X74" s="1155"/>
      <c r="Y74" s="1155"/>
      <c r="Z74" s="1155"/>
      <c r="AA74" s="1155"/>
      <c r="AB74" s="1155"/>
      <c r="AC74" s="1155"/>
      <c r="AD74" s="1155"/>
      <c r="AE74" s="1155"/>
      <c r="AF74" s="1155"/>
      <c r="AG74" s="1155"/>
      <c r="AH74" s="1155"/>
      <c r="AI74" s="1155"/>
      <c r="AJ74" s="1155"/>
      <c r="AK74" s="1155"/>
      <c r="AL74" s="1155"/>
      <c r="AM74" s="1155"/>
      <c r="AN74" s="1155"/>
      <c r="AO74" s="1155"/>
      <c r="AP74" s="1155"/>
      <c r="AQ74" s="1155"/>
      <c r="AR74" s="1155"/>
      <c r="AS74" s="1155"/>
      <c r="AT74" s="1155"/>
      <c r="AU74" s="1155"/>
      <c r="AV74" s="1155"/>
      <c r="AW74" s="1155"/>
      <c r="AX74" s="1155"/>
      <c r="AY74" s="1155"/>
      <c r="AZ74" s="1155"/>
      <c r="BA74" s="1155"/>
      <c r="BB74" s="1155"/>
      <c r="BC74" s="1155"/>
      <c r="BD74" s="1155"/>
      <c r="BE74" s="1155"/>
    </row>
    <row r="75" spans="1:57" s="1399" customFormat="1" x14ac:dyDescent="0.2">
      <c r="A75" s="1155"/>
      <c r="B75" s="1155"/>
      <c r="C75" s="1155"/>
      <c r="D75" s="1155"/>
      <c r="E75" s="1155"/>
      <c r="F75" s="1155" t="s">
        <v>44</v>
      </c>
      <c r="G75" s="1398"/>
      <c r="H75" s="1155"/>
      <c r="I75" s="1155"/>
      <c r="J75" s="1155"/>
      <c r="K75" s="1155"/>
      <c r="L75" s="1155"/>
      <c r="M75" s="1155"/>
      <c r="N75" s="1155"/>
      <c r="O75" s="1155"/>
      <c r="P75" s="1155"/>
      <c r="Q75" s="1155"/>
      <c r="R75" s="1155"/>
      <c r="S75" s="1155"/>
      <c r="T75" s="1155"/>
      <c r="U75" s="1155"/>
      <c r="V75" s="1155"/>
      <c r="W75" s="1155"/>
      <c r="X75" s="1155"/>
      <c r="Y75" s="1155"/>
      <c r="Z75" s="1155"/>
      <c r="AA75" s="1155"/>
      <c r="AB75" s="1155"/>
      <c r="AC75" s="1155"/>
      <c r="AD75" s="1155"/>
      <c r="AE75" s="1155"/>
      <c r="AF75" s="1155"/>
      <c r="AG75" s="1155"/>
      <c r="AH75" s="1155"/>
      <c r="AI75" s="1155"/>
      <c r="AJ75" s="1155"/>
      <c r="AK75" s="1155"/>
      <c r="AL75" s="1155"/>
      <c r="AM75" s="1155"/>
      <c r="AN75" s="1155"/>
      <c r="AO75" s="1155"/>
      <c r="AP75" s="1155"/>
      <c r="AQ75" s="1155"/>
      <c r="AR75" s="1155"/>
      <c r="AS75" s="1155"/>
      <c r="AT75" s="1155"/>
      <c r="AU75" s="1155"/>
      <c r="AV75" s="1155"/>
      <c r="AW75" s="1155"/>
      <c r="AX75" s="1155"/>
      <c r="AY75" s="1155"/>
      <c r="AZ75" s="1155"/>
      <c r="BA75" s="1155"/>
      <c r="BB75" s="1155"/>
      <c r="BC75" s="1155"/>
      <c r="BD75" s="1155"/>
      <c r="BE75" s="1155"/>
    </row>
    <row r="76" spans="1:57" s="1399" customFormat="1" x14ac:dyDescent="0.2">
      <c r="A76" s="1155"/>
      <c r="B76" s="1155"/>
      <c r="C76" s="1155"/>
      <c r="D76" s="1155"/>
      <c r="E76" s="1155"/>
      <c r="F76" s="1155" t="s">
        <v>45</v>
      </c>
      <c r="G76" s="1398"/>
      <c r="H76" s="1155"/>
      <c r="I76" s="1155"/>
      <c r="J76" s="1155"/>
      <c r="K76" s="1155"/>
      <c r="L76" s="1155"/>
      <c r="M76" s="1155"/>
      <c r="N76" s="1155"/>
      <c r="O76" s="1155"/>
      <c r="P76" s="1155"/>
      <c r="Q76" s="1155"/>
      <c r="R76" s="1155"/>
      <c r="S76" s="1155"/>
      <c r="T76" s="1155"/>
      <c r="U76" s="1155"/>
      <c r="V76" s="1155"/>
      <c r="W76" s="1155"/>
      <c r="X76" s="1155"/>
      <c r="Y76" s="1155"/>
      <c r="Z76" s="1155"/>
      <c r="AA76" s="1155"/>
      <c r="AB76" s="1155"/>
      <c r="AC76" s="1155"/>
      <c r="AD76" s="1155"/>
      <c r="AE76" s="1155"/>
      <c r="AF76" s="1155"/>
      <c r="AG76" s="1155"/>
      <c r="AH76" s="1155"/>
      <c r="AI76" s="1155"/>
      <c r="AJ76" s="1155"/>
      <c r="AK76" s="1155"/>
      <c r="AL76" s="1155"/>
      <c r="AM76" s="1155"/>
      <c r="AN76" s="1155"/>
      <c r="AO76" s="1155"/>
      <c r="AP76" s="1155"/>
      <c r="AQ76" s="1155"/>
      <c r="AR76" s="1155"/>
      <c r="AS76" s="1155"/>
      <c r="AT76" s="1155"/>
      <c r="AU76" s="1155"/>
      <c r="AV76" s="1155"/>
      <c r="AW76" s="1155"/>
      <c r="AX76" s="1155"/>
      <c r="AY76" s="1155"/>
      <c r="AZ76" s="1155"/>
      <c r="BA76" s="1155"/>
      <c r="BB76" s="1155"/>
      <c r="BC76" s="1155"/>
      <c r="BD76" s="1155"/>
      <c r="BE76" s="1155"/>
    </row>
    <row r="77" spans="1:57" s="1399" customFormat="1" x14ac:dyDescent="0.2">
      <c r="A77" s="1155"/>
      <c r="B77" s="1155"/>
      <c r="C77" s="1155"/>
      <c r="D77" s="1155"/>
      <c r="E77" s="1155"/>
      <c r="F77" s="1155" t="s">
        <v>46</v>
      </c>
      <c r="G77" s="1398"/>
      <c r="H77" s="1155"/>
      <c r="I77" s="1155"/>
      <c r="J77" s="1155"/>
      <c r="K77" s="1155"/>
      <c r="L77" s="1155"/>
      <c r="M77" s="1155"/>
      <c r="N77" s="1155"/>
      <c r="O77" s="1155"/>
      <c r="P77" s="1155"/>
      <c r="Q77" s="1155"/>
      <c r="R77" s="1155"/>
      <c r="S77" s="1155"/>
      <c r="T77" s="1155"/>
      <c r="U77" s="1155"/>
      <c r="V77" s="1155"/>
      <c r="W77" s="1155"/>
      <c r="X77" s="1155"/>
      <c r="Y77" s="1155"/>
      <c r="Z77" s="1155"/>
      <c r="AA77" s="1155"/>
      <c r="AB77" s="1155"/>
      <c r="AC77" s="1155"/>
      <c r="AD77" s="1155"/>
      <c r="AE77" s="1155"/>
      <c r="AF77" s="1155"/>
      <c r="AG77" s="1155"/>
      <c r="AH77" s="1155"/>
      <c r="AI77" s="1155"/>
      <c r="AJ77" s="1155"/>
      <c r="AK77" s="1155"/>
      <c r="AL77" s="1155"/>
      <c r="AM77" s="1155"/>
      <c r="AN77" s="1155"/>
      <c r="AO77" s="1155"/>
      <c r="AP77" s="1155"/>
      <c r="AQ77" s="1155"/>
      <c r="AR77" s="1155"/>
      <c r="AS77" s="1155"/>
      <c r="AT77" s="1155"/>
      <c r="AU77" s="1155"/>
      <c r="AV77" s="1155"/>
      <c r="AW77" s="1155"/>
      <c r="AX77" s="1155"/>
      <c r="AY77" s="1155"/>
      <c r="AZ77" s="1155"/>
      <c r="BA77" s="1155"/>
      <c r="BB77" s="1155"/>
      <c r="BC77" s="1155"/>
      <c r="BD77" s="1155"/>
      <c r="BE77" s="1155"/>
    </row>
    <row r="78" spans="1:57" s="1399" customFormat="1" x14ac:dyDescent="0.2">
      <c r="A78" s="1155"/>
      <c r="B78" s="1155"/>
      <c r="C78" s="1155"/>
      <c r="D78" s="1155"/>
      <c r="E78" s="1155"/>
      <c r="F78" s="1155"/>
      <c r="G78" s="1398" t="s">
        <v>268</v>
      </c>
      <c r="H78" s="1155"/>
      <c r="I78" s="1155"/>
      <c r="J78" s="1155"/>
      <c r="K78" s="1155"/>
      <c r="L78" s="1155"/>
      <c r="M78" s="1155"/>
      <c r="N78" s="1155"/>
      <c r="O78" s="1155"/>
      <c r="P78" s="1155"/>
      <c r="Q78" s="1155"/>
      <c r="R78" s="1155"/>
      <c r="S78" s="1155"/>
      <c r="T78" s="1155"/>
      <c r="U78" s="1155"/>
      <c r="V78" s="1155"/>
      <c r="W78" s="1155"/>
      <c r="X78" s="1155"/>
      <c r="Y78" s="1155"/>
      <c r="Z78" s="1155"/>
      <c r="AA78" s="1155"/>
      <c r="AB78" s="1155"/>
      <c r="AC78" s="1155"/>
      <c r="AD78" s="1155"/>
      <c r="AE78" s="1155"/>
      <c r="AF78" s="1155"/>
      <c r="AG78" s="1155"/>
      <c r="AH78" s="1155"/>
      <c r="AI78" s="1155"/>
      <c r="AJ78" s="1155"/>
      <c r="AK78" s="1155"/>
      <c r="AL78" s="1155"/>
      <c r="AM78" s="1155"/>
      <c r="AN78" s="1155"/>
      <c r="AO78" s="1155"/>
      <c r="AP78" s="1155"/>
      <c r="AQ78" s="1155"/>
      <c r="AR78" s="1155"/>
      <c r="AS78" s="1155"/>
      <c r="AT78" s="1155"/>
      <c r="AU78" s="1155"/>
      <c r="AV78" s="1155"/>
      <c r="AW78" s="1155"/>
      <c r="AX78" s="1155"/>
      <c r="AY78" s="1155"/>
      <c r="AZ78" s="1155"/>
      <c r="BA78" s="1155"/>
      <c r="BB78" s="1155"/>
      <c r="BC78" s="1155"/>
      <c r="BD78" s="1155"/>
      <c r="BE78" s="1155"/>
    </row>
    <row r="79" spans="1:57" s="1399" customFormat="1" x14ac:dyDescent="0.2">
      <c r="A79" s="1155" t="s">
        <v>227</v>
      </c>
      <c r="B79" s="1410">
        <f ca="1">SUM(F79:AI79)</f>
        <v>38796532.757405996</v>
      </c>
      <c r="C79" s="1400"/>
      <c r="D79" s="1400"/>
      <c r="E79" s="1400"/>
      <c r="F79" s="1400">
        <f t="shared" ref="F79:X79" ca="1" si="27">F66*F68</f>
        <v>0</v>
      </c>
      <c r="G79" s="1400">
        <f t="shared" ca="1" si="27"/>
        <v>0</v>
      </c>
      <c r="H79" s="1400">
        <f t="shared" ca="1" si="27"/>
        <v>0</v>
      </c>
      <c r="I79" s="1400">
        <f t="shared" ca="1" si="27"/>
        <v>0</v>
      </c>
      <c r="J79" s="1400">
        <f t="shared" ca="1" si="27"/>
        <v>0</v>
      </c>
      <c r="K79" s="1400">
        <f t="shared" ca="1" si="27"/>
        <v>0</v>
      </c>
      <c r="L79" s="1400">
        <f t="shared" ca="1" si="27"/>
        <v>0</v>
      </c>
      <c r="M79" s="1400">
        <f t="shared" ca="1" si="27"/>
        <v>0</v>
      </c>
      <c r="N79" s="1400">
        <f t="shared" ca="1" si="27"/>
        <v>0</v>
      </c>
      <c r="O79" s="1400">
        <f t="shared" ca="1" si="27"/>
        <v>1743622.2808260079</v>
      </c>
      <c r="P79" s="1400">
        <f t="shared" ca="1" si="27"/>
        <v>3760415.2383128959</v>
      </c>
      <c r="Q79" s="1400">
        <f t="shared" ca="1" si="27"/>
        <v>3450765.9008070966</v>
      </c>
      <c r="R79" s="1400">
        <f t="shared" ca="1" si="27"/>
        <v>3137018.6388867432</v>
      </c>
      <c r="S79" s="1400">
        <f t="shared" ca="1" si="27"/>
        <v>2851872.6452951203</v>
      </c>
      <c r="T79" s="1400">
        <f t="shared" ca="1" si="27"/>
        <v>2592577.3875097041</v>
      </c>
      <c r="U79" s="1400">
        <f t="shared" ca="1" si="27"/>
        <v>2334953.0124915354</v>
      </c>
      <c r="V79" s="1400">
        <f t="shared" ca="1" si="27"/>
        <v>2142625.9400906647</v>
      </c>
      <c r="W79" s="1400">
        <f t="shared" ca="1" si="27"/>
        <v>1947867.3897241445</v>
      </c>
      <c r="X79" s="1400">
        <f t="shared" ca="1" si="27"/>
        <v>1770765.2397443501</v>
      </c>
      <c r="Y79" s="1400">
        <f t="shared" ref="Y79:AH79" ca="1" si="28">Y66*Y68</f>
        <v>1609807.7601025982</v>
      </c>
      <c r="Z79" s="1400">
        <f t="shared" ca="1" si="28"/>
        <v>1492756.7433616531</v>
      </c>
      <c r="AA79" s="1400">
        <f t="shared" ca="1" si="28"/>
        <v>1408500.1021993491</v>
      </c>
      <c r="AB79" s="1400">
        <f t="shared" ca="1" si="28"/>
        <v>1280454.6383630447</v>
      </c>
      <c r="AC79" s="1400">
        <f t="shared" ca="1" si="28"/>
        <v>1164049.6712391316</v>
      </c>
      <c r="AD79" s="1400">
        <f t="shared" ca="1" si="28"/>
        <v>1058226.9738537557</v>
      </c>
      <c r="AE79" s="1400">
        <f t="shared" ca="1" si="28"/>
        <v>953555.47380843095</v>
      </c>
      <c r="AF79" s="1400">
        <f t="shared" ca="1" si="28"/>
        <v>874567.74698657473</v>
      </c>
      <c r="AG79" s="1400">
        <f t="shared" ca="1" si="28"/>
        <v>795061.58816961327</v>
      </c>
      <c r="AH79" s="1400">
        <f t="shared" ca="1" si="28"/>
        <v>722783.26197237568</v>
      </c>
      <c r="AI79" s="1400">
        <f ca="1">AI66*AI68</f>
        <v>1704285.1236612129</v>
      </c>
      <c r="AJ79" s="1155"/>
      <c r="AK79" s="1155"/>
      <c r="AL79" s="1155"/>
      <c r="AM79" s="1155"/>
      <c r="AN79" s="1155"/>
      <c r="AO79" s="1155"/>
      <c r="AP79" s="1155"/>
      <c r="AQ79" s="1155"/>
      <c r="AR79" s="1155"/>
      <c r="AS79" s="1155"/>
      <c r="AT79" s="1155"/>
      <c r="AU79" s="1155"/>
      <c r="AV79" s="1155"/>
      <c r="AW79" s="1155"/>
      <c r="AX79" s="1155"/>
      <c r="AY79" s="1155"/>
      <c r="AZ79" s="1155"/>
      <c r="BA79" s="1155"/>
      <c r="BB79" s="1155"/>
      <c r="BC79" s="1155"/>
      <c r="BD79" s="1155"/>
      <c r="BE79" s="1155"/>
    </row>
    <row r="80" spans="1:57" s="1399" customFormat="1" x14ac:dyDescent="0.2">
      <c r="A80" s="1155" t="s">
        <v>228</v>
      </c>
      <c r="B80" s="1410">
        <f ca="1">SUM(F80:AI80)</f>
        <v>1343300081.0946639</v>
      </c>
      <c r="C80" s="1400"/>
      <c r="D80" s="1400"/>
      <c r="E80" s="1400"/>
      <c r="F80" s="1400">
        <f t="shared" ref="F80:AI80" ca="1" si="29">F47*F68</f>
        <v>98578054.516814053</v>
      </c>
      <c r="G80" s="1400">
        <f t="shared" ca="1" si="29"/>
        <v>119488550.92947157</v>
      </c>
      <c r="H80" s="1400">
        <f t="shared" ca="1" si="29"/>
        <v>108625955.39042868</v>
      </c>
      <c r="I80" s="1400">
        <f t="shared" ca="1" si="29"/>
        <v>98750868.536753342</v>
      </c>
      <c r="J80" s="1400">
        <f t="shared" ca="1" si="29"/>
        <v>89773516.851593941</v>
      </c>
      <c r="K80" s="1400">
        <f t="shared" ca="1" si="29"/>
        <v>81612288.04690358</v>
      </c>
      <c r="L80" s="1400">
        <f t="shared" ca="1" si="29"/>
        <v>74192989.133548692</v>
      </c>
      <c r="M80" s="1400">
        <f t="shared" ca="1" si="29"/>
        <v>67448171.939589724</v>
      </c>
      <c r="N80" s="1400">
        <f t="shared" ca="1" si="29"/>
        <v>61316519.945081562</v>
      </c>
      <c r="O80" s="1400">
        <f t="shared" ca="1" si="29"/>
        <v>55742290.859165058</v>
      </c>
      <c r="P80" s="1400">
        <f t="shared" ca="1" si="29"/>
        <v>50674809.871968225</v>
      </c>
      <c r="Q80" s="1400">
        <f t="shared" ca="1" si="29"/>
        <v>46068008.974516571</v>
      </c>
      <c r="R80" s="1400">
        <f t="shared" ca="1" si="29"/>
        <v>41880008.158651426</v>
      </c>
      <c r="S80" s="1400">
        <f t="shared" ca="1" si="29"/>
        <v>38072734.689683102</v>
      </c>
      <c r="T80" s="1400">
        <f t="shared" ca="1" si="29"/>
        <v>34611576.990621001</v>
      </c>
      <c r="U80" s="1400">
        <f t="shared" ca="1" si="29"/>
        <v>31465069.991473638</v>
      </c>
      <c r="V80" s="1400">
        <f t="shared" ca="1" si="29"/>
        <v>28604609.083157852</v>
      </c>
      <c r="W80" s="1400">
        <f t="shared" ca="1" si="29"/>
        <v>26004190.075598046</v>
      </c>
      <c r="X80" s="1400">
        <f t="shared" ca="1" si="29"/>
        <v>23640172.795998216</v>
      </c>
      <c r="Y80" s="1400">
        <f t="shared" ca="1" si="29"/>
        <v>21491066.178180203</v>
      </c>
      <c r="Z80" s="1400">
        <f t="shared" ca="1" si="29"/>
        <v>19537332.889254726</v>
      </c>
      <c r="AA80" s="1400">
        <f t="shared" ca="1" si="29"/>
        <v>17761211.717504293</v>
      </c>
      <c r="AB80" s="1400">
        <f t="shared" ca="1" si="29"/>
        <v>16146556.106822085</v>
      </c>
      <c r="AC80" s="1400">
        <f t="shared" ca="1" si="29"/>
        <v>14678687.36983826</v>
      </c>
      <c r="AD80" s="1400">
        <f t="shared" ca="1" si="29"/>
        <v>13344261.245307505</v>
      </c>
      <c r="AE80" s="1400">
        <f t="shared" ca="1" si="29"/>
        <v>12131146.586643187</v>
      </c>
      <c r="AF80" s="1400">
        <f t="shared" ca="1" si="29"/>
        <v>11028315.078766532</v>
      </c>
      <c r="AG80" s="1400">
        <f t="shared" ca="1" si="29"/>
        <v>10025740.980696846</v>
      </c>
      <c r="AH80" s="1400">
        <f t="shared" ca="1" si="29"/>
        <v>9114309.9824516792</v>
      </c>
      <c r="AI80" s="1400">
        <f t="shared" ca="1" si="29"/>
        <v>21491066.178180203</v>
      </c>
      <c r="AJ80" s="1155"/>
      <c r="AK80" s="1398">
        <f ca="1">SUM(C80:AI80)</f>
        <v>1343300081.0946639</v>
      </c>
      <c r="AL80" s="1155"/>
      <c r="AM80" s="1155"/>
      <c r="AN80" s="1155"/>
      <c r="AO80" s="1155"/>
      <c r="AP80" s="1155"/>
      <c r="AQ80" s="1155"/>
      <c r="AR80" s="1155"/>
      <c r="AS80" s="1155"/>
      <c r="AT80" s="1155"/>
      <c r="AU80" s="1155"/>
      <c r="AV80" s="1155"/>
      <c r="AW80" s="1155"/>
      <c r="AX80" s="1155"/>
      <c r="AY80" s="1155"/>
      <c r="AZ80" s="1155"/>
      <c r="BA80" s="1155"/>
      <c r="BB80" s="1155"/>
      <c r="BC80" s="1155"/>
      <c r="BD80" s="1155"/>
      <c r="BE80" s="1155"/>
    </row>
    <row r="81" spans="7:12" s="1157" customFormat="1" x14ac:dyDescent="0.2">
      <c r="G81" s="1157" t="s">
        <v>268</v>
      </c>
    </row>
    <row r="82" spans="7:12" s="1157" customFormat="1" x14ac:dyDescent="0.2">
      <c r="G82" s="1157" t="s">
        <v>268</v>
      </c>
    </row>
    <row r="83" spans="7:12" s="1157" customFormat="1" x14ac:dyDescent="0.2">
      <c r="G83" s="1157" t="s">
        <v>268</v>
      </c>
      <c r="H83" s="1157">
        <v>0.32</v>
      </c>
      <c r="I83" s="1157">
        <v>0.192</v>
      </c>
      <c r="J83" s="1157">
        <v>0.1152</v>
      </c>
      <c r="K83" s="1157">
        <v>0.1152</v>
      </c>
      <c r="L83" s="1157">
        <v>5.7599999999999998E-2</v>
      </c>
    </row>
    <row r="84" spans="7:12" s="1157" customFormat="1" x14ac:dyDescent="0.2">
      <c r="G84" s="1157" t="s">
        <v>268</v>
      </c>
      <c r="H84" s="1157">
        <f>H83/2</f>
        <v>0.16</v>
      </c>
      <c r="I84" s="1157">
        <f>I83/2</f>
        <v>9.6000000000000002E-2</v>
      </c>
      <c r="J84" s="1157">
        <f>J83/2</f>
        <v>5.7599999999999998E-2</v>
      </c>
      <c r="K84" s="1157">
        <f>K83/2</f>
        <v>5.7599999999999998E-2</v>
      </c>
      <c r="L84" s="1157">
        <f>L83/2</f>
        <v>2.8799999999999999E-2</v>
      </c>
    </row>
    <row r="85" spans="7:12" s="1157" customFormat="1" x14ac:dyDescent="0.2">
      <c r="G85" s="1157" t="s">
        <v>268</v>
      </c>
    </row>
    <row r="86" spans="7:12" x14ac:dyDescent="0.2">
      <c r="G86" s="440" t="s">
        <v>268</v>
      </c>
    </row>
    <row r="87" spans="7:12" x14ac:dyDescent="0.2">
      <c r="G87" s="440" t="s">
        <v>268</v>
      </c>
    </row>
    <row r="88" spans="7:12" x14ac:dyDescent="0.2">
      <c r="G88" s="440" t="s">
        <v>268</v>
      </c>
    </row>
    <row r="89" spans="7:12" x14ac:dyDescent="0.2">
      <c r="G89" s="440" t="s">
        <v>268</v>
      </c>
    </row>
    <row r="90" spans="7:12" x14ac:dyDescent="0.2">
      <c r="G90" s="440" t="s">
        <v>268</v>
      </c>
    </row>
    <row r="91" spans="7:12" x14ac:dyDescent="0.2">
      <c r="G91" s="440" t="s">
        <v>268</v>
      </c>
    </row>
    <row r="92" spans="7:12" x14ac:dyDescent="0.2">
      <c r="G92" s="440" t="s">
        <v>268</v>
      </c>
    </row>
    <row r="93" spans="7:12" x14ac:dyDescent="0.2">
      <c r="G93" s="440" t="s">
        <v>268</v>
      </c>
    </row>
    <row r="94" spans="7:12" x14ac:dyDescent="0.2">
      <c r="G94" s="440" t="s">
        <v>268</v>
      </c>
    </row>
    <row r="95" spans="7:12" x14ac:dyDescent="0.2">
      <c r="G95" s="440" t="s">
        <v>268</v>
      </c>
    </row>
    <row r="96" spans="7:12" x14ac:dyDescent="0.2">
      <c r="G96" s="440" t="s">
        <v>268</v>
      </c>
    </row>
    <row r="97" spans="7:7" x14ac:dyDescent="0.2">
      <c r="G97" s="440" t="s">
        <v>268</v>
      </c>
    </row>
    <row r="98" spans="7:7" x14ac:dyDescent="0.2">
      <c r="G98" s="440" t="s">
        <v>268</v>
      </c>
    </row>
    <row r="99" spans="7:7" x14ac:dyDescent="0.2">
      <c r="G99" s="440" t="s">
        <v>268</v>
      </c>
    </row>
    <row r="100" spans="7:7" x14ac:dyDescent="0.2">
      <c r="G100" s="440" t="s">
        <v>268</v>
      </c>
    </row>
    <row r="101" spans="7:7" x14ac:dyDescent="0.2">
      <c r="G101" s="440" t="s">
        <v>268</v>
      </c>
    </row>
    <row r="102" spans="7:7" x14ac:dyDescent="0.2">
      <c r="G102" s="440" t="s">
        <v>268</v>
      </c>
    </row>
    <row r="103" spans="7:7" x14ac:dyDescent="0.2">
      <c r="G103" s="440" t="s">
        <v>268</v>
      </c>
    </row>
    <row r="104" spans="7:7" x14ac:dyDescent="0.2">
      <c r="G104" s="440" t="s">
        <v>268</v>
      </c>
    </row>
    <row r="105" spans="7:7" x14ac:dyDescent="0.2">
      <c r="G105" s="440" t="s">
        <v>268</v>
      </c>
    </row>
    <row r="106" spans="7:7" x14ac:dyDescent="0.2">
      <c r="G106" s="440" t="s">
        <v>268</v>
      </c>
    </row>
    <row r="107" spans="7:7" x14ac:dyDescent="0.2">
      <c r="G107" s="440" t="s">
        <v>268</v>
      </c>
    </row>
    <row r="108" spans="7:7" x14ac:dyDescent="0.2">
      <c r="G108" s="440" t="s">
        <v>268</v>
      </c>
    </row>
    <row r="109" spans="7:7" x14ac:dyDescent="0.2">
      <c r="G109" s="440" t="s">
        <v>268</v>
      </c>
    </row>
    <row r="110" spans="7:7" x14ac:dyDescent="0.2">
      <c r="G110" s="440" t="s">
        <v>268</v>
      </c>
    </row>
    <row r="111" spans="7:7" x14ac:dyDescent="0.2">
      <c r="G111" s="440" t="s">
        <v>268</v>
      </c>
    </row>
    <row r="112" spans="7:7" x14ac:dyDescent="0.2">
      <c r="G112" s="440" t="s">
        <v>268</v>
      </c>
    </row>
    <row r="113" spans="7:7" x14ac:dyDescent="0.2">
      <c r="G113" s="440" t="s">
        <v>268</v>
      </c>
    </row>
    <row r="114" spans="7:7" x14ac:dyDescent="0.2">
      <c r="G114" s="440" t="s">
        <v>268</v>
      </c>
    </row>
    <row r="115" spans="7:7" x14ac:dyDescent="0.2">
      <c r="G115" s="440" t="s">
        <v>268</v>
      </c>
    </row>
    <row r="116" spans="7:7" x14ac:dyDescent="0.2">
      <c r="G116" s="440" t="s">
        <v>268</v>
      </c>
    </row>
    <row r="117" spans="7:7" x14ac:dyDescent="0.2">
      <c r="G117" s="440" t="s">
        <v>268</v>
      </c>
    </row>
    <row r="118" spans="7:7" x14ac:dyDescent="0.2">
      <c r="G118" s="440" t="s">
        <v>268</v>
      </c>
    </row>
    <row r="119" spans="7:7" x14ac:dyDescent="0.2">
      <c r="G119" s="440" t="s">
        <v>268</v>
      </c>
    </row>
    <row r="120" spans="7:7" x14ac:dyDescent="0.2">
      <c r="G120" s="440" t="s">
        <v>268</v>
      </c>
    </row>
    <row r="121" spans="7:7" x14ac:dyDescent="0.2">
      <c r="G121" s="440" t="s">
        <v>268</v>
      </c>
    </row>
    <row r="122" spans="7:7" x14ac:dyDescent="0.2">
      <c r="G122" s="440" t="s">
        <v>268</v>
      </c>
    </row>
    <row r="123" spans="7:7" x14ac:dyDescent="0.2">
      <c r="G123" s="440" t="s">
        <v>268</v>
      </c>
    </row>
    <row r="124" spans="7:7" x14ac:dyDescent="0.2">
      <c r="G124" s="440" t="s">
        <v>268</v>
      </c>
    </row>
  </sheetData>
  <phoneticPr fontId="0" type="noConversion"/>
  <printOptions horizontalCentered="1" gridLinesSet="0"/>
  <pageMargins left="0.75" right="0.75" top="0.75" bottom="0.75" header="0.5" footer="0.5"/>
  <pageSetup scale="43" fitToWidth="2" fitToHeight="0" orientation="landscape" horizontalDpi="4294967292" r:id="rId1"/>
  <headerFooter alignWithMargins="0"/>
  <drawing r:id="rId2"/>
  <legacyDrawing r:id="rId3"/>
  <controls>
    <mc:AlternateContent xmlns:mc="http://schemas.openxmlformats.org/markup-compatibility/2006">
      <mc:Choice Requires="x14">
        <control shapeId="5158" r:id="rId4" name="cmd_SolveProductCost">
          <controlPr defaultSize="0" autoLine="0" autoPict="0" r:id="rId5">
            <anchor moveWithCells="1">
              <from>
                <xdr:col>3</xdr:col>
                <xdr:colOff>68580</xdr:colOff>
                <xdr:row>28</xdr:row>
                <xdr:rowOff>114300</xdr:rowOff>
              </from>
              <to>
                <xdr:col>4</xdr:col>
                <xdr:colOff>365760</xdr:colOff>
                <xdr:row>31</xdr:row>
                <xdr:rowOff>30480</xdr:rowOff>
              </to>
            </anchor>
          </controlPr>
        </control>
      </mc:Choice>
      <mc:Fallback>
        <control shapeId="5158" r:id="rId4" name="cmd_SolveProductCost"/>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L371"/>
  <sheetViews>
    <sheetView showGridLines="0" topLeftCell="D1" zoomScale="80" zoomScaleNormal="80" workbookViewId="0">
      <selection activeCell="G53" sqref="G53"/>
    </sheetView>
  </sheetViews>
  <sheetFormatPr defaultColWidth="9" defaultRowHeight="13.8" x14ac:dyDescent="0.3"/>
  <cols>
    <col min="1" max="1" width="32.109375" style="438" bestFit="1" customWidth="1"/>
    <col min="2" max="2" width="9" style="438" hidden="1" customWidth="1"/>
    <col min="3" max="3" width="0" style="438" hidden="1" customWidth="1"/>
    <col min="4" max="4" width="8.33203125" style="438" bestFit="1" customWidth="1"/>
    <col min="5" max="5" width="33.77734375" style="438" bestFit="1" customWidth="1"/>
    <col min="6" max="6" width="6.88671875" style="438" bestFit="1" customWidth="1"/>
    <col min="7" max="7" width="38.44140625" style="438" customWidth="1"/>
    <col min="8" max="8" width="8.21875" style="438" bestFit="1" customWidth="1"/>
    <col min="9" max="9" width="7.77734375" style="438" customWidth="1"/>
    <col min="10" max="10" width="16.109375" style="438" customWidth="1"/>
    <col min="11" max="11" width="18.77734375" style="438" bestFit="1" customWidth="1"/>
    <col min="12" max="13" width="9" style="438"/>
    <col min="14" max="15" width="9" style="438" customWidth="1"/>
    <col min="16" max="16" width="2.109375" style="438" customWidth="1"/>
    <col min="17" max="17" width="19.33203125" style="203" bestFit="1" customWidth="1"/>
    <col min="18" max="18" width="22.88671875" style="438" customWidth="1"/>
    <col min="19" max="19" width="11.33203125" style="438" bestFit="1" customWidth="1"/>
    <col min="20" max="20" width="6.44140625" style="438" customWidth="1"/>
    <col min="21" max="21" width="23.77734375" style="438" bestFit="1" customWidth="1"/>
    <col min="22" max="22" width="10.109375" style="438" customWidth="1"/>
    <col min="23" max="23" width="6.44140625" style="438" customWidth="1"/>
    <col min="24" max="24" width="24.44140625" style="203" bestFit="1" customWidth="1"/>
    <col min="25" max="25" width="17.6640625" style="438" bestFit="1" customWidth="1"/>
    <col min="26" max="26" width="23.77734375" style="438" bestFit="1" customWidth="1"/>
    <col min="27" max="27" width="10" style="438" customWidth="1"/>
    <col min="28" max="28" width="9" style="438" customWidth="1"/>
    <col min="29" max="29" width="10.109375" style="438" customWidth="1"/>
    <col min="30" max="30" width="10.109375" customWidth="1"/>
    <col min="31" max="31" width="2.21875" style="524" customWidth="1"/>
    <col min="32" max="32" width="9" style="438"/>
    <col min="33" max="33" width="18.77734375" style="438" customWidth="1"/>
    <col min="34" max="16384" width="9" style="438"/>
  </cols>
  <sheetData>
    <row r="1" spans="1:36" ht="13.5" customHeight="1" thickBot="1" x14ac:dyDescent="0.35">
      <c r="A1" s="399" t="s">
        <v>1584</v>
      </c>
      <c r="B1" s="399"/>
      <c r="C1" s="399"/>
      <c r="D1" s="399"/>
      <c r="E1" s="399"/>
      <c r="F1" s="399"/>
      <c r="G1" s="399"/>
      <c r="H1" s="399"/>
      <c r="J1" s="399" t="s">
        <v>766</v>
      </c>
      <c r="K1" s="399"/>
      <c r="L1" s="399"/>
      <c r="M1" s="399"/>
      <c r="N1" s="399"/>
      <c r="O1" s="399"/>
      <c r="P1" s="473"/>
      <c r="R1" s="496" t="s">
        <v>780</v>
      </c>
      <c r="S1" s="497"/>
      <c r="T1" s="497"/>
      <c r="U1" s="497"/>
      <c r="V1" s="498" t="s">
        <v>781</v>
      </c>
      <c r="W1" s="499">
        <f ca="1">V15/S15</f>
        <v>0.99989549816442336</v>
      </c>
      <c r="Y1" s="204" t="s">
        <v>2104</v>
      </c>
      <c r="Z1" s="514" t="s">
        <v>1781</v>
      </c>
      <c r="AA1" s="515" t="s">
        <v>982</v>
      </c>
      <c r="AB1" s="514"/>
      <c r="AC1" s="516"/>
      <c r="AD1" s="476"/>
      <c r="AE1" s="637"/>
      <c r="AG1" s="1146" t="s">
        <v>2650</v>
      </c>
      <c r="AH1" s="1147"/>
      <c r="AI1" s="1147"/>
    </row>
    <row r="2" spans="1:36" ht="13.5" customHeight="1" x14ac:dyDescent="0.3">
      <c r="A2" s="1412" t="s">
        <v>231</v>
      </c>
      <c r="B2" s="1413"/>
      <c r="C2" s="1413"/>
      <c r="D2" s="1414"/>
      <c r="E2" s="1415" t="s">
        <v>455</v>
      </c>
      <c r="F2" s="1414"/>
      <c r="G2" s="1415" t="s">
        <v>182</v>
      </c>
      <c r="H2" s="1416"/>
      <c r="I2" s="524"/>
      <c r="J2" s="517"/>
      <c r="K2" s="517"/>
      <c r="L2" s="81"/>
      <c r="M2" s="81" t="s">
        <v>765</v>
      </c>
      <c r="N2" s="190"/>
      <c r="O2" s="190"/>
      <c r="P2" s="474"/>
      <c r="Q2" s="204" t="s">
        <v>2104</v>
      </c>
      <c r="R2" s="480" t="s">
        <v>723</v>
      </c>
      <c r="S2" s="491" t="s">
        <v>287</v>
      </c>
      <c r="T2" s="491" t="s">
        <v>983</v>
      </c>
      <c r="U2" s="511" t="s">
        <v>724</v>
      </c>
      <c r="V2" s="500" t="s">
        <v>287</v>
      </c>
      <c r="W2" s="501" t="s">
        <v>983</v>
      </c>
      <c r="X2" s="204" t="s">
        <v>2105</v>
      </c>
      <c r="Y2" s="518" t="s">
        <v>1783</v>
      </c>
      <c r="Z2" s="487" t="s">
        <v>1782</v>
      </c>
      <c r="AA2" s="1192">
        <f ca="1">IF(Y2&lt;&gt;"",VLOOKUP(Y2,INDIRECT(LU_SENS),2,FALSE),"")</f>
        <v>97.007875999999996</v>
      </c>
      <c r="AB2" s="487" t="s">
        <v>2106</v>
      </c>
      <c r="AC2" s="519" t="s">
        <v>2107</v>
      </c>
      <c r="AD2" s="476"/>
      <c r="AE2" s="639"/>
      <c r="AG2" s="1106" t="s">
        <v>1757</v>
      </c>
      <c r="AH2" s="484"/>
      <c r="AI2" s="484"/>
      <c r="AJ2" s="914"/>
    </row>
    <row r="3" spans="1:36" ht="13.5" customHeight="1" x14ac:dyDescent="0.3">
      <c r="A3" s="1417" t="s">
        <v>764</v>
      </c>
      <c r="B3" s="524"/>
      <c r="C3" s="1418"/>
      <c r="D3" s="729">
        <f ca="1">VLOOKUP("CMIX.H2O.101",INDIRECT(LU_SENS),2,FALSE)/(VLOOKUP("strm.101",INDIRECT(LU_SENS),2,FALSE))</f>
        <v>0.19999999903999999</v>
      </c>
      <c r="E3" s="1419" t="s">
        <v>3328</v>
      </c>
      <c r="F3" s="737">
        <f ca="1">VLOOKUP("cmix.nh3.a200.275",INDIRECT(LU_SENS),2,FALSE)/(VLOOKUP("cmix.nh3.a200.275",INDIRECT(LU_SENS),2,FALSE)-VLOOKUP("cmix.nh3.a200.228",INDIRECT(LU_SENS),2,FALSE))-1</f>
        <v>1.0000000284793309E-4</v>
      </c>
      <c r="G3" s="1419" t="s">
        <v>656</v>
      </c>
      <c r="H3" s="1420">
        <f ca="1">VLOOKUP( "CMIX.H2O.A800.623", INDIRECT(LU_SENS), 2, FALSE ) / VLOOKUP( "STRM.A800.623", INDIRECT(LU_SENS), 2, FALSE )</f>
        <v>0.78987873456935798</v>
      </c>
      <c r="I3" s="524"/>
      <c r="J3" s="517"/>
      <c r="K3" s="517"/>
      <c r="L3" s="81" t="s">
        <v>301</v>
      </c>
      <c r="M3" s="81" t="s">
        <v>301</v>
      </c>
      <c r="N3" s="190" t="s">
        <v>302</v>
      </c>
      <c r="O3" s="190"/>
      <c r="P3" s="474"/>
      <c r="Q3" s="203" t="s">
        <v>726</v>
      </c>
      <c r="R3" s="205" t="s">
        <v>725</v>
      </c>
      <c r="S3" s="492">
        <f ca="1">IF(Q3&lt;&gt;"",VLOOKUP(Q3,INDIRECT(LU_SENS),2,FALSE),"")</f>
        <v>20833.333299999998</v>
      </c>
      <c r="T3" s="495">
        <f ca="1">S3/3.7894*OPEX!$B$7/Summary!$D$12/1000000</f>
        <v>0.75764840240726883</v>
      </c>
      <c r="U3" s="205" t="s">
        <v>2111</v>
      </c>
      <c r="V3" s="492">
        <f ca="1">IF(X3&lt;&gt;"",VLOOKUP(X3,INDIRECT(LU_SENS),2,FALSE),"")</f>
        <v>109.04051800000001</v>
      </c>
      <c r="W3" s="290">
        <f ca="1">V3/3.7894*OPEX!$B$7/Summary!$D$12/1000000</f>
        <v>3.965489970842115E-3</v>
      </c>
      <c r="X3" s="203" t="s">
        <v>698</v>
      </c>
      <c r="Y3" s="518"/>
      <c r="Z3" s="487"/>
      <c r="AA3" s="1193"/>
      <c r="AB3" s="487"/>
      <c r="AC3" s="519"/>
      <c r="AD3" s="476"/>
      <c r="AE3" s="639"/>
      <c r="AG3" s="1107"/>
      <c r="AH3" s="1108" t="s">
        <v>1758</v>
      </c>
      <c r="AI3" s="1108" t="s">
        <v>1759</v>
      </c>
      <c r="AJ3" s="1143"/>
    </row>
    <row r="4" spans="1:36" ht="13.5" customHeight="1" x14ac:dyDescent="0.3">
      <c r="A4" s="1421" t="s">
        <v>452</v>
      </c>
      <c r="B4" s="1422"/>
      <c r="C4" s="1422"/>
      <c r="D4" s="727"/>
      <c r="E4" s="1419" t="s">
        <v>2058</v>
      </c>
      <c r="F4" s="735">
        <f ca="1">VLOOKUP("amload",INDIRECT(LU_SENS),2,FALSE)</f>
        <v>4.7603848800000002</v>
      </c>
      <c r="G4" s="1419" t="s">
        <v>657</v>
      </c>
      <c r="H4" s="1420">
        <f ca="1">VLOOKUP( "CMIX.H2O.A800.571", INDIRECT(LU_SENS), 2, FALSE ) / VLOOKUP( "STRM.A800.571", INDIRECT(LU_SENS), 2, FALSE )</f>
        <v>0.35026176319426461</v>
      </c>
      <c r="I4" s="524"/>
      <c r="J4" s="517" t="s">
        <v>303</v>
      </c>
      <c r="K4" s="522" t="s">
        <v>603</v>
      </c>
      <c r="L4" s="81">
        <f t="shared" ref="L4:L9" ca="1" si="0">VLOOKUP(K4,INDIRECT(LU_SENS),2,FALSE)</f>
        <v>29204.880399999995</v>
      </c>
      <c r="M4" s="81">
        <f ca="1">L4*0.568256</f>
        <v>16595.848516582395</v>
      </c>
      <c r="N4" s="191">
        <f ca="1">M4*OPHOURS/('Set-up'!$B$39*3.7854*1000000)</f>
        <v>43.808390393246469</v>
      </c>
      <c r="O4" s="191"/>
      <c r="P4" s="475"/>
      <c r="Q4" s="203" t="s">
        <v>712</v>
      </c>
      <c r="R4" s="205" t="s">
        <v>2121</v>
      </c>
      <c r="S4" s="492">
        <f ca="1">IF(Q4&lt;&gt;"",VLOOKUP(Q4,INDIRECT(LU_SENS),2,FALSE),"")</f>
        <v>426.69977</v>
      </c>
      <c r="T4" s="495">
        <f ca="1">S4/3.7894*OPEX!$B$7/Summary!$D$12/1000000</f>
        <v>1.5517843179134906E-2</v>
      </c>
      <c r="U4" s="205" t="s">
        <v>2112</v>
      </c>
      <c r="V4" s="492">
        <f ca="1">V35</f>
        <v>137954.35060000001</v>
      </c>
      <c r="W4" s="290">
        <f ca="1">V4/3.7894*OPEX!$B$7/Summary!$D$12/1000000</f>
        <v>5.0170028882138729</v>
      </c>
      <c r="Y4" s="518" t="s">
        <v>1788</v>
      </c>
      <c r="Z4" s="487" t="s">
        <v>1789</v>
      </c>
      <c r="AA4" s="1192">
        <f t="shared" ref="AA4:AA12" ca="1" si="1">IF(Y4&lt;&gt;"",VLOOKUP(Y4,INDIRECT(LU_SENS),2,FALSE),"")</f>
        <v>50.082098100000003</v>
      </c>
      <c r="AB4" s="397">
        <f t="shared" ref="AB4:AB12" ca="1" si="2">AA4/$AA$15</f>
        <v>0.51627070390533392</v>
      </c>
      <c r="AC4" s="398">
        <f ca="1">AB4*$W$4</f>
        <v>2.5901316125932694</v>
      </c>
      <c r="AD4" s="476"/>
      <c r="AE4" s="638"/>
      <c r="AG4" s="1138" t="s">
        <v>1760</v>
      </c>
      <c r="AH4" s="1138"/>
      <c r="AI4" s="1138"/>
      <c r="AJ4" s="1143"/>
    </row>
    <row r="5" spans="1:36" ht="13.5" customHeight="1" x14ac:dyDescent="0.3">
      <c r="A5" s="1417" t="s">
        <v>424</v>
      </c>
      <c r="B5" s="524"/>
      <c r="C5" s="1423"/>
      <c r="D5" s="732">
        <f ca="1">VLOOKUP( "CMIX.H2SO4.A200.217", INDIRECT(LU_SENS), 2, FALSE )/( VLOOKUP( "CMIX.H2SO4.A200.217", INDIRECT(LU_SENS), 2, FALSE ) + VLOOKUP( "CMIX.H2O.A200.217", INDIRECT(LU_SENS), 2, FALSE ))*100</f>
        <v>0.81702170837888777</v>
      </c>
      <c r="E5" s="1424" t="s">
        <v>1086</v>
      </c>
      <c r="F5" s="738"/>
      <c r="G5" s="1419" t="s">
        <v>655</v>
      </c>
      <c r="H5" s="1420">
        <f ca="1">VLOOKUP( "CMIX.H2O.A800.801", INDIRECT(LU_SENS), 2, FALSE ) /VLOOKUP( "STRM.A800.801", INDIRECT(LU_SENS), 2, FALSE )</f>
        <v>0.44296552355222929</v>
      </c>
      <c r="I5" s="524"/>
      <c r="J5" s="517" t="s">
        <v>3154</v>
      </c>
      <c r="K5" s="522" t="s">
        <v>3156</v>
      </c>
      <c r="L5" s="81">
        <f t="shared" ca="1" si="0"/>
        <v>641.66666699999996</v>
      </c>
      <c r="M5" s="81">
        <f ca="1">L5*0.53836</f>
        <v>345.44766684611994</v>
      </c>
      <c r="N5" s="191">
        <f ca="1">M5*OPHOURS/('Set-up'!$B$39*3.7854*1000000)</f>
        <v>0.91188505574208689</v>
      </c>
      <c r="O5" s="191"/>
      <c r="P5" s="475"/>
      <c r="R5" s="205" t="s">
        <v>3152</v>
      </c>
      <c r="S5" s="492">
        <f ca="1">S55+S56+S57</f>
        <v>3054.8647099999998</v>
      </c>
      <c r="T5" s="495">
        <f ca="1">T55+T56</f>
        <v>2.9209913478442165E-2</v>
      </c>
      <c r="U5" s="205" t="s">
        <v>3153</v>
      </c>
      <c r="V5" s="492">
        <f ca="1">V36+V37</f>
        <v>773.54528430000005</v>
      </c>
      <c r="W5" s="290">
        <f ca="1">V5/3.7894*OPEX!$B$7/Summary!$D$12/1000000</f>
        <v>2.8131616789310032E-2</v>
      </c>
      <c r="Y5" s="518" t="s">
        <v>1791</v>
      </c>
      <c r="Z5" s="487" t="s">
        <v>1790</v>
      </c>
      <c r="AA5" s="1192">
        <f t="shared" ca="1" si="1"/>
        <v>13.220241100000001</v>
      </c>
      <c r="AB5" s="397">
        <f t="shared" ca="1" si="2"/>
        <v>0.13628069584599184</v>
      </c>
      <c r="AC5" s="398">
        <f t="shared" ref="AC5:AC12" ca="1" si="3">AB5*$W$4</f>
        <v>0.68372064466713744</v>
      </c>
      <c r="AE5" s="638"/>
      <c r="AG5" s="1109" t="s">
        <v>1761</v>
      </c>
      <c r="AH5" s="1110">
        <f ca="1">'Energy Bal'!FC17</f>
        <v>-315.57189332922115</v>
      </c>
      <c r="AI5" s="1111">
        <f t="shared" ref="AI5:AI11" ca="1" si="4">AH5/$AH$5</f>
        <v>1</v>
      </c>
      <c r="AJ5" s="1143"/>
    </row>
    <row r="6" spans="1:36" ht="13.5" customHeight="1" x14ac:dyDescent="0.3">
      <c r="A6" s="1417" t="s">
        <v>3325</v>
      </c>
      <c r="B6" s="524"/>
      <c r="C6" s="1425"/>
      <c r="D6" s="1411">
        <f ca="1">VLOOKUP( "CMIX.H2SO4.A200.217", INDIRECT(LU_SENS), 2, FALSE )/( VLOOKUP( "STRM.101", INDIRECT(LU_SENS), 2, FALSE ) - VLOOKUP( "CMIX.H2O.101", INDIRECT(LU_SENS), 2, FALSE ))*1000</f>
        <v>22.09999994276</v>
      </c>
      <c r="E6" s="1419" t="s">
        <v>456</v>
      </c>
      <c r="F6" s="737">
        <f ca="1">VLOOKUP("OSLR1",INDIRECT(LU_SENS),2,FALSE)</f>
        <v>0.01</v>
      </c>
      <c r="G6" s="1426" t="s">
        <v>2344</v>
      </c>
      <c r="H6" s="1427">
        <f ca="1">'Energy Bal'!CJ5</f>
        <v>-181.29517235211824</v>
      </c>
      <c r="I6" s="524"/>
      <c r="J6" s="517" t="s">
        <v>304</v>
      </c>
      <c r="K6" s="522" t="s">
        <v>606</v>
      </c>
      <c r="L6" s="81">
        <f t="shared" ca="1" si="0"/>
        <v>16273.075999999997</v>
      </c>
      <c r="M6" s="81">
        <f ca="1">L6*0.58117</f>
        <v>9457.4235789199975</v>
      </c>
      <c r="N6" s="191">
        <f ca="1">M6*OPHOURS/('Set-up'!$B$39*3.7854*1000000)</f>
        <v>24.964948543947166</v>
      </c>
      <c r="O6" s="191"/>
      <c r="P6" s="475"/>
      <c r="R6" s="205" t="s">
        <v>2119</v>
      </c>
      <c r="S6" s="492">
        <f ca="1">S20+S24</f>
        <v>1290.7214602899992</v>
      </c>
      <c r="T6" s="495">
        <f ca="1">T56+T57</f>
        <v>2.4167872211276979E-2</v>
      </c>
      <c r="U6" s="205" t="s">
        <v>1770</v>
      </c>
      <c r="V6" s="492">
        <f ca="1">IF(X6&lt;&gt;"",VLOOKUP(X6,INDIRECT(LU_SENS),2,FALSE),"")</f>
        <v>520.42631900000003</v>
      </c>
      <c r="W6" s="290">
        <f ca="1">V6/3.7894*OPEX!$B$7/Summary!$D$12/1000000</f>
        <v>1.8926408150012453E-2</v>
      </c>
      <c r="X6" s="203" t="s">
        <v>728</v>
      </c>
      <c r="Y6" s="518" t="s">
        <v>1738</v>
      </c>
      <c r="Z6" s="487" t="s">
        <v>2140</v>
      </c>
      <c r="AA6" s="1192">
        <f t="shared" ca="1" si="1"/>
        <v>10.9259465</v>
      </c>
      <c r="AB6" s="397">
        <f t="shared" ca="1" si="2"/>
        <v>0.11262998764796196</v>
      </c>
      <c r="AC6" s="398">
        <f t="shared" ca="1" si="3"/>
        <v>0.56506497332931804</v>
      </c>
      <c r="AE6" s="638"/>
      <c r="AG6" s="1107" t="s">
        <v>1074</v>
      </c>
      <c r="AH6" s="1110">
        <f ca="1">'Energy Bal'!FK17</f>
        <v>-7.9441872443591892</v>
      </c>
      <c r="AI6" s="1111">
        <f t="shared" ca="1" si="4"/>
        <v>2.5173937895893016E-2</v>
      </c>
      <c r="AJ6" s="1143"/>
    </row>
    <row r="7" spans="1:36" ht="13.5" customHeight="1" x14ac:dyDescent="0.3">
      <c r="A7" s="1417" t="s">
        <v>462</v>
      </c>
      <c r="B7" s="524"/>
      <c r="C7" s="1428"/>
      <c r="D7" s="737">
        <f ca="1">(VLOOKUP("SOL254",INDIRECT(LU_SENS),2,FALSE)+VLOOKUP("SCIS.A200.254s",INDIRECT(LU_SENS),2,FALSE))/(VLOOKUP("STRM.A200.254s",INDIRECT(LU_SENS),2,FALSE))</f>
        <v>0.30074971379722115</v>
      </c>
      <c r="E7" s="1419" t="s">
        <v>457</v>
      </c>
      <c r="F7" s="737">
        <f ca="1">VLOOKUP("OSLR2",INDIRECT(LU_SENS),2,FALSE)</f>
        <v>0.01</v>
      </c>
      <c r="G7" s="1426" t="s">
        <v>2341</v>
      </c>
      <c r="H7" s="1429">
        <f ca="1">'Energy Bal'!BY17/'Operating Summaries'!H6</f>
        <v>0.53659251322748136</v>
      </c>
      <c r="I7" s="524"/>
      <c r="J7" s="517" t="s">
        <v>305</v>
      </c>
      <c r="K7" s="522" t="s">
        <v>602</v>
      </c>
      <c r="L7" s="81">
        <f t="shared" ca="1" si="0"/>
        <v>1983.0988700000003</v>
      </c>
      <c r="M7" s="81">
        <f ca="1">L7*0.58117</f>
        <v>1152.5175702779002</v>
      </c>
      <c r="N7" s="191">
        <f ca="1">M7*OPHOURS/('Set-up'!$B$39*3.7854*1000000)</f>
        <v>3.0423234824878711</v>
      </c>
      <c r="O7" s="191"/>
      <c r="P7" s="475"/>
      <c r="R7" s="205" t="s">
        <v>2116</v>
      </c>
      <c r="S7" s="492">
        <f ca="1">S38+S34</f>
        <v>121.12277800002302</v>
      </c>
      <c r="T7" s="495">
        <f>T57+T58</f>
        <v>0</v>
      </c>
      <c r="U7" s="205" t="s">
        <v>2109</v>
      </c>
      <c r="V7" s="492">
        <f ca="1">-V19-V23</f>
        <v>2471.3010000000068</v>
      </c>
      <c r="W7" s="290">
        <f ca="1">V7/3.7894*OPEX!$B$7/Summary!$D$12/1000000</f>
        <v>8.9874108360638152E-2</v>
      </c>
      <c r="Y7" s="518" t="s">
        <v>1634</v>
      </c>
      <c r="Z7" s="487" t="s">
        <v>2146</v>
      </c>
      <c r="AA7" s="1192">
        <f t="shared" ca="1" si="1"/>
        <v>7.0084537100000004</v>
      </c>
      <c r="AB7" s="397">
        <f t="shared" ca="1" si="2"/>
        <v>7.2246560496027803E-2</v>
      </c>
      <c r="AC7" s="398">
        <f t="shared" ca="1" si="3"/>
        <v>0.36246120267208976</v>
      </c>
      <c r="AE7" s="638"/>
      <c r="AG7" s="1107" t="s">
        <v>284</v>
      </c>
      <c r="AH7" s="1110">
        <f ca="1">'Energy Bal'!GR49</f>
        <v>1.224578636430133</v>
      </c>
      <c r="AI7" s="1111">
        <f t="shared" ca="1" si="4"/>
        <v>-3.8805060346505204E-3</v>
      </c>
      <c r="AJ7" s="1143"/>
    </row>
    <row r="8" spans="1:36" ht="13.5" customHeight="1" x14ac:dyDescent="0.3">
      <c r="A8" s="1417" t="s">
        <v>2963</v>
      </c>
      <c r="B8" s="524"/>
      <c r="C8" s="1428"/>
      <c r="D8" s="737">
        <f ca="1">( VLOOKUP( "SCIS.A200.M207FD", INDIRECT(LU_SENS), 2, FALSE )) / ( VLOOKUP( "STRM.A200.M207FD", INDIRECT(LU_SENS), 2, FALSE ) )</f>
        <v>0.22633941147619041</v>
      </c>
      <c r="E8" s="1419" t="s">
        <v>458</v>
      </c>
      <c r="F8" s="737">
        <f ca="1">VLOOKUP("OSLR5",INDIRECT(LU_SENS),2,FALSE)</f>
        <v>0</v>
      </c>
      <c r="G8" s="1426" t="s">
        <v>2342</v>
      </c>
      <c r="H8" s="1429">
        <f ca="1">'Energy Bal'!CC17/'Operating Summaries'!H6</f>
        <v>0.3613987819405941</v>
      </c>
      <c r="I8" s="524"/>
      <c r="J8" s="517" t="s">
        <v>306</v>
      </c>
      <c r="K8" s="522" t="s">
        <v>605</v>
      </c>
      <c r="L8" s="81">
        <f t="shared" ca="1" si="0"/>
        <v>499.94089100000002</v>
      </c>
      <c r="M8" s="81">
        <f ca="1">L8*0.568256</f>
        <v>284.094410956096</v>
      </c>
      <c r="N8" s="191">
        <f ca="1">M8*OPHOURS/('Set-up'!$B$39*3.7854*1000000)</f>
        <v>0.74992964965114139</v>
      </c>
      <c r="O8" s="191"/>
      <c r="P8" s="475"/>
      <c r="R8" s="205" t="s">
        <v>2117</v>
      </c>
      <c r="S8" s="492">
        <f ca="1">S42+S49</f>
        <v>2677.6731399996179</v>
      </c>
      <c r="T8" s="495">
        <f ca="1">S8/3.7894*OPEX!$B$7/Summary!$D$12/1000000</f>
        <v>9.7379269436906002E-2</v>
      </c>
      <c r="U8" s="205" t="s">
        <v>2110</v>
      </c>
      <c r="V8" s="492">
        <f ca="1">-V27-V31</f>
        <v>2631.1680000000051</v>
      </c>
      <c r="W8" s="290">
        <f ca="1">V8/3.7894*OPEX!$B$7/Summary!$D$12/1000000</f>
        <v>9.5688011273027215E-2</v>
      </c>
      <c r="Y8" s="518" t="s">
        <v>3159</v>
      </c>
      <c r="Z8" s="487" t="s">
        <v>2142</v>
      </c>
      <c r="AA8" s="1192">
        <f t="shared" ca="1" si="1"/>
        <v>6.3824260199999996</v>
      </c>
      <c r="AB8" s="397">
        <f t="shared" ca="1" si="2"/>
        <v>6.5793161608161913E-2</v>
      </c>
      <c r="AC8" s="398">
        <f t="shared" ca="1" si="3"/>
        <v>0.33008448181287042</v>
      </c>
      <c r="AE8" s="638"/>
      <c r="AG8" s="1107" t="s">
        <v>431</v>
      </c>
      <c r="AH8" s="1110">
        <f ca="1">'Energy Bal'!GR50</f>
        <v>-4.368626386199252</v>
      </c>
      <c r="AI8" s="1111">
        <f t="shared" ca="1" si="4"/>
        <v>1.3843521804527983E-2</v>
      </c>
      <c r="AJ8" s="1143"/>
    </row>
    <row r="9" spans="1:36" ht="13.5" customHeight="1" x14ac:dyDescent="0.3">
      <c r="A9" s="1417" t="s">
        <v>2964</v>
      </c>
      <c r="B9" s="524"/>
      <c r="C9" s="1428"/>
      <c r="D9" s="737">
        <f ca="1">( VLOOKUP( "SCIS.A200.254s", INDIRECT(LU_SENS), 2, FALSE )) / ( VLOOKUP( "STRM.A200.254s", INDIRECT(LU_SENS), 2, FALSE ) )</f>
        <v>0.16613251748473074</v>
      </c>
      <c r="E9" s="1419" t="s">
        <v>459</v>
      </c>
      <c r="F9" s="737">
        <f ca="1">VLOOKUP("OSLR6",INDIRECT(LU_SENS),2,FALSE)</f>
        <v>0.01</v>
      </c>
      <c r="G9" s="1430" t="s">
        <v>2343</v>
      </c>
      <c r="H9" s="1431">
        <f ca="1">'Energy Bal'!CJ5*1000000/'Energy Bal'!CJ2</f>
        <v>-497.09950222825933</v>
      </c>
      <c r="I9" s="524"/>
      <c r="J9" s="517" t="s">
        <v>307</v>
      </c>
      <c r="K9" s="522" t="s">
        <v>604</v>
      </c>
      <c r="L9" s="81">
        <f t="shared" ca="1" si="0"/>
        <v>1191.5257899999999</v>
      </c>
      <c r="M9" s="81">
        <f ca="1">L9*0.568256</f>
        <v>677.09167932223988</v>
      </c>
      <c r="N9" s="191">
        <f ca="1">M9*OPHOURS/('Set-up'!$B$39*3.7854*1000000)</f>
        <v>1.7873323313435454</v>
      </c>
      <c r="O9" s="191"/>
      <c r="P9" s="475"/>
      <c r="R9" s="205" t="s">
        <v>2118</v>
      </c>
      <c r="S9" s="492">
        <f ca="1">S29+S54</f>
        <v>23869.187449999998</v>
      </c>
      <c r="T9" s="495">
        <f ca="1">S9/3.7894*OPEX!$B$7/Summary!$D$12/1000000</f>
        <v>0.86805368482498824</v>
      </c>
      <c r="U9" s="205" t="s">
        <v>727</v>
      </c>
      <c r="V9" s="492">
        <f ca="1">IF(X9&lt;&gt;"",VLOOKUP(X9,INDIRECT(LU_SENS),2,FALSE),"")</f>
        <v>4339.3318799999997</v>
      </c>
      <c r="W9" s="290">
        <f ca="1">V9/3.7894*OPEX!$B$7/Summary!$D$12/1000000</f>
        <v>0.15780901783954712</v>
      </c>
      <c r="X9" s="203" t="s">
        <v>3053</v>
      </c>
      <c r="Y9" s="518" t="s">
        <v>1787</v>
      </c>
      <c r="Z9" s="487" t="s">
        <v>2141</v>
      </c>
      <c r="AA9" s="1192">
        <f t="shared" ca="1" si="1"/>
        <v>5.1979875900000003</v>
      </c>
      <c r="AB9" s="397">
        <f t="shared" ca="1" si="2"/>
        <v>5.3583392345547327E-2</v>
      </c>
      <c r="AC9" s="398">
        <f t="shared" ca="1" si="3"/>
        <v>0.26882803415790807</v>
      </c>
      <c r="AE9" s="638"/>
      <c r="AG9" s="1107" t="s">
        <v>3110</v>
      </c>
      <c r="AH9" s="1110">
        <f ca="1">'Energy Bal'!GR51</f>
        <v>0.2854192167351452</v>
      </c>
      <c r="AI9" s="1111"/>
      <c r="AJ9" s="1143"/>
    </row>
    <row r="10" spans="1:36" ht="13.5" customHeight="1" x14ac:dyDescent="0.3">
      <c r="A10" s="1417" t="s">
        <v>496</v>
      </c>
      <c r="B10" s="524"/>
      <c r="C10" s="1419"/>
      <c r="D10" s="731">
        <f ca="1">VLOOKUP("TEMP.A200.217",INDIRECT(LU_SENS),2,FALSE)</f>
        <v>158</v>
      </c>
      <c r="E10" s="1419" t="s">
        <v>460</v>
      </c>
      <c r="F10" s="737">
        <f ca="1">VLOOKUP("OSLR6",INDIRECT(LU_SENS),2,FALSE)</f>
        <v>0.01</v>
      </c>
      <c r="G10" s="1430" t="s">
        <v>762</v>
      </c>
      <c r="H10" s="1431">
        <f ca="1">H9*1.8</f>
        <v>-894.77910401086683</v>
      </c>
      <c r="I10" s="524"/>
      <c r="J10" s="517"/>
      <c r="K10" s="517"/>
      <c r="L10" s="81"/>
      <c r="M10" s="81">
        <f ca="1">SUM(M4:M9)</f>
        <v>28512.423422904747</v>
      </c>
      <c r="N10" s="191"/>
      <c r="O10" s="191"/>
      <c r="P10" s="475"/>
      <c r="Q10" s="203" t="s">
        <v>711</v>
      </c>
      <c r="R10" s="205" t="s">
        <v>3062</v>
      </c>
      <c r="S10" s="492">
        <f ca="1">IF(Q10&lt;&gt;"",VLOOKUP(Q10,INDIRECT(LU_SENS),2,FALSE),"")</f>
        <v>638.15416100000004</v>
      </c>
      <c r="T10" s="495">
        <f ca="1">S10/3.7894*OPEX!$B$7/Summary!$D$12/1000000</f>
        <v>2.3207831104550186E-2</v>
      </c>
      <c r="U10" s="205" t="s">
        <v>3046</v>
      </c>
      <c r="V10" s="492">
        <f ca="1">IF(X10&lt;&gt;"",VLOOKUP(X10,INDIRECT(LU_SENS),2,FALSE),"")</f>
        <v>4953.2751200000002</v>
      </c>
      <c r="W10" s="290">
        <f ca="1">V10/3.7894*OPEX!$B$7/Summary!$D$12/1000000</f>
        <v>0.18013636739309855</v>
      </c>
      <c r="X10" s="203" t="s">
        <v>715</v>
      </c>
      <c r="Y10" s="518" t="s">
        <v>1786</v>
      </c>
      <c r="Z10" s="487" t="s">
        <v>2143</v>
      </c>
      <c r="AA10" s="1192">
        <f t="shared" ca="1" si="1"/>
        <v>2.5565326100000001</v>
      </c>
      <c r="AB10" s="397">
        <f t="shared" ca="1" si="2"/>
        <v>2.6353985559595408E-2</v>
      </c>
      <c r="AC10" s="398">
        <f t="shared" ca="1" si="3"/>
        <v>0.13221802166843685</v>
      </c>
      <c r="AE10" s="638"/>
      <c r="AG10" s="1107"/>
      <c r="AH10" s="1110"/>
      <c r="AI10" s="1111"/>
      <c r="AJ10" s="1143"/>
    </row>
    <row r="11" spans="1:36" ht="13.5" customHeight="1" x14ac:dyDescent="0.3">
      <c r="A11" s="1417" t="s">
        <v>453</v>
      </c>
      <c r="B11" s="524"/>
      <c r="C11" s="1125"/>
      <c r="D11" s="735">
        <f ca="1">VLOOKUP("PRES.A200.217",INDIRECT(LU_SENS),2,FALSE)</f>
        <v>5.6755854000000001</v>
      </c>
      <c r="E11" s="1419" t="s">
        <v>461</v>
      </c>
      <c r="F11" s="737">
        <f ca="1">VLOOKUP("OSLR7",INDIRECT(LU_SENS),2,FALSE)</f>
        <v>0.01</v>
      </c>
      <c r="G11" s="1430"/>
      <c r="H11" s="1431"/>
      <c r="I11" s="524"/>
      <c r="J11" s="517" t="s">
        <v>308</v>
      </c>
      <c r="K11" s="517"/>
      <c r="L11" s="81"/>
      <c r="M11" s="81"/>
      <c r="N11" s="191">
        <f ca="1">SUM(N4:N10)</f>
        <v>75.264809456418291</v>
      </c>
      <c r="O11" s="191"/>
      <c r="P11" s="475"/>
      <c r="Q11" s="203" t="s">
        <v>3121</v>
      </c>
      <c r="R11" s="205" t="s">
        <v>3122</v>
      </c>
      <c r="S11" s="492">
        <f ca="1">IF(Q11&lt;&gt;"",VLOOKUP(Q11,INDIRECT(LU_SENS),2,FALSE),"")</f>
        <v>237.252838</v>
      </c>
      <c r="T11" s="495">
        <f ca="1">S11/3.7894*OPEX!$B$7/Summary!$D$12/1000000</f>
        <v>8.6282032303150735E-3</v>
      </c>
      <c r="U11" s="205" t="s">
        <v>1793</v>
      </c>
      <c r="V11" s="492">
        <f ca="1">IF(X11&lt;&gt;"",VLOOKUP(X11,INDIRECT(LU_SENS),2,FALSE),"")</f>
        <v>54452.740899999997</v>
      </c>
      <c r="W11" s="290">
        <f ca="1">V11/3.7894*OPEX!$B$7/Summary!$D$12/1000000</f>
        <v>1.9802895463483972</v>
      </c>
      <c r="X11" s="203" t="s">
        <v>701</v>
      </c>
      <c r="Y11" s="518" t="s">
        <v>1785</v>
      </c>
      <c r="Z11" s="487" t="s">
        <v>2144</v>
      </c>
      <c r="AA11" s="1192">
        <f t="shared" ca="1" si="1"/>
        <v>1.17206583</v>
      </c>
      <c r="AB11" s="397">
        <f t="shared" ca="1" si="2"/>
        <v>1.2082226464819162E-2</v>
      </c>
      <c r="AC11" s="398">
        <f t="shared" ca="1" si="3"/>
        <v>6.061656507005183E-2</v>
      </c>
      <c r="AE11" s="638"/>
      <c r="AG11" s="1107" t="s">
        <v>1762</v>
      </c>
      <c r="AH11" s="1110">
        <f ca="1">'Energy Bal'!GB17</f>
        <v>87.157311526553755</v>
      </c>
      <c r="AI11" s="1111">
        <f t="shared" ca="1" si="4"/>
        <v>-0.27618844823935784</v>
      </c>
      <c r="AJ11" s="1143"/>
    </row>
    <row r="12" spans="1:36" ht="13.5" customHeight="1" x14ac:dyDescent="0.3">
      <c r="A12" s="1432" t="s">
        <v>1093</v>
      </c>
      <c r="B12" s="1424" t="s">
        <v>1088</v>
      </c>
      <c r="C12" s="1424" t="s">
        <v>1089</v>
      </c>
      <c r="D12" s="736" t="s">
        <v>1094</v>
      </c>
      <c r="E12" s="1433" t="s">
        <v>497</v>
      </c>
      <c r="F12" s="727"/>
      <c r="G12" s="1430" t="s">
        <v>2974</v>
      </c>
      <c r="H12" s="1434">
        <f ca="1">-'Energy Bal'!CN20/'Energy Bal'!CJ5</f>
        <v>0.79776201497022459</v>
      </c>
      <c r="I12" s="524"/>
      <c r="J12" s="517" t="s">
        <v>309</v>
      </c>
      <c r="K12" s="517"/>
      <c r="L12" s="81"/>
      <c r="M12" s="81"/>
      <c r="N12" s="191">
        <f ca="1">N11*1000000/OPEX!E3</f>
        <v>103.92567351367323</v>
      </c>
      <c r="O12" s="191"/>
      <c r="P12" s="475"/>
      <c r="Q12" s="203" t="s">
        <v>3050</v>
      </c>
      <c r="R12" s="205" t="s">
        <v>3120</v>
      </c>
      <c r="S12" s="492">
        <f ca="1">IF(Q12&lt;&gt;"",VLOOKUP(Q12,INDIRECT(LU_SENS),2,FALSE),"")</f>
        <v>4368.33475</v>
      </c>
      <c r="T12" s="495">
        <f ca="1">S12/3.7894*OPEX!$B$7/Summary!$D$12/1000000</f>
        <v>0.15886376879102956</v>
      </c>
      <c r="U12" s="205" t="s">
        <v>2113</v>
      </c>
      <c r="V12" s="492">
        <f ca="1">IF(X12&lt;&gt;"",VLOOKUP(X12,INDIRECT(LU_SENS),2,FALSE),"")</f>
        <v>2584.0727900000002</v>
      </c>
      <c r="W12" s="290">
        <f ca="1">V12/3.7894*OPEX!$B$7/Summary!$D$12/1000000</f>
        <v>9.3975293960645009E-2</v>
      </c>
      <c r="X12" s="203" t="s">
        <v>702</v>
      </c>
      <c r="Y12" s="518" t="s">
        <v>531</v>
      </c>
      <c r="Z12" s="487" t="s">
        <v>2145</v>
      </c>
      <c r="AA12" s="1192">
        <f t="shared" ca="1" si="1"/>
        <v>0.46168615200000002</v>
      </c>
      <c r="AB12" s="397">
        <f t="shared" ca="1" si="2"/>
        <v>4.7592861265607599E-3</v>
      </c>
      <c r="AC12" s="398">
        <f t="shared" ca="1" si="3"/>
        <v>2.3877352242791548E-2</v>
      </c>
      <c r="AE12" s="638"/>
      <c r="AG12" s="1107"/>
      <c r="AH12" s="1110"/>
      <c r="AI12" s="1111"/>
      <c r="AJ12" s="1143"/>
    </row>
    <row r="13" spans="1:36" ht="13.5" customHeight="1" x14ac:dyDescent="0.3">
      <c r="A13" s="1417" t="s">
        <v>464</v>
      </c>
      <c r="B13" s="876">
        <f ca="1">VLOOKUP("PRETRX01",INDIRECT(LU_SENS),2,FALSE)</f>
        <v>3.0000000000000001E-3</v>
      </c>
      <c r="C13" s="876"/>
      <c r="D13" s="737">
        <f ca="1">B13</f>
        <v>3.0000000000000001E-3</v>
      </c>
      <c r="E13" s="1419" t="s">
        <v>462</v>
      </c>
      <c r="F13" s="737">
        <f ca="1">(VLOOKUP("SOL300",INDIRECT(LU_SENS),2,FALSE)+VLOOKUP("SCIS.a300.f300fd",INDIRECT(LU_SENS),2,FALSE))/(VLOOKUP("STRM.A300.f300FD",INDIRECT(LU_SENS),2,FALSE))</f>
        <v>0.19824225296444115</v>
      </c>
      <c r="G13" s="524"/>
      <c r="H13" s="1435"/>
      <c r="I13" s="524"/>
      <c r="P13" s="481"/>
      <c r="Q13" s="203" t="s">
        <v>704</v>
      </c>
      <c r="R13" s="205" t="s">
        <v>2122</v>
      </c>
      <c r="S13" s="492">
        <f ca="1">IF(Q13&lt;&gt;"",VLOOKUP(Q13,INDIRECT(LU_SENS),2,FALSE),"")</f>
        <v>5571.7362199999998</v>
      </c>
      <c r="T13" s="495">
        <f ca="1">S13/3.7894*OPEX!$B$7/Summary!$D$12/1000000</f>
        <v>0.20262801851865514</v>
      </c>
      <c r="U13" s="1453"/>
      <c r="V13" s="524"/>
      <c r="W13" s="1435"/>
      <c r="Z13" s="487"/>
      <c r="AA13" s="290"/>
      <c r="AB13" s="487"/>
      <c r="AC13" s="519"/>
      <c r="AE13" s="638"/>
      <c r="AG13" s="1107" t="s">
        <v>200</v>
      </c>
      <c r="AH13" s="1110">
        <f ca="1">SUM(AH5:AH12)</f>
        <v>-239.21739758006055</v>
      </c>
      <c r="AI13" s="1111">
        <f ca="1">SUM(AI5:AI12)</f>
        <v>0.75894850542641279</v>
      </c>
      <c r="AJ13" s="1143"/>
    </row>
    <row r="14" spans="1:36" ht="13.5" customHeight="1" x14ac:dyDescent="0.3">
      <c r="A14" s="1417" t="s">
        <v>465</v>
      </c>
      <c r="B14" s="876">
        <f ca="1">VLOOKUP("PRETRX02",INDIRECT(LU_SENS),2,FALSE)</f>
        <v>0</v>
      </c>
      <c r="C14" s="876"/>
      <c r="D14" s="737">
        <f ca="1">B14</f>
        <v>0</v>
      </c>
      <c r="E14" s="1419" t="s">
        <v>495</v>
      </c>
      <c r="F14" s="737">
        <f ca="1">VLOOKUP("SCIS.A300.F300FD",INDIRECT(LU_SENS),2,FALSE)/(VLOOKUP("STRM.A300.f300FD",INDIRECT(LU_SENS),2,FALSE))</f>
        <v>5.099310812733291E-2</v>
      </c>
      <c r="G14" s="1419" t="s">
        <v>768</v>
      </c>
      <c r="H14" s="1436">
        <f ca="1">VLOOKUP( "STRM.A800.a810.812", INDIRECT(LU_SENS), 2, FALSE )</f>
        <v>235125.15599999999</v>
      </c>
      <c r="I14" s="524"/>
      <c r="J14" s="399" t="s">
        <v>425</v>
      </c>
      <c r="K14" s="399"/>
      <c r="L14" s="399"/>
      <c r="M14" s="399"/>
      <c r="N14" s="399"/>
      <c r="O14" s="399"/>
      <c r="P14" s="473"/>
      <c r="Q14" s="203" t="s">
        <v>705</v>
      </c>
      <c r="R14" s="1459" t="s">
        <v>2120</v>
      </c>
      <c r="S14" s="1460">
        <f ca="1">IF(Q14&lt;&gt;"",VLOOKUP(Q14,INDIRECT(LU_SENS),2,FALSE),"")</f>
        <v>147722.20199999999</v>
      </c>
      <c r="T14" s="1461">
        <f ca="1">S14/3.7894*OPEX!$B$7/Summary!$D$12/1000000</f>
        <v>5.3722315451739968</v>
      </c>
      <c r="U14" s="1462"/>
      <c r="V14" s="1463"/>
      <c r="W14" s="1464"/>
      <c r="Z14" s="487"/>
      <c r="AA14" s="521"/>
      <c r="AB14" s="487"/>
      <c r="AC14" s="519"/>
      <c r="AE14" s="639"/>
      <c r="AG14" s="1138" t="s">
        <v>1764</v>
      </c>
      <c r="AH14" s="1138"/>
      <c r="AI14" s="1138"/>
      <c r="AJ14" s="1108">
        <v>2002</v>
      </c>
    </row>
    <row r="15" spans="1:36" ht="13.5" customHeight="1" thickBot="1" x14ac:dyDescent="0.35">
      <c r="A15" s="1417" t="s">
        <v>466</v>
      </c>
      <c r="B15" s="876">
        <f ca="1">VLOOKUP("PRETRX03",INDIRECT(LU_SENS),2,FALSE)</f>
        <v>9.9000000000000005E-2</v>
      </c>
      <c r="C15" s="876"/>
      <c r="D15" s="737">
        <f ca="1">B15</f>
        <v>9.9000000000000005E-2</v>
      </c>
      <c r="E15" s="1419" t="s">
        <v>496</v>
      </c>
      <c r="F15" s="731">
        <f ca="1">VLOOKUP("TEMP.A300.308",INDIRECT(LU_SENS),2,FALSE)</f>
        <v>32</v>
      </c>
      <c r="G15" s="1419" t="s">
        <v>2193</v>
      </c>
      <c r="H15" s="1436">
        <f ca="1">VLOOKUP("work.wtotal",INDIRECT(LU_SENS),2,FALSE)</f>
        <v>-41139.1976</v>
      </c>
      <c r="I15" s="524"/>
      <c r="J15" s="438" t="s">
        <v>428</v>
      </c>
      <c r="L15" s="118">
        <f ca="1">VLOOKUP( "CMIX.GLUCOSE.A300.301", INDIRECT(LU_SENS), 2, FALSE ) + VLOOKUP( "CMIX.XYLOSE.A300.301", INDIRECT(LU_SENS), 2, FALSE ) +
VLOOKUP( "CMIX.ARABINOS.A300.301", INDIRECT(LU_SENS), 2, FALSE ) + VLOOKUP( "CMIX.MANNOSE.A300.301", INDIRECT(LU_SENS), 2, FALSE ) +
VLOOKUP( "CMIX.GALACTOS.A300.301", INDIRECT(LU_SENS), 2, FALSE ) + VLOOKUP( "CMIX.GLUCOLIG.A300.301", INDIRECT(LU_SENS), 2, FALSE ) +
VLOOKUP( "CMIX.CELLOB.A300.301", INDIRECT(LU_SENS), 2, FALSE ) + VLOOKUP( "CMIX.XYLOLIG.A300.301", INDIRECT(LU_SENS), 2, FALSE ) +
VLOOKUP( "CMIX.MANOLIG.A300.301", INDIRECT(LU_SENS), 2, FALSE ) + VLOOKUP( "CMIX.GALAOLIG.A300.301", INDIRECT(LU_SENS), 2, FALSE ) +
VLOOKUP( "CMIX.ARABOLIG.A300.301", INDIRECT(LU_SENS), 2, FALSE )</f>
        <v>24275.328705836819</v>
      </c>
      <c r="P15" s="481"/>
      <c r="R15" s="502" t="s">
        <v>778</v>
      </c>
      <c r="S15" s="494">
        <f ca="1">SUM(S3:S14)</f>
        <v>210811.28257728962</v>
      </c>
      <c r="T15" s="512">
        <f ca="1">S15/3.7894*OPEX!$B$7/Summary!$D$12/1000000</f>
        <v>7.6665999220638801</v>
      </c>
      <c r="U15" s="477" t="s">
        <v>779</v>
      </c>
      <c r="V15" s="493">
        <f ca="1">SUM(V3:V14)</f>
        <v>210789.25241130003</v>
      </c>
      <c r="W15" s="513">
        <f ca="1">V15/3.7894*OPEX!$B$7/Summary!$D$12/1000000</f>
        <v>7.6657987482993919</v>
      </c>
      <c r="Z15" s="487" t="s">
        <v>1792</v>
      </c>
      <c r="AA15" s="288">
        <f ca="1">SUM(AA4:AA13)</f>
        <v>97.00743761199999</v>
      </c>
      <c r="AB15" s="487"/>
      <c r="AC15" s="398">
        <f ca="1">SUM(AC4:AC12)</f>
        <v>5.0170028882138737</v>
      </c>
      <c r="AE15" s="639"/>
      <c r="AG15" s="1109" t="s">
        <v>1160</v>
      </c>
      <c r="AH15" s="1110">
        <f ca="1">'Energy Bal'!GF17</f>
        <v>-138.88942433999296</v>
      </c>
      <c r="AI15" s="1111">
        <f t="shared" ref="AI15:AI20" ca="1" si="5">AH15/$AH$5</f>
        <v>0.440119754882911</v>
      </c>
      <c r="AJ15" s="1112">
        <v>0.48699999999999999</v>
      </c>
    </row>
    <row r="16" spans="1:36" ht="13.5" customHeight="1" thickBot="1" x14ac:dyDescent="0.35">
      <c r="A16" s="1417" t="s">
        <v>467</v>
      </c>
      <c r="B16" s="876">
        <f ca="1">VLOOKUP("PRETRX04",INDIRECT(LU_SENS),2,FALSE)</f>
        <v>3.0000000000000001E-3</v>
      </c>
      <c r="C16" s="876"/>
      <c r="D16" s="737">
        <f ca="1">B16</f>
        <v>3.0000000000000001E-3</v>
      </c>
      <c r="E16" s="1419" t="s">
        <v>453</v>
      </c>
      <c r="F16" s="735">
        <f ca="1">VLOOKUP("PRES.A300.308",INDIRECT(LU_SENS),2,FALSE)</f>
        <v>1</v>
      </c>
      <c r="G16" s="1419" t="s">
        <v>2345</v>
      </c>
      <c r="H16" s="1436">
        <f ca="1">VLOOKUP("Work.a900.wka100",INDIRECT(LU_SENS),2,FALSE)</f>
        <v>859.48470299999997</v>
      </c>
      <c r="I16" s="524"/>
      <c r="J16" s="438" t="s">
        <v>434</v>
      </c>
      <c r="L16" s="118">
        <f ca="1">VLOOKUP( "CMIX.LACID.A300.301", INDIRECT(LU_SENS), 2, FALSE ) +
VLOOKUP( "CMIX.LGNSOL.A300.301", INDIRECT(LU_SENS), 2, FALSE ) + VLOOKUP( "CMIX.EXTRACT.A300.301", INDIRECT(LU_SENS), 2, FALSE ) +
VLOOKUP( "CCIS.PROTEIN.A300.301", INDIRECT(LU_SENS), 2, FALSE )</f>
        <v>15448.931638210001</v>
      </c>
      <c r="P16" s="481"/>
      <c r="R16" s="503" t="s">
        <v>729</v>
      </c>
      <c r="S16" s="504"/>
      <c r="T16" s="505"/>
      <c r="U16" s="508" t="s">
        <v>1088</v>
      </c>
      <c r="V16" s="509"/>
      <c r="W16" s="510"/>
      <c r="Z16" s="488" t="s">
        <v>781</v>
      </c>
      <c r="AA16" s="289">
        <f ca="1">AA15/AA2</f>
        <v>0.99999548090301449</v>
      </c>
      <c r="AB16" s="488"/>
      <c r="AC16" s="525"/>
      <c r="AE16" s="638"/>
      <c r="AG16" s="1109" t="s">
        <v>1765</v>
      </c>
      <c r="AH16" s="1110">
        <f ca="1">'Energy Bal'!GO17</f>
        <v>-19.544912181556086</v>
      </c>
      <c r="AI16" s="1111">
        <f t="shared" ca="1" si="5"/>
        <v>6.19348953272141E-2</v>
      </c>
      <c r="AJ16" s="1112">
        <v>0.22</v>
      </c>
    </row>
    <row r="17" spans="1:38" ht="15" customHeight="1" x14ac:dyDescent="0.3">
      <c r="A17" s="1417" t="s">
        <v>468</v>
      </c>
      <c r="B17" s="876">
        <f ca="1">VLOOKUP("PRETRX05",INDIRECT(LU_SENS),2,FALSE)</f>
        <v>2.4E-2</v>
      </c>
      <c r="C17" s="876"/>
      <c r="D17" s="737">
        <f ca="1">B17-C36*B17</f>
        <v>2.4E-2</v>
      </c>
      <c r="E17" s="1419" t="s">
        <v>529</v>
      </c>
      <c r="F17" s="735">
        <f ca="1">VLOOKUP("FERMDAYS",INDIRECT(LU_SENS),2,FALSE)</f>
        <v>1.5</v>
      </c>
      <c r="G17" s="1419" t="s">
        <v>2346</v>
      </c>
      <c r="H17" s="1436">
        <f ca="1">VLOOKUP("Work.a900.wka200",INDIRECT(LU_SENS),2,FALSE)</f>
        <v>5683.1566599999996</v>
      </c>
      <c r="I17" s="524"/>
      <c r="J17" s="438" t="s">
        <v>744</v>
      </c>
      <c r="L17" s="118">
        <f ca="1">VLOOKUP( "CCIS.CELLULOS.A300.301", INDIRECT(LU_SENS), 2, FALSE )</f>
        <v>26138.367999999999</v>
      </c>
      <c r="P17" s="481"/>
      <c r="Q17" s="203" t="s">
        <v>773</v>
      </c>
      <c r="R17" s="205" t="s">
        <v>731</v>
      </c>
      <c r="S17" s="492">
        <f ca="1">IF(Q17&lt;&gt;"",VLOOKUP(Q17,INDIRECT(LU_SENS),2,FALSE),"")</f>
        <v>664.81490699999995</v>
      </c>
      <c r="T17" s="478"/>
      <c r="U17" s="205" t="s">
        <v>730</v>
      </c>
      <c r="V17" s="492">
        <f ca="1">IF(X17&lt;&gt;"",VLOOKUP(X17,INDIRECT(LU_SENS),2,FALSE),"")</f>
        <v>226041.842</v>
      </c>
      <c r="W17" s="478"/>
      <c r="X17" s="203" t="s">
        <v>3055</v>
      </c>
      <c r="Z17" s="125"/>
      <c r="AA17" s="125"/>
      <c r="AE17" s="639"/>
      <c r="AG17" s="1109" t="s">
        <v>3113</v>
      </c>
      <c r="AH17" s="1110">
        <f ca="1">'Energy Bal'!GU52</f>
        <v>-63.019400805495152</v>
      </c>
      <c r="AI17" s="1111">
        <f t="shared" ca="1" si="5"/>
        <v>0.19969902940548007</v>
      </c>
      <c r="AJ17" s="1112">
        <v>0.06</v>
      </c>
    </row>
    <row r="18" spans="1:38" ht="13.5" customHeight="1" x14ac:dyDescent="0.3">
      <c r="A18" s="1417" t="s">
        <v>469</v>
      </c>
      <c r="B18" s="876">
        <f ca="1">VLOOKUP("PRETRX06",INDIRECT(LU_SENS),2,FALSE)</f>
        <v>0.9</v>
      </c>
      <c r="C18" s="876"/>
      <c r="D18" s="737">
        <f ca="1">B18+B27*C36</f>
        <v>0.9</v>
      </c>
      <c r="E18" s="1424" t="s">
        <v>463</v>
      </c>
      <c r="F18" s="734"/>
      <c r="G18" s="1419" t="s">
        <v>2347</v>
      </c>
      <c r="H18" s="1436">
        <f ca="1">VLOOKUP("Work.a900.wka300",INDIRECT(LU_SENS),2,FALSE)</f>
        <v>2600.9367499999998</v>
      </c>
      <c r="I18" s="524"/>
      <c r="J18" s="438" t="s">
        <v>435</v>
      </c>
      <c r="L18" s="118">
        <f ca="1">VLOOKUP( "CMIX.GLUCOSE.A300.306a", INDIRECT(LU_SENS), 2, FALSE ) + VLOOKUP( "CMIX.XYLOSE.A300.306a", INDIRECT(LU_SENS), 2, FALSE ) +
VLOOKUP( "CMIX.ARABINOS.A300.306a", INDIRECT(LU_SENS), 2, FALSE ) + VLOOKUP( "CMIX.MANNOSE.A300.306a", INDIRECT(LU_SENS), 2, FALSE ) +
VLOOKUP( "CMIX.GALACTOS.A300.306a", INDIRECT(LU_SENS), 2, FALSE ) + VLOOKUP( "CMIX.GLUCOLIG.A300.306a", INDIRECT(LU_SENS), 2, FALSE ) +
VLOOKUP( "CMIX.CELLOB.A300.306a", INDIRECT(LU_SENS), 2, FALSE ) + VLOOKUP( "CMIX.XYLOLIG.A300.306a", INDIRECT(LU_SENS), 2, FALSE ) +
VLOOKUP( "CMIX.MANOLIG.A300.306a", INDIRECT(LU_SENS), 2, FALSE ) + VLOOKUP( "CMIX.GALAOLIG.A300.306a", INDIRECT(LU_SENS), 2, FALSE ) +
VLOOKUP( "CMIX.ARABOLIG.A300.306a", INDIRECT(LU_SENS), 2, FALSE )</f>
        <v>51790.238164100003</v>
      </c>
      <c r="P18" s="481"/>
      <c r="Q18" s="203" t="s">
        <v>3148</v>
      </c>
      <c r="R18" s="205" t="s">
        <v>731</v>
      </c>
      <c r="S18" s="492">
        <f ca="1">IF(Q18&lt;&gt;"",VLOOKUP(Q18,INDIRECT(LU_SENS),2,FALSE),"")</f>
        <v>3.9497547100000006</v>
      </c>
      <c r="T18" s="478"/>
      <c r="U18" s="205" t="s">
        <v>734</v>
      </c>
      <c r="V18" s="492">
        <f ca="1">IF(X18&lt;&gt;"",VLOOKUP(X18,INDIRECT(LU_SENS),2,FALSE),"")</f>
        <v>223570.541</v>
      </c>
      <c r="W18" s="478"/>
      <c r="X18" s="203" t="s">
        <v>735</v>
      </c>
      <c r="Y18" s="125"/>
      <c r="Z18" s="125"/>
      <c r="AA18" s="123">
        <f ca="1">AA2*3.97</f>
        <v>385.12126771999999</v>
      </c>
      <c r="AB18" s="438" t="s">
        <v>2060</v>
      </c>
      <c r="AE18" s="640"/>
      <c r="AG18" s="1109" t="s">
        <v>3114</v>
      </c>
      <c r="AH18" s="1110">
        <f ca="1">'Energy Bal'!GU28</f>
        <v>-11.018342889267842</v>
      </c>
      <c r="AI18" s="1111">
        <f t="shared" ca="1" si="5"/>
        <v>3.4915476067993577E-2</v>
      </c>
      <c r="AJ18" s="1112">
        <v>4.4999999999999998E-2</v>
      </c>
    </row>
    <row r="19" spans="1:38" ht="13.5" customHeight="1" thickBot="1" x14ac:dyDescent="0.35">
      <c r="A19" s="1417" t="s">
        <v>470</v>
      </c>
      <c r="B19" s="876">
        <f ca="1">VLOOKUP("PRETRX07",INDIRECT(LU_SENS),2,FALSE)</f>
        <v>0.05</v>
      </c>
      <c r="C19" s="876"/>
      <c r="D19" s="737">
        <f ca="1">B19</f>
        <v>0.05</v>
      </c>
      <c r="E19" s="1419" t="s">
        <v>520</v>
      </c>
      <c r="F19" s="737">
        <f ca="1">VLOOKUP("FERMRX07",INDIRECT(LU_SENS),2,FALSE)</f>
        <v>0.95</v>
      </c>
      <c r="G19" s="1419" t="s">
        <v>2348</v>
      </c>
      <c r="H19" s="1436">
        <f ca="1">VLOOKUP("Work.a900.wka400",INDIRECT(LU_SENS),2,FALSE)</f>
        <v>5336.7340599999998</v>
      </c>
      <c r="I19" s="524"/>
      <c r="J19" s="438" t="s">
        <v>436</v>
      </c>
      <c r="L19" s="118">
        <f ca="1">VLOOKUP( "CMIX.LACID.A300.306a", INDIRECT(LU_SENS), 2, FALSE ) +
VLOOKUP( "CMIX.LGNSOL.A300.306a", INDIRECT(LU_SENS), 2, FALSE ) + VLOOKUP( "CMIX.EXTRACT.A300.306a", INDIRECT(LU_SENS), 2, FALSE ) +
VLOOKUP( "CCIS.protein.A300.306a", INDIRECT(LU_SENS), 2, FALSE )</f>
        <v>15530.7663331</v>
      </c>
      <c r="P19" s="481"/>
      <c r="Q19" s="203" t="s">
        <v>774</v>
      </c>
      <c r="R19" s="205" t="s">
        <v>733</v>
      </c>
      <c r="S19" s="492">
        <f ca="1">IF(Q19&lt;&gt;"",VLOOKUP(Q19,INDIRECT(LU_SENS),2,FALSE),"")</f>
        <v>750.95952199999999</v>
      </c>
      <c r="T19" s="478"/>
      <c r="U19" s="206"/>
      <c r="V19" s="493">
        <f ca="1">V18-V17</f>
        <v>-2471.3010000000068</v>
      </c>
      <c r="W19" s="479"/>
      <c r="Y19" s="125"/>
      <c r="Z19" s="483" t="str">
        <f ca="1">"Total Duty = "&amp;TEXT(AA2,"#,##0") &amp; " MMkcal/hr (" &amp;TEXT(AA18,"#,##0") &amp; " MMBtu/hr)"</f>
        <v>Total Duty = 97 MMkcal/hr (385 MMBtu/hr)</v>
      </c>
      <c r="AA19" s="125"/>
      <c r="AE19" s="640"/>
      <c r="AG19" s="1109" t="s">
        <v>3115</v>
      </c>
      <c r="AH19" s="1110">
        <f ca="1">'Energy Bal'!GU30</f>
        <v>-4.0985655424967504</v>
      </c>
      <c r="AI19" s="1111">
        <f t="shared" ca="1" si="5"/>
        <v>1.2987739494977495E-2</v>
      </c>
      <c r="AJ19" s="1112">
        <v>4.0000000000000001E-3</v>
      </c>
    </row>
    <row r="20" spans="1:38" ht="13.5" customHeight="1" thickBot="1" x14ac:dyDescent="0.35">
      <c r="A20" s="1417" t="s">
        <v>471</v>
      </c>
      <c r="B20" s="876">
        <f ca="1">VLOOKUP("PRETRX08",INDIRECT(LU_SENS),2,FALSE)</f>
        <v>0</v>
      </c>
      <c r="C20" s="876"/>
      <c r="D20" s="737">
        <f ca="1">B20</f>
        <v>0</v>
      </c>
      <c r="E20" s="1419" t="s">
        <v>2213</v>
      </c>
      <c r="F20" s="737">
        <f ca="1">VLOOKUP("FERMRX08",INDIRECT(LU_SENS),2,FALSE)</f>
        <v>0.02</v>
      </c>
      <c r="G20" s="1419" t="s">
        <v>2349</v>
      </c>
      <c r="H20" s="1436">
        <f ca="1">VLOOKUP("Work.a900.wka500",INDIRECT(LU_SENS),2,FALSE)</f>
        <v>2126.2872499999999</v>
      </c>
      <c r="I20" s="524"/>
      <c r="J20" s="438" t="s">
        <v>426</v>
      </c>
      <c r="L20" s="118">
        <f ca="1">VLOOKUP( "CMIX.GLUCOSE.A300.304", INDIRECT(LU_SENS), 2, FALSE ) + VLOOKUP( "CMIX.XYLOSE.A300.304", INDIRECT(LU_SENS), 2, FALSE ) +
VLOOKUP( "CMIX.ARABINOS.A300.304", INDIRECT(LU_SENS), 2, FALSE ) + VLOOKUP( "CMIX.MANNOSE.A300.304", INDIRECT(LU_SENS), 2, FALSE ) +
VLOOKUP( "CMIX.GALACTOS.A300.304", INDIRECT(LU_SENS), 2, FALSE ) + VLOOKUP( "CMIX.GLUCOLIG.A300.304", INDIRECT(LU_SENS), 2, FALSE ) +
VLOOKUP( "CMIX.CELLOB.A300.304", INDIRECT(LU_SENS), 2, FALSE ) + VLOOKUP( "CMIX.XYLOLIG.A300.304", INDIRECT(LU_SENS), 2, FALSE ) +
VLOOKUP( "CMIX.MANOLIG.A300.304", INDIRECT(LU_SENS), 2, FALSE ) + VLOOKUP( "CMIX.GALAOLIG.A300.304", INDIRECT(LU_SENS), 2, FALSE ) +
VLOOKUP( "CMIX.ARABOLIG.A300.304", INDIRECT(LU_SENS), 2, FALSE )</f>
        <v>878.8391444099999</v>
      </c>
      <c r="P20" s="481"/>
      <c r="R20" s="206"/>
      <c r="S20" s="493">
        <f ca="1">S19-S17-S18</f>
        <v>82.194860290000037</v>
      </c>
      <c r="T20" s="479"/>
      <c r="U20" s="508" t="s">
        <v>2108</v>
      </c>
      <c r="V20" s="500"/>
      <c r="W20" s="501"/>
      <c r="Y20" s="125"/>
      <c r="Z20"/>
      <c r="AA20"/>
      <c r="AB20"/>
      <c r="AC20"/>
      <c r="AE20" s="640"/>
      <c r="AG20" s="1109" t="s">
        <v>3116</v>
      </c>
      <c r="AH20" s="1110">
        <f ca="1">'Energy Bal'!GU34</f>
        <v>-11.531587978145662</v>
      </c>
      <c r="AI20" s="1111">
        <f t="shared" ca="1" si="5"/>
        <v>3.6541872777355697E-2</v>
      </c>
      <c r="AJ20" s="1112">
        <v>3.0000000000000001E-3</v>
      </c>
    </row>
    <row r="21" spans="1:38" ht="13.5" customHeight="1" x14ac:dyDescent="0.3">
      <c r="A21" s="1417" t="s">
        <v>472</v>
      </c>
      <c r="B21" s="876">
        <f ca="1">VLOOKUP("PRETRX09",INDIRECT(LU_SENS),2,FALSE)</f>
        <v>2.4E-2</v>
      </c>
      <c r="C21" s="876"/>
      <c r="D21" s="737">
        <f ca="1">B21-C36*B21</f>
        <v>2.4E-2</v>
      </c>
      <c r="E21" s="1419" t="s">
        <v>521</v>
      </c>
      <c r="F21" s="737">
        <f ca="1">VLOOKUP("FERMRX09",INDIRECT(LU_SENS),2,FALSE)</f>
        <v>4.0000000000000001E-3</v>
      </c>
      <c r="G21" s="1419" t="s">
        <v>2350</v>
      </c>
      <c r="H21" s="1436">
        <f ca="1">VLOOKUP("Work.a900.wka600",INDIRECT(LU_SENS),2,FALSE)</f>
        <v>7351.1827499999999</v>
      </c>
      <c r="I21" s="524"/>
      <c r="J21" s="438" t="s">
        <v>427</v>
      </c>
      <c r="L21" s="118">
        <f ca="1">VLOOKUP( "CMIX.LACID.A300.304", INDIRECT(LU_SENS), 2, FALSE ) +
VLOOKUP( "CMIX.LGNSOL.A300.304", INDIRECT(LU_SENS), 2, FALSE ) + VLOOKUP( "CMIX.EXTRACT.A300.304", INDIRECT(LU_SENS), 2, FALSE ) +
VLOOKUP( "CCIS.protein.A300.304", INDIRECT(LU_SENS), 2, FALSE )</f>
        <v>1649.1514999999999</v>
      </c>
      <c r="P21" s="481"/>
      <c r="R21" s="503" t="s">
        <v>736</v>
      </c>
      <c r="S21" s="504"/>
      <c r="T21" s="505"/>
      <c r="U21" s="205" t="s">
        <v>731</v>
      </c>
      <c r="V21" s="492">
        <f ca="1">IF(X21&lt;&gt;"",VLOOKUP(X21,INDIRECT(LU_SENS),2,FALSE),"")</f>
        <v>203952.394</v>
      </c>
      <c r="W21" s="478"/>
      <c r="X21" s="203" t="s">
        <v>1090</v>
      </c>
      <c r="Y21" s="125"/>
      <c r="Z21"/>
      <c r="AA21"/>
      <c r="AB21"/>
      <c r="AC21"/>
      <c r="AE21" s="640"/>
      <c r="AG21" s="1109" t="s">
        <v>3117</v>
      </c>
      <c r="AH21" s="1110">
        <f ca="1">'Energy Bal'!GU22</f>
        <v>8.2103783203994034</v>
      </c>
      <c r="AI21" s="1111"/>
      <c r="AJ21" s="1112"/>
    </row>
    <row r="22" spans="1:38" ht="13.5" customHeight="1" x14ac:dyDescent="0.3">
      <c r="A22" s="1417" t="s">
        <v>473</v>
      </c>
      <c r="B22" s="876">
        <f ca="1">VLOOKUP("PRETRX10",INDIRECT(LU_SENS),2,FALSE)</f>
        <v>0.9</v>
      </c>
      <c r="C22" s="876"/>
      <c r="D22" s="737">
        <f ca="1">B22+C36*B21</f>
        <v>0.9</v>
      </c>
      <c r="E22" s="1419" t="s">
        <v>522</v>
      </c>
      <c r="F22" s="737">
        <f ca="1">VLOOKUP("FERMRX10",INDIRECT(LU_SENS),2,FALSE)</f>
        <v>6.0000000000000001E-3</v>
      </c>
      <c r="G22" s="1419" t="s">
        <v>2351</v>
      </c>
      <c r="H22" s="1436">
        <f ca="1">VLOOKUP("Work.a900.wka700",INDIRECT(LU_SENS),2,FALSE)</f>
        <v>10.875159099999999</v>
      </c>
      <c r="I22" s="524"/>
      <c r="P22" s="481"/>
      <c r="Q22" s="203" t="s">
        <v>3147</v>
      </c>
      <c r="R22" s="205" t="s">
        <v>737</v>
      </c>
      <c r="S22" s="492">
        <f ca="1">IF(Q22&lt;&gt;"",VLOOKUP(Q22,INDIRECT(LU_SENS),2,FALSE),"")</f>
        <v>14032.124900000001</v>
      </c>
      <c r="T22" s="478"/>
      <c r="U22" s="205" t="s">
        <v>733</v>
      </c>
      <c r="V22" s="492">
        <f ca="1">IF(X22&lt;&gt;"",VLOOKUP(X22,INDIRECT(LU_SENS),2,FALSE),"")</f>
        <v>203952.394</v>
      </c>
      <c r="W22" s="478"/>
      <c r="X22" s="203" t="s">
        <v>1091</v>
      </c>
      <c r="Y22" s="520"/>
      <c r="Z22"/>
      <c r="AA22"/>
      <c r="AB22"/>
      <c r="AC22"/>
      <c r="AE22" s="640"/>
      <c r="AG22" s="1109"/>
      <c r="AH22" s="1110"/>
      <c r="AI22" s="1111"/>
      <c r="AJ22" s="1112"/>
    </row>
    <row r="23" spans="1:38" ht="13.5" customHeight="1" thickBot="1" x14ac:dyDescent="0.35">
      <c r="A23" s="1417" t="s">
        <v>474</v>
      </c>
      <c r="B23" s="876">
        <f ca="1">VLOOKUP("PRETRX11",INDIRECT(LU_SENS),2,FALSE)</f>
        <v>0.05</v>
      </c>
      <c r="C23" s="876"/>
      <c r="D23" s="737">
        <f ca="1">B23</f>
        <v>0.05</v>
      </c>
      <c r="E23" s="1419" t="s">
        <v>523</v>
      </c>
      <c r="F23" s="737">
        <f ca="1">VLOOKUP("FERMRX11",INDIRECT(LU_SENS),2,FALSE)</f>
        <v>0</v>
      </c>
      <c r="G23" s="1419" t="s">
        <v>2352</v>
      </c>
      <c r="H23" s="1436">
        <f ca="1">VLOOKUP("Work.a900.wka800",INDIRECT(LU_SENS),2,FALSE)</f>
        <v>1368.7529300000001</v>
      </c>
      <c r="I23" s="524"/>
      <c r="J23" s="438" t="s">
        <v>3420</v>
      </c>
      <c r="L23" s="25">
        <f ca="1">L18/VLOOKUP( "strm.A300.306a", INDIRECT(LU_SENS), 2, FALSE )</f>
        <v>0.11684832059220579</v>
      </c>
      <c r="P23" s="481"/>
      <c r="Q23" s="203" t="s">
        <v>776</v>
      </c>
      <c r="R23" s="205" t="s">
        <v>733</v>
      </c>
      <c r="S23" s="492">
        <f ca="1">IF(Q23&lt;&gt;"",VLOOKUP(Q23,INDIRECT(LU_SENS),2,FALSE),"")</f>
        <v>15240.6515</v>
      </c>
      <c r="T23" s="478"/>
      <c r="U23" s="206"/>
      <c r="V23" s="493">
        <f ca="1">V22-V21</f>
        <v>0</v>
      </c>
      <c r="W23" s="479"/>
      <c r="Y23" s="520"/>
      <c r="Z23"/>
      <c r="AA23"/>
      <c r="AB23"/>
      <c r="AC23"/>
      <c r="AE23" s="640"/>
      <c r="AG23" s="1109" t="s">
        <v>200</v>
      </c>
      <c r="AH23" s="1110">
        <f ca="1">SUM(AH15:AH22)</f>
        <v>-239.89185541655502</v>
      </c>
      <c r="AI23" s="1111">
        <f ca="1">SUM(AI15:AI22)</f>
        <v>0.78619876795593191</v>
      </c>
      <c r="AJ23" s="1112">
        <v>0.96599999999999997</v>
      </c>
    </row>
    <row r="24" spans="1:38" ht="13.5" customHeight="1" thickBot="1" x14ac:dyDescent="0.35">
      <c r="A24" s="1417" t="s">
        <v>475</v>
      </c>
      <c r="B24" s="876">
        <f ca="1">VLOOKUP("PRETRX12",INDIRECT(LU_SENS),2,FALSE)</f>
        <v>2.4E-2</v>
      </c>
      <c r="C24" s="876"/>
      <c r="D24" s="737">
        <f ca="1">B24-C39*B24</f>
        <v>2.4E-2</v>
      </c>
      <c r="E24" s="1419" t="s">
        <v>524</v>
      </c>
      <c r="F24" s="737">
        <f ca="1">VLOOKUP("FERMRX12",INDIRECT(LU_SENS),2,FALSE)</f>
        <v>0</v>
      </c>
      <c r="G24" s="1419" t="s">
        <v>2353</v>
      </c>
      <c r="H24" s="1436">
        <f ca="1">VLOOKUP("Work.a900.wka900",INDIRECT(LU_SENS),2,FALSE)</f>
        <v>3007.1149799999998</v>
      </c>
      <c r="I24" s="524"/>
      <c r="J24" s="438" t="s">
        <v>2573</v>
      </c>
      <c r="L24" s="25">
        <f ca="1">VLOOKUP( "cmix.glucose.A300.306a", INDIRECT(LU_SENS), 2, FALSE )/VLOOKUP( "strm.A300.306a", INDIRECT(LU_SENS), 2, FALSE )</f>
        <v>6.6982806289778776E-2</v>
      </c>
      <c r="P24" s="481"/>
      <c r="R24" s="206"/>
      <c r="S24" s="493">
        <f ca="1">S23-S22</f>
        <v>1208.5265999999992</v>
      </c>
      <c r="T24" s="479"/>
      <c r="U24" s="508" t="s">
        <v>740</v>
      </c>
      <c r="V24" s="500"/>
      <c r="W24" s="501"/>
      <c r="Y24" s="520"/>
      <c r="Z24"/>
      <c r="AA24"/>
      <c r="AB24"/>
      <c r="AC24"/>
      <c r="AE24" s="640"/>
      <c r="AG24" s="1113"/>
      <c r="AH24" s="1114"/>
      <c r="AI24" s="1115"/>
      <c r="AJ24" s="1143"/>
    </row>
    <row r="25" spans="1:38" ht="13.5" customHeight="1" x14ac:dyDescent="0.3">
      <c r="A25" s="1417" t="s">
        <v>476</v>
      </c>
      <c r="B25" s="876">
        <f ca="1">VLOOKUP("PRETRX13",INDIRECT(LU_SENS),2,FALSE)</f>
        <v>0.9</v>
      </c>
      <c r="C25" s="876"/>
      <c r="D25" s="737">
        <f ca="1">B25+C39*B24</f>
        <v>0.9</v>
      </c>
      <c r="E25" s="1419" t="s">
        <v>525</v>
      </c>
      <c r="F25" s="737">
        <f ca="1">VLOOKUP("FERMRX16",INDIRECT(LU_SENS),2,FALSE)</f>
        <v>0.85</v>
      </c>
      <c r="G25" s="1419" t="s">
        <v>2192</v>
      </c>
      <c r="H25" s="1436">
        <f ca="1">-VLOOKUP("work.a900.wknet",INDIRECT(LU_SENS),2,FALSE)</f>
        <v>12794.672399999999</v>
      </c>
      <c r="I25" s="524"/>
      <c r="J25" s="438" t="s">
        <v>3421</v>
      </c>
      <c r="L25" s="25">
        <f ca="1">VLOOKUP( "cmix.xylose.A300.306a", INDIRECT(LU_SENS), 2, FALSE )/VLOOKUP( "strm.A300.306a", INDIRECT(LU_SENS), 2, FALSE )</f>
        <v>3.7173601347207333E-2</v>
      </c>
      <c r="P25" s="481"/>
      <c r="R25" s="503" t="s">
        <v>742</v>
      </c>
      <c r="S25" s="491"/>
      <c r="T25" s="489"/>
      <c r="U25" s="205" t="s">
        <v>731</v>
      </c>
      <c r="V25" s="492">
        <f ca="1">IF(X25&lt;&gt;"",VLOOKUP(X25,INDIRECT(LU_SENS),2,FALSE),"")</f>
        <v>353960.56199999998</v>
      </c>
      <c r="W25" s="478"/>
      <c r="X25" s="203" t="s">
        <v>1121</v>
      </c>
      <c r="Y25" s="125"/>
      <c r="Z25"/>
      <c r="AA25"/>
      <c r="AB25"/>
      <c r="AC25"/>
      <c r="AE25" s="640"/>
    </row>
    <row r="26" spans="1:38" ht="13.5" customHeight="1" x14ac:dyDescent="0.3">
      <c r="A26" s="1417" t="s">
        <v>477</v>
      </c>
      <c r="B26" s="876">
        <f ca="1">VLOOKUP("PRETRX14",INDIRECT(LU_SENS),2,FALSE)</f>
        <v>0.05</v>
      </c>
      <c r="C26" s="876"/>
      <c r="D26" s="737">
        <f ca="1">B26</f>
        <v>0.05</v>
      </c>
      <c r="E26" s="1419" t="s">
        <v>498</v>
      </c>
      <c r="F26" s="737">
        <f ca="1">VLOOKUP("FERMRX17",INDIRECT(LU_SENS),2,FALSE)</f>
        <v>1.9E-2</v>
      </c>
      <c r="G26" s="1419" t="s">
        <v>2354</v>
      </c>
      <c r="H26" s="1436">
        <f ca="1">SUM(H16:H24)</f>
        <v>28344.525242099997</v>
      </c>
      <c r="I26" s="524"/>
      <c r="P26" s="481"/>
      <c r="Q26" s="203" t="s">
        <v>653</v>
      </c>
      <c r="R26" s="205" t="s">
        <v>730</v>
      </c>
      <c r="S26" s="492">
        <f ca="1">IF(Q26&lt;&gt;"",VLOOKUP(Q26,INDIRECT(LU_SENS),2,FALSE),"")</f>
        <v>6496.0316199999997</v>
      </c>
      <c r="T26" s="478"/>
      <c r="U26" s="205" t="s">
        <v>733</v>
      </c>
      <c r="V26" s="492">
        <f ca="1">IF(X26&lt;&gt;"",VLOOKUP(X26,INDIRECT(LU_SENS),2,FALSE),"")</f>
        <v>353960.56199999998</v>
      </c>
      <c r="W26" s="478"/>
      <c r="X26" s="203" t="s">
        <v>1132</v>
      </c>
      <c r="Y26" s="125"/>
      <c r="Z26"/>
      <c r="AA26"/>
      <c r="AB26"/>
      <c r="AC26"/>
      <c r="AE26" s="640"/>
    </row>
    <row r="27" spans="1:38" ht="13.5" customHeight="1" thickBot="1" x14ac:dyDescent="0.35">
      <c r="A27" s="1417" t="s">
        <v>478</v>
      </c>
      <c r="B27" s="876">
        <f ca="1">VLOOKUP("PRETRX15",INDIRECT(LU_SENS),2,FALSE)</f>
        <v>2.4E-2</v>
      </c>
      <c r="C27" s="876"/>
      <c r="D27" s="737">
        <f ca="1">B27-C38*B27</f>
        <v>2.4E-2</v>
      </c>
      <c r="E27" s="1419" t="s">
        <v>499</v>
      </c>
      <c r="F27" s="737">
        <f ca="1">VLOOKUP("FERMRX18",INDIRECT(LU_SENS),2,FALSE)</f>
        <v>3.0000000000000001E-3</v>
      </c>
      <c r="G27" s="1419" t="s">
        <v>2191</v>
      </c>
      <c r="H27" s="1437">
        <f ca="1">SUM(H16:H24)/-H15</f>
        <v>0.68899071677810253</v>
      </c>
      <c r="I27" s="524"/>
      <c r="J27" s="438" t="s">
        <v>3422</v>
      </c>
      <c r="P27" s="481"/>
      <c r="Q27" s="203" t="s">
        <v>3329</v>
      </c>
      <c r="R27" s="205" t="s">
        <v>732</v>
      </c>
      <c r="S27" s="492">
        <f ca="1">IF(Q27&lt;&gt;"",VLOOKUP(Q27,INDIRECT(LU_SENS),2,FALSE),"")</f>
        <v>20505.9679</v>
      </c>
      <c r="T27" s="478"/>
      <c r="U27" s="206"/>
      <c r="V27" s="493">
        <f ca="1">V26-V25</f>
        <v>0</v>
      </c>
      <c r="W27" s="479"/>
      <c r="Y27" s="203"/>
      <c r="Z27"/>
      <c r="AA27"/>
      <c r="AB27"/>
      <c r="AC27"/>
      <c r="AE27" s="640"/>
      <c r="AG27" s="1146" t="s">
        <v>2649</v>
      </c>
      <c r="AH27" s="1147"/>
      <c r="AI27" s="1147"/>
    </row>
    <row r="28" spans="1:38" ht="13.5" customHeight="1" x14ac:dyDescent="0.3">
      <c r="A28" s="1417" t="s">
        <v>479</v>
      </c>
      <c r="B28" s="876">
        <f ca="1">VLOOKUP("PRETRX16",INDIRECT(LU_SENS),2,FALSE)</f>
        <v>0.9</v>
      </c>
      <c r="C28" s="876"/>
      <c r="D28" s="737">
        <f ca="1">B28+B27*C38</f>
        <v>0.9</v>
      </c>
      <c r="E28" s="1419" t="s">
        <v>500</v>
      </c>
      <c r="F28" s="737">
        <f ca="1">VLOOKUP("FERMRX19",INDIRECT(LU_SENS),2,FALSE)</f>
        <v>4.5999999999999999E-2</v>
      </c>
      <c r="G28" s="1433" t="s">
        <v>185</v>
      </c>
      <c r="H28" s="1438"/>
      <c r="I28" s="524"/>
      <c r="J28" s="438" t="s">
        <v>3423</v>
      </c>
      <c r="L28" s="25">
        <f ca="1">VLOOKUP( "cmix.nh4acet.A300.306a", INDIRECT(LU_SENS), 2, FALSE )/VLOOKUP( "strm.A300.306a", INDIRECT(LU_SENS), 2, FALSE )*59/77</f>
        <v>3.2155302774642437E-3</v>
      </c>
      <c r="P28" s="481"/>
      <c r="Q28" s="203" t="s">
        <v>3330</v>
      </c>
      <c r="R28" s="205" t="s">
        <v>734</v>
      </c>
      <c r="S28" s="492">
        <f ca="1">IF(Q28&lt;&gt;"",VLOOKUP(Q28,INDIRECT(LU_SENS),2,FALSE),"")</f>
        <v>50697.019399999997</v>
      </c>
      <c r="T28" s="478"/>
      <c r="U28" s="508" t="s">
        <v>1092</v>
      </c>
      <c r="V28" s="500"/>
      <c r="W28" s="501"/>
      <c r="Y28" s="203"/>
      <c r="Z28"/>
      <c r="AA28"/>
      <c r="AB28"/>
      <c r="AC28"/>
      <c r="AE28" s="640"/>
      <c r="AG28" s="272" t="s">
        <v>1773</v>
      </c>
      <c r="AH28"/>
      <c r="AI28"/>
      <c r="AJ28" s="271"/>
      <c r="AK28" s="271"/>
      <c r="AL28" s="271"/>
    </row>
    <row r="29" spans="1:38" ht="13.5" customHeight="1" thickBot="1" x14ac:dyDescent="0.35">
      <c r="A29" s="1417" t="s">
        <v>480</v>
      </c>
      <c r="B29" s="876">
        <f ca="1">VLOOKUP("PRETRX17",INDIRECT(LU_SENS),2,FALSE)</f>
        <v>0.05</v>
      </c>
      <c r="C29" s="876"/>
      <c r="D29" s="737">
        <f t="shared" ref="D29:D35" ca="1" si="6">B29</f>
        <v>0.05</v>
      </c>
      <c r="E29" s="1419" t="s">
        <v>501</v>
      </c>
      <c r="F29" s="737">
        <f ca="1">VLOOKUP("FERMRX20",INDIRECT(LU_SENS),2,FALSE)</f>
        <v>8.9999999999999993E-3</v>
      </c>
      <c r="G29" s="524" t="s">
        <v>2608</v>
      </c>
      <c r="H29" s="1436">
        <f ca="1">(VLOOKUP("cmix.nh4acet.a300.f300fd",INDIRECT(LU_SENS),2,FALSE)*14/77+VLOOKUP("cmix.nh4so4.a300.f300fd",INDIRECT(LU_SENS),2,FALSE)*14/132+VLOOKUP("cmix.dap.a300.f300fd",INDIRECT(LU_SENS),2,FALSE)*2*14/132)/(VLOOKUP("smix.a300.f300fd",INDIRECT(LU_SENS),2,FALSE)/VLOOKUP("den.a300.f300fd",INDIRECT(LU_SENS),2,FALSE))*1000000</f>
        <v>1589.9393138240891</v>
      </c>
      <c r="I29" s="524"/>
      <c r="J29" s="438" t="s">
        <v>3424</v>
      </c>
      <c r="L29" s="25">
        <f ca="1">(VLOOKUP( "cmix.HMF.A300.306a", INDIRECT(LU_SENS), 2, FALSE )+VLOOKUP( "cmix.furfural.A300.306a", INDIRECT(LU_SENS), 2, FALSE ))/VLOOKUP( "strm.A300.306a", INDIRECT(LU_SENS), 2, FALSE )</f>
        <v>1.585680198347657E-3</v>
      </c>
      <c r="P29" s="481"/>
      <c r="R29" s="206"/>
      <c r="S29" s="493">
        <f ca="1">S28-S27-S26</f>
        <v>23695.01988</v>
      </c>
      <c r="T29" s="479"/>
      <c r="U29" s="205" t="s">
        <v>731</v>
      </c>
      <c r="V29" s="492">
        <f ca="1">IF(X29&lt;&gt;"",VLOOKUP(X29,INDIRECT(LU_SENS),2,FALSE),"")</f>
        <v>353960.56199999998</v>
      </c>
      <c r="W29" s="478"/>
      <c r="X29" s="203" t="s">
        <v>1132</v>
      </c>
      <c r="Y29" s="125"/>
      <c r="Z29" s="125"/>
      <c r="AA29" s="125"/>
      <c r="AE29" s="640"/>
      <c r="AG29" s="287"/>
      <c r="AH29" s="280" t="s">
        <v>1774</v>
      </c>
      <c r="AI29" s="284" t="s">
        <v>1775</v>
      </c>
      <c r="AJ29" s="271"/>
      <c r="AL29" s="271"/>
    </row>
    <row r="30" spans="1:38" ht="13.5" customHeight="1" x14ac:dyDescent="0.3">
      <c r="A30" s="1417" t="s">
        <v>481</v>
      </c>
      <c r="B30" s="876">
        <f ca="1">VLOOKUP("PRETRX18",INDIRECT(LU_SENS),2,FALSE)</f>
        <v>0</v>
      </c>
      <c r="C30" s="876"/>
      <c r="D30" s="737">
        <f t="shared" ca="1" si="6"/>
        <v>0</v>
      </c>
      <c r="E30" s="1419" t="s">
        <v>502</v>
      </c>
      <c r="F30" s="737">
        <f ca="1">VLOOKUP("FERMRX21",INDIRECT(LU_SENS),2,FALSE)</f>
        <v>0</v>
      </c>
      <c r="G30" s="524" t="s">
        <v>2609</v>
      </c>
      <c r="H30" s="1436">
        <f ca="1">(VLOOKUP("cmix.nh4acet.a300.315",INDIRECT(LU_SENS),2,FALSE)*14/77+VLOOKUP("cmix.nh4so4.a300.315",INDIRECT(LU_SENS),2,FALSE)*14/132+VLOOKUP("cmix.dap.a300.315",INDIRECT(LU_SENS),2,FALSE)*2*14/132)/(VLOOKUP("smix.a300.315",INDIRECT(LU_SENS),2,FALSE)/VLOOKUP("den.a300.315",INDIRECT(LU_SENS),2,FALSE))*1000000</f>
        <v>1563.8451118174958</v>
      </c>
      <c r="I30" s="524"/>
      <c r="P30" s="481"/>
      <c r="R30" s="503" t="s">
        <v>738</v>
      </c>
      <c r="S30" s="506"/>
      <c r="T30" s="507"/>
      <c r="U30" s="203" t="s">
        <v>733</v>
      </c>
      <c r="V30" s="492">
        <f ca="1">IF(X30&lt;&gt;"",VLOOKUP(X30,INDIRECT(LU_SENS),2,FALSE),"")</f>
        <v>351329.39399999997</v>
      </c>
      <c r="W30" s="478"/>
      <c r="X30" s="203" t="s">
        <v>1133</v>
      </c>
      <c r="Y30" s="125"/>
      <c r="Z30" s="203" t="s">
        <v>3388</v>
      </c>
      <c r="AA30" s="203"/>
      <c r="AE30" s="640"/>
      <c r="AG30" s="1150" t="s">
        <v>1776</v>
      </c>
      <c r="AH30" s="1151"/>
      <c r="AI30" s="1151"/>
      <c r="AJ30" s="271"/>
      <c r="AL30" s="271"/>
    </row>
    <row r="31" spans="1:38" ht="13.5" customHeight="1" thickBot="1" x14ac:dyDescent="0.35">
      <c r="A31" s="1417" t="s">
        <v>482</v>
      </c>
      <c r="B31" s="876">
        <f ca="1">VLOOKUP("PRETRX19",INDIRECT(LU_SENS),2,FALSE)</f>
        <v>0</v>
      </c>
      <c r="C31" s="876"/>
      <c r="D31" s="737">
        <f t="shared" ca="1" si="6"/>
        <v>0</v>
      </c>
      <c r="E31" s="1419" t="s">
        <v>503</v>
      </c>
      <c r="F31" s="737">
        <f ca="1">VLOOKUP("FERMRX22",INDIRECT(LU_SENS),2,FALSE)</f>
        <v>0</v>
      </c>
      <c r="G31" s="524" t="s">
        <v>2626</v>
      </c>
      <c r="H31" s="1436">
        <f ca="1">(VLOOKUP("ccis.protein.a300.315",INDIRECT(LU_SENS),2,FALSE)*0.29*14/22.84)/(VLOOKUP("smix.a300.315",INDIRECT(LU_SENS),2,FALSE)/VLOOKUP("den.a300.315",INDIRECT(LU_SENS),2,FALSE))*1000000</f>
        <v>1266.3792610620067</v>
      </c>
      <c r="I31" s="524"/>
      <c r="P31" s="481"/>
      <c r="Q31" s="203" t="s">
        <v>3056</v>
      </c>
      <c r="R31" s="205" t="s">
        <v>731</v>
      </c>
      <c r="S31" s="492">
        <f ca="1">IF(Q31&lt;&gt;"",VLOOKUP(Q31,INDIRECT(LU_SENS),2,FALSE),"")</f>
        <v>35132.939400000003</v>
      </c>
      <c r="T31" s="478"/>
      <c r="U31" s="1451"/>
      <c r="V31" s="493">
        <f ca="1">V30-V29</f>
        <v>-2631.1680000000051</v>
      </c>
      <c r="W31" s="479"/>
      <c r="Y31" s="203"/>
      <c r="Z31" s="203"/>
      <c r="AA31" s="203"/>
      <c r="AE31" s="640"/>
      <c r="AG31" s="283" t="s">
        <v>1761</v>
      </c>
      <c r="AH31" s="281">
        <f ca="1">'Energy Bal'!F10</f>
        <v>3117.0850799366808</v>
      </c>
      <c r="AI31" s="285">
        <f ca="1">AH31/$AH$34</f>
        <v>0.96620550366032421</v>
      </c>
      <c r="AJ31" s="271"/>
      <c r="AL31" s="271"/>
    </row>
    <row r="32" spans="1:38" ht="13.5" customHeight="1" x14ac:dyDescent="0.3">
      <c r="A32" s="1417" t="s">
        <v>483</v>
      </c>
      <c r="B32" s="876">
        <f ca="1">VLOOKUP("PRETRX20",INDIRECT(LU_SENS),2,FALSE)</f>
        <v>1</v>
      </c>
      <c r="C32" s="876"/>
      <c r="D32" s="737">
        <f t="shared" ca="1" si="6"/>
        <v>1</v>
      </c>
      <c r="E32" s="1419" t="s">
        <v>526</v>
      </c>
      <c r="F32" s="737">
        <f ca="1">VLOOKUP("FERMRX26",INDIRECT(LU_SENS),2,FALSE)</f>
        <v>0.85</v>
      </c>
      <c r="G32" s="524" t="s">
        <v>2627</v>
      </c>
      <c r="H32" s="1436">
        <f ca="1">(VLOOKUP("ccis.enzyme.a300.315",INDIRECT(LU_SENS),2,FALSE)*0.24*14/24+VLOOKUP("ccis.denz.a300.315",INDIRECT(LU_SENS),2,FALSE)*0.24*14/24)/(VLOOKUP("smix.a300.315",INDIRECT(LU_SENS),2,FALSE)/VLOOKUP("den.a300.315",INDIRECT(LU_SENS),2,FALSE))*1000000</f>
        <v>201.39529603563366</v>
      </c>
      <c r="I32" s="524"/>
      <c r="P32" s="481"/>
      <c r="Q32" s="203" t="s">
        <v>3160</v>
      </c>
      <c r="R32" s="1453" t="s">
        <v>731</v>
      </c>
      <c r="S32" s="492">
        <f ca="1">IF(Q32&lt;&gt;"",VLOOKUP(Q32,INDIRECT(LU_SENS),2,FALSE),"")</f>
        <v>105.799122</v>
      </c>
      <c r="T32" s="1435"/>
      <c r="U32" s="1452" t="s">
        <v>3054</v>
      </c>
      <c r="V32" s="500"/>
      <c r="W32" s="501"/>
      <c r="Y32" s="203"/>
      <c r="Z32" s="125"/>
      <c r="AA32" s="125"/>
      <c r="AE32" s="640"/>
      <c r="AG32" s="283" t="s">
        <v>1074</v>
      </c>
      <c r="AH32" s="281">
        <f ca="1">'Energy Bal'!AE10</f>
        <v>80.528303244226436</v>
      </c>
      <c r="AI32" s="285">
        <f ca="1">AH32/$AH$34</f>
        <v>2.4961426396670462E-2</v>
      </c>
      <c r="AJ32" s="271"/>
      <c r="AL32" s="271"/>
    </row>
    <row r="33" spans="1:38" ht="13.5" customHeight="1" x14ac:dyDescent="0.3">
      <c r="A33" s="1417" t="s">
        <v>484</v>
      </c>
      <c r="B33" s="876">
        <f ca="1">VLOOKUP("PRETRX21",INDIRECT(LU_SENS),2,FALSE)</f>
        <v>1</v>
      </c>
      <c r="C33" s="876"/>
      <c r="D33" s="737">
        <f t="shared" ca="1" si="6"/>
        <v>1</v>
      </c>
      <c r="E33" s="1419" t="s">
        <v>504</v>
      </c>
      <c r="F33" s="737">
        <f ca="1">VLOOKUP("FERMRX27",INDIRECT(LU_SENS),2,FALSE)</f>
        <v>1.9E-2</v>
      </c>
      <c r="G33" s="524" t="s">
        <v>2620</v>
      </c>
      <c r="H33" s="1436">
        <f ca="1">(VLOOKUP("cmix.nh4acet.a600.612",INDIRECT(LU_SENS),2,FALSE)*14/77+VLOOKUP("cmix.nh4so4.a600.612",INDIRECT(LU_SENS),2,FALSE)*14/132+VLOOKUP("cmix.dap.a600.612",INDIRECT(LU_SENS),2,FALSE)*2*14/132)/(VLOOKUP("smix.a600.612",INDIRECT(LU_SENS),2,FALSE)/VLOOKUP("den.a600.612",INDIRECT(LU_SENS),2,FALSE))*1000000</f>
        <v>668.4456665616367</v>
      </c>
      <c r="I33" s="524"/>
      <c r="P33" s="481"/>
      <c r="Q33" s="203" t="s">
        <v>1134</v>
      </c>
      <c r="R33" s="205" t="s">
        <v>733</v>
      </c>
      <c r="S33" s="492">
        <f ca="1">IF(Q33&lt;&gt;"",VLOOKUP(Q33,INDIRECT(LU_SENS),2,FALSE),"")</f>
        <v>35270.597300000001</v>
      </c>
      <c r="T33" s="478"/>
      <c r="U33" s="203" t="s">
        <v>1756</v>
      </c>
      <c r="V33" s="492">
        <f ca="1">IF(X33&lt;&gt;"",VLOOKUP(X33,INDIRECT(LU_SENS),2,FALSE),"")</f>
        <v>16453.773399999998</v>
      </c>
      <c r="W33" s="478"/>
      <c r="X33" s="203" t="s">
        <v>3150</v>
      </c>
      <c r="Y33" s="125"/>
      <c r="Z33" s="125"/>
      <c r="AA33" s="125"/>
      <c r="AE33" s="640"/>
      <c r="AG33" s="283" t="s">
        <v>1763</v>
      </c>
      <c r="AH33" s="281">
        <f ca="1">'Energy Bal'!GR3+'Energy Bal'!GR21</f>
        <v>28.496453834171632</v>
      </c>
      <c r="AI33" s="285">
        <f ca="1">AH33/$AH$34</f>
        <v>8.833069943005303E-3</v>
      </c>
      <c r="AL33" s="271"/>
    </row>
    <row r="34" spans="1:38" ht="13.5" customHeight="1" thickBot="1" x14ac:dyDescent="0.35">
      <c r="A34" s="1417" t="s">
        <v>485</v>
      </c>
      <c r="B34" s="876">
        <f ca="1">VLOOKUP("PRETRX22",INDIRECT(LU_SENS),2,FALSE)</f>
        <v>1</v>
      </c>
      <c r="C34" s="876"/>
      <c r="D34" s="737">
        <f t="shared" ca="1" si="6"/>
        <v>1</v>
      </c>
      <c r="E34" s="1419" t="s">
        <v>505</v>
      </c>
      <c r="F34" s="737">
        <f ca="1">VLOOKUP("FERMRX28",INDIRECT(LU_SENS),2,FALSE)</f>
        <v>3.0000000000000001E-3</v>
      </c>
      <c r="G34" s="524" t="s">
        <v>2626</v>
      </c>
      <c r="H34" s="1436">
        <f ca="1">(VLOOKUP("CCIS.protein.a600.612",INDIRECT(LU_SENS),2,FALSE)*0.29*14/22.84)/(VLOOKUP("smix.a600.612",INDIRECT(LU_SENS),2,FALSE)/VLOOKUP("den.a600.612",INDIRECT(LU_SENS),2,FALSE))*1000000</f>
        <v>271.41533913490633</v>
      </c>
      <c r="I34" s="524"/>
      <c r="P34" s="481"/>
      <c r="R34" s="206"/>
      <c r="S34" s="493">
        <f ca="1">S33-S31-S32</f>
        <v>31.858777999998338</v>
      </c>
      <c r="T34" s="479"/>
      <c r="U34" s="203" t="s">
        <v>1755</v>
      </c>
      <c r="V34" s="492">
        <f ca="1">IF(X34&lt;&gt;"",VLOOKUP(X34,INDIRECT(LU_SENS),2,FALSE),"")</f>
        <v>154408.12400000001</v>
      </c>
      <c r="W34" s="478"/>
      <c r="X34" s="203" t="s">
        <v>3149</v>
      </c>
      <c r="Y34" s="125"/>
      <c r="Z34" s="203"/>
      <c r="AA34" s="203"/>
      <c r="AE34" s="640"/>
      <c r="AG34" s="283" t="s">
        <v>200</v>
      </c>
      <c r="AH34" s="281">
        <f ca="1">SUM(AH31:AH33)</f>
        <v>3226.1098370150789</v>
      </c>
      <c r="AI34" s="285">
        <f ca="1">AH34/$AH$34</f>
        <v>1</v>
      </c>
      <c r="AJ34" s="271"/>
      <c r="AL34" s="271"/>
    </row>
    <row r="35" spans="1:38" ht="13.5" customHeight="1" thickBot="1" x14ac:dyDescent="0.35">
      <c r="A35" s="1417" t="s">
        <v>486</v>
      </c>
      <c r="B35" s="876">
        <f ca="1">VLOOKUP("PRETRX23",INDIRECT(LU_SENS),2,FALSE)</f>
        <v>0.05</v>
      </c>
      <c r="C35" s="876"/>
      <c r="D35" s="737">
        <f t="shared" ca="1" si="6"/>
        <v>0.05</v>
      </c>
      <c r="E35" s="1419" t="s">
        <v>506</v>
      </c>
      <c r="F35" s="737">
        <f ca="1">VLOOKUP("FERMRX29",INDIRECT(LU_SENS),2,FALSE)</f>
        <v>1.4999999999999999E-2</v>
      </c>
      <c r="G35" s="524" t="s">
        <v>2627</v>
      </c>
      <c r="H35" s="1436">
        <f ca="1">(VLOOKUP("ccis.enzyme.a600.612",INDIRECT(LU_SENS),2,FALSE)*0.24*14/24+VLOOKUP("ccis.denz.a600.612",INDIRECT(LU_SENS),2,FALSE)*0.24*14/24)/(VLOOKUP("smix.a600.612",INDIRECT(LU_SENS),2,FALSE)/VLOOKUP("den.a600.612",INDIRECT(LU_SENS),2,FALSE))*1000000</f>
        <v>43.163824807696038</v>
      </c>
      <c r="I35" s="524"/>
      <c r="P35" s="481"/>
      <c r="R35" s="503" t="s">
        <v>739</v>
      </c>
      <c r="S35" s="506"/>
      <c r="T35" s="507"/>
      <c r="U35" s="1451"/>
      <c r="V35" s="493">
        <f ca="1">V34-V33</f>
        <v>137954.35060000001</v>
      </c>
      <c r="W35" s="479"/>
      <c r="Y35" s="203"/>
      <c r="Z35" s="203"/>
      <c r="AA35" s="203"/>
      <c r="AE35" s="640"/>
      <c r="AG35" s="1150" t="s">
        <v>1777</v>
      </c>
      <c r="AH35" s="1151"/>
      <c r="AI35" s="1151"/>
      <c r="AJ35" s="271"/>
      <c r="AL35" s="271"/>
    </row>
    <row r="36" spans="1:38" ht="13.5" customHeight="1" x14ac:dyDescent="0.3">
      <c r="A36" s="1417" t="s">
        <v>1082</v>
      </c>
      <c r="B36" s="876"/>
      <c r="C36" s="876">
        <f ca="1">VLOOKUP("OLIG04",INDIRECT(LU_SENS),2,FALSE)</f>
        <v>0</v>
      </c>
      <c r="D36" s="737"/>
      <c r="E36" s="1419" t="s">
        <v>507</v>
      </c>
      <c r="F36" s="737">
        <f ca="1">VLOOKUP("FERMRX30",INDIRECT(LU_SENS),2,FALSE)</f>
        <v>0</v>
      </c>
      <c r="G36" s="1419" t="s">
        <v>2968</v>
      </c>
      <c r="H36" s="1436">
        <f ca="1">VLOOKUP("STRM.a600.601",INDIRECT(LU_SENS),2,FALSE)/VLOOKUP("den.a600.601",INDIRECT(LU_SENS),2,FALSE)</f>
        <v>416583.77721824363</v>
      </c>
      <c r="I36" s="524"/>
      <c r="P36" s="481"/>
      <c r="Q36" s="203" t="s">
        <v>1123</v>
      </c>
      <c r="R36" s="205" t="s">
        <v>731</v>
      </c>
      <c r="S36" s="492">
        <f ca="1">IF(Q36&lt;&gt;"",VLOOKUP(Q36,INDIRECT(LU_SENS),2,FALSE),"")</f>
        <v>351905.26199999999</v>
      </c>
      <c r="T36" s="478"/>
      <c r="U36" s="1454" t="s">
        <v>2114</v>
      </c>
      <c r="V36" s="1455">
        <f ca="1">IF(X36&lt;&gt;"",VLOOKUP(X36,INDIRECT(LU_SENS),2,FALSE),"")</f>
        <v>736.75367300000005</v>
      </c>
      <c r="W36" s="1456">
        <f ca="1">V36/3.7894*OPEX!$B$7/Summary!$D$12/1000000</f>
        <v>2.6793611722044381E-2</v>
      </c>
      <c r="X36" s="203" t="s">
        <v>777</v>
      </c>
      <c r="Y36" s="203"/>
      <c r="AB36" s="125"/>
      <c r="AE36" s="640"/>
      <c r="AG36" s="283" t="s">
        <v>1766</v>
      </c>
      <c r="AH36" s="281">
        <f ca="1">'Energy Bal'!GM10</f>
        <v>1669.9556033596448</v>
      </c>
      <c r="AI36" s="285">
        <f ca="1">AH36/$AH$34</f>
        <v>0.5176375535015113</v>
      </c>
      <c r="AJ36" s="271"/>
      <c r="AL36" s="271"/>
    </row>
    <row r="37" spans="1:38" ht="13.5" customHeight="1" thickBot="1" x14ac:dyDescent="0.35">
      <c r="A37" s="1417" t="s">
        <v>1083</v>
      </c>
      <c r="B37" s="876"/>
      <c r="C37" s="876">
        <f ca="1">VLOOKUP("OLIG03",INDIRECT(LU_SENS),2,FALSE)</f>
        <v>0</v>
      </c>
      <c r="D37" s="737"/>
      <c r="E37" s="1419" t="s">
        <v>508</v>
      </c>
      <c r="F37" s="737">
        <f ca="1">VLOOKUP("FERMRX31",INDIRECT(LU_SENS),2,FALSE)</f>
        <v>0</v>
      </c>
      <c r="G37" s="1419" t="s">
        <v>2137</v>
      </c>
      <c r="H37" s="1436">
        <f ca="1">H36/3.7854/60</f>
        <v>1834.1688998883587</v>
      </c>
      <c r="I37" s="524"/>
      <c r="P37" s="481"/>
      <c r="Q37" s="203" t="s">
        <v>1131</v>
      </c>
      <c r="R37" s="205" t="s">
        <v>733</v>
      </c>
      <c r="S37" s="492">
        <f ca="1">IF(Q37&lt;&gt;"",VLOOKUP(Q37,INDIRECT(LU_SENS),2,FALSE),"")</f>
        <v>351994.52600000001</v>
      </c>
      <c r="T37" s="478"/>
      <c r="U37" s="206" t="s">
        <v>2115</v>
      </c>
      <c r="V37" s="1457">
        <f ca="1">IF(X37&lt;&gt;"",VLOOKUP(X37,INDIRECT(LU_SENS),2,FALSE),"")</f>
        <v>36.7916113</v>
      </c>
      <c r="W37" s="1458">
        <f ca="1">V37/3.7894*OPEX!$B$7/Summary!$D$12/1000000</f>
        <v>1.3380050672656509E-3</v>
      </c>
      <c r="X37" s="203" t="s">
        <v>710</v>
      </c>
      <c r="Z37" s="125"/>
      <c r="AA37" s="125"/>
      <c r="AB37" s="125"/>
      <c r="AE37" s="640"/>
      <c r="AG37" s="283" t="s">
        <v>1768</v>
      </c>
      <c r="AH37" s="281">
        <f ca="1">'Energy Bal'!GF10</f>
        <v>941.47684953181488</v>
      </c>
      <c r="AI37" s="285">
        <f t="shared" ref="AI37:AI43" ca="1" si="7">AH37/$AH$34</f>
        <v>0.29183037686122476</v>
      </c>
      <c r="AJ37" s="271"/>
      <c r="AL37" s="271"/>
    </row>
    <row r="38" spans="1:38" ht="13.5" customHeight="1" thickBot="1" x14ac:dyDescent="0.35">
      <c r="A38" s="1417" t="s">
        <v>1084</v>
      </c>
      <c r="B38" s="876"/>
      <c r="C38" s="876">
        <f ca="1">VLOOKUP("OLIG01",INDIRECT(LU_SENS),2,FALSE)</f>
        <v>0</v>
      </c>
      <c r="D38" s="737"/>
      <c r="E38" s="1419" t="s">
        <v>528</v>
      </c>
      <c r="F38" s="737">
        <f ca="1">VLOOKUP("FERMRX35",INDIRECT(LU_SENS),2,FALSE)</f>
        <v>0</v>
      </c>
      <c r="G38" s="1419" t="s">
        <v>2165</v>
      </c>
      <c r="H38" s="1439">
        <f ca="1">H37*60*24/1000000</f>
        <v>2.6412032158392367</v>
      </c>
      <c r="I38" s="524"/>
      <c r="P38" s="481"/>
      <c r="R38" s="206"/>
      <c r="S38" s="493">
        <f ca="1">S37-S36</f>
        <v>89.26400000002468</v>
      </c>
      <c r="T38" s="479"/>
      <c r="U38" s="518"/>
      <c r="V38" s="518"/>
      <c r="W38" s="518"/>
      <c r="Y38" s="125"/>
      <c r="Z38" s="125"/>
      <c r="AA38" s="125"/>
      <c r="AB38" s="125"/>
      <c r="AE38" s="640"/>
      <c r="AG38" s="283" t="s">
        <v>1778</v>
      </c>
      <c r="AH38" s="281">
        <f ca="1">'Energy Bal'!GG10</f>
        <v>470.52020176416164</v>
      </c>
      <c r="AI38" s="285">
        <f t="shared" ca="1" si="7"/>
        <v>0.14584754566183805</v>
      </c>
      <c r="AJ38" s="271"/>
      <c r="AL38" s="271"/>
    </row>
    <row r="39" spans="1:38" ht="13.5" customHeight="1" x14ac:dyDescent="0.3">
      <c r="A39" s="1417" t="s">
        <v>1085</v>
      </c>
      <c r="B39" s="876"/>
      <c r="C39" s="876">
        <f ca="1">VLOOKUP("OLIG02",INDIRECT(LU_SENS),2,FALSE)</f>
        <v>0</v>
      </c>
      <c r="D39" s="737"/>
      <c r="E39" s="1419" t="s">
        <v>509</v>
      </c>
      <c r="F39" s="737">
        <f ca="1">VLOOKUP("FERMRX36",INDIRECT(LU_SENS),2,FALSE)</f>
        <v>0</v>
      </c>
      <c r="G39" s="1419" t="s">
        <v>2136</v>
      </c>
      <c r="H39" s="1436">
        <f ca="1">VLOOKUP("CODTO1",INDIRECT(LU_SENS),2,FALSE)</f>
        <v>26542.285199999998</v>
      </c>
      <c r="I39" s="524"/>
      <c r="P39" s="481"/>
      <c r="R39" s="503" t="s">
        <v>741</v>
      </c>
      <c r="S39" s="506"/>
      <c r="T39" s="507"/>
      <c r="U39" s="524"/>
      <c r="V39" s="524"/>
      <c r="W39" s="524"/>
      <c r="Y39" s="125"/>
      <c r="Z39" s="125"/>
      <c r="AA39" s="125"/>
      <c r="AB39" s="125"/>
      <c r="AE39" s="640"/>
      <c r="AG39" s="283" t="s">
        <v>1779</v>
      </c>
      <c r="AH39" s="281">
        <f ca="1">'Energy Bal'!GL10</f>
        <v>10.200661781605294</v>
      </c>
      <c r="AI39" s="285">
        <f t="shared" ca="1" si="7"/>
        <v>3.1619077765322893E-3</v>
      </c>
      <c r="AJ39" s="271"/>
      <c r="AL39" s="271"/>
    </row>
    <row r="40" spans="1:38" ht="13.5" customHeight="1" x14ac:dyDescent="0.3">
      <c r="A40" s="1421" t="s">
        <v>2207</v>
      </c>
      <c r="B40" s="1422"/>
      <c r="C40" s="1422"/>
      <c r="D40" s="727"/>
      <c r="E40" s="1419" t="s">
        <v>510</v>
      </c>
      <c r="F40" s="737">
        <f ca="1">VLOOKUP("FERMRX37",INDIRECT(LU_SENS),2,FALSE)</f>
        <v>0</v>
      </c>
      <c r="G40" s="1419" t="s">
        <v>2139</v>
      </c>
      <c r="H40" s="1439">
        <f ca="1">H39*1000/H36</f>
        <v>63.714159435677665</v>
      </c>
      <c r="I40" s="524"/>
      <c r="P40" s="481"/>
      <c r="Q40" s="203" t="s">
        <v>3047</v>
      </c>
      <c r="R40" s="205" t="s">
        <v>731</v>
      </c>
      <c r="S40" s="492">
        <f ca="1">IF(Q40&lt;&gt;"",VLOOKUP(Q40,INDIRECT(LU_SENS),2,FALSE),"")</f>
        <v>384188.478</v>
      </c>
      <c r="T40" s="478"/>
      <c r="U40" s="524"/>
      <c r="V40" s="524"/>
      <c r="W40" s="524"/>
      <c r="Y40" s="125"/>
      <c r="Z40" s="125"/>
      <c r="AA40" s="125"/>
      <c r="AB40" s="125"/>
      <c r="AE40" s="640"/>
      <c r="AG40" s="283" t="s">
        <v>3109</v>
      </c>
      <c r="AH40" s="281">
        <f ca="1">'Energy Bal'!GU21</f>
        <v>3.857385550859084</v>
      </c>
      <c r="AI40" s="285">
        <f t="shared" ca="1" si="7"/>
        <v>1.1956770679661935E-3</v>
      </c>
      <c r="AJ40" s="271"/>
      <c r="AL40" s="271"/>
    </row>
    <row r="41" spans="1:38" ht="13.5" customHeight="1" x14ac:dyDescent="0.3">
      <c r="A41" s="1417" t="s">
        <v>488</v>
      </c>
      <c r="B41" s="524"/>
      <c r="C41" s="1125"/>
      <c r="D41" s="735">
        <f ca="1">1000*VLOOKUP("CCIS.enzyme.422",INDIRECT(LU_SENS),2,FALSE) / VLOOKUP("CCIS.CELLULOS.A300.301",INDIRECT(LU_SENS),2,FALSE)</f>
        <v>19.924855446216078</v>
      </c>
      <c r="E41" s="1419" t="s">
        <v>511</v>
      </c>
      <c r="F41" s="737">
        <f ca="1">VLOOKUP("FERMRX38",INDIRECT(LU_SENS),2,FALSE)</f>
        <v>0</v>
      </c>
      <c r="G41" s="1419"/>
      <c r="H41" s="1440"/>
      <c r="I41" s="524"/>
      <c r="P41" s="481"/>
      <c r="Q41" s="203" t="s">
        <v>3048</v>
      </c>
      <c r="R41" s="205" t="s">
        <v>733</v>
      </c>
      <c r="S41" s="492">
        <f ca="1">IF(Q41&lt;&gt;"",VLOOKUP(Q41,INDIRECT(LU_SENS),2,FALSE),"")</f>
        <v>383372.31099999999</v>
      </c>
      <c r="T41" s="478"/>
      <c r="U41" s="518"/>
      <c r="V41" s="490"/>
      <c r="W41" s="490"/>
      <c r="Y41" s="125"/>
      <c r="Z41" s="125"/>
      <c r="AA41" s="125"/>
      <c r="AB41" s="125"/>
      <c r="AE41" s="640"/>
      <c r="AG41" s="283" t="s">
        <v>1780</v>
      </c>
      <c r="AH41" s="281">
        <f ca="1">'Energy Bal'!GJ10</f>
        <v>87.834635902677078</v>
      </c>
      <c r="AI41" s="285">
        <f t="shared" ca="1" si="7"/>
        <v>2.7226176522230583E-2</v>
      </c>
      <c r="AJ41" s="271"/>
      <c r="AL41" s="271"/>
    </row>
    <row r="42" spans="1:38" ht="13.5" customHeight="1" thickBot="1" x14ac:dyDescent="0.35">
      <c r="A42" s="1417" t="s">
        <v>462</v>
      </c>
      <c r="B42" s="524"/>
      <c r="C42" s="876"/>
      <c r="D42" s="737">
        <f ca="1">(VLOOKUP("SOL310FD",INDIRECT(LU_SENS),2,FALSE)+VLOOKUP("SCIS.A300.T310FD",INDIRECT(LU_SENS),2,FALSE))/(VLOOKUP("STRM.A300.T310FD",INDIRECT(LU_SENS),2,FALSE))</f>
        <v>0.19976802499177201</v>
      </c>
      <c r="E42" s="1419" t="s">
        <v>512</v>
      </c>
      <c r="F42" s="737">
        <f ca="1">VLOOKUP("FERMRX39",INDIRECT(LU_SENS),2,FALSE)</f>
        <v>0</v>
      </c>
      <c r="G42" s="1419" t="s">
        <v>3326</v>
      </c>
      <c r="H42" s="1441">
        <f ca="1">VLOOKUP("cmix.ch4.a600.615",INDIRECT(LU_SENS),2,FALSE)/16/(VLOOKUP("cmix.ch4.a600.615",INDIRECT(LU_SENS),2,FALSE)/16+VLOOKUP("cmix.co2.a600.615",INDIRECT(LU_SENS),2,FALSE)/44)</f>
        <v>0.50896054154179227</v>
      </c>
      <c r="I42" s="524"/>
      <c r="P42" s="481"/>
      <c r="R42" s="206"/>
      <c r="S42" s="493">
        <f ca="1">S41-S40</f>
        <v>-816.16700000001583</v>
      </c>
      <c r="T42" s="479"/>
      <c r="U42" s="524"/>
      <c r="V42" s="524"/>
      <c r="W42" s="524"/>
      <c r="Y42" s="125"/>
      <c r="Z42" s="125"/>
      <c r="AA42" s="125"/>
      <c r="AB42" s="125"/>
      <c r="AE42" s="640"/>
      <c r="AG42" s="283" t="s">
        <v>3108</v>
      </c>
      <c r="AH42" s="281">
        <f ca="1">'Energy Bal'!GD10+'Energy Bal'!GE10</f>
        <v>54.130638533045115</v>
      </c>
      <c r="AI42" s="285">
        <f t="shared" ca="1" si="7"/>
        <v>1.6778919896642101E-2</v>
      </c>
      <c r="AJ42" s="271"/>
      <c r="AL42" s="271"/>
    </row>
    <row r="43" spans="1:38" ht="13.5" customHeight="1" x14ac:dyDescent="0.3">
      <c r="A43" s="1417" t="s">
        <v>495</v>
      </c>
      <c r="B43" s="524"/>
      <c r="C43" s="876"/>
      <c r="D43" s="737">
        <f ca="1">( VLOOKUP( "SCIS.A300.T310FD", INDIRECT(LU_SENS), 2, FALSE )) / ( VLOOKUP( "STRM.A300.T310FD", INDIRECT(LU_SENS), 2, FALSE ) )</f>
        <v>0.10608331532860622</v>
      </c>
      <c r="E43" s="1419" t="s">
        <v>513</v>
      </c>
      <c r="F43" s="737">
        <f ca="1">VLOOKUP("FERMRX40",INDIRECT(LU_SENS),2,FALSE)</f>
        <v>0</v>
      </c>
      <c r="G43" s="1442" t="s">
        <v>1289</v>
      </c>
      <c r="H43" s="1441">
        <f ca="1">VLOOKUP("cmix.co2.a600.615",INDIRECT(LU_SENS),2,FALSE)/44/(VLOOKUP("cmix.ch4.a600.615",INDIRECT(LU_SENS),2,FALSE)/16+VLOOKUP("cmix.co2.a600.615",INDIRECT(LU_SENS),2,FALSE)/44)</f>
        <v>0.49103945845820768</v>
      </c>
      <c r="I43" s="524"/>
      <c r="P43" s="481"/>
      <c r="R43" s="503" t="s">
        <v>743</v>
      </c>
      <c r="S43" s="506"/>
      <c r="T43" s="507"/>
      <c r="U43" s="483"/>
      <c r="V43" s="485"/>
      <c r="W43" s="485"/>
      <c r="Y43" s="125"/>
      <c r="AB43" s="125"/>
      <c r="AE43" s="640"/>
      <c r="AG43" s="283" t="s">
        <v>200</v>
      </c>
      <c r="AH43" s="281">
        <f ca="1">SUM(AH36:AH42)</f>
        <v>3237.9759764238079</v>
      </c>
      <c r="AI43" s="285">
        <f t="shared" ca="1" si="7"/>
        <v>1.0036781572879452</v>
      </c>
      <c r="AJ43" s="271"/>
      <c r="AK43" s="1184"/>
      <c r="AL43" s="271"/>
    </row>
    <row r="44" spans="1:38" ht="13.5" customHeight="1" x14ac:dyDescent="0.3">
      <c r="A44" s="1417" t="s">
        <v>496</v>
      </c>
      <c r="B44" s="524"/>
      <c r="C44" s="1419"/>
      <c r="D44" s="731">
        <f ca="1">VLOOKUP("TEMP.A300.308",INDIRECT(LU_SENS),2,FALSE)</f>
        <v>32</v>
      </c>
      <c r="E44" s="1419" t="s">
        <v>527</v>
      </c>
      <c r="F44" s="737">
        <f ca="1">VLOOKUP("FERMRX44",INDIRECT(LU_SENS),2,FALSE)</f>
        <v>0</v>
      </c>
      <c r="G44" s="524" t="s">
        <v>2970</v>
      </c>
      <c r="H44" s="1443">
        <f ca="1">VLOOKUP("cmix.ch4.a600.615",INDIRECT(LU_SENS),2,FALSE)/H39/0.91</f>
        <v>0.22272452434328627</v>
      </c>
      <c r="I44" s="524"/>
      <c r="P44" s="481"/>
      <c r="Q44" s="203" t="s">
        <v>3049</v>
      </c>
      <c r="R44" s="205" t="s">
        <v>730</v>
      </c>
      <c r="S44" s="492">
        <f ca="1">IF(Q44&lt;&gt;"",VLOOKUP(Q44,INDIRECT(LU_SENS),2,FALSE),"")</f>
        <v>463984.27600000001</v>
      </c>
      <c r="T44" s="478"/>
      <c r="AB44" s="125"/>
      <c r="AE44" s="640"/>
      <c r="AG44" s="117"/>
      <c r="AH44"/>
      <c r="AI44"/>
      <c r="AJ44" s="271"/>
      <c r="AK44" s="271"/>
      <c r="AL44" s="271"/>
    </row>
    <row r="45" spans="1:38" ht="13.5" customHeight="1" x14ac:dyDescent="0.3">
      <c r="A45" s="1417" t="s">
        <v>453</v>
      </c>
      <c r="B45" s="524"/>
      <c r="C45" s="1125"/>
      <c r="D45" s="735">
        <f ca="1">VLOOKUP("PRES.A300.308",INDIRECT(LU_SENS),2,FALSE)</f>
        <v>1</v>
      </c>
      <c r="E45" s="1419" t="s">
        <v>514</v>
      </c>
      <c r="F45" s="737">
        <f ca="1">VLOOKUP("FERMRX45",INDIRECT(LU_SENS),2,FALSE)</f>
        <v>0</v>
      </c>
      <c r="G45" s="524" t="s">
        <v>2971</v>
      </c>
      <c r="H45" s="1443">
        <f ca="1">VLOOKUP("ccis.biomass.a600.602e",INDIRECT(LU_SENS),2,FALSE)/H39/0.91</f>
        <v>4.444546420641983E-2</v>
      </c>
      <c r="I45" s="524"/>
      <c r="P45" s="481"/>
      <c r="Q45" s="203" t="s">
        <v>3050</v>
      </c>
      <c r="R45" s="1453" t="s">
        <v>1157</v>
      </c>
      <c r="S45" s="492">
        <f ca="1">IF(Q45&lt;&gt;"",VLOOKUP(Q45,INDIRECT(LU_SENS),2,FALSE),"")</f>
        <v>4368.33475</v>
      </c>
      <c r="T45" s="1435"/>
      <c r="AB45" s="125"/>
      <c r="AE45" s="640"/>
    </row>
    <row r="46" spans="1:38" ht="13.5" customHeight="1" x14ac:dyDescent="0.3">
      <c r="A46" s="1417" t="s">
        <v>529</v>
      </c>
      <c r="B46" s="524"/>
      <c r="C46" s="1419"/>
      <c r="D46" s="735">
        <f ca="1">VLOOKUP("SACHDAYS",INDIRECT(LU_SENS),2,FALSE)</f>
        <v>3.5</v>
      </c>
      <c r="E46" s="1419" t="s">
        <v>515</v>
      </c>
      <c r="F46" s="737">
        <f ca="1">VLOOKUP("FERMRX46",INDIRECT(LU_SENS),2,FALSE)</f>
        <v>0</v>
      </c>
      <c r="G46" s="1419"/>
      <c r="H46" s="1440"/>
      <c r="I46" s="524"/>
      <c r="P46" s="481"/>
      <c r="Q46" s="203" t="s">
        <v>3051</v>
      </c>
      <c r="R46" s="205" t="s">
        <v>732</v>
      </c>
      <c r="S46" s="492">
        <f ca="1">IF(Q46&lt;&gt;"",VLOOKUP(Q46,INDIRECT(LU_SENS),2,FALSE),"")</f>
        <v>2137542.9900000002</v>
      </c>
      <c r="T46" s="478"/>
      <c r="AB46" s="125"/>
      <c r="AE46" s="640"/>
    </row>
    <row r="47" spans="1:38" ht="13.5" customHeight="1" x14ac:dyDescent="0.3">
      <c r="A47" s="1432" t="s">
        <v>463</v>
      </c>
      <c r="B47" s="1424" t="s">
        <v>740</v>
      </c>
      <c r="C47" s="1424" t="s">
        <v>1095</v>
      </c>
      <c r="D47" s="736" t="s">
        <v>1094</v>
      </c>
      <c r="E47" s="1419" t="s">
        <v>516</v>
      </c>
      <c r="F47" s="737">
        <f ca="1">VLOOKUP("FERMRX47",INDIRECT(LU_SENS),2,FALSE)</f>
        <v>0</v>
      </c>
      <c r="G47" s="524"/>
      <c r="H47" s="1435"/>
      <c r="I47" s="524"/>
      <c r="P47" s="481"/>
      <c r="Q47" s="203" t="s">
        <v>714</v>
      </c>
      <c r="R47" s="205" t="s">
        <v>3393</v>
      </c>
      <c r="S47" s="492">
        <f ca="1">IF(Q47&lt;&gt;"",VLOOKUP(Q47,INDIRECT(LU_SENS),2,FALSE),"")</f>
        <v>2251.6691099999998</v>
      </c>
      <c r="T47" s="478"/>
      <c r="Z47" s="483"/>
      <c r="AA47" s="483"/>
      <c r="AB47" s="125"/>
      <c r="AC47" s="483"/>
      <c r="AE47" s="640"/>
    </row>
    <row r="48" spans="1:38" ht="13.5" customHeight="1" x14ac:dyDescent="0.3">
      <c r="A48" s="1417" t="s">
        <v>464</v>
      </c>
      <c r="B48" s="876">
        <f ca="1">VLOOKUP("SACHRX01",INDIRECT(LU_SENS),2,FALSE)</f>
        <v>0</v>
      </c>
      <c r="C48" s="876">
        <f ca="1">VLOOKUP("SAC01B",INDIRECT(LU_SENS),2,FALSE)</f>
        <v>0.04</v>
      </c>
      <c r="D48" s="737">
        <f ca="1">B48+C48*(1-SUM($B$48:$B$50))</f>
        <v>0.04</v>
      </c>
      <c r="E48" s="1419" t="s">
        <v>517</v>
      </c>
      <c r="F48" s="737">
        <f ca="1">VLOOKUP("FERMRX48",INDIRECT(LU_SENS),2,FALSE)</f>
        <v>0</v>
      </c>
      <c r="G48" s="524"/>
      <c r="H48" s="1435"/>
      <c r="I48" s="524"/>
      <c r="P48" s="481"/>
      <c r="Q48" s="203" t="s">
        <v>3052</v>
      </c>
      <c r="R48" s="205" t="s">
        <v>734</v>
      </c>
      <c r="S48" s="492">
        <f ca="1">IF(Q48&lt;&gt;"",VLOOKUP(Q48,INDIRECT(LU_SENS),2,FALSE),"")</f>
        <v>2611641.11</v>
      </c>
      <c r="T48" s="478"/>
      <c r="Y48" s="483"/>
      <c r="Z48" s="483"/>
      <c r="AA48" s="483"/>
      <c r="AB48" s="482"/>
      <c r="AC48" s="483"/>
      <c r="AD48" s="484"/>
      <c r="AE48" s="640"/>
    </row>
    <row r="49" spans="1:31" ht="13.5" customHeight="1" thickBot="1" x14ac:dyDescent="0.35">
      <c r="A49" s="1417" t="s">
        <v>465</v>
      </c>
      <c r="B49" s="876">
        <f ca="1">VLOOKUP("SACHRX02",INDIRECT(LU_SENS),2,FALSE)</f>
        <v>0</v>
      </c>
      <c r="C49" s="876">
        <f ca="1">VLOOKUP("SAC02b",INDIRECT(LU_SENS),2,FALSE)</f>
        <v>1.2E-2</v>
      </c>
      <c r="D49" s="737">
        <f ca="1">B49+C49*(1-SUM($B$48:$B$50))</f>
        <v>1.2E-2</v>
      </c>
      <c r="E49" s="1419" t="s">
        <v>518</v>
      </c>
      <c r="F49" s="737">
        <f ca="1">VLOOKUP("FERMRX49",INDIRECT(LU_SENS),2,FALSE)</f>
        <v>0</v>
      </c>
      <c r="G49" s="524"/>
      <c r="H49" s="1435"/>
      <c r="I49" s="524"/>
      <c r="P49" s="481"/>
      <c r="R49" s="206"/>
      <c r="S49" s="493">
        <f ca="1">S48-S46-S44-S45-S47</f>
        <v>3493.8401399996337</v>
      </c>
      <c r="T49" s="479"/>
      <c r="Y49" s="483"/>
      <c r="Z49" s="483"/>
      <c r="AA49" s="483"/>
      <c r="AB49" s="482"/>
      <c r="AC49" s="483"/>
      <c r="AD49" s="483"/>
      <c r="AE49" s="640"/>
    </row>
    <row r="50" spans="1:31" ht="13.5" customHeight="1" x14ac:dyDescent="0.3">
      <c r="A50" s="1417" t="s">
        <v>466</v>
      </c>
      <c r="B50" s="876">
        <f ca="1">VLOOKUP("SACHRX03",INDIRECT(LU_SENS),2,FALSE)</f>
        <v>0</v>
      </c>
      <c r="C50" s="876">
        <f ca="1">VLOOKUP("SAC03b",INDIRECT(LU_SENS),2,FALSE)</f>
        <v>0.9</v>
      </c>
      <c r="D50" s="737">
        <f ca="1">B50+C50*(1-SUM($B$48:$B$50))</f>
        <v>0.9</v>
      </c>
      <c r="E50" s="1419"/>
      <c r="F50" s="734"/>
      <c r="G50" s="524"/>
      <c r="H50" s="1435"/>
      <c r="I50" s="524"/>
      <c r="P50" s="481"/>
      <c r="R50" s="503" t="s">
        <v>3059</v>
      </c>
      <c r="S50" s="506"/>
      <c r="T50" s="507"/>
      <c r="Y50" s="483"/>
      <c r="Z50" s="483"/>
      <c r="AA50" s="483"/>
      <c r="AB50" s="483"/>
      <c r="AC50" s="483"/>
      <c r="AD50" s="483"/>
      <c r="AE50" s="640"/>
    </row>
    <row r="51" spans="1:31" ht="13.5" customHeight="1" x14ac:dyDescent="0.3">
      <c r="A51" s="1417" t="s">
        <v>489</v>
      </c>
      <c r="B51" s="876">
        <f ca="1">VLOOKUP("SACHRX04",INDIRECT(LU_SENS),2,FALSE)</f>
        <v>0</v>
      </c>
      <c r="C51" s="876">
        <f ca="1">VLOOKUP("SAC04b",INDIRECT(LU_SENS),2,FALSE)</f>
        <v>0</v>
      </c>
      <c r="D51" s="737">
        <f ca="1">B51+C51*(1-SUM($B$51:$B$52))</f>
        <v>0</v>
      </c>
      <c r="E51" s="1419" t="s">
        <v>175</v>
      </c>
      <c r="F51" s="1133">
        <f ca="1">VLOOKUP("strm.a300.311",INDIRECT(LU_SENS),2,FALSE)/VLOOKUP("smix.a300.307",INDIRECT(LU_SENS),2,FALSE)</f>
        <v>2.5000000000000001E-3</v>
      </c>
      <c r="G51" s="524"/>
      <c r="H51" s="1435"/>
      <c r="I51" s="524"/>
      <c r="P51" s="481"/>
      <c r="Q51" s="203" t="s">
        <v>3331</v>
      </c>
      <c r="R51" s="205" t="s">
        <v>731</v>
      </c>
      <c r="S51" s="492">
        <f ca="1">IF(Q51&lt;&gt;"",VLOOKUP(Q51,INDIRECT(LU_SENS),2,FALSE),"")</f>
        <v>50697.019399999997</v>
      </c>
      <c r="T51" s="478"/>
      <c r="Y51" s="483"/>
      <c r="Z51" s="483"/>
      <c r="AA51" s="483"/>
      <c r="AB51" s="483"/>
      <c r="AC51" s="483"/>
      <c r="AD51" s="483"/>
      <c r="AE51" s="640"/>
    </row>
    <row r="52" spans="1:31" ht="13.5" customHeight="1" x14ac:dyDescent="0.3">
      <c r="A52" s="1417" t="s">
        <v>490</v>
      </c>
      <c r="B52" s="876">
        <f ca="1">VLOOKUP("SACHRX05",INDIRECT(LU_SENS),2,FALSE)</f>
        <v>0</v>
      </c>
      <c r="C52" s="876">
        <f ca="1">VLOOKUP("sac05b",INDIRECT(LU_SENS),2,FALSE)</f>
        <v>0</v>
      </c>
      <c r="D52" s="737">
        <f ca="1">B52+C52*(1-SUM($B$51:$B$52))</f>
        <v>0</v>
      </c>
      <c r="E52" s="1419" t="s">
        <v>519</v>
      </c>
      <c r="F52" s="737">
        <f ca="1">1-VLOOKUP( "cmix.glucose.A300.308a", INDIRECT(LU_SENS), 2, FALSE ) / VLOOKUP( "cmix.glucose.A300.f300fd", INDIRECT(LU_SENS), 2, FALSE )</f>
        <v>3.0000002419223626E-2</v>
      </c>
      <c r="G52" s="524"/>
      <c r="H52" s="1435"/>
      <c r="I52" s="524"/>
      <c r="P52" s="481"/>
      <c r="Q52" s="203" t="s">
        <v>3060</v>
      </c>
      <c r="R52" s="1453" t="s">
        <v>731</v>
      </c>
      <c r="S52" s="492">
        <f ca="1">IF(Q52&lt;&gt;"",VLOOKUP(Q52,INDIRECT(LU_SENS),2,FALSE),"")</f>
        <v>3581.55393</v>
      </c>
      <c r="T52" s="1435"/>
      <c r="Y52" s="483"/>
      <c r="Z52" s="483"/>
      <c r="AA52" s="483"/>
      <c r="AB52" s="483"/>
      <c r="AC52" s="483"/>
      <c r="AD52" s="483"/>
      <c r="AE52" s="640"/>
    </row>
    <row r="53" spans="1:31" ht="13.5" customHeight="1" x14ac:dyDescent="0.3">
      <c r="A53" s="1417" t="s">
        <v>491</v>
      </c>
      <c r="B53" s="876">
        <f ca="1">VLOOKUP("SACHRX06",INDIRECT(LU_SENS),2,FALSE)</f>
        <v>0</v>
      </c>
      <c r="C53" s="876">
        <f ca="1">VLOOKUP("sac06b",INDIRECT(LU_SENS),2,FALSE)</f>
        <v>1</v>
      </c>
      <c r="D53" s="737">
        <f ca="1">B53</f>
        <v>0</v>
      </c>
      <c r="E53" s="1444" t="s">
        <v>447</v>
      </c>
      <c r="F53" s="737">
        <f ca="1">VLOOKUP( "CMIX.ETHANOL.A300.315", INDIRECT(LU_SENS), 2, FALSE ) / VLOOKUP( "SMIX.A300.315", INDIRECT(LU_SENS), 2, FALSE )</f>
        <v>5.3768815013368221E-2</v>
      </c>
      <c r="G53" s="524"/>
      <c r="H53" s="1435"/>
      <c r="I53" s="524"/>
      <c r="P53" s="481"/>
      <c r="Q53" s="203" t="s">
        <v>3061</v>
      </c>
      <c r="R53" s="205" t="s">
        <v>733</v>
      </c>
      <c r="S53" s="492">
        <f ca="1">IF(Q53&lt;&gt;"",VLOOKUP(Q53,INDIRECT(LU_SENS),2,FALSE),"")</f>
        <v>54452.740899999997</v>
      </c>
      <c r="T53" s="478"/>
      <c r="Y53" s="483"/>
      <c r="Z53" s="483"/>
      <c r="AA53" s="483"/>
      <c r="AB53" s="483"/>
      <c r="AC53" s="483"/>
      <c r="AD53" s="483"/>
      <c r="AE53" s="640"/>
    </row>
    <row r="54" spans="1:31" ht="13.5" customHeight="1" thickBot="1" x14ac:dyDescent="0.35">
      <c r="A54" s="1417" t="s">
        <v>468</v>
      </c>
      <c r="B54" s="876">
        <f ca="1">VLOOKUP("SACHRX13",INDIRECT(LU_SENS),2,FALSE)</f>
        <v>0</v>
      </c>
      <c r="C54" s="876">
        <f ca="1">VLOOKUP("sac13b",INDIRECT(LU_SENS),2,FALSE)</f>
        <v>0</v>
      </c>
      <c r="D54" s="737">
        <v>0</v>
      </c>
      <c r="E54" s="1433" t="s">
        <v>676</v>
      </c>
      <c r="F54" s="727"/>
      <c r="G54" s="524"/>
      <c r="H54" s="1435"/>
      <c r="I54" s="524"/>
      <c r="P54" s="481"/>
      <c r="R54" s="205"/>
      <c r="S54" s="494">
        <f ca="1">S53-S51-S52</f>
        <v>174.16756999999961</v>
      </c>
      <c r="T54" s="1479"/>
      <c r="Y54" s="483"/>
      <c r="Z54" s="483"/>
      <c r="AA54" s="483"/>
      <c r="AB54" s="483"/>
      <c r="AC54" s="483"/>
      <c r="AD54" s="483"/>
      <c r="AE54" s="640"/>
    </row>
    <row r="55" spans="1:31" ht="13.5" customHeight="1" x14ac:dyDescent="0.3">
      <c r="A55" s="1417" t="s">
        <v>469</v>
      </c>
      <c r="B55" s="876">
        <f ca="1">VLOOKUP("SACHRX14",INDIRECT(LU_SENS),2,FALSE)</f>
        <v>0</v>
      </c>
      <c r="C55" s="876">
        <f ca="1">VLOOKUP("sac14b",INDIRECT(LU_SENS),2,FALSE)</f>
        <v>0</v>
      </c>
      <c r="D55" s="737">
        <v>0</v>
      </c>
      <c r="E55" s="1419" t="s">
        <v>2212</v>
      </c>
      <c r="F55" s="730">
        <f ca="1">VLOOKUP( "CMIX.glucose.A400.401", INDIRECT(LU_SENS), 2, FALSE )</f>
        <v>2417.9653600000001</v>
      </c>
      <c r="G55" s="524"/>
      <c r="H55" s="1435"/>
      <c r="I55" s="524"/>
      <c r="P55" s="481"/>
      <c r="Q55" s="203" t="s">
        <v>3118</v>
      </c>
      <c r="R55" s="1454" t="s">
        <v>3119</v>
      </c>
      <c r="S55" s="1455">
        <f ca="1">IF(Q55&lt;&gt;"",VLOOKUP(Q55,INDIRECT(LU_SENS),2,FALSE),"")</f>
        <v>138.64284000000001</v>
      </c>
      <c r="T55" s="1456">
        <f ca="1">S55/3.7894*OPEX!$B$7/Summary!$D$12/1000000</f>
        <v>5.0420412671651847E-3</v>
      </c>
      <c r="Y55" s="483"/>
      <c r="Z55" s="483"/>
      <c r="AA55" s="483"/>
      <c r="AB55" s="483"/>
      <c r="AC55" s="483"/>
      <c r="AD55" s="483"/>
      <c r="AE55" s="640"/>
    </row>
    <row r="56" spans="1:31" ht="13.5" customHeight="1" x14ac:dyDescent="0.3">
      <c r="A56" s="1417" t="s">
        <v>492</v>
      </c>
      <c r="B56" s="876">
        <f ca="1">VLOOKUP("SACHRX15",INDIRECT(LU_SENS),2,FALSE)</f>
        <v>0</v>
      </c>
      <c r="C56" s="876">
        <f ca="1">VLOOKUP("sac15b",INDIRECT(LU_SENS),2,FALSE)</f>
        <v>0</v>
      </c>
      <c r="D56" s="737">
        <v>0</v>
      </c>
      <c r="E56" s="1419" t="s">
        <v>677</v>
      </c>
      <c r="F56" s="731">
        <f ca="1">VLOOKUP("ccis.enzyme.a400.420a",INDIRECT(LU_SENS),2,FALSE)</f>
        <v>578.67022699999995</v>
      </c>
      <c r="G56" s="1419"/>
      <c r="H56" s="1440"/>
      <c r="I56" s="524"/>
      <c r="P56" s="481"/>
      <c r="Q56" s="203" t="s">
        <v>3058</v>
      </c>
      <c r="R56" s="205" t="s">
        <v>3057</v>
      </c>
      <c r="S56" s="492">
        <f ca="1">IF(Q56&lt;&gt;"",VLOOKUP(Q56,INDIRECT(LU_SENS),2,FALSE),"")</f>
        <v>664.55276000000003</v>
      </c>
      <c r="T56" s="290">
        <f ca="1">S56/3.7894*OPEX!$B$7/Summary!$D$12/1000000</f>
        <v>2.4167872211276979E-2</v>
      </c>
      <c r="U56" s="483"/>
      <c r="V56" s="483"/>
      <c r="W56" s="483"/>
      <c r="Y56" s="483"/>
      <c r="Z56" s="483"/>
      <c r="AA56" s="483"/>
      <c r="AB56" s="483"/>
      <c r="AC56" s="483"/>
      <c r="AD56" s="483"/>
      <c r="AE56" s="640"/>
    </row>
    <row r="57" spans="1:31" ht="13.5" customHeight="1" thickBot="1" x14ac:dyDescent="0.35">
      <c r="A57" s="1417" t="s">
        <v>471</v>
      </c>
      <c r="B57" s="876">
        <f ca="1">VLOOKUP("SACHRX23",INDIRECT(LU_SENS),2,FALSE)</f>
        <v>0</v>
      </c>
      <c r="C57" s="876">
        <f ca="1">VLOOKUP("sac23b",INDIRECT(LU_SENS),2,FALSE)</f>
        <v>0</v>
      </c>
      <c r="D57" s="737">
        <v>0</v>
      </c>
      <c r="E57" s="1419" t="s">
        <v>745</v>
      </c>
      <c r="F57" s="733">
        <f ca="1">F56/F55</f>
        <v>0.2393211402333737</v>
      </c>
      <c r="G57" s="524"/>
      <c r="H57" s="1435"/>
      <c r="I57" s="524"/>
      <c r="P57" s="481"/>
      <c r="Q57" s="203" t="s">
        <v>714</v>
      </c>
      <c r="R57" s="1480" t="s">
        <v>3391</v>
      </c>
      <c r="S57" s="1457">
        <f ca="1">IF(Q57&lt;&gt;"",VLOOKUP(Q57,INDIRECT(LU_SENS),2,FALSE),"")</f>
        <v>2251.6691099999998</v>
      </c>
      <c r="T57" s="1481"/>
      <c r="Y57" s="483"/>
      <c r="Z57" s="483" t="s">
        <v>2176</v>
      </c>
      <c r="AA57" s="763">
        <f ca="1">-H15*OPHOURS/ETHMMGAL/1000000</f>
        <v>5.6693754322287964</v>
      </c>
      <c r="AB57" s="483" t="s">
        <v>2177</v>
      </c>
      <c r="AC57" s="483"/>
      <c r="AD57" s="483"/>
      <c r="AE57" s="640"/>
    </row>
    <row r="58" spans="1:31" ht="13.5" customHeight="1" x14ac:dyDescent="0.3">
      <c r="A58" s="1417" t="s">
        <v>478</v>
      </c>
      <c r="B58" s="876">
        <f ca="1">VLOOKUP("SACHRX24",INDIRECT(LU_SENS),2,FALSE)</f>
        <v>0</v>
      </c>
      <c r="C58" s="876">
        <f ca="1">VLOOKUP("sac24b",INDIRECT(LU_SENS),2,FALSE)</f>
        <v>0</v>
      </c>
      <c r="D58" s="737">
        <v>0</v>
      </c>
      <c r="E58" s="1419" t="s">
        <v>1104</v>
      </c>
      <c r="F58" s="730">
        <f ca="1">F56*1000/VLOOKUP("cmix.h2o.a400.420a",INDIRECT(LU_SENS),2,FALSE)</f>
        <v>39.897566225972952</v>
      </c>
      <c r="G58" s="524"/>
      <c r="H58" s="1435"/>
      <c r="I58" s="524"/>
      <c r="P58" s="481"/>
      <c r="T58" s="483"/>
      <c r="U58" s="483"/>
      <c r="V58" s="483"/>
      <c r="W58" s="483"/>
      <c r="Y58" s="483"/>
      <c r="Z58" s="483" t="s">
        <v>2174</v>
      </c>
      <c r="AA58" s="763">
        <f ca="1">AC4/AA57</f>
        <v>0.45686366047820781</v>
      </c>
      <c r="AB58" s="483" t="s">
        <v>2175</v>
      </c>
      <c r="AC58" s="483"/>
      <c r="AD58" s="483"/>
      <c r="AE58" s="640"/>
    </row>
    <row r="59" spans="1:31" ht="13.5" customHeight="1" x14ac:dyDescent="0.3">
      <c r="A59" s="1417" t="s">
        <v>479</v>
      </c>
      <c r="B59" s="876">
        <f ca="1">VLOOKUP("SACHRX25",INDIRECT(LU_SENS),2,FALSE)</f>
        <v>0</v>
      </c>
      <c r="C59" s="876">
        <f ca="1">VLOOKUP("sac25b",INDIRECT(LU_SENS),2,FALSE)</f>
        <v>0</v>
      </c>
      <c r="D59" s="737">
        <v>0</v>
      </c>
      <c r="E59" s="1419"/>
      <c r="F59" s="734"/>
      <c r="G59" s="524"/>
      <c r="H59" s="1435"/>
      <c r="I59" s="524"/>
      <c r="P59" s="481"/>
      <c r="T59" s="483"/>
      <c r="U59" s="483"/>
      <c r="V59" s="483"/>
      <c r="W59" s="483"/>
      <c r="Y59" s="483"/>
      <c r="Z59" s="483"/>
      <c r="AA59" s="483"/>
      <c r="AB59" s="483"/>
      <c r="AC59" s="483"/>
      <c r="AD59" s="483"/>
      <c r="AE59" s="640"/>
    </row>
    <row r="60" spans="1:31" ht="13.5" customHeight="1" x14ac:dyDescent="0.3">
      <c r="A60" s="1417" t="s">
        <v>475</v>
      </c>
      <c r="B60" s="876">
        <f ca="1">VLOOKUP("SACHRX32",INDIRECT(LU_SENS),2,FALSE)</f>
        <v>0</v>
      </c>
      <c r="C60" s="876">
        <f ca="1">VLOOKUP("sac32b",INDIRECT(LU_SENS),2,FALSE)</f>
        <v>0</v>
      </c>
      <c r="D60" s="737">
        <v>0</v>
      </c>
      <c r="E60" s="1419" t="s">
        <v>678</v>
      </c>
      <c r="F60" s="731">
        <f ca="1">VLOOKUP("work.a400.wm401",INDIRECT(LU_SENS),2,FALSE)</f>
        <v>1408.1699100000001</v>
      </c>
      <c r="G60" s="524"/>
      <c r="H60" s="1435"/>
      <c r="I60" s="524"/>
      <c r="P60" s="481"/>
      <c r="R60" s="483"/>
      <c r="S60" s="483"/>
      <c r="T60" s="483"/>
      <c r="U60" s="483"/>
      <c r="V60" s="483"/>
      <c r="W60" s="483"/>
      <c r="Y60" s="483"/>
      <c r="Z60" s="483"/>
      <c r="AA60" s="483"/>
      <c r="AB60" s="483"/>
      <c r="AC60" s="483"/>
      <c r="AD60" s="483"/>
      <c r="AE60" s="640"/>
    </row>
    <row r="61" spans="1:31" ht="13.5" customHeight="1" x14ac:dyDescent="0.3">
      <c r="A61" s="1417" t="s">
        <v>476</v>
      </c>
      <c r="B61" s="876">
        <f ca="1">VLOOKUP("SACHRX33",INDIRECT(LU_SENS),2,FALSE)</f>
        <v>0</v>
      </c>
      <c r="C61" s="876">
        <f ca="1">VLOOKUP("sac33b",INDIRECT(LU_SENS),2,FALSE)</f>
        <v>0</v>
      </c>
      <c r="D61" s="737">
        <v>0</v>
      </c>
      <c r="E61" s="1419" t="s">
        <v>679</v>
      </c>
      <c r="F61" s="731">
        <f ca="1">VLOOKUP("work.a400.wt400",INDIRECT(LU_SENS),2,FALSE)+VLOOKUP("work.a400.wt401-3",INDIRECT(LU_SENS),2,FALSE)</f>
        <v>2325.5013260000001</v>
      </c>
      <c r="G61" s="524"/>
      <c r="H61" s="1435"/>
      <c r="I61" s="524"/>
      <c r="P61" s="481"/>
      <c r="R61" s="483"/>
      <c r="S61" s="483"/>
      <c r="T61" s="483"/>
      <c r="U61" s="483"/>
      <c r="V61" s="483"/>
      <c r="W61" s="483"/>
      <c r="Y61" s="483"/>
      <c r="AA61" s="483"/>
      <c r="AB61" s="483"/>
      <c r="AC61" s="483"/>
      <c r="AD61" s="483"/>
      <c r="AE61" s="640"/>
    </row>
    <row r="62" spans="1:31" ht="13.5" customHeight="1" x14ac:dyDescent="0.3">
      <c r="A62" s="1417" t="s">
        <v>493</v>
      </c>
      <c r="B62" s="876">
        <f ca="1">VLOOKUP("SACHRX34",INDIRECT(LU_SENS),2,FALSE)</f>
        <v>0</v>
      </c>
      <c r="C62" s="876">
        <f ca="1">VLOOKUP("sac34b",INDIRECT(LU_SENS),2,FALSE)</f>
        <v>0</v>
      </c>
      <c r="D62" s="737">
        <v>0</v>
      </c>
      <c r="E62" s="1419" t="s">
        <v>680</v>
      </c>
      <c r="F62" s="731">
        <f ca="1">VLOOKUP("work.a900.wm908-4",INDIRECT(LU_SENS),2,FALSE)</f>
        <v>1583.85013</v>
      </c>
      <c r="G62" s="524"/>
      <c r="H62" s="1435"/>
      <c r="I62" s="524"/>
      <c r="P62" s="481"/>
      <c r="R62" s="483"/>
      <c r="S62" s="483"/>
      <c r="T62" s="483"/>
      <c r="U62" s="483"/>
      <c r="V62" s="483"/>
      <c r="W62" s="483"/>
      <c r="Y62" s="483"/>
      <c r="Z62" s="483"/>
      <c r="AA62" s="483"/>
      <c r="AB62" s="483"/>
      <c r="AC62" s="483"/>
      <c r="AD62" s="483"/>
      <c r="AE62" s="640"/>
    </row>
    <row r="63" spans="1:31" ht="13.5" customHeight="1" x14ac:dyDescent="0.3">
      <c r="A63" s="1417" t="s">
        <v>472</v>
      </c>
      <c r="B63" s="876">
        <f ca="1">VLOOKUP("SACHRX41",INDIRECT(LU_SENS),2,FALSE)</f>
        <v>0</v>
      </c>
      <c r="C63" s="876">
        <f ca="1">VLOOKUP("sac41b",INDIRECT(LU_SENS),2,FALSE)</f>
        <v>0</v>
      </c>
      <c r="D63" s="737">
        <v>0</v>
      </c>
      <c r="E63" s="1419" t="s">
        <v>681</v>
      </c>
      <c r="F63" s="731">
        <f ca="1">VLOOKUP("work.a900.wka400",INDIRECT(LU_SENS),2,FALSE)</f>
        <v>5336.7340599999998</v>
      </c>
      <c r="G63" s="524"/>
      <c r="H63" s="1435"/>
      <c r="I63" s="524"/>
      <c r="P63" s="481"/>
      <c r="R63" s="483"/>
      <c r="S63" s="483"/>
      <c r="T63" s="483"/>
      <c r="U63" s="483"/>
      <c r="V63" s="483"/>
      <c r="W63" s="483"/>
      <c r="Y63" s="483"/>
      <c r="Z63" s="483"/>
      <c r="AA63" s="483"/>
      <c r="AB63" s="483"/>
      <c r="AC63" s="483"/>
      <c r="AD63" s="483"/>
      <c r="AE63" s="640"/>
    </row>
    <row r="64" spans="1:31" ht="13.5" customHeight="1" x14ac:dyDescent="0.3">
      <c r="A64" s="1417" t="s">
        <v>473</v>
      </c>
      <c r="B64" s="876">
        <f ca="1">VLOOKUP("SACHRX42",INDIRECT(LU_SENS),2,FALSE)</f>
        <v>0</v>
      </c>
      <c r="C64" s="876">
        <f ca="1">VLOOKUP("sac42b",INDIRECT(LU_SENS),2,FALSE)</f>
        <v>0</v>
      </c>
      <c r="D64" s="737">
        <v>0</v>
      </c>
      <c r="E64" s="1419"/>
      <c r="F64" s="734"/>
      <c r="G64" s="524"/>
      <c r="H64" s="1435"/>
      <c r="I64" s="524"/>
      <c r="P64" s="481"/>
      <c r="R64" s="483"/>
      <c r="S64" s="483"/>
      <c r="T64" s="483"/>
      <c r="U64" s="483"/>
      <c r="V64" s="483"/>
      <c r="W64" s="483"/>
      <c r="Y64" s="483"/>
      <c r="Z64" s="483"/>
      <c r="AA64" s="483"/>
      <c r="AB64" s="483"/>
      <c r="AC64" s="483"/>
      <c r="AD64" s="483"/>
      <c r="AE64" s="640"/>
    </row>
    <row r="65" spans="1:31" ht="13.5" customHeight="1" x14ac:dyDescent="0.3">
      <c r="A65" s="1417" t="s">
        <v>494</v>
      </c>
      <c r="B65" s="876">
        <f ca="1">VLOOKUP("SACHRX43",INDIRECT(LU_SENS),2,FALSE)</f>
        <v>0</v>
      </c>
      <c r="C65" s="876">
        <f ca="1">VLOOKUP("sac43b",INDIRECT(LU_SENS),2,FALSE)</f>
        <v>0</v>
      </c>
      <c r="D65" s="737">
        <v>0</v>
      </c>
      <c r="E65" s="1419" t="s">
        <v>3327</v>
      </c>
      <c r="F65" s="731">
        <f ca="1">F63/F56</f>
        <v>9.2224099512899258</v>
      </c>
      <c r="G65" s="524"/>
      <c r="H65" s="1435"/>
      <c r="I65" s="524"/>
      <c r="P65" s="481"/>
      <c r="R65" s="483"/>
      <c r="S65" s="483"/>
      <c r="T65" s="483"/>
      <c r="U65" s="483"/>
      <c r="V65" s="483"/>
      <c r="W65" s="483"/>
      <c r="Y65" s="483"/>
      <c r="Z65" s="483"/>
      <c r="AA65" s="483"/>
      <c r="AB65" s="483"/>
      <c r="AC65" s="483"/>
      <c r="AD65" s="483"/>
      <c r="AE65" s="640"/>
    </row>
    <row r="66" spans="1:31" ht="13.5" customHeight="1" x14ac:dyDescent="0.3">
      <c r="A66" s="1417"/>
      <c r="B66" s="1419"/>
      <c r="C66" s="1419"/>
      <c r="D66" s="734"/>
      <c r="E66" s="1419" t="s">
        <v>1087</v>
      </c>
      <c r="F66" s="734"/>
      <c r="G66" s="524"/>
      <c r="H66" s="1435"/>
      <c r="I66" s="524"/>
      <c r="P66" s="481"/>
      <c r="R66" s="483"/>
      <c r="S66" s="483"/>
      <c r="T66" s="483"/>
      <c r="U66" s="483"/>
      <c r="V66" s="483"/>
      <c r="W66" s="483"/>
      <c r="Y66" s="492"/>
      <c r="Z66" s="483"/>
      <c r="AA66" s="483"/>
      <c r="AB66" s="483"/>
      <c r="AC66" s="483"/>
      <c r="AD66" s="483"/>
      <c r="AE66" s="640"/>
    </row>
    <row r="67" spans="1:31" ht="13.5" customHeight="1" x14ac:dyDescent="0.3">
      <c r="A67" s="1417"/>
      <c r="B67" s="1419"/>
      <c r="C67" s="1419"/>
      <c r="D67" s="734"/>
      <c r="E67" s="1419" t="s">
        <v>2171</v>
      </c>
      <c r="F67" s="737">
        <f ca="1">VLOOKUP("s4pro",INDIRECT(LU_SENS),2,FALSE)</f>
        <v>0.31250024999999998</v>
      </c>
      <c r="G67" s="524"/>
      <c r="H67" s="1435"/>
      <c r="I67" s="524"/>
      <c r="P67" s="481"/>
      <c r="R67" s="483"/>
      <c r="S67" s="483"/>
      <c r="T67" s="483"/>
      <c r="U67" s="483"/>
      <c r="V67" s="483"/>
      <c r="W67" s="483"/>
      <c r="Y67" s="763"/>
      <c r="Z67" s="483"/>
      <c r="AA67" s="483"/>
      <c r="AB67" s="483"/>
      <c r="AC67" s="483"/>
      <c r="AD67" s="483"/>
      <c r="AE67" s="640"/>
    </row>
    <row r="68" spans="1:31" ht="13.5" customHeight="1" x14ac:dyDescent="0.3">
      <c r="A68" s="1417"/>
      <c r="B68" s="1419"/>
      <c r="C68" s="1419"/>
      <c r="D68" s="734"/>
      <c r="E68" s="1419" t="s">
        <v>2172</v>
      </c>
      <c r="F68" s="737">
        <f ca="1">VLOOKUP("s4bms",INDIRECT(LU_SENS),2,FALSE)</f>
        <v>4.0650416699999997E-2</v>
      </c>
      <c r="G68" s="524"/>
      <c r="H68" s="1435"/>
      <c r="I68" s="524"/>
      <c r="P68" s="481"/>
      <c r="R68" s="483"/>
      <c r="S68" s="483"/>
      <c r="T68" s="483"/>
      <c r="U68" s="483"/>
      <c r="V68" s="483"/>
      <c r="W68" s="483"/>
      <c r="Y68" s="787"/>
      <c r="Z68" s="483"/>
      <c r="AA68" s="483"/>
      <c r="AB68" s="483"/>
      <c r="AC68" s="483"/>
      <c r="AD68" s="483"/>
      <c r="AE68" s="640"/>
    </row>
    <row r="69" spans="1:31" ht="13.5" customHeight="1" thickBot="1" x14ac:dyDescent="0.35">
      <c r="A69" s="1445"/>
      <c r="B69" s="1446"/>
      <c r="C69" s="1446"/>
      <c r="D69" s="1447"/>
      <c r="E69" s="1446" t="s">
        <v>2173</v>
      </c>
      <c r="F69" s="1448">
        <f ca="1">VLOOKUP("s4co2",INDIRECT(LU_SENS),2,FALSE)</f>
        <v>0.67601442899999997</v>
      </c>
      <c r="G69" s="1449"/>
      <c r="H69" s="1450"/>
      <c r="I69" s="524"/>
      <c r="P69" s="481"/>
      <c r="R69" s="483"/>
      <c r="S69" s="483"/>
      <c r="T69" s="483"/>
      <c r="U69" s="483"/>
      <c r="V69" s="483"/>
      <c r="W69" s="483"/>
      <c r="Y69" s="483"/>
      <c r="Z69" s="483"/>
      <c r="AA69" s="483"/>
      <c r="AB69" s="483"/>
      <c r="AC69" s="483"/>
      <c r="AD69" s="483"/>
      <c r="AE69" s="640"/>
    </row>
    <row r="70" spans="1:31" ht="13.5" customHeight="1" x14ac:dyDescent="0.3">
      <c r="A70" s="728"/>
      <c r="B70" s="728"/>
      <c r="C70" s="728"/>
      <c r="D70" s="734"/>
      <c r="E70" s="728"/>
      <c r="F70" s="734"/>
      <c r="I70" s="720"/>
      <c r="P70" s="481"/>
      <c r="R70" s="483"/>
      <c r="S70" s="483"/>
      <c r="T70" s="483"/>
      <c r="U70" s="483"/>
      <c r="V70" s="483"/>
      <c r="W70" s="483"/>
      <c r="Y70" s="483"/>
      <c r="Z70" s="483"/>
      <c r="AA70" s="483"/>
      <c r="AB70" s="483"/>
      <c r="AC70" s="483"/>
      <c r="AD70" s="483"/>
      <c r="AE70" s="640"/>
    </row>
    <row r="71" spans="1:31" ht="13.5" customHeight="1" x14ac:dyDescent="0.3">
      <c r="A71" s="728"/>
      <c r="B71" s="728"/>
      <c r="C71" s="728"/>
      <c r="D71" s="734"/>
      <c r="E71" s="728"/>
      <c r="F71" s="734"/>
      <c r="P71" s="481"/>
      <c r="R71" s="483"/>
      <c r="S71" s="483"/>
      <c r="T71" s="483"/>
      <c r="U71" s="483"/>
      <c r="V71" s="483"/>
      <c r="W71" s="483"/>
      <c r="Y71" s="483"/>
      <c r="Z71" s="483"/>
      <c r="AA71" s="483"/>
      <c r="AB71" s="483"/>
      <c r="AC71" s="483"/>
      <c r="AD71" s="483"/>
      <c r="AE71" s="640"/>
    </row>
    <row r="72" spans="1:31" ht="13.5" customHeight="1" x14ac:dyDescent="0.3">
      <c r="E72" s="728"/>
      <c r="F72" s="734"/>
      <c r="P72" s="481"/>
      <c r="R72" s="483"/>
      <c r="S72" s="483"/>
      <c r="T72" s="483"/>
      <c r="U72" s="483"/>
      <c r="V72" s="483"/>
      <c r="W72" s="483"/>
      <c r="Y72" s="483"/>
      <c r="Z72" s="483"/>
      <c r="AA72" s="483"/>
      <c r="AB72" s="483"/>
      <c r="AC72" s="483"/>
      <c r="AD72" s="483"/>
      <c r="AE72" s="640"/>
    </row>
    <row r="73" spans="1:31" ht="13.5" customHeight="1" x14ac:dyDescent="0.3">
      <c r="P73" s="481"/>
      <c r="R73" s="483"/>
      <c r="S73" s="483"/>
      <c r="T73" s="483"/>
      <c r="U73" s="483"/>
      <c r="V73" s="483"/>
      <c r="W73" s="483"/>
      <c r="Y73" s="483"/>
      <c r="Z73" s="483"/>
      <c r="AA73" s="483"/>
      <c r="AB73" s="483"/>
      <c r="AC73" s="483"/>
      <c r="AD73" s="483"/>
      <c r="AE73" s="640"/>
    </row>
    <row r="74" spans="1:31" ht="13.5" customHeight="1" x14ac:dyDescent="0.3">
      <c r="P74" s="481"/>
      <c r="R74" s="483"/>
      <c r="S74" s="483"/>
      <c r="T74" s="483"/>
      <c r="U74" s="483"/>
      <c r="V74" s="483"/>
      <c r="W74" s="483"/>
      <c r="Y74" s="483"/>
      <c r="Z74" s="483"/>
      <c r="AA74" s="483"/>
      <c r="AB74" s="483"/>
      <c r="AC74" s="483"/>
      <c r="AD74" s="483"/>
      <c r="AE74" s="640"/>
    </row>
    <row r="75" spans="1:31" x14ac:dyDescent="0.3">
      <c r="J75" s="438" t="s">
        <v>3389</v>
      </c>
      <c r="P75" s="481"/>
      <c r="R75" s="483"/>
      <c r="S75" s="483"/>
      <c r="T75" s="483"/>
      <c r="U75" s="483"/>
      <c r="V75" s="483"/>
      <c r="W75" s="483"/>
      <c r="Y75" s="483"/>
      <c r="Z75" s="483"/>
      <c r="AA75" s="483"/>
      <c r="AB75" s="483"/>
      <c r="AC75" s="483"/>
      <c r="AD75" s="483"/>
      <c r="AE75" s="640"/>
    </row>
    <row r="76" spans="1:31" x14ac:dyDescent="0.3">
      <c r="P76" s="481"/>
      <c r="R76" s="483"/>
      <c r="S76" s="483"/>
      <c r="T76" s="483"/>
      <c r="U76" s="483"/>
      <c r="V76" s="483"/>
      <c r="W76" s="483"/>
      <c r="Y76" s="483"/>
      <c r="Z76" s="483"/>
      <c r="AA76" s="483"/>
      <c r="AB76" s="483"/>
      <c r="AC76" s="483"/>
      <c r="AD76" s="483"/>
      <c r="AE76" s="640"/>
    </row>
    <row r="77" spans="1:31" x14ac:dyDescent="0.3">
      <c r="P77" s="481"/>
      <c r="R77" s="483"/>
      <c r="S77" s="483"/>
      <c r="T77" s="483"/>
      <c r="U77" s="483"/>
      <c r="V77" s="483"/>
      <c r="W77" s="483"/>
      <c r="Y77" s="483"/>
      <c r="Z77" s="483"/>
      <c r="AA77" s="483"/>
      <c r="AB77" s="483"/>
      <c r="AC77" s="483"/>
      <c r="AD77" s="483"/>
      <c r="AE77" s="640"/>
    </row>
    <row r="78" spans="1:31" x14ac:dyDescent="0.3">
      <c r="P78" s="481"/>
      <c r="R78" s="483"/>
      <c r="S78" s="483"/>
      <c r="T78" s="483"/>
      <c r="U78" s="483"/>
      <c r="V78" s="483"/>
      <c r="W78" s="483"/>
      <c r="Y78" s="483"/>
      <c r="Z78" s="483"/>
      <c r="AA78" s="483"/>
      <c r="AB78" s="483"/>
      <c r="AC78" s="483"/>
      <c r="AD78" s="483"/>
      <c r="AE78" s="640"/>
    </row>
    <row r="79" spans="1:31" x14ac:dyDescent="0.3">
      <c r="P79" s="481"/>
      <c r="R79" s="483"/>
      <c r="S79" s="483"/>
      <c r="T79" s="483"/>
      <c r="U79" s="483"/>
      <c r="V79" s="483"/>
      <c r="W79" s="483"/>
      <c r="Y79" s="483"/>
      <c r="Z79" s="483"/>
      <c r="AA79" s="483"/>
      <c r="AB79" s="483"/>
      <c r="AC79" s="483"/>
      <c r="AD79" s="483"/>
      <c r="AE79" s="640"/>
    </row>
    <row r="80" spans="1:31" x14ac:dyDescent="0.3">
      <c r="P80" s="481"/>
      <c r="R80" s="483"/>
      <c r="S80" s="483"/>
      <c r="T80" s="483"/>
      <c r="U80" s="483"/>
      <c r="V80" s="483"/>
      <c r="W80" s="483"/>
      <c r="Y80" s="483"/>
      <c r="Z80" s="483"/>
      <c r="AA80" s="483"/>
      <c r="AB80" s="483"/>
      <c r="AC80" s="483"/>
      <c r="AD80" s="483"/>
      <c r="AE80" s="640"/>
    </row>
    <row r="81" spans="7:31" x14ac:dyDescent="0.3">
      <c r="P81" s="481"/>
      <c r="R81" s="483"/>
      <c r="S81" s="483"/>
      <c r="T81" s="483"/>
      <c r="U81" s="483"/>
      <c r="V81" s="483"/>
      <c r="W81" s="483"/>
      <c r="Y81" s="483"/>
      <c r="Z81" s="483"/>
      <c r="AA81" s="483"/>
      <c r="AB81" s="483"/>
      <c r="AC81" s="483"/>
      <c r="AD81" s="483"/>
      <c r="AE81" s="640"/>
    </row>
    <row r="82" spans="7:31" x14ac:dyDescent="0.3">
      <c r="P82" s="481"/>
      <c r="R82" s="483"/>
      <c r="S82" s="483"/>
      <c r="T82" s="483"/>
      <c r="U82" s="483"/>
      <c r="V82" s="483"/>
      <c r="W82" s="483"/>
      <c r="Y82" s="483"/>
      <c r="Z82" s="483"/>
      <c r="AA82" s="483"/>
      <c r="AB82" s="483"/>
      <c r="AC82" s="483"/>
      <c r="AD82" s="483"/>
      <c r="AE82" s="640"/>
    </row>
    <row r="83" spans="7:31" x14ac:dyDescent="0.3">
      <c r="P83" s="481"/>
      <c r="R83" s="483"/>
      <c r="S83" s="483"/>
      <c r="T83" s="483"/>
      <c r="U83" s="483"/>
      <c r="V83" s="483"/>
      <c r="W83" s="483"/>
      <c r="Y83" s="483"/>
      <c r="Z83" s="483"/>
      <c r="AA83" s="483"/>
      <c r="AB83" s="483"/>
      <c r="AC83" s="483"/>
      <c r="AD83" s="483"/>
      <c r="AE83" s="640"/>
    </row>
    <row r="84" spans="7:31" x14ac:dyDescent="0.3">
      <c r="P84" s="481"/>
      <c r="R84" s="483"/>
      <c r="S84" s="483"/>
      <c r="T84" s="483"/>
      <c r="U84" s="483"/>
      <c r="V84" s="483"/>
      <c r="W84" s="483"/>
      <c r="Y84" s="483"/>
      <c r="Z84" s="483"/>
      <c r="AA84" s="483"/>
      <c r="AB84" s="483"/>
      <c r="AC84" s="483"/>
      <c r="AD84" s="483"/>
      <c r="AE84" s="640"/>
    </row>
    <row r="85" spans="7:31" x14ac:dyDescent="0.3">
      <c r="P85" s="481"/>
      <c r="R85" s="483"/>
      <c r="S85" s="483"/>
      <c r="T85" s="483"/>
      <c r="U85" s="483"/>
      <c r="V85" s="483"/>
      <c r="W85" s="483"/>
      <c r="Y85" s="483"/>
      <c r="Z85" s="483"/>
      <c r="AA85" s="483"/>
      <c r="AB85" s="483"/>
      <c r="AC85" s="483"/>
      <c r="AD85" s="483"/>
      <c r="AE85" s="640"/>
    </row>
    <row r="86" spans="7:31" x14ac:dyDescent="0.3">
      <c r="P86" s="481"/>
      <c r="R86" s="483"/>
      <c r="S86" s="483"/>
      <c r="T86" s="483"/>
      <c r="U86" s="483"/>
      <c r="V86" s="483"/>
      <c r="W86" s="483"/>
      <c r="Y86" s="483"/>
      <c r="Z86" s="483"/>
      <c r="AA86" s="483"/>
      <c r="AB86" s="483"/>
      <c r="AC86" s="483"/>
      <c r="AD86" s="483"/>
      <c r="AE86" s="640"/>
    </row>
    <row r="87" spans="7:31" x14ac:dyDescent="0.3">
      <c r="P87" s="481"/>
      <c r="R87" s="483"/>
      <c r="S87" s="483"/>
      <c r="T87" s="483"/>
      <c r="U87" s="483"/>
      <c r="V87" s="483"/>
      <c r="W87" s="483"/>
      <c r="Y87" s="483"/>
      <c r="Z87" s="483"/>
      <c r="AA87" s="483"/>
      <c r="AB87" s="483"/>
      <c r="AC87" s="483"/>
      <c r="AD87" s="483"/>
      <c r="AE87" s="640"/>
    </row>
    <row r="88" spans="7:31" x14ac:dyDescent="0.3">
      <c r="P88" s="481"/>
      <c r="R88" s="483"/>
      <c r="S88" s="483"/>
      <c r="T88" s="483"/>
      <c r="U88" s="483"/>
      <c r="V88" s="483"/>
      <c r="W88" s="483"/>
      <c r="Y88" s="483"/>
      <c r="Z88" s="483"/>
      <c r="AA88" s="483"/>
      <c r="AB88" s="483"/>
      <c r="AC88" s="483"/>
      <c r="AD88" s="483"/>
      <c r="AE88" s="640"/>
    </row>
    <row r="89" spans="7:31" x14ac:dyDescent="0.3">
      <c r="P89" s="481"/>
      <c r="R89" s="483"/>
      <c r="S89" s="483"/>
      <c r="T89" s="483"/>
      <c r="U89" s="483"/>
      <c r="V89" s="483"/>
      <c r="W89" s="483"/>
      <c r="Y89" s="483"/>
      <c r="Z89" s="483"/>
      <c r="AA89" s="483"/>
      <c r="AB89" s="483"/>
      <c r="AC89" s="483"/>
      <c r="AD89" s="483"/>
      <c r="AE89" s="640"/>
    </row>
    <row r="90" spans="7:31" x14ac:dyDescent="0.3">
      <c r="P90" s="481"/>
      <c r="R90" s="483"/>
      <c r="S90" s="483"/>
      <c r="T90" s="483"/>
      <c r="U90" s="483"/>
      <c r="V90" s="483"/>
      <c r="W90" s="483"/>
      <c r="Y90" s="483"/>
      <c r="Z90" s="483"/>
      <c r="AA90" s="483"/>
      <c r="AB90" s="483"/>
      <c r="AC90" s="483"/>
      <c r="AD90" s="483"/>
      <c r="AE90" s="640"/>
    </row>
    <row r="91" spans="7:31" x14ac:dyDescent="0.3">
      <c r="P91" s="481"/>
      <c r="R91" s="483"/>
      <c r="S91" s="483"/>
      <c r="T91" s="483"/>
      <c r="U91" s="483"/>
      <c r="V91" s="483"/>
      <c r="W91" s="483"/>
      <c r="Y91" s="483"/>
      <c r="Z91" s="483"/>
      <c r="AA91" s="483"/>
      <c r="AB91" s="483"/>
      <c r="AC91" s="483"/>
      <c r="AD91" s="483"/>
      <c r="AE91" s="640"/>
    </row>
    <row r="92" spans="7:31" x14ac:dyDescent="0.3">
      <c r="P92" s="481"/>
      <c r="R92" s="483"/>
      <c r="S92" s="483"/>
      <c r="T92" s="483"/>
      <c r="U92" s="483"/>
      <c r="V92" s="483"/>
      <c r="W92" s="483"/>
      <c r="Y92" s="483"/>
      <c r="Z92" s="483"/>
      <c r="AA92" s="483"/>
      <c r="AB92" s="483"/>
      <c r="AC92" s="483"/>
      <c r="AD92" s="483"/>
      <c r="AE92" s="640"/>
    </row>
    <row r="93" spans="7:31" x14ac:dyDescent="0.3">
      <c r="P93" s="481"/>
      <c r="R93" s="483"/>
      <c r="S93" s="483"/>
      <c r="T93" s="483"/>
      <c r="U93" s="483"/>
      <c r="V93" s="483"/>
      <c r="W93" s="483"/>
      <c r="Y93" s="483"/>
      <c r="Z93" s="483"/>
      <c r="AA93" s="483"/>
      <c r="AB93" s="483"/>
      <c r="AC93" s="483"/>
      <c r="AD93" s="483"/>
      <c r="AE93" s="640"/>
    </row>
    <row r="94" spans="7:31" x14ac:dyDescent="0.3">
      <c r="P94" s="481"/>
      <c r="R94" s="483"/>
      <c r="S94" s="483"/>
      <c r="T94" s="483"/>
      <c r="U94" s="483"/>
      <c r="V94" s="483"/>
      <c r="W94" s="483"/>
      <c r="Y94" s="483"/>
      <c r="Z94" s="483"/>
      <c r="AA94" s="483"/>
      <c r="AB94" s="483"/>
      <c r="AC94" s="483"/>
      <c r="AD94" s="483"/>
      <c r="AE94" s="640"/>
    </row>
    <row r="95" spans="7:31" x14ac:dyDescent="0.3">
      <c r="P95" s="481"/>
      <c r="R95" s="483"/>
      <c r="S95" s="483"/>
      <c r="T95" s="483"/>
      <c r="U95" s="483"/>
      <c r="V95" s="483"/>
      <c r="W95" s="483"/>
      <c r="Y95" s="483"/>
      <c r="Z95" s="483"/>
      <c r="AA95" s="483"/>
      <c r="AB95" s="483"/>
      <c r="AC95" s="483"/>
      <c r="AD95" s="483"/>
      <c r="AE95" s="640"/>
    </row>
    <row r="96" spans="7:31" x14ac:dyDescent="0.3">
      <c r="G96" s="123">
        <f ca="1">-H15/1000</f>
        <v>41.139197600000003</v>
      </c>
      <c r="P96" s="481"/>
      <c r="R96" s="483"/>
      <c r="S96" s="483"/>
      <c r="T96" s="483"/>
      <c r="U96" s="483"/>
      <c r="V96" s="483"/>
      <c r="W96" s="483"/>
      <c r="Y96" s="483"/>
      <c r="Z96" s="483"/>
      <c r="AA96" s="483"/>
      <c r="AB96" s="483"/>
      <c r="AC96" s="483"/>
      <c r="AD96" s="483"/>
      <c r="AE96" s="640"/>
    </row>
    <row r="97" spans="7:31" x14ac:dyDescent="0.3">
      <c r="G97" s="483" t="str">
        <f ca="1">"Total Power Generated = "&amp;TEXT(G96,"#,##0") &amp; " MW"</f>
        <v>Total Power Generated = 41 MW</v>
      </c>
      <c r="P97" s="481"/>
      <c r="R97" s="483"/>
      <c r="S97" s="483"/>
      <c r="T97" s="483"/>
      <c r="U97" s="483"/>
      <c r="V97" s="483"/>
      <c r="W97" s="483"/>
      <c r="Y97" s="483"/>
      <c r="Z97" s="483"/>
      <c r="AA97" s="483"/>
      <c r="AB97" s="483"/>
      <c r="AC97" s="483"/>
      <c r="AD97" s="483"/>
      <c r="AE97" s="640"/>
    </row>
    <row r="98" spans="7:31" x14ac:dyDescent="0.3">
      <c r="P98" s="481"/>
      <c r="R98" s="483"/>
      <c r="S98" s="483"/>
      <c r="T98" s="483"/>
      <c r="U98" s="483"/>
      <c r="V98" s="483"/>
      <c r="W98" s="483"/>
      <c r="Y98" s="483"/>
      <c r="Z98" s="483"/>
      <c r="AA98" s="483"/>
      <c r="AB98" s="483"/>
      <c r="AC98" s="483"/>
      <c r="AD98" s="483"/>
      <c r="AE98" s="640"/>
    </row>
    <row r="99" spans="7:31" x14ac:dyDescent="0.3">
      <c r="P99" s="481"/>
      <c r="R99" s="483"/>
      <c r="S99" s="483"/>
      <c r="T99" s="483"/>
      <c r="U99" s="483"/>
      <c r="V99" s="483"/>
      <c r="W99" s="483"/>
      <c r="Y99" s="483"/>
      <c r="Z99" s="483"/>
      <c r="AA99" s="483"/>
      <c r="AB99" s="483"/>
      <c r="AC99" s="483"/>
      <c r="AD99" s="483"/>
      <c r="AE99" s="640"/>
    </row>
    <row r="100" spans="7:31" x14ac:dyDescent="0.3">
      <c r="P100" s="481"/>
      <c r="R100" s="483"/>
      <c r="S100" s="483"/>
      <c r="T100" s="483"/>
      <c r="U100" s="483"/>
      <c r="V100" s="483"/>
      <c r="W100" s="483"/>
      <c r="Y100" s="483"/>
      <c r="Z100" s="483"/>
      <c r="AA100" s="483"/>
      <c r="AB100" s="483"/>
      <c r="AC100" s="483"/>
      <c r="AD100" s="483"/>
      <c r="AE100" s="640"/>
    </row>
    <row r="101" spans="7:31" x14ac:dyDescent="0.3">
      <c r="P101" s="481"/>
      <c r="R101" s="483"/>
      <c r="S101" s="483"/>
      <c r="T101" s="483"/>
      <c r="U101" s="483"/>
      <c r="V101" s="483"/>
      <c r="W101" s="483"/>
      <c r="Y101" s="483"/>
      <c r="Z101" s="483"/>
      <c r="AA101" s="483"/>
      <c r="AB101" s="483"/>
      <c r="AC101" s="483"/>
      <c r="AD101" s="483"/>
      <c r="AE101" s="640"/>
    </row>
    <row r="102" spans="7:31" x14ac:dyDescent="0.3">
      <c r="P102" s="481"/>
      <c r="R102" s="483"/>
      <c r="S102" s="483"/>
      <c r="T102" s="483"/>
      <c r="U102" s="483"/>
      <c r="V102" s="483"/>
      <c r="W102" s="483"/>
      <c r="Y102" s="483"/>
      <c r="Z102" s="483"/>
      <c r="AA102" s="483"/>
      <c r="AB102" s="483"/>
      <c r="AC102" s="483"/>
      <c r="AD102" s="483"/>
      <c r="AE102" s="640"/>
    </row>
    <row r="103" spans="7:31" x14ac:dyDescent="0.3">
      <c r="P103" s="481"/>
      <c r="R103" s="483"/>
      <c r="S103" s="483"/>
      <c r="T103" s="483"/>
      <c r="U103" s="483"/>
      <c r="V103" s="483"/>
      <c r="W103" s="483"/>
      <c r="Y103" s="483"/>
      <c r="Z103" s="483"/>
      <c r="AA103" s="483"/>
      <c r="AB103" s="483"/>
      <c r="AC103" s="483"/>
      <c r="AD103" s="483"/>
      <c r="AE103" s="640"/>
    </row>
    <row r="104" spans="7:31" x14ac:dyDescent="0.3">
      <c r="P104" s="481"/>
      <c r="R104" s="483"/>
      <c r="S104" s="483"/>
      <c r="T104" s="483"/>
      <c r="U104" s="483"/>
      <c r="V104" s="483"/>
      <c r="W104" s="483"/>
      <c r="Y104" s="483"/>
      <c r="Z104" s="483"/>
      <c r="AA104" s="483"/>
      <c r="AB104" s="483"/>
      <c r="AC104" s="483"/>
      <c r="AD104" s="483"/>
      <c r="AE104" s="640"/>
    </row>
    <row r="105" spans="7:31" x14ac:dyDescent="0.3">
      <c r="P105" s="481"/>
      <c r="R105" s="483"/>
      <c r="S105" s="483"/>
      <c r="T105" s="483"/>
      <c r="U105" s="483"/>
      <c r="V105" s="483"/>
      <c r="W105" s="483"/>
      <c r="Y105" s="483"/>
      <c r="Z105" s="483"/>
      <c r="AA105" s="483"/>
      <c r="AB105" s="483"/>
      <c r="AC105" s="483"/>
      <c r="AD105" s="483"/>
      <c r="AE105" s="640"/>
    </row>
    <row r="106" spans="7:31" x14ac:dyDescent="0.3">
      <c r="P106" s="481"/>
      <c r="R106" s="483"/>
      <c r="S106" s="483"/>
      <c r="T106" s="483"/>
      <c r="U106" s="483"/>
      <c r="V106" s="483"/>
      <c r="W106" s="483"/>
      <c r="Y106" s="483"/>
      <c r="Z106" s="483"/>
      <c r="AA106" s="483"/>
      <c r="AB106" s="483"/>
      <c r="AC106" s="483"/>
      <c r="AD106" s="483"/>
      <c r="AE106" s="640"/>
    </row>
    <row r="107" spans="7:31" x14ac:dyDescent="0.3">
      <c r="P107" s="481"/>
      <c r="R107" s="483"/>
      <c r="S107" s="483"/>
      <c r="T107" s="483"/>
      <c r="U107" s="483"/>
      <c r="V107" s="483"/>
      <c r="W107" s="483"/>
      <c r="Y107" s="483"/>
      <c r="Z107" s="483"/>
      <c r="AA107" s="483"/>
      <c r="AB107" s="483"/>
      <c r="AC107" s="483"/>
      <c r="AD107" s="483"/>
      <c r="AE107" s="640"/>
    </row>
    <row r="108" spans="7:31" x14ac:dyDescent="0.3">
      <c r="P108" s="481"/>
      <c r="R108" s="483"/>
      <c r="S108" s="483"/>
      <c r="T108" s="483"/>
      <c r="U108" s="483"/>
      <c r="V108" s="483"/>
      <c r="W108" s="483"/>
      <c r="Y108" s="483"/>
      <c r="Z108" s="483"/>
      <c r="AA108" s="483"/>
      <c r="AB108" s="483"/>
      <c r="AC108" s="483"/>
      <c r="AD108" s="483"/>
      <c r="AE108" s="640"/>
    </row>
    <row r="109" spans="7:31" x14ac:dyDescent="0.3">
      <c r="P109" s="481"/>
      <c r="R109" s="483"/>
      <c r="S109" s="483"/>
      <c r="T109" s="483"/>
      <c r="U109" s="483"/>
      <c r="V109" s="483"/>
      <c r="W109" s="483"/>
      <c r="Y109" s="483"/>
      <c r="Z109" s="483"/>
      <c r="AA109" s="483"/>
      <c r="AB109" s="483"/>
      <c r="AC109" s="483"/>
      <c r="AD109" s="483"/>
      <c r="AE109" s="640"/>
    </row>
    <row r="110" spans="7:31" x14ac:dyDescent="0.3">
      <c r="P110" s="481"/>
      <c r="R110" s="483"/>
      <c r="S110" s="483"/>
      <c r="T110" s="483"/>
      <c r="U110" s="483"/>
      <c r="V110" s="483"/>
      <c r="W110" s="483"/>
      <c r="Y110" s="483"/>
      <c r="Z110" s="483"/>
      <c r="AA110" s="483"/>
      <c r="AB110" s="483"/>
      <c r="AC110" s="483"/>
      <c r="AD110" s="483"/>
      <c r="AE110" s="640"/>
    </row>
    <row r="111" spans="7:31" x14ac:dyDescent="0.3">
      <c r="P111" s="481"/>
      <c r="R111" s="483"/>
      <c r="S111" s="483"/>
      <c r="T111" s="483"/>
      <c r="U111" s="483"/>
      <c r="V111" s="483"/>
      <c r="W111" s="483"/>
      <c r="Y111" s="483"/>
      <c r="Z111" s="483"/>
      <c r="AA111" s="483"/>
      <c r="AB111" s="483"/>
      <c r="AC111" s="483"/>
      <c r="AD111" s="483"/>
      <c r="AE111" s="640"/>
    </row>
    <row r="112" spans="7:31" x14ac:dyDescent="0.3">
      <c r="P112" s="481"/>
      <c r="R112" s="483"/>
      <c r="S112" s="483"/>
      <c r="T112" s="483"/>
      <c r="U112" s="483"/>
      <c r="V112" s="483"/>
      <c r="W112" s="483"/>
      <c r="Y112" s="483"/>
      <c r="Z112" s="483"/>
      <c r="AA112" s="483"/>
      <c r="AB112" s="483"/>
      <c r="AC112" s="483"/>
      <c r="AD112" s="483"/>
      <c r="AE112" s="640"/>
    </row>
    <row r="113" spans="16:31" x14ac:dyDescent="0.3">
      <c r="P113" s="481"/>
      <c r="R113" s="483"/>
      <c r="S113" s="483"/>
      <c r="T113" s="483"/>
      <c r="U113" s="483"/>
      <c r="V113" s="483"/>
      <c r="W113" s="483"/>
      <c r="Y113" s="483"/>
      <c r="Z113" s="483"/>
      <c r="AA113" s="483"/>
      <c r="AB113" s="483"/>
      <c r="AC113" s="483"/>
      <c r="AD113" s="483"/>
      <c r="AE113" s="640"/>
    </row>
    <row r="114" spans="16:31" x14ac:dyDescent="0.3">
      <c r="P114" s="481"/>
      <c r="R114" s="483"/>
      <c r="S114" s="483"/>
      <c r="T114" s="483"/>
      <c r="U114" s="483"/>
      <c r="V114" s="483"/>
      <c r="W114" s="483"/>
      <c r="Y114" s="483"/>
      <c r="Z114" s="483"/>
      <c r="AA114" s="483"/>
      <c r="AB114" s="483"/>
      <c r="AC114" s="483"/>
      <c r="AD114" s="483"/>
      <c r="AE114" s="640"/>
    </row>
    <row r="115" spans="16:31" x14ac:dyDescent="0.3">
      <c r="P115" s="481"/>
      <c r="R115" s="483"/>
      <c r="S115" s="483"/>
      <c r="T115" s="483"/>
      <c r="U115" s="483"/>
      <c r="V115" s="483"/>
      <c r="W115" s="483"/>
      <c r="Y115" s="483"/>
      <c r="Z115" s="483"/>
      <c r="AA115" s="483"/>
      <c r="AB115" s="483"/>
      <c r="AC115" s="483"/>
      <c r="AD115" s="483"/>
      <c r="AE115" s="640"/>
    </row>
    <row r="116" spans="16:31" x14ac:dyDescent="0.3">
      <c r="P116" s="481"/>
      <c r="R116" s="483"/>
      <c r="S116" s="483"/>
      <c r="T116" s="483"/>
      <c r="U116" s="483"/>
      <c r="V116" s="483"/>
      <c r="W116" s="483"/>
      <c r="Y116" s="483"/>
      <c r="Z116" s="483"/>
      <c r="AA116" s="483"/>
      <c r="AB116" s="483"/>
      <c r="AC116" s="483"/>
      <c r="AD116" s="483"/>
      <c r="AE116" s="640"/>
    </row>
    <row r="117" spans="16:31" x14ac:dyDescent="0.3">
      <c r="P117" s="481"/>
      <c r="R117" s="483"/>
      <c r="S117" s="483"/>
      <c r="T117" s="483"/>
      <c r="U117" s="483"/>
      <c r="V117" s="483"/>
      <c r="W117" s="483"/>
      <c r="Y117" s="483"/>
      <c r="Z117" s="483"/>
      <c r="AA117" s="483"/>
      <c r="AB117" s="483"/>
      <c r="AC117" s="483"/>
      <c r="AD117" s="483"/>
      <c r="AE117" s="640"/>
    </row>
    <row r="118" spans="16:31" x14ac:dyDescent="0.3">
      <c r="P118" s="481"/>
      <c r="R118" s="483"/>
      <c r="S118" s="483"/>
      <c r="T118" s="483"/>
      <c r="U118" s="483"/>
      <c r="V118" s="483"/>
      <c r="W118" s="483"/>
      <c r="Y118" s="483"/>
      <c r="Z118" s="483"/>
      <c r="AA118" s="483"/>
      <c r="AB118" s="483"/>
      <c r="AC118" s="483"/>
      <c r="AD118" s="483"/>
      <c r="AE118" s="640"/>
    </row>
    <row r="119" spans="16:31" x14ac:dyDescent="0.3">
      <c r="P119" s="481"/>
      <c r="R119" s="483"/>
      <c r="S119" s="483"/>
      <c r="T119" s="483"/>
      <c r="U119" s="483"/>
      <c r="V119" s="483"/>
      <c r="W119" s="483"/>
      <c r="Y119" s="483"/>
      <c r="Z119" s="483"/>
      <c r="AA119" s="483"/>
      <c r="AB119" s="483"/>
      <c r="AC119" s="483"/>
      <c r="AD119" s="483"/>
      <c r="AE119" s="640"/>
    </row>
    <row r="120" spans="16:31" x14ac:dyDescent="0.3">
      <c r="P120" s="481"/>
      <c r="R120" s="483"/>
      <c r="S120" s="483"/>
      <c r="T120" s="483"/>
      <c r="U120" s="483"/>
      <c r="V120" s="483"/>
      <c r="W120" s="483"/>
      <c r="Y120" s="483"/>
      <c r="Z120" s="483"/>
      <c r="AA120" s="483"/>
      <c r="AB120" s="483"/>
      <c r="AC120" s="483"/>
      <c r="AD120" s="483"/>
      <c r="AE120" s="640"/>
    </row>
    <row r="121" spans="16:31" x14ac:dyDescent="0.3">
      <c r="P121" s="481"/>
      <c r="R121" s="483"/>
      <c r="S121" s="483"/>
      <c r="T121" s="483"/>
      <c r="U121" s="483"/>
      <c r="V121" s="483"/>
      <c r="W121" s="483"/>
      <c r="Y121" s="483"/>
      <c r="Z121" s="483"/>
      <c r="AA121" s="483"/>
      <c r="AB121" s="483"/>
      <c r="AC121" s="483"/>
      <c r="AD121" s="483"/>
      <c r="AE121" s="640"/>
    </row>
    <row r="122" spans="16:31" x14ac:dyDescent="0.3">
      <c r="P122" s="481"/>
      <c r="R122" s="483"/>
      <c r="S122" s="483"/>
      <c r="T122" s="483"/>
      <c r="U122" s="483"/>
      <c r="V122" s="483"/>
      <c r="W122" s="483"/>
      <c r="Y122" s="483"/>
      <c r="Z122" s="483"/>
      <c r="AA122" s="483"/>
      <c r="AB122" s="483"/>
      <c r="AC122" s="483"/>
      <c r="AD122" s="483"/>
      <c r="AE122" s="640"/>
    </row>
    <row r="123" spans="16:31" x14ac:dyDescent="0.3">
      <c r="P123" s="481"/>
      <c r="R123" s="483"/>
      <c r="S123" s="483"/>
      <c r="T123" s="483"/>
      <c r="U123" s="483"/>
      <c r="V123" s="483"/>
      <c r="W123" s="483"/>
      <c r="Y123" s="483"/>
      <c r="Z123" s="483"/>
      <c r="AA123" s="483"/>
      <c r="AB123" s="483"/>
      <c r="AC123" s="483"/>
      <c r="AD123" s="483"/>
      <c r="AE123" s="640"/>
    </row>
    <row r="124" spans="16:31" x14ac:dyDescent="0.3">
      <c r="P124" s="481"/>
      <c r="R124" s="483"/>
      <c r="S124" s="483"/>
      <c r="T124" s="483"/>
      <c r="U124" s="483"/>
      <c r="V124" s="483"/>
      <c r="W124" s="483"/>
      <c r="Y124" s="483"/>
      <c r="Z124" s="483"/>
      <c r="AA124" s="483"/>
      <c r="AB124" s="483"/>
      <c r="AC124" s="483"/>
      <c r="AD124" s="483"/>
      <c r="AE124" s="640"/>
    </row>
    <row r="125" spans="16:31" x14ac:dyDescent="0.3">
      <c r="P125" s="481"/>
      <c r="R125" s="483"/>
      <c r="S125" s="483"/>
      <c r="T125" s="483"/>
      <c r="U125" s="483"/>
      <c r="V125" s="483"/>
      <c r="W125" s="483"/>
      <c r="Y125" s="483"/>
      <c r="Z125" s="483"/>
      <c r="AA125" s="483"/>
      <c r="AB125" s="483"/>
      <c r="AC125" s="483"/>
      <c r="AD125" s="483"/>
      <c r="AE125" s="640"/>
    </row>
    <row r="126" spans="16:31" x14ac:dyDescent="0.3">
      <c r="P126" s="481"/>
      <c r="R126" s="483"/>
      <c r="S126" s="483"/>
      <c r="T126" s="483"/>
      <c r="U126" s="483"/>
      <c r="V126" s="483"/>
      <c r="W126" s="483"/>
      <c r="Y126" s="483"/>
      <c r="Z126" s="483"/>
      <c r="AA126" s="483"/>
      <c r="AB126" s="483"/>
      <c r="AC126" s="483"/>
      <c r="AD126" s="483"/>
      <c r="AE126" s="640"/>
    </row>
    <row r="127" spans="16:31" x14ac:dyDescent="0.3">
      <c r="P127" s="481"/>
      <c r="R127" s="483"/>
      <c r="S127" s="483"/>
      <c r="T127" s="483"/>
      <c r="U127" s="483"/>
      <c r="V127" s="483"/>
      <c r="W127" s="483"/>
      <c r="Y127" s="483"/>
      <c r="Z127" s="483"/>
      <c r="AA127" s="483"/>
      <c r="AB127" s="483"/>
      <c r="AC127" s="483"/>
      <c r="AD127" s="483"/>
      <c r="AE127" s="640"/>
    </row>
    <row r="128" spans="16:31" x14ac:dyDescent="0.3">
      <c r="P128" s="481"/>
      <c r="R128" s="483"/>
      <c r="S128" s="483"/>
      <c r="T128" s="483"/>
      <c r="U128" s="483"/>
      <c r="V128" s="483"/>
      <c r="W128" s="483"/>
      <c r="Y128" s="483"/>
      <c r="Z128" s="483"/>
      <c r="AA128" s="483"/>
      <c r="AB128" s="483"/>
      <c r="AC128" s="483"/>
      <c r="AD128" s="483"/>
      <c r="AE128" s="640"/>
    </row>
    <row r="129" spans="16:31" x14ac:dyDescent="0.3">
      <c r="P129" s="481"/>
      <c r="R129" s="483"/>
      <c r="S129" s="483"/>
      <c r="T129" s="483"/>
      <c r="U129" s="483"/>
      <c r="V129" s="483"/>
      <c r="W129" s="483"/>
      <c r="Y129" s="483"/>
      <c r="Z129" s="483"/>
      <c r="AA129" s="483"/>
      <c r="AB129" s="483"/>
      <c r="AC129" s="483"/>
      <c r="AD129" s="483"/>
      <c r="AE129" s="640"/>
    </row>
    <row r="130" spans="16:31" x14ac:dyDescent="0.3">
      <c r="P130" s="481"/>
      <c r="R130" s="483"/>
      <c r="S130" s="483"/>
      <c r="T130" s="483"/>
      <c r="U130" s="483"/>
      <c r="V130" s="483"/>
      <c r="W130" s="483"/>
      <c r="Y130" s="483"/>
      <c r="Z130" s="483"/>
      <c r="AA130" s="483"/>
      <c r="AB130" s="483"/>
      <c r="AC130" s="483"/>
      <c r="AD130" s="483"/>
      <c r="AE130" s="640"/>
    </row>
    <row r="131" spans="16:31" x14ac:dyDescent="0.3">
      <c r="P131" s="481"/>
      <c r="R131" s="483"/>
      <c r="S131" s="483"/>
      <c r="T131" s="483"/>
      <c r="U131" s="483"/>
      <c r="V131" s="483"/>
      <c r="W131" s="483"/>
      <c r="Y131" s="483"/>
      <c r="Z131" s="483"/>
      <c r="AA131" s="483"/>
      <c r="AB131" s="483"/>
      <c r="AC131" s="483"/>
      <c r="AD131" s="483"/>
      <c r="AE131" s="640"/>
    </row>
    <row r="132" spans="16:31" x14ac:dyDescent="0.3">
      <c r="P132" s="481"/>
      <c r="R132" s="483"/>
      <c r="S132" s="483"/>
      <c r="T132" s="483"/>
      <c r="U132" s="483"/>
      <c r="V132" s="483"/>
      <c r="W132" s="483"/>
      <c r="Y132" s="483"/>
      <c r="Z132" s="483"/>
      <c r="AA132" s="483"/>
      <c r="AB132" s="483"/>
      <c r="AC132" s="483"/>
      <c r="AD132" s="483"/>
      <c r="AE132" s="640"/>
    </row>
    <row r="133" spans="16:31" x14ac:dyDescent="0.3">
      <c r="P133" s="481"/>
      <c r="R133" s="483"/>
      <c r="S133" s="483"/>
      <c r="T133" s="483"/>
      <c r="U133" s="483"/>
      <c r="V133" s="483"/>
      <c r="W133" s="483"/>
      <c r="Y133" s="483"/>
      <c r="Z133" s="483"/>
      <c r="AA133" s="483"/>
      <c r="AB133" s="483"/>
      <c r="AC133" s="483"/>
      <c r="AD133" s="483"/>
      <c r="AE133" s="640"/>
    </row>
    <row r="134" spans="16:31" x14ac:dyDescent="0.3">
      <c r="P134" s="481"/>
      <c r="R134" s="483"/>
      <c r="S134" s="483"/>
      <c r="T134" s="483"/>
      <c r="U134" s="483"/>
      <c r="V134" s="483"/>
      <c r="W134" s="483"/>
      <c r="Y134" s="483"/>
      <c r="Z134" s="483"/>
      <c r="AA134" s="483"/>
      <c r="AB134" s="483"/>
      <c r="AC134" s="483"/>
      <c r="AD134" s="483"/>
      <c r="AE134" s="640"/>
    </row>
    <row r="135" spans="16:31" x14ac:dyDescent="0.3">
      <c r="P135" s="481"/>
      <c r="R135" s="483"/>
      <c r="S135" s="483"/>
      <c r="T135" s="483"/>
      <c r="U135" s="483"/>
      <c r="V135" s="483"/>
      <c r="W135" s="483"/>
      <c r="Y135" s="483"/>
      <c r="Z135" s="483"/>
      <c r="AA135" s="483"/>
      <c r="AB135" s="483"/>
      <c r="AC135" s="483"/>
      <c r="AD135" s="483"/>
      <c r="AE135" s="640"/>
    </row>
    <row r="136" spans="16:31" x14ac:dyDescent="0.3">
      <c r="P136" s="481"/>
      <c r="R136" s="483"/>
      <c r="S136" s="483"/>
      <c r="T136" s="483"/>
      <c r="U136" s="483"/>
      <c r="V136" s="483"/>
      <c r="W136" s="483"/>
      <c r="Y136" s="483"/>
      <c r="Z136" s="483"/>
      <c r="AA136" s="483"/>
      <c r="AB136" s="483"/>
      <c r="AC136" s="483"/>
      <c r="AD136" s="483"/>
      <c r="AE136" s="640"/>
    </row>
    <row r="137" spans="16:31" x14ac:dyDescent="0.3">
      <c r="P137" s="481"/>
      <c r="R137" s="483"/>
      <c r="S137" s="483"/>
      <c r="T137" s="483"/>
      <c r="U137" s="483"/>
      <c r="V137" s="483"/>
      <c r="W137" s="483"/>
      <c r="Y137" s="483"/>
      <c r="Z137" s="483"/>
      <c r="AA137" s="483"/>
      <c r="AB137" s="483"/>
      <c r="AC137" s="483"/>
      <c r="AD137" s="483"/>
      <c r="AE137" s="640"/>
    </row>
    <row r="138" spans="16:31" x14ac:dyDescent="0.3">
      <c r="P138" s="481"/>
      <c r="R138" s="483"/>
      <c r="S138" s="483"/>
      <c r="T138" s="483"/>
      <c r="U138" s="483"/>
      <c r="V138" s="483"/>
      <c r="W138" s="483"/>
      <c r="Y138" s="483"/>
      <c r="Z138" s="483"/>
      <c r="AA138" s="483"/>
      <c r="AB138" s="483"/>
      <c r="AC138" s="483"/>
      <c r="AD138" s="483"/>
      <c r="AE138" s="640"/>
    </row>
    <row r="139" spans="16:31" x14ac:dyDescent="0.3">
      <c r="P139" s="481"/>
      <c r="R139" s="483"/>
      <c r="S139" s="483"/>
      <c r="T139" s="483"/>
      <c r="U139" s="483"/>
      <c r="V139" s="483"/>
      <c r="W139" s="483"/>
      <c r="Y139" s="483"/>
      <c r="Z139" s="483"/>
      <c r="AA139" s="483"/>
      <c r="AB139" s="483"/>
      <c r="AC139" s="483"/>
      <c r="AD139" s="483"/>
      <c r="AE139" s="640"/>
    </row>
    <row r="140" spans="16:31" x14ac:dyDescent="0.3">
      <c r="P140" s="481"/>
      <c r="R140" s="483"/>
      <c r="S140" s="483"/>
      <c r="T140" s="483"/>
      <c r="U140" s="483"/>
      <c r="V140" s="483"/>
      <c r="W140" s="483"/>
      <c r="Y140" s="483"/>
      <c r="Z140" s="483"/>
      <c r="AA140" s="483"/>
      <c r="AB140" s="483"/>
      <c r="AC140" s="483"/>
      <c r="AD140" s="483"/>
      <c r="AE140" s="640"/>
    </row>
    <row r="141" spans="16:31" x14ac:dyDescent="0.3">
      <c r="P141" s="481"/>
      <c r="R141" s="483"/>
      <c r="S141" s="483"/>
      <c r="T141" s="483"/>
      <c r="U141" s="483"/>
      <c r="V141" s="483"/>
      <c r="W141" s="483"/>
      <c r="Y141" s="483"/>
      <c r="Z141" s="483"/>
      <c r="AA141" s="483"/>
      <c r="AB141" s="483"/>
      <c r="AC141" s="483"/>
      <c r="AD141" s="483"/>
      <c r="AE141" s="640"/>
    </row>
    <row r="142" spans="16:31" x14ac:dyDescent="0.3">
      <c r="P142" s="481"/>
      <c r="R142" s="483"/>
      <c r="S142" s="483"/>
      <c r="T142" s="483"/>
      <c r="U142" s="483"/>
      <c r="V142" s="483"/>
      <c r="W142" s="483"/>
      <c r="Y142" s="483"/>
      <c r="Z142" s="483"/>
      <c r="AA142" s="483"/>
      <c r="AB142" s="483"/>
      <c r="AC142" s="483"/>
      <c r="AD142" s="483"/>
      <c r="AE142" s="640"/>
    </row>
    <row r="143" spans="16:31" x14ac:dyDescent="0.3">
      <c r="P143" s="481"/>
      <c r="R143" s="483"/>
      <c r="S143" s="483"/>
      <c r="T143" s="483"/>
      <c r="U143" s="483"/>
      <c r="V143" s="483"/>
      <c r="W143" s="483"/>
      <c r="Y143" s="483"/>
      <c r="Z143" s="483"/>
      <c r="AA143" s="483"/>
      <c r="AB143" s="483"/>
      <c r="AC143" s="483"/>
      <c r="AD143" s="483"/>
      <c r="AE143" s="640"/>
    </row>
    <row r="144" spans="16:31" x14ac:dyDescent="0.3">
      <c r="P144" s="481"/>
      <c r="R144" s="483"/>
      <c r="S144" s="483"/>
      <c r="T144" s="483"/>
      <c r="U144" s="483"/>
      <c r="V144" s="483"/>
      <c r="W144" s="483"/>
      <c r="Y144" s="483"/>
      <c r="Z144" s="483"/>
      <c r="AA144" s="483"/>
      <c r="AB144" s="483"/>
      <c r="AC144" s="483"/>
      <c r="AD144" s="483"/>
      <c r="AE144" s="640"/>
    </row>
    <row r="145" spans="16:31" x14ac:dyDescent="0.3">
      <c r="P145" s="481"/>
      <c r="R145" s="483"/>
      <c r="S145" s="483"/>
      <c r="T145" s="483"/>
      <c r="U145" s="483"/>
      <c r="V145" s="483"/>
      <c r="W145" s="483"/>
      <c r="Y145" s="483"/>
      <c r="Z145" s="483"/>
      <c r="AA145" s="483"/>
      <c r="AB145" s="483"/>
      <c r="AC145" s="483"/>
      <c r="AD145" s="483"/>
      <c r="AE145" s="640"/>
    </row>
    <row r="146" spans="16:31" x14ac:dyDescent="0.3">
      <c r="P146" s="481"/>
      <c r="R146" s="483"/>
      <c r="S146" s="483"/>
      <c r="T146" s="483"/>
      <c r="U146" s="483"/>
      <c r="V146" s="483"/>
      <c r="W146" s="483"/>
      <c r="Y146" s="483"/>
      <c r="Z146" s="483"/>
      <c r="AA146" s="483"/>
      <c r="AB146" s="483"/>
      <c r="AC146" s="483"/>
      <c r="AD146" s="483"/>
      <c r="AE146" s="640"/>
    </row>
    <row r="147" spans="16:31" x14ac:dyDescent="0.3">
      <c r="P147" s="481"/>
      <c r="R147" s="483"/>
      <c r="S147" s="483"/>
      <c r="T147" s="483"/>
      <c r="U147" s="483"/>
      <c r="V147" s="483"/>
      <c r="W147" s="483"/>
      <c r="Y147" s="483"/>
      <c r="Z147" s="483"/>
      <c r="AA147" s="483"/>
      <c r="AB147" s="483"/>
      <c r="AC147" s="483"/>
      <c r="AD147" s="483"/>
      <c r="AE147" s="640"/>
    </row>
    <row r="148" spans="16:31" x14ac:dyDescent="0.3">
      <c r="P148" s="481"/>
      <c r="R148" s="483"/>
      <c r="S148" s="483"/>
      <c r="T148" s="483"/>
      <c r="U148" s="483"/>
      <c r="V148" s="483"/>
      <c r="W148" s="483"/>
      <c r="Y148" s="483"/>
      <c r="Z148" s="483"/>
      <c r="AA148" s="483"/>
      <c r="AB148" s="483"/>
      <c r="AC148" s="483"/>
      <c r="AD148" s="483"/>
      <c r="AE148" s="640"/>
    </row>
    <row r="149" spans="16:31" x14ac:dyDescent="0.3">
      <c r="P149" s="481"/>
      <c r="R149" s="483"/>
      <c r="S149" s="483"/>
      <c r="T149" s="483"/>
      <c r="U149" s="483"/>
      <c r="V149" s="483"/>
      <c r="W149" s="483"/>
      <c r="Y149" s="483"/>
      <c r="Z149" s="483"/>
      <c r="AA149" s="483"/>
      <c r="AB149" s="483"/>
      <c r="AC149" s="483"/>
      <c r="AD149" s="483"/>
      <c r="AE149" s="640"/>
    </row>
    <row r="150" spans="16:31" x14ac:dyDescent="0.3">
      <c r="P150" s="481"/>
      <c r="R150" s="483"/>
      <c r="S150" s="483"/>
      <c r="T150" s="483"/>
      <c r="U150" s="483"/>
      <c r="V150" s="483"/>
      <c r="W150" s="483"/>
      <c r="Y150" s="483"/>
      <c r="Z150" s="483"/>
      <c r="AA150" s="483"/>
      <c r="AB150" s="483"/>
      <c r="AC150" s="483"/>
      <c r="AD150" s="483"/>
      <c r="AE150" s="640"/>
    </row>
    <row r="151" spans="16:31" x14ac:dyDescent="0.3">
      <c r="P151" s="481"/>
      <c r="R151" s="483"/>
      <c r="S151" s="483"/>
      <c r="T151" s="483"/>
      <c r="U151" s="483"/>
      <c r="V151" s="483"/>
      <c r="W151" s="483"/>
      <c r="Y151" s="483"/>
      <c r="Z151" s="483"/>
      <c r="AA151" s="483"/>
      <c r="AB151" s="483"/>
      <c r="AC151" s="483"/>
      <c r="AD151" s="483"/>
      <c r="AE151" s="640"/>
    </row>
    <row r="152" spans="16:31" x14ac:dyDescent="0.3">
      <c r="P152" s="481"/>
      <c r="R152" s="483"/>
      <c r="S152" s="483"/>
      <c r="T152" s="483"/>
      <c r="Y152" s="483"/>
      <c r="Z152" s="483"/>
      <c r="AA152" s="483"/>
      <c r="AB152" s="483"/>
      <c r="AC152" s="483"/>
      <c r="AD152" s="483"/>
      <c r="AE152" s="640"/>
    </row>
    <row r="153" spans="16:31" x14ac:dyDescent="0.3">
      <c r="P153" s="481"/>
      <c r="R153" s="483"/>
      <c r="S153" s="483"/>
      <c r="T153" s="483"/>
      <c r="Y153" s="483"/>
      <c r="Z153" s="483"/>
      <c r="AA153" s="483"/>
      <c r="AB153" s="483"/>
      <c r="AC153" s="483"/>
      <c r="AD153" s="483"/>
      <c r="AE153" s="640"/>
    </row>
    <row r="154" spans="16:31" x14ac:dyDescent="0.3">
      <c r="P154" s="481"/>
      <c r="R154" s="483"/>
      <c r="S154" s="483"/>
      <c r="T154" s="483"/>
      <c r="Y154" s="483"/>
      <c r="Z154" s="483"/>
      <c r="AA154" s="483"/>
      <c r="AB154" s="483"/>
      <c r="AC154" s="483"/>
      <c r="AD154" s="483"/>
      <c r="AE154" s="640"/>
    </row>
    <row r="155" spans="16:31" x14ac:dyDescent="0.3">
      <c r="P155" s="481"/>
      <c r="R155" s="483"/>
      <c r="S155" s="483"/>
      <c r="T155" s="483"/>
      <c r="Y155" s="483"/>
      <c r="AD155" s="483"/>
      <c r="AE155" s="640"/>
    </row>
    <row r="156" spans="16:31" x14ac:dyDescent="0.3">
      <c r="P156" s="481"/>
      <c r="R156" s="483"/>
      <c r="S156" s="483"/>
      <c r="T156" s="483"/>
      <c r="AD156" s="447"/>
      <c r="AE156" s="640"/>
    </row>
    <row r="157" spans="16:31" x14ac:dyDescent="0.3">
      <c r="P157" s="481"/>
      <c r="AD157" s="447"/>
      <c r="AE157" s="640"/>
    </row>
    <row r="158" spans="16:31" x14ac:dyDescent="0.3">
      <c r="P158" s="481"/>
      <c r="AD158" s="447"/>
      <c r="AE158" s="640"/>
    </row>
    <row r="159" spans="16:31" x14ac:dyDescent="0.3">
      <c r="P159" s="481"/>
      <c r="AD159" s="447"/>
      <c r="AE159" s="640"/>
    </row>
    <row r="160" spans="16:31" x14ac:dyDescent="0.3">
      <c r="P160" s="481"/>
      <c r="AD160" s="447"/>
      <c r="AE160" s="640"/>
    </row>
    <row r="161" spans="16:31" x14ac:dyDescent="0.3">
      <c r="P161" s="481"/>
      <c r="AD161" s="447"/>
      <c r="AE161" s="640"/>
    </row>
    <row r="162" spans="16:31" x14ac:dyDescent="0.3">
      <c r="P162" s="481"/>
      <c r="AD162" s="447"/>
      <c r="AE162" s="640"/>
    </row>
    <row r="163" spans="16:31" x14ac:dyDescent="0.3">
      <c r="P163" s="481"/>
      <c r="AD163" s="447"/>
      <c r="AE163" s="640"/>
    </row>
    <row r="164" spans="16:31" x14ac:dyDescent="0.3">
      <c r="P164" s="481"/>
      <c r="AD164" s="447"/>
      <c r="AE164" s="640"/>
    </row>
    <row r="165" spans="16:31" x14ac:dyDescent="0.3">
      <c r="P165" s="481"/>
      <c r="AD165" s="447"/>
      <c r="AE165" s="640"/>
    </row>
    <row r="166" spans="16:31" x14ac:dyDescent="0.3">
      <c r="P166" s="481"/>
      <c r="AD166" s="447"/>
      <c r="AE166" s="640"/>
    </row>
    <row r="167" spans="16:31" x14ac:dyDescent="0.3">
      <c r="P167" s="481"/>
      <c r="AD167" s="447"/>
      <c r="AE167" s="640"/>
    </row>
    <row r="168" spans="16:31" x14ac:dyDescent="0.3">
      <c r="P168" s="481"/>
      <c r="AD168" s="447"/>
      <c r="AE168" s="640"/>
    </row>
    <row r="169" spans="16:31" x14ac:dyDescent="0.3">
      <c r="P169" s="481"/>
      <c r="AD169" s="447"/>
      <c r="AE169" s="640"/>
    </row>
    <row r="170" spans="16:31" x14ac:dyDescent="0.3">
      <c r="P170" s="481"/>
      <c r="AD170" s="447"/>
      <c r="AE170" s="640"/>
    </row>
    <row r="171" spans="16:31" x14ac:dyDescent="0.3">
      <c r="P171" s="481"/>
      <c r="AD171" s="447"/>
      <c r="AE171" s="640"/>
    </row>
    <row r="172" spans="16:31" x14ac:dyDescent="0.3">
      <c r="P172" s="481"/>
      <c r="AD172" s="447"/>
      <c r="AE172" s="640"/>
    </row>
    <row r="173" spans="16:31" x14ac:dyDescent="0.3">
      <c r="P173" s="481"/>
      <c r="AD173" s="447"/>
      <c r="AE173" s="640"/>
    </row>
    <row r="174" spans="16:31" x14ac:dyDescent="0.3">
      <c r="P174" s="481"/>
      <c r="AD174" s="447"/>
      <c r="AE174" s="640"/>
    </row>
    <row r="175" spans="16:31" x14ac:dyDescent="0.3">
      <c r="P175" s="481"/>
      <c r="AD175" s="447"/>
      <c r="AE175" s="640"/>
    </row>
    <row r="176" spans="16:31" x14ac:dyDescent="0.3">
      <c r="P176" s="481"/>
      <c r="AD176" s="447"/>
      <c r="AE176" s="640"/>
    </row>
    <row r="177" spans="16:31" x14ac:dyDescent="0.3">
      <c r="P177" s="481"/>
      <c r="AD177" s="447"/>
      <c r="AE177" s="640"/>
    </row>
    <row r="178" spans="16:31" x14ac:dyDescent="0.3">
      <c r="P178" s="481"/>
      <c r="AD178" s="447"/>
      <c r="AE178" s="640"/>
    </row>
    <row r="179" spans="16:31" x14ac:dyDescent="0.3">
      <c r="P179" s="481"/>
      <c r="AD179" s="447"/>
      <c r="AE179" s="640"/>
    </row>
    <row r="180" spans="16:31" x14ac:dyDescent="0.3">
      <c r="P180" s="481"/>
      <c r="AD180" s="447"/>
      <c r="AE180" s="640"/>
    </row>
    <row r="181" spans="16:31" x14ac:dyDescent="0.3">
      <c r="P181" s="481"/>
      <c r="AD181" s="447"/>
      <c r="AE181" s="640"/>
    </row>
    <row r="182" spans="16:31" x14ac:dyDescent="0.3">
      <c r="P182" s="481"/>
      <c r="AD182" s="447"/>
      <c r="AE182" s="640"/>
    </row>
    <row r="183" spans="16:31" x14ac:dyDescent="0.3">
      <c r="P183" s="481"/>
      <c r="AD183" s="447"/>
      <c r="AE183" s="640"/>
    </row>
    <row r="184" spans="16:31" x14ac:dyDescent="0.3">
      <c r="P184" s="481"/>
      <c r="AD184" s="447"/>
      <c r="AE184" s="640"/>
    </row>
    <row r="185" spans="16:31" x14ac:dyDescent="0.3">
      <c r="P185" s="481"/>
      <c r="AD185" s="447"/>
      <c r="AE185" s="640"/>
    </row>
    <row r="186" spans="16:31" x14ac:dyDescent="0.3">
      <c r="P186" s="481"/>
      <c r="AD186" s="447"/>
      <c r="AE186" s="640"/>
    </row>
    <row r="187" spans="16:31" x14ac:dyDescent="0.3">
      <c r="P187" s="481"/>
      <c r="AD187" s="447"/>
      <c r="AE187" s="640"/>
    </row>
    <row r="188" spans="16:31" x14ac:dyDescent="0.3">
      <c r="P188" s="481"/>
      <c r="AD188" s="447"/>
      <c r="AE188" s="640"/>
    </row>
    <row r="189" spans="16:31" x14ac:dyDescent="0.3">
      <c r="P189" s="481"/>
      <c r="AD189" s="447"/>
      <c r="AE189" s="640"/>
    </row>
    <row r="190" spans="16:31" x14ac:dyDescent="0.3">
      <c r="P190" s="481"/>
      <c r="AD190" s="447"/>
      <c r="AE190" s="640"/>
    </row>
    <row r="191" spans="16:31" x14ac:dyDescent="0.3">
      <c r="P191" s="481"/>
      <c r="AD191" s="447"/>
      <c r="AE191" s="640"/>
    </row>
    <row r="192" spans="16:31" x14ac:dyDescent="0.3">
      <c r="P192" s="481"/>
      <c r="AD192" s="447"/>
      <c r="AE192" s="640"/>
    </row>
    <row r="193" spans="16:31" x14ac:dyDescent="0.3">
      <c r="P193" s="481"/>
      <c r="AD193" s="447"/>
      <c r="AE193" s="640"/>
    </row>
    <row r="194" spans="16:31" x14ac:dyDescent="0.3">
      <c r="P194" s="481"/>
      <c r="AD194" s="447"/>
      <c r="AE194" s="640"/>
    </row>
    <row r="195" spans="16:31" x14ac:dyDescent="0.3">
      <c r="P195" s="481"/>
      <c r="AD195" s="447"/>
      <c r="AE195" s="640"/>
    </row>
    <row r="196" spans="16:31" x14ac:dyDescent="0.3">
      <c r="P196" s="481"/>
      <c r="AD196" s="447"/>
      <c r="AE196" s="640"/>
    </row>
    <row r="197" spans="16:31" x14ac:dyDescent="0.3">
      <c r="P197" s="481"/>
      <c r="AD197" s="447"/>
      <c r="AE197" s="640"/>
    </row>
    <row r="198" spans="16:31" x14ac:dyDescent="0.3">
      <c r="P198" s="481"/>
      <c r="AD198" s="447"/>
      <c r="AE198" s="640"/>
    </row>
    <row r="199" spans="16:31" x14ac:dyDescent="0.3">
      <c r="P199" s="481"/>
      <c r="AD199" s="447"/>
      <c r="AE199" s="640"/>
    </row>
    <row r="200" spans="16:31" x14ac:dyDescent="0.3">
      <c r="P200" s="481"/>
      <c r="AD200" s="447"/>
      <c r="AE200" s="640"/>
    </row>
    <row r="201" spans="16:31" x14ac:dyDescent="0.3">
      <c r="P201" s="481"/>
      <c r="AD201" s="447"/>
      <c r="AE201" s="640"/>
    </row>
    <row r="202" spans="16:31" x14ac:dyDescent="0.3">
      <c r="P202" s="481"/>
      <c r="AD202" s="447"/>
      <c r="AE202" s="640"/>
    </row>
    <row r="203" spans="16:31" x14ac:dyDescent="0.3">
      <c r="P203" s="481"/>
      <c r="AD203" s="447"/>
      <c r="AE203" s="640"/>
    </row>
    <row r="204" spans="16:31" x14ac:dyDescent="0.3">
      <c r="P204" s="481"/>
      <c r="AD204" s="447"/>
      <c r="AE204" s="640"/>
    </row>
    <row r="205" spans="16:31" x14ac:dyDescent="0.3">
      <c r="P205" s="481"/>
      <c r="AD205" s="447"/>
      <c r="AE205" s="640"/>
    </row>
    <row r="206" spans="16:31" x14ac:dyDescent="0.3">
      <c r="P206" s="481"/>
      <c r="AD206" s="447"/>
      <c r="AE206" s="640"/>
    </row>
    <row r="207" spans="16:31" x14ac:dyDescent="0.3">
      <c r="P207" s="481"/>
      <c r="AD207" s="447"/>
      <c r="AE207" s="640"/>
    </row>
    <row r="208" spans="16:31" x14ac:dyDescent="0.3">
      <c r="P208" s="481"/>
      <c r="AD208" s="447"/>
      <c r="AE208" s="640"/>
    </row>
    <row r="209" spans="16:31" x14ac:dyDescent="0.3">
      <c r="P209" s="481"/>
      <c r="AD209" s="447"/>
      <c r="AE209" s="640"/>
    </row>
    <row r="210" spans="16:31" x14ac:dyDescent="0.3">
      <c r="P210" s="481"/>
      <c r="AD210" s="447"/>
      <c r="AE210" s="640"/>
    </row>
    <row r="211" spans="16:31" x14ac:dyDescent="0.3">
      <c r="P211" s="481"/>
      <c r="AD211" s="447"/>
      <c r="AE211" s="640"/>
    </row>
    <row r="212" spans="16:31" x14ac:dyDescent="0.3">
      <c r="P212" s="481"/>
      <c r="AD212" s="447"/>
      <c r="AE212" s="640"/>
    </row>
    <row r="213" spans="16:31" x14ac:dyDescent="0.3">
      <c r="P213" s="481"/>
      <c r="AD213" s="447"/>
      <c r="AE213" s="640"/>
    </row>
    <row r="214" spans="16:31" x14ac:dyDescent="0.3">
      <c r="P214" s="481"/>
      <c r="AD214" s="447"/>
      <c r="AE214" s="640"/>
    </row>
    <row r="215" spans="16:31" x14ac:dyDescent="0.3">
      <c r="P215" s="481"/>
      <c r="AD215" s="447"/>
      <c r="AE215" s="640"/>
    </row>
    <row r="216" spans="16:31" x14ac:dyDescent="0.3">
      <c r="P216" s="481"/>
      <c r="AD216" s="447"/>
      <c r="AE216" s="640"/>
    </row>
    <row r="217" spans="16:31" x14ac:dyDescent="0.3">
      <c r="P217" s="481"/>
      <c r="AD217" s="447"/>
      <c r="AE217" s="640"/>
    </row>
    <row r="218" spans="16:31" x14ac:dyDescent="0.3">
      <c r="P218" s="481"/>
      <c r="AD218" s="447"/>
      <c r="AE218" s="640"/>
    </row>
    <row r="219" spans="16:31" x14ac:dyDescent="0.3">
      <c r="P219" s="481"/>
      <c r="AD219" s="447"/>
      <c r="AE219" s="640"/>
    </row>
    <row r="220" spans="16:31" x14ac:dyDescent="0.3">
      <c r="P220" s="481"/>
      <c r="AD220" s="447"/>
      <c r="AE220" s="640"/>
    </row>
    <row r="221" spans="16:31" x14ac:dyDescent="0.3">
      <c r="P221" s="481"/>
      <c r="AD221" s="447"/>
      <c r="AE221" s="640"/>
    </row>
    <row r="222" spans="16:31" x14ac:dyDescent="0.3">
      <c r="P222" s="481"/>
      <c r="AD222" s="447"/>
      <c r="AE222" s="640"/>
    </row>
    <row r="223" spans="16:31" x14ac:dyDescent="0.3">
      <c r="P223" s="481"/>
      <c r="AD223" s="447"/>
      <c r="AE223" s="640"/>
    </row>
    <row r="224" spans="16:31" x14ac:dyDescent="0.3">
      <c r="P224" s="481"/>
      <c r="AD224" s="447"/>
      <c r="AE224" s="640"/>
    </row>
    <row r="225" spans="16:31" x14ac:dyDescent="0.3">
      <c r="P225" s="481"/>
      <c r="AD225" s="447"/>
      <c r="AE225" s="640"/>
    </row>
    <row r="226" spans="16:31" x14ac:dyDescent="0.3">
      <c r="P226" s="481"/>
      <c r="AD226" s="447"/>
      <c r="AE226" s="640"/>
    </row>
    <row r="227" spans="16:31" x14ac:dyDescent="0.3">
      <c r="P227" s="481"/>
      <c r="AD227" s="447"/>
      <c r="AE227" s="640"/>
    </row>
    <row r="228" spans="16:31" x14ac:dyDescent="0.3">
      <c r="P228" s="481"/>
      <c r="AD228" s="447"/>
      <c r="AE228" s="640"/>
    </row>
    <row r="229" spans="16:31" x14ac:dyDescent="0.3">
      <c r="P229" s="481"/>
      <c r="AD229" s="447"/>
      <c r="AE229" s="640"/>
    </row>
    <row r="230" spans="16:31" x14ac:dyDescent="0.3">
      <c r="P230" s="481"/>
      <c r="AD230" s="447"/>
      <c r="AE230" s="640"/>
    </row>
    <row r="231" spans="16:31" x14ac:dyDescent="0.3">
      <c r="P231" s="481"/>
      <c r="AD231" s="447"/>
      <c r="AE231" s="640"/>
    </row>
    <row r="232" spans="16:31" x14ac:dyDescent="0.3">
      <c r="P232" s="481"/>
      <c r="AD232" s="447"/>
      <c r="AE232" s="640"/>
    </row>
    <row r="233" spans="16:31" x14ac:dyDescent="0.3">
      <c r="P233" s="481"/>
      <c r="AD233" s="447"/>
      <c r="AE233" s="640"/>
    </row>
    <row r="234" spans="16:31" x14ac:dyDescent="0.3">
      <c r="P234" s="481"/>
      <c r="AD234" s="447"/>
      <c r="AE234" s="640"/>
    </row>
    <row r="235" spans="16:31" x14ac:dyDescent="0.3">
      <c r="P235" s="481"/>
      <c r="AD235" s="447"/>
      <c r="AE235" s="640"/>
    </row>
    <row r="236" spans="16:31" x14ac:dyDescent="0.3">
      <c r="P236" s="481"/>
      <c r="AD236" s="447"/>
      <c r="AE236" s="640"/>
    </row>
    <row r="237" spans="16:31" x14ac:dyDescent="0.3">
      <c r="P237" s="481"/>
      <c r="AD237" s="447"/>
      <c r="AE237" s="640"/>
    </row>
    <row r="238" spans="16:31" x14ac:dyDescent="0.3">
      <c r="P238" s="481"/>
      <c r="AD238" s="447"/>
      <c r="AE238" s="640"/>
    </row>
    <row r="239" spans="16:31" x14ac:dyDescent="0.3">
      <c r="P239" s="481"/>
      <c r="AD239" s="447"/>
      <c r="AE239" s="640"/>
    </row>
    <row r="240" spans="16:31" x14ac:dyDescent="0.3">
      <c r="P240" s="481"/>
      <c r="AD240" s="447"/>
      <c r="AE240" s="640"/>
    </row>
    <row r="241" spans="16:31" x14ac:dyDescent="0.3">
      <c r="P241" s="481"/>
      <c r="AD241" s="447"/>
      <c r="AE241" s="640"/>
    </row>
    <row r="242" spans="16:31" x14ac:dyDescent="0.3">
      <c r="P242" s="481"/>
      <c r="AD242" s="447"/>
      <c r="AE242" s="640"/>
    </row>
    <row r="243" spans="16:31" x14ac:dyDescent="0.3">
      <c r="P243" s="481"/>
      <c r="AD243" s="447"/>
      <c r="AE243" s="640"/>
    </row>
    <row r="244" spans="16:31" x14ac:dyDescent="0.3">
      <c r="P244" s="481"/>
      <c r="AD244" s="447"/>
      <c r="AE244" s="640"/>
    </row>
    <row r="245" spans="16:31" x14ac:dyDescent="0.3">
      <c r="P245" s="481"/>
      <c r="AD245" s="447"/>
      <c r="AE245" s="640"/>
    </row>
    <row r="246" spans="16:31" x14ac:dyDescent="0.3">
      <c r="P246" s="481"/>
      <c r="AD246" s="447"/>
      <c r="AE246" s="640"/>
    </row>
    <row r="247" spans="16:31" x14ac:dyDescent="0.3">
      <c r="P247" s="481"/>
      <c r="AD247" s="447"/>
      <c r="AE247" s="640"/>
    </row>
    <row r="248" spans="16:31" x14ac:dyDescent="0.3">
      <c r="P248" s="481"/>
      <c r="AD248" s="447"/>
      <c r="AE248" s="640"/>
    </row>
    <row r="249" spans="16:31" x14ac:dyDescent="0.3">
      <c r="P249" s="481"/>
      <c r="AD249" s="447"/>
      <c r="AE249" s="640"/>
    </row>
    <row r="250" spans="16:31" x14ac:dyDescent="0.3">
      <c r="P250" s="481"/>
      <c r="AD250" s="447"/>
      <c r="AE250" s="640"/>
    </row>
    <row r="251" spans="16:31" x14ac:dyDescent="0.3">
      <c r="P251" s="481"/>
      <c r="AD251" s="447"/>
      <c r="AE251" s="640"/>
    </row>
    <row r="252" spans="16:31" x14ac:dyDescent="0.3">
      <c r="P252" s="481"/>
      <c r="AD252" s="447"/>
      <c r="AE252" s="640"/>
    </row>
    <row r="253" spans="16:31" x14ac:dyDescent="0.3">
      <c r="P253" s="481"/>
      <c r="AD253" s="447"/>
      <c r="AE253" s="640"/>
    </row>
    <row r="254" spans="16:31" x14ac:dyDescent="0.3">
      <c r="P254" s="481"/>
      <c r="AD254" s="447"/>
      <c r="AE254" s="640"/>
    </row>
    <row r="255" spans="16:31" x14ac:dyDescent="0.3">
      <c r="P255" s="481"/>
      <c r="AD255" s="447"/>
      <c r="AE255" s="640"/>
    </row>
    <row r="256" spans="16:31" x14ac:dyDescent="0.3">
      <c r="P256" s="481"/>
      <c r="AD256" s="447"/>
      <c r="AE256" s="640"/>
    </row>
    <row r="257" spans="16:31" x14ac:dyDescent="0.3">
      <c r="P257" s="481"/>
      <c r="AD257" s="447"/>
      <c r="AE257" s="640"/>
    </row>
    <row r="258" spans="16:31" x14ac:dyDescent="0.3">
      <c r="P258" s="481"/>
      <c r="AD258" s="447"/>
      <c r="AE258" s="640"/>
    </row>
    <row r="259" spans="16:31" x14ac:dyDescent="0.3">
      <c r="P259" s="481"/>
      <c r="AD259" s="447"/>
      <c r="AE259" s="640"/>
    </row>
    <row r="260" spans="16:31" x14ac:dyDescent="0.3">
      <c r="P260" s="481"/>
      <c r="AD260" s="447"/>
      <c r="AE260" s="640"/>
    </row>
    <row r="261" spans="16:31" x14ac:dyDescent="0.3">
      <c r="P261" s="481"/>
      <c r="AD261" s="447"/>
      <c r="AE261" s="640"/>
    </row>
    <row r="262" spans="16:31" x14ac:dyDescent="0.3">
      <c r="P262" s="481"/>
      <c r="AD262" s="447"/>
      <c r="AE262" s="640"/>
    </row>
    <row r="263" spans="16:31" x14ac:dyDescent="0.3">
      <c r="P263" s="481"/>
      <c r="AD263" s="447"/>
      <c r="AE263" s="640"/>
    </row>
    <row r="264" spans="16:31" x14ac:dyDescent="0.3">
      <c r="P264" s="481"/>
      <c r="AD264" s="447"/>
      <c r="AE264" s="640"/>
    </row>
    <row r="265" spans="16:31" x14ac:dyDescent="0.3">
      <c r="P265" s="481"/>
      <c r="AD265" s="447"/>
      <c r="AE265" s="640"/>
    </row>
    <row r="266" spans="16:31" x14ac:dyDescent="0.3">
      <c r="P266" s="481"/>
      <c r="AD266" s="447"/>
      <c r="AE266" s="640"/>
    </row>
    <row r="267" spans="16:31" x14ac:dyDescent="0.3">
      <c r="P267" s="481"/>
      <c r="AD267" s="447"/>
      <c r="AE267" s="640"/>
    </row>
    <row r="268" spans="16:31" x14ac:dyDescent="0.3">
      <c r="P268" s="481"/>
      <c r="AD268" s="447"/>
      <c r="AE268" s="640"/>
    </row>
    <row r="269" spans="16:31" x14ac:dyDescent="0.3">
      <c r="P269" s="481"/>
      <c r="AD269" s="447"/>
      <c r="AE269" s="640"/>
    </row>
    <row r="270" spans="16:31" x14ac:dyDescent="0.3">
      <c r="P270" s="481"/>
      <c r="AD270" s="447"/>
      <c r="AE270" s="640"/>
    </row>
    <row r="271" spans="16:31" x14ac:dyDescent="0.3">
      <c r="P271" s="481"/>
      <c r="AD271" s="447"/>
      <c r="AE271" s="640"/>
    </row>
    <row r="272" spans="16:31" x14ac:dyDescent="0.3">
      <c r="P272" s="481"/>
      <c r="AD272" s="447"/>
      <c r="AE272" s="640"/>
    </row>
    <row r="273" spans="16:31" x14ac:dyDescent="0.3">
      <c r="P273" s="481"/>
      <c r="AD273" s="447"/>
      <c r="AE273" s="640"/>
    </row>
    <row r="274" spans="16:31" x14ac:dyDescent="0.3">
      <c r="P274" s="481"/>
      <c r="AD274" s="447"/>
      <c r="AE274" s="640"/>
    </row>
    <row r="275" spans="16:31" x14ac:dyDescent="0.3">
      <c r="P275" s="481"/>
      <c r="AD275" s="447"/>
      <c r="AE275" s="640"/>
    </row>
    <row r="276" spans="16:31" x14ac:dyDescent="0.3">
      <c r="P276" s="481"/>
      <c r="AD276" s="447"/>
      <c r="AE276" s="640"/>
    </row>
    <row r="277" spans="16:31" x14ac:dyDescent="0.3">
      <c r="P277" s="481"/>
      <c r="AD277" s="447"/>
      <c r="AE277" s="640"/>
    </row>
    <row r="278" spans="16:31" x14ac:dyDescent="0.3">
      <c r="P278" s="481"/>
      <c r="AD278" s="447"/>
      <c r="AE278" s="640"/>
    </row>
    <row r="279" spans="16:31" x14ac:dyDescent="0.3">
      <c r="P279" s="481"/>
      <c r="AD279" s="447"/>
      <c r="AE279" s="640"/>
    </row>
    <row r="280" spans="16:31" x14ac:dyDescent="0.3">
      <c r="P280" s="481"/>
      <c r="AD280" s="447"/>
      <c r="AE280" s="640"/>
    </row>
    <row r="281" spans="16:31" x14ac:dyDescent="0.3">
      <c r="P281" s="481"/>
      <c r="AD281" s="447"/>
      <c r="AE281" s="640"/>
    </row>
    <row r="282" spans="16:31" x14ac:dyDescent="0.3">
      <c r="P282" s="481"/>
      <c r="AD282" s="447"/>
      <c r="AE282" s="640"/>
    </row>
    <row r="283" spans="16:31" x14ac:dyDescent="0.3">
      <c r="P283" s="481"/>
      <c r="AD283" s="447"/>
      <c r="AE283" s="640"/>
    </row>
    <row r="284" spans="16:31" x14ac:dyDescent="0.3">
      <c r="P284" s="481"/>
      <c r="AD284" s="447"/>
      <c r="AE284" s="640"/>
    </row>
    <row r="285" spans="16:31" x14ac:dyDescent="0.3">
      <c r="P285" s="481"/>
      <c r="AD285" s="447"/>
      <c r="AE285" s="640"/>
    </row>
    <row r="286" spans="16:31" x14ac:dyDescent="0.3">
      <c r="P286" s="481"/>
      <c r="AD286" s="447"/>
      <c r="AE286" s="640"/>
    </row>
    <row r="287" spans="16:31" x14ac:dyDescent="0.3">
      <c r="P287" s="481"/>
      <c r="AD287" s="447"/>
      <c r="AE287" s="640"/>
    </row>
    <row r="288" spans="16:31" x14ac:dyDescent="0.3">
      <c r="P288" s="481"/>
      <c r="AD288" s="447"/>
      <c r="AE288" s="640"/>
    </row>
    <row r="289" spans="16:31" x14ac:dyDescent="0.3">
      <c r="P289" s="481"/>
      <c r="AD289" s="447"/>
      <c r="AE289" s="640"/>
    </row>
    <row r="290" spans="16:31" x14ac:dyDescent="0.3">
      <c r="P290" s="481"/>
      <c r="AD290" s="447"/>
      <c r="AE290" s="640"/>
    </row>
    <row r="291" spans="16:31" x14ac:dyDescent="0.3">
      <c r="P291" s="481"/>
      <c r="AD291" s="447"/>
      <c r="AE291" s="640"/>
    </row>
    <row r="292" spans="16:31" x14ac:dyDescent="0.3">
      <c r="P292" s="481"/>
      <c r="AD292" s="447"/>
      <c r="AE292" s="640"/>
    </row>
    <row r="293" spans="16:31" x14ac:dyDescent="0.3">
      <c r="P293" s="481"/>
      <c r="AD293" s="447"/>
      <c r="AE293" s="640"/>
    </row>
    <row r="294" spans="16:31" x14ac:dyDescent="0.3">
      <c r="P294" s="481"/>
      <c r="AD294" s="447"/>
      <c r="AE294" s="640"/>
    </row>
    <row r="295" spans="16:31" x14ac:dyDescent="0.3">
      <c r="P295" s="481"/>
      <c r="AD295" s="447"/>
      <c r="AE295" s="640"/>
    </row>
    <row r="296" spans="16:31" x14ac:dyDescent="0.3">
      <c r="P296" s="481"/>
      <c r="AD296" s="447"/>
      <c r="AE296" s="640"/>
    </row>
    <row r="297" spans="16:31" x14ac:dyDescent="0.3">
      <c r="P297" s="481"/>
      <c r="AD297" s="447"/>
      <c r="AE297" s="640"/>
    </row>
    <row r="298" spans="16:31" x14ac:dyDescent="0.3">
      <c r="P298" s="481"/>
      <c r="AD298" s="447"/>
      <c r="AE298" s="640"/>
    </row>
    <row r="299" spans="16:31" x14ac:dyDescent="0.3">
      <c r="P299" s="481"/>
      <c r="AD299" s="447"/>
      <c r="AE299" s="640"/>
    </row>
    <row r="300" spans="16:31" x14ac:dyDescent="0.3">
      <c r="P300" s="481"/>
      <c r="AD300" s="447"/>
      <c r="AE300" s="640"/>
    </row>
    <row r="301" spans="16:31" x14ac:dyDescent="0.3">
      <c r="P301" s="481"/>
      <c r="AD301" s="447"/>
      <c r="AE301" s="640"/>
    </row>
    <row r="302" spans="16:31" x14ac:dyDescent="0.3">
      <c r="P302" s="481"/>
      <c r="AD302" s="447"/>
      <c r="AE302" s="640"/>
    </row>
    <row r="303" spans="16:31" x14ac:dyDescent="0.3">
      <c r="P303" s="481"/>
      <c r="AD303" s="447"/>
      <c r="AE303" s="640"/>
    </row>
    <row r="304" spans="16:31" x14ac:dyDescent="0.3">
      <c r="P304" s="481"/>
      <c r="AD304" s="447"/>
      <c r="AE304" s="640"/>
    </row>
    <row r="305" spans="16:31" x14ac:dyDescent="0.3">
      <c r="P305" s="481"/>
      <c r="AD305" s="447"/>
      <c r="AE305" s="640"/>
    </row>
    <row r="306" spans="16:31" x14ac:dyDescent="0.3">
      <c r="P306" s="481"/>
      <c r="AD306" s="447"/>
      <c r="AE306" s="640"/>
    </row>
    <row r="307" spans="16:31" x14ac:dyDescent="0.3">
      <c r="P307" s="481"/>
      <c r="AD307" s="447"/>
      <c r="AE307" s="640"/>
    </row>
    <row r="308" spans="16:31" x14ac:dyDescent="0.3">
      <c r="P308" s="481"/>
      <c r="AD308" s="447"/>
      <c r="AE308" s="640"/>
    </row>
    <row r="309" spans="16:31" x14ac:dyDescent="0.3">
      <c r="P309" s="481"/>
      <c r="AD309" s="447"/>
      <c r="AE309" s="640"/>
    </row>
    <row r="310" spans="16:31" x14ac:dyDescent="0.3">
      <c r="P310" s="481"/>
      <c r="AD310" s="447"/>
      <c r="AE310" s="640"/>
    </row>
    <row r="311" spans="16:31" x14ac:dyDescent="0.3">
      <c r="P311" s="481"/>
      <c r="AD311" s="447"/>
      <c r="AE311" s="640"/>
    </row>
    <row r="312" spans="16:31" x14ac:dyDescent="0.3">
      <c r="P312" s="481"/>
      <c r="AD312" s="447"/>
      <c r="AE312" s="640"/>
    </row>
    <row r="313" spans="16:31" x14ac:dyDescent="0.3">
      <c r="P313" s="481"/>
      <c r="AD313" s="447"/>
      <c r="AE313" s="640"/>
    </row>
    <row r="314" spans="16:31" x14ac:dyDescent="0.3">
      <c r="P314" s="481"/>
      <c r="AD314" s="447"/>
      <c r="AE314" s="640"/>
    </row>
    <row r="315" spans="16:31" x14ac:dyDescent="0.3">
      <c r="P315" s="481"/>
      <c r="AD315" s="447"/>
      <c r="AE315" s="640"/>
    </row>
    <row r="316" spans="16:31" x14ac:dyDescent="0.3">
      <c r="P316" s="481"/>
      <c r="AD316" s="447"/>
      <c r="AE316" s="640"/>
    </row>
    <row r="317" spans="16:31" x14ac:dyDescent="0.3">
      <c r="P317" s="481"/>
      <c r="AD317" s="447"/>
      <c r="AE317" s="640"/>
    </row>
    <row r="318" spans="16:31" x14ac:dyDescent="0.3">
      <c r="P318" s="481"/>
      <c r="AD318" s="447"/>
      <c r="AE318" s="640"/>
    </row>
    <row r="319" spans="16:31" x14ac:dyDescent="0.3">
      <c r="P319" s="481"/>
      <c r="AD319" s="447"/>
      <c r="AE319" s="640"/>
    </row>
    <row r="320" spans="16:31" x14ac:dyDescent="0.3">
      <c r="P320" s="481"/>
      <c r="AD320" s="447"/>
      <c r="AE320" s="640"/>
    </row>
    <row r="321" spans="16:31" x14ac:dyDescent="0.3">
      <c r="P321" s="481"/>
      <c r="AD321" s="447"/>
      <c r="AE321" s="640"/>
    </row>
    <row r="322" spans="16:31" x14ac:dyDescent="0.3">
      <c r="P322" s="481"/>
      <c r="AD322" s="447"/>
      <c r="AE322" s="640"/>
    </row>
    <row r="323" spans="16:31" x14ac:dyDescent="0.3">
      <c r="P323" s="481"/>
      <c r="AD323" s="447"/>
      <c r="AE323" s="640"/>
    </row>
    <row r="324" spans="16:31" x14ac:dyDescent="0.3">
      <c r="P324" s="481"/>
      <c r="AD324" s="447"/>
      <c r="AE324" s="640"/>
    </row>
    <row r="325" spans="16:31" x14ac:dyDescent="0.3">
      <c r="P325" s="481"/>
      <c r="AD325" s="447"/>
      <c r="AE325" s="640"/>
    </row>
    <row r="326" spans="16:31" x14ac:dyDescent="0.3">
      <c r="P326" s="481"/>
      <c r="AD326" s="447"/>
      <c r="AE326" s="640"/>
    </row>
    <row r="327" spans="16:31" x14ac:dyDescent="0.3">
      <c r="P327" s="481"/>
      <c r="AD327" s="447"/>
      <c r="AE327" s="640"/>
    </row>
    <row r="328" spans="16:31" x14ac:dyDescent="0.3">
      <c r="P328" s="481"/>
      <c r="AD328" s="447"/>
      <c r="AE328" s="640"/>
    </row>
    <row r="329" spans="16:31" x14ac:dyDescent="0.3">
      <c r="P329" s="481"/>
      <c r="AD329" s="447"/>
      <c r="AE329" s="640"/>
    </row>
    <row r="330" spans="16:31" x14ac:dyDescent="0.3">
      <c r="P330" s="481"/>
      <c r="AD330" s="447"/>
      <c r="AE330" s="640"/>
    </row>
    <row r="331" spans="16:31" x14ac:dyDescent="0.3">
      <c r="P331" s="481"/>
      <c r="AD331" s="447"/>
      <c r="AE331" s="640"/>
    </row>
    <row r="332" spans="16:31" x14ac:dyDescent="0.3">
      <c r="P332" s="481"/>
      <c r="AD332" s="447"/>
      <c r="AE332" s="640"/>
    </row>
    <row r="333" spans="16:31" x14ac:dyDescent="0.3">
      <c r="P333" s="481"/>
      <c r="AD333" s="447"/>
      <c r="AE333" s="640"/>
    </row>
    <row r="334" spans="16:31" x14ac:dyDescent="0.3">
      <c r="P334" s="481"/>
      <c r="AD334" s="447"/>
      <c r="AE334" s="640"/>
    </row>
    <row r="335" spans="16:31" x14ac:dyDescent="0.3">
      <c r="P335" s="481"/>
      <c r="AD335" s="447"/>
      <c r="AE335" s="640"/>
    </row>
    <row r="336" spans="16:31" x14ac:dyDescent="0.3">
      <c r="P336" s="481"/>
      <c r="AD336" s="447"/>
      <c r="AE336" s="640"/>
    </row>
    <row r="337" spans="16:31" x14ac:dyDescent="0.3">
      <c r="P337" s="481"/>
      <c r="AD337" s="447"/>
      <c r="AE337" s="640"/>
    </row>
    <row r="338" spans="16:31" x14ac:dyDescent="0.3">
      <c r="P338" s="481"/>
      <c r="AD338" s="447"/>
      <c r="AE338" s="640"/>
    </row>
    <row r="339" spans="16:31" x14ac:dyDescent="0.3">
      <c r="P339" s="481"/>
      <c r="AD339" s="447"/>
      <c r="AE339" s="640"/>
    </row>
    <row r="340" spans="16:31" x14ac:dyDescent="0.3">
      <c r="P340" s="481"/>
      <c r="AD340" s="447"/>
      <c r="AE340" s="640"/>
    </row>
    <row r="341" spans="16:31" x14ac:dyDescent="0.3">
      <c r="P341" s="481"/>
      <c r="AD341" s="447"/>
      <c r="AE341" s="640"/>
    </row>
    <row r="342" spans="16:31" x14ac:dyDescent="0.3">
      <c r="P342" s="481"/>
      <c r="AD342" s="447"/>
      <c r="AE342" s="640"/>
    </row>
    <row r="343" spans="16:31" x14ac:dyDescent="0.3">
      <c r="P343" s="481"/>
      <c r="AD343" s="447"/>
      <c r="AE343" s="640"/>
    </row>
    <row r="344" spans="16:31" x14ac:dyDescent="0.3">
      <c r="P344" s="481"/>
      <c r="AD344" s="447"/>
      <c r="AE344" s="640"/>
    </row>
    <row r="345" spans="16:31" x14ac:dyDescent="0.3">
      <c r="P345" s="481"/>
      <c r="AD345" s="447"/>
      <c r="AE345" s="640"/>
    </row>
    <row r="346" spans="16:31" x14ac:dyDescent="0.3">
      <c r="P346" s="481"/>
      <c r="AD346" s="447"/>
      <c r="AE346" s="640"/>
    </row>
    <row r="347" spans="16:31" x14ac:dyDescent="0.3">
      <c r="P347" s="481"/>
      <c r="AD347" s="447"/>
      <c r="AE347" s="640"/>
    </row>
    <row r="348" spans="16:31" x14ac:dyDescent="0.3">
      <c r="P348" s="481"/>
      <c r="AD348" s="447"/>
      <c r="AE348" s="640"/>
    </row>
    <row r="349" spans="16:31" x14ac:dyDescent="0.3">
      <c r="P349" s="481"/>
      <c r="AD349" s="447"/>
      <c r="AE349" s="640"/>
    </row>
    <row r="350" spans="16:31" x14ac:dyDescent="0.3">
      <c r="P350" s="481"/>
      <c r="AD350" s="447"/>
      <c r="AE350" s="640"/>
    </row>
    <row r="351" spans="16:31" x14ac:dyDescent="0.3">
      <c r="P351" s="481"/>
      <c r="AD351" s="447"/>
      <c r="AE351" s="640"/>
    </row>
    <row r="352" spans="16:31" x14ac:dyDescent="0.3">
      <c r="P352" s="481"/>
      <c r="AD352" s="447"/>
      <c r="AE352" s="640"/>
    </row>
    <row r="353" spans="16:31" x14ac:dyDescent="0.3">
      <c r="P353" s="481"/>
      <c r="AD353" s="447"/>
      <c r="AE353" s="640"/>
    </row>
    <row r="354" spans="16:31" x14ac:dyDescent="0.3">
      <c r="P354" s="481"/>
      <c r="AD354" s="447"/>
      <c r="AE354" s="640"/>
    </row>
    <row r="355" spans="16:31" x14ac:dyDescent="0.3">
      <c r="P355" s="481"/>
      <c r="AD355" s="447"/>
      <c r="AE355" s="640"/>
    </row>
    <row r="356" spans="16:31" x14ac:dyDescent="0.3">
      <c r="P356" s="481"/>
      <c r="AD356" s="447"/>
      <c r="AE356" s="640"/>
    </row>
    <row r="357" spans="16:31" x14ac:dyDescent="0.3">
      <c r="P357" s="481"/>
      <c r="AD357" s="447"/>
      <c r="AE357" s="640"/>
    </row>
    <row r="358" spans="16:31" x14ac:dyDescent="0.3">
      <c r="P358" s="481"/>
      <c r="AD358" s="447"/>
      <c r="AE358" s="640"/>
    </row>
    <row r="359" spans="16:31" x14ac:dyDescent="0.3">
      <c r="P359" s="481"/>
      <c r="AD359" s="447"/>
      <c r="AE359" s="640"/>
    </row>
    <row r="360" spans="16:31" x14ac:dyDescent="0.3">
      <c r="P360" s="481"/>
      <c r="AD360" s="447"/>
      <c r="AE360" s="640"/>
    </row>
    <row r="361" spans="16:31" x14ac:dyDescent="0.3">
      <c r="P361" s="481"/>
      <c r="AD361" s="447"/>
      <c r="AE361" s="640"/>
    </row>
    <row r="362" spans="16:31" x14ac:dyDescent="0.3">
      <c r="P362" s="481"/>
      <c r="AD362" s="447"/>
      <c r="AE362" s="640"/>
    </row>
    <row r="363" spans="16:31" x14ac:dyDescent="0.3">
      <c r="P363" s="481"/>
      <c r="AD363" s="447"/>
      <c r="AE363" s="640"/>
    </row>
    <row r="364" spans="16:31" x14ac:dyDescent="0.3">
      <c r="P364" s="481"/>
      <c r="AD364" s="447"/>
      <c r="AE364" s="640"/>
    </row>
    <row r="365" spans="16:31" x14ac:dyDescent="0.3">
      <c r="P365" s="481"/>
      <c r="AD365" s="447"/>
      <c r="AE365" s="640"/>
    </row>
    <row r="366" spans="16:31" x14ac:dyDescent="0.3">
      <c r="P366" s="481"/>
      <c r="AD366" s="447"/>
      <c r="AE366" s="640"/>
    </row>
    <row r="367" spans="16:31" x14ac:dyDescent="0.3">
      <c r="P367" s="481"/>
      <c r="AD367" s="447"/>
      <c r="AE367" s="640"/>
    </row>
    <row r="368" spans="16:31" x14ac:dyDescent="0.3">
      <c r="P368" s="481"/>
      <c r="AD368" s="447"/>
      <c r="AE368" s="640"/>
    </row>
    <row r="369" spans="16:31" x14ac:dyDescent="0.3">
      <c r="P369" s="481"/>
      <c r="AD369" s="447"/>
      <c r="AE369" s="640"/>
    </row>
    <row r="370" spans="16:31" x14ac:dyDescent="0.3">
      <c r="P370" s="481"/>
      <c r="AD370" s="447"/>
    </row>
    <row r="371" spans="16:31" x14ac:dyDescent="0.3">
      <c r="P371" s="481"/>
      <c r="AD371" s="447"/>
    </row>
  </sheetData>
  <sortState xmlns:xlrd2="http://schemas.microsoft.com/office/spreadsheetml/2017/richdata2" ref="Y4:AA12">
    <sortCondition descending="1" ref="AA4:AA12"/>
  </sortState>
  <phoneticPr fontId="31" type="noConversion"/>
  <pageMargins left="0.75" right="0.75" top="1" bottom="1" header="0.5" footer="0.5"/>
  <pageSetup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A406D-7180-45F5-A37F-37835B8EF82E}">
  <dimension ref="A1:AB93"/>
  <sheetViews>
    <sheetView workbookViewId="0">
      <selection activeCell="C24" sqref="C24"/>
    </sheetView>
  </sheetViews>
  <sheetFormatPr defaultRowHeight="12" x14ac:dyDescent="0.2"/>
  <cols>
    <col min="3" max="3" width="31.44140625" customWidth="1"/>
    <col min="4" max="4" width="14" customWidth="1"/>
    <col min="5" max="5" width="20.33203125" customWidth="1"/>
    <col min="6" max="6" width="20.5546875" customWidth="1"/>
  </cols>
  <sheetData>
    <row r="1" spans="1:28" ht="13.2" x14ac:dyDescent="0.25">
      <c r="A1" s="189"/>
      <c r="B1" s="365"/>
      <c r="C1" s="189"/>
      <c r="D1" s="189"/>
      <c r="E1" s="189"/>
      <c r="F1" s="189"/>
      <c r="G1" s="189"/>
      <c r="H1" s="189"/>
      <c r="I1" s="189"/>
      <c r="J1" s="189"/>
      <c r="K1" s="189"/>
      <c r="L1" s="189"/>
      <c r="M1" s="189"/>
      <c r="N1" s="189"/>
      <c r="O1" s="189"/>
      <c r="P1" s="189"/>
      <c r="Q1" s="189"/>
      <c r="R1" s="189"/>
      <c r="S1" s="189"/>
      <c r="T1" s="189"/>
      <c r="U1" s="189"/>
      <c r="V1" s="189"/>
      <c r="W1" s="189"/>
      <c r="X1" s="189"/>
      <c r="Y1" s="189"/>
      <c r="Z1" s="189"/>
      <c r="AA1" s="189"/>
      <c r="AB1" s="189"/>
    </row>
    <row r="2" spans="1:28" ht="13.8" thickBot="1" x14ac:dyDescent="0.3">
      <c r="A2" s="189"/>
      <c r="B2" s="1505"/>
      <c r="C2" s="1506" t="s">
        <v>3951</v>
      </c>
      <c r="D2" s="1506"/>
      <c r="E2" s="1506"/>
      <c r="F2" s="1506"/>
      <c r="G2" s="1507"/>
      <c r="H2" s="1507"/>
      <c r="I2" s="189"/>
      <c r="J2" s="189"/>
      <c r="K2" s="189"/>
      <c r="L2" s="189"/>
      <c r="M2" s="189"/>
      <c r="N2" s="189"/>
      <c r="O2" s="189"/>
      <c r="P2" s="189"/>
      <c r="Q2" s="189"/>
      <c r="R2" s="189"/>
      <c r="S2" s="189"/>
      <c r="T2" s="189"/>
      <c r="U2" s="189"/>
      <c r="V2" s="189"/>
      <c r="W2" s="189"/>
      <c r="X2" s="189"/>
      <c r="Y2" s="189"/>
      <c r="Z2" s="189"/>
      <c r="AA2" s="189"/>
      <c r="AB2" s="189"/>
    </row>
    <row r="3" spans="1:28" ht="13.2" x14ac:dyDescent="0.25">
      <c r="A3" s="189"/>
      <c r="B3" s="1505"/>
      <c r="C3" s="1508" t="s">
        <v>3890</v>
      </c>
      <c r="D3" s="1509" t="s">
        <v>287</v>
      </c>
      <c r="E3" s="1509" t="s">
        <v>3891</v>
      </c>
      <c r="F3" s="1509" t="s">
        <v>3892</v>
      </c>
      <c r="G3" s="1507"/>
      <c r="H3" s="1507"/>
      <c r="I3" s="189"/>
      <c r="J3" s="189"/>
      <c r="K3" s="189"/>
      <c r="L3" s="189"/>
      <c r="M3" s="189"/>
      <c r="N3" s="189"/>
      <c r="O3" s="189"/>
      <c r="P3" s="189"/>
      <c r="Q3" s="189"/>
      <c r="R3" s="189"/>
      <c r="S3" s="189"/>
      <c r="T3" s="189"/>
      <c r="U3" s="189"/>
      <c r="V3" s="189"/>
      <c r="W3" s="189"/>
      <c r="X3" s="189"/>
      <c r="Y3" s="189"/>
      <c r="Z3" s="189"/>
      <c r="AA3" s="189"/>
      <c r="AB3" s="189"/>
    </row>
    <row r="4" spans="1:28" ht="13.2" x14ac:dyDescent="0.25">
      <c r="A4" s="189"/>
      <c r="B4" s="1505"/>
      <c r="C4" s="1510" t="s">
        <v>1160</v>
      </c>
      <c r="D4" s="1510">
        <f ca="1">ETOHRATE</f>
        <v>21672.518400000001</v>
      </c>
      <c r="E4" s="1510">
        <f ca="1">D4/ETOHDEN/3.7854</f>
        <v>7256.3897190747475</v>
      </c>
      <c r="F4" s="1510">
        <f ca="1">E4*0.658</f>
        <v>4774.704435151184</v>
      </c>
      <c r="G4" s="1507" t="s">
        <v>3893</v>
      </c>
      <c r="H4" s="1507"/>
      <c r="I4" s="189"/>
      <c r="J4" s="189"/>
      <c r="K4" s="189"/>
      <c r="L4" s="189"/>
      <c r="M4" s="189"/>
      <c r="N4" s="189"/>
      <c r="O4" s="189"/>
      <c r="P4" s="189"/>
      <c r="Q4" s="189"/>
      <c r="R4" s="189"/>
      <c r="S4" s="189"/>
      <c r="T4" s="189"/>
      <c r="U4" s="189"/>
      <c r="V4" s="189"/>
      <c r="W4" s="189"/>
      <c r="X4" s="189"/>
      <c r="Y4" s="189"/>
      <c r="Z4" s="189"/>
      <c r="AA4" s="189"/>
      <c r="AB4" s="189"/>
    </row>
    <row r="5" spans="1:28" ht="13.2" x14ac:dyDescent="0.25">
      <c r="A5" s="189"/>
      <c r="B5" s="1505"/>
      <c r="C5" s="1511" t="s">
        <v>3894</v>
      </c>
      <c r="D5" s="1507"/>
      <c r="E5" s="1507"/>
      <c r="F5" s="1507"/>
      <c r="G5" s="1507"/>
      <c r="H5" s="1507"/>
      <c r="I5" s="189"/>
      <c r="J5" s="189"/>
      <c r="K5" s="189"/>
      <c r="L5" s="189"/>
      <c r="M5" s="189"/>
      <c r="N5" s="189"/>
      <c r="O5" s="189"/>
      <c r="P5" s="189"/>
      <c r="Q5" s="189"/>
      <c r="R5" s="189"/>
      <c r="S5" s="189"/>
      <c r="T5" s="189"/>
      <c r="U5" s="189"/>
      <c r="V5" s="189"/>
      <c r="W5" s="189"/>
      <c r="X5" s="189"/>
      <c r="Y5" s="189"/>
      <c r="Z5" s="189"/>
      <c r="AA5" s="189"/>
      <c r="AB5" s="189"/>
    </row>
    <row r="6" spans="1:28" ht="13.2" x14ac:dyDescent="0.25">
      <c r="A6" s="189"/>
      <c r="B6" s="1505"/>
      <c r="C6" s="1507" t="s">
        <v>3895</v>
      </c>
      <c r="D6" s="1505">
        <f ca="1">OPEX!E35+OPEX!E36</f>
        <v>13654.157103</v>
      </c>
      <c r="E6" s="1512" t="s">
        <v>761</v>
      </c>
      <c r="F6" s="1507"/>
      <c r="G6" s="1507"/>
      <c r="H6" s="1507"/>
      <c r="I6" s="189"/>
      <c r="J6" s="189"/>
      <c r="K6" s="189"/>
      <c r="L6" s="189"/>
      <c r="M6" s="189"/>
      <c r="N6" s="189"/>
      <c r="O6" s="189"/>
      <c r="P6" s="189"/>
      <c r="Q6" s="189"/>
      <c r="R6" s="189"/>
      <c r="S6" s="189"/>
      <c r="T6" s="189"/>
      <c r="U6" s="189"/>
      <c r="V6" s="189"/>
      <c r="W6" s="189"/>
      <c r="X6" s="189"/>
      <c r="Y6" s="189"/>
      <c r="Z6" s="189"/>
      <c r="AA6" s="189"/>
      <c r="AB6" s="189"/>
    </row>
    <row r="7" spans="1:28" ht="13.2" x14ac:dyDescent="0.25">
      <c r="A7" s="189"/>
      <c r="B7" s="1505"/>
      <c r="C7" s="1507"/>
      <c r="D7" s="1507"/>
      <c r="E7" s="1507"/>
      <c r="F7" s="1507"/>
      <c r="G7" s="1507"/>
      <c r="H7" s="1507"/>
      <c r="I7" s="189"/>
      <c r="J7" s="189"/>
      <c r="K7" s="189"/>
      <c r="L7" s="189"/>
      <c r="M7" s="189"/>
      <c r="N7" s="189"/>
      <c r="O7" s="189"/>
      <c r="P7" s="189"/>
      <c r="Q7" s="189"/>
      <c r="R7" s="189"/>
      <c r="S7" s="189"/>
      <c r="T7" s="189"/>
      <c r="U7" s="189"/>
      <c r="V7" s="189"/>
      <c r="W7" s="189"/>
      <c r="X7" s="189"/>
      <c r="Y7" s="189"/>
      <c r="Z7" s="189"/>
      <c r="AA7" s="189"/>
      <c r="AB7" s="189"/>
    </row>
    <row r="8" spans="1:28" ht="13.2" x14ac:dyDescent="0.25">
      <c r="A8" s="189"/>
      <c r="B8" s="1505"/>
      <c r="C8" s="1513" t="s">
        <v>3896</v>
      </c>
      <c r="D8" s="1514" t="s">
        <v>3897</v>
      </c>
      <c r="E8" s="1514" t="s">
        <v>3898</v>
      </c>
      <c r="F8" s="1514" t="s">
        <v>3899</v>
      </c>
      <c r="G8" s="1507"/>
      <c r="H8" s="1507"/>
      <c r="I8" s="189"/>
      <c r="J8" s="189"/>
      <c r="K8" s="189"/>
      <c r="L8" s="189"/>
      <c r="M8" s="189"/>
      <c r="N8" s="189"/>
      <c r="O8" s="189"/>
      <c r="P8" s="189"/>
      <c r="Q8" s="189"/>
      <c r="R8" s="189"/>
      <c r="S8" s="189"/>
      <c r="T8" s="189"/>
      <c r="U8" s="189"/>
      <c r="V8" s="189"/>
      <c r="W8" s="189"/>
      <c r="X8" s="189"/>
      <c r="Y8" s="189"/>
      <c r="Z8" s="189"/>
      <c r="AA8" s="189"/>
      <c r="AB8" s="189"/>
    </row>
    <row r="9" spans="1:28" ht="13.2" x14ac:dyDescent="0.25">
      <c r="A9" s="189"/>
      <c r="B9" s="1505"/>
      <c r="C9" s="1515"/>
      <c r="D9" s="1516" t="s">
        <v>287</v>
      </c>
      <c r="E9" s="1516" t="s">
        <v>3900</v>
      </c>
      <c r="F9" s="1516" t="s">
        <v>3901</v>
      </c>
      <c r="G9" s="1507"/>
      <c r="H9" s="1507"/>
      <c r="I9" s="189"/>
      <c r="J9" s="189"/>
      <c r="K9" s="189"/>
      <c r="L9" s="189"/>
      <c r="M9" s="189"/>
      <c r="N9" s="189"/>
      <c r="O9" s="189"/>
      <c r="P9" s="189"/>
      <c r="Q9" s="189"/>
      <c r="R9" s="189"/>
      <c r="S9" s="189"/>
      <c r="T9" s="189"/>
      <c r="U9" s="189"/>
      <c r="V9" s="189"/>
      <c r="W9" s="189"/>
      <c r="X9" s="189"/>
      <c r="Y9" s="189"/>
      <c r="Z9" s="189"/>
      <c r="AA9" s="189"/>
      <c r="AB9" s="189"/>
    </row>
    <row r="10" spans="1:28" ht="13.2" x14ac:dyDescent="0.25">
      <c r="A10" s="189"/>
      <c r="B10" s="1505"/>
      <c r="C10" s="1507" t="s">
        <v>3920</v>
      </c>
      <c r="D10" s="1507">
        <f ca="1">OPEX!E12</f>
        <v>104166.667</v>
      </c>
      <c r="E10" s="1507">
        <f t="shared" ref="E10:E27" ca="1" si="0">D10/$E$4</f>
        <v>14.355164349315316</v>
      </c>
      <c r="F10" s="1507">
        <f t="shared" ref="F10:F27" ca="1" si="1">D10/$F$4</f>
        <v>21.816359193488321</v>
      </c>
      <c r="G10" s="1507"/>
      <c r="H10" s="1507"/>
      <c r="I10" s="189"/>
      <c r="J10" s="189"/>
      <c r="K10" s="189"/>
      <c r="L10" s="189"/>
      <c r="M10" s="189"/>
      <c r="N10" s="189"/>
      <c r="O10" s="189"/>
      <c r="P10" s="189"/>
      <c r="Q10" s="189"/>
      <c r="R10" s="189"/>
      <c r="S10" s="189"/>
      <c r="T10" s="189"/>
      <c r="U10" s="189"/>
      <c r="V10" s="189"/>
      <c r="W10" s="189"/>
      <c r="X10" s="189"/>
      <c r="Y10" s="189"/>
      <c r="Z10" s="189"/>
      <c r="AA10" s="189"/>
      <c r="AB10" s="189"/>
    </row>
    <row r="11" spans="1:28" ht="13.2" x14ac:dyDescent="0.25">
      <c r="A11" s="189"/>
      <c r="B11" s="1505"/>
      <c r="C11" s="1507" t="s">
        <v>3921</v>
      </c>
      <c r="D11" s="1507">
        <f ca="1">D10*(1-OPEX!M7)</f>
        <v>83333.333700000003</v>
      </c>
      <c r="E11" s="1507">
        <f t="shared" ca="1" si="0"/>
        <v>11.484131493233212</v>
      </c>
      <c r="F11" s="1507">
        <f t="shared" ca="1" si="1"/>
        <v>17.453087375734363</v>
      </c>
      <c r="G11" s="1507"/>
      <c r="H11" s="1507"/>
      <c r="I11" s="189"/>
      <c r="J11" s="189"/>
      <c r="K11" s="189"/>
      <c r="L11" s="189"/>
      <c r="M11" s="189"/>
      <c r="N11" s="189"/>
      <c r="O11" s="189"/>
      <c r="P11" s="189"/>
      <c r="Q11" s="189"/>
      <c r="R11" s="189"/>
      <c r="S11" s="189"/>
      <c r="T11" s="189"/>
      <c r="U11" s="189"/>
      <c r="V11" s="189"/>
      <c r="W11" s="189"/>
      <c r="X11" s="189"/>
      <c r="Y11" s="189"/>
      <c r="Z11" s="189"/>
      <c r="AA11" s="189"/>
      <c r="AB11" s="189"/>
    </row>
    <row r="12" spans="1:28" ht="13.2" x14ac:dyDescent="0.25">
      <c r="A12" s="189"/>
      <c r="B12" s="1505"/>
      <c r="C12" s="1507" t="str">
        <f>OPEX!C13</f>
        <v>Sulfuric Acid, 93%</v>
      </c>
      <c r="D12" s="1507">
        <f ca="1">OPEX!E13</f>
        <v>1980.6120000000003</v>
      </c>
      <c r="E12" s="1507">
        <f t="shared" ca="1" si="0"/>
        <v>0.27294730253993932</v>
      </c>
      <c r="F12" s="1507">
        <f t="shared" ca="1" si="1"/>
        <v>0.41481352969595636</v>
      </c>
      <c r="G12" s="1507"/>
      <c r="H12" s="1507"/>
      <c r="I12" s="189"/>
      <c r="J12" s="189"/>
      <c r="K12" s="189"/>
      <c r="L12" s="189"/>
      <c r="M12" s="189"/>
      <c r="N12" s="189"/>
      <c r="O12" s="189"/>
      <c r="P12" s="189"/>
      <c r="Q12" s="189"/>
      <c r="R12" s="189"/>
      <c r="S12" s="189"/>
      <c r="T12" s="189"/>
      <c r="U12" s="189"/>
      <c r="V12" s="189"/>
      <c r="W12" s="189"/>
      <c r="X12" s="189"/>
      <c r="Y12" s="189"/>
      <c r="Z12" s="189"/>
      <c r="AA12" s="189"/>
      <c r="AB12" s="189"/>
    </row>
    <row r="13" spans="1:28" ht="13.2" x14ac:dyDescent="0.25">
      <c r="A13" s="189"/>
      <c r="B13" s="1505"/>
      <c r="C13" s="1507" t="str">
        <f>OPEX!C14</f>
        <v>Ammonia</v>
      </c>
      <c r="D13" s="1507">
        <f ca="1">OPEX!E14</f>
        <v>1050.60419</v>
      </c>
      <c r="E13" s="1507">
        <f t="shared" ca="1" si="0"/>
        <v>0.14478331934657462</v>
      </c>
      <c r="F13" s="1507">
        <f t="shared" ca="1" si="1"/>
        <v>0.22003543973643558</v>
      </c>
      <c r="G13" s="1507"/>
      <c r="H13" s="1507"/>
      <c r="I13" s="189"/>
      <c r="J13" s="189"/>
      <c r="K13" s="189"/>
      <c r="L13" s="189"/>
      <c r="M13" s="189"/>
      <c r="N13" s="189"/>
      <c r="O13" s="189"/>
      <c r="P13" s="189"/>
      <c r="Q13" s="189"/>
      <c r="R13" s="189"/>
      <c r="S13" s="189"/>
      <c r="T13" s="189"/>
      <c r="U13" s="189"/>
      <c r="V13" s="189"/>
      <c r="W13" s="189"/>
      <c r="X13" s="189"/>
      <c r="Y13" s="189"/>
      <c r="Z13" s="189"/>
      <c r="AA13" s="189"/>
      <c r="AB13" s="189"/>
    </row>
    <row r="14" spans="1:28" ht="13.2" x14ac:dyDescent="0.25">
      <c r="A14" s="189"/>
      <c r="B14" s="1505"/>
      <c r="C14" s="1507" t="str">
        <f>OPEX!C15</f>
        <v>Corn Steep Liquor</v>
      </c>
      <c r="D14" s="1507">
        <f ca="1">OPEX!E15</f>
        <v>1158.0003400000001</v>
      </c>
      <c r="E14" s="1507">
        <f t="shared" ca="1" si="0"/>
        <v>0.15958353738305764</v>
      </c>
      <c r="F14" s="1507">
        <f t="shared" ca="1" si="1"/>
        <v>0.24252817231467724</v>
      </c>
      <c r="G14" s="1507"/>
      <c r="H14" s="1507"/>
      <c r="I14" s="189"/>
      <c r="J14" s="189"/>
      <c r="K14" s="189"/>
      <c r="L14" s="189"/>
      <c r="M14" s="189"/>
      <c r="N14" s="189"/>
      <c r="O14" s="189"/>
      <c r="P14" s="189"/>
      <c r="Q14" s="189"/>
      <c r="R14" s="189"/>
      <c r="S14" s="189"/>
      <c r="T14" s="189"/>
      <c r="U14" s="189"/>
      <c r="V14" s="189"/>
      <c r="W14" s="189"/>
      <c r="X14" s="189"/>
      <c r="Y14" s="189"/>
      <c r="Z14" s="189"/>
      <c r="AA14" s="189"/>
      <c r="AB14" s="189"/>
    </row>
    <row r="15" spans="1:28" ht="13.2" x14ac:dyDescent="0.25">
      <c r="A15" s="189"/>
      <c r="B15" s="1505"/>
      <c r="C15" s="1507" t="str">
        <f>OPEX!C16</f>
        <v>Diammonium Phosph</v>
      </c>
      <c r="D15" s="1507">
        <f ca="1">OPEX!E16</f>
        <v>144.017628</v>
      </c>
      <c r="E15" s="1507">
        <f t="shared" ca="1" si="0"/>
        <v>1.9847008440219704E-2</v>
      </c>
      <c r="F15" s="1507">
        <f t="shared" ca="1" si="1"/>
        <v>3.0162626808844534E-2</v>
      </c>
      <c r="G15" s="1507"/>
      <c r="H15" s="1507"/>
      <c r="I15" s="189"/>
      <c r="J15" s="189"/>
      <c r="K15" s="189" t="s">
        <v>3902</v>
      </c>
      <c r="L15" s="189"/>
      <c r="M15" s="189"/>
      <c r="N15" s="189"/>
      <c r="O15" s="189"/>
      <c r="P15" s="189"/>
      <c r="Q15" s="189"/>
      <c r="R15" s="189"/>
      <c r="S15" s="189"/>
      <c r="T15" s="189"/>
      <c r="U15" s="189"/>
      <c r="V15" s="189"/>
      <c r="W15" s="189"/>
      <c r="X15" s="189"/>
      <c r="Y15" s="189"/>
      <c r="Z15" s="189"/>
      <c r="AA15" s="189"/>
      <c r="AB15" s="189"/>
    </row>
    <row r="16" spans="1:28" ht="13.2" x14ac:dyDescent="0.25">
      <c r="A16" s="189"/>
      <c r="B16" s="1505"/>
      <c r="C16" s="1507" t="str">
        <f>OPEX!C17</f>
        <v>Sorbitol</v>
      </c>
      <c r="D16" s="1507">
        <f ca="1">OPEX!E17</f>
        <v>44.322620899999997</v>
      </c>
      <c r="E16" s="1507">
        <f t="shared" ca="1" si="0"/>
        <v>6.1080816516083589E-3</v>
      </c>
      <c r="F16" s="1507">
        <f t="shared" ca="1" si="1"/>
        <v>9.2827988626266837E-3</v>
      </c>
      <c r="G16" s="1507"/>
      <c r="H16" s="1507"/>
      <c r="I16" s="189"/>
      <c r="J16" s="189" t="s">
        <v>3903</v>
      </c>
      <c r="K16" s="189" t="s">
        <v>1153</v>
      </c>
      <c r="L16" s="189">
        <f ca="1">IFERROR(VLOOKUP(J16,INDIRECT(LU_SENS),2,FALSE),0)</f>
        <v>4107.8476600000004</v>
      </c>
      <c r="M16" s="189"/>
      <c r="N16" s="189"/>
      <c r="O16" s="189"/>
      <c r="P16" s="189"/>
      <c r="Q16" s="189"/>
      <c r="R16" s="189"/>
      <c r="S16" s="189"/>
      <c r="T16" s="189"/>
      <c r="U16" s="189"/>
      <c r="V16" s="189"/>
      <c r="W16" s="189"/>
      <c r="X16" s="189"/>
      <c r="Y16" s="189"/>
      <c r="Z16" s="189"/>
      <c r="AA16" s="189"/>
      <c r="AB16" s="189"/>
    </row>
    <row r="17" spans="1:28" ht="13.2" x14ac:dyDescent="0.25">
      <c r="A17" s="189"/>
      <c r="B17" s="1505"/>
      <c r="C17" s="1507" t="str">
        <f>OPEX!C18</f>
        <v>Purchased Enzyme</v>
      </c>
      <c r="D17" s="1507">
        <v>0</v>
      </c>
      <c r="E17" s="1507">
        <f t="shared" ca="1" si="0"/>
        <v>0</v>
      </c>
      <c r="F17" s="1507">
        <f t="shared" ca="1" si="1"/>
        <v>0</v>
      </c>
      <c r="G17" s="1507"/>
      <c r="H17" s="1507"/>
      <c r="I17" s="189"/>
      <c r="J17" s="189" t="s">
        <v>3904</v>
      </c>
      <c r="K17" s="189" t="s">
        <v>2948</v>
      </c>
      <c r="L17" s="189">
        <f ca="1">IFERROR(VLOOKUP(J17,INDIRECT(LU_SENS),2,FALSE),0)</f>
        <v>122.49975999999999</v>
      </c>
      <c r="M17" s="189"/>
      <c r="N17" s="189"/>
      <c r="O17" s="189"/>
      <c r="P17" s="189"/>
      <c r="Q17" s="189"/>
      <c r="R17" s="189"/>
      <c r="S17" s="189"/>
      <c r="T17" s="189"/>
      <c r="U17" s="189"/>
      <c r="V17" s="189"/>
      <c r="W17" s="189"/>
      <c r="X17" s="189"/>
      <c r="Y17" s="189"/>
      <c r="Z17" s="189"/>
      <c r="AA17" s="189"/>
      <c r="AB17" s="189"/>
    </row>
    <row r="18" spans="1:28" ht="13.2" x14ac:dyDescent="0.25">
      <c r="A18" s="189"/>
      <c r="B18" s="1505"/>
      <c r="C18" s="1507" t="str">
        <f>OPEX!C19</f>
        <v>Glucose</v>
      </c>
      <c r="D18" s="1507">
        <f ca="1">OPEX!E19</f>
        <v>2417.9653600000001</v>
      </c>
      <c r="E18" s="1507">
        <f t="shared" ca="1" si="0"/>
        <v>0.33321878421771312</v>
      </c>
      <c r="F18" s="1507">
        <f t="shared" ca="1" si="1"/>
        <v>0.50641152616673724</v>
      </c>
      <c r="G18" s="1507"/>
      <c r="H18" s="1507"/>
      <c r="I18" s="189"/>
      <c r="J18" s="189" t="s">
        <v>3905</v>
      </c>
      <c r="K18" s="189" t="s">
        <v>3906</v>
      </c>
      <c r="L18" s="189">
        <f ca="1">IFERROR(VLOOKUP(J18,INDIRECT(LU_SENS),2,FALSE),0)</f>
        <v>1316.1853000000001</v>
      </c>
      <c r="M18" s="189"/>
      <c r="N18" s="189"/>
      <c r="O18" s="189"/>
      <c r="P18" s="189"/>
      <c r="Q18" s="189"/>
      <c r="R18" s="189"/>
      <c r="S18" s="189"/>
      <c r="T18" s="189"/>
      <c r="U18" s="189"/>
      <c r="V18" s="189"/>
      <c r="W18" s="189"/>
      <c r="X18" s="189"/>
      <c r="Y18" s="189"/>
      <c r="Z18" s="189"/>
      <c r="AA18" s="189"/>
      <c r="AB18" s="189"/>
    </row>
    <row r="19" spans="1:28" ht="13.2" x14ac:dyDescent="0.25">
      <c r="A19" s="189"/>
      <c r="B19" s="1505"/>
      <c r="C19" s="1507" t="str">
        <f>OPEX!C20</f>
        <v>Corn Steep Liquor</v>
      </c>
      <c r="D19" s="1507">
        <f ca="1">OPEX!E20</f>
        <v>164.492718</v>
      </c>
      <c r="E19" s="1507">
        <f t="shared" ca="1" si="0"/>
        <v>2.2668671938553795E-2</v>
      </c>
      <c r="F19" s="1507">
        <f t="shared" ca="1" si="1"/>
        <v>3.4450869207528566E-2</v>
      </c>
      <c r="G19" s="1507"/>
      <c r="H19" s="1507"/>
      <c r="I19" s="189"/>
      <c r="J19" s="189" t="s">
        <v>3907</v>
      </c>
      <c r="K19" s="189" t="s">
        <v>2868</v>
      </c>
      <c r="L19" s="189">
        <f ca="1">IFERROR(VLOOKUP(J19,INDIRECT(LU_SENS),2,FALSE),0)</f>
        <v>179.077696</v>
      </c>
      <c r="M19" s="189"/>
      <c r="N19" s="189"/>
      <c r="O19" s="189"/>
      <c r="P19" s="189"/>
      <c r="Q19" s="189"/>
      <c r="R19" s="189"/>
      <c r="S19" s="189"/>
      <c r="T19" s="189"/>
      <c r="U19" s="189"/>
      <c r="V19" s="189"/>
      <c r="W19" s="189"/>
      <c r="X19" s="189"/>
      <c r="Y19" s="189"/>
      <c r="Z19" s="189"/>
      <c r="AA19" s="189"/>
      <c r="AB19" s="189"/>
    </row>
    <row r="20" spans="1:28" ht="13.2" x14ac:dyDescent="0.25">
      <c r="A20" s="189"/>
      <c r="B20" s="1505"/>
      <c r="C20" s="1507" t="str">
        <f>OPEX!C21</f>
        <v>Ammonia</v>
      </c>
      <c r="D20" s="1507">
        <f ca="1">OPEX!E21</f>
        <v>114.97313300000002</v>
      </c>
      <c r="E20" s="1507">
        <f t="shared" ca="1" si="0"/>
        <v>1.5844398861016535E-2</v>
      </c>
      <c r="F20" s="1507">
        <f t="shared" ca="1" si="1"/>
        <v>2.407963352738075E-2</v>
      </c>
      <c r="G20" s="1507"/>
      <c r="H20" s="1507"/>
      <c r="I20" s="189"/>
      <c r="J20" s="189"/>
      <c r="K20" s="189"/>
      <c r="L20" s="189"/>
      <c r="M20" s="189"/>
      <c r="N20" s="189"/>
      <c r="O20" s="189"/>
      <c r="P20" s="189"/>
      <c r="Q20" s="189"/>
      <c r="R20" s="189"/>
      <c r="S20" s="189"/>
      <c r="T20" s="189"/>
      <c r="U20" s="189"/>
      <c r="V20" s="189"/>
      <c r="W20" s="189"/>
      <c r="X20" s="189"/>
      <c r="Y20" s="189"/>
      <c r="Z20" s="189"/>
      <c r="AA20" s="189"/>
      <c r="AB20" s="189"/>
    </row>
    <row r="21" spans="1:28" ht="13.2" x14ac:dyDescent="0.25">
      <c r="A21" s="189"/>
      <c r="B21" s="1505"/>
      <c r="C21" s="1507" t="str">
        <f>OPEX!C22</f>
        <v>Host nutrients</v>
      </c>
      <c r="D21" s="1507">
        <f ca="1">OPEX!E22</f>
        <v>67.351979200000002</v>
      </c>
      <c r="E21" s="1507">
        <f t="shared" ca="1" si="0"/>
        <v>9.2817477847080086E-3</v>
      </c>
      <c r="F21" s="1507">
        <f t="shared" ca="1" si="1"/>
        <v>1.4105999672808522E-2</v>
      </c>
      <c r="G21" s="1507"/>
      <c r="H21" s="1507"/>
      <c r="I21" s="189"/>
      <c r="J21" s="189"/>
      <c r="K21" s="189"/>
      <c r="L21" s="189"/>
      <c r="M21" s="189"/>
      <c r="N21" s="189"/>
      <c r="O21" s="189"/>
      <c r="P21" s="189"/>
      <c r="Q21" s="189"/>
      <c r="R21" s="189"/>
      <c r="S21" s="189"/>
      <c r="T21" s="189"/>
      <c r="U21" s="189"/>
      <c r="V21" s="189"/>
      <c r="W21" s="189"/>
      <c r="X21" s="189"/>
      <c r="Y21" s="189"/>
      <c r="Z21" s="189"/>
      <c r="AA21" s="189"/>
      <c r="AB21" s="189"/>
    </row>
    <row r="22" spans="1:28" ht="13.2" x14ac:dyDescent="0.25">
      <c r="A22" s="189"/>
      <c r="B22" s="1505"/>
      <c r="C22" s="1507" t="str">
        <f>OPEX!C23</f>
        <v>Sulfur Dioxide</v>
      </c>
      <c r="D22" s="1507">
        <f ca="1">OPEX!E23</f>
        <v>16.4154968</v>
      </c>
      <c r="E22" s="1507">
        <f t="shared" ca="1" si="0"/>
        <v>2.2622126753816521E-3</v>
      </c>
      <c r="F22" s="1507">
        <f t="shared" ca="1" si="1"/>
        <v>3.4380131844705957E-3</v>
      </c>
      <c r="G22" s="1507"/>
      <c r="H22" s="1507"/>
      <c r="I22" s="189"/>
      <c r="J22" s="189"/>
      <c r="K22" s="189"/>
      <c r="L22" s="189"/>
      <c r="M22" s="189"/>
      <c r="N22" s="189"/>
      <c r="O22" s="189"/>
      <c r="P22" s="189"/>
      <c r="Q22" s="189"/>
      <c r="R22" s="189"/>
      <c r="S22" s="189"/>
      <c r="T22" s="189"/>
      <c r="U22" s="189"/>
      <c r="V22" s="189"/>
      <c r="W22" s="189"/>
      <c r="X22" s="189"/>
      <c r="Y22" s="189"/>
      <c r="Z22" s="189"/>
      <c r="AA22" s="189"/>
      <c r="AB22" s="189"/>
    </row>
    <row r="23" spans="1:28" ht="13.2" x14ac:dyDescent="0.25">
      <c r="A23" s="189"/>
      <c r="B23" s="1505"/>
      <c r="C23" s="1507" t="str">
        <f>OPEX!C24</f>
        <v>Caustic (as pure)</v>
      </c>
      <c r="D23" s="1507">
        <f ca="1">OPEX!E24</f>
        <v>2251.5064299999999</v>
      </c>
      <c r="E23" s="1507">
        <f t="shared" ca="1" si="0"/>
        <v>0.31027914943453266</v>
      </c>
      <c r="F23" s="1507">
        <f t="shared" ca="1" si="1"/>
        <v>0.47154885932299789</v>
      </c>
      <c r="G23" s="1507"/>
      <c r="H23" s="1507"/>
      <c r="I23" s="189"/>
      <c r="J23" s="189"/>
      <c r="K23" s="189"/>
      <c r="L23" s="189"/>
      <c r="M23" s="189"/>
      <c r="N23" s="189"/>
      <c r="O23" s="189"/>
      <c r="P23" s="189"/>
      <c r="Q23" s="189"/>
      <c r="R23" s="189"/>
      <c r="S23" s="189"/>
      <c r="T23" s="189"/>
      <c r="U23" s="189"/>
      <c r="V23" s="189"/>
      <c r="W23" s="189"/>
      <c r="X23" s="189"/>
      <c r="Y23" s="189"/>
      <c r="Z23" s="189"/>
      <c r="AA23" s="189"/>
      <c r="AB23" s="189"/>
    </row>
    <row r="24" spans="1:28" ht="13.2" x14ac:dyDescent="0.25">
      <c r="A24" s="189"/>
      <c r="B24" s="1505"/>
      <c r="C24" s="1507" t="str">
        <f>OPEX!C25</f>
        <v>Boiler Chems</v>
      </c>
      <c r="D24" s="1507">
        <f ca="1">OPEX!E25</f>
        <v>0.24903522299999997</v>
      </c>
      <c r="E24" s="1507">
        <f t="shared" ca="1" si="0"/>
        <v>3.4319438817538331E-5</v>
      </c>
      <c r="F24" s="1507">
        <f t="shared" ca="1" si="1"/>
        <v>5.2157201850362206E-5</v>
      </c>
      <c r="G24" s="1507"/>
      <c r="H24" s="1507"/>
      <c r="I24" s="189"/>
      <c r="J24" s="189"/>
      <c r="K24" s="189"/>
      <c r="L24" s="189"/>
      <c r="M24" s="189"/>
      <c r="N24" s="189"/>
      <c r="O24" s="189"/>
      <c r="P24" s="189"/>
      <c r="Q24" s="189"/>
      <c r="R24" s="189"/>
      <c r="S24" s="189"/>
      <c r="T24" s="189"/>
      <c r="U24" s="189"/>
      <c r="V24" s="189"/>
      <c r="W24" s="189"/>
      <c r="X24" s="189"/>
      <c r="Y24" s="189"/>
      <c r="Z24" s="189"/>
      <c r="AA24" s="189"/>
      <c r="AB24" s="189"/>
    </row>
    <row r="25" spans="1:28" ht="13.2" x14ac:dyDescent="0.25">
      <c r="A25" s="189"/>
      <c r="B25" s="1505"/>
      <c r="C25" s="1507" t="str">
        <f>OPEX!C26</f>
        <v>FGD Lime</v>
      </c>
      <c r="D25" s="1507">
        <f ca="1">OPEX!E26</f>
        <v>895.38848099999996</v>
      </c>
      <c r="E25" s="1507">
        <f t="shared" ca="1" si="0"/>
        <v>0.12339310809703448</v>
      </c>
      <c r="F25" s="1507">
        <f t="shared" ca="1" si="1"/>
        <v>0.18752751990430772</v>
      </c>
      <c r="G25" s="1507"/>
      <c r="H25" s="1507"/>
      <c r="I25" s="189"/>
      <c r="J25" s="189" t="s">
        <v>3908</v>
      </c>
      <c r="K25" s="189"/>
      <c r="L25" s="189"/>
      <c r="M25" s="189"/>
      <c r="N25" s="189"/>
      <c r="O25" s="189"/>
      <c r="P25" s="189"/>
      <c r="Q25" s="189"/>
      <c r="R25" s="189"/>
      <c r="S25" s="189"/>
      <c r="T25" s="189"/>
      <c r="U25" s="189"/>
      <c r="V25" s="189"/>
      <c r="W25" s="189"/>
      <c r="X25" s="189"/>
      <c r="Y25" s="189"/>
      <c r="Z25" s="189"/>
      <c r="AA25" s="189"/>
      <c r="AB25" s="189"/>
    </row>
    <row r="26" spans="1:28" ht="13.2" x14ac:dyDescent="0.25">
      <c r="A26" s="189"/>
      <c r="B26" s="1505"/>
      <c r="C26" s="1507" t="str">
        <f>OPEX!C28</f>
        <v>Cooling Tower Chems</v>
      </c>
      <c r="D26" s="1507">
        <f ca="1">OPEX!E28</f>
        <v>2.2213445599999999</v>
      </c>
      <c r="E26" s="1507">
        <f t="shared" ca="1" si="0"/>
        <v>3.0612255487887997E-4</v>
      </c>
      <c r="F26" s="1507">
        <f t="shared" ca="1" si="1"/>
        <v>4.6523184632048627E-4</v>
      </c>
      <c r="G26" s="1507"/>
      <c r="H26" s="1507"/>
      <c r="I26" s="189"/>
      <c r="J26" s="189" t="s">
        <v>3909</v>
      </c>
      <c r="K26" s="189"/>
      <c r="L26" s="189"/>
      <c r="M26" s="189" t="s">
        <v>3910</v>
      </c>
      <c r="N26" s="189"/>
      <c r="O26" s="189"/>
      <c r="P26" s="189" t="s">
        <v>3911</v>
      </c>
      <c r="Q26" s="189"/>
      <c r="R26" s="189"/>
      <c r="S26" s="189" t="s">
        <v>3912</v>
      </c>
      <c r="T26" s="189"/>
      <c r="U26" s="189"/>
      <c r="V26" s="189" t="s">
        <v>3913</v>
      </c>
      <c r="W26" s="189"/>
      <c r="X26" s="189"/>
      <c r="Y26" s="189"/>
      <c r="Z26" s="189" t="s">
        <v>3914</v>
      </c>
      <c r="AA26" s="189"/>
      <c r="AB26" s="189"/>
    </row>
    <row r="27" spans="1:28" ht="13.2" x14ac:dyDescent="0.25">
      <c r="A27" s="189"/>
      <c r="B27" s="1505"/>
      <c r="C27" s="1507" t="str">
        <f>OPEX!C29</f>
        <v>Makeup Water</v>
      </c>
      <c r="D27" s="1507">
        <f ca="1">OPEX!E29</f>
        <v>147722.20199999999</v>
      </c>
      <c r="E27" s="1507">
        <f t="shared" ca="1" si="0"/>
        <v>20.357534217282343</v>
      </c>
      <c r="F27" s="1507">
        <f t="shared" ca="1" si="1"/>
        <v>30.938501849973168</v>
      </c>
      <c r="G27" s="1507"/>
      <c r="H27" s="1507"/>
      <c r="I27" s="189" t="str">
        <f t="shared" ref="I27:I36" si="2">_xlfn.CONCAT("CMIX.",J27,".A800.810")</f>
        <v>CMIX.O2.A800.810</v>
      </c>
      <c r="J27" s="189" t="s">
        <v>1290</v>
      </c>
      <c r="K27" s="189">
        <f t="shared" ref="K27:K36" ca="1" si="3">IFERROR(VLOOKUP(I27,INDIRECT(LU_SENS),2,FALSE),0)</f>
        <v>11322.253000000001</v>
      </c>
      <c r="L27" s="189" t="str">
        <f>_xlfn.CONCAT("CMIX.",M27,".A400.435")</f>
        <v>CMIX.O2.A400.435</v>
      </c>
      <c r="M27" s="189" t="s">
        <v>1290</v>
      </c>
      <c r="N27" s="189">
        <f t="shared" ref="N27:N36" ca="1" si="4">IFERROR(VLOOKUP(L27,INDIRECT(LU_SENS),2,FALSE),0)</f>
        <v>286.966454</v>
      </c>
      <c r="O27" s="189" t="str">
        <f>_xlfn.CONCAT("CMIX.",P27,".A400.423")</f>
        <v>CMIX.O2.A400.423</v>
      </c>
      <c r="P27" s="189" t="s">
        <v>1290</v>
      </c>
      <c r="Q27" s="189">
        <f t="shared" ref="Q27:Q36" ca="1" si="5">IFERROR(VLOOKUP(O27,INDIRECT(LU_SENS),2,FALSE),0)</f>
        <v>5439.9560799999999</v>
      </c>
      <c r="R27" s="189" t="str">
        <f>_xlfn.CONCAT("CMIX.",S27,".A500.550")</f>
        <v>CMIX.O2.A500.550</v>
      </c>
      <c r="S27" s="189" t="s">
        <v>1290</v>
      </c>
      <c r="T27" s="189">
        <f t="shared" ref="T27:T36" ca="1" si="6">IFERROR(VLOOKUP(R27,INDIRECT(LU_SENS),2,FALSE),0)</f>
        <v>171.77323899999999</v>
      </c>
      <c r="U27" s="189" t="str">
        <f>_xlfn.CONCAT("CMIX.",V27,".A600.622")</f>
        <v>CMIX.O2.A600.622</v>
      </c>
      <c r="V27" s="189" t="s">
        <v>1290</v>
      </c>
      <c r="W27" s="189">
        <f t="shared" ref="W27:W36" ca="1" si="7">IFERROR(VLOOKUP(U27,INDIRECT(LU_SENS),2,FALSE),0)</f>
        <v>44637.570500000002</v>
      </c>
      <c r="X27" s="189"/>
      <c r="Y27" s="189"/>
      <c r="Z27" s="189" t="s">
        <v>1290</v>
      </c>
      <c r="AA27" s="189">
        <f ca="1">SUM(K27,N27,Q27,T27,W27)</f>
        <v>61858.519272999998</v>
      </c>
      <c r="AB27" s="189"/>
    </row>
    <row r="28" spans="1:28" ht="13.2" x14ac:dyDescent="0.25">
      <c r="A28" s="189"/>
      <c r="B28" s="1505" t="s">
        <v>268</v>
      </c>
      <c r="C28" s="1507"/>
      <c r="D28" s="1515"/>
      <c r="E28" s="1515"/>
      <c r="F28" s="1515"/>
      <c r="G28" s="1507"/>
      <c r="H28" s="1507"/>
      <c r="I28" s="189" t="str">
        <f t="shared" si="2"/>
        <v>CMIX.N2.A800.810</v>
      </c>
      <c r="J28" s="189" t="s">
        <v>1288</v>
      </c>
      <c r="K28" s="189">
        <f t="shared" ca="1" si="3"/>
        <v>223981.31299999999</v>
      </c>
      <c r="L28" s="189" t="str">
        <f t="shared" ref="L28:L31" si="8">_xlfn.CONCAT("CMIX.",M28,".A400.435")</f>
        <v>CMIX.N2.A400.435</v>
      </c>
      <c r="M28" s="189" t="s">
        <v>1288</v>
      </c>
      <c r="N28" s="189">
        <f t="shared" ca="1" si="4"/>
        <v>1166.85886</v>
      </c>
      <c r="O28" s="189" t="str">
        <f t="shared" ref="O28:O36" si="9">_xlfn.CONCAT("CMIX.",P28,".A400.423")</f>
        <v>CMIX.N2.A400.423</v>
      </c>
      <c r="P28" s="189" t="s">
        <v>1288</v>
      </c>
      <c r="Q28" s="189">
        <f t="shared" ca="1" si="5"/>
        <v>23337.183199999999</v>
      </c>
      <c r="R28" s="189" t="str">
        <f t="shared" ref="R28:R36" si="10">_xlfn.CONCAT("CMIX.",S28,".A500.550")</f>
        <v>CMIX.N2.A500.550</v>
      </c>
      <c r="S28" s="189" t="s">
        <v>1288</v>
      </c>
      <c r="T28" s="189">
        <f t="shared" ca="1" si="6"/>
        <v>0.17471318499999999</v>
      </c>
      <c r="U28" s="189" t="str">
        <f t="shared" ref="U28:U36" si="11">_xlfn.CONCAT("CMIX.",V28,".A600.622")</f>
        <v>CMIX.N2.A600.622</v>
      </c>
      <c r="V28" s="189" t="s">
        <v>1288</v>
      </c>
      <c r="W28" s="189">
        <f t="shared" ca="1" si="7"/>
        <v>167732.36199999999</v>
      </c>
      <c r="X28" s="189"/>
      <c r="Y28" s="189"/>
      <c r="Z28" s="189" t="s">
        <v>1288</v>
      </c>
      <c r="AA28" s="189">
        <f t="shared" ref="AA28:AA36" ca="1" si="12">SUM(K28,N28,Q28,T28,W28)</f>
        <v>416217.89177318499</v>
      </c>
      <c r="AB28" s="189"/>
    </row>
    <row r="29" spans="1:28" ht="13.2" x14ac:dyDescent="0.25">
      <c r="A29" s="189"/>
      <c r="B29" s="1505"/>
      <c r="C29" s="1517" t="s">
        <v>294</v>
      </c>
      <c r="D29" s="1518" t="s">
        <v>287</v>
      </c>
      <c r="E29" s="1518" t="s">
        <v>3900</v>
      </c>
      <c r="F29" s="1518" t="s">
        <v>3901</v>
      </c>
      <c r="G29" s="1507"/>
      <c r="H29" s="1507"/>
      <c r="I29" s="189" t="str">
        <f t="shared" si="2"/>
        <v>CMIX.NO.A800.810</v>
      </c>
      <c r="J29" s="189" t="s">
        <v>1292</v>
      </c>
      <c r="K29" s="189">
        <f t="shared" ca="1" si="3"/>
        <v>0</v>
      </c>
      <c r="L29" s="189" t="str">
        <f t="shared" si="8"/>
        <v>CMIX.NO.A400.435</v>
      </c>
      <c r="M29" s="189" t="s">
        <v>1292</v>
      </c>
      <c r="N29" s="189">
        <f t="shared" ca="1" si="4"/>
        <v>0</v>
      </c>
      <c r="O29" s="189" t="str">
        <f t="shared" si="9"/>
        <v>CMIX.NO.A400.423</v>
      </c>
      <c r="P29" s="189" t="s">
        <v>1292</v>
      </c>
      <c r="Q29" s="189">
        <f t="shared" ca="1" si="5"/>
        <v>0</v>
      </c>
      <c r="R29" s="189" t="str">
        <f t="shared" si="10"/>
        <v>CMIX.NO.A500.550</v>
      </c>
      <c r="S29" s="189" t="s">
        <v>1292</v>
      </c>
      <c r="T29" s="189">
        <f t="shared" ca="1" si="6"/>
        <v>0</v>
      </c>
      <c r="U29" s="189" t="str">
        <f t="shared" si="11"/>
        <v>CMIX.NO.A600.622</v>
      </c>
      <c r="V29" s="189" t="s">
        <v>1292</v>
      </c>
      <c r="W29" s="189">
        <f t="shared" ca="1" si="7"/>
        <v>0</v>
      </c>
      <c r="X29" s="189"/>
      <c r="Y29" s="189"/>
      <c r="Z29" s="189" t="s">
        <v>1292</v>
      </c>
      <c r="AA29" s="189">
        <f t="shared" ca="1" si="12"/>
        <v>0</v>
      </c>
      <c r="AB29" s="189"/>
    </row>
    <row r="30" spans="1:28" ht="13.2" x14ac:dyDescent="0.25">
      <c r="A30" s="189"/>
      <c r="B30" s="1505" t="s">
        <v>3915</v>
      </c>
      <c r="C30" s="1510" t="s">
        <v>1153</v>
      </c>
      <c r="D30" s="1510">
        <f ca="1">L16</f>
        <v>4107.8476600000004</v>
      </c>
      <c r="E30" s="1510">
        <f ca="1">D30/$E$4</f>
        <v>0.56610074968848101</v>
      </c>
      <c r="F30" s="1510">
        <f ca="1">D30/$F$4</f>
        <v>0.86033548584875519</v>
      </c>
      <c r="G30" s="1507"/>
      <c r="H30" s="1507"/>
      <c r="I30" s="189" t="str">
        <f t="shared" si="2"/>
        <v>CMIX.NO2.A800.810</v>
      </c>
      <c r="J30" s="189" t="s">
        <v>1293</v>
      </c>
      <c r="K30" s="189">
        <f t="shared" ca="1" si="3"/>
        <v>62.054766999999991</v>
      </c>
      <c r="L30" s="189" t="str">
        <f t="shared" si="8"/>
        <v>CMIX.NO2.A400.435</v>
      </c>
      <c r="M30" s="189" t="s">
        <v>1293</v>
      </c>
      <c r="N30" s="189">
        <f t="shared" ca="1" si="4"/>
        <v>0</v>
      </c>
      <c r="O30" s="189" t="str">
        <f t="shared" si="9"/>
        <v>CMIX.NO2.A400.423</v>
      </c>
      <c r="P30" s="189" t="s">
        <v>1293</v>
      </c>
      <c r="Q30" s="189">
        <f t="shared" ca="1" si="5"/>
        <v>0</v>
      </c>
      <c r="R30" s="189" t="str">
        <f t="shared" si="10"/>
        <v>CMIX.NO2.A500.550</v>
      </c>
      <c r="S30" s="189" t="s">
        <v>1293</v>
      </c>
      <c r="T30" s="189">
        <f t="shared" ca="1" si="6"/>
        <v>0</v>
      </c>
      <c r="U30" s="189" t="str">
        <f t="shared" si="11"/>
        <v>CMIX.NO2.A600.622</v>
      </c>
      <c r="V30" s="189" t="s">
        <v>1293</v>
      </c>
      <c r="W30" s="189">
        <f t="shared" ca="1" si="7"/>
        <v>2.26671647</v>
      </c>
      <c r="X30" s="189"/>
      <c r="Y30" s="189"/>
      <c r="Z30" s="189" t="s">
        <v>1293</v>
      </c>
      <c r="AA30" s="189">
        <f t="shared" ca="1" si="12"/>
        <v>64.32148346999999</v>
      </c>
      <c r="AB30" s="189"/>
    </row>
    <row r="31" spans="1:28" ht="13.2" x14ac:dyDescent="0.25">
      <c r="A31" s="189"/>
      <c r="B31" s="1505" t="s">
        <v>3915</v>
      </c>
      <c r="C31" s="1507" t="s">
        <v>2948</v>
      </c>
      <c r="D31" s="1507">
        <f t="shared" ref="D31:D33" ca="1" si="13">L17</f>
        <v>122.49975999999999</v>
      </c>
      <c r="E31" s="1507">
        <f ca="1">D31/$E$4</f>
        <v>1.6881640146474901E-2</v>
      </c>
      <c r="F31" s="1507">
        <f ca="1">D31/$F$4</f>
        <v>2.5655988064551521E-2</v>
      </c>
      <c r="G31" s="1507"/>
      <c r="H31" s="1507"/>
      <c r="I31" s="189" t="str">
        <f t="shared" si="2"/>
        <v>CMIX.CO.A800.810</v>
      </c>
      <c r="J31" s="189" t="s">
        <v>68</v>
      </c>
      <c r="K31" s="189">
        <f t="shared" ca="1" si="3"/>
        <v>61.960950499999996</v>
      </c>
      <c r="L31" s="189" t="str">
        <f t="shared" si="8"/>
        <v>CMIX.CO.A400.435</v>
      </c>
      <c r="M31" s="189" t="s">
        <v>68</v>
      </c>
      <c r="N31" s="189">
        <f t="shared" ca="1" si="4"/>
        <v>0</v>
      </c>
      <c r="O31" s="189" t="str">
        <f t="shared" si="9"/>
        <v>CMIX.CO.A400.423</v>
      </c>
      <c r="P31" s="189" t="s">
        <v>68</v>
      </c>
      <c r="Q31" s="189">
        <f t="shared" ca="1" si="5"/>
        <v>0</v>
      </c>
      <c r="R31" s="189" t="str">
        <f t="shared" si="10"/>
        <v>CMIX.CO.A500.550</v>
      </c>
      <c r="S31" s="189" t="s">
        <v>68</v>
      </c>
      <c r="T31" s="189">
        <f t="shared" ca="1" si="6"/>
        <v>0</v>
      </c>
      <c r="U31" s="189" t="str">
        <f t="shared" si="11"/>
        <v>CMIX.CO.A600.622</v>
      </c>
      <c r="V31" s="189" t="s">
        <v>68</v>
      </c>
      <c r="W31" s="189">
        <f t="shared" ca="1" si="7"/>
        <v>0</v>
      </c>
      <c r="X31" s="189"/>
      <c r="Y31" s="189"/>
      <c r="Z31" s="189" t="s">
        <v>68</v>
      </c>
      <c r="AA31" s="189">
        <f t="shared" ca="1" si="12"/>
        <v>61.960950499999996</v>
      </c>
      <c r="AB31" s="189"/>
    </row>
    <row r="32" spans="1:28" ht="13.2" x14ac:dyDescent="0.25">
      <c r="A32" s="189"/>
      <c r="B32" s="1505" t="s">
        <v>3915</v>
      </c>
      <c r="C32" s="1507" t="s">
        <v>3906</v>
      </c>
      <c r="D32" s="1507">
        <f t="shared" ca="1" si="13"/>
        <v>1316.1853000000001</v>
      </c>
      <c r="E32" s="1507">
        <f ca="1">D32/$E$4</f>
        <v>0.18138293985784229</v>
      </c>
      <c r="F32" s="1507">
        <f ca="1">D32/$F$4</f>
        <v>0.2756579633097907</v>
      </c>
      <c r="G32" s="1507"/>
      <c r="H32" s="1507"/>
      <c r="I32" s="189" t="str">
        <f t="shared" si="2"/>
        <v>CMIX.CO2.A800.810</v>
      </c>
      <c r="J32" s="189" t="s">
        <v>1289</v>
      </c>
      <c r="K32" s="189">
        <f t="shared" ca="1" si="3"/>
        <v>73396.563599999994</v>
      </c>
      <c r="L32" s="189" t="str">
        <f>_xlfn.CONCAT("CMIX.",M32,".A400.435")</f>
        <v>CMIX.CO2.A400.435</v>
      </c>
      <c r="M32" s="189" t="s">
        <v>1289</v>
      </c>
      <c r="N32" s="189">
        <f t="shared" ca="1" si="4"/>
        <v>95.090250999999995</v>
      </c>
      <c r="O32" s="189" t="str">
        <f t="shared" si="9"/>
        <v>CMIX.CO2.A400.423</v>
      </c>
      <c r="P32" s="189" t="s">
        <v>1289</v>
      </c>
      <c r="Q32" s="189">
        <f t="shared" ca="1" si="5"/>
        <v>2287.1875199999999</v>
      </c>
      <c r="R32" s="189" t="str">
        <f t="shared" si="10"/>
        <v>CMIX.CO2.A500.550</v>
      </c>
      <c r="S32" s="189" t="s">
        <v>1289</v>
      </c>
      <c r="T32" s="189">
        <f t="shared" ca="1" si="6"/>
        <v>20699.174800000001</v>
      </c>
      <c r="U32" s="189" t="str">
        <f t="shared" si="11"/>
        <v>CMIX.CO2.A600.622</v>
      </c>
      <c r="V32" s="189" t="s">
        <v>1289</v>
      </c>
      <c r="W32" s="189">
        <f t="shared" ca="1" si="7"/>
        <v>3855.9992299999999</v>
      </c>
      <c r="X32" s="189"/>
      <c r="Y32" s="189"/>
      <c r="Z32" s="189" t="s">
        <v>1289</v>
      </c>
      <c r="AA32" s="189">
        <f t="shared" ca="1" si="12"/>
        <v>100334.015401</v>
      </c>
      <c r="AB32" s="189"/>
    </row>
    <row r="33" spans="1:28" ht="13.2" x14ac:dyDescent="0.25">
      <c r="A33" s="189"/>
      <c r="B33" s="1505" t="s">
        <v>3915</v>
      </c>
      <c r="C33" s="1507" t="s">
        <v>2868</v>
      </c>
      <c r="D33" s="1507">
        <f t="shared" ca="1" si="13"/>
        <v>179.077696</v>
      </c>
      <c r="E33" s="1507">
        <f ca="1">D33/$E$4</f>
        <v>2.4678621591844981E-2</v>
      </c>
      <c r="F33" s="1507">
        <f ca="1">D33/$F$4</f>
        <v>3.7505503938974137E-2</v>
      </c>
      <c r="G33" s="1507"/>
      <c r="H33" s="1507"/>
      <c r="I33" s="189" t="str">
        <f t="shared" si="2"/>
        <v>CMIX.CH4.A800.810</v>
      </c>
      <c r="J33" s="189" t="s">
        <v>1291</v>
      </c>
      <c r="K33" s="189">
        <f t="shared" ca="1" si="3"/>
        <v>0</v>
      </c>
      <c r="L33" s="189" t="str">
        <f t="shared" ref="L33:L36" si="14">_xlfn.CONCAT("CMIX.",M33,".A400.435")</f>
        <v>CMIX.CH4.A400.435</v>
      </c>
      <c r="M33" s="189" t="s">
        <v>1291</v>
      </c>
      <c r="N33" s="189">
        <f t="shared" ca="1" si="4"/>
        <v>0</v>
      </c>
      <c r="O33" s="189" t="str">
        <f t="shared" si="9"/>
        <v>CMIX.CH4.A400.423</v>
      </c>
      <c r="P33" s="189" t="s">
        <v>1291</v>
      </c>
      <c r="Q33" s="189">
        <f t="shared" ca="1" si="5"/>
        <v>0</v>
      </c>
      <c r="R33" s="189" t="str">
        <f t="shared" si="10"/>
        <v>CMIX.CH4.A500.550</v>
      </c>
      <c r="S33" s="189" t="s">
        <v>1291</v>
      </c>
      <c r="T33" s="189">
        <f t="shared" ca="1" si="6"/>
        <v>0</v>
      </c>
      <c r="U33" s="189" t="str">
        <f t="shared" si="11"/>
        <v>CMIX.CH4.A600.622</v>
      </c>
      <c r="V33" s="189" t="s">
        <v>1291</v>
      </c>
      <c r="W33" s="189">
        <f t="shared" ca="1" si="7"/>
        <v>3.2901506199999999</v>
      </c>
      <c r="X33" s="189"/>
      <c r="Y33" s="189"/>
      <c r="Z33" s="189" t="s">
        <v>1291</v>
      </c>
      <c r="AA33" s="189">
        <f t="shared" ca="1" si="12"/>
        <v>3.2901506199999999</v>
      </c>
      <c r="AB33" s="189"/>
    </row>
    <row r="34" spans="1:28" ht="13.2" x14ac:dyDescent="0.25">
      <c r="A34" s="189" t="s">
        <v>3916</v>
      </c>
      <c r="B34" s="1505"/>
      <c r="C34" s="1512" t="s">
        <v>3917</v>
      </c>
      <c r="D34" s="1507">
        <f ca="1">IFERROR(VLOOKUP(A34,INDIRECT(LU_SENS),2,FALSE),0)</f>
        <v>9915.8414100000009</v>
      </c>
      <c r="E34" s="1507">
        <f ca="1">D34/$E$4</f>
        <v>1.3664979134092534</v>
      </c>
      <c r="F34" s="1507">
        <f ca="1">D34/$F$4</f>
        <v>2.0767445492541845</v>
      </c>
      <c r="G34" s="1507"/>
      <c r="H34" s="1507"/>
      <c r="I34" s="189" t="str">
        <f t="shared" si="2"/>
        <v>CMIX.H2S.A800.810</v>
      </c>
      <c r="J34" s="189" t="s">
        <v>1306</v>
      </c>
      <c r="K34" s="189">
        <f t="shared" ca="1" si="3"/>
        <v>0</v>
      </c>
      <c r="L34" s="189" t="str">
        <f t="shared" si="14"/>
        <v>CMIX.H2S.A400.435</v>
      </c>
      <c r="M34" s="189" t="s">
        <v>1306</v>
      </c>
      <c r="N34" s="189">
        <f t="shared" ca="1" si="4"/>
        <v>0</v>
      </c>
      <c r="O34" s="189" t="str">
        <f t="shared" si="9"/>
        <v>CMIX.H2S.A400.423</v>
      </c>
      <c r="P34" s="189" t="s">
        <v>1306</v>
      </c>
      <c r="Q34" s="189">
        <f t="shared" ca="1" si="5"/>
        <v>0</v>
      </c>
      <c r="R34" s="189" t="str">
        <f t="shared" si="10"/>
        <v>CMIX.H2S.A500.550</v>
      </c>
      <c r="S34" s="189" t="s">
        <v>1306</v>
      </c>
      <c r="T34" s="189">
        <f t="shared" ca="1" si="6"/>
        <v>0</v>
      </c>
      <c r="U34" s="189" t="str">
        <f t="shared" si="11"/>
        <v>CMIX.H2S.A600.622</v>
      </c>
      <c r="V34" s="189" t="s">
        <v>1306</v>
      </c>
      <c r="W34" s="189">
        <f t="shared" ca="1" si="7"/>
        <v>281.53693700000002</v>
      </c>
      <c r="X34" s="189"/>
      <c r="Y34" s="189"/>
      <c r="Z34" s="189" t="s">
        <v>1306</v>
      </c>
      <c r="AA34" s="189">
        <f t="shared" ca="1" si="12"/>
        <v>281.53693700000002</v>
      </c>
      <c r="AB34" s="189"/>
    </row>
    <row r="35" spans="1:28" ht="13.2" x14ac:dyDescent="0.25">
      <c r="A35" s="189"/>
      <c r="B35" s="1505"/>
      <c r="C35" s="1515"/>
      <c r="D35" s="1515"/>
      <c r="E35" s="1515"/>
      <c r="F35" s="1515"/>
      <c r="G35" s="1507"/>
      <c r="H35" s="1507"/>
      <c r="I35" s="189" t="str">
        <f t="shared" si="2"/>
        <v>CMIX.SO2.A800.810</v>
      </c>
      <c r="J35" s="189" t="s">
        <v>1305</v>
      </c>
      <c r="K35" s="189">
        <f t="shared" ca="1" si="3"/>
        <v>53.857702199999999</v>
      </c>
      <c r="L35" s="189" t="str">
        <f t="shared" si="14"/>
        <v>CMIX.SO2.A400.435</v>
      </c>
      <c r="M35" s="189" t="s">
        <v>1305</v>
      </c>
      <c r="N35" s="189">
        <f t="shared" ca="1" si="4"/>
        <v>4.2941120400000004E-4</v>
      </c>
      <c r="O35" s="189" t="str">
        <f t="shared" si="9"/>
        <v>CMIX.SO2.A400.423</v>
      </c>
      <c r="P35" s="189" t="s">
        <v>1305</v>
      </c>
      <c r="Q35" s="189">
        <f t="shared" ca="1" si="5"/>
        <v>1.4293185000000002E-2</v>
      </c>
      <c r="R35" s="189" t="str">
        <f t="shared" si="10"/>
        <v>CMIX.SO2.A500.550</v>
      </c>
      <c r="S35" s="189" t="s">
        <v>1305</v>
      </c>
      <c r="T35" s="189">
        <f t="shared" ca="1" si="6"/>
        <v>1.3840079599999999E-4</v>
      </c>
      <c r="U35" s="189" t="str">
        <f t="shared" si="11"/>
        <v>CMIX.SO2.A600.622</v>
      </c>
      <c r="V35" s="189" t="s">
        <v>1305</v>
      </c>
      <c r="W35" s="189">
        <f t="shared" ca="1" si="7"/>
        <v>0.14886369999999999</v>
      </c>
      <c r="X35" s="189"/>
      <c r="Y35" s="189"/>
      <c r="Z35" s="189" t="s">
        <v>1305</v>
      </c>
      <c r="AA35" s="189">
        <f t="shared" ca="1" si="12"/>
        <v>54.021426896999998</v>
      </c>
      <c r="AB35" s="189"/>
    </row>
    <row r="36" spans="1:28" ht="13.2" x14ac:dyDescent="0.25">
      <c r="A36" s="189"/>
      <c r="B36" s="1505"/>
      <c r="C36" s="1517" t="s">
        <v>3918</v>
      </c>
      <c r="D36" s="1518" t="s">
        <v>287</v>
      </c>
      <c r="E36" s="1518" t="s">
        <v>3900</v>
      </c>
      <c r="F36" s="1518" t="s">
        <v>3901</v>
      </c>
      <c r="G36" s="1507"/>
      <c r="H36" s="1507"/>
      <c r="I36" s="189" t="str">
        <f t="shared" si="2"/>
        <v>CMIX.H2O.A800.810</v>
      </c>
      <c r="J36" s="189" t="s">
        <v>1285</v>
      </c>
      <c r="K36" s="189">
        <f t="shared" ca="1" si="3"/>
        <v>54452.740899999997</v>
      </c>
      <c r="L36" s="189" t="str">
        <f t="shared" si="14"/>
        <v>CMIX.H2O.A400.435</v>
      </c>
      <c r="M36" s="189" t="s">
        <v>1285</v>
      </c>
      <c r="N36" s="189">
        <f t="shared" ca="1" si="4"/>
        <v>36.7916113</v>
      </c>
      <c r="O36" s="189" t="str">
        <f t="shared" si="9"/>
        <v>CMIX.H2O.A400.423</v>
      </c>
      <c r="P36" s="189" t="s">
        <v>1285</v>
      </c>
      <c r="Q36" s="189">
        <f t="shared" ca="1" si="5"/>
        <v>736.75367300000005</v>
      </c>
      <c r="R36" s="189" t="str">
        <f t="shared" si="10"/>
        <v>CMIX.H2O.A500.550</v>
      </c>
      <c r="S36" s="189" t="s">
        <v>1285</v>
      </c>
      <c r="T36" s="189">
        <f t="shared" ca="1" si="6"/>
        <v>520.42631900000003</v>
      </c>
      <c r="U36" s="189" t="str">
        <f t="shared" si="11"/>
        <v>CMIX.H2O.A600.622</v>
      </c>
      <c r="V36" s="189" t="s">
        <v>1285</v>
      </c>
      <c r="W36" s="189">
        <f t="shared" ca="1" si="7"/>
        <v>4339.3318799999997</v>
      </c>
      <c r="X36" s="189"/>
      <c r="Y36" s="189"/>
      <c r="Z36" s="189" t="s">
        <v>1285</v>
      </c>
      <c r="AA36" s="189">
        <f t="shared" ca="1" si="12"/>
        <v>60086.044383299995</v>
      </c>
      <c r="AB36" s="189"/>
    </row>
    <row r="37" spans="1:28" ht="13.2" x14ac:dyDescent="0.25">
      <c r="A37" s="189"/>
      <c r="B37" s="1505"/>
      <c r="C37" s="1510" t="s">
        <v>1290</v>
      </c>
      <c r="D37" s="1510">
        <f t="shared" ref="D37:D46" ca="1" si="15">AA27</f>
        <v>61858.519272999998</v>
      </c>
      <c r="E37" s="1510">
        <f t="shared" ref="E37:E46" ca="1" si="16">D37/$E$4</f>
        <v>8.5246963941853302</v>
      </c>
      <c r="F37" s="1510">
        <f t="shared" ref="F37:F46" ca="1" si="17">D37/$F$4</f>
        <v>12.955465644658556</v>
      </c>
      <c r="G37" s="1507"/>
      <c r="H37" s="1507"/>
      <c r="I37" s="189"/>
      <c r="J37" s="189"/>
      <c r="K37" s="189"/>
      <c r="L37" s="189"/>
      <c r="M37" s="189"/>
      <c r="N37" s="189"/>
      <c r="O37" s="189"/>
      <c r="P37" s="189"/>
      <c r="Q37" s="189"/>
      <c r="R37" s="189"/>
      <c r="S37" s="189"/>
      <c r="T37" s="189"/>
      <c r="U37" s="189"/>
      <c r="V37" s="189"/>
      <c r="W37" s="189"/>
      <c r="X37" s="189"/>
      <c r="Y37" s="189"/>
      <c r="Z37" s="189"/>
      <c r="AA37" s="189"/>
      <c r="AB37" s="189"/>
    </row>
    <row r="38" spans="1:28" ht="13.2" x14ac:dyDescent="0.25">
      <c r="A38" s="189"/>
      <c r="B38" s="1505"/>
      <c r="C38" s="1507" t="s">
        <v>1288</v>
      </c>
      <c r="D38" s="1507">
        <f t="shared" ca="1" si="15"/>
        <v>416217.89177318499</v>
      </c>
      <c r="E38" s="1507">
        <f t="shared" ca="1" si="16"/>
        <v>57.358811735136022</v>
      </c>
      <c r="F38" s="1507">
        <f t="shared" ca="1" si="17"/>
        <v>87.171446405981783</v>
      </c>
      <c r="G38" s="1507"/>
      <c r="H38" s="1507"/>
      <c r="I38" s="189"/>
      <c r="J38" s="189"/>
      <c r="K38" s="189"/>
      <c r="L38" s="189"/>
      <c r="M38" s="189"/>
      <c r="N38" s="189"/>
      <c r="O38" s="189"/>
      <c r="P38" s="189"/>
      <c r="Q38" s="189"/>
      <c r="R38" s="189"/>
      <c r="S38" s="189"/>
      <c r="T38" s="189"/>
      <c r="U38" s="189"/>
      <c r="V38" s="189"/>
      <c r="W38" s="189"/>
      <c r="X38" s="189"/>
      <c r="Y38" s="189"/>
      <c r="Z38" s="189"/>
      <c r="AA38" s="189"/>
      <c r="AB38" s="189"/>
    </row>
    <row r="39" spans="1:28" ht="13.2" x14ac:dyDescent="0.25">
      <c r="A39" s="189"/>
      <c r="B39" s="1505"/>
      <c r="C39" s="1507" t="s">
        <v>1292</v>
      </c>
      <c r="D39" s="1507">
        <f t="shared" ca="1" si="15"/>
        <v>0</v>
      </c>
      <c r="E39" s="1507">
        <f t="shared" ca="1" si="16"/>
        <v>0</v>
      </c>
      <c r="F39" s="1507">
        <f t="shared" ca="1" si="17"/>
        <v>0</v>
      </c>
      <c r="G39" s="1507"/>
      <c r="H39" s="1507"/>
      <c r="I39" s="189"/>
      <c r="J39" s="189"/>
      <c r="K39" s="189"/>
      <c r="L39" s="189"/>
      <c r="M39" s="189"/>
      <c r="N39" s="189"/>
      <c r="O39" s="189"/>
      <c r="P39" s="189"/>
      <c r="Q39" s="189"/>
      <c r="R39" s="189"/>
      <c r="S39" s="189"/>
      <c r="T39" s="189"/>
      <c r="U39" s="189"/>
      <c r="V39" s="189"/>
      <c r="W39" s="189"/>
      <c r="X39" s="189"/>
      <c r="Y39" s="189"/>
      <c r="Z39" s="189"/>
      <c r="AA39" s="189"/>
      <c r="AB39" s="189"/>
    </row>
    <row r="40" spans="1:28" ht="13.2" x14ac:dyDescent="0.25">
      <c r="A40" s="189"/>
      <c r="B40" s="1505"/>
      <c r="C40" s="1507" t="s">
        <v>1293</v>
      </c>
      <c r="D40" s="1507">
        <f t="shared" ca="1" si="15"/>
        <v>64.32148346999999</v>
      </c>
      <c r="E40" s="1507">
        <f t="shared" ca="1" si="16"/>
        <v>8.8641164491095638E-3</v>
      </c>
      <c r="F40" s="1507">
        <f t="shared" ca="1" si="17"/>
        <v>1.3471301594391432E-2</v>
      </c>
      <c r="G40" s="1507"/>
      <c r="H40" s="1507"/>
      <c r="I40" s="189"/>
      <c r="J40" s="189"/>
      <c r="K40" s="189"/>
      <c r="L40" s="189"/>
      <c r="M40" s="189" t="s">
        <v>3919</v>
      </c>
      <c r="N40" s="189"/>
      <c r="O40" s="189"/>
      <c r="P40" s="189"/>
      <c r="Q40" s="189"/>
      <c r="R40" s="189"/>
      <c r="S40" s="189"/>
      <c r="T40" s="189"/>
      <c r="U40" s="189"/>
      <c r="V40" s="189"/>
      <c r="W40" s="189"/>
      <c r="X40" s="189"/>
      <c r="Y40" s="189"/>
      <c r="Z40" s="189"/>
      <c r="AA40" s="189"/>
      <c r="AB40" s="189"/>
    </row>
    <row r="41" spans="1:28" ht="13.2" x14ac:dyDescent="0.25">
      <c r="A41" s="189"/>
      <c r="B41" s="1505"/>
      <c r="C41" s="1507" t="s">
        <v>68</v>
      </c>
      <c r="D41" s="1507">
        <f t="shared" ca="1" si="15"/>
        <v>61.960950499999996</v>
      </c>
      <c r="E41" s="1507">
        <f t="shared" ca="1" si="16"/>
        <v>8.5388123982817945E-3</v>
      </c>
      <c r="F41" s="1507">
        <f t="shared" ca="1" si="17"/>
        <v>1.2976918538422179E-2</v>
      </c>
      <c r="G41" s="1507"/>
      <c r="H41" s="1507"/>
      <c r="I41" s="189"/>
      <c r="J41" s="189"/>
      <c r="K41" s="189"/>
      <c r="L41" s="189"/>
      <c r="M41" s="189"/>
      <c r="N41" s="189"/>
      <c r="O41" s="189"/>
      <c r="P41" s="189"/>
      <c r="Q41" s="189"/>
      <c r="R41" s="189"/>
      <c r="S41" s="189"/>
      <c r="T41" s="189"/>
      <c r="U41" s="189"/>
      <c r="V41" s="189"/>
      <c r="W41" s="189"/>
      <c r="X41" s="189"/>
      <c r="Y41" s="189"/>
      <c r="Z41" s="189"/>
      <c r="AA41" s="189"/>
      <c r="AB41" s="189"/>
    </row>
    <row r="42" spans="1:28" ht="13.2" x14ac:dyDescent="0.25">
      <c r="A42" s="189"/>
      <c r="B42" s="1505"/>
      <c r="C42" s="1507" t="s">
        <v>1289</v>
      </c>
      <c r="D42" s="1507">
        <f t="shared" ca="1" si="15"/>
        <v>100334.015401</v>
      </c>
      <c r="E42" s="1507">
        <f t="shared" ca="1" si="16"/>
        <v>13.826988252471292</v>
      </c>
      <c r="F42" s="1507">
        <f t="shared" ca="1" si="17"/>
        <v>21.013659958163057</v>
      </c>
      <c r="G42" s="1507"/>
      <c r="H42" s="1507"/>
      <c r="I42" s="189"/>
      <c r="J42" s="189"/>
      <c r="K42" s="189"/>
      <c r="L42" s="189"/>
      <c r="M42" s="189"/>
      <c r="N42" s="189"/>
      <c r="O42" s="189"/>
      <c r="P42" s="189"/>
      <c r="Q42" s="189"/>
      <c r="R42" s="189"/>
      <c r="S42" s="189"/>
      <c r="T42" s="189"/>
      <c r="U42" s="189"/>
      <c r="V42" s="189"/>
      <c r="W42" s="189"/>
      <c r="X42" s="189"/>
      <c r="Y42" s="189"/>
      <c r="Z42" s="189"/>
      <c r="AA42" s="189"/>
      <c r="AB42" s="189"/>
    </row>
    <row r="43" spans="1:28" ht="13.2" x14ac:dyDescent="0.25">
      <c r="A43" s="189"/>
      <c r="B43" s="1505"/>
      <c r="C43" s="1507" t="s">
        <v>1291</v>
      </c>
      <c r="D43" s="1507">
        <f t="shared" ca="1" si="15"/>
        <v>3.2901506199999999</v>
      </c>
      <c r="E43" s="1507">
        <f t="shared" ca="1" si="16"/>
        <v>4.5341426623645049E-4</v>
      </c>
      <c r="F43" s="1507">
        <f t="shared" ca="1" si="17"/>
        <v>6.890794319702895E-4</v>
      </c>
      <c r="G43" s="1507"/>
      <c r="H43" s="1507"/>
      <c r="I43" s="189"/>
      <c r="J43" s="189"/>
      <c r="K43" s="189"/>
      <c r="L43" s="189"/>
      <c r="M43" s="189"/>
      <c r="N43" s="189"/>
      <c r="O43" s="189"/>
      <c r="P43" s="189"/>
      <c r="Q43" s="189"/>
      <c r="R43" s="189"/>
      <c r="S43" s="189"/>
      <c r="T43" s="189"/>
      <c r="U43" s="189"/>
      <c r="V43" s="189"/>
      <c r="W43" s="189"/>
      <c r="X43" s="189"/>
      <c r="Y43" s="189"/>
      <c r="Z43" s="189"/>
      <c r="AA43" s="189"/>
      <c r="AB43" s="189"/>
    </row>
    <row r="44" spans="1:28" ht="13.2" x14ac:dyDescent="0.25">
      <c r="A44" s="189"/>
      <c r="B44" s="1505"/>
      <c r="C44" s="1507" t="s">
        <v>1306</v>
      </c>
      <c r="D44" s="1507">
        <f t="shared" ca="1" si="15"/>
        <v>281.53693700000002</v>
      </c>
      <c r="E44" s="1507">
        <f t="shared" ca="1" si="16"/>
        <v>3.8798486285808037E-2</v>
      </c>
      <c r="F44" s="1507">
        <f t="shared" ca="1" si="17"/>
        <v>5.8964264872048686E-2</v>
      </c>
      <c r="G44" s="1507"/>
      <c r="H44" s="1507"/>
      <c r="I44" s="189"/>
      <c r="J44" s="189"/>
      <c r="O44" s="189"/>
      <c r="P44" s="189"/>
      <c r="Q44" s="189"/>
      <c r="R44" s="189"/>
      <c r="S44" s="189"/>
      <c r="T44" s="189"/>
      <c r="U44" s="189"/>
      <c r="V44" s="189"/>
      <c r="W44" s="189"/>
      <c r="X44" s="189"/>
      <c r="Y44" s="189"/>
      <c r="Z44" s="189"/>
      <c r="AA44" s="189"/>
      <c r="AB44" s="189"/>
    </row>
    <row r="45" spans="1:28" ht="13.2" x14ac:dyDescent="0.25">
      <c r="A45" s="189"/>
      <c r="B45" s="1505"/>
      <c r="C45" s="1507" t="s">
        <v>1305</v>
      </c>
      <c r="D45" s="1507">
        <f t="shared" ca="1" si="15"/>
        <v>54.021426896999998</v>
      </c>
      <c r="E45" s="1507">
        <f t="shared" ca="1" si="16"/>
        <v>7.4446700064902515E-3</v>
      </c>
      <c r="F45" s="1507">
        <f t="shared" ca="1" si="17"/>
        <v>1.1314088155760261E-2</v>
      </c>
      <c r="G45" s="1507"/>
      <c r="H45" s="1507"/>
      <c r="I45" s="189"/>
      <c r="J45" s="189"/>
      <c r="O45" s="189"/>
      <c r="P45" s="189"/>
      <c r="Q45" s="189"/>
      <c r="R45" s="189"/>
      <c r="S45" s="189"/>
      <c r="T45" s="189"/>
      <c r="U45" s="189"/>
      <c r="V45" s="189"/>
      <c r="W45" s="189"/>
      <c r="X45" s="189"/>
      <c r="Y45" s="189"/>
      <c r="Z45" s="189"/>
      <c r="AA45" s="189"/>
      <c r="AB45" s="189"/>
    </row>
    <row r="46" spans="1:28" ht="13.8" thickBot="1" x14ac:dyDescent="0.3">
      <c r="A46" s="189"/>
      <c r="B46" s="1505"/>
      <c r="C46" s="1506" t="s">
        <v>1285</v>
      </c>
      <c r="D46" s="1506">
        <f t="shared" ca="1" si="15"/>
        <v>60086.044383299995</v>
      </c>
      <c r="E46" s="1506">
        <f t="shared" ca="1" si="16"/>
        <v>8.2804323788388654</v>
      </c>
      <c r="F46" s="1506">
        <f t="shared" ca="1" si="17"/>
        <v>12.58424373683718</v>
      </c>
      <c r="G46" s="1507"/>
      <c r="H46" s="1507"/>
      <c r="I46" s="189"/>
      <c r="J46" s="189"/>
      <c r="O46" s="189"/>
      <c r="P46" s="189"/>
      <c r="Q46" s="189"/>
      <c r="R46" s="189"/>
      <c r="S46" s="189"/>
      <c r="T46" s="189"/>
      <c r="U46" s="189"/>
      <c r="V46" s="189"/>
      <c r="W46" s="189"/>
      <c r="X46" s="189"/>
      <c r="Y46" s="189"/>
      <c r="Z46" s="189"/>
      <c r="AA46" s="189"/>
      <c r="AB46" s="189"/>
    </row>
    <row r="47" spans="1:28" ht="13.2" x14ac:dyDescent="0.25">
      <c r="A47" s="189"/>
      <c r="B47" s="1505"/>
      <c r="C47" s="1507"/>
      <c r="D47" s="1507"/>
      <c r="E47" s="1507"/>
      <c r="F47" s="1507"/>
      <c r="G47" s="1507"/>
      <c r="H47" s="1507"/>
      <c r="I47" s="189"/>
      <c r="J47" s="189"/>
      <c r="O47" s="189"/>
      <c r="P47" s="189"/>
      <c r="Q47" s="189"/>
      <c r="R47" s="189"/>
      <c r="S47" s="189"/>
      <c r="T47" s="189"/>
      <c r="U47" s="189"/>
      <c r="V47" s="189"/>
      <c r="W47" s="189"/>
      <c r="X47" s="189"/>
      <c r="Y47" s="189"/>
      <c r="Z47" s="189"/>
      <c r="AA47" s="189"/>
      <c r="AB47" s="189"/>
    </row>
    <row r="48" spans="1:28" ht="13.2" x14ac:dyDescent="0.25">
      <c r="A48" s="189"/>
      <c r="B48" s="1505"/>
      <c r="C48" s="1507"/>
      <c r="D48" s="1507"/>
      <c r="E48" s="1507"/>
      <c r="F48" s="1507"/>
      <c r="G48" s="1507"/>
      <c r="H48" s="1507"/>
      <c r="I48" s="189"/>
      <c r="J48" s="189"/>
      <c r="O48" s="189"/>
      <c r="P48" s="189"/>
      <c r="Q48" s="189"/>
      <c r="R48" s="189"/>
      <c r="S48" s="189"/>
      <c r="T48" s="189"/>
      <c r="U48" s="189"/>
      <c r="V48" s="189"/>
      <c r="W48" s="189"/>
      <c r="X48" s="189"/>
      <c r="Y48" s="189"/>
      <c r="Z48" s="189"/>
      <c r="AA48" s="189"/>
      <c r="AB48" s="189"/>
    </row>
    <row r="49" spans="1:28" ht="13.2" x14ac:dyDescent="0.25">
      <c r="A49" s="189"/>
      <c r="B49" s="365"/>
      <c r="C49" s="189"/>
      <c r="D49" s="189"/>
      <c r="E49" s="189"/>
      <c r="F49" s="189"/>
      <c r="G49" s="189"/>
      <c r="H49" s="189"/>
      <c r="I49" s="189"/>
      <c r="J49" s="189"/>
      <c r="O49" s="189"/>
      <c r="P49" s="189"/>
      <c r="Q49" s="189"/>
      <c r="R49" s="189"/>
      <c r="S49" s="189"/>
      <c r="T49" s="189"/>
      <c r="U49" s="189"/>
      <c r="V49" s="189"/>
      <c r="W49" s="189"/>
      <c r="X49" s="189"/>
      <c r="Y49" s="189"/>
      <c r="Z49" s="189"/>
      <c r="AA49" s="189"/>
      <c r="AB49" s="189"/>
    </row>
    <row r="50" spans="1:28" ht="13.2" x14ac:dyDescent="0.25">
      <c r="A50" s="189"/>
      <c r="B50" s="365"/>
      <c r="C50" s="189"/>
      <c r="D50" s="189"/>
      <c r="E50" s="189"/>
      <c r="F50" s="189"/>
      <c r="G50" s="189"/>
      <c r="H50" s="189"/>
      <c r="I50" s="189"/>
      <c r="J50" s="189"/>
      <c r="O50" s="189"/>
      <c r="P50" s="189"/>
      <c r="Q50" s="189"/>
      <c r="R50" s="189"/>
      <c r="S50" s="189"/>
      <c r="T50" s="189"/>
      <c r="U50" s="189"/>
      <c r="V50" s="189"/>
      <c r="W50" s="189"/>
      <c r="X50" s="189"/>
      <c r="Y50" s="189"/>
      <c r="Z50" s="189"/>
      <c r="AA50" s="189"/>
      <c r="AB50" s="189"/>
    </row>
    <row r="51" spans="1:28" ht="13.2" x14ac:dyDescent="0.25">
      <c r="A51" s="189"/>
      <c r="B51" s="365"/>
      <c r="C51" s="189"/>
      <c r="D51" s="189"/>
      <c r="E51" s="189"/>
      <c r="F51" s="189"/>
      <c r="G51" s="189"/>
      <c r="H51" s="189"/>
      <c r="I51" s="189"/>
      <c r="J51" s="189"/>
      <c r="O51" s="189"/>
      <c r="P51" s="189"/>
      <c r="Q51" s="189"/>
      <c r="R51" s="189"/>
      <c r="S51" s="189"/>
      <c r="T51" s="189"/>
      <c r="U51" s="189"/>
      <c r="V51" s="189"/>
      <c r="W51" s="189"/>
      <c r="X51" s="189"/>
      <c r="Y51" s="189"/>
      <c r="Z51" s="189"/>
      <c r="AA51" s="189"/>
      <c r="AB51" s="189"/>
    </row>
    <row r="52" spans="1:28" ht="13.2" x14ac:dyDescent="0.25">
      <c r="A52" s="189"/>
      <c r="B52" s="365"/>
      <c r="C52" s="189"/>
      <c r="D52" s="189"/>
      <c r="E52" s="189"/>
      <c r="F52" s="189"/>
      <c r="G52" s="189"/>
      <c r="H52" s="189"/>
      <c r="I52" s="189"/>
      <c r="J52" s="189"/>
      <c r="O52" s="189"/>
      <c r="P52" s="189"/>
      <c r="Q52" s="189"/>
      <c r="R52" s="189"/>
      <c r="S52" s="189"/>
      <c r="T52" s="189"/>
      <c r="U52" s="189"/>
      <c r="V52" s="189"/>
      <c r="W52" s="189"/>
      <c r="X52" s="189"/>
      <c r="Y52" s="189"/>
      <c r="Z52" s="189"/>
      <c r="AA52" s="189"/>
      <c r="AB52" s="189"/>
    </row>
    <row r="53" spans="1:28" ht="13.2" x14ac:dyDescent="0.25">
      <c r="A53" s="189"/>
      <c r="B53" s="365"/>
      <c r="C53" s="189"/>
      <c r="D53" s="189"/>
      <c r="E53" s="189"/>
      <c r="F53" s="189"/>
      <c r="G53" s="189"/>
      <c r="H53" s="189"/>
      <c r="I53" s="189"/>
      <c r="J53" s="189"/>
      <c r="O53" s="189"/>
      <c r="P53" s="189"/>
      <c r="Q53" s="189"/>
      <c r="R53" s="189"/>
      <c r="S53" s="189"/>
      <c r="T53" s="189"/>
      <c r="U53" s="189"/>
      <c r="V53" s="189"/>
      <c r="W53" s="189"/>
      <c r="X53" s="189"/>
      <c r="Y53" s="189"/>
      <c r="Z53" s="189"/>
      <c r="AA53" s="189"/>
      <c r="AB53" s="189"/>
    </row>
    <row r="54" spans="1:28" ht="13.2" x14ac:dyDescent="0.25">
      <c r="A54" s="189"/>
      <c r="B54" s="365"/>
      <c r="C54" s="189"/>
      <c r="D54" s="189"/>
      <c r="E54" s="189"/>
      <c r="F54" s="189"/>
      <c r="G54" s="189"/>
      <c r="H54" s="189"/>
      <c r="I54" s="189"/>
      <c r="J54" s="189"/>
      <c r="K54" s="189"/>
      <c r="L54" s="189"/>
      <c r="M54" s="189"/>
      <c r="N54" s="189"/>
      <c r="O54" s="189"/>
      <c r="P54" s="189"/>
      <c r="Q54" s="189"/>
      <c r="R54" s="189"/>
      <c r="S54" s="189"/>
      <c r="T54" s="189"/>
      <c r="U54" s="189"/>
      <c r="V54" s="189"/>
      <c r="W54" s="189"/>
      <c r="X54" s="189"/>
      <c r="Y54" s="189"/>
      <c r="Z54" s="189"/>
      <c r="AA54" s="189"/>
      <c r="AB54" s="189"/>
    </row>
    <row r="55" spans="1:28" ht="13.2" x14ac:dyDescent="0.25">
      <c r="A55" s="189"/>
      <c r="B55" s="365"/>
      <c r="C55" s="189"/>
      <c r="D55" s="189"/>
      <c r="E55" s="189"/>
      <c r="F55" s="189"/>
      <c r="G55" s="189"/>
      <c r="H55" s="189"/>
      <c r="I55" s="189"/>
      <c r="J55" s="189"/>
      <c r="K55" s="189"/>
      <c r="L55" s="189"/>
      <c r="M55" s="189"/>
      <c r="N55" s="189"/>
      <c r="O55" s="189"/>
      <c r="P55" s="189"/>
      <c r="Q55" s="189"/>
      <c r="R55" s="189"/>
      <c r="S55" s="189"/>
      <c r="T55" s="189"/>
      <c r="U55" s="189"/>
      <c r="V55" s="189"/>
      <c r="W55" s="189"/>
      <c r="X55" s="189"/>
      <c r="Y55" s="189"/>
      <c r="Z55" s="189"/>
      <c r="AA55" s="189"/>
      <c r="AB55" s="189"/>
    </row>
    <row r="56" spans="1:28" ht="13.2" x14ac:dyDescent="0.25">
      <c r="I56" s="189"/>
      <c r="J56" s="189"/>
      <c r="K56" s="189"/>
      <c r="L56" s="189"/>
      <c r="M56" s="189"/>
      <c r="N56" s="189"/>
      <c r="O56" s="189"/>
      <c r="P56" s="189"/>
      <c r="Q56" s="189"/>
      <c r="R56" s="189"/>
      <c r="S56" s="189"/>
      <c r="T56" s="189"/>
      <c r="U56" s="189"/>
      <c r="V56" s="189"/>
      <c r="W56" s="189"/>
      <c r="X56" s="189"/>
      <c r="Y56" s="189"/>
      <c r="Z56" s="189"/>
      <c r="AA56" s="189"/>
      <c r="AB56" s="189"/>
    </row>
    <row r="57" spans="1:28" ht="13.2" x14ac:dyDescent="0.25">
      <c r="J57" s="189"/>
    </row>
    <row r="58" spans="1:28" ht="13.2" x14ac:dyDescent="0.25">
      <c r="J58" s="189"/>
    </row>
    <row r="59" spans="1:28" ht="13.2" x14ac:dyDescent="0.25">
      <c r="J59" s="189"/>
    </row>
    <row r="60" spans="1:28" ht="13.2" x14ac:dyDescent="0.25">
      <c r="J60" s="189"/>
    </row>
    <row r="61" spans="1:28" ht="13.2" x14ac:dyDescent="0.25">
      <c r="J61" s="189"/>
    </row>
    <row r="62" spans="1:28" ht="13.2" x14ac:dyDescent="0.25">
      <c r="J62" s="189"/>
    </row>
    <row r="63" spans="1:28" ht="13.2" x14ac:dyDescent="0.25">
      <c r="J63" s="189"/>
    </row>
    <row r="64" spans="1:28" ht="13.2" x14ac:dyDescent="0.25">
      <c r="J64" s="189"/>
    </row>
    <row r="65" spans="10:10" ht="13.2" x14ac:dyDescent="0.25">
      <c r="J65" s="189"/>
    </row>
    <row r="66" spans="10:10" ht="13.2" x14ac:dyDescent="0.25">
      <c r="J66" s="189"/>
    </row>
    <row r="67" spans="10:10" ht="13.2" x14ac:dyDescent="0.25">
      <c r="J67" s="189"/>
    </row>
    <row r="68" spans="10:10" ht="13.2" x14ac:dyDescent="0.25">
      <c r="J68" s="189"/>
    </row>
    <row r="69" spans="10:10" ht="13.2" x14ac:dyDescent="0.25">
      <c r="J69" s="189"/>
    </row>
    <row r="70" spans="10:10" ht="13.2" x14ac:dyDescent="0.25">
      <c r="J70" s="189"/>
    </row>
    <row r="71" spans="10:10" ht="13.2" x14ac:dyDescent="0.25">
      <c r="J71" s="189"/>
    </row>
    <row r="72" spans="10:10" ht="13.2" x14ac:dyDescent="0.25">
      <c r="J72" s="189"/>
    </row>
    <row r="73" spans="10:10" ht="13.2" x14ac:dyDescent="0.25">
      <c r="J73" s="189"/>
    </row>
    <row r="74" spans="10:10" ht="13.2" x14ac:dyDescent="0.25">
      <c r="J74" s="189"/>
    </row>
    <row r="75" spans="10:10" ht="13.2" x14ac:dyDescent="0.25">
      <c r="J75" s="189"/>
    </row>
    <row r="76" spans="10:10" ht="13.2" x14ac:dyDescent="0.25">
      <c r="J76" s="189"/>
    </row>
    <row r="77" spans="10:10" ht="13.2" x14ac:dyDescent="0.25">
      <c r="J77" s="189"/>
    </row>
    <row r="78" spans="10:10" ht="13.2" x14ac:dyDescent="0.25">
      <c r="J78" s="189"/>
    </row>
    <row r="79" spans="10:10" ht="13.2" x14ac:dyDescent="0.25">
      <c r="J79" s="189"/>
    </row>
    <row r="80" spans="10:10" ht="13.2" x14ac:dyDescent="0.25">
      <c r="J80" s="189"/>
    </row>
    <row r="81" spans="10:10" ht="13.2" x14ac:dyDescent="0.25">
      <c r="J81" s="189"/>
    </row>
    <row r="82" spans="10:10" ht="13.2" x14ac:dyDescent="0.25">
      <c r="J82" s="189"/>
    </row>
    <row r="83" spans="10:10" ht="13.2" x14ac:dyDescent="0.25">
      <c r="J83" s="189"/>
    </row>
    <row r="84" spans="10:10" ht="13.2" x14ac:dyDescent="0.25">
      <c r="J84" s="189"/>
    </row>
    <row r="85" spans="10:10" ht="13.2" x14ac:dyDescent="0.25">
      <c r="J85" s="189"/>
    </row>
    <row r="86" spans="10:10" ht="13.2" x14ac:dyDescent="0.25">
      <c r="J86" s="189"/>
    </row>
    <row r="87" spans="10:10" ht="13.2" x14ac:dyDescent="0.25">
      <c r="J87" s="189"/>
    </row>
    <row r="88" spans="10:10" ht="13.2" x14ac:dyDescent="0.25">
      <c r="J88" s="189"/>
    </row>
    <row r="89" spans="10:10" ht="13.2" x14ac:dyDescent="0.25">
      <c r="J89" s="189"/>
    </row>
    <row r="90" spans="10:10" ht="13.2" x14ac:dyDescent="0.25">
      <c r="J90" s="189"/>
    </row>
    <row r="91" spans="10:10" ht="13.2" x14ac:dyDescent="0.25">
      <c r="J91" s="189"/>
    </row>
    <row r="92" spans="10:10" ht="13.2" x14ac:dyDescent="0.25">
      <c r="J92" s="189"/>
    </row>
    <row r="93" spans="10:10" ht="13.2" x14ac:dyDescent="0.25">
      <c r="J93" s="189"/>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6"/>
  <dimension ref="A1:K691"/>
  <sheetViews>
    <sheetView workbookViewId="0">
      <pane ySplit="6" topLeftCell="A377" activePane="bottomLeft" state="frozen"/>
      <selection pane="bottomLeft" activeCell="E401" sqref="E401"/>
    </sheetView>
  </sheetViews>
  <sheetFormatPr defaultColWidth="9" defaultRowHeight="12.6" x14ac:dyDescent="0.2"/>
  <cols>
    <col min="1" max="1" width="19.6640625" style="30" customWidth="1"/>
    <col min="2" max="2" width="26.21875" style="48" customWidth="1"/>
    <col min="3" max="3" width="24.88671875" style="26" bestFit="1" customWidth="1"/>
    <col min="4" max="4" width="17.109375" style="26" bestFit="1" customWidth="1"/>
    <col min="5" max="5" width="17.21875" style="26" customWidth="1"/>
    <col min="6" max="6" width="9" style="47"/>
    <col min="7" max="16384" width="9" style="26"/>
  </cols>
  <sheetData>
    <row r="1" spans="1:10" x14ac:dyDescent="0.2">
      <c r="B1" s="111">
        <f ca="1">DCFROR!B37</f>
        <v>0</v>
      </c>
      <c r="D1" s="30"/>
      <c r="E1" s="30"/>
    </row>
    <row r="2" spans="1:10" x14ac:dyDescent="0.2">
      <c r="B2" s="42" t="s">
        <v>152</v>
      </c>
      <c r="C2" s="43" t="s">
        <v>153</v>
      </c>
      <c r="F2" s="44"/>
    </row>
    <row r="3" spans="1:10" x14ac:dyDescent="0.2">
      <c r="A3" s="207" t="s">
        <v>129</v>
      </c>
      <c r="B3" s="42"/>
      <c r="C3" s="45">
        <v>44004</v>
      </c>
      <c r="D3" s="46">
        <v>0.37335648148148143</v>
      </c>
    </row>
    <row r="4" spans="1:10" x14ac:dyDescent="0.2">
      <c r="C4" s="26" t="s">
        <v>3952</v>
      </c>
    </row>
    <row r="5" spans="1:10" ht="37.799999999999997" x14ac:dyDescent="0.2">
      <c r="B5" s="49" t="s">
        <v>3504</v>
      </c>
      <c r="G5" s="50"/>
    </row>
    <row r="6" spans="1:10" ht="50.4" x14ac:dyDescent="0.2">
      <c r="B6" s="51" t="s">
        <v>3505</v>
      </c>
      <c r="G6" s="52"/>
      <c r="I6" s="53"/>
      <c r="J6" s="54"/>
    </row>
    <row r="7" spans="1:10" x14ac:dyDescent="0.2">
      <c r="B7" s="55" t="s">
        <v>602</v>
      </c>
      <c r="C7" s="26" t="s">
        <v>3623</v>
      </c>
      <c r="D7" s="26">
        <v>4.7603848800000002</v>
      </c>
      <c r="F7" s="47" t="s">
        <v>129</v>
      </c>
      <c r="H7" s="30"/>
      <c r="I7" s="54"/>
      <c r="J7" s="54"/>
    </row>
    <row r="8" spans="1:10" x14ac:dyDescent="0.2">
      <c r="B8" s="55" t="s">
        <v>2972</v>
      </c>
      <c r="C8" s="26" t="s">
        <v>602</v>
      </c>
      <c r="D8" s="26">
        <v>1983.0988700000003</v>
      </c>
      <c r="E8" s="26" t="s">
        <v>3629</v>
      </c>
      <c r="F8" s="26" t="s">
        <v>129</v>
      </c>
      <c r="I8" s="54"/>
      <c r="J8" s="54"/>
    </row>
    <row r="9" spans="1:10" x14ac:dyDescent="0.2">
      <c r="B9" s="55" t="s">
        <v>603</v>
      </c>
      <c r="C9" s="26" t="s">
        <v>3903</v>
      </c>
      <c r="D9" s="30">
        <v>4107.8476600000004</v>
      </c>
      <c r="E9" s="26" t="s">
        <v>3629</v>
      </c>
      <c r="F9" s="47" t="s">
        <v>129</v>
      </c>
      <c r="G9" s="30"/>
      <c r="I9" s="54"/>
      <c r="J9" s="54"/>
    </row>
    <row r="10" spans="1:10" x14ac:dyDescent="0.2">
      <c r="B10" s="55" t="s">
        <v>3158</v>
      </c>
      <c r="C10" s="26" t="s">
        <v>3630</v>
      </c>
      <c r="D10" s="26">
        <v>1073.51261</v>
      </c>
      <c r="E10" s="26" t="s">
        <v>3629</v>
      </c>
      <c r="F10" s="47" t="s">
        <v>129</v>
      </c>
      <c r="H10" s="30"/>
      <c r="I10" s="54"/>
      <c r="J10" s="54"/>
    </row>
    <row r="11" spans="1:10" x14ac:dyDescent="0.2">
      <c r="B11" s="55" t="s">
        <v>693</v>
      </c>
      <c r="C11" s="26" t="s">
        <v>3904</v>
      </c>
      <c r="D11" s="26">
        <v>122.49975999999999</v>
      </c>
      <c r="E11" s="26" t="s">
        <v>3629</v>
      </c>
      <c r="F11" s="26" t="s">
        <v>129</v>
      </c>
      <c r="I11" s="54"/>
      <c r="J11" s="54"/>
    </row>
    <row r="12" spans="1:10" x14ac:dyDescent="0.2">
      <c r="A12" s="208"/>
      <c r="B12" s="55" t="s">
        <v>2629</v>
      </c>
      <c r="C12" s="26" t="s">
        <v>3905</v>
      </c>
      <c r="D12" s="26">
        <v>1316.1853000000001</v>
      </c>
      <c r="E12" s="26" t="s">
        <v>3629</v>
      </c>
      <c r="F12" s="47" t="s">
        <v>129</v>
      </c>
      <c r="I12" s="54"/>
      <c r="J12" s="54"/>
    </row>
    <row r="13" spans="1:10" x14ac:dyDescent="0.2">
      <c r="A13" s="208"/>
      <c r="B13" s="55" t="s">
        <v>2631</v>
      </c>
      <c r="C13" s="26" t="s">
        <v>603</v>
      </c>
      <c r="D13" s="26">
        <v>29204.880399999995</v>
      </c>
      <c r="E13" s="26" t="s">
        <v>3629</v>
      </c>
      <c r="F13" s="47" t="s">
        <v>129</v>
      </c>
      <c r="H13" s="30"/>
      <c r="I13" s="54"/>
      <c r="J13" s="54"/>
    </row>
    <row r="14" spans="1:10" x14ac:dyDescent="0.2">
      <c r="A14" s="47"/>
      <c r="B14" s="59" t="s">
        <v>1097</v>
      </c>
      <c r="C14" s="26" t="s">
        <v>3631</v>
      </c>
      <c r="D14" s="26">
        <v>26138.367999999999</v>
      </c>
      <c r="E14" s="26" t="s">
        <v>3629</v>
      </c>
      <c r="F14" s="47" t="s">
        <v>129</v>
      </c>
      <c r="G14" s="30"/>
      <c r="H14" s="30"/>
      <c r="I14" s="54"/>
      <c r="J14" s="54"/>
    </row>
    <row r="15" spans="1:10" x14ac:dyDescent="0.2">
      <c r="B15" s="59" t="s">
        <v>1100</v>
      </c>
      <c r="C15" s="26" t="s">
        <v>3632</v>
      </c>
      <c r="D15" s="26">
        <v>0</v>
      </c>
      <c r="E15" s="26" t="s">
        <v>3629</v>
      </c>
      <c r="F15" s="47" t="s">
        <v>129</v>
      </c>
      <c r="I15" s="54"/>
      <c r="J15" s="54"/>
    </row>
    <row r="16" spans="1:10" x14ac:dyDescent="0.2">
      <c r="A16" s="47"/>
      <c r="B16" s="55" t="s">
        <v>2628</v>
      </c>
      <c r="C16" s="26" t="s">
        <v>3633</v>
      </c>
      <c r="D16" s="30">
        <v>57.8670227</v>
      </c>
      <c r="E16" s="26" t="s">
        <v>3629</v>
      </c>
      <c r="F16" s="56" t="s">
        <v>129</v>
      </c>
      <c r="G16" s="30"/>
      <c r="I16" s="54"/>
      <c r="J16" s="54"/>
    </row>
    <row r="17" spans="2:10" x14ac:dyDescent="0.2">
      <c r="B17" s="55" t="s">
        <v>1099</v>
      </c>
      <c r="C17" s="26" t="s">
        <v>3634</v>
      </c>
      <c r="D17" s="26">
        <v>0.86106129799999997</v>
      </c>
      <c r="E17" s="26" t="s">
        <v>3629</v>
      </c>
      <c r="F17" s="47" t="s">
        <v>129</v>
      </c>
      <c r="G17" s="30"/>
      <c r="I17" s="54"/>
      <c r="J17" s="54"/>
    </row>
    <row r="18" spans="2:10" x14ac:dyDescent="0.2">
      <c r="B18" s="55" t="s">
        <v>2219</v>
      </c>
      <c r="C18" s="26" t="s">
        <v>3635</v>
      </c>
      <c r="D18" s="26">
        <v>520.80320400000005</v>
      </c>
      <c r="E18" s="26" t="s">
        <v>3629</v>
      </c>
      <c r="F18" s="47" t="s">
        <v>129</v>
      </c>
      <c r="G18" s="30"/>
      <c r="I18" s="54"/>
      <c r="J18" s="54"/>
    </row>
    <row r="19" spans="2:10" x14ac:dyDescent="0.2">
      <c r="B19" s="55" t="s">
        <v>2630</v>
      </c>
      <c r="C19" s="26" t="s">
        <v>1098</v>
      </c>
      <c r="D19" s="26">
        <v>1.0000000000000001E-5</v>
      </c>
      <c r="E19" s="26" t="s">
        <v>3629</v>
      </c>
      <c r="F19" s="47" t="s">
        <v>129</v>
      </c>
      <c r="H19" s="30"/>
      <c r="I19" s="54"/>
      <c r="J19" s="54"/>
    </row>
    <row r="20" spans="2:10" x14ac:dyDescent="0.2">
      <c r="B20" s="55" t="s">
        <v>604</v>
      </c>
      <c r="C20" s="26" t="s">
        <v>3636</v>
      </c>
      <c r="D20" s="26">
        <v>520.80320400000005</v>
      </c>
      <c r="E20" s="26" t="s">
        <v>3629</v>
      </c>
      <c r="F20" s="47" t="s">
        <v>129</v>
      </c>
      <c r="H20" s="30"/>
      <c r="I20" s="54"/>
      <c r="J20" s="54"/>
    </row>
    <row r="21" spans="2:10" x14ac:dyDescent="0.2">
      <c r="B21" s="55" t="s">
        <v>694</v>
      </c>
      <c r="C21" s="26" t="s">
        <v>3637</v>
      </c>
      <c r="D21" s="26">
        <v>520.80320400000005</v>
      </c>
      <c r="E21" s="26" t="s">
        <v>3629</v>
      </c>
      <c r="F21" s="47" t="s">
        <v>129</v>
      </c>
      <c r="H21" s="30"/>
      <c r="I21" s="54"/>
      <c r="J21" s="54"/>
    </row>
    <row r="22" spans="2:10" x14ac:dyDescent="0.2">
      <c r="B22" s="55" t="s">
        <v>605</v>
      </c>
      <c r="C22" s="26" t="s">
        <v>3638</v>
      </c>
      <c r="D22" s="26">
        <v>578.67022699999995</v>
      </c>
      <c r="E22" s="26" t="s">
        <v>3629</v>
      </c>
      <c r="F22" s="47" t="s">
        <v>129</v>
      </c>
      <c r="I22" s="54"/>
      <c r="J22" s="54"/>
    </row>
    <row r="23" spans="2:10" x14ac:dyDescent="0.2">
      <c r="B23" s="55" t="s">
        <v>695</v>
      </c>
      <c r="C23" s="26" t="s">
        <v>3639</v>
      </c>
      <c r="D23" s="26">
        <v>7.7495516799999997</v>
      </c>
      <c r="E23" s="26" t="s">
        <v>3629</v>
      </c>
      <c r="F23" s="26" t="s">
        <v>129</v>
      </c>
      <c r="G23" s="30"/>
      <c r="H23" s="30"/>
      <c r="I23" s="54"/>
      <c r="J23" s="54"/>
    </row>
    <row r="24" spans="2:10" x14ac:dyDescent="0.2">
      <c r="B24" s="105" t="s">
        <v>3427</v>
      </c>
      <c r="C24" s="26" t="s">
        <v>604</v>
      </c>
      <c r="D24" s="26">
        <v>1191.5257899999999</v>
      </c>
      <c r="E24" s="26" t="s">
        <v>3629</v>
      </c>
      <c r="F24" s="47" t="s">
        <v>129</v>
      </c>
      <c r="I24" s="54"/>
      <c r="J24" s="54"/>
    </row>
    <row r="25" spans="2:10" x14ac:dyDescent="0.2">
      <c r="B25" s="55" t="s">
        <v>606</v>
      </c>
      <c r="C25" s="26" t="s">
        <v>3640</v>
      </c>
      <c r="D25" s="26">
        <v>0</v>
      </c>
      <c r="E25" s="26" t="s">
        <v>3629</v>
      </c>
      <c r="F25" s="47" t="s">
        <v>129</v>
      </c>
      <c r="I25" s="54"/>
      <c r="J25" s="54"/>
    </row>
    <row r="26" spans="2:10" x14ac:dyDescent="0.2">
      <c r="B26" s="55" t="s">
        <v>1829</v>
      </c>
      <c r="C26" s="26" t="s">
        <v>3907</v>
      </c>
      <c r="D26" s="26">
        <v>179.077696</v>
      </c>
      <c r="E26" s="26" t="s">
        <v>3629</v>
      </c>
      <c r="I26" s="54"/>
      <c r="J26" s="54"/>
    </row>
    <row r="27" spans="2:10" x14ac:dyDescent="0.2">
      <c r="B27" s="55" t="s">
        <v>3452</v>
      </c>
      <c r="C27" s="26" t="s">
        <v>605</v>
      </c>
      <c r="D27" s="26">
        <v>499.94089100000002</v>
      </c>
      <c r="E27" s="26" t="s">
        <v>3629</v>
      </c>
      <c r="F27" s="47" t="s">
        <v>129</v>
      </c>
      <c r="I27" s="54"/>
      <c r="J27" s="54"/>
    </row>
    <row r="28" spans="2:10" x14ac:dyDescent="0.2">
      <c r="B28" s="55" t="s">
        <v>3378</v>
      </c>
      <c r="C28" s="26" t="s">
        <v>3641</v>
      </c>
      <c r="D28" s="26">
        <v>0</v>
      </c>
      <c r="E28" s="26" t="s">
        <v>3629</v>
      </c>
      <c r="F28" s="47" t="s">
        <v>129</v>
      </c>
      <c r="I28" s="54"/>
      <c r="J28" s="54"/>
    </row>
    <row r="29" spans="2:10" x14ac:dyDescent="0.2">
      <c r="B29" s="55" t="s">
        <v>3378</v>
      </c>
      <c r="C29" s="26" t="s">
        <v>3427</v>
      </c>
      <c r="D29" s="26">
        <v>2583.0279399999999</v>
      </c>
      <c r="E29" s="26" t="s">
        <v>3629</v>
      </c>
      <c r="I29" s="54"/>
      <c r="J29" s="54"/>
    </row>
    <row r="30" spans="2:10" x14ac:dyDescent="0.2">
      <c r="B30" s="55" t="s">
        <v>609</v>
      </c>
      <c r="C30" s="26" t="s">
        <v>3430</v>
      </c>
      <c r="D30" s="26">
        <v>306.37997799999999</v>
      </c>
      <c r="E30" s="26" t="s">
        <v>3629</v>
      </c>
      <c r="F30" s="47" t="s">
        <v>129</v>
      </c>
      <c r="I30" s="54"/>
      <c r="J30" s="54"/>
    </row>
    <row r="31" spans="2:10" x14ac:dyDescent="0.2">
      <c r="B31" s="55" t="s">
        <v>1137</v>
      </c>
      <c r="C31" s="26" t="s">
        <v>3431</v>
      </c>
      <c r="D31" s="26">
        <v>2624.15112</v>
      </c>
      <c r="E31" s="26" t="s">
        <v>3629</v>
      </c>
      <c r="G31" s="30"/>
      <c r="I31" s="54"/>
      <c r="J31" s="54"/>
    </row>
    <row r="32" spans="2:10" x14ac:dyDescent="0.2">
      <c r="B32" s="55" t="s">
        <v>621</v>
      </c>
      <c r="C32" s="30" t="s">
        <v>3432</v>
      </c>
      <c r="D32" s="26">
        <v>236.86370500000001</v>
      </c>
      <c r="E32" s="26" t="s">
        <v>3629</v>
      </c>
      <c r="F32" s="47" t="s">
        <v>129</v>
      </c>
      <c r="I32" s="54"/>
      <c r="J32" s="54"/>
    </row>
    <row r="33" spans="1:10" x14ac:dyDescent="0.2">
      <c r="B33" s="55" t="s">
        <v>1108</v>
      </c>
      <c r="C33" s="26" t="s">
        <v>3784</v>
      </c>
      <c r="D33" s="26">
        <v>2865.7856700000002</v>
      </c>
      <c r="E33" s="26" t="s">
        <v>3629</v>
      </c>
      <c r="I33" s="54"/>
      <c r="J33" s="54"/>
    </row>
    <row r="34" spans="1:10" x14ac:dyDescent="0.2">
      <c r="B34" s="55" t="s">
        <v>685</v>
      </c>
      <c r="C34" s="26" t="s">
        <v>3785</v>
      </c>
      <c r="D34" s="26">
        <v>2624.15112</v>
      </c>
      <c r="E34" s="26" t="s">
        <v>3629</v>
      </c>
      <c r="I34" s="54"/>
      <c r="J34" s="54"/>
    </row>
    <row r="35" spans="1:10" x14ac:dyDescent="0.2">
      <c r="B35" s="55" t="s">
        <v>94</v>
      </c>
      <c r="C35" s="26" t="s">
        <v>3786</v>
      </c>
      <c r="D35" s="26">
        <v>41.123179499999999</v>
      </c>
      <c r="E35" s="26" t="s">
        <v>3629</v>
      </c>
      <c r="I35" s="54"/>
      <c r="J35" s="54"/>
    </row>
    <row r="36" spans="1:10" x14ac:dyDescent="0.2">
      <c r="B36" s="55" t="s">
        <v>107</v>
      </c>
      <c r="C36" s="26" t="s">
        <v>3787</v>
      </c>
      <c r="D36" s="26">
        <v>0</v>
      </c>
      <c r="E36" s="26" t="s">
        <v>3629</v>
      </c>
      <c r="F36" s="47" t="s">
        <v>129</v>
      </c>
      <c r="I36" s="54"/>
      <c r="J36" s="54"/>
    </row>
    <row r="37" spans="1:10" x14ac:dyDescent="0.2">
      <c r="B37" s="55" t="s">
        <v>3459</v>
      </c>
      <c r="C37" s="26" t="s">
        <v>3788</v>
      </c>
      <c r="D37" s="26">
        <v>42.642890800000004</v>
      </c>
      <c r="E37" s="26" t="s">
        <v>3629</v>
      </c>
      <c r="I37" s="54"/>
      <c r="J37" s="54"/>
    </row>
    <row r="38" spans="1:10" x14ac:dyDescent="0.2">
      <c r="B38" s="55" t="s">
        <v>3453</v>
      </c>
      <c r="C38" s="30" t="s">
        <v>3438</v>
      </c>
      <c r="D38" s="30">
        <v>0</v>
      </c>
      <c r="E38" s="30" t="s">
        <v>3629</v>
      </c>
      <c r="F38" s="26" t="s">
        <v>129</v>
      </c>
      <c r="G38" s="30"/>
      <c r="I38" s="54"/>
      <c r="J38" s="54"/>
    </row>
    <row r="39" spans="1:10" x14ac:dyDescent="0.2">
      <c r="A39" s="208"/>
      <c r="B39" s="55" t="s">
        <v>3386</v>
      </c>
      <c r="C39" s="26" t="s">
        <v>606</v>
      </c>
      <c r="D39" s="26">
        <v>16273.075999999997</v>
      </c>
      <c r="E39" s="26" t="s">
        <v>3629</v>
      </c>
      <c r="I39" s="54"/>
      <c r="J39" s="54"/>
    </row>
    <row r="40" spans="1:10" x14ac:dyDescent="0.2">
      <c r="A40" s="208"/>
      <c r="B40" s="55" t="s">
        <v>3386</v>
      </c>
      <c r="C40" s="26" t="s">
        <v>215</v>
      </c>
      <c r="D40" s="26">
        <v>9</v>
      </c>
      <c r="G40" s="30"/>
      <c r="I40" s="54"/>
      <c r="J40" s="54"/>
    </row>
    <row r="41" spans="1:10" x14ac:dyDescent="0.2">
      <c r="A41" s="208"/>
      <c r="B41" s="55" t="s">
        <v>610</v>
      </c>
      <c r="C41" s="26" t="s">
        <v>1829</v>
      </c>
      <c r="D41" s="26">
        <v>0</v>
      </c>
      <c r="E41" s="26" t="s">
        <v>3629</v>
      </c>
      <c r="I41" s="54"/>
      <c r="J41" s="54"/>
    </row>
    <row r="42" spans="1:10" x14ac:dyDescent="0.2">
      <c r="A42" s="208"/>
      <c r="B42" s="55" t="s">
        <v>1138</v>
      </c>
      <c r="C42" s="26" t="s">
        <v>3378</v>
      </c>
      <c r="D42" s="26">
        <v>2007.8662800000002</v>
      </c>
      <c r="E42" s="26" t="s">
        <v>3629</v>
      </c>
      <c r="J42" s="54"/>
    </row>
    <row r="43" spans="1:10" x14ac:dyDescent="0.2">
      <c r="A43" s="209"/>
      <c r="B43" s="55" t="s">
        <v>622</v>
      </c>
      <c r="C43" s="26" t="s">
        <v>3378</v>
      </c>
      <c r="D43" s="26">
        <v>2007.8662800000002</v>
      </c>
      <c r="E43" s="26" t="s">
        <v>3629</v>
      </c>
      <c r="J43" s="54"/>
    </row>
    <row r="44" spans="1:10" x14ac:dyDescent="0.2">
      <c r="A44" s="210"/>
      <c r="B44" s="55" t="s">
        <v>1109</v>
      </c>
      <c r="C44" s="26" t="s">
        <v>3642</v>
      </c>
      <c r="D44" s="26">
        <v>2007.8662800000002</v>
      </c>
      <c r="E44" s="26" t="s">
        <v>3629</v>
      </c>
      <c r="F44" s="47" t="s">
        <v>129</v>
      </c>
      <c r="J44" s="54"/>
    </row>
    <row r="45" spans="1:10" x14ac:dyDescent="0.2">
      <c r="A45" s="208"/>
      <c r="B45" s="55" t="s">
        <v>687</v>
      </c>
      <c r="C45" s="30" t="s">
        <v>609</v>
      </c>
      <c r="D45" s="26">
        <v>200.58584200000001</v>
      </c>
      <c r="E45" s="26" t="s">
        <v>3629</v>
      </c>
      <c r="I45" s="30"/>
      <c r="J45" s="54"/>
    </row>
    <row r="46" spans="1:10" x14ac:dyDescent="0.2">
      <c r="B46" s="55" t="s">
        <v>95</v>
      </c>
      <c r="C46" s="26" t="s">
        <v>1137</v>
      </c>
      <c r="D46" s="26">
        <v>2007.8662800000002</v>
      </c>
      <c r="E46" s="26" t="s">
        <v>3629</v>
      </c>
      <c r="F46" s="26" t="s">
        <v>129</v>
      </c>
      <c r="G46" s="30"/>
      <c r="J46" s="54"/>
    </row>
    <row r="47" spans="1:10" x14ac:dyDescent="0.2">
      <c r="B47" s="55" t="s">
        <v>108</v>
      </c>
      <c r="C47" s="26" t="s">
        <v>621</v>
      </c>
      <c r="D47" s="26">
        <v>0</v>
      </c>
      <c r="E47" s="26" t="s">
        <v>3629</v>
      </c>
      <c r="F47" s="47" t="s">
        <v>129</v>
      </c>
      <c r="J47" s="54"/>
    </row>
    <row r="48" spans="1:10" x14ac:dyDescent="0.2">
      <c r="B48" s="55" t="s">
        <v>3454</v>
      </c>
      <c r="C48" s="26" t="s">
        <v>3647</v>
      </c>
      <c r="D48" s="26">
        <v>1978.7516200000002</v>
      </c>
      <c r="E48" s="26" t="s">
        <v>3629</v>
      </c>
      <c r="F48" s="30" t="s">
        <v>129</v>
      </c>
      <c r="I48" s="30"/>
      <c r="J48" s="54"/>
    </row>
    <row r="49" spans="2:10" x14ac:dyDescent="0.2">
      <c r="B49" s="55" t="s">
        <v>3382</v>
      </c>
      <c r="C49" s="30" t="s">
        <v>3643</v>
      </c>
      <c r="D49" s="30">
        <v>2007.8662800000002</v>
      </c>
      <c r="E49" s="26" t="s">
        <v>3629</v>
      </c>
      <c r="F49" s="47" t="s">
        <v>129</v>
      </c>
      <c r="G49" s="30"/>
      <c r="H49" s="30"/>
      <c r="J49" s="54"/>
    </row>
    <row r="50" spans="2:10" x14ac:dyDescent="0.2">
      <c r="B50" s="55" t="s">
        <v>3382</v>
      </c>
      <c r="C50" s="26" t="s">
        <v>3644</v>
      </c>
      <c r="D50" s="26">
        <v>0</v>
      </c>
      <c r="E50" s="26" t="s">
        <v>3629</v>
      </c>
      <c r="J50" s="54"/>
    </row>
    <row r="51" spans="2:10" x14ac:dyDescent="0.2">
      <c r="B51" s="55" t="s">
        <v>611</v>
      </c>
      <c r="C51" s="26" t="s">
        <v>3645</v>
      </c>
      <c r="D51" s="26">
        <v>0</v>
      </c>
      <c r="E51" s="26" t="s">
        <v>3629</v>
      </c>
      <c r="F51" s="47" t="s">
        <v>129</v>
      </c>
      <c r="H51" s="30"/>
      <c r="J51" s="54"/>
    </row>
    <row r="52" spans="2:10" x14ac:dyDescent="0.2">
      <c r="B52" s="55" t="s">
        <v>1139</v>
      </c>
      <c r="C52" s="26" t="s">
        <v>3646</v>
      </c>
      <c r="D52" s="26">
        <v>0</v>
      </c>
      <c r="E52" s="26" t="s">
        <v>3629</v>
      </c>
      <c r="F52" s="47" t="s">
        <v>129</v>
      </c>
      <c r="J52" s="54"/>
    </row>
    <row r="53" spans="2:10" x14ac:dyDescent="0.2">
      <c r="B53" s="55" t="s">
        <v>623</v>
      </c>
      <c r="C53" s="26" t="s">
        <v>3386</v>
      </c>
      <c r="D53" s="26">
        <v>47.594047600000003</v>
      </c>
      <c r="E53" s="26" t="s">
        <v>3629</v>
      </c>
      <c r="F53" s="30" t="s">
        <v>129</v>
      </c>
      <c r="J53" s="54"/>
    </row>
    <row r="54" spans="2:10" x14ac:dyDescent="0.2">
      <c r="B54" s="55" t="s">
        <v>1110</v>
      </c>
      <c r="C54" s="26" t="s">
        <v>3386</v>
      </c>
      <c r="D54" s="26">
        <v>47.594047600000003</v>
      </c>
      <c r="E54" s="26" t="s">
        <v>3629</v>
      </c>
      <c r="F54" s="47" t="s">
        <v>129</v>
      </c>
      <c r="J54" s="54"/>
    </row>
    <row r="55" spans="2:10" x14ac:dyDescent="0.2">
      <c r="B55" s="55" t="s">
        <v>688</v>
      </c>
      <c r="C55" s="26" t="s">
        <v>3648</v>
      </c>
      <c r="D55" s="26">
        <v>47.594047600000003</v>
      </c>
      <c r="E55" s="26" t="s">
        <v>3629</v>
      </c>
      <c r="F55" s="47" t="s">
        <v>129</v>
      </c>
      <c r="H55" s="30"/>
      <c r="J55" s="54"/>
    </row>
    <row r="56" spans="2:10" x14ac:dyDescent="0.2">
      <c r="B56" s="55" t="s">
        <v>96</v>
      </c>
      <c r="C56" s="26" t="s">
        <v>610</v>
      </c>
      <c r="D56" s="26">
        <v>4.7594047599999998</v>
      </c>
      <c r="E56" s="26" t="s">
        <v>3629</v>
      </c>
      <c r="F56" s="47" t="s">
        <v>129</v>
      </c>
      <c r="J56" s="54"/>
    </row>
    <row r="57" spans="2:10" x14ac:dyDescent="0.2">
      <c r="B57" s="55" t="s">
        <v>109</v>
      </c>
      <c r="C57" s="26" t="s">
        <v>1138</v>
      </c>
      <c r="D57" s="26">
        <v>47.594047600000003</v>
      </c>
      <c r="E57" s="26" t="s">
        <v>3629</v>
      </c>
      <c r="H57" s="30"/>
      <c r="J57" s="54"/>
    </row>
    <row r="58" spans="2:10" x14ac:dyDescent="0.2">
      <c r="B58" s="55" t="s">
        <v>2190</v>
      </c>
      <c r="C58" s="26" t="s">
        <v>622</v>
      </c>
      <c r="D58" s="26">
        <v>0</v>
      </c>
      <c r="E58" s="26" t="s">
        <v>3629</v>
      </c>
      <c r="H58" s="30"/>
      <c r="J58" s="54"/>
    </row>
    <row r="59" spans="2:10" x14ac:dyDescent="0.2">
      <c r="B59" s="55" t="s">
        <v>1810</v>
      </c>
      <c r="C59" s="26" t="s">
        <v>3649</v>
      </c>
      <c r="D59" s="30">
        <v>47.594047600000003</v>
      </c>
      <c r="E59" s="30" t="s">
        <v>3629</v>
      </c>
      <c r="J59" s="54"/>
    </row>
    <row r="60" spans="2:10" x14ac:dyDescent="0.2">
      <c r="B60" s="55" t="s">
        <v>1826</v>
      </c>
      <c r="C60" s="26" t="s">
        <v>3650</v>
      </c>
      <c r="D60" s="26">
        <v>0</v>
      </c>
      <c r="E60" s="26" t="s">
        <v>3629</v>
      </c>
      <c r="J60" s="54"/>
    </row>
    <row r="61" spans="2:10" x14ac:dyDescent="0.2">
      <c r="B61" s="55" t="s">
        <v>1833</v>
      </c>
      <c r="C61" s="26" t="s">
        <v>3651</v>
      </c>
      <c r="D61" s="30">
        <v>0</v>
      </c>
      <c r="E61" s="30" t="s">
        <v>3629</v>
      </c>
      <c r="J61" s="54"/>
    </row>
    <row r="62" spans="2:10" x14ac:dyDescent="0.2">
      <c r="B62" s="55" t="s">
        <v>1814</v>
      </c>
      <c r="C62" s="26" t="s">
        <v>3652</v>
      </c>
      <c r="D62" s="26">
        <v>0</v>
      </c>
      <c r="E62" s="26" t="s">
        <v>3629</v>
      </c>
      <c r="J62" s="54"/>
    </row>
    <row r="63" spans="2:10" x14ac:dyDescent="0.2">
      <c r="B63" s="55" t="s">
        <v>1796</v>
      </c>
      <c r="C63" s="26" t="s">
        <v>3382</v>
      </c>
      <c r="D63" s="26">
        <v>1.4453681600000001E-4</v>
      </c>
      <c r="E63" s="26" t="s">
        <v>3629</v>
      </c>
      <c r="J63" s="54"/>
    </row>
    <row r="64" spans="2:10" x14ac:dyDescent="0.2">
      <c r="B64" s="55" t="s">
        <v>1801</v>
      </c>
      <c r="C64" s="26" t="s">
        <v>3382</v>
      </c>
      <c r="D64" s="26">
        <v>1.4453681600000001E-4</v>
      </c>
      <c r="E64" s="26" t="s">
        <v>3629</v>
      </c>
      <c r="J64" s="54"/>
    </row>
    <row r="65" spans="1:10" x14ac:dyDescent="0.2">
      <c r="B65" s="55" t="s">
        <v>1804</v>
      </c>
      <c r="C65" s="26" t="s">
        <v>3653</v>
      </c>
      <c r="D65" s="26">
        <v>331.08546999999999</v>
      </c>
      <c r="E65" s="26" t="s">
        <v>3629</v>
      </c>
      <c r="J65" s="54"/>
    </row>
    <row r="66" spans="1:10" x14ac:dyDescent="0.2">
      <c r="B66" s="55" t="s">
        <v>2189</v>
      </c>
      <c r="C66" s="26" t="s">
        <v>611</v>
      </c>
      <c r="D66" s="26">
        <v>33.108547000000002</v>
      </c>
      <c r="E66" s="26" t="s">
        <v>3629</v>
      </c>
      <c r="J66" s="54"/>
    </row>
    <row r="67" spans="1:10" x14ac:dyDescent="0.2">
      <c r="B67" s="55" t="s">
        <v>1808</v>
      </c>
      <c r="C67" s="30" t="s">
        <v>1139</v>
      </c>
      <c r="D67" s="26">
        <v>331.08546999999999</v>
      </c>
      <c r="E67" s="26" t="s">
        <v>3629</v>
      </c>
      <c r="J67" s="54"/>
    </row>
    <row r="68" spans="1:10" x14ac:dyDescent="0.2">
      <c r="B68" s="55" t="s">
        <v>1824</v>
      </c>
      <c r="C68" s="26" t="s">
        <v>623</v>
      </c>
      <c r="D68" s="26">
        <v>0</v>
      </c>
      <c r="E68" s="26" t="s">
        <v>3629</v>
      </c>
      <c r="J68" s="54"/>
    </row>
    <row r="69" spans="1:10" x14ac:dyDescent="0.2">
      <c r="B69" s="55" t="s">
        <v>2616</v>
      </c>
      <c r="C69" s="26" t="s">
        <v>3654</v>
      </c>
      <c r="D69" s="26">
        <v>1.4453681600000001E-4</v>
      </c>
      <c r="E69" s="26" t="s">
        <v>3629</v>
      </c>
      <c r="H69" s="30"/>
      <c r="J69" s="54"/>
    </row>
    <row r="70" spans="1:10" x14ac:dyDescent="0.2">
      <c r="B70" s="55" t="s">
        <v>2611</v>
      </c>
      <c r="C70" s="26" t="s">
        <v>3655</v>
      </c>
      <c r="D70" s="26">
        <v>0</v>
      </c>
      <c r="E70" s="26" t="s">
        <v>3629</v>
      </c>
      <c r="J70" s="54"/>
    </row>
    <row r="71" spans="1:10" x14ac:dyDescent="0.2">
      <c r="B71" s="55" t="s">
        <v>2622</v>
      </c>
      <c r="C71" s="26" t="s">
        <v>3656</v>
      </c>
      <c r="D71" s="26">
        <v>0</v>
      </c>
      <c r="E71" s="26" t="s">
        <v>3629</v>
      </c>
      <c r="G71" s="30"/>
      <c r="J71" s="54"/>
    </row>
    <row r="72" spans="1:10" x14ac:dyDescent="0.2">
      <c r="B72" s="55" t="s">
        <v>1831</v>
      </c>
      <c r="C72" s="26" t="s">
        <v>3657</v>
      </c>
      <c r="D72" s="26">
        <v>0</v>
      </c>
      <c r="E72" s="26" t="s">
        <v>3629</v>
      </c>
      <c r="F72" s="47" t="s">
        <v>129</v>
      </c>
      <c r="J72" s="54"/>
    </row>
    <row r="73" spans="1:10" x14ac:dyDescent="0.2">
      <c r="B73" s="55" t="s">
        <v>1816</v>
      </c>
      <c r="C73" s="26" t="s">
        <v>3933</v>
      </c>
      <c r="D73" s="26">
        <v>0</v>
      </c>
      <c r="E73" s="26" t="s">
        <v>3629</v>
      </c>
      <c r="F73" s="47" t="s">
        <v>129</v>
      </c>
      <c r="J73" s="54"/>
    </row>
    <row r="74" spans="1:10" x14ac:dyDescent="0.2">
      <c r="A74" s="208"/>
      <c r="B74" s="55" t="s">
        <v>1812</v>
      </c>
      <c r="C74" s="26" t="s">
        <v>3927</v>
      </c>
      <c r="D74" s="26">
        <v>0</v>
      </c>
      <c r="E74" s="26" t="s">
        <v>3629</v>
      </c>
      <c r="J74" s="54"/>
    </row>
    <row r="75" spans="1:10" x14ac:dyDescent="0.2">
      <c r="A75" s="208"/>
      <c r="B75" s="106" t="s">
        <v>1126</v>
      </c>
      <c r="C75" s="26" t="s">
        <v>3939</v>
      </c>
      <c r="D75" s="26">
        <v>0</v>
      </c>
      <c r="E75" s="26" t="s">
        <v>3629</v>
      </c>
      <c r="H75" s="30"/>
      <c r="J75" s="54"/>
    </row>
    <row r="76" spans="1:10" x14ac:dyDescent="0.2">
      <c r="A76" s="211"/>
      <c r="B76" s="55" t="s">
        <v>2369</v>
      </c>
      <c r="C76" s="26" t="s">
        <v>3658</v>
      </c>
      <c r="D76" s="26">
        <v>5379.5722400000004</v>
      </c>
      <c r="E76" s="26" t="s">
        <v>3629</v>
      </c>
      <c r="G76" s="30"/>
      <c r="J76" s="54"/>
    </row>
    <row r="77" spans="1:10" x14ac:dyDescent="0.2">
      <c r="A77" s="208"/>
      <c r="B77" s="55" t="s">
        <v>1803</v>
      </c>
      <c r="C77" s="30" t="s">
        <v>1810</v>
      </c>
      <c r="D77" s="26">
        <v>1.55999586E-3</v>
      </c>
      <c r="E77" s="26" t="s">
        <v>3629</v>
      </c>
      <c r="F77" s="47" t="s">
        <v>129</v>
      </c>
      <c r="J77" s="54"/>
    </row>
    <row r="78" spans="1:10" x14ac:dyDescent="0.2">
      <c r="A78" s="208"/>
      <c r="B78" s="105" t="s">
        <v>3425</v>
      </c>
      <c r="C78" s="26" t="s">
        <v>3948</v>
      </c>
      <c r="D78" s="26">
        <v>3.2901506199999999</v>
      </c>
      <c r="E78" s="26" t="s">
        <v>3629</v>
      </c>
      <c r="F78" s="47" t="s">
        <v>129</v>
      </c>
      <c r="J78" s="54"/>
    </row>
    <row r="79" spans="1:10" x14ac:dyDescent="0.2">
      <c r="A79" s="208"/>
      <c r="B79" s="105" t="s">
        <v>612</v>
      </c>
      <c r="C79" s="26" t="s">
        <v>1826</v>
      </c>
      <c r="D79" s="26">
        <v>0</v>
      </c>
      <c r="E79" s="26" t="s">
        <v>3629</v>
      </c>
      <c r="F79" s="47" t="s">
        <v>129</v>
      </c>
      <c r="J79" s="54"/>
    </row>
    <row r="80" spans="1:10" x14ac:dyDescent="0.2">
      <c r="A80" s="212"/>
      <c r="B80" s="105" t="s">
        <v>1140</v>
      </c>
      <c r="C80" s="26" t="s">
        <v>1826</v>
      </c>
      <c r="D80" s="26">
        <v>0</v>
      </c>
      <c r="E80" s="26" t="s">
        <v>3629</v>
      </c>
      <c r="F80" s="47" t="s">
        <v>129</v>
      </c>
      <c r="J80" s="54"/>
    </row>
    <row r="81" spans="1:10" x14ac:dyDescent="0.2">
      <c r="A81" s="211"/>
      <c r="B81" s="105" t="s">
        <v>624</v>
      </c>
      <c r="C81" s="26" t="s">
        <v>3932</v>
      </c>
      <c r="D81" s="26">
        <v>0</v>
      </c>
      <c r="E81" s="26" t="s">
        <v>3629</v>
      </c>
      <c r="F81" s="30" t="s">
        <v>129</v>
      </c>
      <c r="J81" s="54"/>
    </row>
    <row r="82" spans="1:10" x14ac:dyDescent="0.2">
      <c r="A82" s="212"/>
      <c r="B82" s="105" t="s">
        <v>1111</v>
      </c>
      <c r="C82" s="26" t="s">
        <v>3926</v>
      </c>
      <c r="D82" s="26">
        <v>0</v>
      </c>
      <c r="E82" s="26" t="s">
        <v>3629</v>
      </c>
      <c r="G82" s="30"/>
      <c r="H82" s="30"/>
      <c r="J82" s="54"/>
    </row>
    <row r="83" spans="1:10" x14ac:dyDescent="0.2">
      <c r="A83" s="208"/>
      <c r="B83" s="105" t="s">
        <v>97</v>
      </c>
      <c r="C83" s="26" t="s">
        <v>3938</v>
      </c>
      <c r="D83" s="26">
        <v>0</v>
      </c>
      <c r="E83" s="26" t="s">
        <v>3629</v>
      </c>
      <c r="F83" s="30" t="s">
        <v>129</v>
      </c>
      <c r="J83" s="54"/>
    </row>
    <row r="84" spans="1:10" x14ac:dyDescent="0.2">
      <c r="A84" s="208"/>
      <c r="B84" s="105" t="s">
        <v>110</v>
      </c>
      <c r="C84" s="26" t="s">
        <v>3946</v>
      </c>
      <c r="D84" s="26">
        <v>0</v>
      </c>
      <c r="E84" s="26" t="s">
        <v>3629</v>
      </c>
      <c r="F84" s="47" t="s">
        <v>129</v>
      </c>
      <c r="J84" s="54"/>
    </row>
    <row r="85" spans="1:10" x14ac:dyDescent="0.2">
      <c r="A85" s="212"/>
      <c r="B85" s="55" t="s">
        <v>1821</v>
      </c>
      <c r="C85" s="26" t="s">
        <v>1833</v>
      </c>
      <c r="D85" s="26">
        <v>61.960950499999996</v>
      </c>
      <c r="E85" s="26" t="s">
        <v>3629</v>
      </c>
      <c r="J85" s="54"/>
    </row>
    <row r="86" spans="1:10" x14ac:dyDescent="0.2">
      <c r="A86" s="208"/>
      <c r="B86" s="55" t="s">
        <v>2093</v>
      </c>
      <c r="C86" s="26" t="s">
        <v>1833</v>
      </c>
      <c r="D86" s="30">
        <v>61.960950499999996</v>
      </c>
      <c r="E86" s="26" t="s">
        <v>3629</v>
      </c>
      <c r="J86" s="54"/>
    </row>
    <row r="87" spans="1:10" x14ac:dyDescent="0.2">
      <c r="A87" s="212"/>
      <c r="B87" s="55" t="s">
        <v>1806</v>
      </c>
      <c r="C87" s="26" t="s">
        <v>1814</v>
      </c>
      <c r="D87" s="26">
        <v>26.924619</v>
      </c>
      <c r="E87" s="26" t="s">
        <v>3629</v>
      </c>
      <c r="J87" s="54"/>
    </row>
    <row r="88" spans="1:10" x14ac:dyDescent="0.2">
      <c r="A88" s="208"/>
      <c r="B88" s="55" t="s">
        <v>3455</v>
      </c>
      <c r="C88" s="26" t="s">
        <v>1796</v>
      </c>
      <c r="D88" s="26">
        <v>2287.1875199999999</v>
      </c>
      <c r="E88" s="26" t="s">
        <v>3629</v>
      </c>
      <c r="J88" s="54"/>
    </row>
    <row r="89" spans="1:10" x14ac:dyDescent="0.2">
      <c r="A89" s="208"/>
      <c r="B89" s="55" t="s">
        <v>3380</v>
      </c>
      <c r="C89" s="26" t="s">
        <v>1796</v>
      </c>
      <c r="D89" s="26">
        <v>2287.1875199999999</v>
      </c>
      <c r="E89" s="26" t="s">
        <v>3629</v>
      </c>
      <c r="H89" s="30"/>
      <c r="J89" s="54"/>
    </row>
    <row r="90" spans="1:10" x14ac:dyDescent="0.2">
      <c r="A90" s="212"/>
      <c r="B90" s="55" t="s">
        <v>3380</v>
      </c>
      <c r="C90" s="30" t="s">
        <v>1801</v>
      </c>
      <c r="D90" s="30">
        <v>95.090250999999995</v>
      </c>
      <c r="E90" s="26" t="s">
        <v>3629</v>
      </c>
      <c r="J90" s="54"/>
    </row>
    <row r="91" spans="1:10" x14ac:dyDescent="0.2">
      <c r="A91" s="208"/>
      <c r="B91" s="55" t="s">
        <v>613</v>
      </c>
      <c r="C91" s="26" t="s">
        <v>1801</v>
      </c>
      <c r="D91" s="26">
        <v>95.090250999999995</v>
      </c>
      <c r="E91" s="26" t="s">
        <v>3629</v>
      </c>
      <c r="J91" s="54"/>
    </row>
    <row r="92" spans="1:10" x14ac:dyDescent="0.2">
      <c r="A92" s="212"/>
      <c r="B92" s="55" t="s">
        <v>1142</v>
      </c>
      <c r="C92" s="26" t="s">
        <v>1804</v>
      </c>
      <c r="D92" s="26">
        <v>20699.174800000001</v>
      </c>
      <c r="E92" s="26" t="s">
        <v>3629</v>
      </c>
      <c r="G92" s="30"/>
      <c r="H92" s="30"/>
      <c r="J92" s="54"/>
    </row>
    <row r="93" spans="1:10" x14ac:dyDescent="0.2">
      <c r="A93" s="212"/>
      <c r="B93" s="55" t="s">
        <v>625</v>
      </c>
      <c r="C93" s="26" t="s">
        <v>1804</v>
      </c>
      <c r="D93" s="26">
        <v>20699.174800000001</v>
      </c>
      <c r="E93" s="26" t="s">
        <v>3629</v>
      </c>
      <c r="F93" s="47" t="s">
        <v>129</v>
      </c>
      <c r="G93" s="30"/>
      <c r="H93" s="30"/>
      <c r="J93" s="54"/>
    </row>
    <row r="94" spans="1:10" x14ac:dyDescent="0.2">
      <c r="A94" s="208"/>
      <c r="B94" s="55" t="s">
        <v>1113</v>
      </c>
      <c r="C94" s="26" t="s">
        <v>3659</v>
      </c>
      <c r="D94" s="26">
        <v>14272.9162</v>
      </c>
      <c r="E94" s="26" t="s">
        <v>3629</v>
      </c>
      <c r="F94" s="47" t="s">
        <v>129</v>
      </c>
      <c r="G94" s="30"/>
      <c r="J94" s="54"/>
    </row>
    <row r="95" spans="1:10" x14ac:dyDescent="0.2">
      <c r="B95" s="55" t="s">
        <v>686</v>
      </c>
      <c r="C95" s="30" t="s">
        <v>1808</v>
      </c>
      <c r="D95" s="26">
        <v>44.176977000000001</v>
      </c>
      <c r="E95" s="26" t="s">
        <v>3629</v>
      </c>
      <c r="F95" s="47" t="s">
        <v>129</v>
      </c>
      <c r="J95" s="54"/>
    </row>
    <row r="96" spans="1:10" x14ac:dyDescent="0.2">
      <c r="B96" s="55" t="s">
        <v>99</v>
      </c>
      <c r="C96" s="26" t="s">
        <v>3947</v>
      </c>
      <c r="D96" s="26">
        <v>3855.9992299999999</v>
      </c>
      <c r="E96" s="26" t="s">
        <v>3629</v>
      </c>
      <c r="J96" s="54"/>
    </row>
    <row r="97" spans="2:10" x14ac:dyDescent="0.2">
      <c r="B97" s="55" t="s">
        <v>112</v>
      </c>
      <c r="C97" s="26" t="s">
        <v>1824</v>
      </c>
      <c r="D97" s="26">
        <v>73396.563599999994</v>
      </c>
      <c r="E97" s="26" t="s">
        <v>3629</v>
      </c>
      <c r="J97" s="54"/>
    </row>
    <row r="98" spans="2:10" x14ac:dyDescent="0.2">
      <c r="B98" s="55" t="s">
        <v>3460</v>
      </c>
      <c r="C98" s="26" t="s">
        <v>1824</v>
      </c>
      <c r="D98" s="26">
        <v>73396.563599999994</v>
      </c>
      <c r="E98" s="26" t="s">
        <v>3629</v>
      </c>
      <c r="G98" s="30"/>
      <c r="H98" s="30"/>
      <c r="J98" s="54"/>
    </row>
    <row r="99" spans="2:10" x14ac:dyDescent="0.2">
      <c r="B99" s="55" t="s">
        <v>3456</v>
      </c>
      <c r="C99" s="26" t="s">
        <v>3660</v>
      </c>
      <c r="D99" s="26">
        <v>130.56901300000001</v>
      </c>
      <c r="E99" s="26" t="s">
        <v>3629</v>
      </c>
      <c r="J99" s="54"/>
    </row>
    <row r="100" spans="2:10" x14ac:dyDescent="0.2">
      <c r="B100" s="55" t="s">
        <v>3385</v>
      </c>
      <c r="C100" s="26" t="s">
        <v>3661</v>
      </c>
      <c r="D100" s="26">
        <v>141.581219</v>
      </c>
      <c r="E100" s="26" t="s">
        <v>3629</v>
      </c>
      <c r="J100" s="54"/>
    </row>
    <row r="101" spans="2:10" x14ac:dyDescent="0.2">
      <c r="B101" s="55" t="s">
        <v>3385</v>
      </c>
      <c r="C101" s="26" t="s">
        <v>3662</v>
      </c>
      <c r="D101" s="30">
        <v>8.5031621200000007</v>
      </c>
      <c r="E101" s="30" t="s">
        <v>3629</v>
      </c>
      <c r="G101" s="30"/>
      <c r="H101" s="30"/>
      <c r="J101" s="54"/>
    </row>
    <row r="102" spans="2:10" x14ac:dyDescent="0.2">
      <c r="B102" s="55" t="s">
        <v>438</v>
      </c>
      <c r="C102" s="26" t="s">
        <v>1831</v>
      </c>
      <c r="D102" s="26">
        <v>7.2473831799999999</v>
      </c>
      <c r="E102" s="26" t="s">
        <v>3629</v>
      </c>
      <c r="J102" s="54"/>
    </row>
    <row r="103" spans="2:10" x14ac:dyDescent="0.2">
      <c r="B103" s="55" t="s">
        <v>1141</v>
      </c>
      <c r="C103" s="26" t="s">
        <v>1816</v>
      </c>
      <c r="D103" s="26">
        <v>464.92940899999996</v>
      </c>
      <c r="E103" s="26" t="s">
        <v>3629</v>
      </c>
      <c r="J103" s="54"/>
    </row>
    <row r="104" spans="2:10" x14ac:dyDescent="0.2">
      <c r="B104" s="55" t="s">
        <v>437</v>
      </c>
      <c r="C104" s="26" t="s">
        <v>1812</v>
      </c>
      <c r="D104" s="26">
        <v>21672.518400000001</v>
      </c>
      <c r="E104" s="26" t="s">
        <v>3629</v>
      </c>
      <c r="J104" s="54"/>
    </row>
    <row r="105" spans="2:10" x14ac:dyDescent="0.2">
      <c r="B105" s="55" t="s">
        <v>1112</v>
      </c>
      <c r="C105" s="26" t="s">
        <v>1126</v>
      </c>
      <c r="D105" s="26">
        <v>21516.444800000001</v>
      </c>
      <c r="E105" s="26" t="s">
        <v>3629</v>
      </c>
      <c r="J105" s="54"/>
    </row>
    <row r="106" spans="2:10" x14ac:dyDescent="0.2">
      <c r="B106" s="55" t="s">
        <v>689</v>
      </c>
      <c r="C106" s="26" t="s">
        <v>3663</v>
      </c>
      <c r="D106" s="26">
        <v>21672.518400000001</v>
      </c>
      <c r="E106" s="26" t="s">
        <v>3629</v>
      </c>
      <c r="J106" s="54"/>
    </row>
    <row r="107" spans="2:10" x14ac:dyDescent="0.2">
      <c r="B107" s="55" t="s">
        <v>98</v>
      </c>
      <c r="C107" s="26" t="s">
        <v>1803</v>
      </c>
      <c r="D107" s="26">
        <v>4.3159159599999999</v>
      </c>
      <c r="E107" s="26" t="s">
        <v>3629</v>
      </c>
      <c r="F107" s="47" t="s">
        <v>129</v>
      </c>
      <c r="J107" s="54"/>
    </row>
    <row r="108" spans="2:10" x14ac:dyDescent="0.2">
      <c r="B108" s="55" t="s">
        <v>111</v>
      </c>
      <c r="C108" s="30" t="s">
        <v>3425</v>
      </c>
      <c r="D108" s="26">
        <v>12208.3331</v>
      </c>
      <c r="E108" s="26" t="s">
        <v>3629</v>
      </c>
      <c r="J108" s="54"/>
    </row>
    <row r="109" spans="2:10" x14ac:dyDescent="0.2">
      <c r="B109" s="55" t="s">
        <v>3457</v>
      </c>
      <c r="C109" s="26" t="s">
        <v>612</v>
      </c>
      <c r="D109" s="26">
        <v>1220.83331</v>
      </c>
      <c r="E109" s="26" t="s">
        <v>3629</v>
      </c>
      <c r="F109" s="47" t="s">
        <v>129</v>
      </c>
      <c r="J109" s="54"/>
    </row>
    <row r="110" spans="2:10" x14ac:dyDescent="0.2">
      <c r="B110" s="55" t="s">
        <v>3381</v>
      </c>
      <c r="C110" s="26" t="s">
        <v>1140</v>
      </c>
      <c r="D110" s="26">
        <v>12208.3331</v>
      </c>
      <c r="E110" s="26" t="s">
        <v>3629</v>
      </c>
      <c r="J110" s="54"/>
    </row>
    <row r="111" spans="2:10" x14ac:dyDescent="0.2">
      <c r="B111" s="55" t="s">
        <v>3381</v>
      </c>
      <c r="C111" s="26" t="s">
        <v>624</v>
      </c>
      <c r="D111" s="26">
        <v>0</v>
      </c>
      <c r="E111" s="26" t="s">
        <v>3629</v>
      </c>
      <c r="F111" s="47" t="s">
        <v>129</v>
      </c>
      <c r="J111" s="54"/>
    </row>
    <row r="112" spans="2:10" x14ac:dyDescent="0.2">
      <c r="B112" s="55" t="s">
        <v>615</v>
      </c>
      <c r="C112" s="26" t="s">
        <v>3664</v>
      </c>
      <c r="D112" s="26">
        <v>12208.3331</v>
      </c>
      <c r="E112" s="26" t="s">
        <v>3629</v>
      </c>
      <c r="J112" s="54"/>
    </row>
    <row r="113" spans="2:10" x14ac:dyDescent="0.2">
      <c r="B113" s="55" t="s">
        <v>1144</v>
      </c>
      <c r="C113" s="26" t="s">
        <v>3665</v>
      </c>
      <c r="D113" s="26">
        <v>0</v>
      </c>
      <c r="E113" s="26" t="s">
        <v>3629</v>
      </c>
      <c r="J113" s="54"/>
    </row>
    <row r="114" spans="2:10" x14ac:dyDescent="0.2">
      <c r="B114" s="55" t="s">
        <v>626</v>
      </c>
      <c r="C114" s="26" t="s">
        <v>3666</v>
      </c>
      <c r="D114" s="26">
        <v>0</v>
      </c>
      <c r="E114" s="26" t="s">
        <v>3629</v>
      </c>
      <c r="J114" s="54"/>
    </row>
    <row r="115" spans="2:10" x14ac:dyDescent="0.2">
      <c r="B115" s="59" t="s">
        <v>1115</v>
      </c>
      <c r="C115" s="26" t="s">
        <v>1821</v>
      </c>
      <c r="D115" s="26">
        <v>0</v>
      </c>
      <c r="E115" s="26" t="s">
        <v>3629</v>
      </c>
      <c r="J115" s="54"/>
    </row>
    <row r="116" spans="2:10" x14ac:dyDescent="0.2">
      <c r="B116" s="55" t="s">
        <v>690</v>
      </c>
      <c r="C116" s="26" t="s">
        <v>3667</v>
      </c>
      <c r="D116" s="26">
        <v>333.55384299999997</v>
      </c>
      <c r="E116" s="26" t="s">
        <v>3629</v>
      </c>
      <c r="J116" s="54"/>
    </row>
    <row r="117" spans="2:10" x14ac:dyDescent="0.2">
      <c r="B117" s="59" t="s">
        <v>101</v>
      </c>
      <c r="C117" s="26" t="s">
        <v>1806</v>
      </c>
      <c r="D117" s="26">
        <v>1.73845421</v>
      </c>
      <c r="E117" s="26" t="s">
        <v>3629</v>
      </c>
      <c r="J117" s="54"/>
    </row>
    <row r="118" spans="2:10" x14ac:dyDescent="0.2">
      <c r="B118" s="59" t="s">
        <v>114</v>
      </c>
      <c r="C118" s="26" t="s">
        <v>3380</v>
      </c>
      <c r="D118" s="26">
        <v>1179.6069600000001</v>
      </c>
      <c r="E118" s="26" t="s">
        <v>3629</v>
      </c>
      <c r="J118" s="54"/>
    </row>
    <row r="119" spans="2:10" x14ac:dyDescent="0.2">
      <c r="B119" s="55" t="s">
        <v>1819</v>
      </c>
      <c r="C119" s="26" t="s">
        <v>3380</v>
      </c>
      <c r="D119" s="26">
        <v>1179.6069600000001</v>
      </c>
      <c r="E119" s="26" t="s">
        <v>3629</v>
      </c>
      <c r="J119" s="54"/>
    </row>
    <row r="120" spans="2:10" x14ac:dyDescent="0.2">
      <c r="B120" s="55" t="s">
        <v>2103</v>
      </c>
      <c r="C120" s="26" t="s">
        <v>3668</v>
      </c>
      <c r="D120" s="26">
        <v>1179.6069600000001</v>
      </c>
      <c r="E120" s="26" t="s">
        <v>3629</v>
      </c>
      <c r="F120" s="47" t="s">
        <v>129</v>
      </c>
      <c r="J120" s="54"/>
    </row>
    <row r="121" spans="2:10" x14ac:dyDescent="0.2">
      <c r="B121" s="55" t="s">
        <v>3458</v>
      </c>
      <c r="C121" s="26" t="s">
        <v>613</v>
      </c>
      <c r="D121" s="26">
        <v>117.96069599999998</v>
      </c>
      <c r="E121" s="26" t="s">
        <v>3629</v>
      </c>
      <c r="F121" s="30" t="s">
        <v>129</v>
      </c>
      <c r="G121" s="30"/>
      <c r="H121" s="30"/>
      <c r="J121" s="54"/>
    </row>
    <row r="122" spans="2:10" x14ac:dyDescent="0.2">
      <c r="B122" s="105" t="s">
        <v>3376</v>
      </c>
      <c r="C122" s="26" t="s">
        <v>1142</v>
      </c>
      <c r="D122" s="26">
        <v>1179.6069600000001</v>
      </c>
      <c r="E122" s="26" t="s">
        <v>3629</v>
      </c>
      <c r="J122" s="54"/>
    </row>
    <row r="123" spans="2:10" x14ac:dyDescent="0.2">
      <c r="B123" s="55" t="s">
        <v>3376</v>
      </c>
      <c r="C123" s="26" t="s">
        <v>625</v>
      </c>
      <c r="D123" s="26">
        <v>0</v>
      </c>
      <c r="E123" s="26" t="s">
        <v>3629</v>
      </c>
      <c r="F123" s="30" t="s">
        <v>129</v>
      </c>
      <c r="J123" s="54"/>
    </row>
    <row r="124" spans="2:10" x14ac:dyDescent="0.2">
      <c r="B124" s="105" t="s">
        <v>614</v>
      </c>
      <c r="C124" s="30" t="s">
        <v>3673</v>
      </c>
      <c r="D124" s="30">
        <v>1162.5026499999999</v>
      </c>
      <c r="E124" s="26" t="s">
        <v>3629</v>
      </c>
      <c r="F124" s="47" t="s">
        <v>129</v>
      </c>
      <c r="H124" s="30"/>
      <c r="J124" s="54"/>
    </row>
    <row r="125" spans="2:10" x14ac:dyDescent="0.2">
      <c r="B125" s="105" t="s">
        <v>1143</v>
      </c>
      <c r="C125" s="26" t="s">
        <v>3669</v>
      </c>
      <c r="D125" s="26">
        <v>1179.6069600000001</v>
      </c>
      <c r="E125" s="26" t="s">
        <v>3629</v>
      </c>
      <c r="F125" s="47" t="s">
        <v>129</v>
      </c>
      <c r="J125" s="54"/>
    </row>
    <row r="126" spans="2:10" x14ac:dyDescent="0.2">
      <c r="B126" s="55" t="s">
        <v>1124</v>
      </c>
      <c r="C126" s="26" t="s">
        <v>3670</v>
      </c>
      <c r="D126" s="26">
        <v>0</v>
      </c>
      <c r="E126" s="26" t="s">
        <v>3629</v>
      </c>
      <c r="J126" s="54"/>
    </row>
    <row r="127" spans="2:10" x14ac:dyDescent="0.2">
      <c r="B127" s="105" t="s">
        <v>439</v>
      </c>
      <c r="C127" s="26" t="s">
        <v>3671</v>
      </c>
      <c r="D127" s="26">
        <v>0</v>
      </c>
      <c r="E127" s="26" t="s">
        <v>3629</v>
      </c>
      <c r="J127" s="54"/>
    </row>
    <row r="128" spans="2:10" x14ac:dyDescent="0.2">
      <c r="B128" s="55" t="s">
        <v>1125</v>
      </c>
      <c r="C128" s="26" t="s">
        <v>3672</v>
      </c>
      <c r="D128" s="26">
        <v>0</v>
      </c>
      <c r="E128" s="26" t="s">
        <v>3629</v>
      </c>
      <c r="F128" s="47" t="s">
        <v>129</v>
      </c>
      <c r="J128" s="54"/>
    </row>
    <row r="129" spans="2:10" x14ac:dyDescent="0.2">
      <c r="B129" s="55" t="s">
        <v>1114</v>
      </c>
      <c r="C129" s="26" t="s">
        <v>3385</v>
      </c>
      <c r="D129" s="26">
        <v>28.596618399999997</v>
      </c>
      <c r="E129" s="26" t="s">
        <v>3629</v>
      </c>
      <c r="F129" s="47" t="s">
        <v>129</v>
      </c>
      <c r="J129" s="54"/>
    </row>
    <row r="130" spans="2:10" x14ac:dyDescent="0.2">
      <c r="B130" s="55" t="s">
        <v>682</v>
      </c>
      <c r="C130" s="30" t="s">
        <v>3385</v>
      </c>
      <c r="D130" s="30">
        <v>28.596618399999997</v>
      </c>
      <c r="E130" s="26" t="s">
        <v>3629</v>
      </c>
      <c r="F130" s="47" t="s">
        <v>129</v>
      </c>
    </row>
    <row r="131" spans="2:10" x14ac:dyDescent="0.2">
      <c r="B131" s="55" t="s">
        <v>100</v>
      </c>
      <c r="C131" s="30" t="s">
        <v>3674</v>
      </c>
      <c r="D131" s="26">
        <v>28.596618399999997</v>
      </c>
      <c r="E131" s="26" t="s">
        <v>3629</v>
      </c>
    </row>
    <row r="132" spans="2:10" x14ac:dyDescent="0.2">
      <c r="B132" s="55" t="s">
        <v>113</v>
      </c>
      <c r="C132" s="26" t="s">
        <v>438</v>
      </c>
      <c r="D132" s="26">
        <v>2.8596618399999998</v>
      </c>
      <c r="E132" s="26" t="s">
        <v>3629</v>
      </c>
    </row>
    <row r="133" spans="2:10" x14ac:dyDescent="0.2">
      <c r="B133" s="55" t="s">
        <v>3462</v>
      </c>
      <c r="C133" s="26" t="s">
        <v>1141</v>
      </c>
      <c r="D133" s="30">
        <v>28.596618399999997</v>
      </c>
      <c r="E133" s="26" t="s">
        <v>3629</v>
      </c>
      <c r="F133" s="26" t="s">
        <v>129</v>
      </c>
    </row>
    <row r="134" spans="2:10" x14ac:dyDescent="0.2">
      <c r="B134" s="55" t="s">
        <v>592</v>
      </c>
      <c r="C134" s="26" t="s">
        <v>437</v>
      </c>
      <c r="D134" s="26">
        <v>0</v>
      </c>
      <c r="E134" s="26" t="s">
        <v>3629</v>
      </c>
      <c r="F134" s="47" t="s">
        <v>129</v>
      </c>
    </row>
    <row r="135" spans="2:10" x14ac:dyDescent="0.2">
      <c r="B135" s="55" t="s">
        <v>1813</v>
      </c>
      <c r="C135" s="26" t="s">
        <v>3675</v>
      </c>
      <c r="D135" s="26">
        <v>28.596618399999997</v>
      </c>
      <c r="E135" s="26" t="s">
        <v>3629</v>
      </c>
      <c r="F135" s="47" t="s">
        <v>129</v>
      </c>
    </row>
    <row r="136" spans="2:10" x14ac:dyDescent="0.2">
      <c r="B136" s="55" t="s">
        <v>3118</v>
      </c>
      <c r="C136" s="26" t="s">
        <v>3676</v>
      </c>
      <c r="D136" s="26">
        <v>0</v>
      </c>
      <c r="E136" s="26" t="s">
        <v>3629</v>
      </c>
      <c r="F136" s="47" t="s">
        <v>129</v>
      </c>
    </row>
    <row r="137" spans="2:10" x14ac:dyDescent="0.2">
      <c r="B137" s="55" t="s">
        <v>705</v>
      </c>
      <c r="C137" s="30" t="s">
        <v>3677</v>
      </c>
      <c r="D137" s="26">
        <v>0</v>
      </c>
      <c r="E137" s="26" t="s">
        <v>3629</v>
      </c>
    </row>
    <row r="138" spans="2:10" x14ac:dyDescent="0.2">
      <c r="B138" s="55" t="s">
        <v>706</v>
      </c>
      <c r="C138" s="26" t="s">
        <v>3678</v>
      </c>
      <c r="D138" s="26">
        <v>0</v>
      </c>
      <c r="E138" s="26" t="s">
        <v>3629</v>
      </c>
      <c r="F138" s="47" t="s">
        <v>129</v>
      </c>
    </row>
    <row r="139" spans="2:10" x14ac:dyDescent="0.2">
      <c r="B139" s="58" t="s">
        <v>593</v>
      </c>
      <c r="C139" s="26" t="s">
        <v>3381</v>
      </c>
      <c r="D139" s="26">
        <v>87.614647199999993</v>
      </c>
      <c r="E139" s="26" t="s">
        <v>3629</v>
      </c>
    </row>
    <row r="140" spans="2:10" x14ac:dyDescent="0.2">
      <c r="B140" s="55" t="s">
        <v>1090</v>
      </c>
      <c r="C140" s="26" t="s">
        <v>3381</v>
      </c>
      <c r="D140" s="26">
        <v>87.614647199999993</v>
      </c>
      <c r="E140" s="26" t="s">
        <v>3629</v>
      </c>
      <c r="F140" s="47" t="s">
        <v>129</v>
      </c>
    </row>
    <row r="141" spans="2:10" x14ac:dyDescent="0.2">
      <c r="B141" s="55" t="s">
        <v>1091</v>
      </c>
      <c r="C141" s="26" t="s">
        <v>3679</v>
      </c>
      <c r="D141" s="26">
        <v>1133.1493700000001</v>
      </c>
      <c r="E141" s="26" t="s">
        <v>3629</v>
      </c>
    </row>
    <row r="142" spans="2:10" x14ac:dyDescent="0.2">
      <c r="B142" s="55" t="s">
        <v>707</v>
      </c>
      <c r="C142" s="26" t="s">
        <v>615</v>
      </c>
      <c r="D142" s="26">
        <v>113.31493699999999</v>
      </c>
      <c r="E142" s="26" t="s">
        <v>3629</v>
      </c>
    </row>
    <row r="143" spans="2:10" x14ac:dyDescent="0.2">
      <c r="B143" s="55" t="s">
        <v>708</v>
      </c>
      <c r="C143" s="26" t="s">
        <v>1144</v>
      </c>
      <c r="D143" s="26">
        <v>1133.1493700000001</v>
      </c>
      <c r="E143" s="26" t="s">
        <v>3629</v>
      </c>
      <c r="F143" s="47" t="s">
        <v>129</v>
      </c>
    </row>
    <row r="144" spans="2:10" x14ac:dyDescent="0.2">
      <c r="B144" s="55" t="s">
        <v>709</v>
      </c>
      <c r="C144" s="26" t="s">
        <v>626</v>
      </c>
      <c r="D144" s="26">
        <v>0</v>
      </c>
      <c r="E144" s="26" t="s">
        <v>3629</v>
      </c>
    </row>
    <row r="145" spans="2:11" x14ac:dyDescent="0.2">
      <c r="B145" s="55" t="s">
        <v>717</v>
      </c>
      <c r="C145" s="26" t="s">
        <v>3680</v>
      </c>
      <c r="D145" s="30">
        <v>87.614647199999993</v>
      </c>
      <c r="E145" s="26" t="s">
        <v>3629</v>
      </c>
    </row>
    <row r="146" spans="2:11" x14ac:dyDescent="0.2">
      <c r="B146" s="55" t="s">
        <v>3055</v>
      </c>
      <c r="C146" s="26" t="s">
        <v>3681</v>
      </c>
      <c r="D146" s="26">
        <v>0</v>
      </c>
      <c r="E146" s="26" t="s">
        <v>3629</v>
      </c>
      <c r="H146" s="30"/>
    </row>
    <row r="147" spans="2:11" x14ac:dyDescent="0.2">
      <c r="B147" s="55" t="s">
        <v>3056</v>
      </c>
      <c r="C147" s="26" t="s">
        <v>3682</v>
      </c>
      <c r="D147" s="26">
        <v>0</v>
      </c>
      <c r="E147" s="26" t="s">
        <v>3629</v>
      </c>
      <c r="F147" s="47" t="s">
        <v>129</v>
      </c>
      <c r="H147" s="30"/>
    </row>
    <row r="148" spans="2:11" x14ac:dyDescent="0.2">
      <c r="B148" s="55" t="s">
        <v>1134</v>
      </c>
      <c r="C148" s="30" t="s">
        <v>3683</v>
      </c>
      <c r="D148" s="30">
        <v>0</v>
      </c>
      <c r="E148" s="26" t="s">
        <v>3629</v>
      </c>
      <c r="F148" s="47" t="s">
        <v>129</v>
      </c>
      <c r="H148" s="30"/>
      <c r="I148" s="30"/>
    </row>
    <row r="149" spans="2:11" x14ac:dyDescent="0.2">
      <c r="B149" s="55" t="s">
        <v>1132</v>
      </c>
      <c r="C149" s="26" t="s">
        <v>1819</v>
      </c>
      <c r="D149" s="26">
        <v>0</v>
      </c>
      <c r="E149" s="26" t="s">
        <v>3629</v>
      </c>
      <c r="H149" s="30"/>
      <c r="I149" s="30"/>
    </row>
    <row r="150" spans="2:11" x14ac:dyDescent="0.2">
      <c r="B150" s="55" t="s">
        <v>1133</v>
      </c>
      <c r="C150" s="26" t="s">
        <v>3684</v>
      </c>
      <c r="D150" s="26">
        <v>0</v>
      </c>
      <c r="E150" s="26" t="s">
        <v>3629</v>
      </c>
      <c r="H150" s="30"/>
      <c r="I150" s="30"/>
    </row>
    <row r="151" spans="2:11" x14ac:dyDescent="0.2">
      <c r="B151" s="55" t="s">
        <v>1131</v>
      </c>
      <c r="C151" s="30" t="s">
        <v>3376</v>
      </c>
      <c r="D151" s="30">
        <v>3550.2458900000001</v>
      </c>
      <c r="E151" s="26" t="s">
        <v>3629</v>
      </c>
      <c r="H151" s="30"/>
      <c r="I151" s="30"/>
    </row>
    <row r="152" spans="2:11" x14ac:dyDescent="0.2">
      <c r="B152" s="55" t="s">
        <v>3160</v>
      </c>
      <c r="C152" s="26" t="s">
        <v>3376</v>
      </c>
      <c r="D152" s="26">
        <v>3550.2458900000001</v>
      </c>
      <c r="E152" s="26" t="s">
        <v>3629</v>
      </c>
      <c r="F152" s="30" t="s">
        <v>129</v>
      </c>
      <c r="H152" s="30"/>
      <c r="I152" s="30"/>
      <c r="J152" s="30"/>
      <c r="K152" s="30"/>
    </row>
    <row r="153" spans="2:11" x14ac:dyDescent="0.2">
      <c r="B153" s="55" t="s">
        <v>1123</v>
      </c>
      <c r="C153" s="26" t="s">
        <v>3685</v>
      </c>
      <c r="D153" s="26">
        <v>29688.5353</v>
      </c>
      <c r="E153" s="26" t="s">
        <v>3629</v>
      </c>
      <c r="F153" s="47" t="s">
        <v>129</v>
      </c>
      <c r="H153" s="30"/>
      <c r="I153" s="30"/>
      <c r="J153" s="30"/>
    </row>
    <row r="154" spans="2:11" x14ac:dyDescent="0.2">
      <c r="B154" s="55" t="s">
        <v>1121</v>
      </c>
      <c r="C154" s="26" t="s">
        <v>614</v>
      </c>
      <c r="D154" s="26">
        <v>148.442677</v>
      </c>
      <c r="E154" s="26" t="s">
        <v>3629</v>
      </c>
      <c r="F154" s="47" t="s">
        <v>129</v>
      </c>
      <c r="H154" s="30"/>
      <c r="I154" s="30"/>
      <c r="J154" s="30"/>
    </row>
    <row r="155" spans="2:11" x14ac:dyDescent="0.2">
      <c r="B155" s="55" t="s">
        <v>712</v>
      </c>
      <c r="C155" s="26" t="s">
        <v>1143</v>
      </c>
      <c r="D155" s="26">
        <v>29688.5353</v>
      </c>
      <c r="E155" s="26" t="s">
        <v>3629</v>
      </c>
      <c r="F155" s="47" t="s">
        <v>129</v>
      </c>
      <c r="H155" s="30"/>
      <c r="I155" s="30"/>
      <c r="J155" s="30"/>
    </row>
    <row r="156" spans="2:11" x14ac:dyDescent="0.2">
      <c r="B156" s="55" t="s">
        <v>773</v>
      </c>
      <c r="C156" s="26" t="s">
        <v>3686</v>
      </c>
      <c r="D156" s="26">
        <v>26062.080699999999</v>
      </c>
      <c r="E156" s="26" t="s">
        <v>3629</v>
      </c>
      <c r="F156" s="47" t="s">
        <v>129</v>
      </c>
      <c r="H156" s="30"/>
      <c r="I156" s="30"/>
    </row>
    <row r="157" spans="2:11" x14ac:dyDescent="0.2">
      <c r="B157" s="55" t="s">
        <v>3148</v>
      </c>
      <c r="C157" s="26" t="s">
        <v>439</v>
      </c>
      <c r="D157" s="26">
        <v>0</v>
      </c>
      <c r="E157" s="26" t="s">
        <v>3629</v>
      </c>
      <c r="G157" s="30"/>
      <c r="H157" s="30"/>
      <c r="I157" s="30"/>
      <c r="J157" s="30"/>
    </row>
    <row r="158" spans="2:11" x14ac:dyDescent="0.2">
      <c r="B158" s="55" t="s">
        <v>774</v>
      </c>
      <c r="C158" s="26" t="s">
        <v>3687</v>
      </c>
      <c r="D158" s="26">
        <v>26868.124500000002</v>
      </c>
      <c r="E158" s="26" t="s">
        <v>3629</v>
      </c>
      <c r="G158" s="30"/>
      <c r="H158" s="30"/>
      <c r="I158" s="30"/>
    </row>
    <row r="159" spans="2:11" x14ac:dyDescent="0.2">
      <c r="B159" s="55" t="s">
        <v>775</v>
      </c>
      <c r="C159" s="26" t="s">
        <v>3691</v>
      </c>
      <c r="D159" s="26">
        <v>29258.051500000001</v>
      </c>
      <c r="E159" s="26" t="s">
        <v>3629</v>
      </c>
      <c r="F159" s="26" t="s">
        <v>129</v>
      </c>
      <c r="G159" s="30"/>
      <c r="H159" s="30"/>
      <c r="I159" s="30"/>
      <c r="K159" s="30"/>
    </row>
    <row r="160" spans="2:11" x14ac:dyDescent="0.2">
      <c r="B160" s="55" t="s">
        <v>776</v>
      </c>
      <c r="C160" s="26" t="s">
        <v>3688</v>
      </c>
      <c r="D160" s="26">
        <v>3550.2458900000001</v>
      </c>
      <c r="E160" s="26" t="s">
        <v>3629</v>
      </c>
      <c r="F160" s="47" t="s">
        <v>129</v>
      </c>
      <c r="G160" s="30"/>
      <c r="H160" s="30"/>
      <c r="I160" s="30"/>
      <c r="J160" s="30"/>
    </row>
    <row r="161" spans="2:11" x14ac:dyDescent="0.2">
      <c r="B161" s="55" t="s">
        <v>713</v>
      </c>
      <c r="C161" s="26" t="s">
        <v>721</v>
      </c>
      <c r="D161" s="26">
        <v>2417.9653600000001</v>
      </c>
      <c r="E161" s="26" t="s">
        <v>3629</v>
      </c>
      <c r="F161" s="47" t="s">
        <v>129</v>
      </c>
      <c r="G161" s="30"/>
      <c r="H161" s="30"/>
      <c r="I161" s="30"/>
      <c r="J161" s="30"/>
      <c r="K161" s="30"/>
    </row>
    <row r="162" spans="2:11" x14ac:dyDescent="0.2">
      <c r="B162" s="55" t="s">
        <v>2220</v>
      </c>
      <c r="C162" s="26" t="s">
        <v>3689</v>
      </c>
      <c r="D162" s="26">
        <v>0</v>
      </c>
      <c r="E162" s="26" t="s">
        <v>3629</v>
      </c>
      <c r="F162" s="47" t="s">
        <v>129</v>
      </c>
      <c r="G162" s="30"/>
      <c r="H162" s="30"/>
      <c r="I162" s="30"/>
      <c r="J162" s="30"/>
    </row>
    <row r="163" spans="2:11" x14ac:dyDescent="0.2">
      <c r="B163" s="55" t="s">
        <v>703</v>
      </c>
      <c r="C163" s="26" t="s">
        <v>3690</v>
      </c>
      <c r="D163" s="26">
        <v>0</v>
      </c>
      <c r="E163" s="26" t="s">
        <v>3629</v>
      </c>
      <c r="G163" s="30"/>
      <c r="H163" s="30"/>
      <c r="I163" s="30"/>
      <c r="J163" s="30"/>
    </row>
    <row r="164" spans="2:11" x14ac:dyDescent="0.2">
      <c r="B164" s="55" t="s">
        <v>777</v>
      </c>
      <c r="C164" s="30" t="s">
        <v>592</v>
      </c>
      <c r="D164" s="26">
        <v>20833.333299999998</v>
      </c>
      <c r="E164" s="26" t="s">
        <v>3629</v>
      </c>
      <c r="F164" s="30" t="s">
        <v>129</v>
      </c>
      <c r="G164" s="30"/>
      <c r="H164" s="30"/>
      <c r="I164" s="30"/>
      <c r="J164" s="30"/>
    </row>
    <row r="165" spans="2:11" x14ac:dyDescent="0.2">
      <c r="B165" s="55" t="s">
        <v>710</v>
      </c>
      <c r="C165" s="26" t="s">
        <v>1813</v>
      </c>
      <c r="D165" s="26">
        <v>109.04051800000001</v>
      </c>
      <c r="E165" s="26" t="s">
        <v>3629</v>
      </c>
      <c r="F165" s="47" t="s">
        <v>129</v>
      </c>
      <c r="G165" s="30"/>
      <c r="H165" s="30"/>
      <c r="I165" s="30"/>
    </row>
    <row r="166" spans="2:11" x14ac:dyDescent="0.2">
      <c r="B166" s="55" t="s">
        <v>711</v>
      </c>
      <c r="C166" s="26" t="s">
        <v>3692</v>
      </c>
      <c r="D166" s="26">
        <v>138.64284000000001</v>
      </c>
      <c r="E166" s="26" t="s">
        <v>3629</v>
      </c>
      <c r="G166" s="30"/>
      <c r="H166" s="30"/>
      <c r="I166" s="30"/>
    </row>
    <row r="167" spans="2:11" x14ac:dyDescent="0.2">
      <c r="B167" s="55" t="s">
        <v>711</v>
      </c>
      <c r="C167" s="30" t="s">
        <v>3693</v>
      </c>
      <c r="D167" s="26">
        <v>147722.20199999999</v>
      </c>
      <c r="E167" s="26" t="s">
        <v>3629</v>
      </c>
      <c r="F167" s="30" t="s">
        <v>129</v>
      </c>
      <c r="G167" s="30"/>
      <c r="H167" s="30"/>
      <c r="I167" s="30"/>
    </row>
    <row r="168" spans="2:11" x14ac:dyDescent="0.2">
      <c r="B168" s="55" t="s">
        <v>3147</v>
      </c>
      <c r="C168" s="26" t="s">
        <v>3694</v>
      </c>
      <c r="D168" s="26">
        <v>24460.080999999998</v>
      </c>
      <c r="E168" s="26" t="s">
        <v>3629</v>
      </c>
      <c r="G168" s="30"/>
      <c r="H168" s="30"/>
      <c r="I168" s="30"/>
      <c r="J168" s="30"/>
    </row>
    <row r="169" spans="2:11" x14ac:dyDescent="0.2">
      <c r="B169" s="55" t="s">
        <v>698</v>
      </c>
      <c r="C169" s="26" t="s">
        <v>593</v>
      </c>
      <c r="D169" s="26">
        <v>223570.541</v>
      </c>
      <c r="E169" s="26" t="s">
        <v>3629</v>
      </c>
      <c r="F169" s="47" t="s">
        <v>129</v>
      </c>
      <c r="G169" s="30"/>
      <c r="H169" s="30"/>
      <c r="I169" s="30"/>
      <c r="K169" s="30"/>
    </row>
    <row r="170" spans="2:11" x14ac:dyDescent="0.2">
      <c r="B170" s="55" t="s">
        <v>718</v>
      </c>
      <c r="C170" s="26" t="s">
        <v>3695</v>
      </c>
      <c r="D170" s="26">
        <v>203952.394</v>
      </c>
      <c r="E170" s="26" t="s">
        <v>3629</v>
      </c>
      <c r="G170" s="30"/>
      <c r="H170" s="30"/>
      <c r="I170" s="30"/>
    </row>
    <row r="171" spans="2:11" x14ac:dyDescent="0.2">
      <c r="B171" s="57" t="s">
        <v>596</v>
      </c>
      <c r="C171" s="26" t="s">
        <v>3696</v>
      </c>
      <c r="D171" s="26">
        <v>203952.394</v>
      </c>
      <c r="E171" s="26" t="s">
        <v>3629</v>
      </c>
      <c r="G171" s="30"/>
      <c r="H171" s="30"/>
      <c r="I171" s="30"/>
      <c r="J171" s="30"/>
    </row>
    <row r="172" spans="2:11" x14ac:dyDescent="0.2">
      <c r="B172" s="55" t="s">
        <v>3121</v>
      </c>
      <c r="C172" s="26" t="s">
        <v>3697</v>
      </c>
      <c r="D172" s="26">
        <v>340907.03100000002</v>
      </c>
      <c r="E172" s="26" t="s">
        <v>3629</v>
      </c>
      <c r="G172" s="30"/>
      <c r="H172" s="30"/>
      <c r="I172" s="30"/>
    </row>
    <row r="173" spans="2:11" x14ac:dyDescent="0.2">
      <c r="B173" s="55" t="s">
        <v>3047</v>
      </c>
      <c r="C173" s="26" t="s">
        <v>3698</v>
      </c>
      <c r="D173" s="26">
        <v>2.2768270100000002E-2</v>
      </c>
      <c r="E173" s="26" t="s">
        <v>3629</v>
      </c>
      <c r="G173" s="30"/>
      <c r="H173" s="30"/>
      <c r="I173" s="30"/>
      <c r="K173" s="30"/>
    </row>
    <row r="174" spans="2:11" x14ac:dyDescent="0.2">
      <c r="B174" s="55" t="s">
        <v>3048</v>
      </c>
      <c r="C174" s="26" t="s">
        <v>3699</v>
      </c>
      <c r="D174" s="26">
        <v>340907.054</v>
      </c>
      <c r="E174" s="26" t="s">
        <v>3629</v>
      </c>
      <c r="G174" s="30"/>
      <c r="H174" s="30"/>
      <c r="I174" s="30"/>
      <c r="J174" s="30"/>
    </row>
    <row r="175" spans="2:11" x14ac:dyDescent="0.2">
      <c r="B175" s="55" t="s">
        <v>3049</v>
      </c>
      <c r="C175" s="26" t="s">
        <v>3700</v>
      </c>
      <c r="D175" s="26">
        <v>150923.58600000001</v>
      </c>
      <c r="E175" s="26" t="s">
        <v>3629</v>
      </c>
      <c r="G175" s="30"/>
      <c r="H175" s="30"/>
      <c r="I175" s="30"/>
      <c r="J175" s="30"/>
    </row>
    <row r="176" spans="2:11" x14ac:dyDescent="0.2">
      <c r="B176" s="55" t="s">
        <v>700</v>
      </c>
      <c r="C176" s="26" t="s">
        <v>3701</v>
      </c>
      <c r="D176" s="26">
        <v>226041.842</v>
      </c>
      <c r="E176" s="26" t="s">
        <v>3629</v>
      </c>
      <c r="G176" s="30"/>
      <c r="H176" s="30"/>
      <c r="I176" s="30"/>
    </row>
    <row r="177" spans="2:11" x14ac:dyDescent="0.2">
      <c r="B177" s="55" t="s">
        <v>3052</v>
      </c>
      <c r="C177" s="26" t="s">
        <v>3702</v>
      </c>
      <c r="D177" s="26">
        <v>35132.939400000003</v>
      </c>
      <c r="E177" s="26" t="s">
        <v>3629</v>
      </c>
      <c r="F177" s="47" t="s">
        <v>129</v>
      </c>
      <c r="G177" s="30"/>
      <c r="H177" s="30"/>
      <c r="I177" s="30"/>
      <c r="J177" s="30"/>
    </row>
    <row r="178" spans="2:11" x14ac:dyDescent="0.2">
      <c r="B178" s="55" t="s">
        <v>3392</v>
      </c>
      <c r="C178" s="30" t="s">
        <v>3703</v>
      </c>
      <c r="D178" s="30">
        <v>35270.597300000001</v>
      </c>
      <c r="E178" s="26" t="s">
        <v>3629</v>
      </c>
      <c r="F178" s="47" t="s">
        <v>129</v>
      </c>
      <c r="G178" s="30"/>
      <c r="H178" s="30"/>
      <c r="I178" s="30"/>
    </row>
    <row r="179" spans="2:11" x14ac:dyDescent="0.2">
      <c r="B179" s="55" t="s">
        <v>3051</v>
      </c>
      <c r="C179" s="26" t="s">
        <v>3704</v>
      </c>
      <c r="D179" s="26">
        <v>353960.56199999998</v>
      </c>
      <c r="E179" s="26" t="s">
        <v>3629</v>
      </c>
      <c r="F179" s="56"/>
      <c r="G179" s="30"/>
      <c r="H179" s="30"/>
      <c r="I179" s="30"/>
      <c r="K179" s="30"/>
    </row>
    <row r="180" spans="2:11" x14ac:dyDescent="0.2">
      <c r="B180" s="55" t="s">
        <v>3053</v>
      </c>
      <c r="C180" s="26" t="s">
        <v>3705</v>
      </c>
      <c r="D180" s="30">
        <v>351329.39399999997</v>
      </c>
      <c r="E180" s="26" t="s">
        <v>3629</v>
      </c>
      <c r="F180" s="26" t="s">
        <v>129</v>
      </c>
      <c r="G180" s="30"/>
      <c r="H180" s="30"/>
      <c r="I180" s="30"/>
    </row>
    <row r="181" spans="2:11" x14ac:dyDescent="0.2">
      <c r="B181" s="55" t="s">
        <v>720</v>
      </c>
      <c r="C181" s="26" t="s">
        <v>3706</v>
      </c>
      <c r="D181" s="26">
        <v>351994.52600000001</v>
      </c>
      <c r="E181" s="26" t="s">
        <v>3629</v>
      </c>
      <c r="F181" s="47" t="s">
        <v>129</v>
      </c>
      <c r="G181" s="30"/>
      <c r="H181" s="30"/>
      <c r="I181" s="30"/>
      <c r="J181" s="30"/>
    </row>
    <row r="182" spans="2:11" x14ac:dyDescent="0.2">
      <c r="B182" s="55" t="s">
        <v>715</v>
      </c>
      <c r="C182" s="26" t="s">
        <v>3707</v>
      </c>
      <c r="D182" s="26">
        <v>105.799122</v>
      </c>
      <c r="E182" s="26" t="s">
        <v>3629</v>
      </c>
      <c r="G182" s="30"/>
      <c r="H182" s="30"/>
      <c r="I182" s="30"/>
      <c r="K182" s="30"/>
    </row>
    <row r="183" spans="2:11" x14ac:dyDescent="0.2">
      <c r="B183" s="55" t="s">
        <v>3050</v>
      </c>
      <c r="C183" s="26" t="s">
        <v>3708</v>
      </c>
      <c r="D183" s="26">
        <v>351905.26199999999</v>
      </c>
      <c r="E183" s="26" t="s">
        <v>3629</v>
      </c>
      <c r="F183" s="47" t="s">
        <v>129</v>
      </c>
      <c r="G183" s="30"/>
      <c r="H183" s="30"/>
      <c r="I183" s="30"/>
    </row>
    <row r="184" spans="2:11" x14ac:dyDescent="0.2">
      <c r="B184" s="55" t="s">
        <v>714</v>
      </c>
      <c r="C184" s="26" t="s">
        <v>3709</v>
      </c>
      <c r="D184" s="26">
        <v>353960.56199999998</v>
      </c>
      <c r="E184" s="26" t="s">
        <v>3629</v>
      </c>
      <c r="G184" s="30"/>
      <c r="H184" s="30"/>
      <c r="I184" s="30"/>
      <c r="J184" s="30"/>
      <c r="K184" s="30"/>
    </row>
    <row r="185" spans="2:11" x14ac:dyDescent="0.2">
      <c r="B185" s="55" t="s">
        <v>719</v>
      </c>
      <c r="C185" s="26" t="s">
        <v>3710</v>
      </c>
      <c r="D185" s="26">
        <v>426.69977</v>
      </c>
      <c r="E185" s="26" t="s">
        <v>3629</v>
      </c>
      <c r="F185" s="47" t="s">
        <v>129</v>
      </c>
      <c r="G185" s="30"/>
      <c r="H185" s="30"/>
      <c r="I185" s="30"/>
      <c r="J185" s="30"/>
    </row>
    <row r="186" spans="2:11" x14ac:dyDescent="0.2">
      <c r="B186" s="55" t="s">
        <v>3058</v>
      </c>
      <c r="C186" s="26" t="s">
        <v>3711</v>
      </c>
      <c r="D186" s="26">
        <v>664.81490699999995</v>
      </c>
      <c r="E186" s="26" t="s">
        <v>3629</v>
      </c>
      <c r="F186" s="47" t="s">
        <v>129</v>
      </c>
      <c r="G186" s="30"/>
      <c r="H186" s="30"/>
      <c r="I186" s="30"/>
      <c r="J186" s="30"/>
      <c r="K186" s="30"/>
    </row>
    <row r="187" spans="2:11" x14ac:dyDescent="0.2">
      <c r="B187" s="55" t="s">
        <v>3061</v>
      </c>
      <c r="C187" s="26" t="s">
        <v>3712</v>
      </c>
      <c r="D187" s="26">
        <v>3.9497547100000006</v>
      </c>
      <c r="E187" s="26" t="s">
        <v>3629</v>
      </c>
      <c r="F187" s="47" t="s">
        <v>129</v>
      </c>
      <c r="G187" s="30"/>
      <c r="H187" s="30"/>
      <c r="I187" s="30"/>
    </row>
    <row r="188" spans="2:11" x14ac:dyDescent="0.2">
      <c r="B188" s="55" t="s">
        <v>3060</v>
      </c>
      <c r="C188" s="30" t="s">
        <v>3713</v>
      </c>
      <c r="D188" s="26">
        <v>750.95952199999999</v>
      </c>
      <c r="E188" s="26" t="s">
        <v>3629</v>
      </c>
      <c r="G188" s="30"/>
      <c r="H188" s="30"/>
      <c r="I188" s="30"/>
      <c r="J188" s="30"/>
    </row>
    <row r="189" spans="2:11" x14ac:dyDescent="0.2">
      <c r="B189" s="55" t="s">
        <v>660</v>
      </c>
      <c r="C189" s="26" t="s">
        <v>3714</v>
      </c>
      <c r="D189" s="26">
        <v>13345.651099999999</v>
      </c>
      <c r="E189" s="26" t="s">
        <v>3629</v>
      </c>
      <c r="F189" s="26" t="s">
        <v>129</v>
      </c>
      <c r="G189" s="30"/>
      <c r="H189" s="30"/>
      <c r="I189" s="30"/>
      <c r="K189" s="30"/>
    </row>
    <row r="190" spans="2:11" x14ac:dyDescent="0.2">
      <c r="B190" s="55" t="s">
        <v>658</v>
      </c>
      <c r="C190" s="26" t="s">
        <v>3715</v>
      </c>
      <c r="D190" s="26">
        <v>15240.6515</v>
      </c>
      <c r="E190" s="26" t="s">
        <v>3629</v>
      </c>
      <c r="G190" s="30"/>
      <c r="H190" s="30"/>
      <c r="I190" s="30"/>
    </row>
    <row r="191" spans="2:11" x14ac:dyDescent="0.2">
      <c r="B191" s="55" t="s">
        <v>3329</v>
      </c>
      <c r="C191" s="26" t="s">
        <v>3716</v>
      </c>
      <c r="D191" s="30">
        <v>13053.508099999999</v>
      </c>
      <c r="E191" s="30" t="s">
        <v>3629</v>
      </c>
      <c r="G191" s="30"/>
      <c r="H191" s="30"/>
      <c r="I191" s="30"/>
      <c r="J191" s="30"/>
    </row>
    <row r="192" spans="2:11" x14ac:dyDescent="0.2">
      <c r="B192" s="55" t="s">
        <v>3329</v>
      </c>
      <c r="C192" s="26" t="s">
        <v>3717</v>
      </c>
      <c r="D192" s="26">
        <v>14503.897899999998</v>
      </c>
      <c r="E192" s="26" t="s">
        <v>3629</v>
      </c>
      <c r="G192" s="30"/>
      <c r="H192" s="30"/>
      <c r="I192" s="30"/>
    </row>
    <row r="193" spans="2:9" x14ac:dyDescent="0.2">
      <c r="B193" s="55" t="s">
        <v>653</v>
      </c>
      <c r="C193" s="26" t="s">
        <v>3718</v>
      </c>
      <c r="D193" s="26">
        <v>0</v>
      </c>
      <c r="E193" s="26" t="s">
        <v>3629</v>
      </c>
      <c r="G193" s="30"/>
      <c r="H193" s="30"/>
      <c r="I193" s="30"/>
    </row>
    <row r="194" spans="2:9" x14ac:dyDescent="0.2">
      <c r="B194" s="55" t="s">
        <v>704</v>
      </c>
      <c r="C194" s="30" t="s">
        <v>3719</v>
      </c>
      <c r="D194" s="26">
        <v>736.75367300000005</v>
      </c>
      <c r="E194" s="26" t="s">
        <v>3629</v>
      </c>
      <c r="G194" s="30"/>
      <c r="H194" s="30"/>
      <c r="I194" s="30"/>
    </row>
    <row r="195" spans="2:9" x14ac:dyDescent="0.2">
      <c r="B195" s="55" t="s">
        <v>3330</v>
      </c>
      <c r="C195" s="26" t="s">
        <v>3719</v>
      </c>
      <c r="D195" s="26">
        <v>736.75367300000005</v>
      </c>
      <c r="E195" s="26" t="s">
        <v>3629</v>
      </c>
      <c r="G195" s="30"/>
      <c r="H195" s="30"/>
      <c r="I195" s="30"/>
    </row>
    <row r="196" spans="2:9" x14ac:dyDescent="0.2">
      <c r="B196" s="55" t="s">
        <v>3331</v>
      </c>
      <c r="C196" s="30" t="s">
        <v>3720</v>
      </c>
      <c r="D196" s="26">
        <v>36.7916113</v>
      </c>
      <c r="E196" s="26" t="s">
        <v>3629</v>
      </c>
      <c r="G196" s="30"/>
      <c r="H196" s="30"/>
      <c r="I196" s="30"/>
    </row>
    <row r="197" spans="2:9" x14ac:dyDescent="0.2">
      <c r="B197" s="55" t="s">
        <v>701</v>
      </c>
      <c r="C197" s="26" t="s">
        <v>3720</v>
      </c>
      <c r="D197" s="26">
        <v>36.7916113</v>
      </c>
      <c r="E197" s="26" t="s">
        <v>3629</v>
      </c>
      <c r="G197" s="30"/>
      <c r="H197" s="30"/>
      <c r="I197" s="30"/>
    </row>
    <row r="198" spans="2:9" x14ac:dyDescent="0.2">
      <c r="B198" s="55" t="s">
        <v>722</v>
      </c>
      <c r="C198" s="26" t="s">
        <v>3721</v>
      </c>
      <c r="D198" s="26">
        <v>638.15416100000004</v>
      </c>
      <c r="E198" s="26" t="s">
        <v>3629</v>
      </c>
      <c r="F198" s="30" t="s">
        <v>129</v>
      </c>
      <c r="G198" s="30"/>
      <c r="H198" s="30"/>
      <c r="I198" s="30"/>
    </row>
    <row r="199" spans="2:9" x14ac:dyDescent="0.2">
      <c r="B199" s="55" t="s">
        <v>702</v>
      </c>
      <c r="C199" s="26" t="s">
        <v>3721</v>
      </c>
      <c r="D199" s="26">
        <v>638.15416100000004</v>
      </c>
      <c r="E199" s="26" t="s">
        <v>3629</v>
      </c>
      <c r="G199" s="30"/>
      <c r="H199" s="30"/>
      <c r="I199" s="30"/>
    </row>
    <row r="200" spans="2:9" x14ac:dyDescent="0.2">
      <c r="B200" s="55" t="s">
        <v>716</v>
      </c>
      <c r="C200" s="26" t="s">
        <v>3722</v>
      </c>
      <c r="D200" s="26">
        <v>14032.124900000001</v>
      </c>
      <c r="E200" s="26" t="s">
        <v>3629</v>
      </c>
      <c r="F200" s="47" t="s">
        <v>129</v>
      </c>
      <c r="G200" s="30"/>
      <c r="H200" s="30"/>
      <c r="I200" s="30"/>
    </row>
    <row r="201" spans="2:9" x14ac:dyDescent="0.2">
      <c r="B201" s="55" t="s">
        <v>1834</v>
      </c>
      <c r="C201" s="26" t="s">
        <v>3723</v>
      </c>
      <c r="D201" s="26">
        <v>109.04051800000001</v>
      </c>
      <c r="E201" s="26" t="s">
        <v>3629</v>
      </c>
      <c r="G201" s="30"/>
      <c r="H201" s="30"/>
      <c r="I201" s="30"/>
    </row>
    <row r="202" spans="2:9" x14ac:dyDescent="0.2">
      <c r="B202" s="55" t="s">
        <v>3150</v>
      </c>
      <c r="C202" s="26" t="s">
        <v>3724</v>
      </c>
      <c r="D202" s="26">
        <v>26774.6126</v>
      </c>
      <c r="E202" s="26" t="s">
        <v>3629</v>
      </c>
      <c r="F202" s="47" t="s">
        <v>129</v>
      </c>
      <c r="G202" s="30"/>
      <c r="H202" s="30"/>
      <c r="I202" s="30"/>
    </row>
    <row r="203" spans="2:9" x14ac:dyDescent="0.2">
      <c r="B203" s="55" t="s">
        <v>3063</v>
      </c>
      <c r="C203" s="26" t="s">
        <v>596</v>
      </c>
      <c r="D203" s="26">
        <v>520.42631900000003</v>
      </c>
      <c r="E203" s="26" t="s">
        <v>3629</v>
      </c>
      <c r="F203" s="47" t="s">
        <v>129</v>
      </c>
      <c r="G203" s="30"/>
      <c r="H203" s="30"/>
      <c r="I203" s="30"/>
    </row>
    <row r="204" spans="2:9" x14ac:dyDescent="0.2">
      <c r="B204" s="55" t="s">
        <v>699</v>
      </c>
      <c r="C204" s="26" t="s">
        <v>596</v>
      </c>
      <c r="D204" s="26">
        <v>520.42631900000003</v>
      </c>
      <c r="E204" s="26" t="s">
        <v>3629</v>
      </c>
      <c r="F204" s="47" t="s">
        <v>129</v>
      </c>
      <c r="G204" s="30"/>
      <c r="H204" s="30"/>
      <c r="I204" s="30"/>
    </row>
    <row r="205" spans="2:9" x14ac:dyDescent="0.2">
      <c r="B205" s="55" t="s">
        <v>3065</v>
      </c>
      <c r="C205" s="30" t="s">
        <v>3725</v>
      </c>
      <c r="D205" s="26">
        <v>237.252838</v>
      </c>
      <c r="E205" s="26" t="s">
        <v>3629</v>
      </c>
      <c r="F205" s="47" t="s">
        <v>129</v>
      </c>
      <c r="G205" s="30"/>
      <c r="H205" s="30"/>
      <c r="I205" s="30"/>
    </row>
    <row r="206" spans="2:9" x14ac:dyDescent="0.2">
      <c r="B206" s="55" t="s">
        <v>3064</v>
      </c>
      <c r="C206" s="26" t="s">
        <v>3726</v>
      </c>
      <c r="D206" s="30">
        <v>384188.478</v>
      </c>
      <c r="E206" s="30" t="s">
        <v>3629</v>
      </c>
      <c r="F206" s="47" t="s">
        <v>129</v>
      </c>
      <c r="G206" s="30"/>
      <c r="H206" s="30"/>
      <c r="I206" s="30"/>
    </row>
    <row r="207" spans="2:9" x14ac:dyDescent="0.2">
      <c r="B207" s="58" t="s">
        <v>608</v>
      </c>
      <c r="C207" s="26" t="s">
        <v>3727</v>
      </c>
      <c r="D207" s="26">
        <v>383372.31099999999</v>
      </c>
      <c r="E207" s="26" t="s">
        <v>3629</v>
      </c>
      <c r="G207" s="30"/>
      <c r="H207" s="30"/>
      <c r="I207" s="30"/>
    </row>
    <row r="208" spans="2:9" x14ac:dyDescent="0.2">
      <c r="B208" s="55" t="s">
        <v>1822</v>
      </c>
      <c r="C208" s="30" t="s">
        <v>3728</v>
      </c>
      <c r="D208" s="26">
        <v>463984.27600000001</v>
      </c>
      <c r="E208" s="26" t="s">
        <v>3629</v>
      </c>
      <c r="G208" s="30"/>
      <c r="H208" s="30"/>
      <c r="I208" s="30"/>
    </row>
    <row r="209" spans="2:9" x14ac:dyDescent="0.2">
      <c r="B209" s="55" t="s">
        <v>2092</v>
      </c>
      <c r="C209" s="26" t="s">
        <v>3729</v>
      </c>
      <c r="D209" s="26">
        <v>2607301.7799999998</v>
      </c>
      <c r="E209" s="26" t="s">
        <v>3629</v>
      </c>
      <c r="G209" s="30"/>
      <c r="H209" s="30"/>
      <c r="I209" s="30"/>
    </row>
    <row r="210" spans="2:9" x14ac:dyDescent="0.2">
      <c r="B210" s="55" t="s">
        <v>1818</v>
      </c>
      <c r="C210" s="26" t="s">
        <v>3730</v>
      </c>
      <c r="D210" s="26">
        <v>2611641.11</v>
      </c>
      <c r="E210" s="26" t="s">
        <v>3629</v>
      </c>
      <c r="G210" s="30"/>
      <c r="H210" s="30"/>
      <c r="I210" s="30"/>
    </row>
    <row r="211" spans="2:9" x14ac:dyDescent="0.2">
      <c r="B211" s="55" t="s">
        <v>3428</v>
      </c>
      <c r="C211" s="26" t="s">
        <v>3731</v>
      </c>
      <c r="D211" s="26">
        <v>2606760.79</v>
      </c>
      <c r="E211" s="30" t="s">
        <v>3629</v>
      </c>
      <c r="G211" s="30"/>
      <c r="H211" s="30"/>
      <c r="I211" s="30"/>
    </row>
    <row r="212" spans="2:9" x14ac:dyDescent="0.2">
      <c r="B212" s="55" t="s">
        <v>2372</v>
      </c>
      <c r="C212" s="26" t="s">
        <v>3732</v>
      </c>
      <c r="D212" s="26">
        <v>2137542.9900000002</v>
      </c>
      <c r="E212" s="26" t="s">
        <v>3629</v>
      </c>
      <c r="G212" s="30"/>
      <c r="H212" s="30"/>
      <c r="I212" s="30"/>
    </row>
    <row r="213" spans="2:9" x14ac:dyDescent="0.2">
      <c r="B213" s="55" t="s">
        <v>2371</v>
      </c>
      <c r="C213" s="26" t="s">
        <v>3733</v>
      </c>
      <c r="D213" s="26">
        <v>4339.3318799999997</v>
      </c>
      <c r="E213" s="26" t="s">
        <v>3629</v>
      </c>
      <c r="G213" s="30"/>
      <c r="H213" s="30"/>
      <c r="I213" s="30"/>
    </row>
    <row r="214" spans="2:9" x14ac:dyDescent="0.2">
      <c r="B214" s="55" t="s">
        <v>2373</v>
      </c>
      <c r="C214" s="26" t="s">
        <v>3733</v>
      </c>
      <c r="D214" s="26">
        <v>4339.3318799999997</v>
      </c>
      <c r="E214" s="26" t="s">
        <v>3629</v>
      </c>
      <c r="F214" s="47" t="s">
        <v>129</v>
      </c>
      <c r="G214" s="30"/>
      <c r="H214" s="30"/>
      <c r="I214" s="30"/>
    </row>
    <row r="215" spans="2:9" x14ac:dyDescent="0.2">
      <c r="B215" s="55" t="s">
        <v>2374</v>
      </c>
      <c r="C215" s="26" t="s">
        <v>3734</v>
      </c>
      <c r="D215" s="26">
        <v>380701.228</v>
      </c>
      <c r="E215" s="26" t="s">
        <v>3629</v>
      </c>
      <c r="G215" s="30"/>
      <c r="H215" s="30"/>
      <c r="I215" s="30"/>
    </row>
    <row r="216" spans="2:9" x14ac:dyDescent="0.2">
      <c r="B216" s="55" t="s">
        <v>1828</v>
      </c>
      <c r="C216" s="26" t="s">
        <v>3735</v>
      </c>
      <c r="D216" s="26">
        <v>4953.2751200000002</v>
      </c>
      <c r="E216" s="26" t="s">
        <v>3629</v>
      </c>
      <c r="F216" s="47" t="s">
        <v>129</v>
      </c>
      <c r="G216" s="30"/>
      <c r="H216" s="30"/>
      <c r="I216" s="30"/>
    </row>
    <row r="217" spans="2:9" x14ac:dyDescent="0.2">
      <c r="B217" s="105" t="s">
        <v>3426</v>
      </c>
      <c r="C217" s="26" t="s">
        <v>3736</v>
      </c>
      <c r="D217" s="26">
        <v>4368.33475</v>
      </c>
      <c r="E217" s="26" t="s">
        <v>3629</v>
      </c>
      <c r="G217" s="30"/>
      <c r="H217" s="30"/>
      <c r="I217" s="30"/>
    </row>
    <row r="218" spans="2:9" x14ac:dyDescent="0.2">
      <c r="B218" s="105" t="s">
        <v>616</v>
      </c>
      <c r="C218" s="26" t="s">
        <v>3737</v>
      </c>
      <c r="D218" s="26">
        <v>2251.6691099999998</v>
      </c>
      <c r="E218" s="26" t="s">
        <v>3629</v>
      </c>
      <c r="G218" s="30"/>
      <c r="H218" s="30"/>
      <c r="I218" s="30"/>
    </row>
    <row r="219" spans="2:9" x14ac:dyDescent="0.2">
      <c r="B219" s="105" t="s">
        <v>1145</v>
      </c>
      <c r="C219" s="30" t="s">
        <v>3738</v>
      </c>
      <c r="D219" s="30">
        <v>16452.8478</v>
      </c>
      <c r="E219" s="26" t="s">
        <v>3629</v>
      </c>
      <c r="G219" s="30"/>
      <c r="I219" s="30"/>
    </row>
    <row r="220" spans="2:9" x14ac:dyDescent="0.2">
      <c r="B220" s="105" t="s">
        <v>627</v>
      </c>
      <c r="C220" s="26" t="s">
        <v>3739</v>
      </c>
      <c r="D220" s="26">
        <v>664.55276000000003</v>
      </c>
      <c r="E220" s="26" t="s">
        <v>3629</v>
      </c>
      <c r="F220" s="47" t="s">
        <v>129</v>
      </c>
      <c r="G220" s="30"/>
      <c r="I220" s="30"/>
    </row>
    <row r="221" spans="2:9" x14ac:dyDescent="0.2">
      <c r="B221" s="105" t="s">
        <v>1116</v>
      </c>
      <c r="C221" s="26" t="s">
        <v>3740</v>
      </c>
      <c r="D221" s="26">
        <v>54452.740899999997</v>
      </c>
      <c r="E221" s="26" t="s">
        <v>3629</v>
      </c>
      <c r="G221" s="30"/>
    </row>
    <row r="222" spans="2:9" x14ac:dyDescent="0.2">
      <c r="B222" s="105" t="s">
        <v>102</v>
      </c>
      <c r="C222" s="26" t="s">
        <v>3741</v>
      </c>
      <c r="D222" s="26">
        <v>3581.55393</v>
      </c>
      <c r="E222" s="26" t="s">
        <v>3629</v>
      </c>
      <c r="G222" s="30"/>
    </row>
    <row r="223" spans="2:9" x14ac:dyDescent="0.2">
      <c r="B223" s="105" t="s">
        <v>115</v>
      </c>
      <c r="C223" s="26" t="s">
        <v>3742</v>
      </c>
      <c r="D223" s="26">
        <v>12795.2703</v>
      </c>
      <c r="E223" s="26" t="s">
        <v>3629</v>
      </c>
      <c r="G223" s="30"/>
    </row>
    <row r="224" spans="2:9" x14ac:dyDescent="0.2">
      <c r="B224" s="55" t="s">
        <v>3463</v>
      </c>
      <c r="C224" s="26" t="s">
        <v>3743</v>
      </c>
      <c r="D224" s="30">
        <v>7710.6976299999988</v>
      </c>
      <c r="E224" s="30" t="s">
        <v>3629</v>
      </c>
      <c r="G224" s="30"/>
    </row>
    <row r="225" spans="2:7" x14ac:dyDescent="0.2">
      <c r="B225" s="55" t="s">
        <v>3379</v>
      </c>
      <c r="C225" s="26" t="s">
        <v>3744</v>
      </c>
      <c r="D225" s="26">
        <v>20505.9679</v>
      </c>
      <c r="E225" s="26" t="s">
        <v>3629</v>
      </c>
      <c r="G225" s="30"/>
    </row>
    <row r="226" spans="2:7" x14ac:dyDescent="0.2">
      <c r="B226" s="55" t="s">
        <v>3379</v>
      </c>
      <c r="C226" s="30" t="s">
        <v>3744</v>
      </c>
      <c r="D226" s="30">
        <v>20505.9679</v>
      </c>
      <c r="E226" s="30" t="s">
        <v>3629</v>
      </c>
      <c r="G226" s="30"/>
    </row>
    <row r="227" spans="2:7" x14ac:dyDescent="0.2">
      <c r="B227" s="55" t="s">
        <v>618</v>
      </c>
      <c r="C227" s="26" t="s">
        <v>3745</v>
      </c>
      <c r="D227" s="26">
        <v>6496.0316199999997</v>
      </c>
      <c r="E227" s="26" t="s">
        <v>3629</v>
      </c>
      <c r="G227" s="30"/>
    </row>
    <row r="228" spans="2:7" x14ac:dyDescent="0.2">
      <c r="B228" s="55" t="s">
        <v>1147</v>
      </c>
      <c r="C228" s="26" t="s">
        <v>3746</v>
      </c>
      <c r="D228" s="26">
        <v>5571.7362199999998</v>
      </c>
      <c r="E228" s="26" t="s">
        <v>3629</v>
      </c>
      <c r="F228" s="47" t="s">
        <v>129</v>
      </c>
      <c r="G228" s="30"/>
    </row>
    <row r="229" spans="2:7" x14ac:dyDescent="0.2">
      <c r="B229" s="55" t="s">
        <v>629</v>
      </c>
      <c r="C229" s="26" t="s">
        <v>3747</v>
      </c>
      <c r="D229" s="26">
        <v>50697.019399999997</v>
      </c>
      <c r="E229" s="26" t="s">
        <v>3629</v>
      </c>
      <c r="F229" s="26" t="s">
        <v>129</v>
      </c>
      <c r="G229" s="30"/>
    </row>
    <row r="230" spans="2:7" x14ac:dyDescent="0.2">
      <c r="B230" s="55" t="s">
        <v>1118</v>
      </c>
      <c r="C230" s="30" t="s">
        <v>3748</v>
      </c>
      <c r="D230" s="26">
        <v>50697.019399999997</v>
      </c>
      <c r="E230" s="26" t="s">
        <v>3629</v>
      </c>
    </row>
    <row r="231" spans="2:7" x14ac:dyDescent="0.2">
      <c r="B231" s="55" t="s">
        <v>684</v>
      </c>
      <c r="C231" s="26" t="s">
        <v>722</v>
      </c>
      <c r="D231" s="26">
        <v>54452.740899999997</v>
      </c>
      <c r="E231" s="26" t="s">
        <v>3629</v>
      </c>
      <c r="F231" s="47" t="s">
        <v>129</v>
      </c>
    </row>
    <row r="232" spans="2:7" x14ac:dyDescent="0.2">
      <c r="B232" s="55" t="s">
        <v>104</v>
      </c>
      <c r="C232" s="26" t="s">
        <v>722</v>
      </c>
      <c r="D232" s="26">
        <v>54452.740899999997</v>
      </c>
      <c r="E232" s="26" t="s">
        <v>3629</v>
      </c>
      <c r="F232" s="47" t="s">
        <v>129</v>
      </c>
    </row>
    <row r="233" spans="2:7" x14ac:dyDescent="0.2">
      <c r="B233" s="55" t="s">
        <v>117</v>
      </c>
      <c r="C233" s="26" t="s">
        <v>722</v>
      </c>
      <c r="D233" s="26">
        <v>54452.740899999997</v>
      </c>
      <c r="E233" s="26" t="s">
        <v>3629</v>
      </c>
      <c r="F233" s="47" t="s">
        <v>129</v>
      </c>
    </row>
    <row r="234" spans="2:7" x14ac:dyDescent="0.2">
      <c r="B234" s="55" t="s">
        <v>3464</v>
      </c>
      <c r="C234" s="26" t="s">
        <v>3749</v>
      </c>
      <c r="D234" s="26">
        <v>2584.0727900000002</v>
      </c>
      <c r="E234" s="26" t="s">
        <v>3629</v>
      </c>
      <c r="F234" s="47" t="s">
        <v>129</v>
      </c>
    </row>
    <row r="235" spans="2:7" x14ac:dyDescent="0.2">
      <c r="B235" s="55" t="s">
        <v>3465</v>
      </c>
      <c r="C235" s="26" t="s">
        <v>3750</v>
      </c>
      <c r="D235" s="26">
        <v>145</v>
      </c>
      <c r="E235" s="26" t="s">
        <v>3629</v>
      </c>
    </row>
    <row r="236" spans="2:7" x14ac:dyDescent="0.2">
      <c r="B236" s="55" t="s">
        <v>3384</v>
      </c>
      <c r="C236" s="26" t="s">
        <v>1834</v>
      </c>
      <c r="D236" s="26">
        <v>154408.12400000001</v>
      </c>
      <c r="E236" s="26" t="s">
        <v>3629</v>
      </c>
      <c r="F236" s="47" t="s">
        <v>129</v>
      </c>
    </row>
    <row r="237" spans="2:7" x14ac:dyDescent="0.2">
      <c r="B237" s="55" t="s">
        <v>3384</v>
      </c>
      <c r="C237" s="26" t="s">
        <v>3751</v>
      </c>
      <c r="D237" s="26">
        <v>16453.773399999998</v>
      </c>
      <c r="E237" s="26" t="s">
        <v>3629</v>
      </c>
    </row>
    <row r="238" spans="2:7" x14ac:dyDescent="0.2">
      <c r="B238" s="55" t="s">
        <v>617</v>
      </c>
      <c r="C238" s="26" t="s">
        <v>3752</v>
      </c>
      <c r="D238" s="26">
        <v>127421.36100000002</v>
      </c>
      <c r="E238" s="26" t="s">
        <v>3629</v>
      </c>
      <c r="F238" s="47" t="s">
        <v>129</v>
      </c>
    </row>
    <row r="239" spans="2:7" x14ac:dyDescent="0.2">
      <c r="B239" s="55" t="s">
        <v>1146</v>
      </c>
      <c r="C239" s="26" t="s">
        <v>3753</v>
      </c>
      <c r="D239" s="26">
        <v>264759.58100000001</v>
      </c>
      <c r="E239" s="26" t="s">
        <v>3629</v>
      </c>
      <c r="F239" s="47" t="s">
        <v>129</v>
      </c>
    </row>
    <row r="240" spans="2:7" x14ac:dyDescent="0.2">
      <c r="B240" s="55" t="s">
        <v>628</v>
      </c>
      <c r="C240" s="26" t="s">
        <v>3754</v>
      </c>
      <c r="D240" s="26">
        <v>10969182.199999999</v>
      </c>
      <c r="E240" s="26" t="s">
        <v>3629</v>
      </c>
    </row>
    <row r="241" spans="2:6" x14ac:dyDescent="0.2">
      <c r="B241" s="55" t="s">
        <v>1117</v>
      </c>
      <c r="C241" s="26" t="s">
        <v>3755</v>
      </c>
      <c r="D241" s="26">
        <v>11106520.5</v>
      </c>
      <c r="E241" s="26" t="s">
        <v>3629</v>
      </c>
    </row>
    <row r="242" spans="2:6" x14ac:dyDescent="0.2">
      <c r="B242" s="55" t="s">
        <v>691</v>
      </c>
      <c r="C242" s="26" t="s">
        <v>3934</v>
      </c>
      <c r="D242" s="30">
        <v>0</v>
      </c>
      <c r="E242" s="26" t="s">
        <v>3629</v>
      </c>
      <c r="F242" s="47" t="s">
        <v>129</v>
      </c>
    </row>
    <row r="243" spans="2:6" x14ac:dyDescent="0.2">
      <c r="B243" s="55" t="s">
        <v>103</v>
      </c>
      <c r="C243" s="26" t="s">
        <v>3928</v>
      </c>
      <c r="D243" s="26">
        <v>0</v>
      </c>
      <c r="E243" s="26" t="s">
        <v>3629</v>
      </c>
      <c r="F243" s="30" t="s">
        <v>129</v>
      </c>
    </row>
    <row r="244" spans="2:6" x14ac:dyDescent="0.2">
      <c r="B244" s="55" t="s">
        <v>116</v>
      </c>
      <c r="C244" s="26" t="s">
        <v>3940</v>
      </c>
      <c r="D244" s="26">
        <v>0</v>
      </c>
      <c r="E244" s="26" t="s">
        <v>3629</v>
      </c>
      <c r="F244" s="47" t="s">
        <v>129</v>
      </c>
    </row>
    <row r="245" spans="2:6" x14ac:dyDescent="0.2">
      <c r="B245" s="55" t="s">
        <v>1795</v>
      </c>
      <c r="C245" s="26" t="s">
        <v>3949</v>
      </c>
      <c r="D245" s="26">
        <v>281.53693700000002</v>
      </c>
      <c r="E245" s="26" t="s">
        <v>3629</v>
      </c>
      <c r="F245" s="26" t="s">
        <v>129</v>
      </c>
    </row>
    <row r="246" spans="2:6" x14ac:dyDescent="0.2">
      <c r="B246" s="55" t="s">
        <v>1800</v>
      </c>
      <c r="C246" s="26" t="s">
        <v>3923</v>
      </c>
      <c r="D246" s="26">
        <v>0</v>
      </c>
      <c r="E246" s="26" t="s">
        <v>3629</v>
      </c>
      <c r="F246" s="30" t="s">
        <v>129</v>
      </c>
    </row>
    <row r="247" spans="2:6" x14ac:dyDescent="0.2">
      <c r="B247" s="55" t="s">
        <v>1800</v>
      </c>
      <c r="C247" s="26" t="s">
        <v>608</v>
      </c>
      <c r="D247" s="26">
        <v>1841.6666700000001</v>
      </c>
      <c r="E247" s="26" t="s">
        <v>3629</v>
      </c>
    </row>
    <row r="248" spans="2:6" x14ac:dyDescent="0.2">
      <c r="B248" s="55" t="s">
        <v>1807</v>
      </c>
      <c r="C248" s="26" t="s">
        <v>1822</v>
      </c>
      <c r="D248" s="26">
        <v>3.1179772799999999E-5</v>
      </c>
      <c r="E248" s="26" t="s">
        <v>3629</v>
      </c>
      <c r="F248" s="47" t="s">
        <v>129</v>
      </c>
    </row>
    <row r="249" spans="2:6" x14ac:dyDescent="0.2">
      <c r="B249" s="55" t="s">
        <v>1823</v>
      </c>
      <c r="C249" s="30" t="s">
        <v>3756</v>
      </c>
      <c r="D249" s="30">
        <v>369.26118000000002</v>
      </c>
      <c r="E249" s="26" t="s">
        <v>3629</v>
      </c>
      <c r="F249" s="47" t="s">
        <v>129</v>
      </c>
    </row>
    <row r="250" spans="2:6" x14ac:dyDescent="0.2">
      <c r="B250" s="55" t="s">
        <v>3348</v>
      </c>
      <c r="C250" s="26" t="s">
        <v>1818</v>
      </c>
      <c r="D250" s="26">
        <v>0</v>
      </c>
      <c r="E250" s="26" t="s">
        <v>3629</v>
      </c>
    </row>
    <row r="251" spans="2:6" x14ac:dyDescent="0.2">
      <c r="B251" s="55" t="s">
        <v>1815</v>
      </c>
      <c r="C251" s="30" t="s">
        <v>3428</v>
      </c>
      <c r="D251" s="30">
        <v>1.03264421</v>
      </c>
      <c r="E251" s="26" t="s">
        <v>3629</v>
      </c>
    </row>
    <row r="252" spans="2:6" x14ac:dyDescent="0.2">
      <c r="B252" s="55" t="s">
        <v>1102</v>
      </c>
      <c r="C252" s="26" t="s">
        <v>3757</v>
      </c>
      <c r="D252" s="26">
        <v>56.2844184</v>
      </c>
      <c r="E252" s="26" t="s">
        <v>3629</v>
      </c>
      <c r="F252" s="47" t="s">
        <v>129</v>
      </c>
    </row>
    <row r="253" spans="2:6" x14ac:dyDescent="0.2">
      <c r="B253" s="55" t="s">
        <v>1101</v>
      </c>
      <c r="C253" s="26" t="s">
        <v>3758</v>
      </c>
      <c r="D253" s="26">
        <v>41.744159099999997</v>
      </c>
      <c r="E253" s="26" t="s">
        <v>3629</v>
      </c>
    </row>
    <row r="254" spans="2:6" x14ac:dyDescent="0.2">
      <c r="B254" s="55" t="s">
        <v>1798</v>
      </c>
      <c r="C254" s="30" t="s">
        <v>3759</v>
      </c>
      <c r="D254" s="30">
        <v>234.495068</v>
      </c>
      <c r="E254" s="30" t="s">
        <v>3629</v>
      </c>
      <c r="F254" s="47" t="s">
        <v>129</v>
      </c>
    </row>
    <row r="255" spans="2:6" x14ac:dyDescent="0.2">
      <c r="B255" s="55" t="s">
        <v>2094</v>
      </c>
      <c r="C255" s="26" t="s">
        <v>3760</v>
      </c>
      <c r="D255" s="26">
        <v>40.711514899999997</v>
      </c>
      <c r="E255" s="26" t="s">
        <v>3629</v>
      </c>
    </row>
    <row r="256" spans="2:6" x14ac:dyDescent="0.2">
      <c r="B256" s="55" t="s">
        <v>2615</v>
      </c>
      <c r="C256" s="26" t="s">
        <v>1828</v>
      </c>
      <c r="D256" s="26">
        <v>0</v>
      </c>
      <c r="E256" s="26" t="s">
        <v>3629</v>
      </c>
    </row>
    <row r="257" spans="2:6" x14ac:dyDescent="0.2">
      <c r="B257" s="55" t="s">
        <v>2610</v>
      </c>
      <c r="C257" s="26" t="s">
        <v>3426</v>
      </c>
      <c r="D257" s="26">
        <v>656.53795400000001</v>
      </c>
      <c r="E257" s="26" t="s">
        <v>3629</v>
      </c>
    </row>
    <row r="258" spans="2:6" x14ac:dyDescent="0.2">
      <c r="B258" s="55" t="s">
        <v>2621</v>
      </c>
      <c r="C258" s="26" t="s">
        <v>616</v>
      </c>
      <c r="D258" s="26">
        <v>65.6537936</v>
      </c>
      <c r="E258" s="26" t="s">
        <v>3629</v>
      </c>
    </row>
    <row r="259" spans="2:6" x14ac:dyDescent="0.2">
      <c r="B259" s="55" t="s">
        <v>1830</v>
      </c>
      <c r="C259" s="26" t="s">
        <v>1145</v>
      </c>
      <c r="D259" s="26">
        <v>656.53795400000001</v>
      </c>
      <c r="E259" s="26" t="s">
        <v>3629</v>
      </c>
    </row>
    <row r="260" spans="2:6" x14ac:dyDescent="0.2">
      <c r="B260" s="55" t="s">
        <v>2617</v>
      </c>
      <c r="C260" s="26" t="s">
        <v>627</v>
      </c>
      <c r="D260" s="26">
        <v>0</v>
      </c>
      <c r="E260" s="26" t="s">
        <v>3629</v>
      </c>
      <c r="F260" s="47" t="s">
        <v>129</v>
      </c>
    </row>
    <row r="261" spans="2:6" x14ac:dyDescent="0.2">
      <c r="B261" s="55" t="s">
        <v>2612</v>
      </c>
      <c r="C261" s="30" t="s">
        <v>3761</v>
      </c>
      <c r="D261" s="30">
        <v>656.53795400000001</v>
      </c>
      <c r="E261" s="30" t="s">
        <v>3629</v>
      </c>
    </row>
    <row r="262" spans="2:6" x14ac:dyDescent="0.2">
      <c r="B262" s="55" t="s">
        <v>2623</v>
      </c>
      <c r="C262" s="26" t="s">
        <v>3762</v>
      </c>
      <c r="D262" s="26">
        <v>0</v>
      </c>
      <c r="E262" s="26" t="s">
        <v>3629</v>
      </c>
    </row>
    <row r="263" spans="2:6" x14ac:dyDescent="0.2">
      <c r="B263" s="55" t="s">
        <v>1811</v>
      </c>
      <c r="C263" s="26" t="s">
        <v>3763</v>
      </c>
      <c r="D263" s="26">
        <v>0</v>
      </c>
      <c r="E263" s="26" t="s">
        <v>3629</v>
      </c>
      <c r="F263" s="26"/>
    </row>
    <row r="264" spans="2:6" x14ac:dyDescent="0.2">
      <c r="B264" s="55" t="s">
        <v>1827</v>
      </c>
      <c r="C264" s="26" t="s">
        <v>3379</v>
      </c>
      <c r="D264" s="26">
        <v>494.93998199999999</v>
      </c>
      <c r="E264" s="26" t="s">
        <v>3629</v>
      </c>
      <c r="F264" s="47" t="s">
        <v>129</v>
      </c>
    </row>
    <row r="265" spans="2:6" x14ac:dyDescent="0.2">
      <c r="B265" s="55" t="s">
        <v>1797</v>
      </c>
      <c r="C265" s="26" t="s">
        <v>3379</v>
      </c>
      <c r="D265" s="26">
        <v>494.93998199999999</v>
      </c>
      <c r="E265" s="26" t="s">
        <v>3629</v>
      </c>
    </row>
    <row r="266" spans="2:6" x14ac:dyDescent="0.2">
      <c r="B266" s="55" t="s">
        <v>1802</v>
      </c>
      <c r="C266" s="26" t="s">
        <v>3764</v>
      </c>
      <c r="D266" s="26">
        <v>494.93998199999999</v>
      </c>
      <c r="E266" s="26" t="s">
        <v>3629</v>
      </c>
    </row>
    <row r="267" spans="2:6" x14ac:dyDescent="0.2">
      <c r="B267" s="55" t="s">
        <v>1805</v>
      </c>
      <c r="C267" s="26" t="s">
        <v>618</v>
      </c>
      <c r="D267" s="26">
        <v>49.4939982</v>
      </c>
      <c r="E267" s="26" t="s">
        <v>3629</v>
      </c>
    </row>
    <row r="268" spans="2:6" x14ac:dyDescent="0.2">
      <c r="B268" s="55" t="s">
        <v>1809</v>
      </c>
      <c r="C268" s="26" t="s">
        <v>1147</v>
      </c>
      <c r="D268" s="26">
        <v>494.93998199999999</v>
      </c>
      <c r="E268" s="26" t="s">
        <v>3629</v>
      </c>
      <c r="F268" s="47" t="s">
        <v>129</v>
      </c>
    </row>
    <row r="269" spans="2:6" x14ac:dyDescent="0.2">
      <c r="B269" s="55" t="s">
        <v>1825</v>
      </c>
      <c r="C269" s="30" t="s">
        <v>629</v>
      </c>
      <c r="D269" s="26">
        <v>0</v>
      </c>
      <c r="E269" s="26" t="s">
        <v>3629</v>
      </c>
      <c r="F269" s="47" t="s">
        <v>129</v>
      </c>
    </row>
    <row r="270" spans="2:6" x14ac:dyDescent="0.2">
      <c r="B270" s="105" t="s">
        <v>3430</v>
      </c>
      <c r="C270" s="26" t="s">
        <v>3769</v>
      </c>
      <c r="D270" s="26">
        <v>487.763351</v>
      </c>
      <c r="E270" s="26" t="s">
        <v>3629</v>
      </c>
      <c r="F270" s="47" t="s">
        <v>129</v>
      </c>
    </row>
    <row r="271" spans="2:6" x14ac:dyDescent="0.2">
      <c r="B271" s="105" t="s">
        <v>3431</v>
      </c>
      <c r="C271" s="26" t="s">
        <v>3765</v>
      </c>
      <c r="D271" s="26">
        <v>494.93998199999999</v>
      </c>
      <c r="E271" s="26" t="s">
        <v>3629</v>
      </c>
      <c r="F271" s="47" t="s">
        <v>129</v>
      </c>
    </row>
    <row r="272" spans="2:6" x14ac:dyDescent="0.2">
      <c r="B272" s="105" t="s">
        <v>3432</v>
      </c>
      <c r="C272" s="26" t="s">
        <v>3766</v>
      </c>
      <c r="D272" s="26">
        <v>0</v>
      </c>
      <c r="E272" s="26" t="s">
        <v>3629</v>
      </c>
      <c r="F272" s="47" t="s">
        <v>129</v>
      </c>
    </row>
    <row r="273" spans="2:6" x14ac:dyDescent="0.2">
      <c r="B273" s="55" t="s">
        <v>3433</v>
      </c>
      <c r="C273" s="26" t="s">
        <v>3767</v>
      </c>
      <c r="D273" s="26">
        <v>0</v>
      </c>
      <c r="E273" s="26" t="s">
        <v>3629</v>
      </c>
    </row>
    <row r="274" spans="2:6" x14ac:dyDescent="0.2">
      <c r="B274" s="105" t="s">
        <v>3434</v>
      </c>
      <c r="C274" s="30" t="s">
        <v>3768</v>
      </c>
      <c r="D274" s="26">
        <v>0</v>
      </c>
      <c r="E274" s="26" t="s">
        <v>3629</v>
      </c>
    </row>
    <row r="275" spans="2:6" x14ac:dyDescent="0.2">
      <c r="B275" s="105" t="s">
        <v>3435</v>
      </c>
      <c r="C275" s="26" t="s">
        <v>3384</v>
      </c>
      <c r="D275" s="26">
        <v>11.998581100000001</v>
      </c>
      <c r="E275" s="26" t="s">
        <v>3629</v>
      </c>
    </row>
    <row r="276" spans="2:6" x14ac:dyDescent="0.2">
      <c r="B276" s="105" t="s">
        <v>3436</v>
      </c>
      <c r="C276" s="26" t="s">
        <v>3384</v>
      </c>
      <c r="D276" s="26">
        <v>11.998581100000001</v>
      </c>
      <c r="E276" s="26" t="s">
        <v>3629</v>
      </c>
      <c r="F276" s="47" t="s">
        <v>129</v>
      </c>
    </row>
    <row r="277" spans="2:6" x14ac:dyDescent="0.2">
      <c r="B277" s="55" t="s">
        <v>3437</v>
      </c>
      <c r="C277" s="26" t="s">
        <v>3770</v>
      </c>
      <c r="D277" s="26">
        <v>11.998581100000001</v>
      </c>
      <c r="E277" s="26" t="s">
        <v>3629</v>
      </c>
    </row>
    <row r="278" spans="2:6" x14ac:dyDescent="0.2">
      <c r="B278" s="55" t="s">
        <v>3438</v>
      </c>
      <c r="C278" s="26" t="s">
        <v>617</v>
      </c>
      <c r="D278" s="26">
        <v>1.1998581100000001</v>
      </c>
      <c r="E278" s="26" t="s">
        <v>3629</v>
      </c>
    </row>
    <row r="279" spans="2:6" x14ac:dyDescent="0.2">
      <c r="B279" s="55" t="s">
        <v>1799</v>
      </c>
      <c r="C279" s="26" t="s">
        <v>1146</v>
      </c>
      <c r="D279" s="26">
        <v>11.998581100000001</v>
      </c>
      <c r="E279" s="26" t="s">
        <v>3629</v>
      </c>
    </row>
    <row r="280" spans="2:6" x14ac:dyDescent="0.2">
      <c r="B280" s="55" t="s">
        <v>1832</v>
      </c>
      <c r="C280" s="30" t="s">
        <v>628</v>
      </c>
      <c r="D280" s="26">
        <v>0</v>
      </c>
      <c r="E280" s="26" t="s">
        <v>3629</v>
      </c>
    </row>
    <row r="281" spans="2:6" x14ac:dyDescent="0.2">
      <c r="B281" s="55" t="s">
        <v>3155</v>
      </c>
      <c r="C281" s="26" t="s">
        <v>3771</v>
      </c>
      <c r="D281" s="26">
        <v>11.998581100000001</v>
      </c>
      <c r="E281" s="26" t="s">
        <v>3629</v>
      </c>
    </row>
    <row r="282" spans="2:6" x14ac:dyDescent="0.2">
      <c r="B282" s="55" t="s">
        <v>1820</v>
      </c>
      <c r="C282" s="26" t="s">
        <v>3772</v>
      </c>
      <c r="D282" s="26">
        <v>0</v>
      </c>
      <c r="E282" s="26" t="s">
        <v>3629</v>
      </c>
    </row>
    <row r="283" spans="2:6" x14ac:dyDescent="0.2">
      <c r="B283" s="55" t="s">
        <v>3461</v>
      </c>
      <c r="C283" s="26" t="s">
        <v>3773</v>
      </c>
      <c r="D283" s="26">
        <v>0</v>
      </c>
      <c r="E283" s="26" t="s">
        <v>3629</v>
      </c>
    </row>
    <row r="284" spans="2:6" x14ac:dyDescent="0.2">
      <c r="B284" s="105" t="s">
        <v>3383</v>
      </c>
      <c r="C284" s="26" t="s">
        <v>3774</v>
      </c>
      <c r="D284" s="26">
        <v>0</v>
      </c>
      <c r="E284" s="26" t="s">
        <v>3629</v>
      </c>
    </row>
    <row r="285" spans="2:6" x14ac:dyDescent="0.2">
      <c r="B285" s="55" t="s">
        <v>3383</v>
      </c>
      <c r="C285" s="26" t="s">
        <v>1795</v>
      </c>
      <c r="D285" s="26">
        <v>23337.183199999999</v>
      </c>
      <c r="E285" s="26" t="s">
        <v>3629</v>
      </c>
    </row>
    <row r="286" spans="2:6" x14ac:dyDescent="0.2">
      <c r="B286" s="105" t="s">
        <v>619</v>
      </c>
      <c r="C286" s="26" t="s">
        <v>1795</v>
      </c>
      <c r="D286" s="26">
        <v>23337.183199999999</v>
      </c>
      <c r="E286" s="26" t="s">
        <v>3629</v>
      </c>
    </row>
    <row r="287" spans="2:6" x14ac:dyDescent="0.2">
      <c r="B287" s="105" t="s">
        <v>1148</v>
      </c>
      <c r="C287" s="26" t="s">
        <v>1800</v>
      </c>
      <c r="D287" s="26">
        <v>1166.85886</v>
      </c>
      <c r="E287" s="26" t="s">
        <v>3629</v>
      </c>
      <c r="F287" s="26" t="s">
        <v>129</v>
      </c>
    </row>
    <row r="288" spans="2:6" x14ac:dyDescent="0.2">
      <c r="B288" s="105" t="s">
        <v>630</v>
      </c>
      <c r="C288" s="26" t="s">
        <v>1800</v>
      </c>
      <c r="D288" s="26">
        <v>1166.85886</v>
      </c>
      <c r="E288" s="26" t="s">
        <v>3629</v>
      </c>
      <c r="F288" s="47" t="s">
        <v>129</v>
      </c>
    </row>
    <row r="289" spans="2:6" x14ac:dyDescent="0.2">
      <c r="B289" s="105" t="s">
        <v>1119</v>
      </c>
      <c r="C289" s="26" t="s">
        <v>1800</v>
      </c>
      <c r="D289" s="26">
        <v>1166.85886</v>
      </c>
      <c r="E289" s="26" t="s">
        <v>3629</v>
      </c>
    </row>
    <row r="290" spans="2:6" x14ac:dyDescent="0.2">
      <c r="B290" s="55" t="s">
        <v>692</v>
      </c>
      <c r="C290" s="26" t="s">
        <v>3935</v>
      </c>
      <c r="D290" s="26">
        <v>0.17471318499999999</v>
      </c>
      <c r="E290" s="26" t="s">
        <v>3629</v>
      </c>
      <c r="F290" s="47" t="s">
        <v>129</v>
      </c>
    </row>
    <row r="291" spans="2:6" x14ac:dyDescent="0.2">
      <c r="B291" s="105" t="s">
        <v>105</v>
      </c>
      <c r="C291" s="26" t="s">
        <v>1807</v>
      </c>
      <c r="D291" s="26">
        <v>37.165002100000002</v>
      </c>
      <c r="E291" s="26" t="s">
        <v>3629</v>
      </c>
      <c r="F291" s="47" t="s">
        <v>129</v>
      </c>
    </row>
    <row r="292" spans="2:6" x14ac:dyDescent="0.2">
      <c r="B292" s="105" t="s">
        <v>118</v>
      </c>
      <c r="C292" s="26" t="s">
        <v>3943</v>
      </c>
      <c r="D292" s="26">
        <v>167732.36199999999</v>
      </c>
      <c r="E292" s="26" t="s">
        <v>3629</v>
      </c>
      <c r="F292" s="30" t="s">
        <v>129</v>
      </c>
    </row>
    <row r="293" spans="2:6" x14ac:dyDescent="0.2">
      <c r="B293" s="55" t="s">
        <v>3451</v>
      </c>
      <c r="C293" s="30" t="s">
        <v>1823</v>
      </c>
      <c r="D293" s="30">
        <v>223981.31299999999</v>
      </c>
      <c r="E293" s="26" t="s">
        <v>3629</v>
      </c>
      <c r="F293" s="47" t="s">
        <v>129</v>
      </c>
    </row>
    <row r="294" spans="2:6" x14ac:dyDescent="0.2">
      <c r="B294" s="55" t="s">
        <v>3377</v>
      </c>
      <c r="C294" s="26" t="s">
        <v>1823</v>
      </c>
      <c r="D294" s="26">
        <v>223981.31299999999</v>
      </c>
      <c r="E294" s="26" t="s">
        <v>3629</v>
      </c>
    </row>
    <row r="295" spans="2:6" x14ac:dyDescent="0.2">
      <c r="B295" s="55" t="s">
        <v>3377</v>
      </c>
      <c r="C295" s="26" t="s">
        <v>3348</v>
      </c>
      <c r="D295" s="26">
        <v>2251.5064299999999</v>
      </c>
      <c r="E295" s="26" t="s">
        <v>3629</v>
      </c>
    </row>
    <row r="296" spans="2:6" x14ac:dyDescent="0.2">
      <c r="B296" s="55" t="s">
        <v>620</v>
      </c>
      <c r="C296" s="26" t="s">
        <v>1815</v>
      </c>
      <c r="D296" s="30">
        <v>0.20043116699999999</v>
      </c>
      <c r="E296" s="30" t="s">
        <v>3629</v>
      </c>
      <c r="F296" s="47" t="s">
        <v>129</v>
      </c>
    </row>
    <row r="297" spans="2:6" x14ac:dyDescent="0.2">
      <c r="B297" s="55" t="s">
        <v>1149</v>
      </c>
      <c r="C297" s="26" t="s">
        <v>3775</v>
      </c>
      <c r="D297" s="26">
        <v>0.10504991700000001</v>
      </c>
      <c r="E297" s="26" t="s">
        <v>3629</v>
      </c>
    </row>
    <row r="298" spans="2:6" x14ac:dyDescent="0.2">
      <c r="B298" s="55" t="s">
        <v>631</v>
      </c>
      <c r="C298" s="26" t="s">
        <v>3776</v>
      </c>
      <c r="D298" s="26">
        <v>1050.60419</v>
      </c>
      <c r="E298" s="26" t="s">
        <v>3629</v>
      </c>
    </row>
    <row r="299" spans="2:6" x14ac:dyDescent="0.2">
      <c r="B299" s="55" t="s">
        <v>1120</v>
      </c>
      <c r="C299" s="26" t="s">
        <v>1798</v>
      </c>
      <c r="D299" s="26">
        <v>0.20529159699999999</v>
      </c>
      <c r="E299" s="26" t="s">
        <v>3629</v>
      </c>
    </row>
    <row r="300" spans="2:6" x14ac:dyDescent="0.2">
      <c r="B300" s="55" t="s">
        <v>683</v>
      </c>
      <c r="C300" s="26" t="s">
        <v>3777</v>
      </c>
      <c r="D300" s="26">
        <v>1860.0163</v>
      </c>
      <c r="E300" s="26" t="s">
        <v>3629</v>
      </c>
      <c r="F300" s="47" t="s">
        <v>129</v>
      </c>
    </row>
    <row r="301" spans="2:6" x14ac:dyDescent="0.2">
      <c r="B301" s="55" t="s">
        <v>106</v>
      </c>
      <c r="C301" s="26" t="s">
        <v>3778</v>
      </c>
      <c r="D301" s="26">
        <v>1860.0163</v>
      </c>
      <c r="E301" s="26" t="s">
        <v>3629</v>
      </c>
    </row>
    <row r="302" spans="2:6" x14ac:dyDescent="0.2">
      <c r="B302" s="55" t="s">
        <v>119</v>
      </c>
      <c r="C302" s="26" t="s">
        <v>3779</v>
      </c>
      <c r="D302" s="26">
        <v>1860.0163</v>
      </c>
      <c r="E302" s="26" t="s">
        <v>3629</v>
      </c>
    </row>
    <row r="303" spans="2:6" x14ac:dyDescent="0.2">
      <c r="B303" s="55" t="s">
        <v>1817</v>
      </c>
      <c r="C303" s="26" t="s">
        <v>3780</v>
      </c>
      <c r="D303" s="26">
        <v>92.756127500000005</v>
      </c>
      <c r="E303" s="30" t="s">
        <v>3629</v>
      </c>
    </row>
    <row r="304" spans="2:6" x14ac:dyDescent="0.2">
      <c r="B304" s="55" t="s">
        <v>3449</v>
      </c>
      <c r="C304" s="26" t="s">
        <v>1830</v>
      </c>
      <c r="D304" s="30">
        <v>0</v>
      </c>
      <c r="E304" s="30" t="s">
        <v>3629</v>
      </c>
    </row>
    <row r="305" spans="2:6" x14ac:dyDescent="0.2">
      <c r="B305" s="55" t="s">
        <v>1868</v>
      </c>
      <c r="C305" s="26" t="s">
        <v>3781</v>
      </c>
      <c r="D305" s="26">
        <v>2481.5570400000001</v>
      </c>
      <c r="E305" s="26" t="s">
        <v>3629</v>
      </c>
    </row>
    <row r="306" spans="2:6" x14ac:dyDescent="0.2">
      <c r="B306" s="55" t="s">
        <v>598</v>
      </c>
      <c r="C306" s="26" t="s">
        <v>3782</v>
      </c>
      <c r="D306" s="26">
        <v>2481.5570400000001</v>
      </c>
      <c r="E306" s="26" t="s">
        <v>3629</v>
      </c>
    </row>
    <row r="307" spans="2:6" x14ac:dyDescent="0.2">
      <c r="B307" s="55" t="s">
        <v>2619</v>
      </c>
      <c r="C307" s="26" t="s">
        <v>3783</v>
      </c>
      <c r="D307" s="26">
        <v>0</v>
      </c>
      <c r="E307" s="26" t="s">
        <v>3629</v>
      </c>
    </row>
    <row r="308" spans="2:6" x14ac:dyDescent="0.2">
      <c r="B308" s="55" t="s">
        <v>2614</v>
      </c>
      <c r="C308" s="26" t="s">
        <v>3930</v>
      </c>
      <c r="D308" s="26">
        <v>0</v>
      </c>
      <c r="E308" s="26" t="s">
        <v>3629</v>
      </c>
      <c r="F308" s="47" t="s">
        <v>129</v>
      </c>
    </row>
    <row r="309" spans="2:6" x14ac:dyDescent="0.2">
      <c r="B309" s="55" t="s">
        <v>2969</v>
      </c>
      <c r="C309" s="26" t="s">
        <v>3924</v>
      </c>
      <c r="D309" s="26">
        <v>0</v>
      </c>
      <c r="E309" s="26" t="s">
        <v>3629</v>
      </c>
      <c r="F309" s="47" t="s">
        <v>129</v>
      </c>
    </row>
    <row r="310" spans="2:6" x14ac:dyDescent="0.2">
      <c r="B310" s="55" t="s">
        <v>2625</v>
      </c>
      <c r="C310" s="26" t="s">
        <v>3936</v>
      </c>
      <c r="D310" s="30">
        <v>0</v>
      </c>
      <c r="E310" s="26" t="s">
        <v>3629</v>
      </c>
      <c r="F310" s="47" t="s">
        <v>129</v>
      </c>
    </row>
    <row r="311" spans="2:6" x14ac:dyDescent="0.2">
      <c r="B311" s="55" t="s">
        <v>2138</v>
      </c>
      <c r="C311" s="26" t="s">
        <v>3944</v>
      </c>
      <c r="D311" s="26">
        <v>0</v>
      </c>
      <c r="E311" s="30" t="s">
        <v>3629</v>
      </c>
    </row>
    <row r="312" spans="2:6" x14ac:dyDescent="0.2">
      <c r="B312" s="55" t="s">
        <v>599</v>
      </c>
      <c r="C312" s="26" t="s">
        <v>3922</v>
      </c>
      <c r="D312" s="26">
        <v>0</v>
      </c>
      <c r="E312" s="26" t="s">
        <v>3629</v>
      </c>
    </row>
    <row r="313" spans="2:6" x14ac:dyDescent="0.2">
      <c r="B313" s="55" t="s">
        <v>597</v>
      </c>
      <c r="C313" s="26" t="s">
        <v>3931</v>
      </c>
      <c r="D313" s="26">
        <v>0</v>
      </c>
      <c r="E313" s="26" t="s">
        <v>3629</v>
      </c>
    </row>
    <row r="314" spans="2:6" x14ac:dyDescent="0.2">
      <c r="B314" s="55" t="s">
        <v>3450</v>
      </c>
      <c r="C314" s="26" t="s">
        <v>3925</v>
      </c>
      <c r="D314" s="26">
        <v>0</v>
      </c>
      <c r="E314" s="26" t="s">
        <v>3629</v>
      </c>
    </row>
    <row r="315" spans="2:6" x14ac:dyDescent="0.2">
      <c r="B315" s="55" t="s">
        <v>3443</v>
      </c>
      <c r="C315" s="30" t="s">
        <v>3937</v>
      </c>
      <c r="D315" s="26">
        <v>0</v>
      </c>
      <c r="E315" s="26" t="s">
        <v>3629</v>
      </c>
      <c r="F315" s="47" t="s">
        <v>129</v>
      </c>
    </row>
    <row r="316" spans="2:6" x14ac:dyDescent="0.2">
      <c r="B316" s="55" t="s">
        <v>1632</v>
      </c>
      <c r="C316" s="26" t="s">
        <v>1811</v>
      </c>
      <c r="D316" s="26">
        <v>35.663713700000002</v>
      </c>
      <c r="E316" s="26" t="s">
        <v>3629</v>
      </c>
      <c r="F316" s="47" t="s">
        <v>129</v>
      </c>
    </row>
    <row r="317" spans="2:6" x14ac:dyDescent="0.2">
      <c r="B317" s="55" t="s">
        <v>1633</v>
      </c>
      <c r="C317" s="26" t="s">
        <v>3945</v>
      </c>
      <c r="D317" s="26">
        <v>2.26671647</v>
      </c>
      <c r="E317" s="26" t="s">
        <v>3629</v>
      </c>
      <c r="F317" s="47" t="s">
        <v>129</v>
      </c>
    </row>
    <row r="318" spans="2:6" x14ac:dyDescent="0.2">
      <c r="B318" s="55" t="s">
        <v>1737</v>
      </c>
      <c r="C318" s="26" t="s">
        <v>1827</v>
      </c>
      <c r="D318" s="26">
        <v>62.054766999999991</v>
      </c>
      <c r="E318" s="26" t="s">
        <v>3629</v>
      </c>
    </row>
    <row r="319" spans="2:6" x14ac:dyDescent="0.2">
      <c r="B319" s="55" t="s">
        <v>3159</v>
      </c>
      <c r="C319" s="26" t="s">
        <v>1827</v>
      </c>
      <c r="D319" s="26">
        <v>62.054766999999991</v>
      </c>
      <c r="E319" s="26" t="s">
        <v>3629</v>
      </c>
    </row>
    <row r="320" spans="2:6" x14ac:dyDescent="0.2">
      <c r="B320" s="55" t="s">
        <v>1784</v>
      </c>
      <c r="C320" s="26" t="s">
        <v>1797</v>
      </c>
      <c r="D320" s="26">
        <v>5439.9560799999999</v>
      </c>
      <c r="E320" s="26" t="s">
        <v>3629</v>
      </c>
      <c r="F320" s="26" t="s">
        <v>129</v>
      </c>
    </row>
    <row r="321" spans="2:6" x14ac:dyDescent="0.2">
      <c r="B321" s="55" t="s">
        <v>1785</v>
      </c>
      <c r="C321" s="26" t="s">
        <v>1797</v>
      </c>
      <c r="D321" s="26">
        <v>5439.9560799999999</v>
      </c>
      <c r="E321" s="26" t="s">
        <v>3629</v>
      </c>
      <c r="F321" s="26" t="s">
        <v>129</v>
      </c>
    </row>
    <row r="322" spans="2:6" x14ac:dyDescent="0.2">
      <c r="B322" s="58" t="s">
        <v>531</v>
      </c>
      <c r="C322" s="26" t="s">
        <v>1802</v>
      </c>
      <c r="D322" s="26">
        <v>286.966454</v>
      </c>
      <c r="E322" s="26" t="s">
        <v>3629</v>
      </c>
    </row>
    <row r="323" spans="2:6" x14ac:dyDescent="0.2">
      <c r="B323" s="55" t="s">
        <v>210</v>
      </c>
      <c r="C323" s="26" t="s">
        <v>1802</v>
      </c>
      <c r="D323" s="26">
        <v>286.966454</v>
      </c>
      <c r="E323" s="26" t="s">
        <v>3629</v>
      </c>
      <c r="F323" s="47" t="s">
        <v>129</v>
      </c>
    </row>
    <row r="324" spans="2:6" x14ac:dyDescent="0.2">
      <c r="B324" s="55" t="s">
        <v>1786</v>
      </c>
      <c r="C324" s="30" t="s">
        <v>1805</v>
      </c>
      <c r="D324" s="30">
        <v>171.77323899999999</v>
      </c>
      <c r="E324" s="26" t="s">
        <v>3629</v>
      </c>
      <c r="F324" s="47" t="s">
        <v>129</v>
      </c>
    </row>
    <row r="325" spans="2:6" x14ac:dyDescent="0.2">
      <c r="B325" s="59" t="s">
        <v>532</v>
      </c>
      <c r="C325" s="26" t="s">
        <v>1805</v>
      </c>
      <c r="D325" s="26">
        <v>171.77323899999999</v>
      </c>
      <c r="E325" s="26" t="s">
        <v>3629</v>
      </c>
    </row>
    <row r="326" spans="2:6" x14ac:dyDescent="0.2">
      <c r="B326" s="55" t="s">
        <v>1787</v>
      </c>
      <c r="C326" s="26" t="s">
        <v>1809</v>
      </c>
      <c r="D326" s="26">
        <v>19.2490457</v>
      </c>
      <c r="E326" s="26" t="s">
        <v>3629</v>
      </c>
      <c r="F326" s="47" t="s">
        <v>129</v>
      </c>
    </row>
    <row r="327" spans="2:6" x14ac:dyDescent="0.2">
      <c r="B327" s="58" t="s">
        <v>534</v>
      </c>
      <c r="C327" s="30" t="s">
        <v>3942</v>
      </c>
      <c r="D327" s="30">
        <v>44637.570500000002</v>
      </c>
      <c r="E327" s="26" t="s">
        <v>3629</v>
      </c>
    </row>
    <row r="328" spans="2:6" x14ac:dyDescent="0.2">
      <c r="B328" s="58" t="s">
        <v>594</v>
      </c>
      <c r="C328" s="26" t="s">
        <v>1825</v>
      </c>
      <c r="D328" s="26">
        <v>11322.253000000001</v>
      </c>
      <c r="E328" s="26" t="s">
        <v>3629</v>
      </c>
    </row>
    <row r="329" spans="2:6" x14ac:dyDescent="0.2">
      <c r="B329" s="58" t="s">
        <v>292</v>
      </c>
      <c r="C329" s="26" t="s">
        <v>1825</v>
      </c>
      <c r="D329" s="26">
        <v>11322.253000000001</v>
      </c>
      <c r="E329" s="26" t="s">
        <v>3629</v>
      </c>
    </row>
    <row r="330" spans="2:6" x14ac:dyDescent="0.2">
      <c r="B330" s="59" t="s">
        <v>535</v>
      </c>
      <c r="C330" s="26" t="s">
        <v>1799</v>
      </c>
      <c r="D330" s="26">
        <v>1.4293185000000002E-2</v>
      </c>
      <c r="E330" s="26" t="s">
        <v>3629</v>
      </c>
    </row>
    <row r="331" spans="2:6" x14ac:dyDescent="0.2">
      <c r="B331" s="58" t="s">
        <v>291</v>
      </c>
      <c r="C331" s="26" t="s">
        <v>1799</v>
      </c>
      <c r="D331" s="26">
        <v>1.4293185000000002E-2</v>
      </c>
      <c r="E331" s="26" t="s">
        <v>3629</v>
      </c>
    </row>
    <row r="332" spans="2:6" x14ac:dyDescent="0.2">
      <c r="B332" s="58" t="s">
        <v>533</v>
      </c>
      <c r="C332" s="30" t="s">
        <v>3929</v>
      </c>
      <c r="D332" s="30">
        <v>4.2941120400000004E-4</v>
      </c>
      <c r="E332" s="30" t="s">
        <v>3629</v>
      </c>
    </row>
    <row r="333" spans="2:6" x14ac:dyDescent="0.2">
      <c r="B333" s="55" t="s">
        <v>1791</v>
      </c>
      <c r="C333" s="26" t="s">
        <v>3941</v>
      </c>
      <c r="D333" s="26">
        <v>1.3840079599999999E-4</v>
      </c>
      <c r="E333" s="26" t="s">
        <v>3629</v>
      </c>
    </row>
    <row r="334" spans="2:6" x14ac:dyDescent="0.2">
      <c r="B334" s="55" t="s">
        <v>1096</v>
      </c>
      <c r="C334" s="26" t="s">
        <v>3950</v>
      </c>
      <c r="D334" s="26">
        <v>0.14886369999999999</v>
      </c>
      <c r="E334" s="26" t="s">
        <v>3629</v>
      </c>
    </row>
    <row r="335" spans="2:6" x14ac:dyDescent="0.2">
      <c r="B335" s="55" t="s">
        <v>1788</v>
      </c>
      <c r="C335" s="26" t="s">
        <v>1832</v>
      </c>
      <c r="D335" s="26">
        <v>53.857702199999999</v>
      </c>
      <c r="E335" s="26" t="s">
        <v>3629</v>
      </c>
      <c r="F335" s="47" t="s">
        <v>129</v>
      </c>
    </row>
    <row r="336" spans="2:6" x14ac:dyDescent="0.2">
      <c r="B336" s="55" t="s">
        <v>1783</v>
      </c>
      <c r="C336" s="26" t="s">
        <v>1832</v>
      </c>
      <c r="D336" s="26">
        <v>53.857702199999999</v>
      </c>
      <c r="E336" s="26" t="s">
        <v>3629</v>
      </c>
    </row>
    <row r="337" spans="2:6" x14ac:dyDescent="0.2">
      <c r="B337" s="55" t="s">
        <v>1749</v>
      </c>
      <c r="C337" s="26" t="s">
        <v>3156</v>
      </c>
      <c r="D337" s="26">
        <v>641.66666699999996</v>
      </c>
      <c r="E337" s="26" t="s">
        <v>3629</v>
      </c>
    </row>
    <row r="338" spans="2:6" x14ac:dyDescent="0.2">
      <c r="B338" s="55" t="s">
        <v>3444</v>
      </c>
      <c r="C338" s="26" t="s">
        <v>1820</v>
      </c>
      <c r="D338" s="26">
        <v>0</v>
      </c>
      <c r="E338" s="26" t="s">
        <v>3629</v>
      </c>
    </row>
    <row r="339" spans="2:6" x14ac:dyDescent="0.2">
      <c r="B339" s="55" t="s">
        <v>3447</v>
      </c>
      <c r="C339" s="26" t="s">
        <v>3383</v>
      </c>
      <c r="D339" s="26">
        <v>390.55115499999999</v>
      </c>
      <c r="E339" s="26" t="s">
        <v>3629</v>
      </c>
    </row>
    <row r="340" spans="2:6" x14ac:dyDescent="0.2">
      <c r="B340" s="58" t="s">
        <v>600</v>
      </c>
      <c r="C340" s="26" t="s">
        <v>3383</v>
      </c>
      <c r="D340" s="26">
        <v>390.55115499999999</v>
      </c>
      <c r="E340" s="26" t="s">
        <v>3629</v>
      </c>
      <c r="F340" s="47" t="s">
        <v>129</v>
      </c>
    </row>
    <row r="341" spans="2:6" x14ac:dyDescent="0.2">
      <c r="B341" s="58" t="s">
        <v>1128</v>
      </c>
      <c r="C341" s="26" t="s">
        <v>3789</v>
      </c>
      <c r="D341" s="26">
        <v>390.55115499999999</v>
      </c>
      <c r="E341" s="26" t="s">
        <v>3629</v>
      </c>
    </row>
    <row r="342" spans="2:6" x14ac:dyDescent="0.2">
      <c r="B342" s="55" t="s">
        <v>3448</v>
      </c>
      <c r="C342" s="26" t="s">
        <v>619</v>
      </c>
      <c r="D342" s="26">
        <v>39.055115499999999</v>
      </c>
      <c r="E342" s="26" t="s">
        <v>3629</v>
      </c>
      <c r="F342" s="47" t="s">
        <v>129</v>
      </c>
    </row>
    <row r="343" spans="2:6" x14ac:dyDescent="0.2">
      <c r="B343" s="105" t="s">
        <v>551</v>
      </c>
      <c r="C343" s="26" t="s">
        <v>1148</v>
      </c>
      <c r="D343" s="26">
        <v>390.55115499999999</v>
      </c>
      <c r="E343" s="26" t="s">
        <v>3629</v>
      </c>
      <c r="F343" s="26" t="s">
        <v>129</v>
      </c>
    </row>
    <row r="344" spans="2:6" x14ac:dyDescent="0.2">
      <c r="B344" s="55" t="s">
        <v>542</v>
      </c>
      <c r="C344" s="26" t="s">
        <v>630</v>
      </c>
      <c r="D344" s="26">
        <v>0</v>
      </c>
      <c r="E344" s="26" t="s">
        <v>3629</v>
      </c>
    </row>
    <row r="345" spans="2:6" x14ac:dyDescent="0.2">
      <c r="B345" s="55" t="s">
        <v>1882</v>
      </c>
      <c r="C345" s="26" t="s">
        <v>3790</v>
      </c>
      <c r="D345" s="26">
        <v>390.55115499999999</v>
      </c>
      <c r="E345" s="26" t="s">
        <v>3629</v>
      </c>
    </row>
    <row r="346" spans="2:6" x14ac:dyDescent="0.2">
      <c r="B346" s="55" t="s">
        <v>2961</v>
      </c>
      <c r="C346" s="26" t="s">
        <v>3791</v>
      </c>
      <c r="D346" s="26">
        <v>0</v>
      </c>
      <c r="E346" s="26" t="s">
        <v>3629</v>
      </c>
      <c r="F346" s="47" t="s">
        <v>129</v>
      </c>
    </row>
    <row r="347" spans="2:6" x14ac:dyDescent="0.2">
      <c r="B347" s="55" t="s">
        <v>2185</v>
      </c>
      <c r="C347" s="26" t="s">
        <v>3792</v>
      </c>
      <c r="D347" s="26">
        <v>0</v>
      </c>
      <c r="E347" s="26" t="s">
        <v>3629</v>
      </c>
      <c r="F347" s="47" t="s">
        <v>129</v>
      </c>
    </row>
    <row r="348" spans="2:6" x14ac:dyDescent="0.2">
      <c r="B348" s="105" t="s">
        <v>547</v>
      </c>
      <c r="C348" s="26" t="s">
        <v>3793</v>
      </c>
      <c r="D348" s="26">
        <v>0</v>
      </c>
      <c r="E348" s="26" t="s">
        <v>3629</v>
      </c>
      <c r="F348" s="47" t="s">
        <v>129</v>
      </c>
    </row>
    <row r="349" spans="2:6" x14ac:dyDescent="0.2">
      <c r="B349" s="105" t="s">
        <v>549</v>
      </c>
      <c r="C349" s="26" t="s">
        <v>3377</v>
      </c>
      <c r="D349" s="26">
        <v>16476.314399999999</v>
      </c>
      <c r="E349" s="26" t="s">
        <v>3629</v>
      </c>
      <c r="F349" s="47" t="s">
        <v>129</v>
      </c>
    </row>
    <row r="350" spans="2:6" x14ac:dyDescent="0.2">
      <c r="B350" s="55" t="s">
        <v>1130</v>
      </c>
      <c r="C350" s="26" t="s">
        <v>3377</v>
      </c>
      <c r="D350" s="26">
        <v>16476.314399999999</v>
      </c>
      <c r="E350" s="26" t="s">
        <v>3629</v>
      </c>
      <c r="F350" s="26" t="s">
        <v>129</v>
      </c>
    </row>
    <row r="351" spans="2:6" x14ac:dyDescent="0.2">
      <c r="B351" s="59" t="s">
        <v>1107</v>
      </c>
      <c r="C351" s="26" t="s">
        <v>3794</v>
      </c>
      <c r="D351" s="26">
        <v>16476.314399999999</v>
      </c>
      <c r="E351" s="26" t="s">
        <v>3629</v>
      </c>
    </row>
    <row r="352" spans="2:6" x14ac:dyDescent="0.2">
      <c r="B352" s="55" t="s">
        <v>749</v>
      </c>
      <c r="C352" s="26" t="s">
        <v>620</v>
      </c>
      <c r="D352" s="30">
        <v>168.05840699999999</v>
      </c>
      <c r="E352" s="30" t="s">
        <v>3629</v>
      </c>
    </row>
    <row r="353" spans="2:6" x14ac:dyDescent="0.2">
      <c r="B353" s="55" t="s">
        <v>1136</v>
      </c>
      <c r="C353" s="26" t="s">
        <v>1149</v>
      </c>
      <c r="D353" s="26">
        <v>16476.314399999999</v>
      </c>
      <c r="E353" s="26" t="s">
        <v>3629</v>
      </c>
    </row>
    <row r="354" spans="2:6" x14ac:dyDescent="0.2">
      <c r="B354" s="55" t="s">
        <v>662</v>
      </c>
      <c r="C354" s="26" t="s">
        <v>631</v>
      </c>
      <c r="D354" s="26">
        <v>0</v>
      </c>
      <c r="E354" s="26" t="s">
        <v>3629</v>
      </c>
      <c r="F354" s="47" t="s">
        <v>129</v>
      </c>
    </row>
    <row r="355" spans="2:6" x14ac:dyDescent="0.2">
      <c r="B355" s="55" t="s">
        <v>2959</v>
      </c>
      <c r="C355" s="26" t="s">
        <v>3799</v>
      </c>
      <c r="D355" s="26">
        <v>16237.403</v>
      </c>
      <c r="E355" s="26" t="s">
        <v>3629</v>
      </c>
      <c r="F355" s="47" t="s">
        <v>129</v>
      </c>
    </row>
    <row r="356" spans="2:6" x14ac:dyDescent="0.2">
      <c r="B356" s="58" t="s">
        <v>1127</v>
      </c>
      <c r="C356" s="26" t="s">
        <v>3795</v>
      </c>
      <c r="D356" s="26">
        <v>16476.314399999999</v>
      </c>
      <c r="E356" s="26" t="s">
        <v>3629</v>
      </c>
      <c r="F356" s="47" t="s">
        <v>129</v>
      </c>
    </row>
    <row r="357" spans="2:6" x14ac:dyDescent="0.2">
      <c r="B357" s="55" t="s">
        <v>2618</v>
      </c>
      <c r="C357" s="26" t="s">
        <v>3796</v>
      </c>
      <c r="D357" s="26">
        <v>0</v>
      </c>
      <c r="E357" s="26" t="s">
        <v>3629</v>
      </c>
    </row>
    <row r="358" spans="2:6" x14ac:dyDescent="0.2">
      <c r="B358" s="55" t="s">
        <v>2613</v>
      </c>
      <c r="C358" s="26" t="s">
        <v>3797</v>
      </c>
      <c r="D358" s="26">
        <v>0</v>
      </c>
      <c r="E358" s="26" t="s">
        <v>3629</v>
      </c>
    </row>
    <row r="359" spans="2:6" x14ac:dyDescent="0.2">
      <c r="B359" s="55" t="s">
        <v>748</v>
      </c>
      <c r="C359" s="26" t="s">
        <v>3798</v>
      </c>
      <c r="D359" s="26">
        <v>0</v>
      </c>
      <c r="E359" s="26" t="s">
        <v>3629</v>
      </c>
    </row>
    <row r="360" spans="2:6" x14ac:dyDescent="0.2">
      <c r="B360" s="55" t="s">
        <v>2624</v>
      </c>
      <c r="C360" s="26" t="s">
        <v>1817</v>
      </c>
      <c r="D360" s="26">
        <v>0</v>
      </c>
      <c r="E360" s="26" t="s">
        <v>3629</v>
      </c>
      <c r="F360" s="26" t="s">
        <v>129</v>
      </c>
    </row>
    <row r="361" spans="2:6" x14ac:dyDescent="0.2">
      <c r="B361" s="55" t="s">
        <v>536</v>
      </c>
      <c r="C361" s="30" t="s">
        <v>3622</v>
      </c>
      <c r="D361" s="30">
        <v>26542.285199999998</v>
      </c>
      <c r="F361" s="47" t="s">
        <v>129</v>
      </c>
    </row>
    <row r="362" spans="2:6" x14ac:dyDescent="0.2">
      <c r="B362" s="55" t="s">
        <v>550</v>
      </c>
      <c r="C362" s="30" t="s">
        <v>2586</v>
      </c>
      <c r="D362" s="30">
        <v>640.705871</v>
      </c>
      <c r="E362" s="30"/>
    </row>
    <row r="363" spans="2:6" x14ac:dyDescent="0.2">
      <c r="B363" s="55" t="s">
        <v>1135</v>
      </c>
      <c r="C363" s="30" t="s">
        <v>3627</v>
      </c>
      <c r="D363" s="30">
        <v>1</v>
      </c>
    </row>
    <row r="364" spans="2:6" x14ac:dyDescent="0.2">
      <c r="B364" s="55" t="s">
        <v>1875</v>
      </c>
      <c r="C364" s="26" t="s">
        <v>1868</v>
      </c>
      <c r="D364" s="26">
        <v>0.78435814000000004</v>
      </c>
      <c r="E364" s="26" t="s">
        <v>3800</v>
      </c>
    </row>
    <row r="365" spans="2:6" x14ac:dyDescent="0.2">
      <c r="B365" s="55" t="s">
        <v>555</v>
      </c>
      <c r="C365" s="26" t="s">
        <v>598</v>
      </c>
      <c r="D365" s="26">
        <v>0.80259468300000003</v>
      </c>
      <c r="E365" s="26" t="s">
        <v>3800</v>
      </c>
      <c r="F365" s="47" t="s">
        <v>129</v>
      </c>
    </row>
    <row r="366" spans="2:6" x14ac:dyDescent="0.2">
      <c r="B366" s="55" t="s">
        <v>560</v>
      </c>
      <c r="C366" s="26" t="s">
        <v>3801</v>
      </c>
      <c r="D366" s="26">
        <v>0.99478721999999997</v>
      </c>
      <c r="E366" s="26" t="s">
        <v>3800</v>
      </c>
    </row>
    <row r="367" spans="2:6" x14ac:dyDescent="0.2">
      <c r="B367" s="55" t="s">
        <v>562</v>
      </c>
      <c r="C367" s="26" t="s">
        <v>3802</v>
      </c>
      <c r="D367" s="26">
        <v>1.0575667900000001</v>
      </c>
      <c r="E367" s="26" t="s">
        <v>3800</v>
      </c>
      <c r="F367" s="26" t="s">
        <v>129</v>
      </c>
    </row>
    <row r="368" spans="2:6" x14ac:dyDescent="0.2">
      <c r="B368" s="55" t="s">
        <v>567</v>
      </c>
      <c r="C368" s="26" t="s">
        <v>3807</v>
      </c>
      <c r="D368" s="26">
        <v>1.0650481300000001</v>
      </c>
      <c r="E368" s="26" t="s">
        <v>3800</v>
      </c>
      <c r="F368" s="47" t="s">
        <v>129</v>
      </c>
    </row>
    <row r="369" spans="2:6" x14ac:dyDescent="0.2">
      <c r="B369" s="55" t="s">
        <v>667</v>
      </c>
      <c r="C369" s="26" t="s">
        <v>3806</v>
      </c>
      <c r="D369" s="26">
        <v>1.2859428399999999</v>
      </c>
      <c r="E369" s="26" t="s">
        <v>3800</v>
      </c>
      <c r="F369" s="47" t="s">
        <v>129</v>
      </c>
    </row>
    <row r="370" spans="2:6" x14ac:dyDescent="0.2">
      <c r="B370" s="55" t="s">
        <v>665</v>
      </c>
      <c r="C370" s="26" t="s">
        <v>3803</v>
      </c>
      <c r="D370" s="26">
        <v>0.98560795800000001</v>
      </c>
      <c r="E370" s="26" t="s">
        <v>3800</v>
      </c>
      <c r="F370" s="47" t="s">
        <v>129</v>
      </c>
    </row>
    <row r="371" spans="2:6" x14ac:dyDescent="0.2">
      <c r="B371" s="55" t="s">
        <v>668</v>
      </c>
      <c r="C371" s="26" t="s">
        <v>3804</v>
      </c>
      <c r="D371" s="26">
        <v>0.983729195</v>
      </c>
      <c r="E371" s="26" t="s">
        <v>3800</v>
      </c>
    </row>
    <row r="372" spans="2:6" x14ac:dyDescent="0.2">
      <c r="B372" s="55" t="s">
        <v>666</v>
      </c>
      <c r="C372" s="26" t="s">
        <v>3805</v>
      </c>
      <c r="D372" s="26">
        <v>0.98300943200000002</v>
      </c>
      <c r="E372" s="26" t="s">
        <v>3800</v>
      </c>
    </row>
    <row r="373" spans="2:6" x14ac:dyDescent="0.2">
      <c r="B373" s="55" t="s">
        <v>664</v>
      </c>
      <c r="C373" s="26" t="s">
        <v>599</v>
      </c>
      <c r="D373" s="26">
        <v>0.80531012099999999</v>
      </c>
      <c r="E373" s="26" t="s">
        <v>3800</v>
      </c>
    </row>
    <row r="374" spans="2:6" x14ac:dyDescent="0.2">
      <c r="B374" s="55" t="s">
        <v>537</v>
      </c>
      <c r="C374" s="30" t="s">
        <v>597</v>
      </c>
      <c r="D374" s="30">
        <v>0.68559253899999995</v>
      </c>
      <c r="E374" s="26" t="s">
        <v>3800</v>
      </c>
      <c r="F374" s="30" t="s">
        <v>129</v>
      </c>
    </row>
    <row r="375" spans="2:6" x14ac:dyDescent="0.2">
      <c r="B375" s="58" t="s">
        <v>538</v>
      </c>
      <c r="C375" s="30" t="s">
        <v>2370</v>
      </c>
      <c r="D375" s="30">
        <v>83333.333299999998</v>
      </c>
      <c r="E375" s="30"/>
      <c r="F375" s="47" t="s">
        <v>129</v>
      </c>
    </row>
    <row r="376" spans="2:6" x14ac:dyDescent="0.2">
      <c r="B376" s="58" t="s">
        <v>539</v>
      </c>
      <c r="C376" s="26" t="s">
        <v>3585</v>
      </c>
      <c r="D376" s="26">
        <v>1.5</v>
      </c>
    </row>
    <row r="377" spans="2:6" x14ac:dyDescent="0.2">
      <c r="B377" s="55" t="s">
        <v>540</v>
      </c>
      <c r="C377" s="26" t="s">
        <v>3553</v>
      </c>
      <c r="D377" s="26">
        <v>0.95</v>
      </c>
    </row>
    <row r="378" spans="2:6" x14ac:dyDescent="0.2">
      <c r="B378" s="55" t="s">
        <v>541</v>
      </c>
      <c r="C378" s="26" t="s">
        <v>3554</v>
      </c>
      <c r="D378" s="26">
        <v>0.02</v>
      </c>
    </row>
    <row r="379" spans="2:6" x14ac:dyDescent="0.2">
      <c r="B379" s="55" t="s">
        <v>1630</v>
      </c>
      <c r="C379" s="26" t="s">
        <v>3555</v>
      </c>
      <c r="D379" s="26">
        <v>4.0000000000000001E-3</v>
      </c>
    </row>
    <row r="380" spans="2:6" x14ac:dyDescent="0.2">
      <c r="B380" s="55" t="s">
        <v>1637</v>
      </c>
      <c r="C380" s="26" t="s">
        <v>3556</v>
      </c>
      <c r="D380" s="26">
        <v>6.0000000000000001E-3</v>
      </c>
      <c r="F380" s="47" t="s">
        <v>129</v>
      </c>
    </row>
    <row r="381" spans="2:6" x14ac:dyDescent="0.2">
      <c r="B381" s="55" t="s">
        <v>543</v>
      </c>
      <c r="C381" s="26" t="s">
        <v>3557</v>
      </c>
      <c r="D381" s="26">
        <v>0</v>
      </c>
    </row>
    <row r="382" spans="2:6" x14ac:dyDescent="0.2">
      <c r="B382" s="55" t="s">
        <v>544</v>
      </c>
      <c r="C382" s="26" t="s">
        <v>3558</v>
      </c>
      <c r="D382" s="26">
        <v>0</v>
      </c>
    </row>
    <row r="383" spans="2:6" x14ac:dyDescent="0.2">
      <c r="B383" s="55" t="s">
        <v>545</v>
      </c>
      <c r="C383" s="26" t="s">
        <v>3559</v>
      </c>
      <c r="D383" s="26">
        <v>0.85</v>
      </c>
    </row>
    <row r="384" spans="2:6" x14ac:dyDescent="0.2">
      <c r="B384" s="55" t="s">
        <v>1629</v>
      </c>
      <c r="C384" s="26" t="s">
        <v>3560</v>
      </c>
      <c r="D384" s="26">
        <v>1.9E-2</v>
      </c>
      <c r="F384" s="47" t="s">
        <v>129</v>
      </c>
    </row>
    <row r="385" spans="2:6" x14ac:dyDescent="0.2">
      <c r="B385" s="55" t="s">
        <v>2363</v>
      </c>
      <c r="C385" s="26" t="s">
        <v>3561</v>
      </c>
      <c r="D385" s="26">
        <v>3.0000000000000001E-3</v>
      </c>
      <c r="F385" s="47" t="s">
        <v>129</v>
      </c>
    </row>
    <row r="386" spans="2:6" x14ac:dyDescent="0.2">
      <c r="B386" s="55" t="s">
        <v>2962</v>
      </c>
      <c r="C386" s="26" t="s">
        <v>3562</v>
      </c>
      <c r="D386" s="26">
        <v>4.5999999999999999E-2</v>
      </c>
      <c r="F386" s="47" t="s">
        <v>129</v>
      </c>
    </row>
    <row r="387" spans="2:6" x14ac:dyDescent="0.2">
      <c r="B387" s="55" t="s">
        <v>1105</v>
      </c>
      <c r="C387" s="30" t="s">
        <v>3563</v>
      </c>
      <c r="D387" s="26">
        <v>8.9999999999999993E-3</v>
      </c>
      <c r="F387" s="47" t="s">
        <v>129</v>
      </c>
    </row>
    <row r="388" spans="2:6" x14ac:dyDescent="0.2">
      <c r="B388" s="55" t="s">
        <v>1631</v>
      </c>
      <c r="C388" s="26" t="s">
        <v>3564</v>
      </c>
      <c r="D388" s="26">
        <v>0</v>
      </c>
    </row>
    <row r="389" spans="2:6" x14ac:dyDescent="0.2">
      <c r="B389" s="55" t="s">
        <v>2364</v>
      </c>
      <c r="C389" s="26" t="s">
        <v>3565</v>
      </c>
      <c r="D389" s="26">
        <v>0</v>
      </c>
    </row>
    <row r="390" spans="2:6" x14ac:dyDescent="0.2">
      <c r="B390" s="55" t="s">
        <v>2184</v>
      </c>
      <c r="C390" s="26" t="s">
        <v>3566</v>
      </c>
      <c r="D390" s="26">
        <v>0.85</v>
      </c>
      <c r="F390" s="47" t="s">
        <v>129</v>
      </c>
    </row>
    <row r="391" spans="2:6" x14ac:dyDescent="0.2">
      <c r="B391" s="55" t="s">
        <v>750</v>
      </c>
      <c r="C391" s="26" t="s">
        <v>3567</v>
      </c>
      <c r="D391" s="26">
        <v>1.9E-2</v>
      </c>
      <c r="F391" s="47" t="s">
        <v>129</v>
      </c>
    </row>
    <row r="392" spans="2:6" x14ac:dyDescent="0.2">
      <c r="B392" s="55" t="s">
        <v>546</v>
      </c>
      <c r="C392" s="26" t="s">
        <v>3568</v>
      </c>
      <c r="D392" s="26">
        <v>3.0000000000000001E-3</v>
      </c>
    </row>
    <row r="393" spans="2:6" x14ac:dyDescent="0.2">
      <c r="B393" s="55" t="s">
        <v>1739</v>
      </c>
      <c r="C393" s="26" t="s">
        <v>3569</v>
      </c>
      <c r="D393" s="26">
        <v>1.4999999999999999E-2</v>
      </c>
    </row>
    <row r="394" spans="2:6" x14ac:dyDescent="0.2">
      <c r="B394" s="55" t="s">
        <v>2091</v>
      </c>
      <c r="C394" s="26" t="s">
        <v>3570</v>
      </c>
      <c r="D394" s="26">
        <v>0</v>
      </c>
      <c r="F394" s="30" t="s">
        <v>129</v>
      </c>
    </row>
    <row r="395" spans="2:6" x14ac:dyDescent="0.2">
      <c r="B395" s="55" t="s">
        <v>548</v>
      </c>
      <c r="C395" s="26" t="s">
        <v>3571</v>
      </c>
      <c r="D395" s="26">
        <v>0</v>
      </c>
    </row>
    <row r="396" spans="2:6" x14ac:dyDescent="0.2">
      <c r="B396" s="55" t="s">
        <v>1122</v>
      </c>
      <c r="C396" s="26" t="s">
        <v>3572</v>
      </c>
      <c r="D396" s="26">
        <v>0</v>
      </c>
      <c r="F396" s="26" t="s">
        <v>129</v>
      </c>
    </row>
    <row r="397" spans="2:6" x14ac:dyDescent="0.2">
      <c r="B397" s="55" t="s">
        <v>1106</v>
      </c>
      <c r="C397" s="30" t="s">
        <v>3573</v>
      </c>
      <c r="D397" s="30">
        <v>0</v>
      </c>
      <c r="E397" s="30"/>
      <c r="F397" s="47" t="s">
        <v>129</v>
      </c>
    </row>
    <row r="398" spans="2:6" x14ac:dyDescent="0.2">
      <c r="B398" s="55" t="s">
        <v>2125</v>
      </c>
      <c r="C398" s="26" t="s">
        <v>3574</v>
      </c>
      <c r="D398" s="26">
        <v>0</v>
      </c>
      <c r="F398" s="47" t="s">
        <v>129</v>
      </c>
    </row>
    <row r="399" spans="2:6" x14ac:dyDescent="0.2">
      <c r="B399" s="55" t="s">
        <v>663</v>
      </c>
      <c r="C399" s="26" t="s">
        <v>3575</v>
      </c>
      <c r="D399" s="26">
        <v>0</v>
      </c>
      <c r="E399" s="30"/>
    </row>
    <row r="400" spans="2:6" x14ac:dyDescent="0.2">
      <c r="B400" s="55" t="s">
        <v>1071</v>
      </c>
      <c r="C400" s="26" t="s">
        <v>3576</v>
      </c>
      <c r="D400" s="26">
        <v>0</v>
      </c>
    </row>
    <row r="401" spans="2:6" x14ac:dyDescent="0.2">
      <c r="B401" s="55" t="s">
        <v>423</v>
      </c>
      <c r="C401" s="26" t="s">
        <v>3577</v>
      </c>
      <c r="D401" s="26">
        <v>0</v>
      </c>
      <c r="F401" s="47" t="s">
        <v>129</v>
      </c>
    </row>
    <row r="402" spans="2:6" x14ac:dyDescent="0.2">
      <c r="B402" s="55" t="s">
        <v>607</v>
      </c>
      <c r="C402" s="26" t="s">
        <v>3578</v>
      </c>
      <c r="D402" s="26">
        <v>0</v>
      </c>
    </row>
    <row r="403" spans="2:6" x14ac:dyDescent="0.2">
      <c r="B403" s="55" t="s">
        <v>1740</v>
      </c>
      <c r="C403" s="26" t="s">
        <v>3579</v>
      </c>
      <c r="D403" s="26">
        <v>0</v>
      </c>
    </row>
    <row r="404" spans="2:6" x14ac:dyDescent="0.2">
      <c r="B404" s="55" t="s">
        <v>800</v>
      </c>
      <c r="C404" s="26" t="s">
        <v>3580</v>
      </c>
      <c r="D404" s="30">
        <v>0</v>
      </c>
      <c r="E404" s="30"/>
      <c r="F404" s="26" t="s">
        <v>129</v>
      </c>
    </row>
    <row r="405" spans="2:6" x14ac:dyDescent="0.2">
      <c r="B405" s="55" t="s">
        <v>802</v>
      </c>
      <c r="C405" s="26" t="s">
        <v>3581</v>
      </c>
      <c r="D405" s="26">
        <v>0</v>
      </c>
    </row>
    <row r="406" spans="2:6" x14ac:dyDescent="0.2">
      <c r="B406" s="55" t="s">
        <v>1073</v>
      </c>
      <c r="C406" s="26" t="s">
        <v>3582</v>
      </c>
      <c r="D406" s="26">
        <v>0</v>
      </c>
      <c r="F406" s="30" t="s">
        <v>129</v>
      </c>
    </row>
    <row r="407" spans="2:6" x14ac:dyDescent="0.2">
      <c r="B407" s="55" t="s">
        <v>672</v>
      </c>
      <c r="C407" s="26" t="s">
        <v>3583</v>
      </c>
      <c r="D407" s="26">
        <v>0</v>
      </c>
      <c r="F407" s="47" t="s">
        <v>129</v>
      </c>
    </row>
    <row r="408" spans="2:6" x14ac:dyDescent="0.2">
      <c r="B408" s="55" t="s">
        <v>1745</v>
      </c>
      <c r="C408" s="26" t="s">
        <v>3808</v>
      </c>
      <c r="D408" s="26">
        <v>-8.9823875900000001</v>
      </c>
      <c r="E408" s="26" t="s">
        <v>3809</v>
      </c>
    </row>
    <row r="409" spans="2:6" x14ac:dyDescent="0.2">
      <c r="B409" s="55" t="s">
        <v>1075</v>
      </c>
      <c r="C409" s="26" t="s">
        <v>1634</v>
      </c>
      <c r="D409" s="26">
        <v>7.0084537100000004</v>
      </c>
      <c r="E409" s="26" t="s">
        <v>3809</v>
      </c>
      <c r="F409" s="47" t="s">
        <v>129</v>
      </c>
    </row>
    <row r="410" spans="2:6" x14ac:dyDescent="0.2">
      <c r="B410" s="55" t="s">
        <v>552</v>
      </c>
      <c r="C410" s="26" t="s">
        <v>1738</v>
      </c>
      <c r="D410" s="26">
        <v>10.9259465</v>
      </c>
      <c r="E410" s="26" t="s">
        <v>3809</v>
      </c>
    </row>
    <row r="411" spans="2:6" x14ac:dyDescent="0.2">
      <c r="B411" s="55" t="s">
        <v>553</v>
      </c>
      <c r="C411" s="26" t="s">
        <v>3159</v>
      </c>
      <c r="D411" s="26">
        <v>6.3824260199999996</v>
      </c>
      <c r="E411" s="26" t="s">
        <v>3809</v>
      </c>
    </row>
    <row r="412" spans="2:6" x14ac:dyDescent="0.2">
      <c r="B412" s="55" t="s">
        <v>554</v>
      </c>
      <c r="C412" s="26" t="s">
        <v>1784</v>
      </c>
      <c r="D412" s="26">
        <v>0.91612404000000014</v>
      </c>
      <c r="E412" s="26" t="s">
        <v>3809</v>
      </c>
      <c r="F412" s="47" t="s">
        <v>129</v>
      </c>
    </row>
    <row r="413" spans="2:6" x14ac:dyDescent="0.2">
      <c r="B413" s="55" t="s">
        <v>2188</v>
      </c>
      <c r="C413" s="26" t="s">
        <v>3812</v>
      </c>
      <c r="D413" s="26">
        <v>55.025697999999998</v>
      </c>
      <c r="E413" s="26" t="s">
        <v>3809</v>
      </c>
    </row>
    <row r="414" spans="2:6" x14ac:dyDescent="0.2">
      <c r="B414" s="55" t="s">
        <v>1744</v>
      </c>
      <c r="C414" s="26" t="s">
        <v>1785</v>
      </c>
      <c r="D414" s="26">
        <v>1.17206583</v>
      </c>
      <c r="E414" s="26" t="s">
        <v>3809</v>
      </c>
    </row>
    <row r="415" spans="2:6" x14ac:dyDescent="0.2">
      <c r="B415" s="55" t="s">
        <v>557</v>
      </c>
      <c r="C415" s="30" t="s">
        <v>531</v>
      </c>
      <c r="D415" s="30">
        <v>0.46168615200000002</v>
      </c>
      <c r="E415" s="26" t="s">
        <v>3809</v>
      </c>
      <c r="F415" s="47" t="s">
        <v>129</v>
      </c>
    </row>
    <row r="416" spans="2:6" x14ac:dyDescent="0.2">
      <c r="B416" s="55" t="s">
        <v>556</v>
      </c>
      <c r="C416" s="26" t="s">
        <v>210</v>
      </c>
      <c r="D416" s="30">
        <v>23.199588899999998</v>
      </c>
      <c r="E416" s="26" t="s">
        <v>3809</v>
      </c>
      <c r="F416" s="47" t="s">
        <v>129</v>
      </c>
    </row>
    <row r="417" spans="2:6" x14ac:dyDescent="0.2">
      <c r="B417" s="55" t="s">
        <v>1746</v>
      </c>
      <c r="C417" s="26" t="s">
        <v>1786</v>
      </c>
      <c r="D417" s="26">
        <v>2.5565326100000001</v>
      </c>
      <c r="E417" s="26" t="s">
        <v>3809</v>
      </c>
      <c r="F417" s="47" t="s">
        <v>129</v>
      </c>
    </row>
    <row r="418" spans="2:6" x14ac:dyDescent="0.2">
      <c r="B418" s="55" t="s">
        <v>558</v>
      </c>
      <c r="C418" s="26" t="s">
        <v>532</v>
      </c>
      <c r="D418" s="26">
        <v>-0.30048757100000001</v>
      </c>
      <c r="E418" s="26" t="s">
        <v>3809</v>
      </c>
    </row>
    <row r="419" spans="2:6" x14ac:dyDescent="0.2">
      <c r="B419" s="55" t="s">
        <v>1742</v>
      </c>
      <c r="C419" s="26" t="s">
        <v>1787</v>
      </c>
      <c r="D419" s="26">
        <v>5.1979875900000003</v>
      </c>
      <c r="E419" s="26" t="s">
        <v>3809</v>
      </c>
      <c r="F419" s="47" t="s">
        <v>129</v>
      </c>
    </row>
    <row r="420" spans="2:6" x14ac:dyDescent="0.2">
      <c r="B420" s="55" t="s">
        <v>2634</v>
      </c>
      <c r="C420" s="26" t="s">
        <v>534</v>
      </c>
      <c r="D420" s="26">
        <v>-33.105319799999997</v>
      </c>
      <c r="E420" s="26" t="s">
        <v>3809</v>
      </c>
    </row>
    <row r="421" spans="2:6" x14ac:dyDescent="0.2">
      <c r="B421" s="55" t="s">
        <v>2634</v>
      </c>
      <c r="C421" s="26" t="s">
        <v>594</v>
      </c>
      <c r="D421" s="26">
        <v>-5.9971987499999999</v>
      </c>
      <c r="E421" s="26" t="s">
        <v>3809</v>
      </c>
    </row>
    <row r="422" spans="2:6" x14ac:dyDescent="0.2">
      <c r="B422" s="55" t="s">
        <v>559</v>
      </c>
      <c r="C422" s="26" t="s">
        <v>292</v>
      </c>
      <c r="D422" s="26">
        <v>50.082098100000003</v>
      </c>
      <c r="E422" s="26" t="s">
        <v>3809</v>
      </c>
    </row>
    <row r="423" spans="2:6" x14ac:dyDescent="0.2">
      <c r="B423" s="55" t="s">
        <v>561</v>
      </c>
      <c r="C423" s="26" t="s">
        <v>535</v>
      </c>
      <c r="D423" s="26">
        <v>-39.5842673</v>
      </c>
      <c r="E423" s="26" t="s">
        <v>3809</v>
      </c>
    </row>
    <row r="424" spans="2:6" x14ac:dyDescent="0.2">
      <c r="B424" s="55" t="s">
        <v>782</v>
      </c>
      <c r="C424" s="26" t="s">
        <v>291</v>
      </c>
      <c r="D424" s="26">
        <v>144.602217</v>
      </c>
      <c r="E424" s="26" t="s">
        <v>3809</v>
      </c>
    </row>
    <row r="425" spans="2:6" x14ac:dyDescent="0.2">
      <c r="B425" s="55" t="s">
        <v>563</v>
      </c>
      <c r="C425" s="26" t="s">
        <v>533</v>
      </c>
      <c r="D425" s="26">
        <v>13.111709400000001</v>
      </c>
      <c r="E425" s="26" t="s">
        <v>3809</v>
      </c>
    </row>
    <row r="426" spans="2:6" x14ac:dyDescent="0.2">
      <c r="B426" s="55" t="s">
        <v>2124</v>
      </c>
      <c r="C426" s="30" t="s">
        <v>1791</v>
      </c>
      <c r="D426" s="30">
        <v>13.220241100000001</v>
      </c>
      <c r="E426" s="26" t="s">
        <v>3809</v>
      </c>
    </row>
    <row r="427" spans="2:6" x14ac:dyDescent="0.2">
      <c r="B427" s="55" t="s">
        <v>564</v>
      </c>
      <c r="C427" s="26" t="s">
        <v>3810</v>
      </c>
      <c r="D427" s="26">
        <v>13.220241100000001</v>
      </c>
      <c r="E427" s="26" t="s">
        <v>3809</v>
      </c>
    </row>
    <row r="428" spans="2:6" x14ac:dyDescent="0.2">
      <c r="B428" s="55" t="s">
        <v>565</v>
      </c>
      <c r="C428" s="26" t="s">
        <v>1788</v>
      </c>
      <c r="D428" s="26">
        <v>50.082098100000003</v>
      </c>
      <c r="E428" s="26" t="s">
        <v>3809</v>
      </c>
    </row>
    <row r="429" spans="2:6" x14ac:dyDescent="0.2">
      <c r="B429" s="55" t="s">
        <v>2633</v>
      </c>
      <c r="C429" s="26" t="s">
        <v>1783</v>
      </c>
      <c r="D429" s="26">
        <v>97.007875999999996</v>
      </c>
      <c r="E429" s="26" t="s">
        <v>3809</v>
      </c>
    </row>
    <row r="430" spans="2:6" x14ac:dyDescent="0.2">
      <c r="B430" s="55" t="s">
        <v>566</v>
      </c>
      <c r="C430" s="26" t="s">
        <v>3811</v>
      </c>
      <c r="D430" s="26">
        <v>-2.2741624900000001</v>
      </c>
      <c r="E430" s="26" t="s">
        <v>3809</v>
      </c>
    </row>
    <row r="431" spans="2:6" x14ac:dyDescent="0.2">
      <c r="B431" s="55" t="s">
        <v>1876</v>
      </c>
      <c r="C431" s="26" t="s">
        <v>1590</v>
      </c>
      <c r="D431" s="30">
        <v>4</v>
      </c>
    </row>
    <row r="432" spans="2:6" x14ac:dyDescent="0.2">
      <c r="B432" s="55" t="s">
        <v>568</v>
      </c>
      <c r="C432" s="26" t="s">
        <v>3509</v>
      </c>
      <c r="D432" s="26">
        <v>2</v>
      </c>
    </row>
    <row r="433" spans="2:5" x14ac:dyDescent="0.2">
      <c r="B433" s="55" t="s">
        <v>601</v>
      </c>
      <c r="C433" s="26" t="s">
        <v>3508</v>
      </c>
      <c r="D433" s="26">
        <v>1</v>
      </c>
    </row>
    <row r="434" spans="2:5" x14ac:dyDescent="0.2">
      <c r="B434" s="55" t="s">
        <v>794</v>
      </c>
      <c r="C434" s="30" t="s">
        <v>3510</v>
      </c>
      <c r="D434" s="26">
        <v>12</v>
      </c>
    </row>
    <row r="435" spans="2:5" x14ac:dyDescent="0.2">
      <c r="B435" s="55" t="s">
        <v>795</v>
      </c>
      <c r="C435" s="26" t="s">
        <v>3511</v>
      </c>
      <c r="D435" s="26">
        <v>24</v>
      </c>
    </row>
    <row r="436" spans="2:5" x14ac:dyDescent="0.2">
      <c r="B436" s="55" t="s">
        <v>798</v>
      </c>
      <c r="C436" s="26" t="s">
        <v>3625</v>
      </c>
      <c r="D436" s="30">
        <v>2</v>
      </c>
    </row>
    <row r="437" spans="2:5" x14ac:dyDescent="0.2">
      <c r="B437" s="55" t="s">
        <v>661</v>
      </c>
      <c r="C437" s="30" t="s">
        <v>3592</v>
      </c>
      <c r="D437" s="30">
        <v>180.15768</v>
      </c>
    </row>
    <row r="438" spans="2:5" x14ac:dyDescent="0.2">
      <c r="B438" s="55" t="s">
        <v>659</v>
      </c>
      <c r="C438" s="30" t="s">
        <v>3593</v>
      </c>
      <c r="D438" s="30">
        <v>22.839600000000001</v>
      </c>
    </row>
    <row r="439" spans="2:5" x14ac:dyDescent="0.2">
      <c r="B439" s="55" t="s">
        <v>3387</v>
      </c>
      <c r="C439" s="26" t="s">
        <v>3594</v>
      </c>
      <c r="D439" s="26">
        <v>0</v>
      </c>
    </row>
    <row r="440" spans="2:5" x14ac:dyDescent="0.2">
      <c r="B440" s="55" t="s">
        <v>654</v>
      </c>
      <c r="C440" s="30" t="s">
        <v>3595</v>
      </c>
      <c r="D440" s="30">
        <v>0</v>
      </c>
      <c r="E440" s="30"/>
    </row>
    <row r="441" spans="2:5" x14ac:dyDescent="0.2">
      <c r="B441" s="55" t="s">
        <v>2123</v>
      </c>
      <c r="C441" s="26" t="s">
        <v>3596</v>
      </c>
      <c r="D441" s="26">
        <v>0</v>
      </c>
    </row>
    <row r="442" spans="2:5" x14ac:dyDescent="0.2">
      <c r="B442" s="55" t="s">
        <v>569</v>
      </c>
      <c r="C442" s="26" t="s">
        <v>3597</v>
      </c>
      <c r="D442" s="26">
        <v>0</v>
      </c>
    </row>
    <row r="443" spans="2:5" x14ac:dyDescent="0.2">
      <c r="B443" s="55" t="s">
        <v>574</v>
      </c>
      <c r="C443" s="26" t="s">
        <v>3586</v>
      </c>
      <c r="D443" s="26">
        <v>0.01</v>
      </c>
    </row>
    <row r="444" spans="2:5" x14ac:dyDescent="0.2">
      <c r="B444" s="58" t="s">
        <v>576</v>
      </c>
      <c r="C444" s="26" t="s">
        <v>3587</v>
      </c>
      <c r="D444" s="26">
        <v>0.01</v>
      </c>
    </row>
    <row r="445" spans="2:5" x14ac:dyDescent="0.2">
      <c r="B445" s="55" t="s">
        <v>3162</v>
      </c>
      <c r="C445" s="26" t="s">
        <v>3588</v>
      </c>
      <c r="D445" s="26">
        <v>0</v>
      </c>
    </row>
    <row r="446" spans="2:5" x14ac:dyDescent="0.2">
      <c r="B446" s="58" t="s">
        <v>570</v>
      </c>
      <c r="C446" s="26" t="s">
        <v>3589</v>
      </c>
      <c r="D446" s="26">
        <v>0.01</v>
      </c>
    </row>
    <row r="447" spans="2:5" x14ac:dyDescent="0.2">
      <c r="B447" s="55" t="s">
        <v>584</v>
      </c>
      <c r="C447" s="26" t="s">
        <v>3590</v>
      </c>
      <c r="D447" s="26">
        <v>0.01</v>
      </c>
    </row>
    <row r="448" spans="2:5" x14ac:dyDescent="0.2">
      <c r="B448" s="55" t="s">
        <v>585</v>
      </c>
      <c r="C448" s="26" t="s">
        <v>3591</v>
      </c>
      <c r="D448" s="26">
        <v>0</v>
      </c>
    </row>
    <row r="449" spans="2:8" x14ac:dyDescent="0.2">
      <c r="B449" s="55" t="s">
        <v>571</v>
      </c>
      <c r="C449" s="30" t="s">
        <v>600</v>
      </c>
      <c r="D449" s="26">
        <v>5.6755854000000001</v>
      </c>
      <c r="E449" s="26" t="s">
        <v>3814</v>
      </c>
    </row>
    <row r="450" spans="2:8" x14ac:dyDescent="0.2">
      <c r="B450" s="55" t="s">
        <v>767</v>
      </c>
      <c r="C450" s="26" t="s">
        <v>3813</v>
      </c>
      <c r="D450" s="26">
        <v>1</v>
      </c>
      <c r="E450" s="26" t="s">
        <v>3814</v>
      </c>
    </row>
    <row r="451" spans="2:8" x14ac:dyDescent="0.2">
      <c r="B451" s="55" t="s">
        <v>572</v>
      </c>
      <c r="C451" s="26" t="s">
        <v>1128</v>
      </c>
      <c r="D451" s="26">
        <v>1</v>
      </c>
      <c r="E451" s="26" t="s">
        <v>3814</v>
      </c>
    </row>
    <row r="452" spans="2:8" x14ac:dyDescent="0.2">
      <c r="B452" s="55" t="s">
        <v>586</v>
      </c>
      <c r="C452" s="26" t="s">
        <v>3512</v>
      </c>
      <c r="D452" s="26">
        <v>3.0000000000000001E-3</v>
      </c>
      <c r="E452" s="30"/>
    </row>
    <row r="453" spans="2:8" x14ac:dyDescent="0.2">
      <c r="B453" s="55" t="s">
        <v>573</v>
      </c>
      <c r="C453" s="26" t="s">
        <v>3513</v>
      </c>
      <c r="D453" s="26">
        <v>0</v>
      </c>
    </row>
    <row r="454" spans="2:8" x14ac:dyDescent="0.2">
      <c r="B454" s="58" t="s">
        <v>587</v>
      </c>
      <c r="C454" s="30" t="s">
        <v>3514</v>
      </c>
      <c r="D454" s="26">
        <v>9.9000000000000005E-2</v>
      </c>
    </row>
    <row r="455" spans="2:8" x14ac:dyDescent="0.2">
      <c r="B455" s="55" t="s">
        <v>588</v>
      </c>
      <c r="C455" s="174" t="s">
        <v>3515</v>
      </c>
      <c r="D455" s="26">
        <v>3.0000000000000001E-3</v>
      </c>
    </row>
    <row r="456" spans="2:8" x14ac:dyDescent="0.2">
      <c r="B456" s="58" t="s">
        <v>575</v>
      </c>
      <c r="C456" s="26" t="s">
        <v>3516</v>
      </c>
      <c r="D456" s="26">
        <v>2.4E-2</v>
      </c>
    </row>
    <row r="457" spans="2:8" x14ac:dyDescent="0.2">
      <c r="B457" s="59" t="s">
        <v>577</v>
      </c>
      <c r="C457" s="26" t="s">
        <v>3517</v>
      </c>
      <c r="D457" s="26">
        <v>0.9</v>
      </c>
    </row>
    <row r="458" spans="2:8" x14ac:dyDescent="0.2">
      <c r="B458" s="55" t="s">
        <v>578</v>
      </c>
      <c r="C458" s="26" t="s">
        <v>3518</v>
      </c>
      <c r="D458" s="26">
        <v>0.05</v>
      </c>
    </row>
    <row r="459" spans="2:8" x14ac:dyDescent="0.2">
      <c r="B459" s="55" t="s">
        <v>579</v>
      </c>
      <c r="C459" s="26" t="s">
        <v>3519</v>
      </c>
      <c r="D459" s="26">
        <v>0</v>
      </c>
      <c r="H459" s="107"/>
    </row>
    <row r="460" spans="2:8" x14ac:dyDescent="0.2">
      <c r="B460" s="55" t="s">
        <v>580</v>
      </c>
      <c r="C460" s="26" t="s">
        <v>3520</v>
      </c>
      <c r="D460" s="26">
        <v>2.4E-2</v>
      </c>
    </row>
    <row r="461" spans="2:8" x14ac:dyDescent="0.2">
      <c r="B461" s="55" t="s">
        <v>581</v>
      </c>
      <c r="C461" s="30" t="s">
        <v>3521</v>
      </c>
      <c r="D461" s="30">
        <v>0.9</v>
      </c>
      <c r="E461" s="30"/>
    </row>
    <row r="462" spans="2:8" x14ac:dyDescent="0.2">
      <c r="B462" s="55" t="s">
        <v>582</v>
      </c>
      <c r="C462" s="26" t="s">
        <v>3522</v>
      </c>
      <c r="D462" s="26">
        <v>0.05</v>
      </c>
    </row>
    <row r="463" spans="2:8" x14ac:dyDescent="0.2">
      <c r="B463" s="55" t="s">
        <v>583</v>
      </c>
      <c r="C463" s="26" t="s">
        <v>3523</v>
      </c>
      <c r="D463" s="26">
        <v>2.4E-2</v>
      </c>
    </row>
    <row r="464" spans="2:8" x14ac:dyDescent="0.2">
      <c r="B464" s="55" t="s">
        <v>1751</v>
      </c>
      <c r="C464" s="30" t="s">
        <v>3524</v>
      </c>
      <c r="D464" s="26">
        <v>0.9</v>
      </c>
    </row>
    <row r="465" spans="2:4" x14ac:dyDescent="0.2">
      <c r="B465" s="55" t="s">
        <v>3441</v>
      </c>
      <c r="C465" s="26" t="s">
        <v>3525</v>
      </c>
      <c r="D465" s="26">
        <v>0.05</v>
      </c>
    </row>
    <row r="466" spans="2:4" x14ac:dyDescent="0.2">
      <c r="B466" s="55" t="s">
        <v>3442</v>
      </c>
      <c r="C466" s="26" t="s">
        <v>3526</v>
      </c>
      <c r="D466" s="26">
        <v>2.4E-2</v>
      </c>
    </row>
    <row r="467" spans="2:4" x14ac:dyDescent="0.2">
      <c r="B467" s="55" t="s">
        <v>3442</v>
      </c>
      <c r="C467" s="26" t="s">
        <v>3527</v>
      </c>
      <c r="D467" s="26">
        <v>0.9</v>
      </c>
    </row>
    <row r="468" spans="2:4" x14ac:dyDescent="0.2">
      <c r="B468" s="55" t="s">
        <v>3445</v>
      </c>
      <c r="C468" s="26" t="s">
        <v>3528</v>
      </c>
      <c r="D468" s="26">
        <v>0.05</v>
      </c>
    </row>
    <row r="469" spans="2:4" x14ac:dyDescent="0.2">
      <c r="B469" s="55" t="s">
        <v>3446</v>
      </c>
      <c r="C469" s="26" t="s">
        <v>3529</v>
      </c>
      <c r="D469" s="26">
        <v>0</v>
      </c>
    </row>
    <row r="470" spans="2:4" x14ac:dyDescent="0.2">
      <c r="B470" s="59" t="s">
        <v>589</v>
      </c>
      <c r="C470" s="26" t="s">
        <v>3530</v>
      </c>
      <c r="D470" s="26">
        <v>0</v>
      </c>
    </row>
    <row r="471" spans="2:4" x14ac:dyDescent="0.2">
      <c r="B471" s="55" t="s">
        <v>1129</v>
      </c>
      <c r="C471" s="26" t="s">
        <v>3531</v>
      </c>
      <c r="D471" s="26">
        <v>1</v>
      </c>
    </row>
    <row r="472" spans="2:4" x14ac:dyDescent="0.2">
      <c r="B472" s="55" t="s">
        <v>696</v>
      </c>
      <c r="C472" s="26" t="s">
        <v>3532</v>
      </c>
      <c r="D472" s="26">
        <v>1</v>
      </c>
    </row>
    <row r="473" spans="2:4" x14ac:dyDescent="0.2">
      <c r="B473" s="55" t="s">
        <v>2967</v>
      </c>
      <c r="C473" s="30" t="s">
        <v>3533</v>
      </c>
      <c r="D473" s="30">
        <v>1</v>
      </c>
    </row>
    <row r="474" spans="2:4" x14ac:dyDescent="0.2">
      <c r="B474" s="55" t="s">
        <v>784</v>
      </c>
      <c r="C474" s="26" t="s">
        <v>3534</v>
      </c>
      <c r="D474" s="26">
        <v>0.05</v>
      </c>
    </row>
    <row r="475" spans="2:4" x14ac:dyDescent="0.2">
      <c r="B475" s="55" t="s">
        <v>785</v>
      </c>
      <c r="C475" s="26" t="s">
        <v>1592</v>
      </c>
      <c r="D475" s="26">
        <v>0</v>
      </c>
    </row>
    <row r="476" spans="2:4" x14ac:dyDescent="0.2">
      <c r="B476" s="55" t="s">
        <v>786</v>
      </c>
      <c r="C476" s="26" t="s">
        <v>2980</v>
      </c>
      <c r="D476" s="26">
        <v>339.44647099999997</v>
      </c>
    </row>
    <row r="477" spans="2:4" x14ac:dyDescent="0.2">
      <c r="B477" s="55" t="s">
        <v>787</v>
      </c>
      <c r="C477" s="26" t="s">
        <v>3602</v>
      </c>
      <c r="D477" s="26">
        <v>4.0650416699999997E-2</v>
      </c>
    </row>
    <row r="478" spans="2:4" x14ac:dyDescent="0.2">
      <c r="B478" s="55" t="s">
        <v>788</v>
      </c>
      <c r="C478" s="26" t="s">
        <v>3600</v>
      </c>
      <c r="D478" s="26">
        <v>0.67601442899999997</v>
      </c>
    </row>
    <row r="479" spans="2:4" x14ac:dyDescent="0.2">
      <c r="B479" s="55" t="s">
        <v>789</v>
      </c>
      <c r="C479" s="26" t="s">
        <v>3601</v>
      </c>
      <c r="D479" s="26">
        <v>0.31250024999999998</v>
      </c>
    </row>
    <row r="480" spans="2:4" x14ac:dyDescent="0.2">
      <c r="B480" s="55" t="s">
        <v>790</v>
      </c>
      <c r="C480" s="26" t="s">
        <v>3619</v>
      </c>
      <c r="D480" s="26">
        <v>0.04</v>
      </c>
    </row>
    <row r="481" spans="2:5" x14ac:dyDescent="0.2">
      <c r="B481" s="55" t="s">
        <v>791</v>
      </c>
      <c r="C481" s="26" t="s">
        <v>3620</v>
      </c>
      <c r="D481" s="26">
        <v>1.2E-2</v>
      </c>
    </row>
    <row r="482" spans="2:5" x14ac:dyDescent="0.2">
      <c r="B482" s="55" t="s">
        <v>792</v>
      </c>
      <c r="C482" s="26" t="s">
        <v>3603</v>
      </c>
      <c r="D482" s="26">
        <v>0.9</v>
      </c>
    </row>
    <row r="483" spans="2:5" x14ac:dyDescent="0.2">
      <c r="B483" s="55" t="s">
        <v>590</v>
      </c>
      <c r="C483" s="26" t="s">
        <v>3604</v>
      </c>
      <c r="D483" s="26">
        <v>0</v>
      </c>
    </row>
    <row r="484" spans="2:5" x14ac:dyDescent="0.2">
      <c r="B484" s="55" t="s">
        <v>697</v>
      </c>
      <c r="C484" s="26" t="s">
        <v>3605</v>
      </c>
      <c r="D484" s="26">
        <v>0</v>
      </c>
    </row>
    <row r="485" spans="2:5" x14ac:dyDescent="0.2">
      <c r="B485" s="55" t="s">
        <v>803</v>
      </c>
      <c r="C485" s="30" t="s">
        <v>3606</v>
      </c>
      <c r="D485" s="26">
        <v>1</v>
      </c>
    </row>
    <row r="486" spans="2:5" x14ac:dyDescent="0.2">
      <c r="B486" s="55" t="s">
        <v>1872</v>
      </c>
      <c r="C486" s="26" t="s">
        <v>3607</v>
      </c>
      <c r="D486" s="26">
        <v>0</v>
      </c>
    </row>
    <row r="487" spans="2:5" x14ac:dyDescent="0.2">
      <c r="B487" s="55" t="s">
        <v>591</v>
      </c>
      <c r="C487" s="26" t="s">
        <v>3608</v>
      </c>
      <c r="D487" s="26">
        <v>0</v>
      </c>
    </row>
    <row r="488" spans="2:5" x14ac:dyDescent="0.2">
      <c r="B488" s="55" t="s">
        <v>3439</v>
      </c>
      <c r="C488" s="26" t="s">
        <v>3609</v>
      </c>
      <c r="D488" s="26">
        <v>0</v>
      </c>
    </row>
    <row r="489" spans="2:5" x14ac:dyDescent="0.2">
      <c r="B489" s="55" t="s">
        <v>3467</v>
      </c>
      <c r="C489" s="30" t="s">
        <v>3610</v>
      </c>
      <c r="D489" s="30">
        <v>0</v>
      </c>
      <c r="E489" s="30"/>
    </row>
    <row r="490" spans="2:5" x14ac:dyDescent="0.2">
      <c r="B490" s="48" t="s">
        <v>1825</v>
      </c>
      <c r="C490" s="26" t="s">
        <v>3611</v>
      </c>
      <c r="D490" s="26">
        <v>0</v>
      </c>
    </row>
    <row r="491" spans="2:5" x14ac:dyDescent="0.2">
      <c r="B491" s="48" t="s">
        <v>1823</v>
      </c>
      <c r="C491" s="26" t="s">
        <v>3612</v>
      </c>
      <c r="D491" s="26">
        <v>0</v>
      </c>
    </row>
    <row r="492" spans="2:5" x14ac:dyDescent="0.2">
      <c r="B492" s="48" t="s">
        <v>3922</v>
      </c>
      <c r="C492" s="26" t="s">
        <v>3613</v>
      </c>
      <c r="D492" s="26">
        <v>0</v>
      </c>
    </row>
    <row r="493" spans="2:5" x14ac:dyDescent="0.2">
      <c r="B493" s="48" t="s">
        <v>1827</v>
      </c>
      <c r="C493" s="26" t="s">
        <v>3614</v>
      </c>
      <c r="D493" s="26">
        <v>0</v>
      </c>
    </row>
    <row r="494" spans="2:5" x14ac:dyDescent="0.2">
      <c r="B494" s="48" t="s">
        <v>1833</v>
      </c>
      <c r="C494" s="26" t="s">
        <v>3615</v>
      </c>
      <c r="D494" s="26">
        <v>0</v>
      </c>
    </row>
    <row r="495" spans="2:5" x14ac:dyDescent="0.2">
      <c r="B495" s="48" t="s">
        <v>1824</v>
      </c>
      <c r="C495" s="26" t="s">
        <v>3616</v>
      </c>
      <c r="D495" s="26">
        <v>0</v>
      </c>
    </row>
    <row r="496" spans="2:5" x14ac:dyDescent="0.2">
      <c r="B496" s="48" t="s">
        <v>1826</v>
      </c>
      <c r="C496" s="26" t="s">
        <v>3617</v>
      </c>
      <c r="D496" s="26">
        <v>0</v>
      </c>
    </row>
    <row r="497" spans="2:4" x14ac:dyDescent="0.2">
      <c r="B497" s="48" t="s">
        <v>3923</v>
      </c>
      <c r="C497" s="26" t="s">
        <v>3618</v>
      </c>
      <c r="D497" s="26">
        <v>0</v>
      </c>
    </row>
    <row r="498" spans="2:4" x14ac:dyDescent="0.2">
      <c r="B498" s="48" t="s">
        <v>1832</v>
      </c>
      <c r="C498" s="26" t="s">
        <v>3584</v>
      </c>
      <c r="D498" s="26">
        <v>3.5</v>
      </c>
    </row>
    <row r="499" spans="2:4" x14ac:dyDescent="0.2">
      <c r="B499" s="48" t="s">
        <v>722</v>
      </c>
      <c r="C499" s="26" t="s">
        <v>3535</v>
      </c>
      <c r="D499" s="26">
        <v>0</v>
      </c>
    </row>
    <row r="500" spans="2:4" x14ac:dyDescent="0.2">
      <c r="B500" s="48" t="s">
        <v>1802</v>
      </c>
      <c r="C500" s="26" t="s">
        <v>3536</v>
      </c>
      <c r="D500" s="26">
        <v>0</v>
      </c>
    </row>
    <row r="501" spans="2:4" x14ac:dyDescent="0.2">
      <c r="B501" s="48" t="s">
        <v>1800</v>
      </c>
      <c r="C501" s="30" t="s">
        <v>3537</v>
      </c>
      <c r="D501" s="26">
        <v>0</v>
      </c>
    </row>
    <row r="502" spans="2:4" x14ac:dyDescent="0.2">
      <c r="B502" s="48" t="s">
        <v>3924</v>
      </c>
      <c r="C502" s="26" t="s">
        <v>3538</v>
      </c>
      <c r="D502" s="26">
        <v>0</v>
      </c>
    </row>
    <row r="503" spans="2:4" x14ac:dyDescent="0.2">
      <c r="B503" s="48" t="s">
        <v>3925</v>
      </c>
      <c r="C503" s="26" t="s">
        <v>3539</v>
      </c>
      <c r="D503" s="26">
        <v>0</v>
      </c>
    </row>
    <row r="504" spans="2:4" x14ac:dyDescent="0.2">
      <c r="B504" s="48" t="s">
        <v>3926</v>
      </c>
      <c r="C504" s="26" t="s">
        <v>3540</v>
      </c>
      <c r="D504" s="26">
        <v>0</v>
      </c>
    </row>
    <row r="505" spans="2:4" x14ac:dyDescent="0.2">
      <c r="B505" s="48" t="s">
        <v>1801</v>
      </c>
      <c r="C505" s="26" t="s">
        <v>3541</v>
      </c>
      <c r="D505" s="26">
        <v>0</v>
      </c>
    </row>
    <row r="506" spans="2:4" x14ac:dyDescent="0.2">
      <c r="B506" s="48" t="s">
        <v>3927</v>
      </c>
      <c r="C506" s="26" t="s">
        <v>3542</v>
      </c>
      <c r="D506" s="26">
        <v>0</v>
      </c>
    </row>
    <row r="507" spans="2:4" x14ac:dyDescent="0.2">
      <c r="B507" s="48" t="s">
        <v>3928</v>
      </c>
      <c r="C507" s="26" t="s">
        <v>3543</v>
      </c>
      <c r="D507" s="26">
        <v>0</v>
      </c>
    </row>
    <row r="508" spans="2:4" x14ac:dyDescent="0.2">
      <c r="B508" s="48" t="s">
        <v>3929</v>
      </c>
      <c r="C508" s="26" t="s">
        <v>3544</v>
      </c>
      <c r="D508" s="26">
        <v>0</v>
      </c>
    </row>
    <row r="509" spans="2:4" x14ac:dyDescent="0.2">
      <c r="B509" s="48" t="s">
        <v>3720</v>
      </c>
      <c r="C509" s="26" t="s">
        <v>3545</v>
      </c>
      <c r="D509" s="26">
        <v>0</v>
      </c>
    </row>
    <row r="510" spans="2:4" x14ac:dyDescent="0.2">
      <c r="B510" s="48" t="s">
        <v>1797</v>
      </c>
      <c r="C510" s="26" t="s">
        <v>3546</v>
      </c>
      <c r="D510" s="26">
        <v>0</v>
      </c>
    </row>
    <row r="511" spans="2:4" x14ac:dyDescent="0.2">
      <c r="B511" s="48" t="s">
        <v>1795</v>
      </c>
      <c r="C511" s="26" t="s">
        <v>3547</v>
      </c>
      <c r="D511" s="26">
        <v>0</v>
      </c>
    </row>
    <row r="512" spans="2:4" x14ac:dyDescent="0.2">
      <c r="B512" s="48" t="s">
        <v>3930</v>
      </c>
      <c r="C512" s="26" t="s">
        <v>3548</v>
      </c>
      <c r="D512" s="26">
        <v>0</v>
      </c>
    </row>
    <row r="513" spans="2:5" x14ac:dyDescent="0.2">
      <c r="B513" s="48" t="s">
        <v>3931</v>
      </c>
      <c r="C513" s="26" t="s">
        <v>3549</v>
      </c>
      <c r="D513" s="26">
        <v>0</v>
      </c>
    </row>
    <row r="514" spans="2:5" x14ac:dyDescent="0.2">
      <c r="B514" s="48" t="s">
        <v>3932</v>
      </c>
      <c r="C514" s="30" t="s">
        <v>3550</v>
      </c>
      <c r="D514" s="30">
        <v>0</v>
      </c>
      <c r="E514" s="30"/>
    </row>
    <row r="515" spans="2:5" x14ac:dyDescent="0.2">
      <c r="B515" s="48" t="s">
        <v>1796</v>
      </c>
      <c r="C515" s="26" t="s">
        <v>3551</v>
      </c>
      <c r="D515" s="26">
        <v>0</v>
      </c>
    </row>
    <row r="516" spans="2:5" x14ac:dyDescent="0.2">
      <c r="B516" s="48" t="s">
        <v>3933</v>
      </c>
      <c r="C516" s="26" t="s">
        <v>3552</v>
      </c>
      <c r="D516" s="30">
        <v>0</v>
      </c>
    </row>
    <row r="517" spans="2:5" x14ac:dyDescent="0.2">
      <c r="B517" s="48" t="s">
        <v>3934</v>
      </c>
      <c r="C517" s="26" t="s">
        <v>3598</v>
      </c>
      <c r="D517" s="26">
        <v>0</v>
      </c>
    </row>
    <row r="518" spans="2:5" x14ac:dyDescent="0.2">
      <c r="B518" s="48" t="s">
        <v>1799</v>
      </c>
      <c r="C518" s="26" t="s">
        <v>551</v>
      </c>
      <c r="D518" s="26">
        <v>727.59563500000002</v>
      </c>
      <c r="E518" s="26" t="s">
        <v>3629</v>
      </c>
    </row>
    <row r="519" spans="2:5" x14ac:dyDescent="0.2">
      <c r="B519" s="48" t="s">
        <v>3719</v>
      </c>
      <c r="C519" s="30" t="s">
        <v>542</v>
      </c>
      <c r="D519" s="30">
        <v>0</v>
      </c>
      <c r="E519" s="26" t="s">
        <v>3629</v>
      </c>
    </row>
    <row r="520" spans="2:5" x14ac:dyDescent="0.2">
      <c r="B520" s="48" t="s">
        <v>1805</v>
      </c>
      <c r="C520" s="26" t="s">
        <v>3816</v>
      </c>
      <c r="D520" s="26">
        <v>0</v>
      </c>
      <c r="E520" s="26" t="s">
        <v>3629</v>
      </c>
    </row>
    <row r="521" spans="2:5" x14ac:dyDescent="0.2">
      <c r="B521" s="48" t="s">
        <v>3935</v>
      </c>
      <c r="C521" s="26" t="s">
        <v>3817</v>
      </c>
      <c r="D521" s="26">
        <v>46087.6849</v>
      </c>
      <c r="E521" s="26" t="s">
        <v>3629</v>
      </c>
    </row>
    <row r="522" spans="2:5" x14ac:dyDescent="0.2">
      <c r="B522" s="48" t="s">
        <v>3936</v>
      </c>
      <c r="C522" s="26" t="s">
        <v>3818</v>
      </c>
      <c r="D522" s="26">
        <v>70483.333299999998</v>
      </c>
      <c r="E522" s="26" t="s">
        <v>3629</v>
      </c>
    </row>
    <row r="523" spans="2:5" x14ac:dyDescent="0.2">
      <c r="B523" s="48" t="s">
        <v>3937</v>
      </c>
      <c r="C523" s="26" t="s">
        <v>3815</v>
      </c>
      <c r="D523" s="26">
        <v>22135.177800000001</v>
      </c>
      <c r="E523" s="26" t="s">
        <v>3629</v>
      </c>
    </row>
    <row r="524" spans="2:5" x14ac:dyDescent="0.2">
      <c r="B524" s="48" t="s">
        <v>3938</v>
      </c>
      <c r="C524" s="26" t="s">
        <v>547</v>
      </c>
      <c r="D524" s="26">
        <v>2408.93318</v>
      </c>
      <c r="E524" s="26" t="s">
        <v>3629</v>
      </c>
    </row>
    <row r="525" spans="2:5" x14ac:dyDescent="0.2">
      <c r="B525" s="48" t="s">
        <v>1804</v>
      </c>
      <c r="C525" s="26" t="s">
        <v>549</v>
      </c>
      <c r="D525" s="26">
        <v>236.86370500000001</v>
      </c>
      <c r="E525" s="26" t="s">
        <v>3629</v>
      </c>
    </row>
    <row r="526" spans="2:5" x14ac:dyDescent="0.2">
      <c r="B526" s="48" t="s">
        <v>3939</v>
      </c>
      <c r="C526" s="26" t="s">
        <v>3819</v>
      </c>
      <c r="D526" s="26">
        <v>22567.456900000001</v>
      </c>
      <c r="E526" s="26" t="s">
        <v>3629</v>
      </c>
    </row>
    <row r="527" spans="2:5" x14ac:dyDescent="0.2">
      <c r="B527" s="48" t="s">
        <v>3940</v>
      </c>
      <c r="C527" s="26" t="s">
        <v>3820</v>
      </c>
      <c r="D527" s="26">
        <v>47018.9041</v>
      </c>
      <c r="E527" s="26" t="s">
        <v>3629</v>
      </c>
    </row>
    <row r="528" spans="2:5" x14ac:dyDescent="0.2">
      <c r="B528" s="48" t="s">
        <v>3941</v>
      </c>
      <c r="C528" s="26" t="s">
        <v>749</v>
      </c>
      <c r="D528" s="26">
        <v>0</v>
      </c>
      <c r="E528" s="26" t="s">
        <v>3629</v>
      </c>
    </row>
    <row r="529" spans="2:6" x14ac:dyDescent="0.2">
      <c r="B529" s="48" t="s">
        <v>596</v>
      </c>
      <c r="C529" s="26" t="s">
        <v>3821</v>
      </c>
      <c r="D529" s="30">
        <v>22748.540700000001</v>
      </c>
      <c r="E529" s="26" t="s">
        <v>3629</v>
      </c>
    </row>
    <row r="530" spans="2:6" x14ac:dyDescent="0.2">
      <c r="B530" s="48" t="s">
        <v>3942</v>
      </c>
      <c r="C530" s="26" t="s">
        <v>3822</v>
      </c>
      <c r="D530" s="26">
        <v>231327.51100000003</v>
      </c>
      <c r="E530" s="26" t="s">
        <v>3629</v>
      </c>
    </row>
    <row r="531" spans="2:6" x14ac:dyDescent="0.2">
      <c r="B531" s="48" t="s">
        <v>3943</v>
      </c>
      <c r="C531" s="26" t="s">
        <v>3823</v>
      </c>
      <c r="D531" s="26">
        <v>378981.92800000001</v>
      </c>
      <c r="E531" s="26" t="s">
        <v>3629</v>
      </c>
    </row>
    <row r="532" spans="2:6" x14ac:dyDescent="0.2">
      <c r="B532" s="48" t="s">
        <v>3944</v>
      </c>
      <c r="C532" s="26" t="s">
        <v>1127</v>
      </c>
      <c r="D532" s="26">
        <v>400165.87300000002</v>
      </c>
      <c r="E532" s="26" t="s">
        <v>3629</v>
      </c>
    </row>
    <row r="533" spans="2:6" x14ac:dyDescent="0.2">
      <c r="B533" s="48" t="s">
        <v>3945</v>
      </c>
      <c r="C533" s="26" t="s">
        <v>1127</v>
      </c>
      <c r="D533" s="26">
        <v>400165.87300000002</v>
      </c>
      <c r="E533" s="26" t="s">
        <v>3629</v>
      </c>
    </row>
    <row r="534" spans="2:6" x14ac:dyDescent="0.2">
      <c r="B534" s="48" t="s">
        <v>3946</v>
      </c>
      <c r="C534" s="26" t="s">
        <v>3824</v>
      </c>
      <c r="D534" s="26">
        <v>419991.50300000003</v>
      </c>
      <c r="E534" s="26" t="s">
        <v>3629</v>
      </c>
    </row>
    <row r="535" spans="2:6" x14ac:dyDescent="0.2">
      <c r="B535" s="48" t="s">
        <v>3947</v>
      </c>
      <c r="C535" s="26" t="s">
        <v>748</v>
      </c>
      <c r="D535" s="26">
        <v>2844.6651299999999</v>
      </c>
      <c r="E535" s="26" t="s">
        <v>3629</v>
      </c>
      <c r="F535" s="26"/>
    </row>
    <row r="536" spans="2:6" x14ac:dyDescent="0.2">
      <c r="B536" s="48" t="s">
        <v>3948</v>
      </c>
      <c r="C536" s="30" t="s">
        <v>3825</v>
      </c>
      <c r="D536" s="26">
        <v>27473.737499999999</v>
      </c>
      <c r="E536" s="26" t="s">
        <v>3629</v>
      </c>
      <c r="F536" s="26"/>
    </row>
    <row r="537" spans="2:6" x14ac:dyDescent="0.2">
      <c r="B537" s="48" t="s">
        <v>3949</v>
      </c>
      <c r="C537" s="26" t="s">
        <v>3624</v>
      </c>
      <c r="D537" s="26">
        <v>12851.075800000001</v>
      </c>
      <c r="F537" s="26"/>
    </row>
    <row r="538" spans="2:6" x14ac:dyDescent="0.2">
      <c r="B538" s="48" t="s">
        <v>3950</v>
      </c>
      <c r="C538" s="26" t="s">
        <v>3628</v>
      </c>
      <c r="D538" s="26">
        <v>37344.855900000002</v>
      </c>
      <c r="F538" s="26"/>
    </row>
    <row r="539" spans="2:6" x14ac:dyDescent="0.2">
      <c r="B539" s="48" t="s">
        <v>3733</v>
      </c>
      <c r="C539" s="26" t="s">
        <v>3621</v>
      </c>
      <c r="D539" s="30">
        <v>65166.428399999997</v>
      </c>
      <c r="E539" s="30"/>
      <c r="F539" s="26"/>
    </row>
    <row r="540" spans="2:6" x14ac:dyDescent="0.2">
      <c r="B540" s="48" t="s">
        <v>3903</v>
      </c>
      <c r="C540" s="26" t="s">
        <v>3626</v>
      </c>
      <c r="D540" s="26">
        <v>69038.426699999996</v>
      </c>
      <c r="F540" s="26"/>
    </row>
    <row r="541" spans="2:6" x14ac:dyDescent="0.2">
      <c r="B541" s="48" t="s">
        <v>3904</v>
      </c>
      <c r="C541" s="26" t="s">
        <v>3599</v>
      </c>
      <c r="D541" s="26">
        <v>41523.5173</v>
      </c>
      <c r="F541" s="26"/>
    </row>
    <row r="542" spans="2:6" x14ac:dyDescent="0.2">
      <c r="B542" s="48" t="s">
        <v>3905</v>
      </c>
      <c r="C542" s="26" t="s">
        <v>1591</v>
      </c>
      <c r="D542" s="26">
        <v>44.322620899999997</v>
      </c>
      <c r="F542" s="26"/>
    </row>
    <row r="543" spans="2:6" x14ac:dyDescent="0.2">
      <c r="B543" s="48" t="s">
        <v>3907</v>
      </c>
      <c r="C543" s="26" t="s">
        <v>536</v>
      </c>
      <c r="D543" s="26">
        <v>104166.667</v>
      </c>
      <c r="E543" s="26" t="s">
        <v>3629</v>
      </c>
      <c r="F543" s="26"/>
    </row>
    <row r="544" spans="2:6" x14ac:dyDescent="0.2">
      <c r="C544" s="26" t="s">
        <v>550</v>
      </c>
      <c r="D544" s="26">
        <v>13836.482900000001</v>
      </c>
      <c r="E544" s="26" t="s">
        <v>3629</v>
      </c>
    </row>
    <row r="545" spans="3:5" x14ac:dyDescent="0.2">
      <c r="C545" s="26" t="s">
        <v>3826</v>
      </c>
      <c r="D545" s="30">
        <v>450517.05599999998</v>
      </c>
      <c r="E545" s="30" t="s">
        <v>3629</v>
      </c>
    </row>
    <row r="546" spans="3:5" x14ac:dyDescent="0.2">
      <c r="C546" s="26" t="s">
        <v>1875</v>
      </c>
      <c r="D546" s="26">
        <v>355311.777</v>
      </c>
      <c r="E546" s="26" t="s">
        <v>3629</v>
      </c>
    </row>
    <row r="547" spans="3:5" x14ac:dyDescent="0.2">
      <c r="C547" s="30" t="s">
        <v>555</v>
      </c>
      <c r="D547" s="30">
        <v>27138.3868</v>
      </c>
      <c r="E547" s="26" t="s">
        <v>3629</v>
      </c>
    </row>
    <row r="548" spans="3:5" x14ac:dyDescent="0.2">
      <c r="C548" s="26" t="s">
        <v>560</v>
      </c>
      <c r="D548" s="26">
        <v>21866.086500000001</v>
      </c>
      <c r="E548" s="26" t="s">
        <v>3629</v>
      </c>
    </row>
    <row r="549" spans="3:5" x14ac:dyDescent="0.2">
      <c r="C549" s="30" t="s">
        <v>562</v>
      </c>
      <c r="D549" s="30">
        <v>9761.8752000000004</v>
      </c>
      <c r="E549" s="26" t="s">
        <v>3629</v>
      </c>
    </row>
    <row r="550" spans="3:5" x14ac:dyDescent="0.2">
      <c r="C550" s="26" t="s">
        <v>567</v>
      </c>
      <c r="D550" s="26">
        <v>22273.615600000001</v>
      </c>
      <c r="E550" s="26" t="s">
        <v>3629</v>
      </c>
    </row>
    <row r="551" spans="3:5" x14ac:dyDescent="0.2">
      <c r="C551" s="26" t="s">
        <v>667</v>
      </c>
      <c r="D551" s="26">
        <v>1980.6120000000003</v>
      </c>
      <c r="E551" s="26" t="s">
        <v>3629</v>
      </c>
    </row>
    <row r="552" spans="3:5" x14ac:dyDescent="0.2">
      <c r="C552" s="26" t="s">
        <v>3827</v>
      </c>
      <c r="D552" s="26">
        <v>1165.5773200000001</v>
      </c>
      <c r="E552" s="26" t="s">
        <v>3629</v>
      </c>
    </row>
    <row r="553" spans="3:5" x14ac:dyDescent="0.2">
      <c r="C553" s="26" t="s">
        <v>668</v>
      </c>
      <c r="D553" s="26">
        <v>1322.49305</v>
      </c>
      <c r="E553" s="26" t="s">
        <v>3629</v>
      </c>
    </row>
    <row r="554" spans="3:5" x14ac:dyDescent="0.2">
      <c r="C554" s="26" t="s">
        <v>666</v>
      </c>
      <c r="D554" s="26">
        <v>144.017628</v>
      </c>
      <c r="E554" s="26" t="s">
        <v>3629</v>
      </c>
    </row>
    <row r="555" spans="3:5" x14ac:dyDescent="0.2">
      <c r="C555" s="26" t="s">
        <v>664</v>
      </c>
      <c r="D555" s="26">
        <v>147722.20199999999</v>
      </c>
      <c r="E555" s="26" t="s">
        <v>3629</v>
      </c>
    </row>
    <row r="556" spans="3:5" x14ac:dyDescent="0.2">
      <c r="C556" s="26" t="s">
        <v>537</v>
      </c>
      <c r="D556" s="26">
        <v>38299.406900000002</v>
      </c>
      <c r="E556" s="26" t="s">
        <v>3629</v>
      </c>
    </row>
    <row r="557" spans="3:5" x14ac:dyDescent="0.2">
      <c r="C557" s="26" t="s">
        <v>538</v>
      </c>
      <c r="D557" s="26">
        <v>3846.6628799999999</v>
      </c>
      <c r="E557" s="26" t="s">
        <v>3629</v>
      </c>
    </row>
    <row r="558" spans="3:5" x14ac:dyDescent="0.2">
      <c r="C558" s="26" t="s">
        <v>539</v>
      </c>
      <c r="D558" s="26">
        <v>24460.080999999998</v>
      </c>
      <c r="E558" s="26" t="s">
        <v>3629</v>
      </c>
    </row>
    <row r="559" spans="3:5" x14ac:dyDescent="0.2">
      <c r="C559" s="26" t="s">
        <v>540</v>
      </c>
      <c r="D559" s="26">
        <v>311405.35700000002</v>
      </c>
      <c r="E559" s="26" t="s">
        <v>3629</v>
      </c>
    </row>
    <row r="560" spans="3:5" x14ac:dyDescent="0.2">
      <c r="C560" s="26" t="s">
        <v>541</v>
      </c>
      <c r="D560" s="26">
        <v>19868.087500000001</v>
      </c>
      <c r="E560" s="26" t="s">
        <v>3629</v>
      </c>
    </row>
    <row r="561" spans="3:5" x14ac:dyDescent="0.2">
      <c r="C561" s="26" t="s">
        <v>3828</v>
      </c>
      <c r="D561" s="26">
        <v>291537.27</v>
      </c>
      <c r="E561" s="26" t="s">
        <v>3629</v>
      </c>
    </row>
    <row r="562" spans="3:5" x14ac:dyDescent="0.2">
      <c r="C562" s="26" t="s">
        <v>3829</v>
      </c>
      <c r="D562" s="26">
        <v>291537.27</v>
      </c>
      <c r="E562" s="26" t="s">
        <v>3629</v>
      </c>
    </row>
    <row r="563" spans="3:5" x14ac:dyDescent="0.2">
      <c r="C563" s="26" t="s">
        <v>543</v>
      </c>
      <c r="D563" s="30">
        <v>429389.386</v>
      </c>
      <c r="E563" s="26" t="s">
        <v>3629</v>
      </c>
    </row>
    <row r="564" spans="3:5" x14ac:dyDescent="0.2">
      <c r="C564" s="30" t="s">
        <v>544</v>
      </c>
      <c r="D564" s="30">
        <v>429389.71100000001</v>
      </c>
      <c r="E564" s="26" t="s">
        <v>3629</v>
      </c>
    </row>
    <row r="565" spans="3:5" x14ac:dyDescent="0.2">
      <c r="C565" s="26" t="s">
        <v>545</v>
      </c>
      <c r="D565" s="26">
        <v>15912.703600000001</v>
      </c>
      <c r="E565" s="26" t="s">
        <v>3629</v>
      </c>
    </row>
    <row r="566" spans="3:5" x14ac:dyDescent="0.2">
      <c r="C566" s="30" t="s">
        <v>3830</v>
      </c>
      <c r="D566" s="26">
        <v>277415.196</v>
      </c>
      <c r="E566" s="26" t="s">
        <v>3629</v>
      </c>
    </row>
    <row r="567" spans="3:5" x14ac:dyDescent="0.2">
      <c r="C567" s="26" t="s">
        <v>3831</v>
      </c>
      <c r="D567" s="30">
        <v>0</v>
      </c>
      <c r="E567" s="30" t="s">
        <v>3629</v>
      </c>
    </row>
    <row r="568" spans="3:5" x14ac:dyDescent="0.2">
      <c r="C568" s="26" t="s">
        <v>3832</v>
      </c>
      <c r="D568" s="26">
        <v>277415.196</v>
      </c>
      <c r="E568" s="26" t="s">
        <v>3629</v>
      </c>
    </row>
    <row r="569" spans="3:5" x14ac:dyDescent="0.2">
      <c r="C569" s="26" t="s">
        <v>1105</v>
      </c>
      <c r="D569" s="26">
        <v>1050.60419</v>
      </c>
      <c r="E569" s="26" t="s">
        <v>3629</v>
      </c>
    </row>
    <row r="570" spans="3:5" x14ac:dyDescent="0.2">
      <c r="C570" s="26" t="s">
        <v>3833</v>
      </c>
      <c r="D570" s="30">
        <v>151974.19</v>
      </c>
      <c r="E570" s="30" t="s">
        <v>3629</v>
      </c>
    </row>
    <row r="571" spans="3:5" x14ac:dyDescent="0.2">
      <c r="C571" s="26" t="s">
        <v>3834</v>
      </c>
      <c r="D571" s="26">
        <v>0</v>
      </c>
      <c r="E571" s="26" t="s">
        <v>3629</v>
      </c>
    </row>
    <row r="572" spans="3:5" x14ac:dyDescent="0.2">
      <c r="C572" s="26" t="s">
        <v>3835</v>
      </c>
      <c r="D572" s="26">
        <v>311405.48100000003</v>
      </c>
      <c r="E572" s="26" t="s">
        <v>3629</v>
      </c>
    </row>
    <row r="573" spans="3:5" x14ac:dyDescent="0.2">
      <c r="C573" s="26" t="s">
        <v>3836</v>
      </c>
      <c r="D573" s="26">
        <v>44322.620900000002</v>
      </c>
      <c r="E573" s="26" t="s">
        <v>3629</v>
      </c>
    </row>
    <row r="574" spans="3:5" x14ac:dyDescent="0.2">
      <c r="C574" s="26" t="s">
        <v>546</v>
      </c>
      <c r="D574" s="26">
        <v>42590.408199999998</v>
      </c>
      <c r="E574" s="26" t="s">
        <v>3629</v>
      </c>
    </row>
    <row r="575" spans="3:5" x14ac:dyDescent="0.2">
      <c r="C575" s="30" t="s">
        <v>3837</v>
      </c>
      <c r="D575" s="30">
        <v>443226.19400000002</v>
      </c>
      <c r="E575" s="26" t="s">
        <v>3629</v>
      </c>
    </row>
    <row r="576" spans="3:5" x14ac:dyDescent="0.2">
      <c r="C576" s="26" t="s">
        <v>3838</v>
      </c>
      <c r="D576" s="26">
        <v>443226.20899999997</v>
      </c>
      <c r="E576" s="26" t="s">
        <v>3629</v>
      </c>
    </row>
    <row r="577" spans="3:5" x14ac:dyDescent="0.2">
      <c r="C577" s="26" t="s">
        <v>548</v>
      </c>
      <c r="D577" s="26">
        <v>947.45482000000004</v>
      </c>
      <c r="E577" s="26" t="s">
        <v>3629</v>
      </c>
    </row>
    <row r="578" spans="3:5" x14ac:dyDescent="0.2">
      <c r="C578" s="26" t="s">
        <v>3839</v>
      </c>
      <c r="D578" s="26">
        <v>442558.96</v>
      </c>
      <c r="E578" s="26" t="s">
        <v>3629</v>
      </c>
    </row>
    <row r="579" spans="3:5" x14ac:dyDescent="0.2">
      <c r="C579" s="26" t="s">
        <v>3867</v>
      </c>
      <c r="D579" s="26">
        <v>416465.397</v>
      </c>
      <c r="E579" s="26" t="s">
        <v>3629</v>
      </c>
    </row>
    <row r="580" spans="3:5" x14ac:dyDescent="0.2">
      <c r="C580" s="26" t="s">
        <v>3865</v>
      </c>
      <c r="D580" s="26">
        <v>39530.811800000003</v>
      </c>
      <c r="E580" s="26" t="s">
        <v>3629</v>
      </c>
    </row>
    <row r="581" spans="3:5" x14ac:dyDescent="0.2">
      <c r="C581" s="26" t="s">
        <v>3866</v>
      </c>
      <c r="D581" s="26">
        <v>136251.514</v>
      </c>
      <c r="E581" s="26" t="s">
        <v>3629</v>
      </c>
    </row>
    <row r="582" spans="3:5" x14ac:dyDescent="0.2">
      <c r="C582" s="26" t="s">
        <v>3866</v>
      </c>
      <c r="D582" s="26">
        <v>136251.514</v>
      </c>
      <c r="E582" s="26" t="s">
        <v>3629</v>
      </c>
    </row>
    <row r="583" spans="3:5" x14ac:dyDescent="0.2">
      <c r="C583" s="26" t="s">
        <v>3840</v>
      </c>
      <c r="D583" s="26">
        <v>443226.19400000002</v>
      </c>
      <c r="E583" s="26" t="s">
        <v>3629</v>
      </c>
    </row>
    <row r="584" spans="3:5" x14ac:dyDescent="0.2">
      <c r="C584" s="26" t="s">
        <v>3841</v>
      </c>
      <c r="D584" s="26">
        <v>11419.2086</v>
      </c>
      <c r="E584" s="26" t="s">
        <v>3629</v>
      </c>
    </row>
    <row r="585" spans="3:5" x14ac:dyDescent="0.2">
      <c r="C585" s="26" t="s">
        <v>3842</v>
      </c>
      <c r="D585" s="26">
        <v>2844.6651299999999</v>
      </c>
      <c r="E585" s="26" t="s">
        <v>3629</v>
      </c>
    </row>
    <row r="586" spans="3:5" x14ac:dyDescent="0.2">
      <c r="C586" s="26" t="s">
        <v>3885</v>
      </c>
      <c r="D586" s="26">
        <v>15801.260699999999</v>
      </c>
      <c r="E586" s="26" t="s">
        <v>3629</v>
      </c>
    </row>
    <row r="587" spans="3:5" x14ac:dyDescent="0.2">
      <c r="C587" s="26" t="s">
        <v>3843</v>
      </c>
      <c r="D587" s="26">
        <v>769.70806000000005</v>
      </c>
      <c r="E587" s="26" t="s">
        <v>3629</v>
      </c>
    </row>
    <row r="588" spans="3:5" x14ac:dyDescent="0.2">
      <c r="C588" s="26" t="s">
        <v>3844</v>
      </c>
      <c r="D588" s="26">
        <v>223.984489</v>
      </c>
      <c r="E588" s="26" t="s">
        <v>3629</v>
      </c>
    </row>
    <row r="589" spans="3:5" x14ac:dyDescent="0.2">
      <c r="C589" s="26" t="s">
        <v>3845</v>
      </c>
      <c r="D589" s="26">
        <v>13836.482900000001</v>
      </c>
      <c r="E589" s="26" t="s">
        <v>3629</v>
      </c>
    </row>
    <row r="590" spans="3:5" x14ac:dyDescent="0.2">
      <c r="C590" s="26" t="s">
        <v>3846</v>
      </c>
      <c r="D590" s="26">
        <v>13836.482900000001</v>
      </c>
      <c r="E590" s="26" t="s">
        <v>3629</v>
      </c>
    </row>
    <row r="591" spans="3:5" x14ac:dyDescent="0.2">
      <c r="C591" s="26" t="s">
        <v>800</v>
      </c>
      <c r="D591" s="26">
        <v>67.351979200000002</v>
      </c>
      <c r="E591" s="26" t="s">
        <v>3629</v>
      </c>
    </row>
    <row r="592" spans="3:5" x14ac:dyDescent="0.2">
      <c r="C592" s="30" t="s">
        <v>802</v>
      </c>
      <c r="D592" s="26">
        <v>16.4154968</v>
      </c>
      <c r="E592" s="26" t="s">
        <v>3629</v>
      </c>
    </row>
    <row r="593" spans="3:5" x14ac:dyDescent="0.2">
      <c r="C593" s="26" t="s">
        <v>3847</v>
      </c>
      <c r="D593" s="26">
        <v>13.357530000000001</v>
      </c>
      <c r="E593" s="26" t="s">
        <v>3629</v>
      </c>
    </row>
    <row r="594" spans="3:5" x14ac:dyDescent="0.2">
      <c r="C594" s="26" t="s">
        <v>3848</v>
      </c>
      <c r="D594" s="26">
        <v>32582.828799999999</v>
      </c>
      <c r="E594" s="26" t="s">
        <v>3629</v>
      </c>
    </row>
    <row r="595" spans="3:5" x14ac:dyDescent="0.2">
      <c r="C595" s="26" t="s">
        <v>3849</v>
      </c>
      <c r="D595" s="30">
        <v>391779.16200000001</v>
      </c>
      <c r="E595" s="26" t="s">
        <v>3629</v>
      </c>
    </row>
    <row r="596" spans="3:5" x14ac:dyDescent="0.2">
      <c r="C596" s="30" t="s">
        <v>3850</v>
      </c>
      <c r="D596" s="30">
        <v>29168.800400000004</v>
      </c>
      <c r="E596" s="26" t="s">
        <v>3629</v>
      </c>
    </row>
    <row r="597" spans="3:5" x14ac:dyDescent="0.2">
      <c r="C597" s="26" t="s">
        <v>552</v>
      </c>
      <c r="D597" s="26">
        <v>21808.6862</v>
      </c>
      <c r="E597" s="26" t="s">
        <v>3629</v>
      </c>
    </row>
    <row r="598" spans="3:5" x14ac:dyDescent="0.2">
      <c r="C598" s="26" t="s">
        <v>553</v>
      </c>
      <c r="D598" s="26">
        <v>36319.120199999998</v>
      </c>
      <c r="E598" s="26" t="s">
        <v>3629</v>
      </c>
    </row>
    <row r="599" spans="3:5" x14ac:dyDescent="0.2">
      <c r="C599" s="26" t="s">
        <v>554</v>
      </c>
      <c r="D599" s="26">
        <v>21759.645199999999</v>
      </c>
      <c r="E599" s="26" t="s">
        <v>3629</v>
      </c>
    </row>
    <row r="600" spans="3:5" x14ac:dyDescent="0.2">
      <c r="C600" s="26" t="s">
        <v>3851</v>
      </c>
      <c r="D600" s="26">
        <v>26774.6126</v>
      </c>
      <c r="E600" s="26" t="s">
        <v>3629</v>
      </c>
    </row>
    <row r="601" spans="3:5" x14ac:dyDescent="0.2">
      <c r="C601" s="26" t="s">
        <v>3852</v>
      </c>
      <c r="D601" s="26">
        <v>355311.777</v>
      </c>
      <c r="E601" s="26" t="s">
        <v>3629</v>
      </c>
    </row>
    <row r="602" spans="3:5" x14ac:dyDescent="0.2">
      <c r="C602" s="30" t="s">
        <v>557</v>
      </c>
      <c r="D602" s="30">
        <v>36530.594100000002</v>
      </c>
      <c r="E602" s="30" t="s">
        <v>3629</v>
      </c>
    </row>
    <row r="603" spans="3:5" x14ac:dyDescent="0.2">
      <c r="C603" s="26" t="s">
        <v>556</v>
      </c>
      <c r="D603" s="26">
        <v>12113.638199999999</v>
      </c>
      <c r="E603" s="26" t="s">
        <v>3629</v>
      </c>
    </row>
    <row r="604" spans="3:5" x14ac:dyDescent="0.2">
      <c r="C604" s="26" t="s">
        <v>3853</v>
      </c>
      <c r="D604" s="26">
        <v>36530.594100000002</v>
      </c>
      <c r="E604" s="26" t="s">
        <v>3629</v>
      </c>
    </row>
    <row r="605" spans="3:5" x14ac:dyDescent="0.2">
      <c r="C605" s="30" t="s">
        <v>558</v>
      </c>
      <c r="D605" s="30">
        <v>355311.777</v>
      </c>
      <c r="E605" s="26" t="s">
        <v>3629</v>
      </c>
    </row>
    <row r="606" spans="3:5" x14ac:dyDescent="0.2">
      <c r="C606" s="26" t="s">
        <v>3854</v>
      </c>
      <c r="D606" s="26">
        <v>809.38039300000003</v>
      </c>
      <c r="E606" s="26" t="s">
        <v>3629</v>
      </c>
    </row>
    <row r="607" spans="3:5" x14ac:dyDescent="0.2">
      <c r="C607" s="26" t="s">
        <v>3855</v>
      </c>
      <c r="D607" s="26">
        <v>410588.28600000002</v>
      </c>
      <c r="E607" s="26" t="s">
        <v>3629</v>
      </c>
    </row>
    <row r="608" spans="3:5" x14ac:dyDescent="0.2">
      <c r="C608" s="26" t="s">
        <v>3855</v>
      </c>
      <c r="D608" s="26">
        <v>410588.28600000002</v>
      </c>
      <c r="E608" s="26" t="s">
        <v>3629</v>
      </c>
    </row>
    <row r="609" spans="3:5" x14ac:dyDescent="0.2">
      <c r="C609" s="26" t="s">
        <v>559</v>
      </c>
      <c r="D609" s="26">
        <v>28617.837299999999</v>
      </c>
      <c r="E609" s="26" t="s">
        <v>3629</v>
      </c>
    </row>
    <row r="610" spans="3:5" x14ac:dyDescent="0.2">
      <c r="C610" s="26" t="s">
        <v>561</v>
      </c>
      <c r="D610" s="26">
        <v>2187337.31</v>
      </c>
      <c r="E610" s="26" t="s">
        <v>3629</v>
      </c>
    </row>
    <row r="611" spans="3:5" x14ac:dyDescent="0.2">
      <c r="C611" s="26" t="s">
        <v>3856</v>
      </c>
      <c r="D611" s="26">
        <v>385675.29200000002</v>
      </c>
      <c r="E611" s="26" t="s">
        <v>3629</v>
      </c>
    </row>
    <row r="612" spans="3:5" x14ac:dyDescent="0.2">
      <c r="C612" s="26" t="s">
        <v>563</v>
      </c>
      <c r="D612" s="26">
        <v>2278476.37</v>
      </c>
      <c r="E612" s="26" t="s">
        <v>3629</v>
      </c>
    </row>
    <row r="613" spans="3:5" x14ac:dyDescent="0.2">
      <c r="C613" s="26" t="s">
        <v>3857</v>
      </c>
      <c r="D613" s="26">
        <v>375739.00699999998</v>
      </c>
      <c r="E613" s="26" t="s">
        <v>3629</v>
      </c>
    </row>
    <row r="614" spans="3:5" x14ac:dyDescent="0.2">
      <c r="C614" s="26" t="s">
        <v>564</v>
      </c>
      <c r="D614" s="26">
        <v>9915.8414100000009</v>
      </c>
      <c r="E614" s="26" t="s">
        <v>3629</v>
      </c>
    </row>
    <row r="615" spans="3:5" x14ac:dyDescent="0.2">
      <c r="C615" s="26" t="s">
        <v>565</v>
      </c>
      <c r="D615" s="26">
        <v>223038.11799999999</v>
      </c>
      <c r="E615" s="26" t="s">
        <v>3629</v>
      </c>
    </row>
    <row r="616" spans="3:5" x14ac:dyDescent="0.2">
      <c r="C616" s="30" t="s">
        <v>3858</v>
      </c>
      <c r="D616" s="30">
        <v>4503.1755499999999</v>
      </c>
      <c r="E616" s="26" t="s">
        <v>3629</v>
      </c>
    </row>
    <row r="617" spans="3:5" x14ac:dyDescent="0.2">
      <c r="C617" s="26" t="s">
        <v>566</v>
      </c>
      <c r="D617" s="26">
        <v>464.92940899999996</v>
      </c>
      <c r="E617" s="26" t="s">
        <v>3629</v>
      </c>
    </row>
    <row r="618" spans="3:5" x14ac:dyDescent="0.2">
      <c r="C618" s="26" t="s">
        <v>1858</v>
      </c>
      <c r="D618" s="26">
        <v>1980.6120000000003</v>
      </c>
      <c r="E618" s="26" t="s">
        <v>3629</v>
      </c>
    </row>
    <row r="619" spans="3:5" x14ac:dyDescent="0.2">
      <c r="C619" s="26" t="s">
        <v>568</v>
      </c>
      <c r="D619" s="26">
        <v>8021.5972499999989</v>
      </c>
      <c r="E619" s="26" t="s">
        <v>3629</v>
      </c>
    </row>
    <row r="620" spans="3:5" x14ac:dyDescent="0.2">
      <c r="C620" s="30" t="s">
        <v>601</v>
      </c>
      <c r="D620" s="30">
        <v>2.0000000000000002E-5</v>
      </c>
      <c r="E620" s="26" t="s">
        <v>3629</v>
      </c>
    </row>
    <row r="621" spans="3:5" x14ac:dyDescent="0.2">
      <c r="C621" s="26" t="s">
        <v>796</v>
      </c>
      <c r="D621" s="26">
        <v>1158.0003400000001</v>
      </c>
      <c r="E621" s="26" t="s">
        <v>3629</v>
      </c>
    </row>
    <row r="622" spans="3:5" x14ac:dyDescent="0.2">
      <c r="C622" s="26" t="s">
        <v>797</v>
      </c>
      <c r="D622" s="26">
        <v>164.492718</v>
      </c>
      <c r="E622" s="26" t="s">
        <v>3629</v>
      </c>
    </row>
    <row r="623" spans="3:5" x14ac:dyDescent="0.2">
      <c r="C623" s="26" t="s">
        <v>798</v>
      </c>
      <c r="D623" s="26">
        <v>114.97313300000002</v>
      </c>
      <c r="E623" s="26" t="s">
        <v>3629</v>
      </c>
    </row>
    <row r="624" spans="3:5" x14ac:dyDescent="0.2">
      <c r="C624" s="26" t="s">
        <v>3859</v>
      </c>
      <c r="D624" s="26">
        <v>36530.594100000002</v>
      </c>
      <c r="E624" s="26" t="s">
        <v>3629</v>
      </c>
    </row>
    <row r="625" spans="3:5" x14ac:dyDescent="0.2">
      <c r="C625" s="26" t="s">
        <v>3860</v>
      </c>
      <c r="D625" s="26">
        <v>9761.8752000000004</v>
      </c>
      <c r="E625" s="26" t="s">
        <v>3629</v>
      </c>
    </row>
    <row r="626" spans="3:5" x14ac:dyDescent="0.2">
      <c r="C626" s="26" t="s">
        <v>3861</v>
      </c>
      <c r="D626" s="26">
        <v>46292.469299999997</v>
      </c>
      <c r="E626" s="26" t="s">
        <v>3629</v>
      </c>
    </row>
    <row r="627" spans="3:5" x14ac:dyDescent="0.2">
      <c r="C627" s="26" t="s">
        <v>3862</v>
      </c>
      <c r="D627" s="26">
        <v>318397.81900000002</v>
      </c>
      <c r="E627" s="26" t="s">
        <v>3629</v>
      </c>
    </row>
    <row r="628" spans="3:5" x14ac:dyDescent="0.2">
      <c r="C628" s="26" t="s">
        <v>3863</v>
      </c>
      <c r="D628" s="26">
        <v>284481.30300000001</v>
      </c>
      <c r="E628" s="26" t="s">
        <v>3629</v>
      </c>
    </row>
    <row r="629" spans="3:5" x14ac:dyDescent="0.2">
      <c r="C629" s="26" t="s">
        <v>569</v>
      </c>
      <c r="D629" s="26">
        <v>5725.61042</v>
      </c>
      <c r="E629" s="26" t="s">
        <v>3629</v>
      </c>
    </row>
    <row r="630" spans="3:5" x14ac:dyDescent="0.2">
      <c r="C630" s="26" t="s">
        <v>574</v>
      </c>
      <c r="D630" s="30">
        <v>4688.1963800000003</v>
      </c>
      <c r="E630" s="26" t="s">
        <v>3629</v>
      </c>
    </row>
    <row r="631" spans="3:5" x14ac:dyDescent="0.2">
      <c r="C631" s="26" t="s">
        <v>576</v>
      </c>
      <c r="D631" s="26">
        <v>9.9999999999999995E-8</v>
      </c>
      <c r="E631" s="26" t="s">
        <v>3629</v>
      </c>
    </row>
    <row r="632" spans="3:5" x14ac:dyDescent="0.2">
      <c r="C632" s="26" t="s">
        <v>3162</v>
      </c>
      <c r="D632" s="26">
        <v>895.38848099999996</v>
      </c>
      <c r="E632" s="26" t="s">
        <v>3629</v>
      </c>
    </row>
    <row r="633" spans="3:5" x14ac:dyDescent="0.2">
      <c r="C633" s="26" t="s">
        <v>570</v>
      </c>
      <c r="D633" s="26">
        <v>35576.460400000004</v>
      </c>
      <c r="E633" s="26" t="s">
        <v>3629</v>
      </c>
    </row>
    <row r="634" spans="3:5" x14ac:dyDescent="0.2">
      <c r="C634" s="26" t="s">
        <v>584</v>
      </c>
      <c r="D634" s="26">
        <v>206761.041</v>
      </c>
      <c r="E634" s="26" t="s">
        <v>3629</v>
      </c>
    </row>
    <row r="635" spans="3:5" x14ac:dyDescent="0.2">
      <c r="C635" s="26" t="s">
        <v>585</v>
      </c>
      <c r="D635" s="30">
        <v>242337.50200000001</v>
      </c>
      <c r="E635" s="26" t="s">
        <v>3629</v>
      </c>
    </row>
    <row r="636" spans="3:5" x14ac:dyDescent="0.2">
      <c r="C636" s="26" t="s">
        <v>571</v>
      </c>
      <c r="D636" s="26">
        <v>235125.15599999999</v>
      </c>
      <c r="E636" s="26" t="s">
        <v>3629</v>
      </c>
    </row>
    <row r="637" spans="3:5" x14ac:dyDescent="0.2">
      <c r="C637" s="26" t="s">
        <v>571</v>
      </c>
      <c r="D637" s="26">
        <v>235125.15599999999</v>
      </c>
      <c r="E637" s="26" t="s">
        <v>3629</v>
      </c>
    </row>
    <row r="638" spans="3:5" x14ac:dyDescent="0.2">
      <c r="C638" s="26" t="s">
        <v>572</v>
      </c>
      <c r="D638" s="26">
        <v>242394.87299999999</v>
      </c>
      <c r="E638" s="26" t="s">
        <v>3629</v>
      </c>
    </row>
    <row r="639" spans="3:5" x14ac:dyDescent="0.2">
      <c r="C639" s="26" t="s">
        <v>586</v>
      </c>
      <c r="D639" s="26">
        <v>242394.87299999999</v>
      </c>
      <c r="E639" s="26" t="s">
        <v>3629</v>
      </c>
    </row>
    <row r="640" spans="3:5" x14ac:dyDescent="0.2">
      <c r="C640" s="26" t="s">
        <v>573</v>
      </c>
      <c r="D640" s="26">
        <v>75951.225300000006</v>
      </c>
      <c r="E640" s="26" t="s">
        <v>3629</v>
      </c>
    </row>
    <row r="641" spans="3:5" x14ac:dyDescent="0.2">
      <c r="C641" s="26" t="s">
        <v>587</v>
      </c>
      <c r="D641" s="26">
        <v>57.370706500000004</v>
      </c>
      <c r="E641" s="26" t="s">
        <v>3629</v>
      </c>
    </row>
    <row r="642" spans="3:5" x14ac:dyDescent="0.2">
      <c r="C642" s="26" t="s">
        <v>588</v>
      </c>
      <c r="D642" s="30">
        <v>100183.613</v>
      </c>
      <c r="E642" s="30" t="s">
        <v>3629</v>
      </c>
    </row>
    <row r="643" spans="3:5" x14ac:dyDescent="0.2">
      <c r="C643" s="26" t="s">
        <v>575</v>
      </c>
      <c r="D643" s="26">
        <v>30626.203600000001</v>
      </c>
      <c r="E643" s="26" t="s">
        <v>3629</v>
      </c>
    </row>
    <row r="644" spans="3:5" x14ac:dyDescent="0.2">
      <c r="C644" s="26" t="s">
        <v>577</v>
      </c>
      <c r="D644" s="26">
        <v>75951.225300000006</v>
      </c>
      <c r="E644" s="26" t="s">
        <v>3629</v>
      </c>
    </row>
    <row r="645" spans="3:5" x14ac:dyDescent="0.2">
      <c r="C645" s="30" t="s">
        <v>578</v>
      </c>
      <c r="D645" s="26">
        <v>147722.20199999999</v>
      </c>
      <c r="E645" s="26" t="s">
        <v>3629</v>
      </c>
    </row>
    <row r="646" spans="3:5" x14ac:dyDescent="0.2">
      <c r="C646" s="26" t="s">
        <v>579</v>
      </c>
      <c r="D646" s="26">
        <v>523461.20899999997</v>
      </c>
      <c r="E646" s="26" t="s">
        <v>3629</v>
      </c>
    </row>
    <row r="647" spans="3:5" x14ac:dyDescent="0.2">
      <c r="C647" s="26" t="s">
        <v>580</v>
      </c>
      <c r="D647" s="26">
        <v>145</v>
      </c>
      <c r="E647" s="26" t="s">
        <v>3629</v>
      </c>
    </row>
    <row r="648" spans="3:5" x14ac:dyDescent="0.2">
      <c r="C648" s="26" t="s">
        <v>581</v>
      </c>
      <c r="D648" s="26">
        <v>0.24903522299999997</v>
      </c>
      <c r="E648" s="26" t="s">
        <v>3629</v>
      </c>
    </row>
    <row r="649" spans="3:5" x14ac:dyDescent="0.2">
      <c r="C649" s="26" t="s">
        <v>582</v>
      </c>
      <c r="D649" s="26">
        <v>2.2213445599999999</v>
      </c>
      <c r="E649" s="26" t="s">
        <v>3629</v>
      </c>
    </row>
    <row r="650" spans="3:5" x14ac:dyDescent="0.2">
      <c r="C650" s="26" t="s">
        <v>583</v>
      </c>
      <c r="D650" s="26">
        <v>11106722.800000001</v>
      </c>
      <c r="E650" s="26" t="s">
        <v>3629</v>
      </c>
    </row>
    <row r="651" spans="3:5" x14ac:dyDescent="0.2">
      <c r="C651" s="26" t="s">
        <v>3864</v>
      </c>
      <c r="D651" s="26">
        <v>11106722.800000001</v>
      </c>
      <c r="E651" s="26" t="s">
        <v>3629</v>
      </c>
    </row>
    <row r="652" spans="3:5" x14ac:dyDescent="0.2">
      <c r="C652" s="26" t="s">
        <v>589</v>
      </c>
      <c r="D652" s="26">
        <v>158</v>
      </c>
      <c r="E652" s="26" t="s">
        <v>3869</v>
      </c>
    </row>
    <row r="653" spans="3:5" x14ac:dyDescent="0.2">
      <c r="C653" s="26" t="s">
        <v>3868</v>
      </c>
      <c r="D653" s="26">
        <v>32</v>
      </c>
      <c r="E653" s="26" t="s">
        <v>3869</v>
      </c>
    </row>
    <row r="654" spans="3:5" x14ac:dyDescent="0.2">
      <c r="C654" s="26" t="s">
        <v>3870</v>
      </c>
      <c r="D654" s="26">
        <v>32</v>
      </c>
      <c r="E654" s="26" t="s">
        <v>3869</v>
      </c>
    </row>
    <row r="655" spans="3:5" x14ac:dyDescent="0.2">
      <c r="C655" s="26" t="s">
        <v>3871</v>
      </c>
      <c r="D655" s="26">
        <v>1408.1699100000001</v>
      </c>
      <c r="E655" s="26" t="s">
        <v>3872</v>
      </c>
    </row>
    <row r="656" spans="3:5" x14ac:dyDescent="0.2">
      <c r="C656" s="26" t="s">
        <v>3873</v>
      </c>
      <c r="D656" s="26">
        <v>2093.1605100000002</v>
      </c>
      <c r="E656" s="26" t="s">
        <v>3872</v>
      </c>
    </row>
    <row r="657" spans="3:5" x14ac:dyDescent="0.2">
      <c r="C657" s="26" t="s">
        <v>3884</v>
      </c>
      <c r="D657" s="26">
        <v>232.34081599999999</v>
      </c>
      <c r="E657" s="26" t="s">
        <v>3872</v>
      </c>
    </row>
    <row r="658" spans="3:5" x14ac:dyDescent="0.2">
      <c r="C658" s="26" t="s">
        <v>793</v>
      </c>
      <c r="D658" s="26">
        <v>859.48470299999997</v>
      </c>
      <c r="E658" s="26" t="s">
        <v>3872</v>
      </c>
    </row>
    <row r="659" spans="3:5" x14ac:dyDescent="0.2">
      <c r="C659" s="26" t="s">
        <v>3874</v>
      </c>
      <c r="D659" s="26">
        <v>5683.1566599999996</v>
      </c>
      <c r="E659" s="26" t="s">
        <v>3872</v>
      </c>
    </row>
    <row r="660" spans="3:5" x14ac:dyDescent="0.2">
      <c r="C660" s="26" t="s">
        <v>3875</v>
      </c>
      <c r="D660" s="26">
        <v>2600.9367499999998</v>
      </c>
      <c r="E660" s="26" t="s">
        <v>3872</v>
      </c>
    </row>
    <row r="661" spans="3:5" x14ac:dyDescent="0.2">
      <c r="C661" s="30" t="s">
        <v>3876</v>
      </c>
      <c r="D661" s="30">
        <v>5336.7340599999998</v>
      </c>
      <c r="E661" s="26" t="s">
        <v>3872</v>
      </c>
    </row>
    <row r="662" spans="3:5" x14ac:dyDescent="0.2">
      <c r="C662" s="30" t="s">
        <v>3877</v>
      </c>
      <c r="D662" s="26">
        <v>2126.2872499999999</v>
      </c>
      <c r="E662" s="26" t="s">
        <v>3872</v>
      </c>
    </row>
    <row r="663" spans="3:5" x14ac:dyDescent="0.2">
      <c r="C663" s="26" t="s">
        <v>3878</v>
      </c>
      <c r="D663" s="26">
        <v>7351.1827499999999</v>
      </c>
      <c r="E663" s="26" t="s">
        <v>3872</v>
      </c>
    </row>
    <row r="664" spans="3:5" x14ac:dyDescent="0.2">
      <c r="C664" s="26" t="s">
        <v>3879</v>
      </c>
      <c r="D664" s="26">
        <v>10.875159099999999</v>
      </c>
      <c r="E664" s="26" t="s">
        <v>3872</v>
      </c>
    </row>
    <row r="665" spans="3:5" x14ac:dyDescent="0.2">
      <c r="C665" s="30" t="s">
        <v>3880</v>
      </c>
      <c r="D665" s="30">
        <v>1368.7529300000001</v>
      </c>
      <c r="E665" s="26" t="s">
        <v>3872</v>
      </c>
    </row>
    <row r="666" spans="3:5" x14ac:dyDescent="0.2">
      <c r="C666" s="26" t="s">
        <v>3881</v>
      </c>
      <c r="D666" s="26">
        <v>3007.1149799999998</v>
      </c>
      <c r="E666" s="26" t="s">
        <v>3872</v>
      </c>
    </row>
    <row r="667" spans="3:5" x14ac:dyDescent="0.2">
      <c r="C667" s="26" t="s">
        <v>590</v>
      </c>
      <c r="D667" s="26">
        <v>-12794.672399999999</v>
      </c>
      <c r="E667" s="26" t="s">
        <v>3872</v>
      </c>
    </row>
    <row r="668" spans="3:5" x14ac:dyDescent="0.2">
      <c r="C668" s="26" t="s">
        <v>3882</v>
      </c>
      <c r="D668" s="26">
        <v>2448.1927999999998</v>
      </c>
      <c r="E668" s="26" t="s">
        <v>3872</v>
      </c>
    </row>
    <row r="669" spans="3:5" x14ac:dyDescent="0.2">
      <c r="C669" s="26" t="s">
        <v>3883</v>
      </c>
      <c r="D669" s="26">
        <v>1583.85013</v>
      </c>
      <c r="E669" s="26" t="s">
        <v>3872</v>
      </c>
    </row>
    <row r="670" spans="3:5" x14ac:dyDescent="0.2">
      <c r="C670" s="26" t="s">
        <v>1872</v>
      </c>
      <c r="D670" s="26">
        <v>-41139.1976</v>
      </c>
      <c r="E670" s="26" t="s">
        <v>3872</v>
      </c>
    </row>
    <row r="671" spans="3:5" x14ac:dyDescent="0.2">
      <c r="C671" s="26" t="s">
        <v>591</v>
      </c>
      <c r="D671" s="26">
        <v>-41139.1976</v>
      </c>
      <c r="E671" s="26" t="s">
        <v>3872</v>
      </c>
    </row>
    <row r="680" spans="4:5" x14ac:dyDescent="0.2">
      <c r="E680" s="30"/>
    </row>
    <row r="685" spans="4:5" x14ac:dyDescent="0.2">
      <c r="D685" s="30"/>
    </row>
    <row r="691" spans="3:5" x14ac:dyDescent="0.2">
      <c r="C691" s="30"/>
      <c r="D691" s="30"/>
      <c r="E691" s="30"/>
    </row>
  </sheetData>
  <sortState xmlns:xlrd2="http://schemas.microsoft.com/office/spreadsheetml/2017/richdata2" ref="C7:E671">
    <sortCondition ref="C7"/>
  </sortState>
  <phoneticPr fontId="0" type="noConversion"/>
  <pageMargins left="0.75" right="0.75" top="1" bottom="1" header="0.5" footer="0.5"/>
  <pageSetup paperSize="17" orientation="portrait" r:id="rId1"/>
  <headerFooter alignWithMargins="0"/>
  <drawing r:id="rId2"/>
  <legacyDrawing r:id="rId3"/>
  <controls>
    <mc:AlternateContent xmlns:mc="http://schemas.openxmlformats.org/markup-compatibility/2006">
      <mc:Choice Requires="x14">
        <control shapeId="116737" r:id="rId4" name="cmd_GetSumData">
          <controlPr defaultSize="0" autoLine="0" r:id="rId5">
            <anchor moveWithCells="1">
              <from>
                <xdr:col>0</xdr:col>
                <xdr:colOff>60960</xdr:colOff>
                <xdr:row>0</xdr:row>
                <xdr:rowOff>30480</xdr:rowOff>
              </from>
              <to>
                <xdr:col>1</xdr:col>
                <xdr:colOff>15240</xdr:colOff>
                <xdr:row>1</xdr:row>
                <xdr:rowOff>137160</xdr:rowOff>
              </to>
            </anchor>
          </controlPr>
        </control>
      </mc:Choice>
      <mc:Fallback>
        <control shapeId="116737" r:id="rId4" name="cmd_GetSumData"/>
      </mc:Fallback>
    </mc:AlternateContent>
    <mc:AlternateContent xmlns:mc="http://schemas.openxmlformats.org/markup-compatibility/2006">
      <mc:Choice Requires="x14">
        <control shapeId="116738" r:id="rId6" name="cmd_ClearSumData">
          <controlPr defaultSize="0" autoLine="0" r:id="rId7">
            <anchor moveWithCells="1">
              <from>
                <xdr:col>0</xdr:col>
                <xdr:colOff>60960</xdr:colOff>
                <xdr:row>2</xdr:row>
                <xdr:rowOff>45720</xdr:rowOff>
              </from>
              <to>
                <xdr:col>1</xdr:col>
                <xdr:colOff>7620</xdr:colOff>
                <xdr:row>3</xdr:row>
                <xdr:rowOff>152400</xdr:rowOff>
              </to>
            </anchor>
          </controlPr>
        </control>
      </mc:Choice>
      <mc:Fallback>
        <control shapeId="116738" r:id="rId6" name="cmd_ClearSumData"/>
      </mc:Fallback>
    </mc:AlternateContent>
    <mc:AlternateContent xmlns:mc="http://schemas.openxmlformats.org/markup-compatibility/2006">
      <mc:Choice Requires="x14">
        <control shapeId="116739" r:id="rId8" name="Button 3">
          <controlPr defaultSize="0" print="0" autoFill="0" autoPict="0" macro="[0]!solvedcfror">
            <anchor moveWithCells="1" sizeWithCells="1">
              <from>
                <xdr:col>0</xdr:col>
                <xdr:colOff>68580</xdr:colOff>
                <xdr:row>4</xdr:row>
                <xdr:rowOff>83820</xdr:rowOff>
              </from>
              <to>
                <xdr:col>0</xdr:col>
                <xdr:colOff>1074420</xdr:colOff>
                <xdr:row>4</xdr:row>
                <xdr:rowOff>297180</xdr:rowOff>
              </to>
            </anchor>
          </controlPr>
        </control>
      </mc:Choice>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R66"/>
  <sheetViews>
    <sheetView workbookViewId="0">
      <selection activeCell="F10" sqref="F10"/>
    </sheetView>
  </sheetViews>
  <sheetFormatPr defaultColWidth="9" defaultRowHeight="13.2" x14ac:dyDescent="0.25"/>
  <cols>
    <col min="1" max="1" width="18" style="9" customWidth="1"/>
    <col min="2" max="2" width="29.109375" style="9" customWidth="1"/>
    <col min="3" max="3" width="18.33203125" style="9" bestFit="1" customWidth="1"/>
    <col min="4" max="4" width="22.109375" style="9" bestFit="1" customWidth="1"/>
    <col min="5" max="5" width="18.33203125" style="9" bestFit="1" customWidth="1"/>
    <col min="6" max="6" width="14.6640625" style="9" bestFit="1" customWidth="1"/>
    <col min="7" max="7" width="20.109375" style="9" bestFit="1" customWidth="1"/>
    <col min="8" max="8" width="12.44140625" style="9" bestFit="1" customWidth="1"/>
    <col min="9" max="9" width="12.109375" style="9" bestFit="1" customWidth="1"/>
    <col min="10" max="10" width="10.44140625" style="9" bestFit="1" customWidth="1"/>
    <col min="11" max="11" width="10.109375" style="9" bestFit="1" customWidth="1"/>
    <col min="12" max="12" width="16.33203125" style="9" customWidth="1"/>
    <col min="13" max="13" width="26" style="9" bestFit="1" customWidth="1"/>
    <col min="14" max="14" width="10.88671875" style="9" customWidth="1"/>
    <col min="15" max="15" width="9" style="9"/>
    <col min="16" max="16" width="21.77734375" style="9" bestFit="1" customWidth="1"/>
    <col min="17" max="17" width="9" style="9"/>
    <col min="18" max="18" width="15.109375" style="9" customWidth="1"/>
    <col min="19" max="16384" width="9" style="9"/>
  </cols>
  <sheetData>
    <row r="1" spans="1:18" ht="13.8" thickBot="1" x14ac:dyDescent="0.3">
      <c r="A1" s="8" t="s">
        <v>164</v>
      </c>
      <c r="M1" s="410" t="s">
        <v>2064</v>
      </c>
      <c r="N1" s="410"/>
      <c r="P1" s="410" t="s">
        <v>2095</v>
      </c>
      <c r="Q1" s="410" t="s">
        <v>122</v>
      </c>
      <c r="R1" s="410" t="s">
        <v>173</v>
      </c>
    </row>
    <row r="2" spans="1:18" ht="13.8" thickBot="1" x14ac:dyDescent="0.3">
      <c r="A2" s="266" t="s">
        <v>166</v>
      </c>
      <c r="B2" s="267"/>
      <c r="C2" s="268" t="s">
        <v>167</v>
      </c>
      <c r="D2" s="268" t="s">
        <v>168</v>
      </c>
      <c r="E2" s="268" t="s">
        <v>169</v>
      </c>
      <c r="F2" s="268" t="s">
        <v>170</v>
      </c>
      <c r="G2" s="268" t="s">
        <v>171</v>
      </c>
      <c r="H2" s="268" t="s">
        <v>236</v>
      </c>
      <c r="I2" s="268" t="s">
        <v>172</v>
      </c>
      <c r="J2" s="268" t="s">
        <v>173</v>
      </c>
      <c r="K2" s="269"/>
      <c r="M2" s="272" t="s">
        <v>149</v>
      </c>
      <c r="N2" s="897">
        <f ca="1">Summary!D5</f>
        <v>2.5272281460796382</v>
      </c>
      <c r="P2" s="409" t="s">
        <v>2096</v>
      </c>
      <c r="Q2" s="411">
        <f ca="1">C6</f>
        <v>7.7078748940107383E-2</v>
      </c>
      <c r="R2" s="412">
        <f ca="1">Q2/$Q$8</f>
        <v>0.1872091911537235</v>
      </c>
    </row>
    <row r="3" spans="1:18" x14ac:dyDescent="0.25">
      <c r="A3" s="10" t="s">
        <v>190</v>
      </c>
      <c r="B3" s="11" t="str">
        <f ca="1">"Feedstock + Handling: "&amp;J3</f>
        <v>Feedstock + Handling: 90.2¢</v>
      </c>
      <c r="C3" s="22">
        <v>0</v>
      </c>
      <c r="D3" s="22">
        <f ca="1">OPEX!$M$12/100</f>
        <v>0.9022410292540981</v>
      </c>
      <c r="E3" s="22">
        <v>0</v>
      </c>
      <c r="F3" s="23">
        <v>0</v>
      </c>
      <c r="G3" s="23">
        <v>0</v>
      </c>
      <c r="H3" s="22">
        <v>0</v>
      </c>
      <c r="I3" s="23">
        <f ca="1">D3</f>
        <v>0.9022410292540981</v>
      </c>
      <c r="J3" s="14" t="str">
        <f t="shared" ref="J3:J9" ca="1" si="0">TEXT(100*I3,"0.0") &amp; "¢"</f>
        <v>90.2¢</v>
      </c>
      <c r="K3" s="15" t="s">
        <v>231</v>
      </c>
      <c r="M3" s="189" t="s">
        <v>2065</v>
      </c>
      <c r="N3" s="897">
        <f ca="1">Summary!D8</f>
        <v>0.9022410292540981</v>
      </c>
      <c r="P3" s="409" t="s">
        <v>1074</v>
      </c>
      <c r="Q3" s="411">
        <f ca="1">OPEX!M19/100</f>
        <v>0.25424422110837752</v>
      </c>
      <c r="R3" s="412">
        <f ca="1">Q3/$Q$8</f>
        <v>0.61750943864166818</v>
      </c>
    </row>
    <row r="4" spans="1:18" x14ac:dyDescent="0.25">
      <c r="A4" s="10" t="s">
        <v>320</v>
      </c>
      <c r="B4" s="11" t="str">
        <f ca="1">"Pretreatment / Conditioning: "&amp;J4</f>
        <v>Pretreatment / Conditioning: 32.7¢</v>
      </c>
      <c r="C4" s="22">
        <f ca="1">(CAPEX200/CAPEX)*((Summary!$F$27+Summary!$F$29+Summary!$F$28)/100)</f>
        <v>0.1355713440293575</v>
      </c>
      <c r="D4" s="22">
        <f ca="1">(OPEX!$M$13+OPEX!$M$14)/100</f>
        <v>0.11757846653434623</v>
      </c>
      <c r="E4" s="22">
        <f ca="1">('Operating Summaries'!$H$17*OPEX!$B$7*OPEX!$J$35)/(OPEX!$B$3*1000000)</f>
        <v>4.4773248143977921E-2</v>
      </c>
      <c r="F4" s="23">
        <v>0</v>
      </c>
      <c r="G4" s="23">
        <v>0</v>
      </c>
      <c r="H4" s="22">
        <f ca="1">(CAPEX200/CAPEX)*(Summary!$F$26/100)</f>
        <v>2.884043333169032E-2</v>
      </c>
      <c r="I4" s="23">
        <f t="shared" ref="I4:I11" ca="1" si="1">SUM(C4:H4)</f>
        <v>0.32676349203937199</v>
      </c>
      <c r="J4" s="14" t="str">
        <f t="shared" ca="1" si="0"/>
        <v>32.7¢</v>
      </c>
      <c r="K4" s="15" t="s">
        <v>181</v>
      </c>
      <c r="M4" s="189" t="s">
        <v>2067</v>
      </c>
      <c r="N4" s="897">
        <f ca="1">Summary!D9</f>
        <v>0.41172523883624679</v>
      </c>
      <c r="P4" s="409" t="s">
        <v>2187</v>
      </c>
      <c r="Q4" s="411">
        <f ca="1">D6-Q3</f>
        <v>2.1961063249642643E-2</v>
      </c>
      <c r="R4" s="412">
        <f ca="1">Q4/$Q$8</f>
        <v>5.3339123226247238E-2</v>
      </c>
    </row>
    <row r="5" spans="1:18" x14ac:dyDescent="0.25">
      <c r="A5" s="10" t="s">
        <v>328</v>
      </c>
      <c r="B5" s="11" t="str">
        <f ca="1">"Enzymatic Hydrolysis and Fermentation: "&amp;J5</f>
        <v>Enzymatic Hydrolysis and Fermentation: 22.3¢</v>
      </c>
      <c r="C5" s="22">
        <f ca="1">(CAPEX300/CAPEX)*((Summary!$F$27+Summary!$F$29+Summary!$F$28)/100)</f>
        <v>0.12863230133664449</v>
      </c>
      <c r="D5" s="22">
        <f ca="1">SUM(OPEX!$M$15:'OPEX'!$M$17)/100</f>
        <v>4.6716637313114442E-2</v>
      </c>
      <c r="E5" s="22">
        <f ca="1">('Operating Summaries'!$H$18*OPEX!$B$7*OPEX!$J$35)/(OPEX!$B$3*1000000)</f>
        <v>2.0490792966200141E-2</v>
      </c>
      <c r="F5" s="23">
        <v>0</v>
      </c>
      <c r="G5" s="23">
        <v>0</v>
      </c>
      <c r="H5" s="22">
        <f ca="1">(CAPEX300/CAPEX)*(Summary!$F$26/100)</f>
        <v>2.7364273309837865E-2</v>
      </c>
      <c r="I5" s="23">
        <f t="shared" ca="1" si="1"/>
        <v>0.22320400492579695</v>
      </c>
      <c r="J5" s="14" t="str">
        <f t="shared" ca="1" si="0"/>
        <v>22.3¢</v>
      </c>
      <c r="K5" s="15" t="s">
        <v>184</v>
      </c>
      <c r="M5" s="189" t="s">
        <v>2066</v>
      </c>
      <c r="N5" s="897">
        <f ca="1">Summary!D10</f>
        <v>1.2132618779892934</v>
      </c>
      <c r="P5" s="409" t="s">
        <v>235</v>
      </c>
      <c r="Q5" s="411">
        <f ca="1">E6</f>
        <v>4.2044049221546323E-2</v>
      </c>
      <c r="R5" s="412">
        <f ca="1">Q5/$Q$8</f>
        <v>0.10211676442373326</v>
      </c>
    </row>
    <row r="6" spans="1:18" x14ac:dyDescent="0.25">
      <c r="A6" s="10" t="s">
        <v>329</v>
      </c>
      <c r="B6" s="11" t="str">
        <f ca="1">"Cellulase Enzyme: "&amp;J6</f>
        <v>Cellulase Enzyme: 41.2¢</v>
      </c>
      <c r="C6" s="22">
        <f ca="1">(CAPEX400/CAPEX)*((Summary!$F$27+Summary!$F$29+Summary!$F$28)/100)</f>
        <v>7.7078748940107383E-2</v>
      </c>
      <c r="D6" s="22">
        <f ca="1">SUM(OPEX!$M$18:'OPEX'!$M$23)/100</f>
        <v>0.27620528435802016</v>
      </c>
      <c r="E6" s="22">
        <f ca="1">('Operating Summaries'!$H$19*OPEX!$B$7*OPEX!$J$35)/(OPEX!$B$3*1000000)</f>
        <v>4.2044049221546323E-2</v>
      </c>
      <c r="F6" s="23">
        <v>0</v>
      </c>
      <c r="G6" s="23">
        <v>0</v>
      </c>
      <c r="H6" s="22">
        <f ca="1">(CAPEX400/CAPEX)*(Summary!$F$26/100)</f>
        <v>1.6397156316572944E-2</v>
      </c>
      <c r="I6" s="23">
        <f t="shared" ca="1" si="1"/>
        <v>0.41172523883624679</v>
      </c>
      <c r="J6" s="14" t="str">
        <f t="shared" ca="1" si="0"/>
        <v>41.2¢</v>
      </c>
      <c r="K6" s="15" t="s">
        <v>187</v>
      </c>
      <c r="M6" s="189" t="s">
        <v>2360</v>
      </c>
      <c r="N6" s="897">
        <f ca="1">Summary!B36</f>
        <v>7.6141364633811879</v>
      </c>
      <c r="P6" s="409" t="s">
        <v>236</v>
      </c>
      <c r="Q6" s="411">
        <f ca="1">H6</f>
        <v>1.6397156316572944E-2</v>
      </c>
      <c r="R6" s="412">
        <f ca="1">Q6/$Q$8</f>
        <v>3.9825482554627881E-2</v>
      </c>
    </row>
    <row r="7" spans="1:18" x14ac:dyDescent="0.25">
      <c r="A7" s="10" t="s">
        <v>362</v>
      </c>
      <c r="B7" s="11" t="str">
        <f ca="1">"Distillation and Solids Recovery: "&amp;J7</f>
        <v>Distillation and Solids Recovery: 12.8¢</v>
      </c>
      <c r="C7" s="22">
        <f ca="1">(CAPEX500/CAPEX)*((Summary!$F$27+Summary!$F$29+Summary!$F$28)/100)</f>
        <v>9.1807964817465032E-2</v>
      </c>
      <c r="D7" s="22">
        <v>0</v>
      </c>
      <c r="E7" s="22">
        <f ca="1">('Operating Summaries'!$H$20*OPEX!$B$7*OPEX!$J$35)/(OPEX!$B$3*1000000)</f>
        <v>1.6751392292188975E-2</v>
      </c>
      <c r="F7" s="23">
        <v>0</v>
      </c>
      <c r="G7" s="23">
        <v>0</v>
      </c>
      <c r="H7" s="22">
        <f ca="1">(CAPEX500/CAPEX)*(Summary!$F$26/100)</f>
        <v>1.9530539492644574E-2</v>
      </c>
      <c r="I7" s="23">
        <f t="shared" ca="1" si="1"/>
        <v>0.12808989660229858</v>
      </c>
      <c r="J7" s="14" t="str">
        <f t="shared" ca="1" si="0"/>
        <v>12.8¢</v>
      </c>
      <c r="K7" s="15" t="s">
        <v>189</v>
      </c>
      <c r="M7" s="189" t="s">
        <v>2088</v>
      </c>
      <c r="N7" s="381">
        <f ca="1">Summary!D13</f>
        <v>78.994725844598719</v>
      </c>
    </row>
    <row r="8" spans="1:18" x14ac:dyDescent="0.25">
      <c r="A8" s="10" t="s">
        <v>365</v>
      </c>
      <c r="B8" s="11" t="str">
        <f ca="1">"Wastewater Treatment: "&amp;J8</f>
        <v>Wastewater Treatment: 36.5¢</v>
      </c>
      <c r="C8" s="22">
        <f ca="1">(CAPEX600/CAPEX)*((Summary!$F$27+Summary!$F$29+Summary!$F$28)/100)</f>
        <v>0.20252837489658421</v>
      </c>
      <c r="D8" s="22">
        <f ca="1">SUM(OPEX!$M$24)/100</f>
        <v>6.0994863683174201E-2</v>
      </c>
      <c r="E8" s="22">
        <f ca="1">('Operating Summaries'!$H$21*OPEX!$B$7*OPEX!$J$35)/(OPEX!$B$3*1000000)</f>
        <v>5.7914350968723792E-2</v>
      </c>
      <c r="F8" s="23">
        <v>0</v>
      </c>
      <c r="G8" s="23">
        <v>0</v>
      </c>
      <c r="H8" s="22">
        <f ca="1">(CAPEX600/CAPEX)*(Summary!$F$26/100)</f>
        <v>4.3084371080039381E-2</v>
      </c>
      <c r="I8" s="23">
        <f t="shared" ca="1" si="1"/>
        <v>0.36452196062852155</v>
      </c>
      <c r="J8" s="14" t="str">
        <f t="shared" ca="1" si="0"/>
        <v>36.5¢</v>
      </c>
      <c r="K8" s="15" t="s">
        <v>186</v>
      </c>
      <c r="M8" s="402"/>
      <c r="N8" s="402"/>
      <c r="P8" s="409" t="s">
        <v>2097</v>
      </c>
      <c r="Q8" s="411">
        <f ca="1">SUM(Q2:Q6)</f>
        <v>0.41172523883624679</v>
      </c>
      <c r="R8" s="9" t="str">
        <f ca="1">TEXT(Q8,"$#,##0.00") &amp; "/gal ethanol"</f>
        <v>$0.41/gal ethanol</v>
      </c>
    </row>
    <row r="9" spans="1:18" x14ac:dyDescent="0.25">
      <c r="A9" s="10" t="s">
        <v>381</v>
      </c>
      <c r="B9" s="11" t="str">
        <f ca="1">"Storage: "&amp;J9</f>
        <v>Storage: 2.5¢</v>
      </c>
      <c r="C9" s="22">
        <f ca="1">(CAPEX700/CAPEX)*((Summary!$F$27+Summary!$F$29+Summary!$F$28)/100)</f>
        <v>2.0376299355190676E-2</v>
      </c>
      <c r="D9" s="22">
        <v>0</v>
      </c>
      <c r="E9" s="22">
        <f ca="1">('Operating Summaries'!$H$22*OPEX!$B$7*OPEX!$J$35)/(OPEX!$B$3*1000000)</f>
        <v>8.5677067538296516E-5</v>
      </c>
      <c r="F9" s="23">
        <v>0</v>
      </c>
      <c r="G9" s="23">
        <v>0</v>
      </c>
      <c r="H9" s="22">
        <f ca="1">(CAPEX700/CAPEX)*(Summary!$F$26/100)</f>
        <v>4.3347014614879466E-3</v>
      </c>
      <c r="I9" s="23">
        <f t="shared" ca="1" si="1"/>
        <v>2.4796677884216918E-2</v>
      </c>
      <c r="J9" s="14" t="str">
        <f t="shared" ca="1" si="0"/>
        <v>2.5¢</v>
      </c>
      <c r="K9" s="15" t="s">
        <v>176</v>
      </c>
      <c r="M9" s="272" t="s">
        <v>2068</v>
      </c>
      <c r="N9" s="189"/>
    </row>
    <row r="10" spans="1:18" x14ac:dyDescent="0.25">
      <c r="A10" s="10" t="s">
        <v>394</v>
      </c>
      <c r="B10" s="11" t="str">
        <f ca="1">"Boiler/Turbogenerator: "&amp;J10</f>
        <v>Boiler/Turbogenerator: (Net) 8.1¢</v>
      </c>
      <c r="C10" s="22">
        <f ca="1">(CAPEX800/CAPEX)*((Summary!$F$27+Summary!$F$29+Summary!$F$28)/100)</f>
        <v>0.27071533524545893</v>
      </c>
      <c r="D10" s="22">
        <f ca="1">(OPEX!$M$32+SUM(OPEX!$M$25:$M$27))/100</f>
        <v>6.555411739232056E-2</v>
      </c>
      <c r="E10" s="22">
        <f ca="1">('Operating Summaries'!$H$23*OPEX!$B$7*OPEX!$J$35)/(OPEX!$B$3*1000000)</f>
        <v>1.0783358307544325E-2</v>
      </c>
      <c r="F10" s="22">
        <f ca="1">((('Operating Summaries'!$H$15*OPEX!$B$7*OPEX!$J$35)/(OPEX!$B$3*1000000)))-G10</f>
        <v>-0.10757066870729626</v>
      </c>
      <c r="G10" s="23">
        <f ca="1">-E12</f>
        <v>-0.21653362979869306</v>
      </c>
      <c r="H10" s="22">
        <f ca="1">(CAPEX800/CAPEX)*(Summary!$F$26/100)</f>
        <v>5.758995482350722E-2</v>
      </c>
      <c r="I10" s="23">
        <f t="shared" ca="1" si="1"/>
        <v>8.0538467262841765E-2</v>
      </c>
      <c r="J10" s="14" t="str">
        <f ca="1">"(Net) " &amp; TEXT(100*I10,"0.0") &amp; "¢"</f>
        <v>(Net) 8.1¢</v>
      </c>
      <c r="K10" s="15" t="s">
        <v>183</v>
      </c>
      <c r="M10" s="403" t="s">
        <v>231</v>
      </c>
      <c r="N10" s="404"/>
      <c r="P10" s="409" t="s">
        <v>2098</v>
      </c>
      <c r="Q10" s="411">
        <f ca="1">Q8*ETOHRATE/'Set-up'!B39/3.785/'Operating Summaries'!F56</f>
        <v>5.1634841147434507</v>
      </c>
      <c r="R10" s="9" t="str">
        <f ca="1">TEXT(Q10,"$#,##0.00") &amp; "/kg protein"</f>
        <v>$5.16/kg protein</v>
      </c>
    </row>
    <row r="11" spans="1:18" ht="13.8" thickBot="1" x14ac:dyDescent="0.3">
      <c r="A11" s="10" t="s">
        <v>178</v>
      </c>
      <c r="B11" s="11" t="str">
        <f ca="1">"Utilities: "&amp;J11</f>
        <v>Utilities: 6.5¢</v>
      </c>
      <c r="C11" s="22">
        <f ca="1">(CAPEX900/CAPEX)*((Summary!$F$27+Summary!$F$29+Summary!$F$28)/100)</f>
        <v>2.764351825690976E-2</v>
      </c>
      <c r="D11" s="22">
        <f ca="1">((OPEX!$M$29/100)+(OPEX!$M$28/100))</f>
        <v>8.1324246555326656E-3</v>
      </c>
      <c r="E11" s="22">
        <f ca="1">('Operating Summaries'!$H$24*OPEX!$B$7*OPEX!$J$35)/(OPEX!$B$3*1000000)</f>
        <v>2.369076083097333E-2</v>
      </c>
      <c r="F11" s="23">
        <v>0</v>
      </c>
      <c r="G11" s="23">
        <v>0</v>
      </c>
      <c r="H11" s="22">
        <f ca="1">(CAPEX900/CAPEX)*(Summary!$F$26/100)</f>
        <v>5.8806752345033041E-3</v>
      </c>
      <c r="I11" s="23">
        <f t="shared" ca="1" si="1"/>
        <v>6.5347378977919063E-2</v>
      </c>
      <c r="J11" s="14" t="str">
        <f ca="1">TEXT(100*I11,"0.0") &amp; "¢"</f>
        <v>6.5¢</v>
      </c>
      <c r="K11" s="15" t="s">
        <v>180</v>
      </c>
      <c r="M11" s="189" t="s">
        <v>2069</v>
      </c>
      <c r="N11" s="405">
        <f>OPEX!I7</f>
        <v>71.260000000000005</v>
      </c>
      <c r="P11" s="409" t="s">
        <v>2099</v>
      </c>
      <c r="Q11" s="411">
        <f ca="1">Q10*'Operating Summaries'!F58/1000</f>
        <v>0.20601044942473615</v>
      </c>
      <c r="R11" s="9" t="str">
        <f ca="1">TEXT(Q11,"$#,##0.00") &amp; "/L broth"</f>
        <v>$0.21/L broth</v>
      </c>
    </row>
    <row r="12" spans="1:18" ht="13.8" thickBot="1" x14ac:dyDescent="0.3">
      <c r="A12" s="258"/>
      <c r="B12" s="259" t="s">
        <v>191</v>
      </c>
      <c r="C12" s="260">
        <f t="shared" ref="C12:I12" ca="1" si="2">SUM(C3:C11)</f>
        <v>0.95435388687771805</v>
      </c>
      <c r="D12" s="260">
        <f t="shared" ca="1" si="2"/>
        <v>1.4774228231906068</v>
      </c>
      <c r="E12" s="260">
        <f t="shared" ca="1" si="2"/>
        <v>0.21653362979869306</v>
      </c>
      <c r="F12" s="261">
        <f t="shared" ca="1" si="2"/>
        <v>-0.10757066870729626</v>
      </c>
      <c r="G12" s="261">
        <f t="shared" ca="1" si="2"/>
        <v>-0.21653362979869306</v>
      </c>
      <c r="H12" s="260">
        <f t="shared" ca="1" si="2"/>
        <v>0.20302210505028356</v>
      </c>
      <c r="I12" s="262">
        <f t="shared" ca="1" si="2"/>
        <v>2.527228146411312</v>
      </c>
      <c r="J12" s="263" t="str">
        <f ca="1">TEXT(I12,"$0.00") &amp; " MESP"</f>
        <v>$2.53 MESP</v>
      </c>
      <c r="K12" s="264" t="s">
        <v>192</v>
      </c>
      <c r="M12" s="403" t="s">
        <v>452</v>
      </c>
      <c r="N12" s="404"/>
    </row>
    <row r="13" spans="1:18" ht="13.8" thickBot="1" x14ac:dyDescent="0.3">
      <c r="A13" s="8" t="s">
        <v>165</v>
      </c>
      <c r="M13" s="189" t="s">
        <v>2073</v>
      </c>
      <c r="N13" s="406">
        <f ca="1">'Operating Summaries'!D18</f>
        <v>0.9</v>
      </c>
    </row>
    <row r="14" spans="1:18" ht="13.8" thickBot="1" x14ac:dyDescent="0.3">
      <c r="A14" s="266" t="s">
        <v>166</v>
      </c>
      <c r="B14" s="267"/>
      <c r="C14" s="268" t="s">
        <v>167</v>
      </c>
      <c r="D14" s="268" t="s">
        <v>168</v>
      </c>
      <c r="E14" s="268" t="s">
        <v>169</v>
      </c>
      <c r="F14" s="268" t="s">
        <v>170</v>
      </c>
      <c r="G14" s="268" t="s">
        <v>171</v>
      </c>
      <c r="H14" s="268" t="s">
        <v>236</v>
      </c>
      <c r="I14" s="268" t="s">
        <v>172</v>
      </c>
      <c r="J14" s="268" t="s">
        <v>173</v>
      </c>
      <c r="K14" s="269"/>
      <c r="M14" s="189" t="s">
        <v>2074</v>
      </c>
      <c r="N14" s="406">
        <f ca="1">'Operating Summaries'!D19+'Operating Summaries'!D20</f>
        <v>0.05</v>
      </c>
      <c r="O14" s="21"/>
    </row>
    <row r="15" spans="1:18" x14ac:dyDescent="0.25">
      <c r="A15" s="10" t="s">
        <v>190</v>
      </c>
      <c r="B15" s="11" t="s">
        <v>2182</v>
      </c>
      <c r="C15" s="12">
        <f>C3/DCFROR!$B$35</f>
        <v>0</v>
      </c>
      <c r="D15" s="12">
        <f ca="1">D3/DCFROR!$B$35</f>
        <v>0.35700814374582651</v>
      </c>
      <c r="E15" s="12">
        <f>E3/DCFROR!$B$35</f>
        <v>0</v>
      </c>
      <c r="F15" s="12">
        <f>F3/DCFROR!$B$35</f>
        <v>0</v>
      </c>
      <c r="G15" s="12">
        <f>G3/DCFROR!$B$35</f>
        <v>0</v>
      </c>
      <c r="H15" s="12">
        <f>H3/DCFROR!$B$35</f>
        <v>0</v>
      </c>
      <c r="I15" s="13">
        <f ca="1">D15</f>
        <v>0.35700814374582651</v>
      </c>
      <c r="J15" s="14" t="str">
        <f t="shared" ref="J15:J21" ca="1" si="3">TEXT(I15,"0%")</f>
        <v>36%</v>
      </c>
      <c r="K15" s="15" t="s">
        <v>231</v>
      </c>
      <c r="M15" s="189" t="s">
        <v>2076</v>
      </c>
      <c r="N15" s="189" t="str">
        <f ca="1">IF(VLOOKUP("strm.a200.254b",INDIRECT(LU_SENS),2,FALSE)&gt;0, "Yes","No")</f>
        <v>No</v>
      </c>
    </row>
    <row r="16" spans="1:18" x14ac:dyDescent="0.25">
      <c r="A16" s="10" t="s">
        <v>320</v>
      </c>
      <c r="B16" s="11" t="s">
        <v>2151</v>
      </c>
      <c r="C16" s="12">
        <f ca="1">C4/DCFROR!$B$35</f>
        <v>5.3644283852909168E-2</v>
      </c>
      <c r="D16" s="12">
        <f ca="1">D4/DCFROR!$B$35</f>
        <v>4.652467436180615E-2</v>
      </c>
      <c r="E16" s="12">
        <f ca="1">E4/DCFROR!$B$35</f>
        <v>1.7716345955323586E-2</v>
      </c>
      <c r="F16" s="12">
        <f>F4/DCFROR!$B$35</f>
        <v>0</v>
      </c>
      <c r="G16" s="12">
        <f>G4/DCFROR!$B$35</f>
        <v>0</v>
      </c>
      <c r="H16" s="12">
        <f ca="1">H4/DCFROR!$B$35</f>
        <v>1.1411883559633915E-2</v>
      </c>
      <c r="I16" s="13">
        <f t="shared" ref="I16:I23" ca="1" si="4">SUM(C16:H16)</f>
        <v>0.1292971877296728</v>
      </c>
      <c r="J16" s="14" t="str">
        <f t="shared" ca="1" si="3"/>
        <v>13%</v>
      </c>
      <c r="K16" s="15" t="s">
        <v>181</v>
      </c>
      <c r="M16" s="189" t="s">
        <v>2077</v>
      </c>
      <c r="N16" s="406">
        <f ca="1">'Operating Summaries'!F6</f>
        <v>0.01</v>
      </c>
    </row>
    <row r="17" spans="1:14" x14ac:dyDescent="0.25">
      <c r="A17" s="10" t="s">
        <v>328</v>
      </c>
      <c r="B17" s="11" t="s">
        <v>2150</v>
      </c>
      <c r="C17" s="12">
        <f ca="1">C5/DCFROR!$B$35</f>
        <v>5.0898571043609696E-2</v>
      </c>
      <c r="D17" s="12">
        <f ca="1">D5/DCFROR!$B$35</f>
        <v>1.8485326457598854E-2</v>
      </c>
      <c r="E17" s="12">
        <f ca="1">E5/DCFROR!$B$35</f>
        <v>8.1080107460762794E-3</v>
      </c>
      <c r="F17" s="12">
        <f>F5/DCFROR!$B$35</f>
        <v>0</v>
      </c>
      <c r="G17" s="12">
        <f>G5/DCFROR!$B$35</f>
        <v>0</v>
      </c>
      <c r="H17" s="12">
        <f ca="1">H5/DCFROR!$B$35</f>
        <v>1.0827781161066398E-2</v>
      </c>
      <c r="I17" s="13">
        <f t="shared" ca="1" si="4"/>
        <v>8.8319689408351221E-2</v>
      </c>
      <c r="J17" s="14" t="str">
        <f t="shared" ca="1" si="3"/>
        <v>9%</v>
      </c>
      <c r="K17" s="15" t="s">
        <v>184</v>
      </c>
      <c r="M17" s="189" t="s">
        <v>2078</v>
      </c>
      <c r="N17" s="189">
        <f ca="1">'Operating Summaries'!F8</f>
        <v>0</v>
      </c>
    </row>
    <row r="18" spans="1:14" x14ac:dyDescent="0.25">
      <c r="A18" s="10" t="s">
        <v>329</v>
      </c>
      <c r="B18" s="11" t="s">
        <v>2206</v>
      </c>
      <c r="C18" s="12">
        <f ca="1">C6/DCFROR!$B$35</f>
        <v>3.0499323561141784E-2</v>
      </c>
      <c r="D18" s="12">
        <f ca="1">D6/DCFROR!$B$35</f>
        <v>0.10929178862877241</v>
      </c>
      <c r="E18" s="12">
        <f ca="1">E6/DCFROR!$B$35</f>
        <v>1.6636428051328544E-2</v>
      </c>
      <c r="F18" s="12">
        <f>F6/DCFROR!$B$35</f>
        <v>0</v>
      </c>
      <c r="G18" s="12">
        <f>G6/DCFROR!$B$35</f>
        <v>0</v>
      </c>
      <c r="H18" s="12">
        <f ca="1">H6/DCFROR!$B$35</f>
        <v>6.4881978866882387E-3</v>
      </c>
      <c r="I18" s="13">
        <f t="shared" ca="1" si="4"/>
        <v>0.16291573812793098</v>
      </c>
      <c r="J18" s="14" t="str">
        <f t="shared" ca="1" si="3"/>
        <v>16%</v>
      </c>
      <c r="K18" s="15" t="s">
        <v>187</v>
      </c>
      <c r="M18" s="403" t="s">
        <v>2079</v>
      </c>
      <c r="N18" s="404"/>
    </row>
    <row r="19" spans="1:14" x14ac:dyDescent="0.25">
      <c r="A19" s="10" t="s">
        <v>362</v>
      </c>
      <c r="B19" s="11" t="s">
        <v>188</v>
      </c>
      <c r="C19" s="12">
        <f ca="1">C7/DCFROR!$B$35</f>
        <v>3.6327533372830664E-2</v>
      </c>
      <c r="D19" s="12">
        <f>D7/DCFROR!$B$35</f>
        <v>0</v>
      </c>
      <c r="E19" s="12">
        <f ca="1">E7/DCFROR!$B$35</f>
        <v>6.6283656733463368E-3</v>
      </c>
      <c r="F19" s="12">
        <f>F7/DCFROR!$B$35</f>
        <v>0</v>
      </c>
      <c r="G19" s="12">
        <f>G7/DCFROR!$B$35</f>
        <v>0</v>
      </c>
      <c r="H19" s="12">
        <f ca="1">H7/DCFROR!$B$35</f>
        <v>7.7280476331119206E-3</v>
      </c>
      <c r="I19" s="13">
        <f t="shared" ca="1" si="4"/>
        <v>5.0683946679288917E-2</v>
      </c>
      <c r="J19" s="14" t="str">
        <f t="shared" ca="1" si="3"/>
        <v>5%</v>
      </c>
      <c r="K19" s="15" t="s">
        <v>189</v>
      </c>
      <c r="M19" s="189" t="s">
        <v>2080</v>
      </c>
      <c r="N19" s="407">
        <f ca="1">Summary!F45</f>
        <v>19.924855446216078</v>
      </c>
    </row>
    <row r="20" spans="1:14" x14ac:dyDescent="0.25">
      <c r="A20" s="10" t="s">
        <v>365</v>
      </c>
      <c r="B20" s="11" t="s">
        <v>185</v>
      </c>
      <c r="C20" s="12">
        <f ca="1">C8/DCFROR!$B$35</f>
        <v>8.0138540404734046E-2</v>
      </c>
      <c r="D20" s="12">
        <f ca="1">D8/DCFROR!$B$35</f>
        <v>2.4135084035761655E-2</v>
      </c>
      <c r="E20" s="12">
        <f ca="1">E8/DCFROR!$B$35</f>
        <v>2.2916154625202086E-2</v>
      </c>
      <c r="F20" s="12">
        <f>F8/DCFROR!$B$35</f>
        <v>0</v>
      </c>
      <c r="G20" s="12">
        <f>G8/DCFROR!$B$35</f>
        <v>0</v>
      </c>
      <c r="H20" s="12">
        <f ca="1">H8/DCFROR!$B$35</f>
        <v>1.7048073458217058E-2</v>
      </c>
      <c r="I20" s="13">
        <f t="shared" ca="1" si="4"/>
        <v>0.14423785252391486</v>
      </c>
      <c r="J20" s="14" t="str">
        <f t="shared" ca="1" si="3"/>
        <v>14%</v>
      </c>
      <c r="K20" s="15" t="s">
        <v>186</v>
      </c>
      <c r="M20" s="189" t="s">
        <v>2083</v>
      </c>
      <c r="N20" s="189">
        <f ca="1">'Operating Summaries'!D46+'Operating Summaries'!F17</f>
        <v>5</v>
      </c>
    </row>
    <row r="21" spans="1:14" x14ac:dyDescent="0.25">
      <c r="A21" s="10" t="s">
        <v>381</v>
      </c>
      <c r="B21" s="11" t="s">
        <v>174</v>
      </c>
      <c r="C21" s="12">
        <f ca="1">C9/DCFROR!$B$35</f>
        <v>8.0627067195335744E-3</v>
      </c>
      <c r="D21" s="12">
        <f>D9/DCFROR!$B$35</f>
        <v>0</v>
      </c>
      <c r="E21" s="12">
        <f ca="1">E9/DCFROR!$B$35</f>
        <v>3.3901595972331597E-5</v>
      </c>
      <c r="F21" s="12">
        <f>F9/DCFROR!$B$35</f>
        <v>0</v>
      </c>
      <c r="G21" s="12">
        <f>G9/DCFROR!$B$35</f>
        <v>0</v>
      </c>
      <c r="H21" s="12">
        <f ca="1">H9/DCFROR!$B$35</f>
        <v>1.7151998992303685E-3</v>
      </c>
      <c r="I21" s="13">
        <f t="shared" ca="1" si="4"/>
        <v>9.8118082147362739E-3</v>
      </c>
      <c r="J21" s="14" t="str">
        <f t="shared" ca="1" si="3"/>
        <v>1%</v>
      </c>
      <c r="K21" s="15" t="s">
        <v>176</v>
      </c>
      <c r="M21" s="189" t="s">
        <v>2084</v>
      </c>
      <c r="N21" s="408">
        <f ca="1">'Operating Summaries'!F51</f>
        <v>2.5000000000000001E-3</v>
      </c>
    </row>
    <row r="22" spans="1:14" x14ac:dyDescent="0.25">
      <c r="A22" s="10" t="s">
        <v>394</v>
      </c>
      <c r="B22" s="11" t="s">
        <v>182</v>
      </c>
      <c r="C22" s="12">
        <f ca="1">C10/DCFROR!$B$35</f>
        <v>0.10711946828599785</v>
      </c>
      <c r="D22" s="12">
        <f ca="1">D10/DCFROR!$B$35</f>
        <v>2.5939137111151346E-2</v>
      </c>
      <c r="E22" s="12">
        <f ca="1">E10/DCFROR!$B$35</f>
        <v>4.2668717204151141E-3</v>
      </c>
      <c r="F22" s="12">
        <f ca="1">F10/DCFROR!$B$35</f>
        <v>-4.256468450391597E-2</v>
      </c>
      <c r="G22" s="12">
        <f ca="1">G10/DCFROR!$B$35</f>
        <v>-8.5680285784483196E-2</v>
      </c>
      <c r="H22" s="12">
        <f ca="1">H10/DCFROR!$B$35</f>
        <v>2.2787794173962338E-2</v>
      </c>
      <c r="I22" s="13">
        <f t="shared" ca="1" si="4"/>
        <v>3.1868301003127493E-2</v>
      </c>
      <c r="J22" s="14" t="str">
        <f ca="1">TEXT(I22,"0%") &amp; " (Net)"</f>
        <v>3% (Net)</v>
      </c>
      <c r="K22" s="15" t="s">
        <v>183</v>
      </c>
      <c r="M22" s="189" t="s">
        <v>2085</v>
      </c>
      <c r="N22" s="406">
        <f ca="1">'Operating Summaries'!D50*'Operating Summaries'!F19</f>
        <v>0.85499999999999998</v>
      </c>
    </row>
    <row r="23" spans="1:14" ht="13.8" thickBot="1" x14ac:dyDescent="0.3">
      <c r="A23" s="10" t="s">
        <v>178</v>
      </c>
      <c r="B23" s="11" t="s">
        <v>179</v>
      </c>
      <c r="C23" s="12">
        <f ca="1">C11/DCFROR!$B$35</f>
        <v>1.0938275715151305E-2</v>
      </c>
      <c r="D23" s="12">
        <f ca="1">D11/DCFROR!$B$35</f>
        <v>3.2179226351796084E-3</v>
      </c>
      <c r="E23" s="12">
        <f ca="1">E11/DCFROR!$B$35</f>
        <v>9.3742074168189429E-3</v>
      </c>
      <c r="F23" s="12">
        <f>F11/DCFROR!$B$35</f>
        <v>0</v>
      </c>
      <c r="G23" s="12">
        <f>G11/DCFROR!$B$35</f>
        <v>0</v>
      </c>
      <c r="H23" s="12">
        <f ca="1">H11/DCFROR!$B$35</f>
        <v>2.3269269312411306E-3</v>
      </c>
      <c r="I23" s="13">
        <f t="shared" ca="1" si="4"/>
        <v>2.5857332698390984E-2</v>
      </c>
      <c r="J23" s="14" t="str">
        <f ca="1">TEXT(I23,"0%")</f>
        <v>3%</v>
      </c>
      <c r="K23" s="15" t="s">
        <v>180</v>
      </c>
      <c r="M23" s="189" t="s">
        <v>2086</v>
      </c>
      <c r="N23" s="406">
        <f ca="1">'Operating Summaries'!F25</f>
        <v>0.85</v>
      </c>
    </row>
    <row r="24" spans="1:14" ht="13.8" thickBot="1" x14ac:dyDescent="0.3">
      <c r="A24" s="258"/>
      <c r="B24" s="259" t="s">
        <v>191</v>
      </c>
      <c r="C24" s="265">
        <f t="shared" ref="C24:I24" ca="1" si="5">SUM(C15:C23)</f>
        <v>0.37762870295590811</v>
      </c>
      <c r="D24" s="265">
        <f t="shared" ca="1" si="5"/>
        <v>0.58460207697609656</v>
      </c>
      <c r="E24" s="265">
        <f t="shared" ca="1" si="5"/>
        <v>8.5680285784483223E-2</v>
      </c>
      <c r="F24" s="265">
        <f t="shared" ca="1" si="5"/>
        <v>-4.256468450391597E-2</v>
      </c>
      <c r="G24" s="265">
        <f t="shared" ca="1" si="5"/>
        <v>-8.5680285784483196E-2</v>
      </c>
      <c r="H24" s="265">
        <f t="shared" ca="1" si="5"/>
        <v>8.0333904703151368E-2</v>
      </c>
      <c r="I24" s="263">
        <f t="shared" ca="1" si="5"/>
        <v>1.0000000001312401</v>
      </c>
      <c r="J24" s="263"/>
      <c r="K24" s="264" t="s">
        <v>192</v>
      </c>
      <c r="M24" s="189" t="s">
        <v>2087</v>
      </c>
      <c r="N24" s="406">
        <f ca="1">'Operating Summaries'!F32</f>
        <v>0.85</v>
      </c>
    </row>
    <row r="25" spans="1:14" x14ac:dyDescent="0.25">
      <c r="C25" s="16"/>
      <c r="D25" s="16"/>
      <c r="E25" s="16"/>
      <c r="F25" s="16"/>
      <c r="G25" s="17"/>
      <c r="I25" s="18"/>
      <c r="J25" s="18"/>
      <c r="M25" s="272" t="s">
        <v>2361</v>
      </c>
      <c r="N25" s="189"/>
    </row>
    <row r="26" spans="1:14" x14ac:dyDescent="0.25">
      <c r="M26" s="189" t="s">
        <v>2070</v>
      </c>
      <c r="N26" s="406">
        <f ca="1">'Operating Summaries'!D7</f>
        <v>0.30074971379722115</v>
      </c>
    </row>
    <row r="27" spans="1:14" x14ac:dyDescent="0.25">
      <c r="M27" s="189" t="s">
        <v>2071</v>
      </c>
      <c r="N27" s="189">
        <f ca="1">'Operating Summaries'!D10</f>
        <v>158</v>
      </c>
    </row>
    <row r="28" spans="1:14" x14ac:dyDescent="0.25">
      <c r="E28" s="11"/>
      <c r="F28" s="11"/>
      <c r="G28" s="11"/>
      <c r="M28" s="189" t="s">
        <v>2090</v>
      </c>
      <c r="N28" s="381">
        <f ca="1">'Operating Summaries'!D6</f>
        <v>22.09999994276</v>
      </c>
    </row>
    <row r="29" spans="1:14" x14ac:dyDescent="0.25">
      <c r="E29" s="11"/>
      <c r="F29" s="13"/>
      <c r="M29" s="189" t="s">
        <v>2072</v>
      </c>
      <c r="N29" s="189" t="s">
        <v>2089</v>
      </c>
    </row>
    <row r="30" spans="1:14" x14ac:dyDescent="0.25">
      <c r="E30" s="11"/>
      <c r="F30" s="13"/>
      <c r="M30" s="189" t="s">
        <v>2075</v>
      </c>
      <c r="N30" s="864">
        <f ca="1">'Operating Summaries'!F4</f>
        <v>4.7603848800000002</v>
      </c>
    </row>
    <row r="31" spans="1:14" x14ac:dyDescent="0.25">
      <c r="E31" s="11"/>
      <c r="F31" s="13"/>
      <c r="M31" s="189" t="s">
        <v>2362</v>
      </c>
      <c r="N31" s="189" t="str">
        <f ca="1">IF(VLOOKUP("strm.a200.254b",INDIRECT(LU_SENS),2,FALSE)&gt;0, "Liquor","Whole-slurry")</f>
        <v>Whole-slurry</v>
      </c>
    </row>
    <row r="32" spans="1:14" x14ac:dyDescent="0.25">
      <c r="E32" s="11"/>
      <c r="F32" s="13"/>
      <c r="M32" s="189" t="s">
        <v>2081</v>
      </c>
      <c r="N32" s="189" t="str">
        <f ca="1">IF(VLOOKUP("strm.a200.301liq",INDIRECT(LU_SENS),2,FALSE)&gt;0, "Washed-solids","Whole-slurry")</f>
        <v>Whole-slurry</v>
      </c>
    </row>
    <row r="33" spans="1:18" x14ac:dyDescent="0.25">
      <c r="E33" s="11"/>
      <c r="F33" s="13"/>
      <c r="M33" s="189" t="s">
        <v>2082</v>
      </c>
      <c r="N33" s="406">
        <f ca="1">'Operating Summaries'!D42</f>
        <v>0.19976802499177201</v>
      </c>
    </row>
    <row r="34" spans="1:18" x14ac:dyDescent="0.25">
      <c r="E34" s="11"/>
      <c r="F34" s="13"/>
      <c r="M34" s="189" t="s">
        <v>2960</v>
      </c>
      <c r="N34" s="189" t="str">
        <f>CASEID</f>
        <v>DW1102A</v>
      </c>
    </row>
    <row r="35" spans="1:18" x14ac:dyDescent="0.25">
      <c r="E35" s="11"/>
      <c r="F35" s="13"/>
      <c r="M35" s="272" t="s">
        <v>2659</v>
      </c>
      <c r="N35" s="189"/>
    </row>
    <row r="36" spans="1:18" x14ac:dyDescent="0.25">
      <c r="E36" s="11"/>
      <c r="F36" s="13"/>
      <c r="M36" s="189" t="s">
        <v>2660</v>
      </c>
      <c r="N36" s="864">
        <f ca="1">'Operating Summaries'!H14*OPEX!B7/(OPEX!B3*1000000)*2.205</f>
        <v>71.447508892356865</v>
      </c>
    </row>
    <row r="37" spans="1:18" x14ac:dyDescent="0.25">
      <c r="E37" s="11"/>
      <c r="F37" s="13"/>
      <c r="G37" s="16"/>
      <c r="M37" s="189" t="s">
        <v>2661</v>
      </c>
      <c r="N37" s="189">
        <f ca="1">Summary!F25/100</f>
        <v>-0.10757066903896993</v>
      </c>
    </row>
    <row r="38" spans="1:18" x14ac:dyDescent="0.25">
      <c r="M38" s="189" t="s">
        <v>2662</v>
      </c>
      <c r="N38" s="189">
        <f ca="1">Summary!F49</f>
        <v>1.763228395295096</v>
      </c>
    </row>
    <row r="39" spans="1:18" x14ac:dyDescent="0.25">
      <c r="M39" s="189" t="s">
        <v>2663</v>
      </c>
      <c r="N39" s="189">
        <f ca="1">Summary!F49+Summary!F50</f>
        <v>5.6693754322287973</v>
      </c>
    </row>
    <row r="40" spans="1:18" x14ac:dyDescent="0.25">
      <c r="D40" s="21"/>
      <c r="E40" s="7"/>
      <c r="F40" s="21"/>
      <c r="G40" s="7"/>
      <c r="I40" s="7"/>
      <c r="J40" s="7"/>
      <c r="K40" s="19"/>
      <c r="M40" s="189" t="s">
        <v>2664</v>
      </c>
      <c r="N40" s="189">
        <f ca="1">Summary!F51</f>
        <v>5.3779083365779954</v>
      </c>
    </row>
    <row r="41" spans="1:18" x14ac:dyDescent="0.25">
      <c r="A41" s="19"/>
      <c r="B41" s="20"/>
      <c r="C41" s="21"/>
      <c r="D41" s="21"/>
      <c r="E41" s="7"/>
      <c r="F41" s="21"/>
      <c r="G41" s="7"/>
      <c r="I41" s="7"/>
      <c r="J41" s="7"/>
      <c r="K41" s="19"/>
    </row>
    <row r="42" spans="1:18" x14ac:dyDescent="0.25">
      <c r="A42" s="19"/>
      <c r="B42" s="20"/>
      <c r="C42" s="21"/>
      <c r="D42" s="21"/>
      <c r="E42" s="7"/>
      <c r="F42" s="21"/>
      <c r="G42" s="7"/>
      <c r="I42" s="7"/>
      <c r="J42" s="7"/>
      <c r="K42" s="19"/>
      <c r="L42" s="19"/>
      <c r="P42" s="409" t="s">
        <v>1861</v>
      </c>
      <c r="Q42" s="23">
        <f ca="1">I8</f>
        <v>0.36452196062852155</v>
      </c>
      <c r="R42" s="1466" t="s">
        <v>927</v>
      </c>
    </row>
    <row r="43" spans="1:18" x14ac:dyDescent="0.25">
      <c r="A43" s="19"/>
      <c r="B43" s="20"/>
      <c r="C43" s="21"/>
      <c r="D43" s="21"/>
      <c r="E43" s="7"/>
      <c r="F43" s="21"/>
      <c r="G43" s="7"/>
      <c r="H43" s="7"/>
      <c r="I43" s="19"/>
      <c r="J43" s="19"/>
      <c r="K43" s="19"/>
      <c r="L43" s="19"/>
      <c r="Q43" s="411">
        <f ca="1">Q42*ETHMMGAL</f>
        <v>20.854074104586307</v>
      </c>
      <c r="R43" s="1466" t="s">
        <v>3336</v>
      </c>
    </row>
    <row r="44" spans="1:18" x14ac:dyDescent="0.25">
      <c r="A44" s="19"/>
      <c r="B44" s="19"/>
      <c r="C44" s="21"/>
      <c r="D44" s="21"/>
      <c r="E44" s="7"/>
      <c r="F44" s="21"/>
      <c r="G44" s="7"/>
      <c r="H44" s="7"/>
      <c r="I44" s="19"/>
      <c r="J44" s="19"/>
      <c r="K44" s="19"/>
      <c r="L44" s="19"/>
      <c r="P44" s="409" t="s">
        <v>3203</v>
      </c>
      <c r="Q44" s="9">
        <f ca="1">'Operating Summaries'!H39</f>
        <v>26542.285199999998</v>
      </c>
      <c r="R44" s="409" t="s">
        <v>287</v>
      </c>
    </row>
    <row r="45" spans="1:18" x14ac:dyDescent="0.25">
      <c r="A45" s="19"/>
      <c r="B45" s="19"/>
      <c r="C45" s="21"/>
      <c r="D45" s="21"/>
      <c r="E45" s="7"/>
      <c r="F45" s="21"/>
      <c r="G45" s="7"/>
      <c r="H45" s="7"/>
      <c r="I45" s="19"/>
      <c r="J45" s="19"/>
      <c r="K45" s="19"/>
      <c r="L45" s="19"/>
    </row>
    <row r="46" spans="1:18" x14ac:dyDescent="0.25">
      <c r="L46" s="19"/>
      <c r="Q46" s="411">
        <f ca="1">Q43/OPHOURS/Q44*1000000</f>
        <v>9.9656581471808392E-2</v>
      </c>
      <c r="R46" s="1466" t="s">
        <v>3337</v>
      </c>
    </row>
    <row r="47" spans="1:18" x14ac:dyDescent="0.25">
      <c r="L47" s="19"/>
    </row>
    <row r="58" spans="2:3" x14ac:dyDescent="0.25">
      <c r="B58" s="11" t="s">
        <v>231</v>
      </c>
      <c r="C58" s="13">
        <f ca="1">$I$15</f>
        <v>0.35700814374582651</v>
      </c>
    </row>
    <row r="59" spans="2:3" x14ac:dyDescent="0.25">
      <c r="B59" s="11" t="s">
        <v>3404</v>
      </c>
      <c r="C59" s="13">
        <f ca="1">$I$18</f>
        <v>0.16291573812793098</v>
      </c>
    </row>
    <row r="60" spans="2:3" x14ac:dyDescent="0.25">
      <c r="B60" s="11" t="s">
        <v>185</v>
      </c>
      <c r="C60" s="13">
        <f ca="1">$I$20</f>
        <v>0.14423785252391486</v>
      </c>
    </row>
    <row r="61" spans="2:3" x14ac:dyDescent="0.25">
      <c r="B61" s="11" t="s">
        <v>3407</v>
      </c>
      <c r="C61" s="13">
        <f ca="1">$I$16</f>
        <v>0.1292971877296728</v>
      </c>
    </row>
    <row r="62" spans="2:3" x14ac:dyDescent="0.25">
      <c r="B62" s="11" t="s">
        <v>3408</v>
      </c>
      <c r="C62" s="13">
        <f ca="1">$I$17</f>
        <v>8.8319689408351221E-2</v>
      </c>
    </row>
    <row r="63" spans="2:3" x14ac:dyDescent="0.25">
      <c r="B63" s="11" t="s">
        <v>3405</v>
      </c>
      <c r="C63" s="13">
        <f ca="1">$I$19</f>
        <v>5.0683946679288917E-2</v>
      </c>
    </row>
    <row r="64" spans="2:3" x14ac:dyDescent="0.25">
      <c r="B64" s="11" t="s">
        <v>179</v>
      </c>
      <c r="C64" s="13">
        <f ca="1">$I$23</f>
        <v>2.5857332698390984E-2</v>
      </c>
    </row>
    <row r="65" spans="2:3" x14ac:dyDescent="0.25">
      <c r="B65" s="11" t="s">
        <v>3406</v>
      </c>
      <c r="C65" s="13">
        <f ca="1">$I$22</f>
        <v>3.1868301003127493E-2</v>
      </c>
    </row>
    <row r="66" spans="2:3" x14ac:dyDescent="0.25">
      <c r="B66" s="11" t="s">
        <v>174</v>
      </c>
      <c r="C66" s="13">
        <f ca="1">$I$21</f>
        <v>9.8118082147362739E-3</v>
      </c>
    </row>
  </sheetData>
  <sortState xmlns:xlrd2="http://schemas.microsoft.com/office/spreadsheetml/2017/richdata2" ref="B58:C66">
    <sortCondition descending="1" ref="C58:C66"/>
  </sortState>
  <phoneticPr fontId="0" type="noConversion"/>
  <pageMargins left="0.75" right="0.75" top="1" bottom="1" header="0.5" footer="0.5"/>
  <pageSetup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GY127"/>
  <sheetViews>
    <sheetView zoomScale="80" zoomScaleNormal="80" workbookViewId="0">
      <pane xSplit="5" ySplit="24" topLeftCell="F29" activePane="bottomRight" state="frozen"/>
      <selection pane="topRight" activeCell="F1" sqref="F1"/>
      <selection pane="bottomLeft" activeCell="A25" sqref="A25"/>
      <selection pane="bottomRight" activeCell="L63" sqref="L63"/>
    </sheetView>
  </sheetViews>
  <sheetFormatPr defaultColWidth="9" defaultRowHeight="13.8" x14ac:dyDescent="0.3"/>
  <cols>
    <col min="1" max="1" width="20.88671875" style="1145" customWidth="1"/>
    <col min="2" max="2" width="4" style="1145" customWidth="1"/>
    <col min="3" max="3" width="7" style="1145" customWidth="1"/>
    <col min="4" max="4" width="13.77734375" style="1145" customWidth="1"/>
    <col min="5" max="5" width="9" style="1145"/>
    <col min="6" max="6" width="10.44140625" style="1145" customWidth="1"/>
    <col min="7" max="7" width="10" style="1145" bestFit="1" customWidth="1"/>
    <col min="8" max="8" width="9" style="1145"/>
    <col min="9" max="9" width="10" style="1145" bestFit="1" customWidth="1"/>
    <col min="10" max="12" width="9" style="1145"/>
    <col min="13" max="13" width="10" style="1145" bestFit="1" customWidth="1"/>
    <col min="14" max="15" width="9" style="1145"/>
    <col min="16" max="16" width="11.21875" style="1145" bestFit="1" customWidth="1"/>
    <col min="17" max="17" width="4" style="1145" customWidth="1"/>
    <col min="18" max="18" width="12.109375" style="1145" customWidth="1"/>
    <col min="19" max="19" width="9.6640625" style="1145" customWidth="1"/>
    <col min="20" max="20" width="10.44140625" style="1145" customWidth="1"/>
    <col min="21" max="21" width="10.21875" style="1145" customWidth="1"/>
    <col min="22" max="24" width="9" style="1145"/>
    <col min="25" max="25" width="10.77734375" style="1145" customWidth="1"/>
    <col min="26" max="27" width="9" style="1145"/>
    <col min="28" max="28" width="4" style="1145" customWidth="1"/>
    <col min="29" max="29" width="12.109375" style="1145" customWidth="1"/>
    <col min="30" max="30" width="9" style="1145"/>
    <col min="31" max="31" width="10.44140625" style="1145" customWidth="1"/>
    <col min="32" max="32" width="10.21875" style="1145" customWidth="1"/>
    <col min="33" max="37" width="9" style="1145"/>
    <col min="38" max="38" width="10.77734375" style="1145" customWidth="1"/>
    <col min="39" max="40" width="9" style="1145"/>
    <col min="41" max="41" width="4" style="1145" customWidth="1"/>
    <col min="42" max="42" width="12.109375" style="1145" customWidth="1"/>
    <col min="43" max="43" width="9" style="1145"/>
    <col min="44" max="44" width="10.44140625" style="1145" customWidth="1"/>
    <col min="45" max="45" width="10.21875" style="1145" customWidth="1"/>
    <col min="46" max="47" width="9" style="1145"/>
    <col min="48" max="48" width="10.77734375" style="1145" customWidth="1"/>
    <col min="49" max="55" width="9" style="1145"/>
    <col min="56" max="56" width="4" style="1145" customWidth="1"/>
    <col min="57" max="57" width="12.109375" style="1145" customWidth="1"/>
    <col min="58" max="58" width="9" style="1145"/>
    <col min="59" max="59" width="10.44140625" style="1145" customWidth="1"/>
    <col min="60" max="60" width="10.21875" style="1145" customWidth="1"/>
    <col min="61" max="61" width="9" style="1145"/>
    <col min="62" max="62" width="10.77734375" style="1145" customWidth="1"/>
    <col min="63" max="67" width="9" style="1145"/>
    <col min="68" max="68" width="4" style="1145" customWidth="1"/>
    <col min="69" max="69" width="9" style="1145"/>
    <col min="70" max="71" width="11.77734375" style="1145" customWidth="1"/>
    <col min="72" max="75" width="9" style="1145"/>
    <col min="76" max="76" width="4" style="1145" customWidth="1"/>
    <col min="77" max="84" width="9" style="1145"/>
    <col min="85" max="85" width="4" style="1145" customWidth="1"/>
    <col min="86" max="90" width="9" style="1145"/>
    <col min="91" max="91" width="4" style="1145" customWidth="1"/>
    <col min="92" max="97" width="9" style="1145"/>
    <col min="98" max="98" width="4" style="1145" customWidth="1"/>
    <col min="99" max="112" width="9" style="1145"/>
    <col min="113" max="113" width="4" style="1145" customWidth="1"/>
    <col min="114" max="120" width="9" style="1145"/>
    <col min="121" max="121" width="4" style="1145" customWidth="1"/>
    <col min="122" max="122" width="13.88671875" style="1145" customWidth="1"/>
    <col min="123" max="126" width="9" style="1145"/>
    <col min="127" max="127" width="4" style="1145" customWidth="1"/>
    <col min="128" max="128" width="13.88671875" style="1145" customWidth="1"/>
    <col min="129" max="132" width="9" style="1145"/>
    <col min="133" max="133" width="4" style="1145" customWidth="1"/>
    <col min="134" max="134" width="13.88671875" style="1145" customWidth="1"/>
    <col min="135" max="138" width="9" style="1145"/>
    <col min="139" max="139" width="4" style="1145" customWidth="1"/>
    <col min="140" max="140" width="14.88671875" style="1145" customWidth="1"/>
    <col min="141" max="144" width="9" style="1145"/>
    <col min="145" max="145" width="4" style="1145" customWidth="1"/>
    <col min="146" max="146" width="13.88671875" style="1145" customWidth="1"/>
    <col min="147" max="150" width="9" style="1145"/>
    <col min="151" max="151" width="4" style="1145" customWidth="1"/>
    <col min="152" max="153" width="9" style="1145"/>
    <col min="154" max="154" width="4" style="1145" customWidth="1"/>
    <col min="155" max="157" width="9" style="1145"/>
    <col min="158" max="158" width="4" style="1145" customWidth="1"/>
    <col min="159" max="198" width="9" style="1145"/>
    <col min="199" max="199" width="15.77734375" style="1006" bestFit="1" customWidth="1"/>
    <col min="200" max="200" width="8.6640625" style="1179" bestFit="1" customWidth="1"/>
    <col min="201" max="201" width="8.109375" style="1179" bestFit="1" customWidth="1"/>
    <col min="202" max="202" width="14.44140625" style="1006" bestFit="1" customWidth="1"/>
    <col min="203" max="203" width="8.6640625" style="1179" bestFit="1" customWidth="1"/>
    <col min="204" max="204" width="9.6640625" style="1179" bestFit="1" customWidth="1"/>
    <col min="205" max="205" width="9.6640625" style="1179" customWidth="1"/>
    <col min="206" max="206" width="10.88671875" style="1006" bestFit="1" customWidth="1"/>
    <col min="207" max="207" width="9" style="1179"/>
    <col min="208" max="16384" width="9" style="1006"/>
  </cols>
  <sheetData>
    <row r="1" spans="1:207" s="914" customFormat="1" x14ac:dyDescent="0.3">
      <c r="A1" s="915"/>
      <c r="B1" s="1537" t="s">
        <v>2577</v>
      </c>
      <c r="C1" s="1105"/>
      <c r="F1" s="1105" t="s">
        <v>2312</v>
      </c>
      <c r="H1" s="1104" t="s">
        <v>1165</v>
      </c>
      <c r="I1" s="1104" t="s">
        <v>1166</v>
      </c>
      <c r="J1" s="1104" t="s">
        <v>781</v>
      </c>
      <c r="K1" s="1104"/>
      <c r="L1" s="915"/>
      <c r="M1" s="915"/>
      <c r="N1" s="915"/>
      <c r="O1" s="915"/>
      <c r="P1" s="915"/>
      <c r="Q1" s="916"/>
      <c r="R1" s="1105" t="s">
        <v>2311</v>
      </c>
      <c r="T1" s="1104" t="s">
        <v>1165</v>
      </c>
      <c r="U1" s="1104" t="s">
        <v>1166</v>
      </c>
      <c r="V1" s="1104" t="s">
        <v>781</v>
      </c>
      <c r="W1" s="915"/>
      <c r="X1" s="915"/>
      <c r="Y1" s="915"/>
      <c r="Z1" s="915"/>
      <c r="AA1" s="915"/>
      <c r="AB1" s="916"/>
      <c r="AC1" s="1105" t="s">
        <v>2310</v>
      </c>
      <c r="AE1" s="1104" t="s">
        <v>1165</v>
      </c>
      <c r="AF1" s="1104" t="s">
        <v>1166</v>
      </c>
      <c r="AG1" s="1104" t="s">
        <v>781</v>
      </c>
      <c r="AH1" s="915"/>
      <c r="AI1" s="915"/>
      <c r="AJ1" s="915"/>
      <c r="AK1" s="915"/>
      <c r="AL1" s="915"/>
      <c r="AM1" s="915"/>
      <c r="AN1" s="915"/>
      <c r="AO1" s="916"/>
      <c r="AP1" s="1105" t="s">
        <v>189</v>
      </c>
      <c r="AQ1" s="1143"/>
      <c r="AR1" s="1104" t="s">
        <v>1165</v>
      </c>
      <c r="AS1" s="1104" t="s">
        <v>1166</v>
      </c>
      <c r="AT1" s="1104" t="s">
        <v>781</v>
      </c>
      <c r="AU1" s="1104"/>
      <c r="AV1" s="915"/>
      <c r="AW1" s="915"/>
      <c r="AX1" s="915"/>
      <c r="AY1" s="915"/>
      <c r="AZ1" s="915"/>
      <c r="BA1" s="915"/>
      <c r="BB1" s="915"/>
      <c r="BC1" s="915"/>
      <c r="BD1" s="916"/>
      <c r="BE1" s="1105" t="s">
        <v>1155</v>
      </c>
      <c r="BG1" s="1104" t="s">
        <v>1165</v>
      </c>
      <c r="BH1" s="1104" t="s">
        <v>1166</v>
      </c>
      <c r="BI1" s="1104" t="s">
        <v>781</v>
      </c>
      <c r="BJ1" s="915"/>
      <c r="BK1" s="915"/>
      <c r="BL1" s="915"/>
      <c r="BM1" s="915"/>
      <c r="BN1" s="915"/>
      <c r="BO1" s="915"/>
      <c r="BP1" s="916"/>
      <c r="BQ1" s="1105" t="s">
        <v>1502</v>
      </c>
      <c r="BS1" s="1143"/>
      <c r="BT1" s="1104" t="s">
        <v>1165</v>
      </c>
      <c r="BU1" s="1104" t="s">
        <v>1166</v>
      </c>
      <c r="BV1" s="1104" t="s">
        <v>781</v>
      </c>
      <c r="BW1" s="1104"/>
      <c r="BX1" s="916"/>
      <c r="BY1" s="1105" t="s">
        <v>2316</v>
      </c>
      <c r="CA1" s="1104" t="s">
        <v>1165</v>
      </c>
      <c r="CB1" s="1104" t="s">
        <v>1166</v>
      </c>
      <c r="CC1" s="1104" t="s">
        <v>781</v>
      </c>
      <c r="CD1" s="915"/>
      <c r="CE1" s="915"/>
      <c r="CF1" s="915"/>
      <c r="CG1" s="916"/>
      <c r="CH1" s="1105" t="s">
        <v>2317</v>
      </c>
      <c r="CJ1" s="1104" t="s">
        <v>1165</v>
      </c>
      <c r="CK1" s="1104" t="s">
        <v>1166</v>
      </c>
      <c r="CL1" s="1104" t="s">
        <v>781</v>
      </c>
      <c r="CM1" s="916"/>
      <c r="CN1" s="1105" t="s">
        <v>2315</v>
      </c>
      <c r="CP1" s="1104" t="s">
        <v>1165</v>
      </c>
      <c r="CQ1" s="1104" t="s">
        <v>1166</v>
      </c>
      <c r="CR1" s="1104" t="s">
        <v>781</v>
      </c>
      <c r="CS1" s="1104"/>
      <c r="CT1" s="916"/>
      <c r="CU1" s="1105" t="s">
        <v>2313</v>
      </c>
      <c r="CW1" s="1104" t="s">
        <v>1165</v>
      </c>
      <c r="CX1" s="1104" t="s">
        <v>1166</v>
      </c>
      <c r="CY1" s="1104" t="s">
        <v>781</v>
      </c>
      <c r="CZ1" s="1104"/>
      <c r="DA1" s="1104"/>
      <c r="DB1" s="915"/>
      <c r="DC1" s="915"/>
      <c r="DD1" s="915"/>
      <c r="DE1" s="915"/>
      <c r="DF1" s="915"/>
      <c r="DG1" s="915"/>
      <c r="DH1" s="915"/>
      <c r="DI1" s="916"/>
      <c r="DJ1" s="1105" t="s">
        <v>2945</v>
      </c>
      <c r="DK1" s="1143"/>
      <c r="DL1" s="1104" t="s">
        <v>1165</v>
      </c>
      <c r="DM1" s="1104" t="s">
        <v>1166</v>
      </c>
      <c r="DN1" s="1104" t="s">
        <v>781</v>
      </c>
      <c r="DO1" s="915"/>
      <c r="DP1" s="915"/>
      <c r="DQ1" s="916"/>
      <c r="DR1" s="1105"/>
      <c r="DS1" s="1143"/>
      <c r="DT1" s="1104" t="s">
        <v>1165</v>
      </c>
      <c r="DU1" s="1104" t="s">
        <v>1166</v>
      </c>
      <c r="DV1" s="1104" t="s">
        <v>781</v>
      </c>
      <c r="DW1" s="916"/>
      <c r="DX1" s="1105" t="s">
        <v>2949</v>
      </c>
      <c r="DZ1" s="1104" t="s">
        <v>1165</v>
      </c>
      <c r="EA1" s="1104" t="s">
        <v>1166</v>
      </c>
      <c r="EB1" s="1104" t="s">
        <v>781</v>
      </c>
      <c r="EC1" s="916"/>
      <c r="ED1" s="1105" t="s">
        <v>2950</v>
      </c>
      <c r="EE1" s="1143"/>
      <c r="EF1" s="1104" t="s">
        <v>1165</v>
      </c>
      <c r="EG1" s="1104" t="s">
        <v>1166</v>
      </c>
      <c r="EH1" s="1104" t="s">
        <v>781</v>
      </c>
      <c r="EI1" s="916"/>
      <c r="EJ1" s="1105" t="s">
        <v>1752</v>
      </c>
      <c r="EL1" s="1104" t="s">
        <v>1165</v>
      </c>
      <c r="EM1" s="1104" t="s">
        <v>1166</v>
      </c>
      <c r="EN1" s="1104" t="s">
        <v>781</v>
      </c>
      <c r="EO1" s="916"/>
      <c r="EP1" s="1105" t="s">
        <v>3035</v>
      </c>
      <c r="EQ1" s="1143"/>
      <c r="ER1" s="1104" t="s">
        <v>1165</v>
      </c>
      <c r="ES1" s="1104" t="s">
        <v>1166</v>
      </c>
      <c r="ET1" s="1104" t="s">
        <v>781</v>
      </c>
      <c r="EU1" s="916"/>
      <c r="EV1" s="915"/>
      <c r="EW1" s="915"/>
      <c r="EX1" s="916"/>
      <c r="EY1" s="915"/>
      <c r="EZ1" s="915"/>
      <c r="FA1" s="915"/>
      <c r="FB1" s="916"/>
      <c r="FC1" s="1105" t="s">
        <v>2314</v>
      </c>
      <c r="FE1" s="1104" t="s">
        <v>1165</v>
      </c>
      <c r="FF1" s="1104" t="s">
        <v>1166</v>
      </c>
      <c r="FG1" s="1104" t="s">
        <v>781</v>
      </c>
      <c r="FH1" s="915"/>
      <c r="FI1" s="915"/>
      <c r="FJ1" s="915"/>
      <c r="FK1" s="915"/>
      <c r="FL1" s="915"/>
      <c r="FM1" s="915"/>
      <c r="FN1" s="915"/>
      <c r="FT1" s="915"/>
      <c r="FU1" s="915"/>
      <c r="FV1" s="915"/>
      <c r="FW1" s="915"/>
      <c r="FX1" s="915"/>
      <c r="FY1" s="915"/>
      <c r="FZ1" s="915"/>
      <c r="GA1" s="915"/>
      <c r="GB1" s="915"/>
      <c r="GC1" s="915"/>
      <c r="GD1" s="915"/>
      <c r="GE1" s="915"/>
      <c r="GF1" s="915"/>
      <c r="GG1" s="915"/>
      <c r="GH1" s="915"/>
      <c r="GI1" s="915"/>
      <c r="GJ1" s="915"/>
      <c r="GK1" s="915"/>
      <c r="GL1" s="915"/>
      <c r="GM1" s="915"/>
      <c r="GN1" s="915"/>
      <c r="GO1" s="915"/>
      <c r="GP1" s="915"/>
      <c r="GQ1" s="1143" t="s">
        <v>3066</v>
      </c>
      <c r="GR1" s="946"/>
      <c r="GS1" s="946"/>
      <c r="GT1" s="1143" t="s">
        <v>3067</v>
      </c>
      <c r="GU1" s="946"/>
      <c r="GV1" s="946"/>
      <c r="GW1" s="946"/>
      <c r="GX1" s="1143" t="s">
        <v>3098</v>
      </c>
      <c r="GY1" s="946"/>
    </row>
    <row r="2" spans="1:207" s="914" customFormat="1" x14ac:dyDescent="0.3">
      <c r="A2" s="1092"/>
      <c r="B2" s="1537"/>
      <c r="C2" s="915"/>
      <c r="F2" s="915" t="s">
        <v>2309</v>
      </c>
      <c r="G2" s="915" t="s">
        <v>287</v>
      </c>
      <c r="H2" s="1014">
        <f ca="1">SUM(F9:N9)</f>
        <v>463547.10656704905</v>
      </c>
      <c r="I2" s="1014">
        <f ca="1">SUM(O9:P9)</f>
        <v>463546.98300000001</v>
      </c>
      <c r="J2" s="1099">
        <f ca="1">1-(H2-I2)/H2</f>
        <v>0.99999973343151694</v>
      </c>
      <c r="K2" s="1185"/>
      <c r="L2" s="915"/>
      <c r="M2" s="915"/>
      <c r="N2" s="915"/>
      <c r="O2" s="915"/>
      <c r="P2" s="915"/>
      <c r="Q2" s="1101"/>
      <c r="R2" s="915" t="s">
        <v>2309</v>
      </c>
      <c r="S2" s="915" t="s">
        <v>287</v>
      </c>
      <c r="T2" s="1094">
        <f ca="1">SUM(R9:X9)</f>
        <v>472203.93928330002</v>
      </c>
      <c r="U2" s="1094">
        <f ca="1">SUM(Y9:AA9)</f>
        <v>472203.60940999998</v>
      </c>
      <c r="V2" s="1099">
        <f ca="1">1-(T2-U2)/T2</f>
        <v>0.99999930141772952</v>
      </c>
      <c r="W2" s="915"/>
      <c r="X2" s="915"/>
      <c r="Y2" s="915"/>
      <c r="Z2" s="915"/>
      <c r="AA2" s="915"/>
      <c r="AB2" s="1101"/>
      <c r="AC2" s="915" t="s">
        <v>2309</v>
      </c>
      <c r="AD2" s="915" t="s">
        <v>287</v>
      </c>
      <c r="AE2" s="1094">
        <f ca="1">SUM(AC9:AK9)</f>
        <v>47223.782659700002</v>
      </c>
      <c r="AF2" s="1094">
        <f ca="1">SUM(AL9:AN9)</f>
        <v>47223.793969999999</v>
      </c>
      <c r="AG2" s="1099">
        <f ca="1">1-(AE2-AF2)/AE2</f>
        <v>1.0000002395043208</v>
      </c>
      <c r="AH2" s="915"/>
      <c r="AI2" s="915"/>
      <c r="AJ2" s="915"/>
      <c r="AK2" s="915"/>
      <c r="AL2" s="915"/>
      <c r="AM2" s="915"/>
      <c r="AN2" s="915"/>
      <c r="AO2" s="1101"/>
      <c r="AP2" s="915" t="s">
        <v>2309</v>
      </c>
      <c r="AQ2" s="915" t="s">
        <v>287</v>
      </c>
      <c r="AR2" s="1094">
        <f ca="1">SUM(AP9:AU9)</f>
        <v>2095248.6144099999</v>
      </c>
      <c r="AS2" s="1094">
        <f ca="1">SUM(AV9:BC9)</f>
        <v>2095248.6207000001</v>
      </c>
      <c r="AT2" s="1099">
        <f ca="1">1-(AR2-AS2)/AR2</f>
        <v>1.0000000030020304</v>
      </c>
      <c r="AU2" s="1185"/>
      <c r="AV2" s="915"/>
      <c r="AW2" s="915"/>
      <c r="AX2" s="915"/>
      <c r="AY2" s="915"/>
      <c r="AZ2" s="915"/>
      <c r="BA2" s="915"/>
      <c r="BB2" s="915"/>
      <c r="BC2" s="915"/>
      <c r="BD2" s="1101"/>
      <c r="BE2" s="915" t="s">
        <v>2309</v>
      </c>
      <c r="BF2" s="915" t="s">
        <v>287</v>
      </c>
      <c r="BG2" s="1094">
        <f ca="1">SUM(BE9:BI9)</f>
        <v>2083134.66261</v>
      </c>
      <c r="BH2" s="1094">
        <f ca="1">SUM(BJ9:BO9)</f>
        <v>2083134.6680999999</v>
      </c>
      <c r="BI2" s="1099">
        <f ca="1">1-(BG2-BH2)/BG2</f>
        <v>1.0000000026354512</v>
      </c>
      <c r="BJ2" s="915"/>
      <c r="BK2" s="915"/>
      <c r="BL2" s="915"/>
      <c r="BM2" s="915"/>
      <c r="BN2" s="915"/>
      <c r="BO2" s="915"/>
      <c r="BP2" s="1101"/>
      <c r="BQ2" s="915" t="s">
        <v>2309</v>
      </c>
      <c r="BR2" s="915" t="s">
        <v>287</v>
      </c>
      <c r="BS2" s="915"/>
      <c r="BT2" s="1094">
        <f ca="1">SUM(BQ9:BR9)</f>
        <v>403903.25679999997</v>
      </c>
      <c r="BU2" s="1094">
        <f ca="1">SUM(BT9:BV9)</f>
        <v>403903.25760000007</v>
      </c>
      <c r="BV2" s="1095">
        <f ca="1">1-(BT2-BU2)/BT2</f>
        <v>1.0000000019806725</v>
      </c>
      <c r="BW2" s="1175"/>
      <c r="BX2" s="1101"/>
      <c r="BY2" s="915" t="s">
        <v>2309</v>
      </c>
      <c r="BZ2" s="915" t="s">
        <v>287</v>
      </c>
      <c r="CA2" s="1014">
        <f ca="1">SUM(BY9:CD9)</f>
        <v>369178.25964999996</v>
      </c>
      <c r="CB2" s="1014">
        <f ca="1">SUM(CE9:CF9)</f>
        <v>369178.23973999999</v>
      </c>
      <c r="CC2" s="1099">
        <f ca="1">1-(CA2-CB2)/CA2</f>
        <v>0.99999994606941378</v>
      </c>
      <c r="CD2" s="915"/>
      <c r="CE2" s="915"/>
      <c r="CF2" s="915"/>
      <c r="CG2" s="1101"/>
      <c r="CH2" s="915" t="s">
        <v>2309</v>
      </c>
      <c r="CI2" s="915" t="s">
        <v>287</v>
      </c>
      <c r="CJ2" s="1014">
        <f ca="1">SUM(CH9:CI9)</f>
        <v>364706.00260000001</v>
      </c>
      <c r="CK2" s="1014">
        <f ca="1">SUM(CJ9)</f>
        <v>364705.984</v>
      </c>
      <c r="CL2" s="1095">
        <f ca="1">1-(CJ2-CK2)/CJ2</f>
        <v>0.99999994900001676</v>
      </c>
      <c r="CM2" s="1101"/>
      <c r="CN2" s="915" t="s">
        <v>2309</v>
      </c>
      <c r="CO2" s="915" t="s">
        <v>287</v>
      </c>
      <c r="CP2" s="1014">
        <f ca="1">SUM(CN9:CO9)</f>
        <v>35306.827799999999</v>
      </c>
      <c r="CQ2" s="1014">
        <f ca="1">SUM(CP9:CS9)</f>
        <v>35308.330539999995</v>
      </c>
      <c r="CR2" s="1095">
        <f ca="1">1-(CP2-CQ2)/CP2</f>
        <v>1.0000425623057532</v>
      </c>
      <c r="CS2" s="1175"/>
      <c r="CT2" s="1101"/>
      <c r="CU2" s="915" t="s">
        <v>2309</v>
      </c>
      <c r="CV2" s="915" t="s">
        <v>287</v>
      </c>
      <c r="CW2" s="1103">
        <f ca="1">SUM(CU9:DC9)</f>
        <v>639179.43269000005</v>
      </c>
      <c r="CX2" s="1094">
        <f ca="1">SUM(DD9:DH9)</f>
        <v>639182.31654000003</v>
      </c>
      <c r="CY2" s="1095">
        <f ca="1">1-(CW2-CX2)/CW2</f>
        <v>1.0000045118003686</v>
      </c>
      <c r="CZ2" s="1175"/>
      <c r="DA2" s="1175"/>
      <c r="DB2" s="915"/>
      <c r="DC2" s="915"/>
      <c r="DD2" s="915"/>
      <c r="DE2" s="915"/>
      <c r="DF2" s="915"/>
      <c r="DG2" s="915"/>
      <c r="DH2" s="915"/>
      <c r="DI2" s="1101"/>
      <c r="DJ2" s="915" t="s">
        <v>2309</v>
      </c>
      <c r="DK2" s="915" t="s">
        <v>287</v>
      </c>
      <c r="DL2" s="1103">
        <f ca="1">SUM(DJ9:DN9)</f>
        <v>2870971.9340500003</v>
      </c>
      <c r="DM2" s="1094">
        <f ca="1">SUM(DO9:DP9)</f>
        <v>2870971.94</v>
      </c>
      <c r="DN2" s="1095">
        <f ca="1">1-(DL2-DM2)/DL2</f>
        <v>1.0000000020724689</v>
      </c>
      <c r="DO2" s="915"/>
      <c r="DP2" s="915"/>
      <c r="DQ2" s="1101"/>
      <c r="DR2" s="915" t="s">
        <v>2309</v>
      </c>
      <c r="DS2" s="915" t="s">
        <v>287</v>
      </c>
      <c r="DT2" s="1014">
        <f ca="1">SUM(DR9:DS9)</f>
        <v>40847.209700000007</v>
      </c>
      <c r="DU2" s="1014">
        <f ca="1">SUM(DT9)</f>
        <v>40847.214200000002</v>
      </c>
      <c r="DV2" s="1095">
        <f ca="1">1-(DT2-DU2)/DT2</f>
        <v>1.0000001101666436</v>
      </c>
      <c r="DW2" s="1101"/>
      <c r="DX2" s="915" t="s">
        <v>2309</v>
      </c>
      <c r="DY2" s="915" t="s">
        <v>287</v>
      </c>
      <c r="DZ2" s="1014">
        <f ca="1">SUM(DX9:DY9)</f>
        <v>40847.209700000007</v>
      </c>
      <c r="EA2" s="1014">
        <f ca="1">SUM(DZ9)</f>
        <v>40847.214200000002</v>
      </c>
      <c r="EB2" s="1095">
        <f ca="1">1-(DZ2-EA2)/DZ2</f>
        <v>1.0000001101666436</v>
      </c>
      <c r="EC2" s="1101"/>
      <c r="ED2" s="915" t="s">
        <v>2309</v>
      </c>
      <c r="EE2" s="915" t="s">
        <v>287</v>
      </c>
      <c r="EF2" s="1014">
        <f ca="1">SUM(ED9:ED9)</f>
        <v>1073.2786100000001</v>
      </c>
      <c r="EG2" s="1014">
        <f ca="1">SUM(EE9)</f>
        <v>1073.2786100000001</v>
      </c>
      <c r="EH2" s="1095">
        <f ca="1">1-(EF2-EG2)/EF2</f>
        <v>1</v>
      </c>
      <c r="EI2" s="1101"/>
      <c r="EJ2" s="915" t="s">
        <v>2309</v>
      </c>
      <c r="EK2" s="915" t="s">
        <v>287</v>
      </c>
      <c r="EL2" s="1014">
        <f ca="1">SUM(EJ9:EK9)</f>
        <v>6703588.2539999997</v>
      </c>
      <c r="EM2" s="1014">
        <f ca="1">SUM(EL9:EM9)</f>
        <v>6704501.4642000003</v>
      </c>
      <c r="EN2" s="1095">
        <f ca="1">1-(EL2-EM2)/EL2</f>
        <v>1.0001362270720395</v>
      </c>
      <c r="EO2" s="1101"/>
      <c r="EP2" s="915" t="s">
        <v>2309</v>
      </c>
      <c r="EQ2" s="915" t="s">
        <v>287</v>
      </c>
      <c r="ER2" s="1014">
        <f ca="1">SUM(EP9:EP9)</f>
        <v>81295.915800000002</v>
      </c>
      <c r="ES2" s="1014">
        <f ca="1">SUM(EQ9:ES9)</f>
        <v>81295.915777799994</v>
      </c>
      <c r="ET2" s="1095">
        <f ca="1">1-(ER2-ES2)/ER2</f>
        <v>0.99999999972692344</v>
      </c>
      <c r="EU2" s="1101"/>
      <c r="EV2" s="915" t="s">
        <v>3073</v>
      </c>
      <c r="EW2" s="915"/>
      <c r="EX2" s="1101"/>
      <c r="EY2" s="915" t="s">
        <v>1752</v>
      </c>
      <c r="EZ2" s="915"/>
      <c r="FA2" s="915"/>
      <c r="FB2" s="1101"/>
      <c r="FC2" s="915" t="s">
        <v>2309</v>
      </c>
      <c r="FD2" s="915" t="s">
        <v>287</v>
      </c>
      <c r="FE2" s="1014">
        <f ca="1">SUM(FC9:GB9)</f>
        <v>816631.98713604908</v>
      </c>
      <c r="FF2" s="1014">
        <f ca="1">SUM(GD9:GO9)</f>
        <v>816637.7162599999</v>
      </c>
      <c r="FG2" s="1093">
        <f ca="1">1-(FE2-FF2)/FF2</f>
        <v>1.0000070155025131</v>
      </c>
      <c r="FH2" s="915"/>
      <c r="FI2" s="915"/>
      <c r="FJ2" s="915"/>
      <c r="FK2" s="915"/>
      <c r="FL2" s="915"/>
      <c r="FM2" s="915"/>
      <c r="FN2" s="915"/>
      <c r="FT2" s="915"/>
      <c r="FU2" s="915"/>
      <c r="FV2" s="915"/>
      <c r="FW2" s="915"/>
      <c r="FX2" s="915"/>
      <c r="FY2" s="915"/>
      <c r="FZ2" s="915"/>
      <c r="GA2" s="915"/>
      <c r="GB2" s="915"/>
      <c r="GC2" s="915"/>
      <c r="GD2" s="915"/>
      <c r="GE2" s="915"/>
      <c r="GF2" s="915"/>
      <c r="GG2" s="915"/>
      <c r="GH2" s="915"/>
      <c r="GI2" s="915"/>
      <c r="GJ2" s="915"/>
      <c r="GK2" s="915"/>
      <c r="GL2" s="915"/>
      <c r="GM2" s="915"/>
      <c r="GN2" s="915"/>
      <c r="GO2" s="915"/>
      <c r="GP2" s="915"/>
      <c r="GQ2" s="1143" t="s">
        <v>3076</v>
      </c>
      <c r="GR2" s="1183">
        <f ca="1">FG9+FH9+FI9+FJ9</f>
        <v>1301.5973833</v>
      </c>
      <c r="GS2" s="1182" t="s">
        <v>287</v>
      </c>
      <c r="GT2" s="1143" t="s">
        <v>3068</v>
      </c>
      <c r="GU2" s="1183">
        <f ca="1">GG9+GH9</f>
        <v>21397.687300000001</v>
      </c>
      <c r="GV2" s="1182" t="s">
        <v>287</v>
      </c>
      <c r="GW2" s="946"/>
      <c r="GX2" s="1143"/>
      <c r="GY2" s="946"/>
    </row>
    <row r="3" spans="1:207" s="1143" customFormat="1" x14ac:dyDescent="0.3">
      <c r="A3" s="1092"/>
      <c r="B3" s="1537"/>
      <c r="C3" s="915"/>
      <c r="F3" s="915" t="s">
        <v>2948</v>
      </c>
      <c r="G3" s="915" t="s">
        <v>2947</v>
      </c>
      <c r="H3" s="1014">
        <f ca="1">SUM(F10:N10)</f>
        <v>3126.8968084751746</v>
      </c>
      <c r="I3" s="1014">
        <f ca="1">SUM(O10:P10)</f>
        <v>3126.8968102151744</v>
      </c>
      <c r="J3" s="1099">
        <f ca="1">1-(H3-I3)/H3</f>
        <v>1.0000000005564622</v>
      </c>
      <c r="K3" s="1185"/>
      <c r="L3" s="915"/>
      <c r="M3" s="915"/>
      <c r="N3" s="915"/>
      <c r="O3" s="915"/>
      <c r="P3" s="915"/>
      <c r="Q3" s="1101"/>
      <c r="R3" s="915" t="s">
        <v>2948</v>
      </c>
      <c r="S3" s="915" t="s">
        <v>2947</v>
      </c>
      <c r="T3" s="1014">
        <f ca="1">SUM(R10:X10)</f>
        <v>3181.3657017209257</v>
      </c>
      <c r="U3" s="1014">
        <f ca="1">SUM(Y10:AA10)</f>
        <v>3179.2699137341592</v>
      </c>
      <c r="V3" s="1099">
        <f ca="1">1-(T3-U3)/T3</f>
        <v>0.99934123009321663</v>
      </c>
      <c r="W3" s="915"/>
      <c r="X3" s="915"/>
      <c r="Y3" s="915"/>
      <c r="Z3" s="915"/>
      <c r="AA3" s="915"/>
      <c r="AB3" s="1101"/>
      <c r="AC3" s="915" t="s">
        <v>2948</v>
      </c>
      <c r="AD3" s="915" t="s">
        <v>2947</v>
      </c>
      <c r="AE3" s="1094">
        <f ca="1">SUM(AC10:AK10)</f>
        <v>86.779006330432054</v>
      </c>
      <c r="AF3" s="1094">
        <f ca="1">SUM(AL10:AN10)</f>
        <v>86.778867184230947</v>
      </c>
      <c r="AG3" s="1099">
        <f ca="1">1-(AE3-AF3)/AE3</f>
        <v>0.99999839654535139</v>
      </c>
      <c r="AH3" s="915"/>
      <c r="AI3" s="915"/>
      <c r="AJ3" s="915"/>
      <c r="AK3" s="915"/>
      <c r="AL3" s="915"/>
      <c r="AM3" s="915"/>
      <c r="AN3" s="915"/>
      <c r="AO3" s="1101"/>
      <c r="AP3" s="915" t="s">
        <v>2948</v>
      </c>
      <c r="AQ3" s="915" t="s">
        <v>2947</v>
      </c>
      <c r="AR3" s="1094">
        <f ca="1">SUM(AP10:AT10)</f>
        <v>3179.2699137341592</v>
      </c>
      <c r="AS3" s="1094">
        <f ca="1">SUM(AV10:BC10)</f>
        <v>3179.269892185459</v>
      </c>
      <c r="AT3" s="1099">
        <f ca="1">1-(AR3-AS3)/AR3</f>
        <v>0.99999999322212307</v>
      </c>
      <c r="AU3" s="1185"/>
      <c r="AV3" s="915"/>
      <c r="AW3" s="915"/>
      <c r="AX3" s="915"/>
      <c r="AY3" s="915"/>
      <c r="AZ3" s="915"/>
      <c r="BA3" s="915"/>
      <c r="BB3" s="915"/>
      <c r="BC3" s="915"/>
      <c r="BD3" s="1101"/>
      <c r="BE3" s="915" t="s">
        <v>2948</v>
      </c>
      <c r="BF3" s="915" t="s">
        <v>2947</v>
      </c>
      <c r="BG3" s="1094">
        <f ca="1">SUM(BE10:BI10)</f>
        <v>3179.2699137341592</v>
      </c>
      <c r="BH3" s="1094">
        <f ca="1">SUM(BJ10:BO10)</f>
        <v>3179.2698931941591</v>
      </c>
      <c r="BI3" s="1099">
        <f ca="1">1-(BG3-BH3)/BG3</f>
        <v>0.99999999353939717</v>
      </c>
      <c r="BJ3" s="915"/>
      <c r="BK3" s="915"/>
      <c r="BL3" s="915"/>
      <c r="BM3" s="915"/>
      <c r="BN3" s="915"/>
      <c r="BO3" s="915"/>
      <c r="BP3" s="1101"/>
      <c r="BQ3" s="915" t="s">
        <v>2948</v>
      </c>
      <c r="BR3" s="915" t="s">
        <v>2947</v>
      </c>
      <c r="BS3" s="915"/>
      <c r="BT3" s="1094">
        <f ca="1">SUM(BQ10:BR10)</f>
        <v>1738.2871659062973</v>
      </c>
      <c r="BU3" s="1094">
        <f ca="1">SUM(BT10:BV10)</f>
        <v>1738.2871648975974</v>
      </c>
      <c r="BV3" s="1095">
        <f ca="1">1-(BT3-BU3)/BT3</f>
        <v>0.99999999941971618</v>
      </c>
      <c r="BW3" s="1175"/>
      <c r="BX3" s="1101"/>
      <c r="BY3" s="915" t="s">
        <v>2948</v>
      </c>
      <c r="BZ3" s="915" t="s">
        <v>2947</v>
      </c>
      <c r="CA3" s="1014">
        <f ca="1">SUM(BY10:CD10)</f>
        <v>1680.1562605215504</v>
      </c>
      <c r="CB3" s="1014">
        <f ca="1">SUM(CE10:CF10)</f>
        <v>1680.1562651412501</v>
      </c>
      <c r="CC3" s="1099">
        <f ca="1">1-(CA3-CB3)/CA3</f>
        <v>1.0000000027495655</v>
      </c>
      <c r="CD3" s="915"/>
      <c r="CE3" s="915"/>
      <c r="CF3" s="915"/>
      <c r="CG3" s="1101"/>
      <c r="CH3" s="915" t="s">
        <v>2948</v>
      </c>
      <c r="CI3" s="915" t="s">
        <v>2947</v>
      </c>
      <c r="CJ3" s="1014">
        <f ca="1">SUM(CH10:CI10)</f>
        <v>1680.1562615412502</v>
      </c>
      <c r="CK3" s="1014">
        <f ca="1">SUM(CJ10)</f>
        <v>1680.1562651412501</v>
      </c>
      <c r="CL3" s="1095">
        <f ca="1">1-(CJ3-CK3)/CJ3</f>
        <v>1.0000000021426578</v>
      </c>
      <c r="CM3" s="1101"/>
      <c r="CN3" s="915" t="s">
        <v>2948</v>
      </c>
      <c r="CO3" s="915" t="s">
        <v>2947</v>
      </c>
      <c r="CP3" s="1014">
        <f ca="1">SUM(CN10:CO10)</f>
        <v>0</v>
      </c>
      <c r="CQ3" s="1014">
        <f ca="1">SUM(CP10:CR10)</f>
        <v>0</v>
      </c>
      <c r="CR3" s="1095" t="e">
        <f ca="1">1-(CP3-CQ3)/CP3</f>
        <v>#DIV/0!</v>
      </c>
      <c r="CS3" s="1175"/>
      <c r="CT3" s="1101"/>
      <c r="CU3" s="915" t="s">
        <v>2948</v>
      </c>
      <c r="CV3" s="915" t="s">
        <v>2947</v>
      </c>
      <c r="CW3" s="1103">
        <f ca="1">SUM(CU10:DC10)</f>
        <v>820.37642686301126</v>
      </c>
      <c r="CX3" s="1094">
        <f ca="1">SUM(DD10:DH10)</f>
        <v>834.33850858370818</v>
      </c>
      <c r="CY3" s="1095">
        <f ca="1">1-(CW3-CX3)/CW3</f>
        <v>1.0170191161807094</v>
      </c>
      <c r="CZ3" s="1175"/>
      <c r="DA3" s="1175"/>
      <c r="DB3" s="915"/>
      <c r="DC3" s="915"/>
      <c r="DD3" s="915"/>
      <c r="DE3" s="915"/>
      <c r="DF3" s="915"/>
      <c r="DG3" s="915"/>
      <c r="DH3" s="915"/>
      <c r="DI3" s="1101"/>
      <c r="DJ3" s="915" t="s">
        <v>2948</v>
      </c>
      <c r="DK3" s="915" t="s">
        <v>2947</v>
      </c>
      <c r="DL3" s="1103">
        <f ca="1">SUM(DJ10:DN10)</f>
        <v>1079.2304664338437</v>
      </c>
      <c r="DM3" s="1094">
        <f ca="1">SUM(DO10:DP10)</f>
        <v>1082.9131816633053</v>
      </c>
      <c r="DN3" s="1095">
        <f ca="1">1-(DL3-DM3)/DL3</f>
        <v>1.0034123529162686</v>
      </c>
      <c r="DO3" s="915"/>
      <c r="DP3" s="915"/>
      <c r="DQ3" s="1101"/>
      <c r="DR3" s="915" t="s">
        <v>2948</v>
      </c>
      <c r="DS3" s="915" t="s">
        <v>2947</v>
      </c>
      <c r="DT3" s="1014">
        <f ca="1">SUM(DR10:DS10)</f>
        <v>664.0345803122766</v>
      </c>
      <c r="DU3" s="1014">
        <f ca="1">SUM(DT10)</f>
        <v>664.0345803122766</v>
      </c>
      <c r="DV3" s="1095">
        <f ca="1">1-(DT3-DU3)/DT3</f>
        <v>1</v>
      </c>
      <c r="DW3" s="1101"/>
      <c r="DX3" s="915" t="s">
        <v>2948</v>
      </c>
      <c r="DY3" s="915" t="s">
        <v>2947</v>
      </c>
      <c r="DZ3" s="1014">
        <f ca="1">SUM(DX10:DY10)</f>
        <v>664.0345803122766</v>
      </c>
      <c r="EA3" s="1014">
        <f ca="1">SUM(DZ10)</f>
        <v>664.0345803122766</v>
      </c>
      <c r="EB3" s="1095">
        <f ca="1">1-(DZ3-EA3)/DZ3</f>
        <v>1</v>
      </c>
      <c r="EC3" s="1101"/>
      <c r="ED3" s="915" t="s">
        <v>2948</v>
      </c>
      <c r="EE3" s="915" t="s">
        <v>2947</v>
      </c>
      <c r="EF3" s="1014">
        <f ca="1">SUM(ED10:ED10)</f>
        <v>35.907003187256024</v>
      </c>
      <c r="EG3" s="1014">
        <f ca="1">SUM(EE10)</f>
        <v>46.186359169490878</v>
      </c>
      <c r="EH3" s="1095">
        <f ca="1">1-(EF3-EG3)/EF3</f>
        <v>1.2862771902357801</v>
      </c>
      <c r="EI3" s="1101"/>
      <c r="EJ3" s="915" t="s">
        <v>2948</v>
      </c>
      <c r="EK3" s="915" t="s">
        <v>2947</v>
      </c>
      <c r="EL3" s="1014">
        <f ca="1">SUM(EJ10:EK10)</f>
        <v>0</v>
      </c>
      <c r="EM3" s="1014">
        <f ca="1">SUM(EL10:EM10)</f>
        <v>0</v>
      </c>
      <c r="EN3" s="1095" t="str">
        <f ca="1">IFERROR(1-(EL3-EM3)/EL3,"N/A")</f>
        <v>N/A</v>
      </c>
      <c r="EO3" s="1101"/>
      <c r="EP3" s="915" t="s">
        <v>2948</v>
      </c>
      <c r="EQ3" s="915" t="s">
        <v>2947</v>
      </c>
      <c r="ER3" s="1014">
        <f ca="1">SUM(EP10:EP10)</f>
        <v>3.9300165714401323</v>
      </c>
      <c r="ES3" s="1014">
        <f ca="1">SUM(EQ10:ES10)</f>
        <v>3.930016568640132</v>
      </c>
      <c r="ET3" s="1095">
        <f ca="1">1-(ER3-ES3)/ER3</f>
        <v>0.9999999992875348</v>
      </c>
      <c r="EU3" s="1101"/>
      <c r="EV3" s="915">
        <f ca="1">EW12-EV12-EV23</f>
        <v>23.187107393592939</v>
      </c>
      <c r="EW3" s="915"/>
      <c r="EX3" s="1101"/>
      <c r="EY3" s="915">
        <f ca="1">FA12-EY12-EY23</f>
        <v>165.22562630000004</v>
      </c>
      <c r="EZ3" s="915"/>
      <c r="FA3" s="915"/>
      <c r="FB3" s="1101"/>
      <c r="FC3" s="915" t="s">
        <v>2948</v>
      </c>
      <c r="FD3" s="915" t="s">
        <v>2947</v>
      </c>
      <c r="FE3" s="1014">
        <f ca="1">SUM(FC10:GB10)</f>
        <v>3226.1098370150789</v>
      </c>
      <c r="FF3" s="1014">
        <f ca="1">SUM(GD10:GO10)</f>
        <v>3237.9759764238079</v>
      </c>
      <c r="FG3" s="1093">
        <f ca="1">1-(FE3-FF3)/FF3</f>
        <v>1.0036646780257568</v>
      </c>
      <c r="FH3" s="915"/>
      <c r="FI3" s="915"/>
      <c r="FJ3" s="915"/>
      <c r="FK3" s="915"/>
      <c r="FL3" s="915"/>
      <c r="FM3" s="915"/>
      <c r="FN3" s="915"/>
      <c r="FT3" s="915"/>
      <c r="FU3" s="915"/>
      <c r="FV3" s="915"/>
      <c r="FW3" s="915"/>
      <c r="FX3" s="915"/>
      <c r="FY3" s="915"/>
      <c r="FZ3" s="915"/>
      <c r="GA3" s="915"/>
      <c r="GB3" s="915"/>
      <c r="GC3" s="915"/>
      <c r="GD3" s="915"/>
      <c r="GE3" s="915"/>
      <c r="GF3" s="915"/>
      <c r="GG3" s="915"/>
      <c r="GH3" s="915"/>
      <c r="GI3" s="915"/>
      <c r="GJ3" s="915"/>
      <c r="GK3" s="915"/>
      <c r="GL3" s="915"/>
      <c r="GM3" s="915"/>
      <c r="GN3" s="915"/>
      <c r="GO3" s="915"/>
      <c r="GP3" s="915"/>
      <c r="GQ3" s="914"/>
      <c r="GR3" s="1181">
        <f ca="1">SUM(FG10:FJ10)</f>
        <v>22.245750757966007</v>
      </c>
      <c r="GS3" s="1182" t="s">
        <v>3077</v>
      </c>
      <c r="GT3" s="914"/>
      <c r="GU3" s="1181">
        <f ca="1">GG10+GH10</f>
        <v>470.52020176416164</v>
      </c>
      <c r="GV3" s="1182" t="s">
        <v>3077</v>
      </c>
      <c r="GW3" s="946"/>
      <c r="GY3" s="946"/>
    </row>
    <row r="4" spans="1:207" s="914" customFormat="1" x14ac:dyDescent="0.3">
      <c r="A4" s="1102"/>
      <c r="B4" s="1537"/>
      <c r="C4" s="915"/>
      <c r="F4" s="915" t="s">
        <v>1172</v>
      </c>
      <c r="G4" s="915" t="s">
        <v>982</v>
      </c>
      <c r="H4" s="1100">
        <f ca="1">(SUM(F12:N12)+F20)</f>
        <v>-1526.4691717584749</v>
      </c>
      <c r="I4" s="1100">
        <f ca="1">(SUM(O12:P12)+O20)-SUM(O23:P23)</f>
        <v>-1526.4697088813821</v>
      </c>
      <c r="J4" s="1099">
        <f ca="1">1-(H4-I4)/H4</f>
        <v>1.0000003518727512</v>
      </c>
      <c r="K4" s="1185"/>
      <c r="L4" s="915"/>
      <c r="M4" s="915"/>
      <c r="N4" s="915"/>
      <c r="O4" s="915"/>
      <c r="P4" s="915"/>
      <c r="Q4" s="1101"/>
      <c r="R4" s="915" t="s">
        <v>1172</v>
      </c>
      <c r="S4" s="915" t="s">
        <v>982</v>
      </c>
      <c r="T4" s="1094">
        <f ca="1">SUM(R12:X12)+SUM(R20:X20)</f>
        <v>-1560.6880746960001</v>
      </c>
      <c r="U4" s="1094">
        <f ca="1">SUM(Y12:AA12)+SUM(Y20:AA20)-SUM(Y23:AA23)</f>
        <v>-1560.329841424646</v>
      </c>
      <c r="V4" s="1099">
        <f ca="1">1-(T4-U4)/T4</f>
        <v>0.99977046452961216</v>
      </c>
      <c r="W4" s="915"/>
      <c r="X4" s="915"/>
      <c r="Y4" s="915"/>
      <c r="Z4" s="915"/>
      <c r="AA4" s="915"/>
      <c r="AB4" s="1101"/>
      <c r="AC4" s="915" t="s">
        <v>1172</v>
      </c>
      <c r="AD4" s="915" t="s">
        <v>982</v>
      </c>
      <c r="AE4" s="1094">
        <f ca="1">SUM(AC12:AK12)+SUM(AC20:AK20)</f>
        <v>-51.486534900110009</v>
      </c>
      <c r="AF4" s="1094">
        <f ca="1">SUM(AL12:AN12)+SUM(AL20:AN20)-SUM(AL23:AN23)</f>
        <v>-51.07420188652268</v>
      </c>
      <c r="AG4" s="1099">
        <f ca="1">1-(AE4-AF4)/AE4</f>
        <v>0.99199143981261695</v>
      </c>
      <c r="AH4" s="915"/>
      <c r="AI4" s="915" t="s">
        <v>3429</v>
      </c>
      <c r="AJ4" s="915"/>
      <c r="AK4" s="915"/>
      <c r="AL4" s="915"/>
      <c r="AM4" s="915"/>
      <c r="AN4" s="915"/>
      <c r="AO4" s="1101"/>
      <c r="AP4" s="915" t="s">
        <v>1172</v>
      </c>
      <c r="AQ4" s="915" t="s">
        <v>982</v>
      </c>
      <c r="AR4" s="1094">
        <f ca="1">SUM(AP12:AT12)+SUM(AP20:AT20)</f>
        <v>-1781.5507708800001</v>
      </c>
      <c r="AS4" s="1094">
        <f ca="1">SUM(AV12:BA12)+SUM(AV20:AX20)-SUM(AV23:AX23)</f>
        <v>-1706.8794700616527</v>
      </c>
      <c r="AT4" s="1099">
        <f ca="1">1-(AR4-AS4)/AR4</f>
        <v>0.95808634699674411</v>
      </c>
      <c r="AU4" s="1185"/>
      <c r="AV4" s="915"/>
      <c r="AW4" s="915"/>
      <c r="AX4" s="915"/>
      <c r="AY4" s="915"/>
      <c r="AZ4" s="915"/>
      <c r="BA4" s="915"/>
      <c r="BB4" s="915"/>
      <c r="BC4" s="915"/>
      <c r="BD4" s="1101"/>
      <c r="BE4" s="915" t="s">
        <v>1172</v>
      </c>
      <c r="BF4" s="915" t="s">
        <v>982</v>
      </c>
      <c r="BG4" s="1094">
        <f ca="1">SUM(BE12:BI12)+SUM(BE20:BI20)</f>
        <v>-1781.5507708800001</v>
      </c>
      <c r="BH4" s="1094">
        <f ca="1">SUM(BJ12:BO12)+SUM(BJ20:BL20)-SUM(BJ23:BL23)</f>
        <v>-1781.5494783808942</v>
      </c>
      <c r="BI4" s="1099">
        <f ca="1">1-(BG4-BH4)/BG4</f>
        <v>0.99999927450896886</v>
      </c>
      <c r="BJ4" s="915"/>
      <c r="BK4" s="915"/>
      <c r="BL4" s="915"/>
      <c r="BM4" s="915"/>
      <c r="BN4" s="915"/>
      <c r="BO4" s="915"/>
      <c r="BP4" s="1101"/>
      <c r="BQ4" s="915" t="s">
        <v>1172</v>
      </c>
      <c r="BR4" s="915" t="s">
        <v>982</v>
      </c>
      <c r="BS4" s="915"/>
      <c r="BT4" s="1094">
        <f ca="1">SUM(BQ12:BR12)-SUM(BQ23:BR23)</f>
        <v>-1360.5183730010001</v>
      </c>
      <c r="BU4" s="1094">
        <f ca="1">SUM(BT12:BV12)+SUM(BT20:BV20)-SUM(BT23:BV23)</f>
        <v>-1360.3599333999712</v>
      </c>
      <c r="BV4" s="1095">
        <f ca="1">1-(BT4-BU4)/BT4</f>
        <v>0.99988354468107665</v>
      </c>
      <c r="BW4" s="1175"/>
      <c r="BX4" s="1101"/>
      <c r="BY4" s="915" t="s">
        <v>1172</v>
      </c>
      <c r="BZ4" s="915" t="s">
        <v>982</v>
      </c>
      <c r="CA4" s="1100">
        <f ca="1">SUM(BY12:CD12)+SUM(BY20:CD20)</f>
        <v>-180.799555798</v>
      </c>
      <c r="CB4" s="1100">
        <f ca="1">SUM(CE12:CF12)+SUM(CE20:CF20)-SUM(CE23)</f>
        <v>-180.28708302187874</v>
      </c>
      <c r="CC4" s="1099">
        <f ca="1">1-(CA4-CB4)/CA4</f>
        <v>0.99716551971679723</v>
      </c>
      <c r="CD4" s="915"/>
      <c r="CE4" s="915" t="s">
        <v>2059</v>
      </c>
      <c r="CF4" s="486">
        <f ca="1">CE20/SUM(BY17:CD17)</f>
        <v>-0.87280358011356984</v>
      </c>
      <c r="CG4" s="1101"/>
      <c r="CH4" s="915" t="s">
        <v>1172</v>
      </c>
      <c r="CI4" s="915" t="s">
        <v>982</v>
      </c>
      <c r="CJ4" s="1100">
        <f ca="1">SUM(CH12:CI12)</f>
        <v>-151.19258920000001</v>
      </c>
      <c r="CK4" s="1100">
        <f ca="1">(CJ12+CJ20)</f>
        <v>-151.19258129999997</v>
      </c>
      <c r="CL4" s="1095">
        <f ca="1">1-(CJ4-CK4)/CJ4</f>
        <v>0.99999994774876144</v>
      </c>
      <c r="CM4" s="1101"/>
      <c r="CN4" s="915" t="s">
        <v>1172</v>
      </c>
      <c r="CO4" s="915" t="s">
        <v>982</v>
      </c>
      <c r="CP4" s="1100">
        <f ca="1">SUM(CN12)+SUM(CN20:CO20)+CN23</f>
        <v>-27.579634699999986</v>
      </c>
      <c r="CQ4" s="1100">
        <f ca="1">SUM(CP12:CS12)+SUM(CP20:CR20)-SUM(CP23:CR23)</f>
        <v>-27.72542543958501</v>
      </c>
      <c r="CR4" s="1095">
        <f ca="1">1-(CP4-CQ4)/CP4</f>
        <v>1.0052861736992122</v>
      </c>
      <c r="CS4" s="1175"/>
      <c r="CT4" s="1101"/>
      <c r="CU4" s="915" t="s">
        <v>1172</v>
      </c>
      <c r="CV4" s="915" t="s">
        <v>982</v>
      </c>
      <c r="CW4" s="1100">
        <f ca="1">SUM(CU12:DC12)+SUM(CU20:DC20)-SUM(CU23:DC23)</f>
        <v>-1518.7904588480001</v>
      </c>
      <c r="CX4" s="1100">
        <f ca="1">SUM(DD12:DH12)+SUM(DD20:DH20)-SUM(DD23:DH23)</f>
        <v>-1518.8208121350622</v>
      </c>
      <c r="CY4" s="1095">
        <f ca="1">1-(CW4-CX4)/CW4</f>
        <v>1.000019985171019</v>
      </c>
      <c r="CZ4" s="1175"/>
      <c r="DA4" s="1175"/>
      <c r="DB4" s="915"/>
      <c r="DC4" s="915"/>
      <c r="DD4" s="915"/>
      <c r="DE4" s="915"/>
      <c r="DF4" s="915"/>
      <c r="DG4" s="915"/>
      <c r="DH4" s="915"/>
      <c r="DI4" s="1101"/>
      <c r="DJ4" s="915" t="s">
        <v>1172</v>
      </c>
      <c r="DK4" s="915" t="s">
        <v>982</v>
      </c>
      <c r="DL4" s="1100">
        <f ca="1">SUM(DJ12:DN12)+SUM(DJ20:DN20)-SUM(DJ23:DN23)</f>
        <v>-9893.8561085999991</v>
      </c>
      <c r="DM4" s="1100">
        <f ca="1">SUM(DO12:DP12)+SUM(DO20:DP20)-SUM(DO23:DP23)</f>
        <v>-9890.1667606999999</v>
      </c>
      <c r="DN4" s="1095">
        <f ca="1">1-(DL4-DM4)/DL4</f>
        <v>0.99962710718050651</v>
      </c>
      <c r="DO4" s="915"/>
      <c r="DP4" s="915"/>
      <c r="DQ4" s="1101"/>
      <c r="DR4" s="915" t="s">
        <v>1172</v>
      </c>
      <c r="DS4" s="915" t="s">
        <v>982</v>
      </c>
      <c r="DT4" s="1100">
        <f ca="1">SUM(DR12:DS12)+DR20</f>
        <v>-108.60058459999999</v>
      </c>
      <c r="DU4" s="1100">
        <f ca="1">SUM(DT12)+DT20</f>
        <v>-108.42862764</v>
      </c>
      <c r="DV4" s="1095">
        <f ca="1">1-(DT4-DU4)/DT4</f>
        <v>0.99841661110174185</v>
      </c>
      <c r="DW4" s="1101"/>
      <c r="DX4" s="915" t="s">
        <v>1172</v>
      </c>
      <c r="DY4" s="915" t="s">
        <v>982</v>
      </c>
      <c r="DZ4" s="1100">
        <f ca="1">SUM(DX12:DY12)+DX20</f>
        <v>-108.60058459999999</v>
      </c>
      <c r="EA4" s="1100">
        <f ca="1">SUM(DZ12)+DZ20</f>
        <v>-108.42862764</v>
      </c>
      <c r="EB4" s="1095">
        <f ca="1">1-(DZ4-EA4)/DZ4</f>
        <v>0.99841661110174185</v>
      </c>
      <c r="EC4" s="1101"/>
      <c r="ED4" s="915" t="s">
        <v>1172</v>
      </c>
      <c r="EE4" s="915" t="s">
        <v>982</v>
      </c>
      <c r="EF4" s="1100">
        <f ca="1">SUM(ED12)+ED20</f>
        <v>-1.73270955</v>
      </c>
      <c r="EG4" s="1100">
        <f ca="1">SUM(EE12)+EE20</f>
        <v>-1.7327095539999999</v>
      </c>
      <c r="EH4" s="1095">
        <f ca="1">1-(EF4-EG4)/EF4</f>
        <v>1.0000000023085229</v>
      </c>
      <c r="EI4" s="1101"/>
      <c r="EJ4" s="915" t="s">
        <v>1172</v>
      </c>
      <c r="EK4" s="915" t="s">
        <v>982</v>
      </c>
      <c r="EL4" s="1100">
        <f ca="1">SUM(EJ12:EK12)+SUM(EJ20:EK20)</f>
        <v>-899.86106640000003</v>
      </c>
      <c r="EM4" s="1100">
        <f ca="1">SUM(EL12:EM12)-SUM(EL23:EM23)-EL20</f>
        <v>-903.3096224175074</v>
      </c>
      <c r="EN4" s="1095">
        <f ca="1">1-(EL4-EM4)/EL4</f>
        <v>1.003832320506213</v>
      </c>
      <c r="EO4" s="1101"/>
      <c r="EP4" s="915" t="s">
        <v>1172</v>
      </c>
      <c r="EQ4" s="915" t="s">
        <v>982</v>
      </c>
      <c r="ER4" s="1100">
        <f ca="1">SUM(EP12)+EP20</f>
        <v>-296.08048200000002</v>
      </c>
      <c r="ES4" s="1100">
        <f ca="1">SUM(EQ12:ES12)+EQ20-EQ23</f>
        <v>-296.08048421203506</v>
      </c>
      <c r="ET4" s="1095">
        <f ca="1">1-(ER4-ES4)/ER4</f>
        <v>1.00000000747106</v>
      </c>
      <c r="EU4" s="1101"/>
      <c r="EV4" s="915"/>
      <c r="EW4" s="915"/>
      <c r="EX4" s="1101"/>
      <c r="EY4" s="915"/>
      <c r="EZ4" s="915"/>
      <c r="FA4" s="915"/>
      <c r="FB4" s="1101"/>
      <c r="FC4" s="915" t="s">
        <v>1172</v>
      </c>
      <c r="FD4" s="915" t="s">
        <v>982</v>
      </c>
      <c r="FE4" s="1100">
        <f ca="1">SUM(FC12:GB12)+SUM(FC20:GB20)-SUM(FC23:GB23)</f>
        <v>-822.35495137108182</v>
      </c>
      <c r="FF4" s="1100">
        <f ca="1">SUM(GD12:GO12)+SUM(GD20:GO20)-SUM(GD23:GO23)</f>
        <v>-823.53123269535297</v>
      </c>
      <c r="FG4" s="1093">
        <f ca="1">1-(FE4-FF4)/FF4</f>
        <v>1.0014283384498015</v>
      </c>
      <c r="FH4" s="915"/>
      <c r="FI4" s="915"/>
      <c r="FJ4" s="915"/>
      <c r="FK4" s="915"/>
      <c r="FL4" s="915"/>
      <c r="FM4" s="915"/>
      <c r="FN4" s="915"/>
      <c r="FT4" s="915"/>
      <c r="FU4" s="915"/>
      <c r="FV4" s="915"/>
      <c r="FW4" s="915"/>
      <c r="FX4" s="915"/>
      <c r="FY4" s="915"/>
      <c r="FZ4" s="915"/>
      <c r="GA4" s="915"/>
      <c r="GB4" s="915"/>
      <c r="GC4" s="915"/>
      <c r="GD4" s="915"/>
      <c r="GE4" s="915"/>
      <c r="GF4" s="915"/>
      <c r="GG4" s="915"/>
      <c r="GH4" s="915"/>
      <c r="GI4" s="915"/>
      <c r="GJ4" s="915"/>
      <c r="GK4" s="915"/>
      <c r="GL4" s="915"/>
      <c r="GM4" s="915"/>
      <c r="GN4" s="915"/>
      <c r="GO4" s="915"/>
      <c r="GP4" s="915"/>
      <c r="GR4" s="1181">
        <f ca="1">SUM(FG17:FJ17)</f>
        <v>-2.1384893663706293</v>
      </c>
      <c r="GS4" s="1182" t="s">
        <v>3079</v>
      </c>
      <c r="GU4" s="1181">
        <f ca="1">GG17+GH17</f>
        <v>-6.667109293225626E-2</v>
      </c>
      <c r="GV4" s="1182" t="s">
        <v>3079</v>
      </c>
      <c r="GW4" s="946"/>
      <c r="GX4" s="1143"/>
      <c r="GY4" s="946"/>
    </row>
    <row r="5" spans="1:207" s="914" customFormat="1" x14ac:dyDescent="0.3">
      <c r="A5" s="1102"/>
      <c r="B5" s="1537"/>
      <c r="C5" s="915"/>
      <c r="F5" s="915" t="s">
        <v>1168</v>
      </c>
      <c r="G5" s="915" t="s">
        <v>982</v>
      </c>
      <c r="H5" s="1100">
        <f ca="1">(SUM(F17:N17)-F20)</f>
        <v>-135.27853957355981</v>
      </c>
      <c r="I5" s="1100">
        <f ca="1">(SUM(O17:P17)-O20)+SUM(O23:P23)</f>
        <v>-135.26030921468561</v>
      </c>
      <c r="J5" s="1099">
        <f ca="1">1-(H5-I5)/H5</f>
        <v>0.99986523835242702</v>
      </c>
      <c r="K5" s="1185"/>
      <c r="L5" s="915"/>
      <c r="M5" s="915"/>
      <c r="N5" s="915"/>
      <c r="O5" s="915"/>
      <c r="P5" s="915"/>
      <c r="Q5" s="1101"/>
      <c r="R5" s="915" t="s">
        <v>1168</v>
      </c>
      <c r="S5" s="915" t="s">
        <v>982</v>
      </c>
      <c r="T5" s="1100">
        <f ca="1">SUM(R17:X17)</f>
        <v>-132.95586713492239</v>
      </c>
      <c r="U5" s="1100">
        <f ca="1">SUM(Y17:AA17)-SUM(Y20:AA20)+SUM(Y23:AA23)</f>
        <v>-133.04827579760243</v>
      </c>
      <c r="V5" s="1099">
        <f ca="1">1-(T5-U5)/T5</f>
        <v>1.0006950326049642</v>
      </c>
      <c r="W5" s="915"/>
      <c r="X5" s="915"/>
      <c r="Y5" s="915"/>
      <c r="Z5" s="915"/>
      <c r="AA5" s="915"/>
      <c r="AB5" s="1101"/>
      <c r="AC5" s="915" t="s">
        <v>1168</v>
      </c>
      <c r="AD5" s="915" t="s">
        <v>982</v>
      </c>
      <c r="AE5" s="1100">
        <f ca="1">SUM(AC17:AK17)-SUM(AC20:AK20)+SUM(AC23:AK23)</f>
        <v>-2.5497808095944676</v>
      </c>
      <c r="AF5" s="1100">
        <f ca="1">SUM(AL17:AN17)-SUM(AL20:AN20)+SUM(AL23:AN23)</f>
        <v>-2.9621158408042092</v>
      </c>
      <c r="AG5" s="1099">
        <f ca="1">1-(AE5-AF5)/AE5</f>
        <v>1.1617139126854288</v>
      </c>
      <c r="AH5" s="915"/>
      <c r="AI5" s="915"/>
      <c r="AJ5" s="915"/>
      <c r="AK5" s="915"/>
      <c r="AL5" s="915"/>
      <c r="AM5" s="915"/>
      <c r="AN5" s="915"/>
      <c r="AO5" s="1101"/>
      <c r="AP5" s="915" t="s">
        <v>1168</v>
      </c>
      <c r="AQ5" s="915" t="s">
        <v>982</v>
      </c>
      <c r="AR5" s="1100">
        <f ca="1">SUM(AP17:AT17)-SUM(AP20:AT20)+SUM(AP23:AT23)</f>
        <v>-97.312704527191528</v>
      </c>
      <c r="AS5" s="1100">
        <f ca="1">SUM(AV17:BA17)-SUM(AV20:AX20)+SUM(AV23:AX23)</f>
        <v>0.50975481494877384</v>
      </c>
      <c r="AT5" s="1099">
        <f ca="1">1-(AR5-AS5)/AR5</f>
        <v>-5.2383172107435261E-3</v>
      </c>
      <c r="AU5" s="1185"/>
      <c r="AV5" s="915"/>
      <c r="AW5" s="915"/>
      <c r="AX5" s="915"/>
      <c r="AY5" s="915"/>
      <c r="AZ5" s="915"/>
      <c r="BA5" s="915"/>
      <c r="BB5" s="915"/>
      <c r="BC5" s="915"/>
      <c r="BD5" s="1101"/>
      <c r="BE5" s="915" t="s">
        <v>1168</v>
      </c>
      <c r="BF5" s="915" t="s">
        <v>982</v>
      </c>
      <c r="BG5" s="1100">
        <f ca="1">SUM(BE17:BI17)-SUM(BE20:BI20)+SUM(BE23:BI23)</f>
        <v>-97.312704527191528</v>
      </c>
      <c r="BH5" s="1100">
        <f ca="1">SUM(BJ17:BO17)-SUM(BJ20:BL20)+SUM(BJ23:BL23)</f>
        <v>-97.836582781081489</v>
      </c>
      <c r="BI5" s="1099">
        <f ca="1">1-(BG5-BH5)/BG5</f>
        <v>1.0053834517952749</v>
      </c>
      <c r="BJ5" s="915"/>
      <c r="BK5" s="915"/>
      <c r="BL5" s="915"/>
      <c r="BM5" s="915"/>
      <c r="BN5" s="915"/>
      <c r="BO5" s="915"/>
      <c r="BP5" s="1101"/>
      <c r="BQ5" s="915" t="s">
        <v>1168</v>
      </c>
      <c r="BR5" s="915" t="s">
        <v>982</v>
      </c>
      <c r="BS5" s="915"/>
      <c r="BT5" s="1100">
        <f ca="1">SUM(BQ17:BR17)</f>
        <v>3.9218708517020211</v>
      </c>
      <c r="BU5" s="1100">
        <f ca="1">SUM(BT17:BV17)-SUM(BT20:BV20)+SUM(BT23:BV23)</f>
        <v>3.749968635769124</v>
      </c>
      <c r="BV5" s="1095">
        <f ca="1">1-(BT5-BU5)/BT5</f>
        <v>0.95616831292180504</v>
      </c>
      <c r="BW5" s="1175"/>
      <c r="BX5" s="1101"/>
      <c r="BY5" s="915" t="s">
        <v>1168</v>
      </c>
      <c r="BZ5" s="915" t="s">
        <v>982</v>
      </c>
      <c r="CA5" s="1094">
        <f ca="1">SUM(BY17:CD17)</f>
        <v>-165.70784686880017</v>
      </c>
      <c r="CB5" s="1094">
        <f ca="1">SUM(CE17:CF17)-SUM(CE20:CF20)+SUM(CE23)</f>
        <v>-166.18063569073007</v>
      </c>
      <c r="CC5" s="1099">
        <f ca="1">1-(CA5-CB5)/CA5</f>
        <v>1.0028531468537167</v>
      </c>
      <c r="CD5" s="915"/>
      <c r="CE5" s="915"/>
      <c r="CF5" s="915"/>
      <c r="CG5" s="1101"/>
      <c r="CH5" s="915" t="s">
        <v>1168</v>
      </c>
      <c r="CI5" s="915" t="s">
        <v>982</v>
      </c>
      <c r="CJ5" s="1094">
        <f ca="1">SUM(CH17:CI17)</f>
        <v>-181.29517235211824</v>
      </c>
      <c r="CK5" s="1094">
        <f ca="1">CJ17-CJ20</f>
        <v>-181.2759457855218</v>
      </c>
      <c r="CL5" s="1095">
        <f ca="1">1-(CJ5-CK5)/CJ5</f>
        <v>0.99989394882198457</v>
      </c>
      <c r="CM5" s="1101"/>
      <c r="CN5" s="915" t="s">
        <v>1168</v>
      </c>
      <c r="CO5" s="915" t="s">
        <v>982</v>
      </c>
      <c r="CP5" s="1094">
        <f ca="1">SUM(CN17:CO17)-SUM(CN20:CO20)-CN23</f>
        <v>-85.678595277237648</v>
      </c>
      <c r="CQ5" s="1094">
        <f ca="1">SUM(CP17:CS17)-SUM(CP20:CR20)+SUM(CP23:CR23)</f>
        <v>-85.486928820292846</v>
      </c>
      <c r="CR5" s="1095">
        <f ca="1">1-(CP5-CQ5)/CP5</f>
        <v>0.99776295985800645</v>
      </c>
      <c r="CS5" s="1175"/>
      <c r="CT5" s="1101"/>
      <c r="CU5" s="915" t="s">
        <v>1168</v>
      </c>
      <c r="CV5" s="915" t="s">
        <v>982</v>
      </c>
      <c r="CW5" s="1098">
        <f ca="1">SUM(CU17:DC17)-SUM(CU20:DC20)+SUM(CU23:DC23)</f>
        <v>131.69677400799287</v>
      </c>
      <c r="CX5" s="1097">
        <f ca="1">SUM(DD17:DH17)-SUM(DD20:DH20)+SUM(DD23:DH23)</f>
        <v>130.11593653657363</v>
      </c>
      <c r="CY5" s="1095">
        <f ca="1">1-(CW5-CX5)/CW5</f>
        <v>0.98799638424458824</v>
      </c>
      <c r="CZ5" s="1175"/>
      <c r="DA5" s="1175"/>
      <c r="DB5" s="915"/>
      <c r="DC5" s="915"/>
      <c r="DD5" s="915"/>
      <c r="DE5" s="915"/>
      <c r="DF5" s="915"/>
      <c r="DG5" s="915"/>
      <c r="DH5" s="915"/>
      <c r="DI5" s="1101"/>
      <c r="DJ5" s="915" t="s">
        <v>1168</v>
      </c>
      <c r="DK5" s="915" t="s">
        <v>982</v>
      </c>
      <c r="DL5" s="1098">
        <f ca="1">SUM(DJ17:DN17)-SUM(DJ20:DN20)+SUM(DJ23:DN23)</f>
        <v>1411.1130971188877</v>
      </c>
      <c r="DM5" s="1097">
        <f ca="1">SUM(DO17:DP17)-SUM(DO20:DP20)+SUM(DO23:DP23)</f>
        <v>1407.3636693410647</v>
      </c>
      <c r="DN5" s="1095">
        <f ca="1">1-(DL5-DM5)/DL5</f>
        <v>0.99734292893639898</v>
      </c>
      <c r="DO5" s="915"/>
      <c r="DP5" s="915"/>
      <c r="DQ5" s="1101"/>
      <c r="DR5" s="915" t="s">
        <v>1168</v>
      </c>
      <c r="DS5" s="915" t="s">
        <v>982</v>
      </c>
      <c r="DT5" s="1096">
        <f ca="1">SUM(DR17:DS17)</f>
        <v>-57.808069342583799</v>
      </c>
      <c r="DU5" s="1096">
        <f ca="1">SUM(DT17)-DT20</f>
        <v>-58.244002795104947</v>
      </c>
      <c r="DV5" s="1095">
        <f ca="1">1-(DT5-DU5)/DT5</f>
        <v>1.0075410484639733</v>
      </c>
      <c r="DW5" s="1101"/>
      <c r="DX5" s="915" t="s">
        <v>1168</v>
      </c>
      <c r="DY5" s="915" t="s">
        <v>982</v>
      </c>
      <c r="DZ5" s="1096">
        <f ca="1">SUM(DX17:DY17)</f>
        <v>-57.808069342583799</v>
      </c>
      <c r="EA5" s="1096">
        <f ca="1">SUM(DZ17)-DZ20</f>
        <v>-58.244002795104947</v>
      </c>
      <c r="EB5" s="1095">
        <f ca="1">1-(DZ5-EA5)/DZ5</f>
        <v>1.0075410484639733</v>
      </c>
      <c r="EC5" s="1101"/>
      <c r="ED5" s="915" t="s">
        <v>1168</v>
      </c>
      <c r="EE5" s="915" t="s">
        <v>982</v>
      </c>
      <c r="EF5" s="1096">
        <f ca="1">SUM(ED17:ED17)</f>
        <v>-3.7121924602157446</v>
      </c>
      <c r="EG5" s="1096">
        <f ca="1">SUM(EE17)-EE20</f>
        <v>-4.8072208544801782</v>
      </c>
      <c r="EH5" s="1095">
        <f ca="1">1-(EF5-EG5)/EF5</f>
        <v>1.2949815792149939</v>
      </c>
      <c r="EI5" s="1101"/>
      <c r="EJ5" s="915" t="s">
        <v>1168</v>
      </c>
      <c r="EK5" s="915" t="s">
        <v>982</v>
      </c>
      <c r="EL5" s="1096">
        <f ca="1">SUM(EJ17:EJ17)-EJ20</f>
        <v>-8.375243236162774</v>
      </c>
      <c r="EM5" s="1096">
        <f ca="1">SUM(EL17:EM17)+SUM(EL23:EM23)+EL20</f>
        <v>-7.854449917234632</v>
      </c>
      <c r="EN5" s="1095">
        <f ca="1">1-(EL5-EM5)/EL5</f>
        <v>0.9378175290862657</v>
      </c>
      <c r="EO5" s="1101"/>
      <c r="EP5" s="915" t="s">
        <v>1168</v>
      </c>
      <c r="EQ5" s="915" t="s">
        <v>982</v>
      </c>
      <c r="ER5" s="1096">
        <f ca="1">SUM(EP17:EP17)</f>
        <v>50.185212018670242</v>
      </c>
      <c r="ES5" s="1096">
        <f ca="1">SUM(EQ17:ES17)-EQ20+EQ23</f>
        <v>50.188788881821615</v>
      </c>
      <c r="ET5" s="1095">
        <f ca="1">1-(ER5-ES5)/ER5</f>
        <v>1.0000712732497781</v>
      </c>
      <c r="EU5" s="1101"/>
      <c r="EV5" s="915"/>
      <c r="EW5" s="915"/>
      <c r="EX5" s="1101"/>
      <c r="EY5" s="915"/>
      <c r="EZ5" s="915"/>
      <c r="FA5" s="915"/>
      <c r="FB5" s="1101"/>
      <c r="FC5" s="915" t="s">
        <v>1168</v>
      </c>
      <c r="FD5" s="915" t="s">
        <v>982</v>
      </c>
      <c r="FE5" s="1094">
        <f ca="1">SUM(FC17:GB17)-SUM(FC20:GB20)+SUM(FC23:GB23)</f>
        <v>-235.11863076336604</v>
      </c>
      <c r="FF5" s="1094">
        <f ca="1">SUM(GD17:GO17)-SUM(GD20:GO20)+SUM(GD23:GO23)</f>
        <v>-235.79328987405836</v>
      </c>
      <c r="FG5" s="1093">
        <f ca="1">1-(FE5-FF5)/FF5</f>
        <v>1.0028612311701179</v>
      </c>
      <c r="FH5" s="915"/>
      <c r="FI5" s="915"/>
      <c r="FJ5" s="915"/>
      <c r="FK5" s="915"/>
      <c r="FL5" s="915"/>
      <c r="FM5" s="915"/>
      <c r="FN5" s="915"/>
      <c r="FT5" s="915"/>
      <c r="FU5" s="915"/>
      <c r="FV5" s="915"/>
      <c r="FW5" s="915"/>
      <c r="FX5" s="915"/>
      <c r="FY5" s="915"/>
      <c r="FZ5" s="915"/>
      <c r="GA5" s="915"/>
      <c r="GB5" s="915"/>
      <c r="GC5" s="915"/>
      <c r="GD5" s="915"/>
      <c r="GE5" s="915"/>
      <c r="GF5" s="915"/>
      <c r="GG5" s="915"/>
      <c r="GH5" s="915"/>
      <c r="GI5" s="915"/>
      <c r="GJ5" s="915"/>
      <c r="GK5" s="915"/>
      <c r="GL5" s="915"/>
      <c r="GM5" s="915"/>
      <c r="GN5" s="915"/>
      <c r="GO5" s="915"/>
      <c r="GP5" s="915"/>
      <c r="GR5" s="946"/>
      <c r="GS5" s="946"/>
      <c r="GU5" s="946"/>
      <c r="GV5" s="946"/>
      <c r="GW5" s="946"/>
      <c r="GX5" s="1143">
        <v>274</v>
      </c>
      <c r="GY5" s="1181">
        <f ca="1">M17</f>
        <v>86.382967786154182</v>
      </c>
    </row>
    <row r="6" spans="1:207" s="914" customFormat="1" x14ac:dyDescent="0.3">
      <c r="A6" s="1092"/>
      <c r="B6" s="1537"/>
      <c r="C6" s="1091"/>
      <c r="D6" s="1090"/>
      <c r="E6" s="1005"/>
      <c r="F6" s="1076" t="s">
        <v>1150</v>
      </c>
      <c r="G6" s="1063"/>
      <c r="H6" s="1063"/>
      <c r="I6" s="1063"/>
      <c r="J6" s="1063"/>
      <c r="K6" s="1063"/>
      <c r="L6" s="1063"/>
      <c r="M6" s="1075"/>
      <c r="N6" s="1089"/>
      <c r="O6" s="1068" t="s">
        <v>1151</v>
      </c>
      <c r="P6" s="1067"/>
      <c r="Q6" s="1088"/>
      <c r="R6" s="1087" t="s">
        <v>1150</v>
      </c>
      <c r="S6" s="1081"/>
      <c r="T6" s="1081"/>
      <c r="U6" s="1081"/>
      <c r="V6" s="1081"/>
      <c r="W6" s="1081"/>
      <c r="X6" s="1086"/>
      <c r="Y6" s="1085" t="s">
        <v>1151</v>
      </c>
      <c r="Z6" s="1060"/>
      <c r="AA6" s="1084"/>
      <c r="AB6" s="1088"/>
      <c r="AC6" s="1087" t="s">
        <v>1150</v>
      </c>
      <c r="AD6" s="1081"/>
      <c r="AE6" s="1081"/>
      <c r="AF6" s="1081"/>
      <c r="AG6" s="1081"/>
      <c r="AH6" s="1081"/>
      <c r="AI6" s="1081"/>
      <c r="AJ6" s="1081"/>
      <c r="AK6" s="1086"/>
      <c r="AL6" s="1085" t="s">
        <v>1151</v>
      </c>
      <c r="AM6" s="1060"/>
      <c r="AN6" s="1084"/>
      <c r="AO6" s="1088"/>
      <c r="AP6" s="1087" t="s">
        <v>1150</v>
      </c>
      <c r="AQ6" s="1081"/>
      <c r="AR6" s="1081"/>
      <c r="AS6" s="1081"/>
      <c r="AT6" s="1086"/>
      <c r="AU6" s="1081"/>
      <c r="AV6" s="1085" t="s">
        <v>1151</v>
      </c>
      <c r="AW6" s="1060"/>
      <c r="AX6" s="1084"/>
      <c r="AY6" s="1083"/>
      <c r="AZ6" s="1083"/>
      <c r="BA6" s="1083"/>
      <c r="BB6" s="1083"/>
      <c r="BC6" s="1083"/>
      <c r="BD6" s="1088"/>
      <c r="BE6" s="1087" t="s">
        <v>1150</v>
      </c>
      <c r="BF6" s="1081"/>
      <c r="BG6" s="1081"/>
      <c r="BH6" s="1081"/>
      <c r="BI6" s="1086"/>
      <c r="BJ6" s="1085" t="s">
        <v>1151</v>
      </c>
      <c r="BK6" s="1060"/>
      <c r="BL6" s="1084"/>
      <c r="BM6" s="1083"/>
      <c r="BN6" s="1083"/>
      <c r="BO6" s="1083"/>
      <c r="BP6" s="1088"/>
      <c r="BQ6" s="1082" t="s">
        <v>1150</v>
      </c>
      <c r="BR6" s="1081"/>
      <c r="BS6" s="1081"/>
      <c r="BT6" s="1066" t="s">
        <v>1151</v>
      </c>
      <c r="BU6" s="1060"/>
      <c r="BV6" s="1060"/>
      <c r="BW6" s="1174"/>
      <c r="BX6" s="1088"/>
      <c r="BY6" s="1080" t="s">
        <v>1150</v>
      </c>
      <c r="BZ6" s="1071"/>
      <c r="CA6" s="1071"/>
      <c r="CB6" s="1079"/>
      <c r="CC6" s="1079"/>
      <c r="CD6" s="1070"/>
      <c r="CE6" s="1078" t="s">
        <v>1151</v>
      </c>
      <c r="CF6" s="1077"/>
      <c r="CG6" s="1088"/>
      <c r="CH6" s="1076" t="s">
        <v>1150</v>
      </c>
      <c r="CI6" s="1075"/>
      <c r="CJ6" s="1074" t="s">
        <v>1151</v>
      </c>
      <c r="CK6" s="1073"/>
      <c r="CL6" s="1073"/>
      <c r="CM6" s="1088"/>
      <c r="CN6" s="1076" t="s">
        <v>1150</v>
      </c>
      <c r="CO6" s="1075"/>
      <c r="CP6" s="1074" t="s">
        <v>1151</v>
      </c>
      <c r="CQ6" s="1073"/>
      <c r="CR6" s="1073"/>
      <c r="CS6" s="1176"/>
      <c r="CT6" s="1088"/>
      <c r="CU6" s="1072" t="s">
        <v>1150</v>
      </c>
      <c r="CV6" s="1071"/>
      <c r="CW6" s="1071"/>
      <c r="CX6" s="1071"/>
      <c r="CY6" s="1071"/>
      <c r="CZ6" s="1071"/>
      <c r="DA6" s="1071"/>
      <c r="DB6" s="1071"/>
      <c r="DC6" s="1070"/>
      <c r="DD6" s="1069" t="s">
        <v>1151</v>
      </c>
      <c r="DE6" s="1068"/>
      <c r="DF6" s="1068"/>
      <c r="DG6" s="1068"/>
      <c r="DH6" s="1067"/>
      <c r="DI6" s="1088"/>
      <c r="DJ6" s="1072" t="s">
        <v>1150</v>
      </c>
      <c r="DK6" s="1071"/>
      <c r="DL6" s="1071"/>
      <c r="DM6" s="1071"/>
      <c r="DN6" s="1071"/>
      <c r="DO6" s="1069" t="s">
        <v>1151</v>
      </c>
      <c r="DP6" s="1068"/>
      <c r="DQ6" s="1088"/>
      <c r="DR6" s="1065" t="s">
        <v>1152</v>
      </c>
      <c r="DS6" s="1065" t="s">
        <v>1152</v>
      </c>
      <c r="DT6" s="1066" t="s">
        <v>1151</v>
      </c>
      <c r="DU6" s="1060"/>
      <c r="DV6" s="1036"/>
      <c r="DW6" s="1088"/>
      <c r="DX6" s="1065" t="s">
        <v>1152</v>
      </c>
      <c r="DY6" s="1065" t="s">
        <v>1152</v>
      </c>
      <c r="DZ6" s="1066" t="s">
        <v>1151</v>
      </c>
      <c r="EA6" s="1060"/>
      <c r="EB6" s="1036"/>
      <c r="EC6" s="1088"/>
      <c r="ED6" s="1065" t="s">
        <v>1152</v>
      </c>
      <c r="EE6" s="1066" t="s">
        <v>1151</v>
      </c>
      <c r="EF6" s="1060"/>
      <c r="EG6" s="1060"/>
      <c r="EH6" s="1036"/>
      <c r="EI6" s="1088"/>
      <c r="EJ6" s="1065"/>
      <c r="EK6" s="1065"/>
      <c r="EL6" s="1060"/>
      <c r="EM6" s="1060"/>
      <c r="EN6" s="1036"/>
      <c r="EO6" s="1088"/>
      <c r="EP6" s="1065" t="s">
        <v>1152</v>
      </c>
      <c r="EQ6" s="1066" t="s">
        <v>1151</v>
      </c>
      <c r="ER6" s="1060"/>
      <c r="ES6" s="1060"/>
      <c r="ET6" s="1036"/>
      <c r="EU6" s="1088"/>
      <c r="EV6" s="1088"/>
      <c r="EW6" s="1088"/>
      <c r="EX6" s="1088"/>
      <c r="EY6" s="1088"/>
      <c r="EZ6" s="1088"/>
      <c r="FA6" s="1088"/>
      <c r="FB6" s="1088"/>
      <c r="FC6" s="1064" t="s">
        <v>311</v>
      </c>
      <c r="FD6" s="1538" t="s">
        <v>320</v>
      </c>
      <c r="FE6" s="1538"/>
      <c r="FF6" s="1538"/>
      <c r="FG6" s="1536" t="s">
        <v>328</v>
      </c>
      <c r="FH6" s="1536"/>
      <c r="FI6" s="1536"/>
      <c r="FJ6" s="1536"/>
      <c r="FK6" s="1538" t="s">
        <v>329</v>
      </c>
      <c r="FL6" s="1538"/>
      <c r="FM6" s="1538"/>
      <c r="FN6" s="1538"/>
      <c r="FO6" s="1538"/>
      <c r="FP6" s="1538"/>
      <c r="FQ6" s="1538"/>
      <c r="FR6" s="1538"/>
      <c r="FS6" s="1538"/>
      <c r="FT6" s="1536" t="s">
        <v>362</v>
      </c>
      <c r="FU6" s="1536"/>
      <c r="FV6" s="1177"/>
      <c r="FW6" s="1538" t="s">
        <v>365</v>
      </c>
      <c r="FX6" s="1538"/>
      <c r="FY6" s="1536" t="s">
        <v>394</v>
      </c>
      <c r="FZ6" s="1536"/>
      <c r="GA6" s="1063" t="s">
        <v>2955</v>
      </c>
      <c r="GB6" s="1063" t="s">
        <v>178</v>
      </c>
      <c r="GC6" s="1188"/>
      <c r="GD6" s="1061" t="s">
        <v>1151</v>
      </c>
      <c r="GE6" s="1060"/>
      <c r="GF6" s="1060"/>
      <c r="GG6" s="1060"/>
      <c r="GH6" s="1060"/>
      <c r="GI6" s="1060"/>
      <c r="GJ6" s="1060"/>
      <c r="GK6" s="1060"/>
      <c r="GL6" s="1060"/>
      <c r="GM6" s="1060"/>
      <c r="GN6" s="1060"/>
      <c r="GO6" s="1060"/>
      <c r="GQ6" s="1143" t="s">
        <v>3078</v>
      </c>
      <c r="GR6" s="1183">
        <f ca="1">FD9+FE9+FF9</f>
        <v>3031.4295470490001</v>
      </c>
      <c r="GS6" s="1182" t="s">
        <v>287</v>
      </c>
      <c r="GT6" s="1143" t="s">
        <v>3090</v>
      </c>
      <c r="GU6" s="1183">
        <f ca="1">GF9</f>
        <v>21809.986700000001</v>
      </c>
      <c r="GV6" s="1182" t="s">
        <v>287</v>
      </c>
      <c r="GW6" s="946"/>
      <c r="GX6" s="1143">
        <v>400</v>
      </c>
      <c r="GY6" s="1181">
        <f ca="1">AD17</f>
        <v>6.556132058539859</v>
      </c>
    </row>
    <row r="7" spans="1:207" s="914" customFormat="1" ht="27.6" x14ac:dyDescent="0.3">
      <c r="B7" s="1537"/>
      <c r="D7" s="1033" t="s">
        <v>2576</v>
      </c>
      <c r="E7" s="1059"/>
      <c r="F7" s="1058" t="s">
        <v>231</v>
      </c>
      <c r="G7" s="1057" t="s">
        <v>3123</v>
      </c>
      <c r="H7" s="1057" t="s">
        <v>1156</v>
      </c>
      <c r="I7" s="1057" t="s">
        <v>3124</v>
      </c>
      <c r="J7" s="1057" t="s">
        <v>3125</v>
      </c>
      <c r="K7" s="1057" t="s">
        <v>3125</v>
      </c>
      <c r="L7" s="1056" t="s">
        <v>431</v>
      </c>
      <c r="M7" s="1055" t="s">
        <v>3124</v>
      </c>
      <c r="N7" s="1054" t="s">
        <v>1156</v>
      </c>
      <c r="O7" s="1053" t="s">
        <v>3127</v>
      </c>
      <c r="P7" s="1052" t="s">
        <v>3126</v>
      </c>
      <c r="Q7" s="1051"/>
      <c r="R7" s="1049" t="s">
        <v>3128</v>
      </c>
      <c r="S7" s="1048" t="s">
        <v>3129</v>
      </c>
      <c r="T7" s="1048" t="s">
        <v>67</v>
      </c>
      <c r="U7" s="1048" t="s">
        <v>232</v>
      </c>
      <c r="V7" s="1050" t="s">
        <v>67</v>
      </c>
      <c r="W7" s="1048" t="s">
        <v>232</v>
      </c>
      <c r="X7" s="1186" t="s">
        <v>3130</v>
      </c>
      <c r="Y7" s="1048" t="s">
        <v>3131</v>
      </c>
      <c r="Z7" s="1048" t="s">
        <v>2569</v>
      </c>
      <c r="AA7" s="1187" t="s">
        <v>2569</v>
      </c>
      <c r="AB7" s="1051"/>
      <c r="AC7" s="1049" t="s">
        <v>2575</v>
      </c>
      <c r="AD7" s="1048" t="s">
        <v>2574</v>
      </c>
      <c r="AE7" s="1048" t="s">
        <v>2573</v>
      </c>
      <c r="AF7" s="1048" t="s">
        <v>3132</v>
      </c>
      <c r="AG7" s="1050"/>
      <c r="AH7" s="1046"/>
      <c r="AI7" s="1046"/>
      <c r="AJ7" s="1048" t="s">
        <v>1771</v>
      </c>
      <c r="AK7" s="1186" t="s">
        <v>3133</v>
      </c>
      <c r="AL7" s="1048" t="s">
        <v>3129</v>
      </c>
      <c r="AM7" s="1048" t="s">
        <v>2569</v>
      </c>
      <c r="AN7" s="1187" t="s">
        <v>2569</v>
      </c>
      <c r="AO7" s="1051"/>
      <c r="AP7" s="1049"/>
      <c r="AQ7" s="1048"/>
      <c r="AR7" s="1048"/>
      <c r="AS7" s="1046"/>
      <c r="AT7" s="1047"/>
      <c r="AU7" s="1191"/>
      <c r="AV7" s="1046"/>
      <c r="AW7" s="1046"/>
      <c r="AX7" s="1045"/>
      <c r="AY7" s="1044"/>
      <c r="AZ7" s="1044"/>
      <c r="BA7" s="1044"/>
      <c r="BB7" s="1044"/>
      <c r="BC7" s="1044"/>
      <c r="BD7" s="1051"/>
      <c r="BE7" s="1049"/>
      <c r="BF7" s="1048"/>
      <c r="BG7" s="1048"/>
      <c r="BH7" s="1046"/>
      <c r="BI7" s="1047"/>
      <c r="BJ7" s="1046"/>
      <c r="BK7" s="1046"/>
      <c r="BL7" s="1045"/>
      <c r="BM7" s="1044"/>
      <c r="BN7" s="1044"/>
      <c r="BO7" s="1044"/>
      <c r="BP7" s="1051"/>
      <c r="BQ7" s="1033" t="s">
        <v>2572</v>
      </c>
      <c r="BR7" s="1043" t="s">
        <v>2571</v>
      </c>
      <c r="BS7" s="1173"/>
      <c r="BT7" s="915" t="s">
        <v>2570</v>
      </c>
      <c r="BU7" s="1033" t="s">
        <v>2569</v>
      </c>
      <c r="BV7" s="968" t="s">
        <v>2568</v>
      </c>
      <c r="BW7" s="1143"/>
      <c r="BX7" s="1051"/>
      <c r="BY7" s="968" t="s">
        <v>2992</v>
      </c>
      <c r="BZ7" s="968" t="s">
        <v>2993</v>
      </c>
      <c r="CA7" s="968" t="s">
        <v>1157</v>
      </c>
      <c r="CB7" s="968" t="s">
        <v>2990</v>
      </c>
      <c r="CC7" s="968" t="s">
        <v>2991</v>
      </c>
      <c r="CD7" s="968" t="s">
        <v>2994</v>
      </c>
      <c r="CE7" s="1033" t="s">
        <v>1153</v>
      </c>
      <c r="CF7" s="1033" t="s">
        <v>1154</v>
      </c>
      <c r="CG7" s="1051"/>
      <c r="CH7" s="968"/>
      <c r="CI7" s="1042"/>
      <c r="CJ7" s="1035"/>
      <c r="CK7" s="1041"/>
      <c r="CL7" s="1041"/>
      <c r="CM7" s="1051"/>
      <c r="CN7" s="968" t="s">
        <v>2567</v>
      </c>
      <c r="CO7" s="1042"/>
      <c r="CP7" s="1003" t="s">
        <v>2566</v>
      </c>
      <c r="CQ7" s="1018" t="s">
        <v>2565</v>
      </c>
      <c r="CR7" s="1018" t="s">
        <v>2564</v>
      </c>
      <c r="CS7" s="1062"/>
      <c r="CT7" s="1051"/>
      <c r="CU7" s="968" t="s">
        <v>3141</v>
      </c>
      <c r="CV7" s="968"/>
      <c r="CW7" s="968"/>
      <c r="CX7" s="1033"/>
      <c r="CY7" s="968"/>
      <c r="CZ7" s="968"/>
      <c r="DA7" s="968"/>
      <c r="DB7" s="1037" t="s">
        <v>3142</v>
      </c>
      <c r="DC7" s="1040" t="s">
        <v>1157</v>
      </c>
      <c r="DD7" s="1037" t="s">
        <v>2991</v>
      </c>
      <c r="DE7" s="1037" t="s">
        <v>3140</v>
      </c>
      <c r="DF7" s="1037" t="s">
        <v>3139</v>
      </c>
      <c r="DG7" s="1037" t="s">
        <v>2954</v>
      </c>
      <c r="DH7" s="1040" t="s">
        <v>3138</v>
      </c>
      <c r="DI7" s="1051"/>
      <c r="DJ7" s="968"/>
      <c r="DK7" s="968"/>
      <c r="DL7" s="968" t="s">
        <v>1771</v>
      </c>
      <c r="DM7" s="1033" t="s">
        <v>3142</v>
      </c>
      <c r="DN7" s="968"/>
      <c r="DO7" s="1037"/>
      <c r="DP7" s="1037"/>
      <c r="DQ7" s="1051"/>
      <c r="DR7" s="1039"/>
      <c r="DS7" s="1038"/>
      <c r="DT7" s="1037"/>
      <c r="DU7" s="1037"/>
      <c r="DV7" s="1036"/>
      <c r="DW7" s="1051"/>
      <c r="DX7" s="1039"/>
      <c r="DY7" s="1038"/>
      <c r="DZ7" s="1037"/>
      <c r="EA7" s="1037"/>
      <c r="EB7" s="1036"/>
      <c r="EC7" s="1051"/>
      <c r="ED7" s="1039"/>
      <c r="EE7" s="1038"/>
      <c r="EF7" s="1037"/>
      <c r="EG7" s="1037"/>
      <c r="EH7" s="1036"/>
      <c r="EI7" s="1051"/>
      <c r="EJ7" s="1039" t="s">
        <v>1755</v>
      </c>
      <c r="EK7" s="1038" t="s">
        <v>2958</v>
      </c>
      <c r="EL7" s="1037" t="s">
        <v>1756</v>
      </c>
      <c r="EM7" s="1037" t="s">
        <v>2998</v>
      </c>
      <c r="EN7" s="1036"/>
      <c r="EO7" s="1051"/>
      <c r="EP7" s="1039"/>
      <c r="EQ7" s="1038"/>
      <c r="ER7" s="1037"/>
      <c r="ES7" s="1037"/>
      <c r="ET7" s="1036"/>
      <c r="EU7" s="1051"/>
      <c r="EV7" s="968"/>
      <c r="EW7" s="968"/>
      <c r="EX7" s="1051"/>
      <c r="EY7" s="968"/>
      <c r="EZ7" s="968"/>
      <c r="FA7" s="968"/>
      <c r="FB7" s="1051"/>
      <c r="FC7" s="1033" t="s">
        <v>231</v>
      </c>
      <c r="FD7" s="968" t="s">
        <v>1156</v>
      </c>
      <c r="FE7" s="968" t="s">
        <v>431</v>
      </c>
      <c r="FF7" s="1035" t="s">
        <v>1156</v>
      </c>
      <c r="FG7" s="1034" t="s">
        <v>67</v>
      </c>
      <c r="FH7" s="968" t="s">
        <v>67</v>
      </c>
      <c r="FI7" s="968" t="s">
        <v>232</v>
      </c>
      <c r="FJ7" s="968" t="s">
        <v>232</v>
      </c>
      <c r="FK7" s="968" t="s">
        <v>1074</v>
      </c>
      <c r="FL7" s="968" t="s">
        <v>3134</v>
      </c>
      <c r="FM7" s="968"/>
      <c r="FN7" s="968" t="s">
        <v>3135</v>
      </c>
      <c r="FO7" s="968" t="s">
        <v>1294</v>
      </c>
      <c r="FP7" s="968" t="s">
        <v>1305</v>
      </c>
      <c r="FQ7" s="968" t="s">
        <v>232</v>
      </c>
      <c r="FR7" s="968" t="s">
        <v>3136</v>
      </c>
      <c r="FS7" s="968" t="s">
        <v>1157</v>
      </c>
      <c r="FT7" s="968" t="s">
        <v>1157</v>
      </c>
      <c r="FU7" s="968" t="s">
        <v>1157</v>
      </c>
      <c r="FV7" s="968"/>
      <c r="FW7" s="968" t="s">
        <v>1157</v>
      </c>
      <c r="FX7" s="968" t="s">
        <v>2632</v>
      </c>
      <c r="FY7" s="968" t="s">
        <v>1158</v>
      </c>
      <c r="FZ7" s="968" t="s">
        <v>2658</v>
      </c>
      <c r="GA7" s="968"/>
      <c r="GB7" s="968" t="s">
        <v>1159</v>
      </c>
      <c r="GC7" s="1005"/>
      <c r="GD7" s="1033" t="s">
        <v>1769</v>
      </c>
      <c r="GE7" s="968" t="s">
        <v>1769</v>
      </c>
      <c r="GF7" s="968" t="s">
        <v>1160</v>
      </c>
      <c r="GG7" s="968" t="s">
        <v>1770</v>
      </c>
      <c r="GH7" s="968"/>
      <c r="GI7" s="968"/>
      <c r="GJ7" s="968" t="s">
        <v>727</v>
      </c>
      <c r="GK7" s="968" t="s">
        <v>2954</v>
      </c>
      <c r="GL7" s="968" t="s">
        <v>1772</v>
      </c>
      <c r="GM7" s="968" t="s">
        <v>1161</v>
      </c>
      <c r="GN7" s="968" t="s">
        <v>3145</v>
      </c>
      <c r="GO7" s="968" t="s">
        <v>1162</v>
      </c>
      <c r="GR7" s="1181">
        <f ca="1">FD10+FE10+FF10</f>
        <v>0</v>
      </c>
      <c r="GS7" s="1182" t="s">
        <v>3077</v>
      </c>
      <c r="GU7" s="1181">
        <f ca="1">GF10</f>
        <v>941.47684953181488</v>
      </c>
      <c r="GV7" s="1182" t="s">
        <v>3077</v>
      </c>
      <c r="GW7" s="946"/>
      <c r="GX7" s="1143">
        <v>615</v>
      </c>
      <c r="GY7" s="1181">
        <f ca="1">DD17</f>
        <v>-65.519854459765611</v>
      </c>
    </row>
    <row r="8" spans="1:207" s="1221" customFormat="1" x14ac:dyDescent="0.3">
      <c r="B8" s="1222">
        <v>1</v>
      </c>
      <c r="C8" s="1223" t="s">
        <v>1177</v>
      </c>
      <c r="D8" s="1224" t="s">
        <v>1163</v>
      </c>
      <c r="E8" s="1225" t="s">
        <v>1164</v>
      </c>
      <c r="F8" s="1226" t="s">
        <v>2563</v>
      </c>
      <c r="G8" s="1226" t="s">
        <v>2562</v>
      </c>
      <c r="H8" s="1226" t="s">
        <v>2561</v>
      </c>
      <c r="I8" s="1226" t="s">
        <v>2560</v>
      </c>
      <c r="J8" s="1226" t="s">
        <v>2559</v>
      </c>
      <c r="K8" s="1226" t="s">
        <v>3214</v>
      </c>
      <c r="L8" s="1226" t="s">
        <v>2558</v>
      </c>
      <c r="M8" s="1226" t="s">
        <v>2557</v>
      </c>
      <c r="N8" s="1226" t="s">
        <v>2556</v>
      </c>
      <c r="O8" s="1227" t="s">
        <v>2555</v>
      </c>
      <c r="P8" s="1226" t="s">
        <v>2554</v>
      </c>
      <c r="Q8" s="1228"/>
      <c r="R8" s="1229">
        <v>301</v>
      </c>
      <c r="S8" s="1229">
        <v>422</v>
      </c>
      <c r="T8" s="1226" t="s">
        <v>1350</v>
      </c>
      <c r="U8" s="1226" t="s">
        <v>3169</v>
      </c>
      <c r="V8" s="1226" t="s">
        <v>3168</v>
      </c>
      <c r="W8" s="1226" t="s">
        <v>1354</v>
      </c>
      <c r="X8" s="1229">
        <v>551</v>
      </c>
      <c r="Y8" s="1230">
        <v>501</v>
      </c>
      <c r="Z8" s="1231">
        <v>317</v>
      </c>
      <c r="AA8" s="1232">
        <v>305</v>
      </c>
      <c r="AB8" s="1228"/>
      <c r="AC8" s="1226" t="s">
        <v>1386</v>
      </c>
      <c r="AD8" s="1226" t="s">
        <v>1364</v>
      </c>
      <c r="AE8" s="1226" t="s">
        <v>1368</v>
      </c>
      <c r="AF8" s="1226" t="s">
        <v>1384</v>
      </c>
      <c r="AG8" s="1226" t="s">
        <v>2985</v>
      </c>
      <c r="AH8" s="1226" t="s">
        <v>1372</v>
      </c>
      <c r="AI8" s="1226" t="s">
        <v>1379</v>
      </c>
      <c r="AJ8" s="1226" t="s">
        <v>1367</v>
      </c>
      <c r="AK8" s="1226" t="s">
        <v>1491</v>
      </c>
      <c r="AL8" s="1226">
        <v>422</v>
      </c>
      <c r="AM8" s="1226" t="s">
        <v>1382</v>
      </c>
      <c r="AN8" s="1226" t="s">
        <v>1375</v>
      </c>
      <c r="AO8" s="1228"/>
      <c r="AP8" s="1229">
        <v>501</v>
      </c>
      <c r="AQ8" s="1229">
        <v>305</v>
      </c>
      <c r="AR8" s="1229">
        <v>317</v>
      </c>
      <c r="AS8" s="1226" t="s">
        <v>1402</v>
      </c>
      <c r="AT8" s="1226" t="s">
        <v>2884</v>
      </c>
      <c r="AU8" s="1227" t="s">
        <v>3146</v>
      </c>
      <c r="AV8" s="1227" t="s">
        <v>1389</v>
      </c>
      <c r="AW8" s="1229">
        <v>551</v>
      </c>
      <c r="AX8" s="1229">
        <v>515</v>
      </c>
      <c r="AY8" s="1226">
        <v>516</v>
      </c>
      <c r="AZ8" s="1226" t="s">
        <v>2883</v>
      </c>
      <c r="BA8" s="1229">
        <v>535</v>
      </c>
      <c r="BB8" s="1233">
        <v>571</v>
      </c>
      <c r="BC8" s="1233">
        <v>560</v>
      </c>
      <c r="BD8" s="1228"/>
      <c r="BE8" s="1229">
        <v>501</v>
      </c>
      <c r="BF8" s="1229">
        <v>305</v>
      </c>
      <c r="BG8" s="1229">
        <v>317</v>
      </c>
      <c r="BH8" s="1226" t="s">
        <v>1402</v>
      </c>
      <c r="BI8" s="1226" t="s">
        <v>2884</v>
      </c>
      <c r="BJ8" s="1227" t="s">
        <v>1389</v>
      </c>
      <c r="BK8" s="1229">
        <v>551</v>
      </c>
      <c r="BL8" s="1229">
        <v>515</v>
      </c>
      <c r="BM8" s="1226" t="s">
        <v>1410</v>
      </c>
      <c r="BN8" s="1226" t="s">
        <v>2883</v>
      </c>
      <c r="BO8" s="1229">
        <v>516</v>
      </c>
      <c r="BP8" s="1228"/>
      <c r="BQ8" s="1226" t="s">
        <v>1412</v>
      </c>
      <c r="BR8" s="1226" t="s">
        <v>1410</v>
      </c>
      <c r="BS8" s="1226" t="s">
        <v>2987</v>
      </c>
      <c r="BT8" s="1226" t="s">
        <v>1405</v>
      </c>
      <c r="BU8" s="1226" t="s">
        <v>1395</v>
      </c>
      <c r="BV8" s="1226" t="s">
        <v>1400</v>
      </c>
      <c r="BW8" s="1226" t="s">
        <v>2989</v>
      </c>
      <c r="BX8" s="1228"/>
      <c r="BY8" s="1226">
        <v>571</v>
      </c>
      <c r="BZ8" s="1231">
        <v>560</v>
      </c>
      <c r="CA8" s="1226" t="s">
        <v>1466</v>
      </c>
      <c r="CB8" s="1226">
        <v>623</v>
      </c>
      <c r="CC8" s="1231">
        <v>615</v>
      </c>
      <c r="CD8" s="1226" t="s">
        <v>2926</v>
      </c>
      <c r="CE8" s="1226" t="s">
        <v>1468</v>
      </c>
      <c r="CF8" s="1226" t="s">
        <v>1439</v>
      </c>
      <c r="CG8" s="1228"/>
      <c r="CH8" s="1226" t="s">
        <v>1464</v>
      </c>
      <c r="CI8" s="1226" t="s">
        <v>3175</v>
      </c>
      <c r="CJ8" s="1226" t="s">
        <v>3179</v>
      </c>
      <c r="CK8" s="1226"/>
      <c r="CL8" s="1234"/>
      <c r="CM8" s="1228"/>
      <c r="CN8" s="1226" t="s">
        <v>1445</v>
      </c>
      <c r="CO8" s="1226"/>
      <c r="CP8" s="1226" t="s">
        <v>1444</v>
      </c>
      <c r="CQ8" s="1226" t="s">
        <v>1462</v>
      </c>
      <c r="CR8" s="1226" t="s">
        <v>1460</v>
      </c>
      <c r="CS8" s="1235" t="s">
        <v>3177</v>
      </c>
      <c r="CT8" s="1228"/>
      <c r="CU8" s="1226">
        <v>260</v>
      </c>
      <c r="CV8" s="1226">
        <v>944</v>
      </c>
      <c r="CW8" s="1226">
        <v>821</v>
      </c>
      <c r="CX8" s="1226">
        <v>535</v>
      </c>
      <c r="CY8" s="1226" t="s">
        <v>3137</v>
      </c>
      <c r="CZ8" s="1226"/>
      <c r="DA8" s="1226"/>
      <c r="DB8" s="1226" t="s">
        <v>2427</v>
      </c>
      <c r="DC8" s="1226" t="s">
        <v>2943</v>
      </c>
      <c r="DD8" s="1227" t="s">
        <v>1423</v>
      </c>
      <c r="DE8" s="1226" t="s">
        <v>2644</v>
      </c>
      <c r="DF8" s="1226" t="s">
        <v>2928</v>
      </c>
      <c r="DG8" s="1226" t="s">
        <v>2929</v>
      </c>
      <c r="DH8" s="1226" t="s">
        <v>1420</v>
      </c>
      <c r="DI8" s="1228"/>
      <c r="DJ8" s="1226" t="s">
        <v>2941</v>
      </c>
      <c r="DK8" s="1226" t="s">
        <v>2942</v>
      </c>
      <c r="DL8" s="1226" t="s">
        <v>2943</v>
      </c>
      <c r="DM8" s="1226" t="s">
        <v>2651</v>
      </c>
      <c r="DN8" s="1226"/>
      <c r="DO8" s="1227" t="s">
        <v>2944</v>
      </c>
      <c r="DP8" s="1226"/>
      <c r="DQ8" s="1228"/>
      <c r="DR8" s="1226" t="s">
        <v>2895</v>
      </c>
      <c r="DS8" s="1226" t="s">
        <v>2953</v>
      </c>
      <c r="DT8" s="1226" t="s">
        <v>2934</v>
      </c>
      <c r="DU8" s="1226"/>
      <c r="DV8" s="1236"/>
      <c r="DW8" s="1228"/>
      <c r="DX8" s="1226" t="s">
        <v>2895</v>
      </c>
      <c r="DY8" s="1226" t="s">
        <v>2953</v>
      </c>
      <c r="DZ8" s="1226" t="s">
        <v>2934</v>
      </c>
      <c r="EA8" s="1226"/>
      <c r="EB8" s="1236"/>
      <c r="EC8" s="1228"/>
      <c r="ED8" s="1226" t="s">
        <v>2939</v>
      </c>
      <c r="EE8" s="1226" t="s">
        <v>2940</v>
      </c>
      <c r="EF8" s="1226"/>
      <c r="EG8" s="1226"/>
      <c r="EH8" s="1236"/>
      <c r="EI8" s="1228"/>
      <c r="EJ8" s="1226" t="s">
        <v>2957</v>
      </c>
      <c r="EK8" s="1226" t="s">
        <v>2956</v>
      </c>
      <c r="EL8" s="1226" t="s">
        <v>1753</v>
      </c>
      <c r="EM8" s="1226" t="s">
        <v>1754</v>
      </c>
      <c r="EN8" s="1236"/>
      <c r="EO8" s="1228"/>
      <c r="EP8" s="1226" t="s">
        <v>3033</v>
      </c>
      <c r="EQ8" s="1226" t="s">
        <v>2929</v>
      </c>
      <c r="ER8" s="1226" t="s">
        <v>3034</v>
      </c>
      <c r="ES8" s="1226" t="s">
        <v>3251</v>
      </c>
      <c r="ET8" s="1236"/>
      <c r="EU8" s="1228"/>
      <c r="EV8" s="1226" t="s">
        <v>3001</v>
      </c>
      <c r="EW8" s="1226" t="s">
        <v>2883</v>
      </c>
      <c r="EX8" s="1228"/>
      <c r="EY8" s="1226" t="s">
        <v>2957</v>
      </c>
      <c r="EZ8" s="1226" t="s">
        <v>1753</v>
      </c>
      <c r="FA8" s="1226"/>
      <c r="FB8" s="1228"/>
      <c r="FC8" s="1229">
        <v>101</v>
      </c>
      <c r="FD8" s="1226" t="s">
        <v>1330</v>
      </c>
      <c r="FE8" s="1226" t="s">
        <v>1335</v>
      </c>
      <c r="FF8" s="1226" t="s">
        <v>1333</v>
      </c>
      <c r="FG8" s="1226" t="s">
        <v>1350</v>
      </c>
      <c r="FH8" s="1226" t="s">
        <v>3168</v>
      </c>
      <c r="FI8" s="1226" t="s">
        <v>3217</v>
      </c>
      <c r="FJ8" s="1226" t="s">
        <v>3335</v>
      </c>
      <c r="FK8" s="1229">
        <v>401</v>
      </c>
      <c r="FL8" s="1226" t="s">
        <v>1386</v>
      </c>
      <c r="FM8" s="1226"/>
      <c r="FN8" s="1226" t="s">
        <v>1366</v>
      </c>
      <c r="FO8" s="1226" t="s">
        <v>1369</v>
      </c>
      <c r="FP8" s="1226" t="s">
        <v>1372</v>
      </c>
      <c r="FQ8" s="1226" t="s">
        <v>1376</v>
      </c>
      <c r="FR8" s="1226" t="s">
        <v>1379</v>
      </c>
      <c r="FS8" s="1226" t="s">
        <v>1367</v>
      </c>
      <c r="FT8" s="1226" t="s">
        <v>1412</v>
      </c>
      <c r="FU8" s="1226"/>
      <c r="FV8" s="1226"/>
      <c r="FW8" s="1226" t="s">
        <v>1415</v>
      </c>
      <c r="FX8" s="1226" t="s">
        <v>2427</v>
      </c>
      <c r="FY8" s="1226" t="s">
        <v>1466</v>
      </c>
      <c r="FZ8" s="1226" t="s">
        <v>3176</v>
      </c>
      <c r="GA8" s="1226"/>
      <c r="GB8" s="1229">
        <v>903</v>
      </c>
      <c r="GC8" s="1237"/>
      <c r="GD8" s="1226" t="s">
        <v>1375</v>
      </c>
      <c r="GE8" s="1226" t="s">
        <v>1382</v>
      </c>
      <c r="GF8" s="1229">
        <v>515</v>
      </c>
      <c r="GG8" s="1226" t="s">
        <v>1389</v>
      </c>
      <c r="GH8" s="1226"/>
      <c r="GI8" s="1226"/>
      <c r="GJ8" s="1226" t="s">
        <v>2644</v>
      </c>
      <c r="GK8" s="1226" t="s">
        <v>1427</v>
      </c>
      <c r="GL8" s="1226" t="s">
        <v>1468</v>
      </c>
      <c r="GM8" s="1226" t="s">
        <v>1439</v>
      </c>
      <c r="GN8" s="1226" t="s">
        <v>1462</v>
      </c>
      <c r="GO8" s="1226"/>
      <c r="GR8" s="1181">
        <f ca="1">FD17+FE17+FF17</f>
        <v>-3.1438464313053389</v>
      </c>
      <c r="GS8" s="1238" t="s">
        <v>3079</v>
      </c>
      <c r="GU8" s="1181">
        <f ca="1">GF17</f>
        <v>-138.88942433999296</v>
      </c>
      <c r="GV8" s="1238" t="s">
        <v>3079</v>
      </c>
      <c r="GX8" s="1221">
        <v>626</v>
      </c>
      <c r="GY8" s="1181">
        <f ca="1">DF17</f>
        <v>218.2961633157602</v>
      </c>
    </row>
    <row r="9" spans="1:207" s="914" customFormat="1" x14ac:dyDescent="0.3">
      <c r="A9" s="1027"/>
      <c r="B9" s="1020">
        <v>2</v>
      </c>
      <c r="C9" s="1020"/>
      <c r="D9" s="1032" t="s">
        <v>1167</v>
      </c>
      <c r="E9" s="1000" t="s">
        <v>287</v>
      </c>
      <c r="F9" s="1014">
        <f t="shared" ref="F9:P9" ca="1" si="0">IF(F8&lt;&gt;"",VLOOKUP(F$8,INDIRECT(LU_MAT),$B9,FALSE),0)</f>
        <v>104166.667</v>
      </c>
      <c r="G9" s="1014">
        <f t="shared" ca="1" si="0"/>
        <v>36845.0942</v>
      </c>
      <c r="H9" s="1014">
        <f t="shared" ca="1" si="0"/>
        <v>1980.28674</v>
      </c>
      <c r="I9" s="1014">
        <f t="shared" ca="1" si="0"/>
        <v>140999.443</v>
      </c>
      <c r="J9" s="1014">
        <f t="shared" ca="1" si="0"/>
        <v>24555.056100000002</v>
      </c>
      <c r="K9" s="1014">
        <f ca="1">IF(K8&lt;&gt;"",VLOOKUP(K$8,INDIRECT(LU_MAT),$B9,FALSE),0)</f>
        <v>3491.0177199999998</v>
      </c>
      <c r="L9" s="1014">
        <f t="shared" ca="1" si="0"/>
        <v>1050.8174799999999</v>
      </c>
      <c r="M9" s="1014">
        <f t="shared" ca="1" si="0"/>
        <v>150458.399</v>
      </c>
      <c r="N9" s="1014">
        <f t="shared" ca="1" si="0"/>
        <v>0.32532704899999998</v>
      </c>
      <c r="O9" s="1015">
        <f t="shared" ca="1" si="0"/>
        <v>33673.542000000001</v>
      </c>
      <c r="P9" s="1014">
        <f t="shared" ca="1" si="0"/>
        <v>429873.44099999999</v>
      </c>
      <c r="Q9" s="917"/>
      <c r="R9" s="1014">
        <f t="shared" ref="R9:AA9" ca="1" si="1">IF(R8&lt;&gt;"",VLOOKUP(R$8,INDIRECT(LU_MAT),$B9,FALSE),0)</f>
        <v>429873.44099999999</v>
      </c>
      <c r="S9" s="1014">
        <f t="shared" ca="1" si="1"/>
        <v>13836.505999999999</v>
      </c>
      <c r="T9" s="1014">
        <f t="shared" ca="1" si="1"/>
        <v>26.1890933</v>
      </c>
      <c r="U9" s="1014">
        <f t="shared" ca="1" si="1"/>
        <v>210.78478899999999</v>
      </c>
      <c r="V9" s="1014">
        <f t="shared" ca="1" si="1"/>
        <v>116.09195099999999</v>
      </c>
      <c r="W9" s="1014">
        <f t="shared" ca="1" si="1"/>
        <v>948.53155000000004</v>
      </c>
      <c r="X9" s="1014">
        <f t="shared" ca="1" si="1"/>
        <v>27192.394899999999</v>
      </c>
      <c r="Y9" s="1015">
        <f t="shared" ca="1" si="1"/>
        <v>451055.005</v>
      </c>
      <c r="Z9" s="1014">
        <f t="shared" ca="1" si="1"/>
        <v>19179.428500000002</v>
      </c>
      <c r="AA9" s="1014">
        <f t="shared" ca="1" si="1"/>
        <v>1969.1759100000002</v>
      </c>
      <c r="AB9" s="917"/>
      <c r="AC9" s="1014">
        <f t="shared" ref="AC9:AN9" ca="1" si="2">IF(AC8&lt;&gt;"",VLOOKUP(AC$8,INDIRECT(LU_MAT),$B9,FALSE),0)</f>
        <v>14.0693339</v>
      </c>
      <c r="AD9" s="1014">
        <f t="shared" ca="1" si="2"/>
        <v>11419.2086</v>
      </c>
      <c r="AE9" s="1014">
        <f t="shared" ca="1" si="2"/>
        <v>2844.6651299999999</v>
      </c>
      <c r="AF9" s="1014">
        <f t="shared" ca="1" si="2"/>
        <v>223.98470399999999</v>
      </c>
      <c r="AG9" s="1014">
        <f t="shared" ca="1" si="2"/>
        <v>109.253077</v>
      </c>
      <c r="AH9" s="1014">
        <f t="shared" ca="1" si="2"/>
        <v>16.4154968</v>
      </c>
      <c r="AI9" s="1014">
        <f t="shared" ca="1" si="2"/>
        <v>13.357518000000001</v>
      </c>
      <c r="AJ9" s="1014">
        <f t="shared" ca="1" si="2"/>
        <v>32582.828799999999</v>
      </c>
      <c r="AK9" s="1014">
        <f t="shared" ca="1" si="2"/>
        <v>0</v>
      </c>
      <c r="AL9" s="1015">
        <f t="shared" ca="1" si="2"/>
        <v>13836.505999999999</v>
      </c>
      <c r="AM9" s="1014">
        <f t="shared" ca="1" si="2"/>
        <v>1585.9873700000001</v>
      </c>
      <c r="AN9" s="1014">
        <f t="shared" ca="1" si="2"/>
        <v>31801.300599999999</v>
      </c>
      <c r="AO9" s="917"/>
      <c r="AP9" s="1014">
        <f t="shared" ref="AP9:AY9" ca="1" si="3">IF(AP8&lt;&gt;"",VLOOKUP(AP$8,INDIRECT(LU_MAT),$B9,FALSE),0)</f>
        <v>451055.005</v>
      </c>
      <c r="AQ9" s="1014">
        <f t="shared" ca="1" si="3"/>
        <v>1969.1759100000002</v>
      </c>
      <c r="AR9" s="1014">
        <f t="shared" ca="1" si="3"/>
        <v>19179.428500000002</v>
      </c>
      <c r="AS9" s="1014">
        <f t="shared" ca="1" si="3"/>
        <v>26830.853200000001</v>
      </c>
      <c r="AT9" s="1014">
        <f t="shared" ca="1" si="3"/>
        <v>1584100.2</v>
      </c>
      <c r="AU9" s="1014">
        <f ca="1">IF(AU8&lt;&gt;"",VLOOKUP(AU$8,INDIRECT(LU_MAT),$B9,FALSE),0)</f>
        <v>12113.951800000001</v>
      </c>
      <c r="AV9" s="1015">
        <f t="shared" ca="1" si="3"/>
        <v>21397.687300000001</v>
      </c>
      <c r="AW9" s="1014">
        <f t="shared" ca="1" si="3"/>
        <v>27192.394899999999</v>
      </c>
      <c r="AX9" s="1014">
        <f t="shared" ca="1" si="3"/>
        <v>21809.986700000001</v>
      </c>
      <c r="AY9" s="1014">
        <f t="shared" ca="1" si="3"/>
        <v>36845.0942</v>
      </c>
      <c r="AZ9" s="1014">
        <f ca="1">IF(AZ8&lt;&gt;"",VLOOKUP(AZ$8,INDIRECT(LU_MAT),$B9,FALSE),0)</f>
        <v>1584100.2</v>
      </c>
      <c r="BA9" s="1014">
        <f ca="1">IF(BA8&lt;&gt;"",VLOOKUP(BA$8,INDIRECT(LU_MAT),$B9,FALSE),0)</f>
        <v>355313.18800000002</v>
      </c>
      <c r="BB9" s="1014">
        <f ca="1">IF(BB8&lt;&gt;"",VLOOKUP(BB$8,INDIRECT(LU_MAT),$B9,FALSE),0)</f>
        <v>36537.4012</v>
      </c>
      <c r="BC9" s="1014">
        <f ca="1">IF(BC8&lt;&gt;"",VLOOKUP(BC$8,INDIRECT(LU_MAT),$B9,FALSE),0)</f>
        <v>12052.6684</v>
      </c>
      <c r="BD9" s="917"/>
      <c r="BE9" s="1014">
        <f t="shared" ref="BE9:BO9" ca="1" si="4">IF(BE8&lt;&gt;"",VLOOKUP(BE$8,INDIRECT(LU_MAT),$B9,FALSE),0)</f>
        <v>451055.005</v>
      </c>
      <c r="BF9" s="1014">
        <f t="shared" ca="1" si="4"/>
        <v>1969.1759100000002</v>
      </c>
      <c r="BG9" s="1014">
        <f t="shared" ca="1" si="4"/>
        <v>19179.428500000002</v>
      </c>
      <c r="BH9" s="1014">
        <f t="shared" ca="1" si="4"/>
        <v>26830.853200000001</v>
      </c>
      <c r="BI9" s="1014">
        <f t="shared" ca="1" si="4"/>
        <v>1584100.2</v>
      </c>
      <c r="BJ9" s="1015">
        <f t="shared" ca="1" si="4"/>
        <v>21397.687300000001</v>
      </c>
      <c r="BK9" s="1014">
        <f t="shared" ca="1" si="4"/>
        <v>27192.394899999999</v>
      </c>
      <c r="BL9" s="1014">
        <f t="shared" ca="1" si="4"/>
        <v>21809.986700000001</v>
      </c>
      <c r="BM9" s="1014">
        <f t="shared" ca="1" si="4"/>
        <v>391789.30499999999</v>
      </c>
      <c r="BN9" s="1014">
        <f ca="1">IF(BN8&lt;&gt;"",VLOOKUP(BN$8,INDIRECT(LU_MAT),$B9,FALSE),0)</f>
        <v>1584100.2</v>
      </c>
      <c r="BO9" s="1014">
        <f t="shared" ca="1" si="4"/>
        <v>36845.0942</v>
      </c>
      <c r="BP9" s="917"/>
      <c r="BQ9" s="1014">
        <f t="shared" ref="BQ9:BW9" ca="1" si="5">IF(BQ8&lt;&gt;"",VLOOKUP(BQ$8,INDIRECT(LU_MAT),$B9,FALSE),0)</f>
        <v>12113.951800000001</v>
      </c>
      <c r="BR9" s="1014">
        <f t="shared" ca="1" si="5"/>
        <v>391789.30499999999</v>
      </c>
      <c r="BS9" s="1014">
        <f t="shared" ca="1" si="5"/>
        <v>809.40134899999998</v>
      </c>
      <c r="BT9" s="1014">
        <f t="shared" ca="1" si="5"/>
        <v>355313.18800000002</v>
      </c>
      <c r="BU9" s="1014">
        <f t="shared" ca="1" si="5"/>
        <v>12052.6684</v>
      </c>
      <c r="BV9" s="1014">
        <f t="shared" ca="1" si="5"/>
        <v>36537.4012</v>
      </c>
      <c r="BW9" s="1014">
        <f t="shared" ca="1" si="5"/>
        <v>809.40134899999998</v>
      </c>
      <c r="BX9" s="917"/>
      <c r="BY9" s="1014">
        <f t="shared" ref="BY9:CF9" ca="1" si="6">IF(BY8&lt;&gt;"",VLOOKUP(BY$8,INDIRECT(LU_MAT),$B9,FALSE),0)</f>
        <v>36537.4012</v>
      </c>
      <c r="BZ9" s="1014">
        <f t="shared" ca="1" si="6"/>
        <v>12052.6684</v>
      </c>
      <c r="CA9" s="1014">
        <f t="shared" ca="1" si="6"/>
        <v>284494.891</v>
      </c>
      <c r="CB9" s="1014">
        <f t="shared" ca="1" si="6"/>
        <v>9760.0353699999996</v>
      </c>
      <c r="CC9" s="1014">
        <f t="shared" ca="1" si="6"/>
        <v>21861.0072</v>
      </c>
      <c r="CD9" s="1014">
        <f t="shared" ca="1" si="6"/>
        <v>4472.25648</v>
      </c>
      <c r="CE9" s="1014">
        <f t="shared" ca="1" si="6"/>
        <v>5724.06574</v>
      </c>
      <c r="CF9" s="1014">
        <f t="shared" ca="1" si="6"/>
        <v>363454.174</v>
      </c>
      <c r="CG9" s="917"/>
      <c r="CH9" s="1014">
        <f ca="1">IF(CH8&lt;&gt;"",VLOOKUP(CH$8,INDIRECT(LU_MAT),$B9,FALSE),0)</f>
        <v>318408.56599999999</v>
      </c>
      <c r="CI9" s="1014">
        <f ca="1">IF(CI8&lt;&gt;"",VLOOKUP(CI$8,INDIRECT(LU_MAT),$B9,FALSE),0)</f>
        <v>46297.436600000001</v>
      </c>
      <c r="CJ9" s="1014">
        <f ca="1">IF(CJ8&lt;&gt;"",VLOOKUP(CJ$8,INDIRECT(LU_MAT),$B9,FALSE),0)</f>
        <v>364705.984</v>
      </c>
      <c r="CK9" s="1014">
        <f ca="1">IF(CK8&lt;&gt;"",VLOOKUP(CK$8,INDIRECT(LU_MAT),$B9,FALSE),0)</f>
        <v>0</v>
      </c>
      <c r="CL9" s="1014">
        <f ca="1">IF(CL8&lt;&gt;"",VLOOKUP(CL$8,INDIRECT(LU_MAT),$B9,FALSE),0)</f>
        <v>0</v>
      </c>
      <c r="CM9" s="917"/>
      <c r="CN9" s="1014">
        <f t="shared" ref="CN9:CS9" ca="1" si="7">IF(CN8&lt;&gt;"",VLOOKUP(CN$8,INDIRECT(LU_MAT),$B9,FALSE),0)</f>
        <v>35306.827799999999</v>
      </c>
      <c r="CO9" s="1014">
        <f t="shared" ca="1" si="7"/>
        <v>0</v>
      </c>
      <c r="CP9" s="1014">
        <f t="shared" ca="1" si="7"/>
        <v>24555.056100000002</v>
      </c>
      <c r="CQ9" s="1014">
        <f t="shared" ca="1" si="7"/>
        <v>2580.6417799999999</v>
      </c>
      <c r="CR9" s="1014">
        <f t="shared" ca="1" si="7"/>
        <v>4681.6149400000004</v>
      </c>
      <c r="CS9" s="1014">
        <f t="shared" ca="1" si="7"/>
        <v>3491.0177199999998</v>
      </c>
      <c r="CT9" s="917"/>
      <c r="CU9" s="1014">
        <f t="shared" ref="CU9:DH9" ca="1" si="8">IF(CU8&lt;&gt;"",VLOOKUP(CU$8,INDIRECT(LU_MAT),$B9,FALSE),0)</f>
        <v>33673.542000000001</v>
      </c>
      <c r="CV9" s="1014">
        <f t="shared" ca="1" si="8"/>
        <v>17677.4961</v>
      </c>
      <c r="CW9" s="1014">
        <f t="shared" ca="1" si="8"/>
        <v>4682.04054</v>
      </c>
      <c r="CX9" s="1014">
        <f t="shared" ca="1" si="8"/>
        <v>355313.18800000002</v>
      </c>
      <c r="CY9" s="1014">
        <f t="shared" ca="1" si="8"/>
        <v>145</v>
      </c>
      <c r="CZ9" s="1014">
        <f ca="1">IF(CZ8&lt;&gt;"",VLOOKUP(CZ$8,INDIRECT(LU_MAT),$B9,FALSE),0)</f>
        <v>0</v>
      </c>
      <c r="DA9" s="1014">
        <f ca="1">IF(DA8&lt;&gt;"",VLOOKUP(DA$8,INDIRECT(LU_MAT),$B9,FALSE),0)</f>
        <v>0</v>
      </c>
      <c r="DB9" s="1014">
        <f t="shared" ca="1" si="8"/>
        <v>4504.1320500000002</v>
      </c>
      <c r="DC9" s="1014">
        <f t="shared" ca="1" si="8"/>
        <v>223184.03400000001</v>
      </c>
      <c r="DD9" s="1015">
        <f t="shared" ca="1" si="8"/>
        <v>21861.0072</v>
      </c>
      <c r="DE9" s="1014">
        <f t="shared" ca="1" si="8"/>
        <v>220999.43700000001</v>
      </c>
      <c r="DF9" s="1014">
        <f ca="1">IF(DF8&lt;&gt;"",VLOOKUP(DF$8,INDIRECT(LU_MAT),$B9,FALSE),0)</f>
        <v>376640.16100000002</v>
      </c>
      <c r="DG9" s="1014">
        <f t="shared" ca="1" si="8"/>
        <v>9921.6759700000002</v>
      </c>
      <c r="DH9" s="1014">
        <f t="shared" ca="1" si="8"/>
        <v>9760.0353699999996</v>
      </c>
      <c r="DI9" s="917"/>
      <c r="DJ9" s="1014">
        <f t="shared" ref="DJ9:DP9" ca="1" si="9">IF(DJ8&lt;&gt;"",VLOOKUP(DJ$8,INDIRECT(LU_MAT),$B9,FALSE),0)</f>
        <v>2172856.75</v>
      </c>
      <c r="DK9" s="1014">
        <f t="shared" ca="1" si="9"/>
        <v>470427.01800000004</v>
      </c>
      <c r="DL9" s="1014">
        <f t="shared" ca="1" si="9"/>
        <v>223184.03400000001</v>
      </c>
      <c r="DM9" s="1014">
        <f t="shared" ca="1" si="9"/>
        <v>4504.1320500000002</v>
      </c>
      <c r="DN9" s="1014">
        <f t="shared" ca="1" si="9"/>
        <v>0</v>
      </c>
      <c r="DO9" s="1015">
        <f t="shared" ca="1" si="9"/>
        <v>2870971.94</v>
      </c>
      <c r="DP9" s="1014">
        <f t="shared" ca="1" si="9"/>
        <v>0</v>
      </c>
      <c r="DQ9" s="917"/>
      <c r="DR9" s="1014">
        <f ca="1">IF(DR8&lt;&gt;"",VLOOKUP(DR$8,INDIRECT(LU_MAT),$B9,FALSE),0)</f>
        <v>19848.331600000001</v>
      </c>
      <c r="DS9" s="1014">
        <f ca="1">IF(DS8&lt;&gt;"",VLOOKUP(DS$8,INDIRECT(LU_MAT),$B9,FALSE),0)</f>
        <v>20998.878100000002</v>
      </c>
      <c r="DT9" s="1014">
        <f ca="1">IF(DT8&lt;&gt;"",VLOOKUP(DT$8,INDIRECT(LU_MAT),$B9,FALSE),0)</f>
        <v>40847.214200000002</v>
      </c>
      <c r="DU9" s="1014">
        <f ca="1">IF(DU8&lt;&gt;"",VLOOKUP(DU$8,INDIRECT(LU_MAT),$B9,FALSE),0)</f>
        <v>0</v>
      </c>
      <c r="DV9" s="1143"/>
      <c r="DW9" s="917"/>
      <c r="DX9" s="1014">
        <f ca="1">IF(DX8&lt;&gt;"",VLOOKUP(DX$8,INDIRECT(LU_MAT),$B9,FALSE),0)</f>
        <v>19848.331600000001</v>
      </c>
      <c r="DY9" s="1014">
        <f ca="1">IF(DY8&lt;&gt;"",VLOOKUP(DY$8,INDIRECT(LU_MAT),$B9,FALSE),0)</f>
        <v>20998.878100000002</v>
      </c>
      <c r="DZ9" s="1014">
        <f ca="1">IF(DZ8&lt;&gt;"",VLOOKUP(DZ$8,INDIRECT(LU_MAT),$B9,FALSE),0)</f>
        <v>40847.214200000002</v>
      </c>
      <c r="EA9" s="1014">
        <f ca="1">IF(EA8&lt;&gt;"",VLOOKUP(EA$8,INDIRECT(LU_MAT),$B9,FALSE),0)</f>
        <v>0</v>
      </c>
      <c r="EC9" s="917"/>
      <c r="ED9" s="1014">
        <f ca="1">IF(ED8&lt;&gt;"",VLOOKUP(ED$8,INDIRECT(LU_MAT),$B9,FALSE),0)</f>
        <v>1073.2786100000001</v>
      </c>
      <c r="EE9" s="1014">
        <f ca="1">IF(EE8&lt;&gt;"",VLOOKUP(EE$8,INDIRECT(LU_MAT),$B9,FALSE),0)</f>
        <v>1073.2786100000001</v>
      </c>
      <c r="EF9" s="1014">
        <f ca="1">IF(EF8&lt;&gt;"",VLOOKUP(EF$8,INDIRECT(LU_MAT),$B9,FALSE),0)</f>
        <v>0</v>
      </c>
      <c r="EG9" s="1014">
        <f ca="1">IF(EG8&lt;&gt;"",VLOOKUP(EG$8,INDIRECT(LU_MAT),$B9,FALSE),0)</f>
        <v>0</v>
      </c>
      <c r="EH9" s="1143"/>
      <c r="EI9" s="917"/>
      <c r="EJ9" s="1014">
        <f ca="1">IF(EJ8&lt;&gt;"",VLOOKUP(EJ$8,INDIRECT(LU_MAT),$B9,FALSE),0)</f>
        <v>155038.88399999999</v>
      </c>
      <c r="EK9" s="1014">
        <f ca="1">IF(EK8&lt;&gt;"",VLOOKUP(EK$8,INDIRECT(LU_MAT),$B9,FALSE),0)</f>
        <v>6548549.3700000001</v>
      </c>
      <c r="EL9" s="1014">
        <f ca="1">IF(EL8&lt;&gt;"",VLOOKUP(EL$8,INDIRECT(LU_MAT),$B9,FALSE),0)</f>
        <v>17676.124199999998</v>
      </c>
      <c r="EM9" s="1014">
        <f ca="1">IF(EM8&lt;&gt;"",VLOOKUP(EM$8,INDIRECT(LU_MAT),$B9,FALSE),0)</f>
        <v>6686825.3399999999</v>
      </c>
      <c r="EO9" s="917"/>
      <c r="EP9" s="1014">
        <f ca="1">IF(EP8&lt;&gt;"",VLOOKUP(EP$8,INDIRECT(LU_MAT),$B9,FALSE),0)</f>
        <v>81295.915800000002</v>
      </c>
      <c r="EQ9" s="1014">
        <f ca="1">IF(EQ8&lt;&gt;"",VLOOKUP(EQ$8,INDIRECT(LU_MAT),$B9,FALSE),0)</f>
        <v>9921.6759700000002</v>
      </c>
      <c r="ER9" s="1014">
        <f ca="1">IF(ER8&lt;&gt;"",VLOOKUP(ER$8,INDIRECT(LU_MAT),$B9,FALSE),0)</f>
        <v>71353.147700000001</v>
      </c>
      <c r="ES9" s="1014">
        <f ca="1">IF(ES8&lt;&gt;"",VLOOKUP(ES$8,INDIRECT(LU_MAT),$B9,FALSE),0)</f>
        <v>21.092107800000001</v>
      </c>
      <c r="ET9" s="1143"/>
      <c r="EU9" s="917"/>
      <c r="EV9" s="1014">
        <f ca="1">IF(EV8&lt;&gt;"",VLOOKUP(EV$8,INDIRECT(LU_MAT),$B9,FALSE),0)</f>
        <v>1584100.2</v>
      </c>
      <c r="EW9" s="1014">
        <f ca="1">IF(EW8&lt;&gt;"",VLOOKUP(EW$8,INDIRECT(LU_MAT),$B9,FALSE),0)</f>
        <v>1584100.2</v>
      </c>
      <c r="EX9" s="917"/>
      <c r="EY9" s="1014">
        <f ca="1">IF(EY8&lt;&gt;"",VLOOKUP(EY$8,INDIRECT(LU_MAT),$B9,FALSE),0)</f>
        <v>155038.88399999999</v>
      </c>
      <c r="EZ9" s="1014">
        <f ca="1">IF(EZ8&lt;&gt;"",VLOOKUP(EZ$8,INDIRECT(LU_MAT),$B9,FALSE),0)</f>
        <v>17676.124199999998</v>
      </c>
      <c r="FA9" s="1014">
        <f ca="1">EY9-EZ9</f>
        <v>137362.7598</v>
      </c>
      <c r="FB9" s="917"/>
      <c r="FC9" s="1014">
        <f t="shared" ref="FC9:GB9" ca="1" si="10">IF(FC8&lt;&gt;"",VLOOKUP(FC$8,INDIRECT(LU_MAT),$B9,FALSE),0)</f>
        <v>104166.667</v>
      </c>
      <c r="FD9" s="1014">
        <f t="shared" ca="1" si="10"/>
        <v>1980.28674</v>
      </c>
      <c r="FE9" s="1014">
        <f t="shared" ca="1" si="10"/>
        <v>1050.8174799999999</v>
      </c>
      <c r="FF9" s="1014">
        <f t="shared" ca="1" si="10"/>
        <v>0.32532704899999998</v>
      </c>
      <c r="FG9" s="1014">
        <f t="shared" ca="1" si="10"/>
        <v>26.1890933</v>
      </c>
      <c r="FH9" s="1014">
        <f t="shared" ca="1" si="10"/>
        <v>116.09195099999999</v>
      </c>
      <c r="FI9" s="1014">
        <f t="shared" ca="1" si="10"/>
        <v>210.78478899999999</v>
      </c>
      <c r="FJ9" s="1014">
        <f t="shared" ca="1" si="10"/>
        <v>948.53155000000004</v>
      </c>
      <c r="FK9" s="1014">
        <f t="shared" ca="1" si="10"/>
        <v>2844.6651299999999</v>
      </c>
      <c r="FL9" s="1014">
        <f t="shared" ca="1" si="10"/>
        <v>14.0693339</v>
      </c>
      <c r="FM9" s="1014">
        <f t="shared" ca="1" si="10"/>
        <v>0</v>
      </c>
      <c r="FN9" s="1014">
        <f ca="1">IF(FN8&lt;&gt;"",VLOOKUP(FN$8,INDIRECT(LU_MAT),$B9,FALSE),0)</f>
        <v>67.352044000000006</v>
      </c>
      <c r="FO9" s="1014">
        <f ca="1">IF(FO8&lt;&gt;"",VLOOKUP(FO$8,INDIRECT(LU_MAT),$B9,FALSE),0)</f>
        <v>109.253077</v>
      </c>
      <c r="FP9" s="1014">
        <f t="shared" ca="1" si="10"/>
        <v>16.4154968</v>
      </c>
      <c r="FQ9" s="1014">
        <f t="shared" ca="1" si="10"/>
        <v>156.63265999999999</v>
      </c>
      <c r="FR9" s="1014">
        <f t="shared" ca="1" si="10"/>
        <v>13.357518000000001</v>
      </c>
      <c r="FS9" s="1014">
        <f t="shared" ca="1" si="10"/>
        <v>32582.828799999999</v>
      </c>
      <c r="FT9" s="1014">
        <f t="shared" ca="1" si="10"/>
        <v>12113.951800000001</v>
      </c>
      <c r="FU9" s="1014">
        <f t="shared" ca="1" si="10"/>
        <v>0</v>
      </c>
      <c r="FV9" s="1014">
        <f ca="1">IF(FV8&lt;&gt;"",VLOOKUP(FV$8,INDIRECT(LU_MAT),$B9,FALSE),0)</f>
        <v>0</v>
      </c>
      <c r="FW9" s="1014">
        <f t="shared" ca="1" si="10"/>
        <v>223184.03400000001</v>
      </c>
      <c r="FX9" s="1014">
        <f t="shared" ca="1" si="10"/>
        <v>4504.1320500000002</v>
      </c>
      <c r="FY9" s="1014">
        <f t="shared" ca="1" si="10"/>
        <v>284494.891</v>
      </c>
      <c r="FZ9" s="1014">
        <f t="shared" ca="1" si="10"/>
        <v>894.45129599999996</v>
      </c>
      <c r="GA9" s="1014">
        <f ca="1">IF(GA8&lt;&gt;"",VLOOKUP(GA$8,INDIRECT(LU_MAT),$B9,FALSE),0)</f>
        <v>0</v>
      </c>
      <c r="GB9" s="1014">
        <f t="shared" ca="1" si="10"/>
        <v>147136.25899999999</v>
      </c>
      <c r="GC9" s="1189"/>
      <c r="GD9" s="1014">
        <f t="shared" ref="GD9:GN9" ca="1" si="11">IF(GD8&lt;&gt;"",VLOOKUP(GD$8,INDIRECT(LU_MAT),$B9,FALSE),0)</f>
        <v>31801.300599999999</v>
      </c>
      <c r="GE9" s="1014">
        <f t="shared" ca="1" si="11"/>
        <v>1585.9873700000001</v>
      </c>
      <c r="GF9" s="1014">
        <f t="shared" ca="1" si="11"/>
        <v>21809.986700000001</v>
      </c>
      <c r="GG9" s="1014">
        <f t="shared" ca="1" si="11"/>
        <v>21397.687300000001</v>
      </c>
      <c r="GH9" s="1014">
        <f t="shared" ca="1" si="11"/>
        <v>0</v>
      </c>
      <c r="GI9" s="1014">
        <f ca="1">IF(GI8&lt;&gt;"",VLOOKUP(GI$8,INDIRECT(LU_MAT),$B9,FALSE),0)</f>
        <v>0</v>
      </c>
      <c r="GJ9" s="1014">
        <f t="shared" ca="1" si="11"/>
        <v>220999.43700000001</v>
      </c>
      <c r="GK9" s="1014">
        <f t="shared" ca="1" si="11"/>
        <v>9921.6759700000002</v>
      </c>
      <c r="GL9" s="1014">
        <f t="shared" ca="1" si="11"/>
        <v>5724.06574</v>
      </c>
      <c r="GM9" s="1014">
        <f t="shared" ca="1" si="11"/>
        <v>363454.174</v>
      </c>
      <c r="GN9" s="1014">
        <f t="shared" ca="1" si="11"/>
        <v>2580.6417799999999</v>
      </c>
      <c r="GO9" s="1014">
        <f ca="1">FA9</f>
        <v>137362.7598</v>
      </c>
      <c r="GR9" s="946"/>
      <c r="GS9" s="946"/>
      <c r="GU9" s="946"/>
      <c r="GV9" s="946"/>
      <c r="GW9" s="946"/>
      <c r="GX9" s="1143">
        <v>571</v>
      </c>
      <c r="GY9" s="1181">
        <f ca="1">BY17</f>
        <v>-97.281632168432523</v>
      </c>
    </row>
    <row r="10" spans="1:207" s="1143" customFormat="1" x14ac:dyDescent="0.3">
      <c r="A10" s="1027"/>
      <c r="B10" s="1020"/>
      <c r="C10" s="1020"/>
      <c r="D10" s="1032" t="s">
        <v>2946</v>
      </c>
      <c r="E10" s="1000" t="s">
        <v>2947</v>
      </c>
      <c r="F10" s="1014">
        <f t="shared" ref="F10:P10" ca="1" si="12">IF(F8&lt;&gt;"",F96+F97,0)</f>
        <v>3117.0850799366808</v>
      </c>
      <c r="G10" s="1014">
        <f t="shared" ca="1" si="12"/>
        <v>9.8117285384938278</v>
      </c>
      <c r="H10" s="1014">
        <f t="shared" ca="1" si="12"/>
        <v>0</v>
      </c>
      <c r="I10" s="1014">
        <f t="shared" ca="1" si="12"/>
        <v>0</v>
      </c>
      <c r="J10" s="1014">
        <f t="shared" ca="1" si="12"/>
        <v>0</v>
      </c>
      <c r="K10" s="1014">
        <f t="shared" ca="1" si="12"/>
        <v>0</v>
      </c>
      <c r="L10" s="1014">
        <f t="shared" ca="1" si="12"/>
        <v>0</v>
      </c>
      <c r="M10" s="1014">
        <f t="shared" ca="1" si="12"/>
        <v>0</v>
      </c>
      <c r="N10" s="1014">
        <f t="shared" ca="1" si="12"/>
        <v>0</v>
      </c>
      <c r="O10" s="1014">
        <f t="shared" ca="1" si="12"/>
        <v>19.599035356792282</v>
      </c>
      <c r="P10" s="1014">
        <f t="shared" ca="1" si="12"/>
        <v>3107.2977748583821</v>
      </c>
      <c r="Q10" s="917"/>
      <c r="R10" s="1014">
        <f t="shared" ref="R10:AA10" ca="1" si="13">IF(R8&lt;&gt;"",R96+R97,0)</f>
        <v>3107.2977748583821</v>
      </c>
      <c r="S10" s="1014">
        <f t="shared" ca="1" si="13"/>
        <v>32.648228651185832</v>
      </c>
      <c r="T10" s="1014">
        <f t="shared" ca="1" si="13"/>
        <v>0</v>
      </c>
      <c r="U10" s="1014">
        <f t="shared" ca="1" si="13"/>
        <v>4.0446819623574557</v>
      </c>
      <c r="V10" s="1014">
        <f t="shared" ca="1" si="13"/>
        <v>0</v>
      </c>
      <c r="W10" s="1014">
        <f t="shared" ca="1" si="13"/>
        <v>18.201068795608553</v>
      </c>
      <c r="X10" s="1014">
        <f t="shared" ca="1" si="13"/>
        <v>19.173947453391577</v>
      </c>
      <c r="Y10" s="1014">
        <f t="shared" ca="1" si="13"/>
        <v>2704.291538634332</v>
      </c>
      <c r="Z10" s="1014">
        <f t="shared" ca="1" si="13"/>
        <v>430.80985744647887</v>
      </c>
      <c r="AA10" s="1014">
        <f t="shared" ca="1" si="13"/>
        <v>44.16851765334814</v>
      </c>
      <c r="AB10" s="917"/>
      <c r="AC10" s="1014">
        <f t="shared" ref="AC10:AN10" ca="1" si="14">IF(AC8&lt;&gt;"",AC96+AC97,0)</f>
        <v>0.15082717140661739</v>
      </c>
      <c r="AD10" s="1014">
        <f t="shared" ca="1" si="14"/>
        <v>0</v>
      </c>
      <c r="AE10" s="1014">
        <f t="shared" ca="1" si="14"/>
        <v>80.528303244226436</v>
      </c>
      <c r="AF10" s="1014">
        <f t="shared" ca="1" si="14"/>
        <v>5.2486772619894184</v>
      </c>
      <c r="AG10" s="1014">
        <f t="shared" ca="1" si="14"/>
        <v>0</v>
      </c>
      <c r="AH10" s="1014">
        <f t="shared" ca="1" si="14"/>
        <v>0</v>
      </c>
      <c r="AI10" s="1014">
        <f t="shared" ca="1" si="14"/>
        <v>0.85119865280958917</v>
      </c>
      <c r="AJ10" s="1014">
        <f t="shared" ca="1" si="14"/>
        <v>0</v>
      </c>
      <c r="AK10" s="1014">
        <f t="shared" ca="1" si="14"/>
        <v>0</v>
      </c>
      <c r="AL10" s="1014">
        <f t="shared" ca="1" si="14"/>
        <v>32.648228651185832</v>
      </c>
      <c r="AM10" s="1014">
        <f t="shared" ca="1" si="14"/>
        <v>2.1606615172852921</v>
      </c>
      <c r="AN10" s="1014">
        <f t="shared" ca="1" si="14"/>
        <v>51.969977015759824</v>
      </c>
      <c r="AO10" s="917"/>
      <c r="AP10" s="1014">
        <f t="shared" ref="AP10:BC10" ca="1" si="15">IF(AP8&lt;&gt;"",AP96+AP97,0)</f>
        <v>2704.291538634332</v>
      </c>
      <c r="AQ10" s="1014">
        <f t="shared" ca="1" si="15"/>
        <v>44.16851765334814</v>
      </c>
      <c r="AR10" s="1014">
        <f t="shared" ca="1" si="15"/>
        <v>430.80985744647887</v>
      </c>
      <c r="AS10" s="1014">
        <f t="shared" ca="1" si="15"/>
        <v>0</v>
      </c>
      <c r="AT10" s="1014">
        <f t="shared" ca="1" si="15"/>
        <v>0</v>
      </c>
      <c r="AU10" s="1014">
        <f t="shared" ca="1" si="15"/>
        <v>0</v>
      </c>
      <c r="AV10" s="1014">
        <f t="shared" ca="1" si="15"/>
        <v>470.52020176416164</v>
      </c>
      <c r="AW10" s="1014">
        <f t="shared" ca="1" si="15"/>
        <v>19.173947453391577</v>
      </c>
      <c r="AX10" s="1014">
        <f t="shared" ca="1" si="15"/>
        <v>941.47684953181488</v>
      </c>
      <c r="AY10" s="1014">
        <f t="shared" ca="1" si="15"/>
        <v>9.8117285384938278</v>
      </c>
      <c r="AZ10" s="1014">
        <f t="shared" ca="1" si="15"/>
        <v>0</v>
      </c>
      <c r="BA10" s="1014">
        <f t="shared" ca="1" si="15"/>
        <v>800.77739150621903</v>
      </c>
      <c r="BB10" s="1014">
        <f t="shared" ca="1" si="15"/>
        <v>937.42480649939853</v>
      </c>
      <c r="BC10" s="1014">
        <f t="shared" ca="1" si="15"/>
        <v>8.4966891979735129E-2</v>
      </c>
      <c r="BD10" s="917"/>
      <c r="BE10" s="1014">
        <f t="shared" ref="BE10:BO10" ca="1" si="16">IF(BE8&lt;&gt;"",BE96+BE97,0)</f>
        <v>2704.291538634332</v>
      </c>
      <c r="BF10" s="1014">
        <f t="shared" ca="1" si="16"/>
        <v>44.16851765334814</v>
      </c>
      <c r="BG10" s="1014">
        <f t="shared" ca="1" si="16"/>
        <v>430.80985744647887</v>
      </c>
      <c r="BH10" s="1014">
        <f t="shared" ca="1" si="16"/>
        <v>0</v>
      </c>
      <c r="BI10" s="1014">
        <f t="shared" ca="1" si="16"/>
        <v>0</v>
      </c>
      <c r="BJ10" s="1014">
        <f t="shared" ca="1" si="16"/>
        <v>470.52020176416164</v>
      </c>
      <c r="BK10" s="1014">
        <f t="shared" ca="1" si="16"/>
        <v>19.173947453391577</v>
      </c>
      <c r="BL10" s="1014">
        <f t="shared" ca="1" si="16"/>
        <v>941.47684953181488</v>
      </c>
      <c r="BM10" s="1014">
        <f t="shared" ca="1" si="16"/>
        <v>1738.2871659062973</v>
      </c>
      <c r="BN10" s="1014">
        <f t="shared" ca="1" si="16"/>
        <v>0</v>
      </c>
      <c r="BO10" s="1014">
        <f t="shared" ca="1" si="16"/>
        <v>9.8117285384938278</v>
      </c>
      <c r="BP10" s="917"/>
      <c r="BQ10" s="1014">
        <f t="shared" ref="BQ10:BW10" ca="1" si="17">IF(BQ8&lt;&gt;"",BQ96+BQ97,0)</f>
        <v>0</v>
      </c>
      <c r="BR10" s="1014">
        <f t="shared" ca="1" si="17"/>
        <v>1738.2871659062973</v>
      </c>
      <c r="BS10" s="1014">
        <f t="shared" ca="1" si="17"/>
        <v>0</v>
      </c>
      <c r="BT10" s="1014">
        <f t="shared" ca="1" si="17"/>
        <v>800.77739150621903</v>
      </c>
      <c r="BU10" s="1014">
        <f t="shared" ca="1" si="17"/>
        <v>8.4966891979735129E-2</v>
      </c>
      <c r="BV10" s="1014">
        <f t="shared" ca="1" si="17"/>
        <v>937.42480649939853</v>
      </c>
      <c r="BW10" s="1014">
        <f t="shared" ca="1" si="17"/>
        <v>0</v>
      </c>
      <c r="BX10" s="917"/>
      <c r="BY10" s="1014">
        <f t="shared" ref="BY10:CF10" ca="1" si="18">IF(BY8&lt;&gt;"",BY96+BY97,0)</f>
        <v>937.42480649939853</v>
      </c>
      <c r="BZ10" s="1014">
        <f t="shared" ca="1" si="18"/>
        <v>8.4966891979735129E-2</v>
      </c>
      <c r="CA10" s="1014">
        <f t="shared" ca="1" si="18"/>
        <v>0</v>
      </c>
      <c r="CB10" s="1014">
        <f t="shared" ca="1" si="18"/>
        <v>83.092013853736105</v>
      </c>
      <c r="CC10" s="1014">
        <f t="shared" ca="1" si="18"/>
        <v>659.55447327643583</v>
      </c>
      <c r="CD10" s="1014">
        <f t="shared" ca="1" si="18"/>
        <v>0</v>
      </c>
      <c r="CE10" s="1014">
        <f t="shared" ca="1" si="18"/>
        <v>10.200661781605294</v>
      </c>
      <c r="CF10" s="1014">
        <f t="shared" ca="1" si="18"/>
        <v>1669.9556033596448</v>
      </c>
      <c r="CG10" s="917"/>
      <c r="CH10" s="1014">
        <f ca="1">IF(CH8&lt;&gt;"",CH96+CH97,0)</f>
        <v>659.63944027711557</v>
      </c>
      <c r="CI10" s="1014">
        <f ca="1">IF(CI8&lt;&gt;"",CI96+CI97,0)</f>
        <v>1020.5168212641346</v>
      </c>
      <c r="CJ10" s="1014">
        <f ca="1">IF(CJ8&lt;&gt;"",CJ96+CJ97,0)</f>
        <v>1680.1562651412501</v>
      </c>
      <c r="CK10" s="1014">
        <f>IF(CK8&lt;&gt;"",CK96+CK97,0)</f>
        <v>0</v>
      </c>
      <c r="CL10" s="1014">
        <f>IF(CL8&lt;&gt;"",CL96+CL97,0)</f>
        <v>0</v>
      </c>
      <c r="CM10" s="917"/>
      <c r="CN10" s="1014">
        <f t="shared" ref="CN10:CS10" ca="1" si="19">IF(CN8&lt;&gt;"",CN96+CN97,0)</f>
        <v>0</v>
      </c>
      <c r="CO10" s="1014">
        <f t="shared" si="19"/>
        <v>0</v>
      </c>
      <c r="CP10" s="1014">
        <f t="shared" ca="1" si="19"/>
        <v>0</v>
      </c>
      <c r="CQ10" s="1014">
        <f t="shared" ca="1" si="19"/>
        <v>0</v>
      </c>
      <c r="CR10" s="1014">
        <f t="shared" ca="1" si="19"/>
        <v>0</v>
      </c>
      <c r="CS10" s="1014">
        <f t="shared" ca="1" si="19"/>
        <v>0</v>
      </c>
      <c r="CT10" s="917"/>
      <c r="CU10" s="1014">
        <f t="shared" ref="CU10:DH10" ca="1" si="20">IF(CU8&lt;&gt;"",CU96+CU97,0)</f>
        <v>19.599035356792282</v>
      </c>
      <c r="CV10" s="1014">
        <f t="shared" ca="1" si="20"/>
        <v>0</v>
      </c>
      <c r="CW10" s="1014">
        <f t="shared" ca="1" si="20"/>
        <v>0</v>
      </c>
      <c r="CX10" s="1014">
        <f t="shared" ca="1" si="20"/>
        <v>800.77739150621903</v>
      </c>
      <c r="CY10" s="1014">
        <f t="shared" ca="1" si="20"/>
        <v>0</v>
      </c>
      <c r="CZ10" s="1014">
        <f t="shared" si="20"/>
        <v>0</v>
      </c>
      <c r="DA10" s="1014">
        <f t="shared" si="20"/>
        <v>0</v>
      </c>
      <c r="DB10" s="1014">
        <f t="shared" ca="1" si="20"/>
        <v>0</v>
      </c>
      <c r="DC10" s="1014">
        <f t="shared" ca="1" si="20"/>
        <v>0</v>
      </c>
      <c r="DD10" s="1014">
        <f t="shared" ca="1" si="20"/>
        <v>659.55447327643583</v>
      </c>
      <c r="DE10" s="1014">
        <f t="shared" ca="1" si="20"/>
        <v>87.834635902677078</v>
      </c>
      <c r="DF10" s="1014">
        <f t="shared" ca="1" si="20"/>
        <v>0</v>
      </c>
      <c r="DG10" s="1014">
        <f t="shared" ca="1" si="20"/>
        <v>3.857385550859084</v>
      </c>
      <c r="DH10" s="1014">
        <f t="shared" ca="1" si="20"/>
        <v>83.092013853736105</v>
      </c>
      <c r="DI10" s="917"/>
      <c r="DJ10" s="1014">
        <f t="shared" ref="DJ10:DP10" ca="1" si="21">IF(DJ8&lt;&gt;"",DJ96+DJ97,0)</f>
        <v>951.50259801202083</v>
      </c>
      <c r="DK10" s="1014">
        <f t="shared" ca="1" si="21"/>
        <v>127.72786842182295</v>
      </c>
      <c r="DL10" s="1014">
        <f t="shared" ca="1" si="21"/>
        <v>0</v>
      </c>
      <c r="DM10" s="1014">
        <f t="shared" ca="1" si="21"/>
        <v>0</v>
      </c>
      <c r="DN10" s="1014">
        <f t="shared" si="21"/>
        <v>0</v>
      </c>
      <c r="DO10" s="1014">
        <f t="shared" ca="1" si="21"/>
        <v>1082.9131816633053</v>
      </c>
      <c r="DP10" s="1014">
        <f t="shared" si="21"/>
        <v>0</v>
      </c>
      <c r="DQ10" s="917"/>
      <c r="DR10" s="1014">
        <f ca="1">IF(DR8&lt;&gt;"",DR96+DR97,0)</f>
        <v>664.0345803122766</v>
      </c>
      <c r="DS10" s="1014">
        <f ca="1">IF(DS8&lt;&gt;"",DS96+DS97,0)</f>
        <v>0</v>
      </c>
      <c r="DT10" s="1014">
        <f ca="1">IF(DT8&lt;&gt;"",DT96+DT97,0)</f>
        <v>664.0345803122766</v>
      </c>
      <c r="DU10" s="1014">
        <f>IF(DU8&lt;&gt;"",DU96+DU97,0)</f>
        <v>0</v>
      </c>
      <c r="DV10" s="1014"/>
      <c r="DW10" s="917"/>
      <c r="DX10" s="1014">
        <f ca="1">IF(DX8&lt;&gt;"",DX96+DX97,0)</f>
        <v>664.0345803122766</v>
      </c>
      <c r="DY10" s="1014">
        <f ca="1">IF(DY8&lt;&gt;"",DY96+DY97,0)</f>
        <v>0</v>
      </c>
      <c r="DZ10" s="1014">
        <f ca="1">IF(DZ8&lt;&gt;"",DZ96+DZ97,0)</f>
        <v>664.0345803122766</v>
      </c>
      <c r="EA10" s="1014">
        <f>IF(EA8&lt;&gt;"",EA96+EA97,0)</f>
        <v>0</v>
      </c>
      <c r="EB10" s="1014"/>
      <c r="EC10" s="917"/>
      <c r="ED10" s="1014">
        <f ca="1">IF(ED8&lt;&gt;"",ED96+ED97,0)</f>
        <v>35.907003187256024</v>
      </c>
      <c r="EE10" s="1014">
        <f ca="1">IF(EE8&lt;&gt;"",EE96+EE97,0)</f>
        <v>46.186359169490878</v>
      </c>
      <c r="EF10" s="1014">
        <f>IF(EF8&lt;&gt;"",EF96+EF97,0)</f>
        <v>0</v>
      </c>
      <c r="EG10" s="1014">
        <f>IF(EG8&lt;&gt;"",EG96+EG97,0)</f>
        <v>0</v>
      </c>
      <c r="EH10" s="1014"/>
      <c r="EI10" s="917"/>
      <c r="EJ10" s="1014">
        <f ca="1">IF(EJ8&lt;&gt;"",EJ96+EJ97,0)</f>
        <v>0</v>
      </c>
      <c r="EK10" s="1014">
        <f ca="1">IF(EK8&lt;&gt;"",EK96+EK97,0)</f>
        <v>0</v>
      </c>
      <c r="EL10" s="1014">
        <f ca="1">IF(EL8&lt;&gt;"",EL96+EL97,0)</f>
        <v>0</v>
      </c>
      <c r="EM10" s="1014">
        <f ca="1">IF(EM8&lt;&gt;"",EM96+EM97,0)</f>
        <v>0</v>
      </c>
      <c r="EN10" s="1014"/>
      <c r="EO10" s="917"/>
      <c r="EP10" s="1014">
        <f ca="1">IF(EP8&lt;&gt;"",EP96+EP97,0)</f>
        <v>3.9300165714401323</v>
      </c>
      <c r="EQ10" s="1014">
        <f ca="1">IF(EQ8&lt;&gt;"",EQ96+EQ97,0)</f>
        <v>3.857385550859084</v>
      </c>
      <c r="ER10" s="1014">
        <f ca="1">IF(ER8&lt;&gt;"",ER96+ER97,0)</f>
        <v>0</v>
      </c>
      <c r="ES10" s="1014">
        <f ca="1">IF(ES8&lt;&gt;"",ES96+ES97,0)</f>
        <v>7.2631017781048135E-2</v>
      </c>
      <c r="ET10" s="1014"/>
      <c r="EU10" s="917"/>
      <c r="EV10" s="1014">
        <f ca="1">IF(EV8&lt;&gt;"",EV96+EV97,0)</f>
        <v>0</v>
      </c>
      <c r="EW10" s="1014">
        <f ca="1">IF(EW8&lt;&gt;"",EW96+EW97,0)</f>
        <v>0</v>
      </c>
      <c r="EX10" s="917"/>
      <c r="EY10" s="1014">
        <f ca="1">IF(EY8&lt;&gt;"",EY96+EY97,0)</f>
        <v>0</v>
      </c>
      <c r="EZ10" s="1014">
        <f ca="1">IF(EZ8&lt;&gt;"",EZ96+EZ97,0)</f>
        <v>0</v>
      </c>
      <c r="FA10" s="1014">
        <f>IF(FA8&lt;&gt;"",FA96+FA97,0)</f>
        <v>0</v>
      </c>
      <c r="FB10" s="917"/>
      <c r="FC10" s="1014">
        <f t="shared" ref="FC10:GB10" ca="1" si="22">IF(FC8&lt;&gt;"",FC96+FC97,0)</f>
        <v>3117.0850799366808</v>
      </c>
      <c r="FD10" s="1014">
        <f t="shared" ca="1" si="22"/>
        <v>0</v>
      </c>
      <c r="FE10" s="1014">
        <f t="shared" ca="1" si="22"/>
        <v>0</v>
      </c>
      <c r="FF10" s="1014">
        <f t="shared" ca="1" si="22"/>
        <v>0</v>
      </c>
      <c r="FG10" s="1014">
        <f t="shared" ca="1" si="22"/>
        <v>0</v>
      </c>
      <c r="FH10" s="1014">
        <f t="shared" ca="1" si="22"/>
        <v>0</v>
      </c>
      <c r="FI10" s="1014">
        <f t="shared" ca="1" si="22"/>
        <v>4.0446819623574557</v>
      </c>
      <c r="FJ10" s="1014">
        <f t="shared" ca="1" si="22"/>
        <v>18.201068795608553</v>
      </c>
      <c r="FK10" s="1014">
        <f t="shared" ca="1" si="22"/>
        <v>80.528303244226436</v>
      </c>
      <c r="FL10" s="1014">
        <f t="shared" ca="1" si="22"/>
        <v>0.15082717140661739</v>
      </c>
      <c r="FM10" s="1014">
        <f t="shared" si="22"/>
        <v>0</v>
      </c>
      <c r="FN10" s="1014">
        <f t="shared" ca="1" si="22"/>
        <v>2.2431031879448255</v>
      </c>
      <c r="FO10" s="1014">
        <f t="shared" ca="1" si="22"/>
        <v>0</v>
      </c>
      <c r="FP10" s="1014">
        <f t="shared" ca="1" si="22"/>
        <v>0</v>
      </c>
      <c r="FQ10" s="1014">
        <f t="shared" ca="1" si="22"/>
        <v>3.0055740640445925</v>
      </c>
      <c r="FR10" s="1014">
        <f t="shared" ca="1" si="22"/>
        <v>0.85119865280958917</v>
      </c>
      <c r="FS10" s="1014">
        <f t="shared" ca="1" si="22"/>
        <v>0</v>
      </c>
      <c r="FT10" s="1014">
        <f t="shared" ca="1" si="22"/>
        <v>0</v>
      </c>
      <c r="FU10" s="1014">
        <f t="shared" si="22"/>
        <v>0</v>
      </c>
      <c r="FV10" s="1014">
        <f t="shared" si="22"/>
        <v>0</v>
      </c>
      <c r="FW10" s="1014">
        <f t="shared" ca="1" si="22"/>
        <v>0</v>
      </c>
      <c r="FX10" s="1014">
        <f t="shared" ca="1" si="22"/>
        <v>0</v>
      </c>
      <c r="FY10" s="1014">
        <f t="shared" ca="1" si="22"/>
        <v>0</v>
      </c>
      <c r="FZ10" s="1014">
        <f t="shared" ca="1" si="22"/>
        <v>0</v>
      </c>
      <c r="GA10" s="1014">
        <f t="shared" si="22"/>
        <v>0</v>
      </c>
      <c r="GB10" s="1014">
        <f t="shared" ca="1" si="22"/>
        <v>0</v>
      </c>
      <c r="GC10" s="1189"/>
      <c r="GD10" s="1014">
        <f t="shared" ref="GD10:GO10" ca="1" si="23">IF(GD8&lt;&gt;"",GD96+GD97,0)</f>
        <v>51.969977015759824</v>
      </c>
      <c r="GE10" s="1014">
        <f t="shared" ca="1" si="23"/>
        <v>2.1606615172852921</v>
      </c>
      <c r="GF10" s="1014">
        <f t="shared" ca="1" si="23"/>
        <v>941.47684953181488</v>
      </c>
      <c r="GG10" s="1014">
        <f t="shared" ca="1" si="23"/>
        <v>470.52020176416164</v>
      </c>
      <c r="GH10" s="1014">
        <f t="shared" si="23"/>
        <v>0</v>
      </c>
      <c r="GI10" s="1014">
        <f t="shared" si="23"/>
        <v>0</v>
      </c>
      <c r="GJ10" s="1014">
        <f t="shared" ca="1" si="23"/>
        <v>87.834635902677078</v>
      </c>
      <c r="GK10" s="1014">
        <f t="shared" ca="1" si="23"/>
        <v>3.857385550859084</v>
      </c>
      <c r="GL10" s="1014">
        <f t="shared" ca="1" si="23"/>
        <v>10.200661781605294</v>
      </c>
      <c r="GM10" s="1014">
        <f t="shared" ca="1" si="23"/>
        <v>1669.9556033596448</v>
      </c>
      <c r="GN10" s="1014">
        <f t="shared" ca="1" si="23"/>
        <v>0</v>
      </c>
      <c r="GO10" s="1014">
        <f t="shared" si="23"/>
        <v>0</v>
      </c>
      <c r="GQ10" s="1143" t="s">
        <v>3080</v>
      </c>
      <c r="GR10" s="1183">
        <f ca="1">FC9</f>
        <v>104166.667</v>
      </c>
      <c r="GS10" s="1182" t="s">
        <v>287</v>
      </c>
      <c r="GT10" s="1143" t="s">
        <v>3091</v>
      </c>
      <c r="GU10" s="1181">
        <f ca="1">-GL20-GE20-GF20</f>
        <v>-24.01443354619294</v>
      </c>
      <c r="GV10" s="1182" t="s">
        <v>3079</v>
      </c>
      <c r="GW10" s="946"/>
      <c r="GX10" s="1143">
        <v>211</v>
      </c>
      <c r="GY10" s="1181">
        <f ca="1">I17</f>
        <v>80.952278605883961</v>
      </c>
    </row>
    <row r="11" spans="1:207" s="914" customFormat="1" x14ac:dyDescent="0.3">
      <c r="A11" s="997"/>
      <c r="B11" s="1020">
        <v>69</v>
      </c>
      <c r="C11" s="1020"/>
      <c r="D11" s="990" t="s">
        <v>1169</v>
      </c>
      <c r="E11" s="1000" t="s">
        <v>151</v>
      </c>
      <c r="F11" s="1014">
        <f t="shared" ref="F11:P11" ca="1" si="24">IF(F9&lt;&gt;0,VLOOKUP(F$8,INDIRECT(LU_MAT),$B11,FALSE),0)</f>
        <v>25</v>
      </c>
      <c r="G11" s="1014">
        <f t="shared" ca="1" si="24"/>
        <v>113.73433899999998</v>
      </c>
      <c r="H11" s="1014">
        <f t="shared" ca="1" si="24"/>
        <v>21.714874099999975</v>
      </c>
      <c r="I11" s="1014">
        <f t="shared" ca="1" si="24"/>
        <v>33</v>
      </c>
      <c r="J11" s="1014">
        <f t="shared" ca="1" si="24"/>
        <v>268.1893</v>
      </c>
      <c r="K11" s="1014">
        <f ca="1">IF(K9&lt;&gt;0,VLOOKUP(K$8,INDIRECT(LU_MAT),$B11,FALSE),0)</f>
        <v>268.1893</v>
      </c>
      <c r="L11" s="1014">
        <f t="shared" ca="1" si="24"/>
        <v>20</v>
      </c>
      <c r="M11" s="1014">
        <f t="shared" ca="1" si="24"/>
        <v>33</v>
      </c>
      <c r="N11" s="1014">
        <f t="shared" ca="1" si="24"/>
        <v>20</v>
      </c>
      <c r="O11" s="1015">
        <f t="shared" ca="1" si="24"/>
        <v>99.688555599999972</v>
      </c>
      <c r="P11" s="1014">
        <f t="shared" ca="1" si="24"/>
        <v>77.575069900000017</v>
      </c>
      <c r="Q11" s="1031"/>
      <c r="R11" s="1014">
        <f t="shared" ref="R11:AA11" ca="1" si="25">IF(R9&lt;&gt;0,VLOOKUP(R$8,INDIRECT(LU_MAT),$B11,FALSE),0)</f>
        <v>77.575069900000017</v>
      </c>
      <c r="S11" s="1014">
        <f t="shared" ca="1" si="25"/>
        <v>28.655215699999985</v>
      </c>
      <c r="T11" s="1014">
        <f t="shared" ca="1" si="25"/>
        <v>20</v>
      </c>
      <c r="U11" s="1014">
        <f t="shared" ca="1" si="25"/>
        <v>20</v>
      </c>
      <c r="V11" s="1014">
        <f t="shared" ca="1" si="25"/>
        <v>20</v>
      </c>
      <c r="W11" s="1014">
        <f t="shared" ca="1" si="25"/>
        <v>20</v>
      </c>
      <c r="X11" s="1014">
        <f t="shared" ca="1" si="25"/>
        <v>34.233848000000023</v>
      </c>
      <c r="Y11" s="1015">
        <f t="shared" ca="1" si="25"/>
        <v>32.398413199999993</v>
      </c>
      <c r="Z11" s="1014">
        <f t="shared" ca="1" si="25"/>
        <v>32</v>
      </c>
      <c r="AA11" s="1014">
        <f t="shared" ca="1" si="25"/>
        <v>32</v>
      </c>
      <c r="AB11" s="1031"/>
      <c r="AC11" s="1014">
        <f t="shared" ref="AC11:AN11" ca="1" si="26">IF(AC9&lt;&gt;0,VLOOKUP(AC$8,INDIRECT(LU_MAT),$B11,FALSE),0)</f>
        <v>46.286077900000009</v>
      </c>
      <c r="AD11" s="1014">
        <f t="shared" ca="1" si="26"/>
        <v>33</v>
      </c>
      <c r="AE11" s="1014">
        <f t="shared" ca="1" si="26"/>
        <v>28</v>
      </c>
      <c r="AF11" s="1014">
        <f t="shared" ca="1" si="26"/>
        <v>33.86774459999998</v>
      </c>
      <c r="AG11" s="1014">
        <f t="shared" ca="1" si="26"/>
        <v>28</v>
      </c>
      <c r="AH11" s="1014">
        <f t="shared" ca="1" si="26"/>
        <v>28</v>
      </c>
      <c r="AI11" s="1014">
        <f t="shared" ca="1" si="26"/>
        <v>20</v>
      </c>
      <c r="AJ11" s="1014">
        <f t="shared" ca="1" si="26"/>
        <v>25</v>
      </c>
      <c r="AK11" s="1014">
        <f t="shared" ca="1" si="26"/>
        <v>0</v>
      </c>
      <c r="AL11" s="1015">
        <f t="shared" ca="1" si="26"/>
        <v>28.655215699999985</v>
      </c>
      <c r="AM11" s="1014">
        <f t="shared" ca="1" si="26"/>
        <v>28</v>
      </c>
      <c r="AN11" s="1014">
        <f t="shared" ca="1" si="26"/>
        <v>28.000000499999999</v>
      </c>
      <c r="AO11" s="1031"/>
      <c r="AP11" s="1014">
        <f t="shared" ref="AP11:AY11" ca="1" si="27">IF(AP9&lt;&gt;0,VLOOKUP(AP$8,INDIRECT(LU_MAT),$B11,FALSE),0)</f>
        <v>32.398413199999993</v>
      </c>
      <c r="AQ11" s="1014">
        <f t="shared" ca="1" si="27"/>
        <v>32</v>
      </c>
      <c r="AR11" s="1014">
        <f t="shared" ca="1" si="27"/>
        <v>32</v>
      </c>
      <c r="AS11" s="1014">
        <f t="shared" ca="1" si="27"/>
        <v>33</v>
      </c>
      <c r="AT11" s="1014">
        <f t="shared" ca="1" si="27"/>
        <v>25</v>
      </c>
      <c r="AU11" s="1014">
        <f ca="1">IF(AU9&lt;&gt;0,VLOOKUP(AU$8,INDIRECT(LU_MAT),$B11,FALSE),0)</f>
        <v>25</v>
      </c>
      <c r="AV11" s="1015">
        <f t="shared" ca="1" si="27"/>
        <v>33.705198300000006</v>
      </c>
      <c r="AW11" s="1014">
        <f t="shared" ca="1" si="27"/>
        <v>34.233848000000023</v>
      </c>
      <c r="AX11" s="1014">
        <f t="shared" ca="1" si="27"/>
        <v>38</v>
      </c>
      <c r="AY11" s="1014">
        <f t="shared" ca="1" si="27"/>
        <v>113.73433899999998</v>
      </c>
      <c r="AZ11" s="1014">
        <f ca="1">IF(AZ9&lt;&gt;0,VLOOKUP(AZ$8,INDIRECT(LU_MAT),$B11,FALSE),0)</f>
        <v>85</v>
      </c>
      <c r="BA11" s="1014">
        <f ca="1">IF(BA9&lt;&gt;0,VLOOKUP(BA$8,INDIRECT(LU_MAT),$B11,FALSE),0)</f>
        <v>47.401204199999995</v>
      </c>
      <c r="BB11" s="1014">
        <f ca="1">IF(BB9&lt;&gt;0,VLOOKUP(BB$8,INDIRECT(LU_MAT),$B11,FALSE),0)</f>
        <v>55.274737099999982</v>
      </c>
      <c r="BC11" s="1014">
        <f ca="1">IF(BC9&lt;&gt;0,VLOOKUP(BC$8,INDIRECT(LU_MAT),$B11,FALSE),0)</f>
        <v>55.274737099999982</v>
      </c>
      <c r="BD11" s="1031"/>
      <c r="BE11" s="1014">
        <f t="shared" ref="BE11:BO11" ca="1" si="28">IF(BE9&lt;&gt;0,VLOOKUP(BE$8,INDIRECT(LU_MAT),$B11,FALSE),0)</f>
        <v>32.398413199999993</v>
      </c>
      <c r="BF11" s="1014">
        <f t="shared" ca="1" si="28"/>
        <v>32</v>
      </c>
      <c r="BG11" s="1014">
        <f t="shared" ca="1" si="28"/>
        <v>32</v>
      </c>
      <c r="BH11" s="1014">
        <f t="shared" ca="1" si="28"/>
        <v>33</v>
      </c>
      <c r="BI11" s="1014">
        <f t="shared" ca="1" si="28"/>
        <v>25</v>
      </c>
      <c r="BJ11" s="1015">
        <f t="shared" ca="1" si="28"/>
        <v>33.705198300000006</v>
      </c>
      <c r="BK11" s="1014">
        <f t="shared" ca="1" si="28"/>
        <v>34.233848000000023</v>
      </c>
      <c r="BL11" s="1014">
        <f t="shared" ca="1" si="28"/>
        <v>38</v>
      </c>
      <c r="BM11" s="1014">
        <f t="shared" ca="1" si="28"/>
        <v>47</v>
      </c>
      <c r="BN11" s="1014">
        <f ca="1">IF(BN9&lt;&gt;0,VLOOKUP(BN$8,INDIRECT(LU_MAT),$B11,FALSE),0)</f>
        <v>85</v>
      </c>
      <c r="BO11" s="1014">
        <f t="shared" ca="1" si="28"/>
        <v>113.73433899999998</v>
      </c>
      <c r="BP11" s="1031"/>
      <c r="BQ11" s="1014">
        <f t="shared" ref="BQ11:BW11" ca="1" si="29">IF(BQ9&lt;&gt;0,VLOOKUP(BQ$8,INDIRECT(LU_MAT),$B11,FALSE),0)</f>
        <v>25</v>
      </c>
      <c r="BR11" s="1014">
        <f t="shared" ca="1" si="29"/>
        <v>47</v>
      </c>
      <c r="BS11" s="1014">
        <f t="shared" ca="1" si="29"/>
        <v>25</v>
      </c>
      <c r="BT11" s="1014">
        <f t="shared" ca="1" si="29"/>
        <v>47.401204199999995</v>
      </c>
      <c r="BU11" s="1014">
        <f t="shared" ca="1" si="29"/>
        <v>55.274737099999982</v>
      </c>
      <c r="BV11" s="1014">
        <f t="shared" ca="1" si="29"/>
        <v>55.274737099999982</v>
      </c>
      <c r="BW11" s="1014">
        <f t="shared" ca="1" si="29"/>
        <v>40</v>
      </c>
      <c r="BX11" s="1031"/>
      <c r="BY11" s="1014">
        <f t="shared" ref="BY11:CF11" ca="1" si="30">IF(BY9&lt;&gt;0,VLOOKUP(BY$8,INDIRECT(LU_MAT),$B11,FALSE),0)</f>
        <v>55.274737099999982</v>
      </c>
      <c r="BZ11" s="1014">
        <f t="shared" ca="1" si="30"/>
        <v>55.274737099999982</v>
      </c>
      <c r="CA11" s="1014">
        <f t="shared" ca="1" si="30"/>
        <v>25</v>
      </c>
      <c r="CB11" s="1014">
        <f t="shared" ca="1" si="30"/>
        <v>29.487460199999987</v>
      </c>
      <c r="CC11" s="1014">
        <f t="shared" ca="1" si="30"/>
        <v>38.274052900000015</v>
      </c>
      <c r="CD11" s="1014">
        <f t="shared" ca="1" si="30"/>
        <v>32.54557269999998</v>
      </c>
      <c r="CE11" s="1014">
        <f t="shared" ca="1" si="30"/>
        <v>0</v>
      </c>
      <c r="CF11" s="1014">
        <f t="shared" ca="1" si="30"/>
        <v>145.31992700000001</v>
      </c>
      <c r="CG11" s="1031"/>
      <c r="CH11" s="1014">
        <f ca="1">IF(CH9&lt;&gt;0,VLOOKUP(CH$8,INDIRECT(LU_MAT),$B11,FALSE),0)</f>
        <v>191.77117799999996</v>
      </c>
      <c r="CI11" s="1014">
        <f ca="1">IF(CI9&lt;&gt;0,VLOOKUP(CI$8,INDIRECT(LU_MAT),$B11,FALSE),0)</f>
        <v>47.052243200000021</v>
      </c>
      <c r="CJ11" s="1014">
        <f ca="1">IF(CJ9&lt;&gt;0,VLOOKUP(CJ$8,INDIRECT(LU_MAT),$B11,FALSE),0)</f>
        <v>870.00000000000011</v>
      </c>
      <c r="CK11" s="1014">
        <f ca="1">IF(CK9&lt;&gt;0,VLOOKUP(CK$8,INDIRECT(LU_MAT),$B11,FALSE),0)</f>
        <v>0</v>
      </c>
      <c r="CL11" s="1014">
        <f ca="1">IF(CL9&lt;&gt;0,VLOOKUP(CL$8,INDIRECT(LU_MAT),$B11,FALSE),0)</f>
        <v>0</v>
      </c>
      <c r="CM11" s="1031"/>
      <c r="CN11" s="1014">
        <f t="shared" ref="CN11:CS11" ca="1" si="31">IF(CN9&lt;&gt;0,VLOOKUP(CN$8,INDIRECT(LU_MAT),$B11,FALSE),0)</f>
        <v>33</v>
      </c>
      <c r="CO11" s="1014">
        <f t="shared" ca="1" si="31"/>
        <v>0</v>
      </c>
      <c r="CP11" s="1014">
        <f t="shared" ca="1" si="31"/>
        <v>265.65910599999995</v>
      </c>
      <c r="CQ11" s="1014">
        <f t="shared" ca="1" si="31"/>
        <v>99.990642100000002</v>
      </c>
      <c r="CR11" s="1014">
        <f t="shared" ca="1" si="31"/>
        <v>100.271837</v>
      </c>
      <c r="CS11" s="1014">
        <f t="shared" ca="1" si="31"/>
        <v>265.65910599999995</v>
      </c>
      <c r="CT11" s="1031"/>
      <c r="CU11" s="1014">
        <f t="shared" ref="CU11:DH11" ca="1" si="32">IF(CU9&lt;&gt;0,VLOOKUP(CU$8,INDIRECT(LU_MAT),$B11,FALSE),0)</f>
        <v>99.688555599999972</v>
      </c>
      <c r="CV11" s="1014">
        <f t="shared" ca="1" si="32"/>
        <v>28.126799099999971</v>
      </c>
      <c r="CW11" s="1014">
        <f t="shared" ca="1" si="32"/>
        <v>100.27182199999999</v>
      </c>
      <c r="CX11" s="1014">
        <f t="shared" ca="1" si="32"/>
        <v>47.401204199999995</v>
      </c>
      <c r="CY11" s="1014">
        <f t="shared" ca="1" si="32"/>
        <v>33</v>
      </c>
      <c r="CZ11" s="1014">
        <f ca="1">IF(CZ9&lt;&gt;0,VLOOKUP(CZ$8,INDIRECT(LU_MAT),$B11,FALSE),0)</f>
        <v>0</v>
      </c>
      <c r="DA11" s="1014">
        <f ca="1">IF(DA9&lt;&gt;0,VLOOKUP(DA$8,INDIRECT(LU_MAT),$B11,FALSE),0)</f>
        <v>0</v>
      </c>
      <c r="DB11" s="1014">
        <f t="shared" ca="1" si="32"/>
        <v>20.251764499999979</v>
      </c>
      <c r="DC11" s="1014">
        <f t="shared" ca="1" si="32"/>
        <v>25</v>
      </c>
      <c r="DD11" s="1015">
        <f t="shared" ca="1" si="32"/>
        <v>38.274052900000015</v>
      </c>
      <c r="DE11" s="1014">
        <f t="shared" ca="1" si="32"/>
        <v>25</v>
      </c>
      <c r="DF11" s="1014">
        <f ca="1">IF(DF9&lt;&gt;0,VLOOKUP(DF$8,INDIRECT(LU_MAT),$B11,FALSE),0)</f>
        <v>27.087556000000006</v>
      </c>
      <c r="DG11" s="1014">
        <f t="shared" ca="1" si="32"/>
        <v>100</v>
      </c>
      <c r="DH11" s="1014">
        <f t="shared" ca="1" si="32"/>
        <v>29.487460199999987</v>
      </c>
      <c r="DI11" s="1031"/>
      <c r="DJ11" s="1014">
        <f t="shared" ref="DJ11:DP11" ca="1" si="33">IF(DJ9&lt;&gt;0,VLOOKUP(DJ$8,INDIRECT(LU_MAT),$B11,FALSE),0)</f>
        <v>25.138527099999976</v>
      </c>
      <c r="DK11" s="1014">
        <f t="shared" ca="1" si="33"/>
        <v>33.68682849999999</v>
      </c>
      <c r="DL11" s="1014">
        <f t="shared" ca="1" si="33"/>
        <v>25</v>
      </c>
      <c r="DM11" s="1014">
        <f t="shared" ca="1" si="33"/>
        <v>20.251764499999979</v>
      </c>
      <c r="DN11" s="1014">
        <f t="shared" ca="1" si="33"/>
        <v>0</v>
      </c>
      <c r="DO11" s="1015">
        <f t="shared" ca="1" si="33"/>
        <v>25</v>
      </c>
      <c r="DP11" s="1014">
        <f t="shared" ca="1" si="33"/>
        <v>0</v>
      </c>
      <c r="DQ11" s="1031"/>
      <c r="DR11" s="1014">
        <f ca="1">IF(DR9&lt;&gt;0,VLOOKUP(DR$8,INDIRECT(LU_MAT),$B11,FALSE),0)</f>
        <v>35</v>
      </c>
      <c r="DS11" s="1014">
        <f ca="1">IF(DS9&lt;&gt;0,VLOOKUP(DS$8,INDIRECT(LU_MAT),$B11,FALSE),0)</f>
        <v>35</v>
      </c>
      <c r="DT11" s="1014">
        <f ca="1">IF(DT9&lt;&gt;0,VLOOKUP(DT$8,INDIRECT(LU_MAT),$B11,FALSE),0)</f>
        <v>35</v>
      </c>
      <c r="DU11" s="1014">
        <f ca="1">IF(DU9&lt;&gt;0,VLOOKUP(DU$8,INDIRECT(LU_MAT),$B11,FALSE),0)</f>
        <v>0</v>
      </c>
      <c r="DV11" s="1030"/>
      <c r="DW11" s="1031"/>
      <c r="DX11" s="1014">
        <f ca="1">IF(DX9&lt;&gt;0,VLOOKUP(DX$8,INDIRECT(LU_MAT),$B11,FALSE),0)</f>
        <v>35</v>
      </c>
      <c r="DY11" s="1014">
        <f ca="1">IF(DY9&lt;&gt;0,VLOOKUP(DY$8,INDIRECT(LU_MAT),$B11,FALSE),0)</f>
        <v>35</v>
      </c>
      <c r="DZ11" s="1014">
        <f ca="1">IF(DZ9&lt;&gt;0,VLOOKUP(DZ$8,INDIRECT(LU_MAT),$B11,FALSE),0)</f>
        <v>35</v>
      </c>
      <c r="EA11" s="1014">
        <f ca="1">IF(EA9&lt;&gt;0,VLOOKUP(EA$8,INDIRECT(LU_MAT),$B11,FALSE),0)</f>
        <v>0</v>
      </c>
      <c r="EB11" s="1030"/>
      <c r="EC11" s="1031"/>
      <c r="ED11" s="1014">
        <f ca="1">IF(ED9&lt;&gt;0,VLOOKUP(ED$8,INDIRECT(LU_MAT),$B11,FALSE),0)</f>
        <v>35</v>
      </c>
      <c r="EE11" s="1014">
        <f ca="1">IF(EE9&lt;&gt;0,VLOOKUP(EE$8,INDIRECT(LU_MAT),$B11,FALSE),0)</f>
        <v>0</v>
      </c>
      <c r="EF11" s="1014">
        <f ca="1">IF(EF9&lt;&gt;0,VLOOKUP(EF$8,INDIRECT(LU_MAT),$B11,FALSE),0)</f>
        <v>0</v>
      </c>
      <c r="EG11" s="1014">
        <f ca="1">IF(EG9&lt;&gt;0,VLOOKUP(EG$8,INDIRECT(LU_MAT),$B11,FALSE),0)</f>
        <v>0</v>
      </c>
      <c r="EH11" s="1030"/>
      <c r="EI11" s="1031"/>
      <c r="EJ11" s="1014">
        <f ca="1">IF(EJ9&lt;&gt;0,VLOOKUP(EJ$8,INDIRECT(LU_MAT),$B11,FALSE),0)</f>
        <v>33</v>
      </c>
      <c r="EK11" s="1014">
        <f ca="1">IF(EK9&lt;&gt;0,VLOOKUP(EK$8,INDIRECT(LU_MAT),$B11,FALSE),0)</f>
        <v>25</v>
      </c>
      <c r="EL11" s="1014">
        <f ca="1">IF(EL9&lt;&gt;0,VLOOKUP(EL$8,INDIRECT(LU_MAT),$B11,FALSE),0)</f>
        <v>28.126799099999971</v>
      </c>
      <c r="EM11" s="1014">
        <f ca="1">IF(EM9&lt;&gt;0,VLOOKUP(EM$8,INDIRECT(LU_MAT),$B11,FALSE),0)</f>
        <v>37.177542200000005</v>
      </c>
      <c r="EN11" s="1030"/>
      <c r="EO11" s="1031"/>
      <c r="EP11" s="1014">
        <f ca="1">IF(EP9&lt;&gt;0,VLOOKUP(EP$8,INDIRECT(LU_MAT),$B11,FALSE),0)</f>
        <v>25.261518700000011</v>
      </c>
      <c r="EQ11" s="1014">
        <f ca="1">IF(EQ9&lt;&gt;0,VLOOKUP(EQ$8,INDIRECT(LU_MAT),$B11,FALSE),0)</f>
        <v>100</v>
      </c>
      <c r="ER11" s="1014">
        <f ca="1">IF(ER9&lt;&gt;0,VLOOKUP(ER$8,INDIRECT(LU_MAT),$B11,FALSE),0)</f>
        <v>35</v>
      </c>
      <c r="ES11" s="1014">
        <f ca="1">IF(ES9&lt;&gt;0,VLOOKUP(ES$8,INDIRECT(LU_MAT),$B11,FALSE),0)</f>
        <v>86.413019500000019</v>
      </c>
      <c r="ET11" s="1030"/>
      <c r="EU11" s="1031"/>
      <c r="EV11" s="1014">
        <f ca="1">IF(EV9&lt;&gt;0,VLOOKUP(EV$8,INDIRECT(LU_MAT),$B11,FALSE),0)</f>
        <v>25</v>
      </c>
      <c r="EW11" s="1014">
        <f ca="1">IF(EW9&lt;&gt;0,VLOOKUP(EW$8,INDIRECT(LU_MAT),$B11,FALSE),0)</f>
        <v>85</v>
      </c>
      <c r="EX11" s="1031"/>
      <c r="EY11" s="1014">
        <f ca="1">IF(EY9&lt;&gt;0,VLOOKUP(EY$8,INDIRECT(LU_MAT),$B11,FALSE),0)</f>
        <v>33</v>
      </c>
      <c r="EZ11" s="1014">
        <f ca="1">IF(EZ9&lt;&gt;0,VLOOKUP(EZ$8,INDIRECT(LU_MAT),$B11,FALSE),0)</f>
        <v>28.126799099999971</v>
      </c>
      <c r="FA11" s="1014">
        <f t="shared" ref="FA11:FA16" ca="1" si="34">EY11-EZ11</f>
        <v>4.8732009000000289</v>
      </c>
      <c r="FB11" s="1031"/>
      <c r="FC11" s="1014">
        <f t="shared" ref="FC11:GB11" ca="1" si="35">IF(FC9&lt;&gt;0,VLOOKUP(FC$8,INDIRECT(LU_MAT),$B11,FALSE),0)</f>
        <v>25</v>
      </c>
      <c r="FD11" s="1014">
        <f t="shared" ca="1" si="35"/>
        <v>21.714874099999975</v>
      </c>
      <c r="FE11" s="1014">
        <f t="shared" ca="1" si="35"/>
        <v>20</v>
      </c>
      <c r="FF11" s="1014">
        <f t="shared" ca="1" si="35"/>
        <v>20</v>
      </c>
      <c r="FG11" s="1014">
        <f t="shared" ca="1" si="35"/>
        <v>20</v>
      </c>
      <c r="FH11" s="1014">
        <f t="shared" ca="1" si="35"/>
        <v>20</v>
      </c>
      <c r="FI11" s="1014">
        <f t="shared" ca="1" si="35"/>
        <v>20</v>
      </c>
      <c r="FJ11" s="1014">
        <f t="shared" ca="1" si="35"/>
        <v>20</v>
      </c>
      <c r="FK11" s="1014">
        <f t="shared" ca="1" si="35"/>
        <v>28</v>
      </c>
      <c r="FL11" s="1014">
        <f t="shared" ca="1" si="35"/>
        <v>46.286077900000009</v>
      </c>
      <c r="FM11" s="1014">
        <f t="shared" ca="1" si="35"/>
        <v>0</v>
      </c>
      <c r="FN11" s="1014">
        <f ca="1">IF(FN9&lt;&gt;0,VLOOKUP(FN$8,INDIRECT(LU_MAT),$B11,FALSE),0)</f>
        <v>20</v>
      </c>
      <c r="FO11" s="1014">
        <f ca="1">IF(FO9&lt;&gt;0,VLOOKUP(FO$8,INDIRECT(LU_MAT),$B11,FALSE),0)</f>
        <v>28</v>
      </c>
      <c r="FP11" s="1014">
        <f t="shared" ca="1" si="35"/>
        <v>28</v>
      </c>
      <c r="FQ11" s="1014">
        <f t="shared" ca="1" si="35"/>
        <v>20</v>
      </c>
      <c r="FR11" s="1014">
        <f t="shared" ca="1" si="35"/>
        <v>20</v>
      </c>
      <c r="FS11" s="1014">
        <f t="shared" ca="1" si="35"/>
        <v>25</v>
      </c>
      <c r="FT11" s="1014">
        <f t="shared" ca="1" si="35"/>
        <v>25</v>
      </c>
      <c r="FU11" s="1014">
        <f t="shared" ca="1" si="35"/>
        <v>0</v>
      </c>
      <c r="FV11" s="1014">
        <f ca="1">IF(FV9&lt;&gt;0,VLOOKUP(FV$8,INDIRECT(LU_MAT),$B11,FALSE),0)</f>
        <v>0</v>
      </c>
      <c r="FW11" s="1014">
        <f t="shared" ca="1" si="35"/>
        <v>25</v>
      </c>
      <c r="FX11" s="1014">
        <f t="shared" ca="1" si="35"/>
        <v>20.251764499999979</v>
      </c>
      <c r="FY11" s="1014">
        <f t="shared" ca="1" si="35"/>
        <v>25</v>
      </c>
      <c r="FZ11" s="1014">
        <f t="shared" ca="1" si="35"/>
        <v>25</v>
      </c>
      <c r="GA11" s="1014">
        <f ca="1">IF(GA9&lt;&gt;0,VLOOKUP(GA$8,INDIRECT(LU_MAT),$B11,FALSE),0)</f>
        <v>0</v>
      </c>
      <c r="GB11" s="1014">
        <f t="shared" ca="1" si="35"/>
        <v>13</v>
      </c>
      <c r="GC11" s="938"/>
      <c r="GD11" s="1014">
        <f t="shared" ref="GD11:GN11" ca="1" si="36">IF(GD9&lt;&gt;0,VLOOKUP(GD$8,INDIRECT(LU_MAT),$B11,FALSE),0)</f>
        <v>28.000000499999999</v>
      </c>
      <c r="GE11" s="1014">
        <f t="shared" ca="1" si="36"/>
        <v>28</v>
      </c>
      <c r="GF11" s="1014">
        <f t="shared" ca="1" si="36"/>
        <v>38</v>
      </c>
      <c r="GG11" s="1014">
        <f t="shared" ca="1" si="36"/>
        <v>33.705198300000006</v>
      </c>
      <c r="GH11" s="1014">
        <f t="shared" ca="1" si="36"/>
        <v>0</v>
      </c>
      <c r="GI11" s="1014">
        <f ca="1">IF(GI9&lt;&gt;0,VLOOKUP(GI$8,INDIRECT(LU_MAT),$B11,FALSE),0)</f>
        <v>0</v>
      </c>
      <c r="GJ11" s="1014">
        <f t="shared" ca="1" si="36"/>
        <v>25</v>
      </c>
      <c r="GK11" s="1014">
        <f t="shared" ca="1" si="36"/>
        <v>100</v>
      </c>
      <c r="GL11" s="1014">
        <f t="shared" ca="1" si="36"/>
        <v>0</v>
      </c>
      <c r="GM11" s="1014">
        <f t="shared" ca="1" si="36"/>
        <v>145.31992700000001</v>
      </c>
      <c r="GN11" s="1014">
        <f t="shared" ca="1" si="36"/>
        <v>99.990642100000002</v>
      </c>
      <c r="GO11" s="1014">
        <f t="shared" ref="GO11:GO17" ca="1" si="37">FA11</f>
        <v>4.8732009000000289</v>
      </c>
      <c r="GR11" s="1181">
        <f ca="1">FC10</f>
        <v>3117.0850799366808</v>
      </c>
      <c r="GS11" s="1182" t="s">
        <v>3077</v>
      </c>
      <c r="GU11" s="946"/>
      <c r="GV11" s="946"/>
      <c r="GW11" s="946"/>
      <c r="GX11" s="1143">
        <v>422</v>
      </c>
      <c r="GY11" s="1181">
        <f ca="1">S17</f>
        <v>3.5819404375231967</v>
      </c>
    </row>
    <row r="12" spans="1:207" s="914" customFormat="1" ht="27.6" x14ac:dyDescent="0.3">
      <c r="A12" s="997"/>
      <c r="B12" s="1020">
        <v>3</v>
      </c>
      <c r="C12" s="1020"/>
      <c r="D12" s="1026" t="s">
        <v>1172</v>
      </c>
      <c r="E12" s="995" t="s">
        <v>982</v>
      </c>
      <c r="F12" s="1014">
        <f t="shared" ref="F12:P12" ca="1" si="38">IF(F9&lt;&gt;0,VLOOKUP(F$8,INDIRECT(LU_MAT),$B12,FALSE),0)</f>
        <v>-194.94873999999999</v>
      </c>
      <c r="G12" s="1014">
        <f t="shared" ca="1" si="38"/>
        <v>-135.66282799999999</v>
      </c>
      <c r="H12" s="1014">
        <f t="shared" ca="1" si="38"/>
        <v>-4.0847868399999996</v>
      </c>
      <c r="I12" s="1014">
        <f t="shared" ca="1" si="38"/>
        <v>-532.99097099999994</v>
      </c>
      <c r="J12" s="1014">
        <f t="shared" ca="1" si="38"/>
        <v>-75.991934200000003</v>
      </c>
      <c r="K12" s="1014">
        <f ca="1">IF(K9&lt;&gt;0,VLOOKUP(K$8,INDIRECT(LU_MAT),$B12,FALSE),0)</f>
        <v>-10.8038519</v>
      </c>
      <c r="L12" s="1014">
        <f t="shared" ca="1" si="38"/>
        <v>-0.97687990700000016</v>
      </c>
      <c r="M12" s="1014">
        <f t="shared" ca="1" si="38"/>
        <v>-568.74670400000002</v>
      </c>
      <c r="N12" s="1014">
        <f t="shared" ca="1" si="38"/>
        <v>-6.7120147500000001E-4</v>
      </c>
      <c r="O12" s="1015">
        <f t="shared" ca="1" si="38"/>
        <v>-123.83755600000002</v>
      </c>
      <c r="P12" s="1014">
        <f t="shared" ca="1" si="38"/>
        <v>-1405.6793600000001</v>
      </c>
      <c r="Q12" s="924"/>
      <c r="R12" s="1014">
        <f t="shared" ref="R12:AA12" ca="1" si="39">IF(R9&lt;&gt;0,VLOOKUP(R$8,INDIRECT(LU_MAT),$B12,FALSE),0)</f>
        <v>-1405.6793600000001</v>
      </c>
      <c r="S12" s="1014">
        <f t="shared" ca="1" si="39"/>
        <v>-50.048173900000002</v>
      </c>
      <c r="T12" s="1014">
        <f t="shared" ca="1" si="39"/>
        <v>-5.6333817000000001E-2</v>
      </c>
      <c r="U12" s="1014">
        <f t="shared" ca="1" si="39"/>
        <v>-0.536997167</v>
      </c>
      <c r="V12" s="1014">
        <f t="shared" ca="1" si="39"/>
        <v>-0.24971856200000001</v>
      </c>
      <c r="W12" s="1014">
        <f t="shared" ca="1" si="39"/>
        <v>-2.4164872499999999</v>
      </c>
      <c r="X12" s="1014">
        <f t="shared" ca="1" si="39"/>
        <v>-101.701004</v>
      </c>
      <c r="Y12" s="1015">
        <f t="shared" ca="1" si="39"/>
        <v>-1535.7954999999999</v>
      </c>
      <c r="Z12" s="1014">
        <f t="shared" ca="1" si="39"/>
        <v>-40.688181999999998</v>
      </c>
      <c r="AA12" s="1014">
        <f t="shared" ca="1" si="39"/>
        <v>-4.1772827799999996</v>
      </c>
      <c r="AB12" s="924"/>
      <c r="AC12" s="1014">
        <f t="shared" ref="AC12:AN12" ca="1" si="40">IF(AC9&lt;&gt;0,VLOOKUP(AC$8,INDIRECT(LU_MAT),$B12,FALSE),0)</f>
        <v>-2.4239195099999999E-2</v>
      </c>
      <c r="AD12" s="1014">
        <f t="shared" ca="1" si="40"/>
        <v>-43.165667599999999</v>
      </c>
      <c r="AE12" s="1014">
        <f t="shared" ca="1" si="40"/>
        <v>-5.6435249699999996</v>
      </c>
      <c r="AF12" s="1014">
        <f t="shared" ca="1" si="40"/>
        <v>-0.50958383500000004</v>
      </c>
      <c r="AG12" s="1014">
        <f t="shared" ca="1" si="40"/>
        <v>-7.01624364E-2</v>
      </c>
      <c r="AH12" s="1014">
        <f t="shared" ca="1" si="40"/>
        <v>-1.8159311300000001E-2</v>
      </c>
      <c r="AI12" s="1014">
        <f t="shared" ca="1" si="40"/>
        <v>-9.3003023099999995E-3</v>
      </c>
      <c r="AJ12" s="1014">
        <f t="shared" ca="1" si="40"/>
        <v>-2.0458972499999999</v>
      </c>
      <c r="AK12" s="1014">
        <f t="shared" ca="1" si="40"/>
        <v>0</v>
      </c>
      <c r="AL12" s="1015">
        <f t="shared" ca="1" si="40"/>
        <v>-50.048173900000002</v>
      </c>
      <c r="AM12" s="1014">
        <f t="shared" ca="1" si="40"/>
        <v>-0.320044473</v>
      </c>
      <c r="AN12" s="1014">
        <f t="shared" ca="1" si="40"/>
        <v>-7.2233814699999996</v>
      </c>
      <c r="AO12" s="924"/>
      <c r="AP12" s="1014">
        <f t="shared" ref="AP12:AY12" ca="1" si="41">IF(AP9&lt;&gt;0,VLOOKUP(AP$8,INDIRECT(LU_MAT),$B12,FALSE),0)</f>
        <v>-1535.7954999999999</v>
      </c>
      <c r="AQ12" s="1014">
        <f t="shared" ca="1" si="41"/>
        <v>-4.1772827799999996</v>
      </c>
      <c r="AR12" s="1014">
        <f t="shared" ca="1" si="41"/>
        <v>-40.688181999999998</v>
      </c>
      <c r="AS12" s="1014">
        <f t="shared" ca="1" si="41"/>
        <v>-101.423113</v>
      </c>
      <c r="AT12" s="1014">
        <f t="shared" ca="1" si="41"/>
        <v>-99.466693100000001</v>
      </c>
      <c r="AU12" s="1014">
        <f ca="1">IF(AU9&lt;&gt;0,VLOOKUP(AU$8,INDIRECT(LU_MAT),$B12,FALSE),0)</f>
        <v>-0.76064300100000004</v>
      </c>
      <c r="AV12" s="1015">
        <f t="shared" ca="1" si="41"/>
        <v>-45.846064900000002</v>
      </c>
      <c r="AW12" s="1014">
        <f t="shared" ca="1" si="41"/>
        <v>-101.701004</v>
      </c>
      <c r="AX12" s="1014">
        <f t="shared" ca="1" si="41"/>
        <v>-31.466227000000003</v>
      </c>
      <c r="AY12" s="1014">
        <f t="shared" ca="1" si="41"/>
        <v>-135.66282799999999</v>
      </c>
      <c r="AZ12" s="1014">
        <f ca="1">IF(AZ9&lt;&gt;0,VLOOKUP(AZ$8,INDIRECT(LU_MAT),$B12,FALSE),0)</f>
        <v>-76.087446099999994</v>
      </c>
      <c r="BA12" s="1014">
        <f ca="1">IF(BA9&lt;&gt;0,VLOOKUP(BA$8,INDIRECT(LU_MAT),$B12,FALSE),0)</f>
        <v>-1283.789</v>
      </c>
      <c r="BB12" s="1014">
        <f ca="1">IF(BB9&lt;&gt;0,VLOOKUP(BB$8,INDIRECT(LU_MAT),$B12,FALSE),0)</f>
        <v>-75.9268632</v>
      </c>
      <c r="BC12" s="1014">
        <f ca="1">IF(BC9&lt;&gt;0,VLOOKUP(BC$8,INDIRECT(LU_MAT),$B12,FALSE),0)</f>
        <v>-0.48020229800000003</v>
      </c>
      <c r="BD12" s="924"/>
      <c r="BE12" s="1014">
        <f t="shared" ref="BE12:BO12" ca="1" si="42">IF(BE9&lt;&gt;0,VLOOKUP(BE$8,INDIRECT(LU_MAT),$B12,FALSE),0)</f>
        <v>-1535.7954999999999</v>
      </c>
      <c r="BF12" s="1014">
        <f t="shared" ca="1" si="42"/>
        <v>-4.1772827799999996</v>
      </c>
      <c r="BG12" s="1014">
        <f t="shared" ca="1" si="42"/>
        <v>-40.688181999999998</v>
      </c>
      <c r="BH12" s="1014">
        <f t="shared" ca="1" si="42"/>
        <v>-101.423113</v>
      </c>
      <c r="BI12" s="1014">
        <f t="shared" ca="1" si="42"/>
        <v>-99.466693100000001</v>
      </c>
      <c r="BJ12" s="1015">
        <f t="shared" ca="1" si="42"/>
        <v>-45.846064900000002</v>
      </c>
      <c r="BK12" s="1014">
        <f t="shared" ca="1" si="42"/>
        <v>-101.701004</v>
      </c>
      <c r="BL12" s="1014">
        <f t="shared" ca="1" si="42"/>
        <v>-31.466227000000003</v>
      </c>
      <c r="BM12" s="1014">
        <f t="shared" ca="1" si="42"/>
        <v>-1359.75773</v>
      </c>
      <c r="BN12" s="1014">
        <f ca="1">IF(BN9&lt;&gt;0,VLOOKUP(BN$8,INDIRECT(LU_MAT),$B12,FALSE),0)</f>
        <v>-76.087446099999994</v>
      </c>
      <c r="BO12" s="1014">
        <f t="shared" ca="1" si="42"/>
        <v>-135.66282799999999</v>
      </c>
      <c r="BP12" s="924"/>
      <c r="BQ12" s="1014">
        <f t="shared" ref="BQ12:BW12" ca="1" si="43">IF(BQ9&lt;&gt;0,VLOOKUP(BQ$8,INDIRECT(LU_MAT),$B12,FALSE),0)</f>
        <v>-0.76064300100000004</v>
      </c>
      <c r="BR12" s="1014">
        <f t="shared" ca="1" si="43"/>
        <v>-1359.75773</v>
      </c>
      <c r="BS12" s="1014">
        <f t="shared" ca="1" si="43"/>
        <v>-5.2421486400000002E-18</v>
      </c>
      <c r="BT12" s="1014">
        <f t="shared" ca="1" si="43"/>
        <v>-1283.789</v>
      </c>
      <c r="BU12" s="1014">
        <f t="shared" ca="1" si="43"/>
        <v>-0.48020229800000003</v>
      </c>
      <c r="BV12" s="1014">
        <f t="shared" ca="1" si="43"/>
        <v>-75.9268632</v>
      </c>
      <c r="BW12" s="1014">
        <f t="shared" ca="1" si="43"/>
        <v>2.9333120099999999E-3</v>
      </c>
      <c r="BX12" s="924"/>
      <c r="BY12" s="1014">
        <f t="shared" ref="BY12:CF12" ca="1" si="44">IF(BY9&lt;&gt;0,VLOOKUP(BY$8,INDIRECT(LU_MAT),$B12,FALSE),0)</f>
        <v>-75.9268632</v>
      </c>
      <c r="BZ12" s="1014">
        <f t="shared" ca="1" si="44"/>
        <v>-0.48020229800000003</v>
      </c>
      <c r="CA12" s="1014">
        <f t="shared" ca="1" si="44"/>
        <v>-17.863621299999998</v>
      </c>
      <c r="CB12" s="1014">
        <f t="shared" ca="1" si="44"/>
        <v>-31.334807900000001</v>
      </c>
      <c r="CC12" s="1014">
        <f t="shared" ca="1" si="44"/>
        <v>-38.821829299999997</v>
      </c>
      <c r="CD12" s="1014">
        <f t="shared" ca="1" si="44"/>
        <v>-16.372231800000002</v>
      </c>
      <c r="CE12" s="1014">
        <f t="shared" ca="1" si="44"/>
        <v>-14.851019900000001</v>
      </c>
      <c r="CF12" s="1014">
        <f t="shared" ca="1" si="44"/>
        <v>-320.16415799999999</v>
      </c>
      <c r="CG12" s="924"/>
      <c r="CH12" s="1014">
        <f ca="1">IF(CH9&lt;&gt;0,VLOOKUP(CH$8,INDIRECT(LU_MAT),$B12,FALSE),0)</f>
        <v>-43.930918200000001</v>
      </c>
      <c r="CI12" s="1014">
        <f ca="1">IF(CI9&lt;&gt;0,VLOOKUP(CI$8,INDIRECT(LU_MAT),$B12,FALSE),0)</f>
        <v>-107.26167100000001</v>
      </c>
      <c r="CJ12" s="1014">
        <f ca="1">IF(CJ9&lt;&gt;0,VLOOKUP(CJ$8,INDIRECT(LU_MAT),$B12,FALSE),0)</f>
        <v>-239.97833699999998</v>
      </c>
      <c r="CK12" s="1014">
        <f ca="1">IF(CK9&lt;&gt;0,VLOOKUP(CK$8,INDIRECT(LU_MAT),$B12,FALSE),0)</f>
        <v>0</v>
      </c>
      <c r="CL12" s="1014">
        <f ca="1">IF(CL9&lt;&gt;0,VLOOKUP(CL$8,INDIRECT(LU_MAT),$B12,FALSE),0)</f>
        <v>0</v>
      </c>
      <c r="CM12" s="924"/>
      <c r="CN12" s="1014">
        <f t="shared" ref="CN12:CS12" ca="1" si="45">IF(CN9&lt;&gt;0,VLOOKUP(CN$8,INDIRECT(LU_MAT),$B12,FALSE),0)</f>
        <v>-133.50773799999999</v>
      </c>
      <c r="CO12" s="1014">
        <f t="shared" ca="1" si="45"/>
        <v>0</v>
      </c>
      <c r="CP12" s="1014">
        <f t="shared" ca="1" si="45"/>
        <v>-76.271411599999993</v>
      </c>
      <c r="CQ12" s="1014">
        <f t="shared" ca="1" si="45"/>
        <v>-8.1949362200000007</v>
      </c>
      <c r="CR12" s="1014">
        <f t="shared" ca="1" si="45"/>
        <v>-17.3882002</v>
      </c>
      <c r="CS12" s="1014">
        <f t="shared" ca="1" si="45"/>
        <v>-10.8435855</v>
      </c>
      <c r="CT12" s="924"/>
      <c r="CU12" s="1014">
        <f t="shared" ref="CU12:DH12" ca="1" si="46">IF(CU9&lt;&gt;0,VLOOKUP(CU$8,INDIRECT(LU_MAT),$B12,FALSE),0)</f>
        <v>-123.83755600000002</v>
      </c>
      <c r="CV12" s="1014">
        <f t="shared" ca="1" si="46"/>
        <v>-66.900939800000003</v>
      </c>
      <c r="CW12" s="1014">
        <f t="shared" ca="1" si="46"/>
        <v>-17.389780999999999</v>
      </c>
      <c r="CX12" s="1014">
        <f t="shared" ca="1" si="46"/>
        <v>-1283.789</v>
      </c>
      <c r="CY12" s="1014">
        <f t="shared" ca="1" si="46"/>
        <v>-0.54811344799999995</v>
      </c>
      <c r="CZ12" s="1014">
        <f ca="1">IF(CZ9&lt;&gt;0,VLOOKUP(CZ$8,INDIRECT(LU_MAT),$B12,FALSE),0)</f>
        <v>0</v>
      </c>
      <c r="DA12" s="1014">
        <f ca="1">IF(DA9&lt;&gt;0,VLOOKUP(DA$8,INDIRECT(LU_MAT),$B12,FALSE),0)</f>
        <v>0</v>
      </c>
      <c r="DB12" s="1014">
        <f t="shared" ca="1" si="46"/>
        <v>-12.311196300000001</v>
      </c>
      <c r="DC12" s="1014">
        <f t="shared" ca="1" si="46"/>
        <v>-14.013872299999999</v>
      </c>
      <c r="DD12" s="1015">
        <f t="shared" ca="1" si="46"/>
        <v>-38.821829299999997</v>
      </c>
      <c r="DE12" s="1014">
        <f t="shared" ca="1" si="46"/>
        <v>-22.201983899999998</v>
      </c>
      <c r="DF12" s="1014">
        <f ca="1">IF(DF9&lt;&gt;0,VLOOKUP(DF$8,INDIRECT(LU_MAT),$B12,FALSE),0)</f>
        <v>-1425.7897700000001</v>
      </c>
      <c r="DG12" s="1014">
        <f t="shared" ca="1" si="46"/>
        <v>-25.3073838</v>
      </c>
      <c r="DH12" s="1014">
        <f t="shared" ca="1" si="46"/>
        <v>-31.334807900000001</v>
      </c>
      <c r="DI12" s="924"/>
      <c r="DJ12" s="1014">
        <f t="shared" ref="DJ12:DP12" ca="1" si="47">IF(DJ9&lt;&gt;0,VLOOKUP(DJ$8,INDIRECT(LU_MAT),$B12,FALSE),0)</f>
        <v>-8103.3218400000005</v>
      </c>
      <c r="DK12" s="1014">
        <f t="shared" ca="1" si="47"/>
        <v>-1764.2092</v>
      </c>
      <c r="DL12" s="1014">
        <f t="shared" ca="1" si="47"/>
        <v>-14.013872299999999</v>
      </c>
      <c r="DM12" s="1014">
        <f t="shared" ca="1" si="47"/>
        <v>-12.311196300000001</v>
      </c>
      <c r="DN12" s="1014">
        <f t="shared" ca="1" si="47"/>
        <v>0</v>
      </c>
      <c r="DO12" s="1015">
        <f t="shared" ca="1" si="47"/>
        <v>-9915.7963400000008</v>
      </c>
      <c r="DP12" s="1014">
        <f t="shared" ca="1" si="47"/>
        <v>0</v>
      </c>
      <c r="DQ12" s="924"/>
      <c r="DR12" s="1014">
        <f ca="1">IF(DR9&lt;&gt;0,VLOOKUP(DR$8,INDIRECT(LU_MAT),$B12,FALSE),0)</f>
        <v>-32.043305199999999</v>
      </c>
      <c r="DS12" s="1014">
        <f ca="1">IF(DS9&lt;&gt;0,VLOOKUP(DS$8,INDIRECT(LU_MAT),$B12,FALSE),0)</f>
        <v>-76.557279399999999</v>
      </c>
      <c r="DT12" s="1014">
        <f ca="1">IF(DT9&lt;&gt;0,VLOOKUP(DT$8,INDIRECT(LU_MAT),$B12,FALSE),0)</f>
        <v>-107.360038</v>
      </c>
      <c r="DU12" s="1014">
        <f ca="1">IF(DU9&lt;&gt;0,VLOOKUP(DU$8,INDIRECT(LU_MAT),$B12,FALSE),0)</f>
        <v>0</v>
      </c>
      <c r="DV12" s="1029"/>
      <c r="DW12" s="924"/>
      <c r="DX12" s="1014">
        <f ca="1">IF(DX9&lt;&gt;0,VLOOKUP(DX$8,INDIRECT(LU_MAT),$B12,FALSE),0)</f>
        <v>-32.043305199999999</v>
      </c>
      <c r="DY12" s="1014">
        <f ca="1">IF(DY9&lt;&gt;0,VLOOKUP(DY$8,INDIRECT(LU_MAT),$B12,FALSE),0)</f>
        <v>-76.557279399999999</v>
      </c>
      <c r="DZ12" s="1014">
        <f ca="1">IF(DZ9&lt;&gt;0,VLOOKUP(DZ$8,INDIRECT(LU_MAT),$B12,FALSE),0)</f>
        <v>-107.360038</v>
      </c>
      <c r="EA12" s="1014">
        <f ca="1">IF(EA9&lt;&gt;0,VLOOKUP(EA$8,INDIRECT(LU_MAT),$B12,FALSE),0)</f>
        <v>0</v>
      </c>
      <c r="EB12" s="1029"/>
      <c r="EC12" s="924"/>
      <c r="ED12" s="1014">
        <f ca="1">IF(ED9&lt;&gt;0,VLOOKUP(ED$8,INDIRECT(LU_MAT),$B12,FALSE),0)</f>
        <v>-1.73270955</v>
      </c>
      <c r="EE12" s="1014">
        <f ca="1">IF(EE9&lt;&gt;0,VLOOKUP(EE$8,INDIRECT(LU_MAT),$B12,FALSE),0)</f>
        <v>-1.06756261</v>
      </c>
      <c r="EF12" s="1014">
        <f ca="1">IF(EF9&lt;&gt;0,VLOOKUP(EF$8,INDIRECT(LU_MAT),$B12,FALSE),0)</f>
        <v>0</v>
      </c>
      <c r="EG12" s="1014">
        <f ca="1">IF(EG9&lt;&gt;0,VLOOKUP(EG$8,INDIRECT(LU_MAT),$B12,FALSE),0)</f>
        <v>0</v>
      </c>
      <c r="EH12" s="1029"/>
      <c r="EI12" s="924"/>
      <c r="EJ12" s="1014">
        <f ca="1">IF(EJ9&lt;&gt;0,VLOOKUP(EJ$8,INDIRECT(LU_MAT),$B12,FALSE),0)</f>
        <v>-586.06135900000004</v>
      </c>
      <c r="EK12" s="1014">
        <f ca="1">IF(EK9&lt;&gt;0,VLOOKUP(EK$8,INDIRECT(LU_MAT),$B12,FALSE),0)</f>
        <v>-411.18772100000001</v>
      </c>
      <c r="EL12" s="1014">
        <f ca="1">IF(EL9&lt;&gt;0,VLOOKUP(EL$8,INDIRECT(LU_MAT),$B12,FALSE),0)</f>
        <v>-66.895747900000003</v>
      </c>
      <c r="EM12" s="1014">
        <f ca="1">IF(EM9&lt;&gt;0,VLOOKUP(EM$8,INDIRECT(LU_MAT),$B12,FALSE),0)</f>
        <v>-834.16211099999998</v>
      </c>
      <c r="EN12" s="1029"/>
      <c r="EO12" s="924"/>
      <c r="EP12" s="1014">
        <f ca="1">IF(EP9&lt;&gt;0,VLOOKUP(EP$8,INDIRECT(LU_MAT),$B12,FALSE),0)</f>
        <v>-296.08048200000002</v>
      </c>
      <c r="EQ12" s="1014">
        <f ca="1">IF(EQ9&lt;&gt;0,VLOOKUP(EQ$8,INDIRECT(LU_MAT),$B12,FALSE),0)</f>
        <v>-25.3073838</v>
      </c>
      <c r="ER12" s="1014">
        <f ca="1">IF(ER9&lt;&gt;0,VLOOKUP(ER$8,INDIRECT(LU_MAT),$B12,FALSE),0)</f>
        <v>-269.58885400000003</v>
      </c>
      <c r="ES12" s="1014">
        <f ca="1">IF(ES9&lt;&gt;0,VLOOKUP(ES$8,INDIRECT(LU_MAT),$B12,FALSE),0)</f>
        <v>-3.6829531899999997E-2</v>
      </c>
      <c r="ET12" s="1029"/>
      <c r="EU12" s="924"/>
      <c r="EV12" s="1014">
        <f ca="1">IF(EV9&lt;&gt;0,VLOOKUP(EV$8,INDIRECT(LU_MAT),$B12,FALSE),0)</f>
        <v>-99.466693100000001</v>
      </c>
      <c r="EW12" s="1014">
        <f ca="1">IF(EW9&lt;&gt;0,VLOOKUP(EW$8,INDIRECT(LU_MAT),$B12,FALSE),0)</f>
        <v>-76.087446099999994</v>
      </c>
      <c r="EX12" s="924"/>
      <c r="EY12" s="1014">
        <f ca="1">IF(EY9&lt;&gt;0,VLOOKUP(EY$8,INDIRECT(LU_MAT),$B12,FALSE),0)</f>
        <v>-586.06135900000004</v>
      </c>
      <c r="EZ12" s="1014">
        <f ca="1">IF(EZ9&lt;&gt;0,VLOOKUP(EZ$8,INDIRECT(LU_MAT),$B12,FALSE),0)</f>
        <v>-66.895747900000003</v>
      </c>
      <c r="FA12" s="1014">
        <f ca="1">EY12-EZ12+EY20</f>
        <v>-420.83573269999999</v>
      </c>
      <c r="FB12" s="924"/>
      <c r="FC12" s="1014">
        <f t="shared" ref="FC12:GB12" ca="1" si="48">IF(FC9&lt;&gt;0,VLOOKUP(FC$8,INDIRECT(LU_MAT),$B12,FALSE),0)</f>
        <v>-194.94873999999999</v>
      </c>
      <c r="FD12" s="1014">
        <f t="shared" ca="1" si="48"/>
        <v>-4.0847868399999996</v>
      </c>
      <c r="FE12" s="1014">
        <f t="shared" ca="1" si="48"/>
        <v>-0.97687990700000016</v>
      </c>
      <c r="FF12" s="1014">
        <f t="shared" ca="1" si="48"/>
        <v>-6.7120147500000001E-4</v>
      </c>
      <c r="FG12" s="1014">
        <f t="shared" ca="1" si="48"/>
        <v>-5.6333817000000001E-2</v>
      </c>
      <c r="FH12" s="1014">
        <f t="shared" ca="1" si="48"/>
        <v>-0.24971856200000001</v>
      </c>
      <c r="FI12" s="1014">
        <f t="shared" ca="1" si="48"/>
        <v>-0.536997167</v>
      </c>
      <c r="FJ12" s="1014">
        <f t="shared" ca="1" si="48"/>
        <v>-2.4164872499999999</v>
      </c>
      <c r="FK12" s="1014">
        <f t="shared" ca="1" si="48"/>
        <v>-5.6435249699999996</v>
      </c>
      <c r="FL12" s="1014">
        <f t="shared" ca="1" si="48"/>
        <v>-2.4239195099999999E-2</v>
      </c>
      <c r="FM12" s="1014">
        <f t="shared" ca="1" si="48"/>
        <v>0</v>
      </c>
      <c r="FN12" s="1014">
        <f ca="1">IF(FN9&lt;&gt;0,VLOOKUP(FN$8,INDIRECT(LU_MAT),$B12,FALSE),0)</f>
        <v>-0.112479896</v>
      </c>
      <c r="FO12" s="1014">
        <f ca="1">IF(FO9&lt;&gt;0,VLOOKUP(FO$8,INDIRECT(LU_MAT),$B12,FALSE),0)</f>
        <v>-7.01624364E-2</v>
      </c>
      <c r="FP12" s="1014">
        <f t="shared" ca="1" si="48"/>
        <v>-1.8159311300000001E-2</v>
      </c>
      <c r="FQ12" s="1014">
        <f t="shared" ca="1" si="48"/>
        <v>-0.39903873200000001</v>
      </c>
      <c r="FR12" s="1014">
        <f t="shared" ca="1" si="48"/>
        <v>-9.3003023099999995E-3</v>
      </c>
      <c r="FS12" s="1014">
        <f t="shared" ca="1" si="48"/>
        <v>-2.0458972499999999</v>
      </c>
      <c r="FT12" s="1014">
        <f t="shared" ca="1" si="48"/>
        <v>-0.76064300100000004</v>
      </c>
      <c r="FU12" s="1014">
        <f t="shared" ca="1" si="48"/>
        <v>0</v>
      </c>
      <c r="FV12" s="1014">
        <f ca="1">IF(FV9&lt;&gt;0,VLOOKUP(FV$8,INDIRECT(LU_MAT),$B12,FALSE),0)</f>
        <v>0</v>
      </c>
      <c r="FW12" s="1014">
        <f t="shared" ca="1" si="48"/>
        <v>-14.013872299999999</v>
      </c>
      <c r="FX12" s="1014">
        <f t="shared" ca="1" si="48"/>
        <v>-12.311196300000001</v>
      </c>
      <c r="FY12" s="1014">
        <f t="shared" ca="1" si="48"/>
        <v>-17.863621299999998</v>
      </c>
      <c r="FZ12" s="1014">
        <f t="shared" ca="1" si="48"/>
        <v>-2.8432400900000001</v>
      </c>
      <c r="GA12" s="1014">
        <f ca="1">IF(GA9&lt;&gt;0,VLOOKUP(GA$8,INDIRECT(LU_MAT),$B12,FALSE),0)</f>
        <v>0</v>
      </c>
      <c r="GB12" s="1014">
        <f t="shared" ca="1" si="48"/>
        <v>-558.87039600000003</v>
      </c>
      <c r="GC12" s="1190"/>
      <c r="GD12" s="1014">
        <f t="shared" ref="GD12:GN12" ca="1" si="49">IF(GD9&lt;&gt;0,VLOOKUP(GD$8,INDIRECT(LU_MAT),$B12,FALSE),0)</f>
        <v>-7.2233814699999996</v>
      </c>
      <c r="GE12" s="1014">
        <f t="shared" ca="1" si="49"/>
        <v>-0.320044473</v>
      </c>
      <c r="GF12" s="1014">
        <f t="shared" ca="1" si="49"/>
        <v>-31.466227000000003</v>
      </c>
      <c r="GG12" s="1014">
        <f t="shared" ca="1" si="49"/>
        <v>-45.846064900000002</v>
      </c>
      <c r="GH12" s="1014">
        <f t="shared" ca="1" si="49"/>
        <v>0</v>
      </c>
      <c r="GI12" s="1014">
        <f ca="1">IF(GI9&lt;&gt;0,VLOOKUP(GI$8,INDIRECT(LU_MAT),$B12,FALSE),0)</f>
        <v>0</v>
      </c>
      <c r="GJ12" s="1014">
        <f t="shared" ca="1" si="49"/>
        <v>-22.201983899999998</v>
      </c>
      <c r="GK12" s="1014">
        <f t="shared" ca="1" si="49"/>
        <v>-25.3073838</v>
      </c>
      <c r="GL12" s="1014">
        <f t="shared" ca="1" si="49"/>
        <v>-14.851019900000001</v>
      </c>
      <c r="GM12" s="1014">
        <f t="shared" ca="1" si="49"/>
        <v>-320.16415799999999</v>
      </c>
      <c r="GN12" s="1014">
        <f t="shared" ca="1" si="49"/>
        <v>-8.1949362200000007</v>
      </c>
      <c r="GO12" s="1014">
        <f t="shared" ca="1" si="37"/>
        <v>-420.83573269999999</v>
      </c>
      <c r="GP12" s="1025"/>
      <c r="GR12" s="1181">
        <f ca="1">FC17</f>
        <v>-315.57189332922115</v>
      </c>
      <c r="GS12" s="1182" t="s">
        <v>3079</v>
      </c>
      <c r="GT12" s="1143" t="s">
        <v>3092</v>
      </c>
      <c r="GU12" s="1183">
        <f ca="1">GD9+GE9</f>
        <v>33387.287969999998</v>
      </c>
      <c r="GV12" s="1182" t="s">
        <v>287</v>
      </c>
      <c r="GW12" s="946"/>
      <c r="GX12" s="1143">
        <v>301</v>
      </c>
      <c r="GY12" s="1181">
        <f ca="1">R17</f>
        <v>-146.9890514290297</v>
      </c>
    </row>
    <row r="13" spans="1:207" s="914" customFormat="1" x14ac:dyDescent="0.3">
      <c r="A13" s="997"/>
      <c r="B13" s="1020"/>
      <c r="C13" s="1020"/>
      <c r="D13" s="1026" t="s">
        <v>2375</v>
      </c>
      <c r="E13" s="995" t="s">
        <v>982</v>
      </c>
      <c r="F13" s="989">
        <f t="shared" ref="F13:P13" ca="1" si="50">IF(F9&lt;&gt;0,F87,0)</f>
        <v>-327.68648824212119</v>
      </c>
      <c r="G13" s="989">
        <f t="shared" ca="1" si="50"/>
        <v>-1.0867363154662</v>
      </c>
      <c r="H13" s="989">
        <f t="shared" ca="1" si="50"/>
        <v>1.1423163773854637</v>
      </c>
      <c r="I13" s="989">
        <f t="shared" ca="1" si="50"/>
        <v>0</v>
      </c>
      <c r="J13" s="989">
        <f t="shared" ca="1" si="50"/>
        <v>0</v>
      </c>
      <c r="K13" s="989">
        <f t="shared" ca="1" si="50"/>
        <v>0</v>
      </c>
      <c r="L13" s="989">
        <f t="shared" ca="1" si="50"/>
        <v>-4.6690964615321535</v>
      </c>
      <c r="M13" s="989">
        <f t="shared" ca="1" si="50"/>
        <v>0</v>
      </c>
      <c r="N13" s="989">
        <f t="shared" ca="1" si="50"/>
        <v>1.8766293158930871E-4</v>
      </c>
      <c r="O13" s="994">
        <f t="shared" ca="1" si="50"/>
        <v>-2.1094130260831352</v>
      </c>
      <c r="P13" s="989">
        <f t="shared" ca="1" si="50"/>
        <v>-326.69028289045553</v>
      </c>
      <c r="Q13" s="958"/>
      <c r="R13" s="989">
        <f t="shared" ref="R13:AA13" ca="1" si="51">IF(R9&lt;&gt;0,R87,0)</f>
        <v>-326.69028289045553</v>
      </c>
      <c r="S13" s="989">
        <f t="shared" ca="1" si="51"/>
        <v>-3.9639201148464132</v>
      </c>
      <c r="T13" s="989">
        <f t="shared" ca="1" si="51"/>
        <v>0</v>
      </c>
      <c r="U13" s="989">
        <f t="shared" ca="1" si="51"/>
        <v>-0.45113132136240541</v>
      </c>
      <c r="V13" s="989">
        <f t="shared" ca="1" si="51"/>
        <v>0</v>
      </c>
      <c r="W13" s="989">
        <f t="shared" ca="1" si="51"/>
        <v>-2.0300909459363021</v>
      </c>
      <c r="X13" s="989">
        <f t="shared" ca="1" si="51"/>
        <v>-2.7277596245439701</v>
      </c>
      <c r="Y13" s="994">
        <f t="shared" ca="1" si="51"/>
        <v>-327.81525176000605</v>
      </c>
      <c r="Z13" s="989">
        <f t="shared" ca="1" si="51"/>
        <v>-2.1289196700383162</v>
      </c>
      <c r="AA13" s="989">
        <f t="shared" ca="1" si="51"/>
        <v>-0.2060592290380821</v>
      </c>
      <c r="AB13" s="958"/>
      <c r="AC13" s="989">
        <f t="shared" ref="AC13:AN13" ca="1" si="52">IF(AC9&lt;&gt;0,AC87,0)</f>
        <v>-4.2238718341364459E-2</v>
      </c>
      <c r="AD13" s="989">
        <f t="shared" ca="1" si="52"/>
        <v>0</v>
      </c>
      <c r="AE13" s="989">
        <f t="shared" ca="1" si="52"/>
        <v>-8.1875713181791152</v>
      </c>
      <c r="AF13" s="989">
        <f t="shared" ca="1" si="52"/>
        <v>-0.56329301158872436</v>
      </c>
      <c r="AG13" s="989">
        <f t="shared" ca="1" si="52"/>
        <v>-0.48544410893526435</v>
      </c>
      <c r="AH13" s="989">
        <f t="shared" ca="1" si="52"/>
        <v>0</v>
      </c>
      <c r="AI13" s="989">
        <f t="shared" ca="1" si="52"/>
        <v>-0.11716175936502911</v>
      </c>
      <c r="AJ13" s="989">
        <f t="shared" ca="1" si="52"/>
        <v>0</v>
      </c>
      <c r="AK13" s="989">
        <f t="shared" ca="1" si="52"/>
        <v>0</v>
      </c>
      <c r="AL13" s="994">
        <f t="shared" ca="1" si="52"/>
        <v>-3.9639201148464132</v>
      </c>
      <c r="AM13" s="989">
        <f t="shared" ca="1" si="52"/>
        <v>-1.2430307706378736E-3</v>
      </c>
      <c r="AN13" s="989">
        <f t="shared" ca="1" si="52"/>
        <v>-9.135114080338864E-4</v>
      </c>
      <c r="AO13" s="958"/>
      <c r="AP13" s="989">
        <f t="shared" ref="AP13:BA13" ca="1" si="53">IF(AP9&lt;&gt;0,AP87,0)</f>
        <v>-327.81525176000605</v>
      </c>
      <c r="AQ13" s="989">
        <f t="shared" ca="1" si="53"/>
        <v>-0.2060592290380821</v>
      </c>
      <c r="AR13" s="989">
        <f t="shared" ca="1" si="53"/>
        <v>-2.1289196700383162</v>
      </c>
      <c r="AS13" s="989">
        <f t="shared" ca="1" si="53"/>
        <v>0</v>
      </c>
      <c r="AT13" s="989">
        <f t="shared" ca="1" si="53"/>
        <v>0</v>
      </c>
      <c r="AU13" s="989">
        <f ca="1">IF(AU9&lt;&gt;0,AU87,0)</f>
        <v>0</v>
      </c>
      <c r="AV13" s="994">
        <f t="shared" ca="1" si="53"/>
        <v>-2.7666690755355265E-2</v>
      </c>
      <c r="AW13" s="989">
        <f t="shared" ca="1" si="53"/>
        <v>-2.7277596245439701</v>
      </c>
      <c r="AX13" s="989">
        <f t="shared" ca="1" si="53"/>
        <v>-138.76347026471245</v>
      </c>
      <c r="AY13" s="989">
        <f t="shared" ca="1" si="53"/>
        <v>-1.0867363154662</v>
      </c>
      <c r="AZ13" s="989">
        <f t="shared" ca="1" si="53"/>
        <v>0</v>
      </c>
      <c r="BA13" s="989">
        <f t="shared" ca="1" si="53"/>
        <v>-83.374995857139325</v>
      </c>
      <c r="BB13" s="989">
        <f ca="1">IF(BB9&lt;&gt;0,BB87,0)</f>
        <v>-104.15843021723731</v>
      </c>
      <c r="BC13" s="989">
        <f ca="1">IF(BC9&lt;&gt;0,BC87,0)</f>
        <v>-1.1166616642324264E-2</v>
      </c>
      <c r="BD13" s="958"/>
      <c r="BE13" s="989">
        <f t="shared" ref="BE13:BO13" ca="1" si="54">IF(BE9&lt;&gt;0,BE87,0)</f>
        <v>-327.81525176000605</v>
      </c>
      <c r="BF13" s="989">
        <f t="shared" ca="1" si="54"/>
        <v>-0.2060592290380821</v>
      </c>
      <c r="BG13" s="989">
        <f t="shared" ca="1" si="54"/>
        <v>-2.1289196700383162</v>
      </c>
      <c r="BH13" s="989">
        <f t="shared" ca="1" si="54"/>
        <v>0</v>
      </c>
      <c r="BI13" s="989">
        <f t="shared" ca="1" si="54"/>
        <v>0</v>
      </c>
      <c r="BJ13" s="994">
        <f t="shared" ca="1" si="54"/>
        <v>-2.7666690755355265E-2</v>
      </c>
      <c r="BK13" s="989">
        <f t="shared" ca="1" si="54"/>
        <v>-2.7277596245439701</v>
      </c>
      <c r="BL13" s="989">
        <f t="shared" ca="1" si="54"/>
        <v>-138.76347026471245</v>
      </c>
      <c r="BM13" s="989">
        <f t="shared" ca="1" si="54"/>
        <v>-187.54459255141958</v>
      </c>
      <c r="BN13" s="989">
        <f t="shared" ca="1" si="54"/>
        <v>0</v>
      </c>
      <c r="BO13" s="989">
        <f t="shared" ca="1" si="54"/>
        <v>-1.0867363154662</v>
      </c>
      <c r="BP13" s="958"/>
      <c r="BQ13" s="989">
        <f t="shared" ref="BQ13:BW13" ca="1" si="55">IF(BQ9&lt;&gt;0,BQ87,0)</f>
        <v>0</v>
      </c>
      <c r="BR13" s="989">
        <f t="shared" ca="1" si="55"/>
        <v>-187.54459255141958</v>
      </c>
      <c r="BS13" s="989">
        <f t="shared" ca="1" si="55"/>
        <v>0</v>
      </c>
      <c r="BT13" s="989">
        <f t="shared" ca="1" si="55"/>
        <v>-83.374995857139325</v>
      </c>
      <c r="BU13" s="989">
        <f t="shared" ca="1" si="55"/>
        <v>-1.1166616642324264E-2</v>
      </c>
      <c r="BV13" s="989">
        <f t="shared" ca="1" si="55"/>
        <v>-104.15843021723731</v>
      </c>
      <c r="BW13" s="989">
        <f t="shared" ca="1" si="55"/>
        <v>0</v>
      </c>
      <c r="BX13" s="958"/>
      <c r="BY13" s="989">
        <f t="shared" ref="BY13:CF13" ca="1" si="56">IF(BY9&lt;&gt;0,BY87,0)</f>
        <v>-104.15843021723731</v>
      </c>
      <c r="BZ13" s="989">
        <f t="shared" ca="1" si="56"/>
        <v>-1.1166616642324264E-2</v>
      </c>
      <c r="CA13" s="989">
        <f t="shared" ca="1" si="56"/>
        <v>0</v>
      </c>
      <c r="CB13" s="989">
        <f t="shared" ca="1" si="56"/>
        <v>-9.6198154255638784</v>
      </c>
      <c r="CC13" s="989">
        <f t="shared" ca="1" si="56"/>
        <v>-65.434145056844429</v>
      </c>
      <c r="CD13" s="989">
        <f t="shared" ca="1" si="56"/>
        <v>0.31481130385388462</v>
      </c>
      <c r="CE13" s="989">
        <f t="shared" ca="1" si="56"/>
        <v>0.2625956695248961</v>
      </c>
      <c r="CF13" s="989">
        <f t="shared" ca="1" si="56"/>
        <v>-0.18581557090427614</v>
      </c>
      <c r="CG13" s="958"/>
      <c r="CH13" s="989">
        <f ca="1">IF(CH9&lt;&gt;0,CH87,0)</f>
        <v>-65.445311673454668</v>
      </c>
      <c r="CI13" s="989">
        <f ca="1">IF(CI9&lt;&gt;0,CI87,0)</f>
        <v>-113.7782454550992</v>
      </c>
      <c r="CJ13" s="989">
        <f ca="1">IF(CJ9&lt;&gt;0,CJ87,0)</f>
        <v>-1.1445579029987245</v>
      </c>
      <c r="CK13" s="989">
        <f ca="1">IF(CK9&lt;&gt;0,CK87,0)</f>
        <v>0</v>
      </c>
      <c r="CL13" s="989">
        <f ca="1">IF(CL9&lt;&gt;0,CL87,0)</f>
        <v>0</v>
      </c>
      <c r="CM13" s="958"/>
      <c r="CN13" s="989">
        <f t="shared" ref="CN13:CS13" ca="1" si="57">IF(CN9&lt;&gt;0,CN87,0)</f>
        <v>0</v>
      </c>
      <c r="CO13" s="989">
        <f t="shared" ca="1" si="57"/>
        <v>0</v>
      </c>
      <c r="CP13" s="989">
        <f t="shared" ca="1" si="57"/>
        <v>0</v>
      </c>
      <c r="CQ13" s="989">
        <f t="shared" ca="1" si="57"/>
        <v>0</v>
      </c>
      <c r="CR13" s="989">
        <f t="shared" ca="1" si="57"/>
        <v>0</v>
      </c>
      <c r="CS13" s="989">
        <f t="shared" ca="1" si="57"/>
        <v>0</v>
      </c>
      <c r="CT13" s="958"/>
      <c r="CU13" s="989">
        <f t="shared" ref="CU13:DH13" ca="1" si="58">IF(CU9&lt;&gt;0,CU87,0)</f>
        <v>-2.1094130260831352</v>
      </c>
      <c r="CV13" s="989">
        <f t="shared" ca="1" si="58"/>
        <v>0</v>
      </c>
      <c r="CW13" s="989">
        <f t="shared" ca="1" si="58"/>
        <v>0</v>
      </c>
      <c r="CX13" s="989">
        <f t="shared" ca="1" si="58"/>
        <v>-83.374995857139325</v>
      </c>
      <c r="CY13" s="989">
        <f t="shared" ca="1" si="58"/>
        <v>0</v>
      </c>
      <c r="CZ13" s="989">
        <f ca="1">IF(CZ9&lt;&gt;0,CZ87,0)</f>
        <v>0</v>
      </c>
      <c r="DA13" s="989">
        <f ca="1">IF(DA9&lt;&gt;0,DA87,0)</f>
        <v>0</v>
      </c>
      <c r="DB13" s="989">
        <f t="shared" ca="1" si="58"/>
        <v>1.9529200517614915</v>
      </c>
      <c r="DC13" s="989">
        <f t="shared" ca="1" si="58"/>
        <v>0</v>
      </c>
      <c r="DD13" s="994">
        <f t="shared" ca="1" si="58"/>
        <v>-65.434145056844429</v>
      </c>
      <c r="DE13" s="989">
        <f t="shared" ca="1" si="58"/>
        <v>-1.0647145972311602</v>
      </c>
      <c r="DF13" s="989">
        <f t="shared" ca="1" si="58"/>
        <v>0</v>
      </c>
      <c r="DG13" s="989">
        <f t="shared" ca="1" si="58"/>
        <v>5.8240068965931338</v>
      </c>
      <c r="DH13" s="989">
        <f t="shared" ca="1" si="58"/>
        <v>-9.6198154255638784</v>
      </c>
      <c r="DI13" s="958"/>
      <c r="DJ13" s="989">
        <f t="shared" ref="DJ13:DP13" ca="1" si="59">IF(DJ9&lt;&gt;0,DJ87,0)</f>
        <v>-76.636499020909781</v>
      </c>
      <c r="DK13" s="989">
        <f t="shared" ca="1" si="59"/>
        <v>-16.3241598675008</v>
      </c>
      <c r="DL13" s="989">
        <f t="shared" ca="1" si="59"/>
        <v>0</v>
      </c>
      <c r="DM13" s="989">
        <f t="shared" ca="1" si="59"/>
        <v>1.9529200517614915</v>
      </c>
      <c r="DN13" s="989">
        <f t="shared" ca="1" si="59"/>
        <v>0</v>
      </c>
      <c r="DO13" s="994">
        <f t="shared" ca="1" si="59"/>
        <v>-75.072430335044842</v>
      </c>
      <c r="DP13" s="989">
        <f t="shared" ca="1" si="59"/>
        <v>0</v>
      </c>
      <c r="DQ13" s="958"/>
      <c r="DR13" s="989">
        <f ca="1">IF(DR9&lt;&gt;0,DR87,0)</f>
        <v>-68.555663647516397</v>
      </c>
      <c r="DS13" s="989">
        <f ca="1">IF(DS9&lt;&gt;0,DS87,0)</f>
        <v>-0.1706639858380827</v>
      </c>
      <c r="DT13" s="989">
        <f ca="1">IF(DT9&lt;&gt;0,DT87,0)</f>
        <v>-69.663485737769662</v>
      </c>
      <c r="DU13" s="989">
        <f ca="1">IF(DU9&lt;&gt;0,DU87,0)</f>
        <v>0</v>
      </c>
      <c r="DV13" s="1029"/>
      <c r="DW13" s="958"/>
      <c r="DX13" s="989">
        <f ca="1">IF(DX9&lt;&gt;0,DX87,0)</f>
        <v>-68.555663647516397</v>
      </c>
      <c r="DY13" s="989">
        <f ca="1">IF(DY9&lt;&gt;0,DY87,0)</f>
        <v>-0.1706639858380827</v>
      </c>
      <c r="DZ13" s="989">
        <f ca="1">IF(DZ9&lt;&gt;0,DZ87,0)</f>
        <v>-69.663485737769662</v>
      </c>
      <c r="EA13" s="989">
        <f ca="1">IF(EA9&lt;&gt;0,EA87,0)</f>
        <v>0</v>
      </c>
      <c r="EB13" s="1029"/>
      <c r="EC13" s="958"/>
      <c r="ED13" s="989">
        <f ca="1">IF(ED9&lt;&gt;0,ED87,0)</f>
        <v>-3.7070786795178563</v>
      </c>
      <c r="EE13" s="989">
        <f ca="1">IF(EE9&lt;&gt;0,EE87,0)</f>
        <v>-5.4684064184801784</v>
      </c>
      <c r="EF13" s="989">
        <f ca="1">IF(EF9&lt;&gt;0,EF87,0)</f>
        <v>0</v>
      </c>
      <c r="EG13" s="989">
        <f ca="1">IF(EG9&lt;&gt;0,EG87,0)</f>
        <v>0</v>
      </c>
      <c r="EH13" s="1029"/>
      <c r="EI13" s="958"/>
      <c r="EJ13" s="989">
        <f ca="1">IF(EJ9&lt;&gt;0,EJ87,0)</f>
        <v>0</v>
      </c>
      <c r="EK13" s="989">
        <f ca="1">IF(EK9&lt;&gt;0,EK87,0)</f>
        <v>0</v>
      </c>
      <c r="EL13" s="989">
        <f ca="1">IF(EL9&lt;&gt;0,EL87,0)</f>
        <v>0</v>
      </c>
      <c r="EM13" s="989">
        <f ca="1">IF(EM9&lt;&gt;0,EM87,0)</f>
        <v>0</v>
      </c>
      <c r="EN13" s="1029"/>
      <c r="EO13" s="958"/>
      <c r="EP13" s="989">
        <f ca="1">IF(EP9&lt;&gt;0,EP87,0)</f>
        <v>5.8219687124255861</v>
      </c>
      <c r="EQ13" s="989">
        <f ca="1">IF(EQ9&lt;&gt;0,EQ87,0)</f>
        <v>5.8240068965931338</v>
      </c>
      <c r="ER13" s="989">
        <f ca="1">IF(ER9&lt;&gt;0,ER87,0)</f>
        <v>0</v>
      </c>
      <c r="ES13" s="989">
        <f ca="1">IF(ES9&lt;&gt;0,ES87,0)</f>
        <v>-2.0381870584310073E-3</v>
      </c>
      <c r="ET13" s="1029"/>
      <c r="EU13" s="958"/>
      <c r="EV13" s="989">
        <f ca="1">IF(EV9&lt;&gt;0,EV87,0)</f>
        <v>0</v>
      </c>
      <c r="EW13" s="989">
        <f ca="1">IF(EW9&lt;&gt;0,EW87,0)</f>
        <v>0</v>
      </c>
      <c r="EX13" s="958"/>
      <c r="EY13" s="989">
        <f ca="1">IF(EY9&lt;&gt;0,EY87,0)</f>
        <v>0</v>
      </c>
      <c r="EZ13" s="989">
        <f ca="1">IF(EZ9&lt;&gt;0,EZ87,0)</f>
        <v>0</v>
      </c>
      <c r="FA13" s="1014">
        <f t="shared" ca="1" si="34"/>
        <v>0</v>
      </c>
      <c r="FB13" s="958"/>
      <c r="FC13" s="989">
        <f t="shared" ref="FC13:GB13" ca="1" si="60">IF(FC9&lt;&gt;0,FC87,0)</f>
        <v>-327.68648824212119</v>
      </c>
      <c r="FD13" s="989">
        <f t="shared" ca="1" si="60"/>
        <v>1.1423163773854637</v>
      </c>
      <c r="FE13" s="989">
        <f t="shared" ca="1" si="60"/>
        <v>-4.6690964615321535</v>
      </c>
      <c r="FF13" s="989">
        <f t="shared" ca="1" si="60"/>
        <v>1.8766293158930871E-4</v>
      </c>
      <c r="FG13" s="989">
        <f t="shared" ca="1" si="60"/>
        <v>0</v>
      </c>
      <c r="FH13" s="989">
        <f t="shared" ca="1" si="60"/>
        <v>0</v>
      </c>
      <c r="FI13" s="989">
        <f t="shared" ca="1" si="60"/>
        <v>-0.45113132136240541</v>
      </c>
      <c r="FJ13" s="989">
        <f t="shared" ca="1" si="60"/>
        <v>-2.0300909459363021</v>
      </c>
      <c r="FK13" s="989">
        <f t="shared" ca="1" si="60"/>
        <v>-8.1875713181791152</v>
      </c>
      <c r="FL13" s="989">
        <f t="shared" ca="1" si="60"/>
        <v>-4.2238718341364459E-2</v>
      </c>
      <c r="FM13" s="989">
        <f t="shared" ca="1" si="60"/>
        <v>0</v>
      </c>
      <c r="FN13" s="989">
        <f t="shared" ca="1" si="60"/>
        <v>-0.22806057172544733</v>
      </c>
      <c r="FO13" s="989">
        <f t="shared" ca="1" si="60"/>
        <v>-0.48544410893526435</v>
      </c>
      <c r="FP13" s="989">
        <f t="shared" ca="1" si="60"/>
        <v>0</v>
      </c>
      <c r="FQ13" s="989">
        <f t="shared" ca="1" si="60"/>
        <v>-0.335232439863277</v>
      </c>
      <c r="FR13" s="989">
        <f t="shared" ca="1" si="60"/>
        <v>-0.11716175936502911</v>
      </c>
      <c r="FS13" s="989">
        <f t="shared" ca="1" si="60"/>
        <v>0</v>
      </c>
      <c r="FT13" s="989">
        <f t="shared" ca="1" si="60"/>
        <v>0</v>
      </c>
      <c r="FU13" s="989">
        <f t="shared" ca="1" si="60"/>
        <v>0</v>
      </c>
      <c r="FV13" s="989">
        <f t="shared" ca="1" si="60"/>
        <v>0</v>
      </c>
      <c r="FW13" s="989">
        <f t="shared" ca="1" si="60"/>
        <v>0</v>
      </c>
      <c r="FX13" s="989">
        <f t="shared" ca="1" si="60"/>
        <v>1.9529200517614915</v>
      </c>
      <c r="FY13" s="989">
        <f t="shared" ca="1" si="60"/>
        <v>0</v>
      </c>
      <c r="FZ13" s="989">
        <f t="shared" ca="1" si="60"/>
        <v>0.31481130385388462</v>
      </c>
      <c r="GA13" s="989">
        <f t="shared" ca="1" si="60"/>
        <v>0</v>
      </c>
      <c r="GB13" s="989">
        <f t="shared" ca="1" si="60"/>
        <v>0</v>
      </c>
      <c r="GC13" s="1028"/>
      <c r="GD13" s="989">
        <f t="shared" ref="GD13:GN13" ca="1" si="61">IF(GD9&lt;&gt;0,GD87,0)</f>
        <v>-9.135114080338864E-4</v>
      </c>
      <c r="GE13" s="989">
        <f t="shared" ca="1" si="61"/>
        <v>-1.2430307706378736E-3</v>
      </c>
      <c r="GF13" s="989">
        <f t="shared" ca="1" si="61"/>
        <v>-138.76347026471245</v>
      </c>
      <c r="GG13" s="989">
        <f t="shared" ca="1" si="61"/>
        <v>-2.7666690755355265E-2</v>
      </c>
      <c r="GH13" s="989">
        <f t="shared" ca="1" si="61"/>
        <v>0</v>
      </c>
      <c r="GI13" s="989">
        <f t="shared" ca="1" si="61"/>
        <v>0</v>
      </c>
      <c r="GJ13" s="989">
        <f t="shared" ca="1" si="61"/>
        <v>-1.0647145972311602</v>
      </c>
      <c r="GK13" s="989">
        <f t="shared" ca="1" si="61"/>
        <v>5.8240068965931338</v>
      </c>
      <c r="GL13" s="989">
        <f t="shared" ca="1" si="61"/>
        <v>0.2625956695248961</v>
      </c>
      <c r="GM13" s="989">
        <f t="shared" ca="1" si="61"/>
        <v>-0.18581557090427614</v>
      </c>
      <c r="GN13" s="989">
        <f t="shared" ca="1" si="61"/>
        <v>0</v>
      </c>
      <c r="GO13" s="1014">
        <f t="shared" ca="1" si="37"/>
        <v>0</v>
      </c>
      <c r="GP13" s="1025"/>
      <c r="GR13" s="946"/>
      <c r="GS13" s="946"/>
      <c r="GU13" s="1181">
        <f ca="1">GD10+GE10</f>
        <v>54.130638533045115</v>
      </c>
      <c r="GV13" s="1182" t="s">
        <v>3077</v>
      </c>
      <c r="GW13" s="946"/>
      <c r="GX13" s="1143">
        <v>516</v>
      </c>
      <c r="GY13" s="1181">
        <f ca="1">G17</f>
        <v>16.958977353366805</v>
      </c>
    </row>
    <row r="14" spans="1:207" s="914" customFormat="1" x14ac:dyDescent="0.3">
      <c r="A14" s="997"/>
      <c r="B14" s="1020"/>
      <c r="C14" s="1020"/>
      <c r="D14" s="1026" t="s">
        <v>1173</v>
      </c>
      <c r="E14" s="995" t="s">
        <v>982</v>
      </c>
      <c r="F14" s="989">
        <f t="shared" ref="F14:P14" ca="1" si="62">IF(F9&lt;&gt;0,F94,0)</f>
        <v>12.114594912900056</v>
      </c>
      <c r="G14" s="989">
        <f t="shared" ca="1" si="62"/>
        <v>21.313775668833021</v>
      </c>
      <c r="H14" s="989">
        <f t="shared" ca="1" si="62"/>
        <v>8.0607649044670146E-2</v>
      </c>
      <c r="I14" s="989">
        <f t="shared" ca="1" si="62"/>
        <v>81.991254605884009</v>
      </c>
      <c r="J14" s="989">
        <f t="shared" ca="1" si="62"/>
        <v>-1.4601923370203552E-7</v>
      </c>
      <c r="K14" s="989">
        <f t="shared" ca="1" si="62"/>
        <v>-2.2419068918657589E-8</v>
      </c>
      <c r="L14" s="989">
        <f t="shared" ca="1" si="62"/>
        <v>0.29268284533290151</v>
      </c>
      <c r="M14" s="989">
        <f t="shared" ca="1" si="62"/>
        <v>87.491642786154017</v>
      </c>
      <c r="N14" s="989">
        <f t="shared" ca="1" si="62"/>
        <v>1.3242450190899377E-5</v>
      </c>
      <c r="O14" s="994">
        <f t="shared" ca="1" si="62"/>
        <v>19.348261359044987</v>
      </c>
      <c r="P14" s="989">
        <f t="shared" ca="1" si="62"/>
        <v>198.51396146142571</v>
      </c>
      <c r="Q14" s="958"/>
      <c r="R14" s="989">
        <f t="shared" ref="R14:AA14" ca="1" si="63">IF(R9&lt;&gt;0,R94,0)</f>
        <v>198.51396146142571</v>
      </c>
      <c r="S14" s="989">
        <f t="shared" ca="1" si="63"/>
        <v>7.5906912523696084</v>
      </c>
      <c r="T14" s="989">
        <f t="shared" ca="1" si="63"/>
        <v>0</v>
      </c>
      <c r="U14" s="989">
        <f t="shared" ca="1" si="63"/>
        <v>6.1592164484559481E-2</v>
      </c>
      <c r="V14" s="989">
        <f t="shared" ca="1" si="63"/>
        <v>0</v>
      </c>
      <c r="W14" s="989">
        <f t="shared" ca="1" si="63"/>
        <v>0.27716474134351876</v>
      </c>
      <c r="X14" s="989">
        <f t="shared" ca="1" si="63"/>
        <v>15.548056847498717</v>
      </c>
      <c r="Y14" s="994">
        <f t="shared" ca="1" si="63"/>
        <v>220.29530293837595</v>
      </c>
      <c r="Z14" s="989">
        <f t="shared" ca="1" si="63"/>
        <v>-1.3826853115602861E-9</v>
      </c>
      <c r="AA14" s="989">
        <f t="shared" ca="1" si="63"/>
        <v>-1.5923663313836627E-10</v>
      </c>
      <c r="AB14" s="958"/>
      <c r="AC14" s="989">
        <f t="shared" ref="AC14:AN14" ca="1" si="64">IF(AC9&lt;&gt;0,AC94,0)</f>
        <v>2.3351443637467783E-3</v>
      </c>
      <c r="AD14" s="989">
        <f t="shared" ca="1" si="64"/>
        <v>6.6402761585398622</v>
      </c>
      <c r="AE14" s="989">
        <f t="shared" ca="1" si="64"/>
        <v>0.24812615381992786</v>
      </c>
      <c r="AF14" s="989">
        <f t="shared" ca="1" si="64"/>
        <v>4.5768694532298711E-2</v>
      </c>
      <c r="AG14" s="989">
        <f t="shared" ca="1" si="64"/>
        <v>-2.074265245671649E-10</v>
      </c>
      <c r="AH14" s="989">
        <f t="shared" ca="1" si="64"/>
        <v>0</v>
      </c>
      <c r="AI14" s="989">
        <f t="shared" ca="1" si="64"/>
        <v>0</v>
      </c>
      <c r="AJ14" s="989">
        <f t="shared" ca="1" si="64"/>
        <v>-2.9133742977092614E-9</v>
      </c>
      <c r="AK14" s="989">
        <f t="shared" ca="1" si="64"/>
        <v>0</v>
      </c>
      <c r="AL14" s="994">
        <f t="shared" ca="1" si="64"/>
        <v>7.5906912523696084</v>
      </c>
      <c r="AM14" s="989">
        <f t="shared" ca="1" si="64"/>
        <v>-1.4882410712725363E-10</v>
      </c>
      <c r="AN14" s="989">
        <f t="shared" ca="1" si="64"/>
        <v>-3.5225821318016385E-9</v>
      </c>
      <c r="AO14" s="958"/>
      <c r="AP14" s="989">
        <f t="shared" ref="AP14:BC14" ca="1" si="65">IF(AP9&lt;&gt;0,AP94,0)</f>
        <v>220.29530293837595</v>
      </c>
      <c r="AQ14" s="989">
        <f t="shared" ca="1" si="65"/>
        <v>-1.5923663313836627E-10</v>
      </c>
      <c r="AR14" s="989">
        <f t="shared" ca="1" si="65"/>
        <v>-1.3826853115602861E-9</v>
      </c>
      <c r="AS14" s="989">
        <f t="shared" ca="1" si="65"/>
        <v>15.602156073866887</v>
      </c>
      <c r="AT14" s="989">
        <f t="shared" ca="1" si="65"/>
        <v>-1.5880988796640307E-7</v>
      </c>
      <c r="AU14" s="989">
        <f t="shared" ca="1" si="65"/>
        <v>-1.7357883782747199E-9</v>
      </c>
      <c r="AV14" s="994">
        <f t="shared" ca="1" si="65"/>
        <v>-2.1769049460052906E-9</v>
      </c>
      <c r="AW14" s="989">
        <f t="shared" ca="1" si="65"/>
        <v>15.548056847498717</v>
      </c>
      <c r="AX14" s="989">
        <f t="shared" ca="1" si="65"/>
        <v>6.432102471949229E-2</v>
      </c>
      <c r="AY14" s="989">
        <f t="shared" ca="1" si="65"/>
        <v>21.313775668833021</v>
      </c>
      <c r="AZ14" s="989">
        <f t="shared" ca="1" si="65"/>
        <v>-1.5880988796640307E-7</v>
      </c>
      <c r="BA14" s="989">
        <f t="shared" ca="1" si="65"/>
        <v>191.49852262584906</v>
      </c>
      <c r="BB14" s="989">
        <f t="shared" ca="1" si="65"/>
        <v>7.4413432488047784</v>
      </c>
      <c r="BC14" s="989">
        <f t="shared" ca="1" si="65"/>
        <v>-8.3665501491807594E-10</v>
      </c>
      <c r="BD14" s="958"/>
      <c r="BE14" s="989">
        <f t="shared" ref="BE14:BO14" ca="1" si="66">IF(BE9&lt;&gt;0,BE94,0)</f>
        <v>220.29530293837595</v>
      </c>
      <c r="BF14" s="989">
        <f t="shared" ca="1" si="66"/>
        <v>-1.5923663313836627E-10</v>
      </c>
      <c r="BG14" s="989">
        <f t="shared" ca="1" si="66"/>
        <v>-1.3826853115602861E-9</v>
      </c>
      <c r="BH14" s="989">
        <f t="shared" ca="1" si="66"/>
        <v>15.602156073866887</v>
      </c>
      <c r="BI14" s="989">
        <f t="shared" ca="1" si="66"/>
        <v>-1.5880988796640307E-7</v>
      </c>
      <c r="BJ14" s="994">
        <f t="shared" ca="1" si="66"/>
        <v>-2.1769049460052906E-9</v>
      </c>
      <c r="BK14" s="989">
        <f t="shared" ca="1" si="66"/>
        <v>15.548056847498717</v>
      </c>
      <c r="BL14" s="989">
        <f t="shared" ca="1" si="66"/>
        <v>6.432102471949229E-2</v>
      </c>
      <c r="BM14" s="989">
        <f t="shared" ca="1" si="66"/>
        <v>198.90403340485767</v>
      </c>
      <c r="BN14" s="989">
        <f t="shared" ca="1" si="66"/>
        <v>-1.5880988796640307E-7</v>
      </c>
      <c r="BO14" s="989">
        <f t="shared" ca="1" si="66"/>
        <v>21.313775668833021</v>
      </c>
      <c r="BP14" s="958"/>
      <c r="BQ14" s="989">
        <f t="shared" ref="BQ14:BW14" ca="1" si="67">IF(BQ9&lt;&gt;0,BQ94,0)</f>
        <v>-1.7357883782747199E-9</v>
      </c>
      <c r="BR14" s="989">
        <f t="shared" ca="1" si="67"/>
        <v>198.90403340485767</v>
      </c>
      <c r="BS14" s="989">
        <f t="shared" ca="1" si="67"/>
        <v>0</v>
      </c>
      <c r="BT14" s="989">
        <f t="shared" ca="1" si="67"/>
        <v>191.49852262584906</v>
      </c>
      <c r="BU14" s="989">
        <f t="shared" ca="1" si="67"/>
        <v>-8.3665501491807594E-10</v>
      </c>
      <c r="BV14" s="989">
        <f t="shared" ca="1" si="67"/>
        <v>7.4413432488047784</v>
      </c>
      <c r="BW14" s="989">
        <f t="shared" ca="1" si="67"/>
        <v>0</v>
      </c>
      <c r="BX14" s="958"/>
      <c r="BY14" s="989">
        <f t="shared" ref="BY14:CF14" ca="1" si="68">IF(BY9&lt;&gt;0,BY94,0)</f>
        <v>7.4413432488047784</v>
      </c>
      <c r="BZ14" s="989">
        <f t="shared" ca="1" si="68"/>
        <v>-8.3665501491807594E-10</v>
      </c>
      <c r="CA14" s="989">
        <f t="shared" ca="1" si="68"/>
        <v>-2.5354831022583616E-8</v>
      </c>
      <c r="CB14" s="989">
        <f t="shared" ca="1" si="68"/>
        <v>4.4838954630151484</v>
      </c>
      <c r="CC14" s="989">
        <f t="shared" ca="1" si="68"/>
        <v>-2.9211794200319581E-9</v>
      </c>
      <c r="CD14" s="989">
        <f t="shared" ca="1" si="68"/>
        <v>2.0804957099266219</v>
      </c>
      <c r="CE14" s="989">
        <f t="shared" ca="1" si="68"/>
        <v>0</v>
      </c>
      <c r="CF14" s="989">
        <f t="shared" ca="1" si="68"/>
        <v>1.8818877049043805E-4</v>
      </c>
      <c r="CG14" s="958"/>
      <c r="CH14" s="989">
        <f ca="1">IF(CH9&lt;&gt;0,CH94,0)</f>
        <v>-2.375424717891037E-8</v>
      </c>
      <c r="CI14" s="989">
        <f ca="1">IF(CI9&lt;&gt;0,CI94,0)</f>
        <v>11.925238700189858</v>
      </c>
      <c r="CJ14" s="989">
        <f ca="1">IF(CJ9&lt;&gt;0,CJ94,0)</f>
        <v>-1.8252309111721129E-7</v>
      </c>
      <c r="CK14" s="989">
        <f ca="1">IF(CK9&lt;&gt;0,CK94,0)</f>
        <v>0</v>
      </c>
      <c r="CL14" s="989">
        <f ca="1">IF(CL9&lt;&gt;0,CL94,0)</f>
        <v>0</v>
      </c>
      <c r="CM14" s="958"/>
      <c r="CN14" s="989">
        <f t="shared" ref="CN14:CS14" ca="1" si="69">IF(CN9&lt;&gt;0,CN94,0)</f>
        <v>20.530940022762383</v>
      </c>
      <c r="CO14" s="989">
        <f t="shared" ca="1" si="69"/>
        <v>0</v>
      </c>
      <c r="CP14" s="989">
        <f t="shared" ca="1" si="69"/>
        <v>-1.4601923370203552E-7</v>
      </c>
      <c r="CQ14" s="989">
        <f t="shared" ca="1" si="69"/>
        <v>-1.5536819078453638E-8</v>
      </c>
      <c r="CR14" s="989">
        <f t="shared" ca="1" si="69"/>
        <v>2.7223616940972626</v>
      </c>
      <c r="CS14" s="989">
        <f t="shared" ca="1" si="69"/>
        <v>-2.2419068918657589E-8</v>
      </c>
      <c r="CT14" s="958"/>
      <c r="CU14" s="989">
        <f t="shared" ref="CU14:DH14" ca="1" si="70">IF(CU9&lt;&gt;0,CU94,0)</f>
        <v>19.348261359044987</v>
      </c>
      <c r="CV14" s="989">
        <f t="shared" ca="1" si="70"/>
        <v>10.279283906007112</v>
      </c>
      <c r="CW14" s="989">
        <f t="shared" ca="1" si="70"/>
        <v>2.722609180734215</v>
      </c>
      <c r="CX14" s="989">
        <f t="shared" ca="1" si="70"/>
        <v>191.49852262584906</v>
      </c>
      <c r="CY14" s="989">
        <f t="shared" ca="1" si="70"/>
        <v>8.431758072869254E-2</v>
      </c>
      <c r="CZ14" s="989">
        <f t="shared" ca="1" si="70"/>
        <v>0</v>
      </c>
      <c r="DA14" s="989">
        <f t="shared" ca="1" si="70"/>
        <v>0</v>
      </c>
      <c r="DB14" s="989">
        <f t="shared" ca="1" si="70"/>
        <v>1.3096249553521611</v>
      </c>
      <c r="DC14" s="989">
        <f t="shared" ca="1" si="70"/>
        <v>-1.426208039161771E-8</v>
      </c>
      <c r="DD14" s="994">
        <f t="shared" ca="1" si="70"/>
        <v>-2.9211794200319581E-9</v>
      </c>
      <c r="DE14" s="989">
        <f t="shared" ca="1" si="70"/>
        <v>-1.510251404631284E-8</v>
      </c>
      <c r="DF14" s="989">
        <f t="shared" ca="1" si="70"/>
        <v>219.01646331576038</v>
      </c>
      <c r="DG14" s="989">
        <f t="shared" ca="1" si="70"/>
        <v>2.848202823806274</v>
      </c>
      <c r="DH14" s="989">
        <f t="shared" ca="1" si="70"/>
        <v>4.4838954630151484</v>
      </c>
      <c r="DI14" s="958"/>
      <c r="DJ14" s="989">
        <f t="shared" ref="DJ14:DP14" ca="1" si="71">IF(DJ9&lt;&gt;0,DJ94,0)</f>
        <v>1234.7144212954138</v>
      </c>
      <c r="DK14" s="989">
        <f t="shared" ca="1" si="71"/>
        <v>270.18095661903192</v>
      </c>
      <c r="DL14" s="989">
        <f t="shared" ca="1" si="71"/>
        <v>-1.426208039161771E-8</v>
      </c>
      <c r="DM14" s="989">
        <f t="shared" ca="1" si="71"/>
        <v>1.3096249553521611</v>
      </c>
      <c r="DN14" s="989">
        <f t="shared" ca="1" si="71"/>
        <v>0</v>
      </c>
      <c r="DO14" s="994">
        <f t="shared" ca="1" si="71"/>
        <v>1508.0656789761094</v>
      </c>
      <c r="DP14" s="989">
        <f t="shared" ca="1" si="71"/>
        <v>0</v>
      </c>
      <c r="DQ14" s="958"/>
      <c r="DR14" s="989">
        <f ca="1">IF(DR9&lt;&gt;0,DR94,0)</f>
        <v>1.7202560160895474E-7</v>
      </c>
      <c r="DS14" s="989">
        <f ca="1">IF(DS9&lt;&gt;0,DS94,0)</f>
        <v>11.196669418745087</v>
      </c>
      <c r="DT14" s="989">
        <f ca="1">IF(DT9&lt;&gt;0,DT94,0)</f>
        <v>10.646420302664705</v>
      </c>
      <c r="DU14" s="989">
        <f ca="1">IF(DU9&lt;&gt;0,DU94,0)</f>
        <v>0</v>
      </c>
      <c r="DV14" s="1029"/>
      <c r="DW14" s="958"/>
      <c r="DX14" s="989">
        <f ca="1">IF(DX9&lt;&gt;0,DX94,0)</f>
        <v>1.7202560160895474E-7</v>
      </c>
      <c r="DY14" s="989">
        <f ca="1">IF(DY9&lt;&gt;0,DY94,0)</f>
        <v>11.196669418745087</v>
      </c>
      <c r="DZ14" s="989">
        <f ca="1">IF(DZ9&lt;&gt;0,DZ94,0)</f>
        <v>10.646420302664705</v>
      </c>
      <c r="EA14" s="989">
        <f ca="1">IF(EA9&lt;&gt;0,EA94,0)</f>
        <v>0</v>
      </c>
      <c r="EB14" s="1029"/>
      <c r="EC14" s="958"/>
      <c r="ED14" s="989">
        <f ca="1">IF(ED9&lt;&gt;0,ED94,0)</f>
        <v>9.3021116865765217E-9</v>
      </c>
      <c r="EE14" s="989">
        <f ca="1">IF(EE9&lt;&gt;0,EE94,0)</f>
        <v>0</v>
      </c>
      <c r="EF14" s="989">
        <f ca="1">IF(EF9&lt;&gt;0,EF94,0)</f>
        <v>0</v>
      </c>
      <c r="EG14" s="989">
        <f ca="1">IF(EG9&lt;&gt;0,EG94,0)</f>
        <v>0</v>
      </c>
      <c r="EH14" s="1029"/>
      <c r="EI14" s="958"/>
      <c r="EJ14" s="989">
        <f ca="1">IF(EJ9&lt;&gt;0,EJ94,0)</f>
        <v>90.155197363837217</v>
      </c>
      <c r="EK14" s="989">
        <f ca="1">IF(EK9&lt;&gt;0,EK94,0)</f>
        <v>-7.7653468550014917E-7</v>
      </c>
      <c r="EL14" s="989">
        <f ca="1">IF(EL9&lt;&gt;0,EL94,0)</f>
        <v>10.278486145393311</v>
      </c>
      <c r="EM14" s="989">
        <f ca="1">IF(EM9&lt;&gt;0,EM94,0)</f>
        <v>-5.8013541967526304E-7</v>
      </c>
      <c r="EN14" s="1029"/>
      <c r="EO14" s="958"/>
      <c r="EP14" s="989">
        <f ca="1">IF(EP9&lt;&gt;0,EP94,0)</f>
        <v>44.381841306244652</v>
      </c>
      <c r="EQ14" s="989">
        <f ca="1">IF(EQ9&lt;&gt;0,EQ94,0)</f>
        <v>2.848202823806274</v>
      </c>
      <c r="ER14" s="989">
        <f ca="1">IF(ER9&lt;&gt;0,ER94,0)</f>
        <v>41.491895113386704</v>
      </c>
      <c r="ES14" s="989">
        <f ca="1">IF(ES9&lt;&gt;0,ES94,0)</f>
        <v>-4.1061506996168211E-11</v>
      </c>
      <c r="ET14" s="1029"/>
      <c r="EU14" s="958"/>
      <c r="EV14" s="989">
        <f ca="1">IF(EV9&lt;&gt;0,EV94,0)</f>
        <v>-1.5880988796640307E-7</v>
      </c>
      <c r="EW14" s="989">
        <f ca="1">IF(EW9&lt;&gt;0,EW94,0)</f>
        <v>-1.5880988796640307E-7</v>
      </c>
      <c r="EX14" s="958"/>
      <c r="EY14" s="989">
        <f ca="1">IF(EY9&lt;&gt;0,EY94,0)</f>
        <v>90.155197363837217</v>
      </c>
      <c r="EZ14" s="989">
        <f ca="1">IF(EZ9&lt;&gt;0,EZ94,0)</f>
        <v>10.278486145393311</v>
      </c>
      <c r="FA14" s="1014">
        <f t="shared" ca="1" si="34"/>
        <v>79.876711218443901</v>
      </c>
      <c r="FB14" s="958"/>
      <c r="FC14" s="989">
        <f t="shared" ref="FC14:GB14" ca="1" si="72">IF(FC9&lt;&gt;0,FC94,0)</f>
        <v>12.114594912900056</v>
      </c>
      <c r="FD14" s="989">
        <f t="shared" ca="1" si="72"/>
        <v>8.0607649044670146E-2</v>
      </c>
      <c r="FE14" s="989">
        <f t="shared" ca="1" si="72"/>
        <v>0.29268284533290151</v>
      </c>
      <c r="FF14" s="989">
        <f t="shared" ca="1" si="72"/>
        <v>1.3242450190899377E-5</v>
      </c>
      <c r="FG14" s="989">
        <f t="shared" ca="1" si="72"/>
        <v>0</v>
      </c>
      <c r="FH14" s="989">
        <f t="shared" ca="1" si="72"/>
        <v>0</v>
      </c>
      <c r="FI14" s="989">
        <f t="shared" ca="1" si="72"/>
        <v>6.1592164484559481E-2</v>
      </c>
      <c r="FJ14" s="989">
        <f t="shared" ca="1" si="72"/>
        <v>0.27716474134351876</v>
      </c>
      <c r="FK14" s="989">
        <f t="shared" ca="1" si="72"/>
        <v>0.24812615381992786</v>
      </c>
      <c r="FL14" s="989">
        <f t="shared" ca="1" si="72"/>
        <v>2.3351443637467783E-3</v>
      </c>
      <c r="FM14" s="989">
        <f t="shared" ca="1" si="72"/>
        <v>0</v>
      </c>
      <c r="FN14" s="989">
        <f t="shared" ca="1" si="72"/>
        <v>0</v>
      </c>
      <c r="FO14" s="989">
        <f t="shared" ca="1" si="72"/>
        <v>-2.074265245671649E-10</v>
      </c>
      <c r="FP14" s="989">
        <f t="shared" ca="1" si="72"/>
        <v>0</v>
      </c>
      <c r="FQ14" s="989">
        <f t="shared" ca="1" si="72"/>
        <v>4.5768694532298711E-2</v>
      </c>
      <c r="FR14" s="989">
        <f t="shared" ca="1" si="72"/>
        <v>0</v>
      </c>
      <c r="FS14" s="989">
        <f t="shared" ca="1" si="72"/>
        <v>-2.9133742977092614E-9</v>
      </c>
      <c r="FT14" s="989">
        <f t="shared" ca="1" si="72"/>
        <v>-1.7357883782747199E-9</v>
      </c>
      <c r="FU14" s="989">
        <f t="shared" ca="1" si="72"/>
        <v>0</v>
      </c>
      <c r="FV14" s="989">
        <f t="shared" ca="1" si="72"/>
        <v>0</v>
      </c>
      <c r="FW14" s="989">
        <f t="shared" ca="1" si="72"/>
        <v>-1.426208039161771E-8</v>
      </c>
      <c r="FX14" s="989">
        <f t="shared" ca="1" si="72"/>
        <v>1.3096249553521611</v>
      </c>
      <c r="FY14" s="989">
        <f t="shared" ca="1" si="72"/>
        <v>-2.5354831022583616E-8</v>
      </c>
      <c r="FZ14" s="989">
        <f t="shared" ca="1" si="72"/>
        <v>0</v>
      </c>
      <c r="GA14" s="989">
        <f t="shared" ca="1" si="72"/>
        <v>0</v>
      </c>
      <c r="GB14" s="989">
        <f t="shared" ca="1" si="72"/>
        <v>85.559816526553888</v>
      </c>
      <c r="GC14" s="1028"/>
      <c r="GD14" s="989">
        <f t="shared" ref="GD14:GN14" ca="1" si="73">IF(GD9&lt;&gt;0,GD94,0)</f>
        <v>-3.5225821318016385E-9</v>
      </c>
      <c r="GE14" s="989">
        <f t="shared" ca="1" si="73"/>
        <v>-1.4882410712725363E-10</v>
      </c>
      <c r="GF14" s="989">
        <f t="shared" ca="1" si="73"/>
        <v>6.432102471949229E-2</v>
      </c>
      <c r="GG14" s="989">
        <f t="shared" ca="1" si="73"/>
        <v>-2.1769049460052906E-9</v>
      </c>
      <c r="GH14" s="989">
        <f t="shared" ca="1" si="73"/>
        <v>0</v>
      </c>
      <c r="GI14" s="989">
        <f t="shared" ca="1" si="73"/>
        <v>0</v>
      </c>
      <c r="GJ14" s="989">
        <f t="shared" ca="1" si="73"/>
        <v>-1.510251404631284E-8</v>
      </c>
      <c r="GK14" s="989">
        <f t="shared" ca="1" si="73"/>
        <v>2.848202823806274</v>
      </c>
      <c r="GL14" s="989">
        <f t="shared" ca="1" si="73"/>
        <v>0</v>
      </c>
      <c r="GM14" s="989">
        <f t="shared" ca="1" si="73"/>
        <v>1.8818877049043805E-4</v>
      </c>
      <c r="GN14" s="989">
        <f t="shared" ca="1" si="73"/>
        <v>-1.5536819078453638E-8</v>
      </c>
      <c r="GO14" s="1014">
        <f t="shared" ca="1" si="37"/>
        <v>79.876711218443901</v>
      </c>
      <c r="GP14" s="1004"/>
      <c r="GQ14" s="1143" t="s">
        <v>3081</v>
      </c>
      <c r="GR14" s="1183">
        <f ca="1">FT9</f>
        <v>12113.951800000001</v>
      </c>
      <c r="GS14" s="946" t="s">
        <v>287</v>
      </c>
      <c r="GU14" s="1181">
        <f ca="1">GD17+GE17</f>
        <v>-2.6658321850078198E-2</v>
      </c>
      <c r="GV14" s="1182" t="s">
        <v>3079</v>
      </c>
      <c r="GW14" s="946"/>
      <c r="GX14" s="1143">
        <v>501</v>
      </c>
      <c r="GY14" s="1181">
        <f ca="1">BE17</f>
        <v>-110.3510488216302</v>
      </c>
    </row>
    <row r="15" spans="1:207" s="914" customFormat="1" ht="12.75" customHeight="1" x14ac:dyDescent="0.3">
      <c r="A15" s="997"/>
      <c r="B15" s="1020">
        <v>163</v>
      </c>
      <c r="C15" s="1020"/>
      <c r="D15" s="1026" t="s">
        <v>2553</v>
      </c>
      <c r="E15" s="995" t="s">
        <v>982</v>
      </c>
      <c r="F15" s="1014">
        <f t="shared" ref="F15:P15" ca="1" si="74">IF(F9&lt;&gt;0,VLOOKUP(F$8,INDIRECT(LU_MAT),$B15,FALSE)/4.1868*3600/1000000000,0)</f>
        <v>-194.94873999999999</v>
      </c>
      <c r="G15" s="1014">
        <f t="shared" ca="1" si="74"/>
        <v>-138.93089000000001</v>
      </c>
      <c r="H15" s="1014">
        <f t="shared" ca="1" si="74"/>
        <v>-4.0831322300000004</v>
      </c>
      <c r="I15" s="1014">
        <f t="shared" ca="1" si="74"/>
        <v>-534.02994699999999</v>
      </c>
      <c r="J15" s="1014">
        <f t="shared" ca="1" si="74"/>
        <v>-78.722548099999997</v>
      </c>
      <c r="K15" s="1014">
        <f ca="1">IF(K9&lt;&gt;0,VLOOKUP(K$8,INDIRECT(LU_MAT),$B15,FALSE)/4.1868*3600/1000000000,0)</f>
        <v>-11.1920661</v>
      </c>
      <c r="L15" s="1014">
        <f t="shared" ca="1" si="74"/>
        <v>-0.9690926769999999</v>
      </c>
      <c r="M15" s="1014">
        <f t="shared" ca="1" si="74"/>
        <v>-569.85537899999986</v>
      </c>
      <c r="N15" s="1014">
        <f t="shared" ca="1" si="74"/>
        <v>-6.7078839300000002E-4</v>
      </c>
      <c r="O15" s="1015">
        <f t="shared" ca="1" si="74"/>
        <v>-126.300455</v>
      </c>
      <c r="P15" s="1014">
        <f t="shared" ca="1" si="74"/>
        <v>-1424.49209</v>
      </c>
      <c r="Q15" s="924"/>
      <c r="R15" s="1014">
        <f t="shared" ref="R15:AA15" ca="1" si="75">IF(R9&lt;&gt;0,VLOOKUP(R$8,INDIRECT(LU_MAT),$B15,FALSE)/4.1868*3600/1000000000,0)</f>
        <v>-1424.49209</v>
      </c>
      <c r="S15" s="1014">
        <f t="shared" ca="1" si="75"/>
        <v>-50.0930046</v>
      </c>
      <c r="T15" s="1014">
        <f t="shared" ca="1" si="75"/>
        <v>-5.6321385900000007E-2</v>
      </c>
      <c r="U15" s="1014">
        <f t="shared" ca="1" si="75"/>
        <v>-0.53628653800000003</v>
      </c>
      <c r="V15" s="1014">
        <f t="shared" ca="1" si="75"/>
        <v>-0.24966345700000001</v>
      </c>
      <c r="W15" s="1014">
        <f t="shared" ca="1" si="75"/>
        <v>-2.4132894199999999</v>
      </c>
      <c r="X15" s="1014">
        <f t="shared" ca="1" si="75"/>
        <v>-101.931568</v>
      </c>
      <c r="Y15" s="1015">
        <f t="shared" ca="1" si="75"/>
        <v>-1538.6266000000001</v>
      </c>
      <c r="Z15" s="1014">
        <f t="shared" ca="1" si="75"/>
        <v>-40.716410200000006</v>
      </c>
      <c r="AA15" s="1014">
        <f t="shared" ca="1" si="75"/>
        <v>-4.1801793000000007</v>
      </c>
      <c r="AB15" s="924"/>
      <c r="AC15" s="1014">
        <f t="shared" ref="AC15:AN15" ca="1" si="76">IF(AC9&lt;&gt;0,VLOOKUP(AC$8,INDIRECT(LU_MAT),$B15,FALSE)/4.1868*3600/1000000000,0)</f>
        <v>-2.4546681400000003E-2</v>
      </c>
      <c r="AD15" s="1014">
        <f t="shared" ca="1" si="76"/>
        <v>-43.249811700000002</v>
      </c>
      <c r="AE15" s="1014">
        <f t="shared" ca="1" si="76"/>
        <v>-5.6482670500000012</v>
      </c>
      <c r="AF15" s="1014">
        <f t="shared" ca="1" si="76"/>
        <v>-0.51082579800000005</v>
      </c>
      <c r="AG15" s="1014">
        <f t="shared" ca="1" si="76"/>
        <v>-7.0326061800000006E-2</v>
      </c>
      <c r="AH15" s="1014">
        <f t="shared" ca="1" si="76"/>
        <v>-1.8166646500000001E-2</v>
      </c>
      <c r="AI15" s="1014">
        <f t="shared" ca="1" si="76"/>
        <v>-9.2717537300000003E-3</v>
      </c>
      <c r="AJ15" s="1014">
        <f t="shared" ca="1" si="76"/>
        <v>-2.0458972499999999</v>
      </c>
      <c r="AK15" s="1014">
        <f t="shared" ca="1" si="76"/>
        <v>0</v>
      </c>
      <c r="AL15" s="1015">
        <f t="shared" ca="1" si="76"/>
        <v>-50.0930046</v>
      </c>
      <c r="AM15" s="1014">
        <f t="shared" ca="1" si="76"/>
        <v>-0.32120976899999998</v>
      </c>
      <c r="AN15" s="1014">
        <f t="shared" ca="1" si="76"/>
        <v>-7.2467179499999999</v>
      </c>
      <c r="AO15" s="924"/>
      <c r="AP15" s="1014">
        <f t="shared" ref="AP15:AY15" ca="1" si="77">IF(AP9&lt;&gt;0,VLOOKUP(AP$8,INDIRECT(LU_MAT),$B15,FALSE)/4.1868*3600/1000000000,0)</f>
        <v>-1538.6266000000001</v>
      </c>
      <c r="AQ15" s="1014">
        <f t="shared" ca="1" si="77"/>
        <v>-4.1801793000000007</v>
      </c>
      <c r="AR15" s="1014">
        <f t="shared" ca="1" si="77"/>
        <v>-40.716410200000006</v>
      </c>
      <c r="AS15" s="1014">
        <f t="shared" ca="1" si="77"/>
        <v>-101.62082100000002</v>
      </c>
      <c r="AT15" s="1014">
        <f t="shared" ca="1" si="77"/>
        <v>-99.466693100000001</v>
      </c>
      <c r="AU15" s="1014">
        <f ca="1">IF(AU9&lt;&gt;0,VLOOKUP(AU$8,INDIRECT(LU_MAT),$B15,FALSE)/4.1868*3600/1000000000,0)</f>
        <v>-0.76064300100000004</v>
      </c>
      <c r="AV15" s="1015">
        <f t="shared" ca="1" si="77"/>
        <v>-45.885069299999998</v>
      </c>
      <c r="AW15" s="1014">
        <f t="shared" ca="1" si="77"/>
        <v>-101.931568</v>
      </c>
      <c r="AX15" s="1014">
        <f t="shared" ca="1" si="77"/>
        <v>-31.656502100000001</v>
      </c>
      <c r="AY15" s="1014">
        <f t="shared" ca="1" si="77"/>
        <v>-138.93089000000001</v>
      </c>
      <c r="AZ15" s="1014">
        <f ca="1">IF(AZ9&lt;&gt;0,VLOOKUP(AZ$8,INDIRECT(LU_MAT),$B15,FALSE)/4.1868*3600/1000000000,0)</f>
        <v>-99.466693100000001</v>
      </c>
      <c r="BA15" s="1014">
        <f ca="1">IF(BA9&lt;&gt;0,VLOOKUP(BA$8,INDIRECT(LU_MAT),$B15,FALSE)/4.1868*3600/1000000000,0)</f>
        <v>-1290.9430400000003</v>
      </c>
      <c r="BB15" s="1014">
        <f ca="1">IF(BB9&lt;&gt;0,VLOOKUP(BB$8,INDIRECT(LU_MAT),$B15,FALSE)/4.1868*3600/1000000000,0)</f>
        <v>-76.491408399999997</v>
      </c>
      <c r="BC15" s="1014">
        <f ca="1">IF(BC9&lt;&gt;0,VLOOKUP(BC$8,INDIRECT(LU_MAT),$B15,FALSE)/4.1868*3600/1000000000,0)</f>
        <v>-0.57078954699999984</v>
      </c>
      <c r="BD15" s="924"/>
      <c r="BE15" s="1014">
        <f t="shared" ref="BE15:BO15" ca="1" si="78">IF(BE9&lt;&gt;0,VLOOKUP(BE$8,INDIRECT(LU_MAT),$B15,FALSE)/4.1868*3600/1000000000,0)</f>
        <v>-1538.6266000000001</v>
      </c>
      <c r="BF15" s="1014">
        <f t="shared" ca="1" si="78"/>
        <v>-4.1801793000000007</v>
      </c>
      <c r="BG15" s="1014">
        <f t="shared" ca="1" si="78"/>
        <v>-40.716410200000006</v>
      </c>
      <c r="BH15" s="1014">
        <f t="shared" ca="1" si="78"/>
        <v>-101.62082100000002</v>
      </c>
      <c r="BI15" s="1014">
        <f t="shared" ca="1" si="78"/>
        <v>-99.466693100000001</v>
      </c>
      <c r="BJ15" s="1015">
        <f t="shared" ca="1" si="78"/>
        <v>-45.885069299999998</v>
      </c>
      <c r="BK15" s="1014">
        <f t="shared" ca="1" si="78"/>
        <v>-101.931568</v>
      </c>
      <c r="BL15" s="1014">
        <f t="shared" ca="1" si="78"/>
        <v>-31.656502100000001</v>
      </c>
      <c r="BM15" s="1014">
        <f t="shared" ca="1" si="78"/>
        <v>-1367.1953000000003</v>
      </c>
      <c r="BN15" s="1014">
        <f ca="1">IF(BN9&lt;&gt;0,VLOOKUP(BN$8,INDIRECT(LU_MAT),$B15,FALSE)/4.1868*3600/1000000000,0)</f>
        <v>-99.466693100000001</v>
      </c>
      <c r="BO15" s="1014">
        <f t="shared" ca="1" si="78"/>
        <v>-138.93089000000001</v>
      </c>
      <c r="BP15" s="924"/>
      <c r="BQ15" s="1014">
        <f t="shared" ref="BQ15:BW15" ca="1" si="79">IF(BQ9&lt;&gt;0,VLOOKUP(BQ$8,INDIRECT(LU_MAT),$B15,FALSE)/4.1868*3600/1000000000,0)</f>
        <v>-0.76064300100000004</v>
      </c>
      <c r="BR15" s="1014">
        <f t="shared" ca="1" si="79"/>
        <v>-1367.1953000000003</v>
      </c>
      <c r="BS15" s="1014">
        <f t="shared" ca="1" si="79"/>
        <v>-5.2421486400000002E-18</v>
      </c>
      <c r="BT15" s="1014">
        <f t="shared" ca="1" si="79"/>
        <v>-1290.9430400000003</v>
      </c>
      <c r="BU15" s="1014">
        <f t="shared" ca="1" si="79"/>
        <v>-0.57078954699999984</v>
      </c>
      <c r="BV15" s="1014">
        <f t="shared" ca="1" si="79"/>
        <v>-76.491408399999997</v>
      </c>
      <c r="BW15" s="1014">
        <f t="shared" ca="1" si="79"/>
        <v>-5.2421486400000002E-18</v>
      </c>
      <c r="BX15" s="924"/>
      <c r="BY15" s="1014">
        <f t="shared" ref="BY15:CF15" ca="1" si="80">IF(BY9&lt;&gt;0,VLOOKUP(BY$8,INDIRECT(LU_MAT),$B15,FALSE)/4.1868*3600/1000000000,0)</f>
        <v>-76.491408399999997</v>
      </c>
      <c r="BZ15" s="1014">
        <f t="shared" ca="1" si="80"/>
        <v>-0.57078954699999984</v>
      </c>
      <c r="CA15" s="1014">
        <f t="shared" ca="1" si="80"/>
        <v>-17.863621299999998</v>
      </c>
      <c r="CB15" s="1014">
        <f t="shared" ca="1" si="80"/>
        <v>-31.369961199999995</v>
      </c>
      <c r="CC15" s="1014">
        <f t="shared" ca="1" si="80"/>
        <v>-38.907538700000003</v>
      </c>
      <c r="CD15" s="1014">
        <f t="shared" ca="1" si="80"/>
        <v>-16.401071900000005</v>
      </c>
      <c r="CE15" s="1014">
        <f t="shared" ca="1" si="80"/>
        <v>-14.988352000000004</v>
      </c>
      <c r="CF15" s="1014">
        <f t="shared" ca="1" si="80"/>
        <v>-331.55633499999993</v>
      </c>
      <c r="CG15" s="924"/>
      <c r="CH15" s="1014">
        <f ca="1">IF(CH9&lt;&gt;0,VLOOKUP(CH$8,INDIRECT(LU_MAT),$B15,FALSE)/4.1868*3600/1000000000,0)</f>
        <v>-57.335923100000002</v>
      </c>
      <c r="CI15" s="1014">
        <f ca="1">IF(CI9&lt;&gt;0,VLOOKUP(CI$8,INDIRECT(LU_MAT),$B15,FALSE)/4.1868*3600/1000000000,0)</f>
        <v>-107.85352</v>
      </c>
      <c r="CJ15" s="1014">
        <f ca="1">IF(CJ9&lt;&gt;0,VLOOKUP(CJ$8,INDIRECT(LU_MAT),$B15,FALSE)/4.1868*3600/1000000000,0)</f>
        <v>-331.32396899999998</v>
      </c>
      <c r="CK15" s="1014">
        <f ca="1">IF(CK9&lt;&gt;0,VLOOKUP(CK$8,INDIRECT(LU_MAT),$B15,FALSE)/4.1868*3600/1000000000,0)</f>
        <v>0</v>
      </c>
      <c r="CL15" s="1014">
        <f ca="1">IF(CL9&lt;&gt;0,VLOOKUP(CL$8,INDIRECT(LU_MAT),$B15,FALSE)/4.1868*3600/1000000000,0)</f>
        <v>0</v>
      </c>
      <c r="CM15" s="924"/>
      <c r="CN15" s="1014">
        <f t="shared" ref="CN15:CS15" ca="1" si="81">IF(CN9&lt;&gt;0,VLOOKUP(CN$8,INDIRECT(LU_MAT),$B15,FALSE)/4.1868*3600/1000000000,0)</f>
        <v>-133.78917000000001</v>
      </c>
      <c r="CO15" s="1014">
        <f t="shared" ca="1" si="81"/>
        <v>0</v>
      </c>
      <c r="CP15" s="1014">
        <f t="shared" ca="1" si="81"/>
        <v>-78.727751799999979</v>
      </c>
      <c r="CQ15" s="1014">
        <f t="shared" ca="1" si="81"/>
        <v>-8.2739833700000016</v>
      </c>
      <c r="CR15" s="1014">
        <f t="shared" ca="1" si="81"/>
        <v>-17.740174700000001</v>
      </c>
      <c r="CS15" s="1014">
        <f t="shared" ca="1" si="81"/>
        <v>-11.192805900000002</v>
      </c>
      <c r="CT15" s="924"/>
      <c r="CU15" s="1014">
        <f t="shared" ref="CU15:DH15" ca="1" si="82">IF(CU9&lt;&gt;0,VLOOKUP(CU$8,INDIRECT(LU_MAT),$B15,FALSE)/4.1868*3600/1000000000,0)</f>
        <v>-126.300455</v>
      </c>
      <c r="CV15" s="1014">
        <f t="shared" ca="1" si="82"/>
        <v>-66.951625799999988</v>
      </c>
      <c r="CW15" s="1014">
        <f t="shared" ca="1" si="82"/>
        <v>-17.7417874</v>
      </c>
      <c r="CX15" s="1014">
        <f t="shared" ca="1" si="82"/>
        <v>-1290.9430400000003</v>
      </c>
      <c r="CY15" s="1014">
        <f t="shared" ca="1" si="82"/>
        <v>-0.54918190200000017</v>
      </c>
      <c r="CZ15" s="1014">
        <f ca="1">IF(CZ9&lt;&gt;0,VLOOKUP(CZ$8,INDIRECT(LU_MAT),$B15,FALSE)/4.1868*3600/1000000000,0)</f>
        <v>0</v>
      </c>
      <c r="DA15" s="1014">
        <f ca="1">IF(DA9&lt;&gt;0,VLOOKUP(DA$8,INDIRECT(LU_MAT),$B15,FALSE)/4.1868*3600/1000000000,0)</f>
        <v>0</v>
      </c>
      <c r="DB15" s="1014">
        <f t="shared" ca="1" si="82"/>
        <v>-12.3048532</v>
      </c>
      <c r="DC15" s="1014">
        <f t="shared" ca="1" si="82"/>
        <v>-14.013872299999999</v>
      </c>
      <c r="DD15" s="1015">
        <f t="shared" ca="1" si="82"/>
        <v>-38.907538700000003</v>
      </c>
      <c r="DE15" s="1014">
        <f t="shared" ca="1" si="82"/>
        <v>-22.201983899999998</v>
      </c>
      <c r="DF15" s="1014">
        <f ca="1">IF(DF9&lt;&gt;0,VLOOKUP(DF$8,INDIRECT(LU_MAT),$B15,FALSE)/4.1868*3600/1000000000,0)</f>
        <v>-1426.5100700000003</v>
      </c>
      <c r="DG15" s="1014">
        <f t="shared" ca="1" si="82"/>
        <v>-25.769215200000005</v>
      </c>
      <c r="DH15" s="1014">
        <f t="shared" ca="1" si="82"/>
        <v>-31.369961199999995</v>
      </c>
      <c r="DI15" s="924"/>
      <c r="DJ15" s="1014">
        <f t="shared" ref="DJ15:DP15" ca="1" si="83">IF(DJ9&lt;&gt;0,VLOOKUP(DJ$8,INDIRECT(LU_MAT),$B15,FALSE)/4.1868*3600/1000000000,0)</f>
        <v>-8103.5929299999998</v>
      </c>
      <c r="DK15" s="1014">
        <f t="shared" ca="1" si="83"/>
        <v>-1768.02862</v>
      </c>
      <c r="DL15" s="1014">
        <f t="shared" ca="1" si="83"/>
        <v>-14.013872299999999</v>
      </c>
      <c r="DM15" s="1014">
        <f t="shared" ca="1" si="83"/>
        <v>-12.3048532</v>
      </c>
      <c r="DN15" s="1014">
        <f t="shared" ca="1" si="83"/>
        <v>0</v>
      </c>
      <c r="DO15" s="1015">
        <f t="shared" ca="1" si="83"/>
        <v>-9915.7963400000008</v>
      </c>
      <c r="DP15" s="1014">
        <f t="shared" ca="1" si="83"/>
        <v>0</v>
      </c>
      <c r="DQ15" s="924"/>
      <c r="DR15" s="1014">
        <f ca="1">IF(DR9&lt;&gt;0,VLOOKUP(DR$8,INDIRECT(LU_MAT),$B15,FALSE)/4.1868*3600/1000000000,0)</f>
        <v>-32.137875300000005</v>
      </c>
      <c r="DS15" s="1014">
        <f ca="1">IF(DS9&lt;&gt;0,VLOOKUP(DS$8,INDIRECT(LU_MAT),$B15,FALSE)/4.1868*3600/1000000000,0)</f>
        <v>-76.741120600000002</v>
      </c>
      <c r="DT15" s="1014">
        <f ca="1">IF(DT9&lt;&gt;0,VLOOKUP(DT$8,INDIRECT(LU_MAT),$B15,FALSE)/4.1868*3600/1000000000,0)</f>
        <v>-107.655565</v>
      </c>
      <c r="DU15" s="1014">
        <f ca="1">IF(DU9&lt;&gt;0,VLOOKUP(DU$8,INDIRECT(LU_MAT),$B15,FALSE)/4.1868*3600/1000000000,0)</f>
        <v>0</v>
      </c>
      <c r="DV15" s="993"/>
      <c r="DW15" s="924"/>
      <c r="DX15" s="1014">
        <f ca="1">IF(DX9&lt;&gt;0,VLOOKUP(DX$8,INDIRECT(LU_MAT),$B15,FALSE)/4.1868*3600/1000000000,0)</f>
        <v>-32.137875300000005</v>
      </c>
      <c r="DY15" s="1014">
        <f ca="1">IF(DY9&lt;&gt;0,VLOOKUP(DY$8,INDIRECT(LU_MAT),$B15,FALSE)/4.1868*3600/1000000000,0)</f>
        <v>-76.741120600000002</v>
      </c>
      <c r="DZ15" s="1014">
        <f ca="1">IF(DZ9&lt;&gt;0,VLOOKUP(DZ$8,INDIRECT(LU_MAT),$B15,FALSE)/4.1868*3600/1000000000,0)</f>
        <v>-107.655565</v>
      </c>
      <c r="EA15" s="1014">
        <f ca="1">IF(EA9&lt;&gt;0,VLOOKUP(EA$8,INDIRECT(LU_MAT),$B15,FALSE)/4.1868*3600/1000000000,0)</f>
        <v>0</v>
      </c>
      <c r="EB15" s="993"/>
      <c r="EC15" s="924"/>
      <c r="ED15" s="1014">
        <f ca="1">IF(ED9&lt;&gt;0,VLOOKUP(ED$8,INDIRECT(LU_MAT),$B15,FALSE)/4.1868*3600/1000000000,0)</f>
        <v>-1.73782334</v>
      </c>
      <c r="EE15" s="1014">
        <f ca="1">IF(EE9&lt;&gt;0,VLOOKUP(EE$8,INDIRECT(LU_MAT),$B15,FALSE)/4.1868*3600/1000000000,0)</f>
        <v>-1.07152399</v>
      </c>
      <c r="EF15" s="1014">
        <f ca="1">IF(EF9&lt;&gt;0,VLOOKUP(EF$8,INDIRECT(LU_MAT),$B15,FALSE)/4.1868*3600/1000000000,0)</f>
        <v>0</v>
      </c>
      <c r="EG15" s="1014">
        <f ca="1">IF(EG9&lt;&gt;0,VLOOKUP(EG$8,INDIRECT(LU_MAT),$B15,FALSE)/4.1868*3600/1000000000,0)</f>
        <v>0</v>
      </c>
      <c r="EH15" s="993"/>
      <c r="EI15" s="924"/>
      <c r="EJ15" s="1014">
        <f ca="1">IF(EJ9&lt;&gt;0,VLOOKUP(EJ$8,INDIRECT(LU_MAT),$B15,FALSE)/4.1868*3600/1000000000,0)</f>
        <v>-587.20378600000004</v>
      </c>
      <c r="EK15" s="1014">
        <f ca="1">IF(EK9&lt;&gt;0,VLOOKUP(EK$8,INDIRECT(LU_MAT),$B15,FALSE)/4.1868*3600/1000000000,0)</f>
        <v>-411.18772100000001</v>
      </c>
      <c r="EL15" s="1014">
        <f ca="1">IF(EL9&lt;&gt;0,VLOOKUP(EL$8,INDIRECT(LU_MAT),$B15,FALSE)/4.1868*3600/1000000000,0)</f>
        <v>-66.946429900000012</v>
      </c>
      <c r="EM15" s="1014">
        <f ca="1">IF(EM9&lt;&gt;0,VLOOKUP(EM$8,INDIRECT(LU_MAT),$B15,FALSE)/4.1868*3600/1000000000,0)</f>
        <v>-854.496128</v>
      </c>
      <c r="EN15" s="993"/>
      <c r="EO15" s="924"/>
      <c r="EP15" s="1014">
        <f ca="1">IF(EP9&lt;&gt;0,VLOOKUP(EP$8,INDIRECT(LU_MAT),$B15,FALSE)/4.1868*3600/1000000000,0)</f>
        <v>-296.09908000000001</v>
      </c>
      <c r="EQ15" s="1014">
        <f ca="1">IF(EQ9&lt;&gt;0,VLOOKUP(EQ$8,INDIRECT(LU_MAT),$B15,FALSE)/4.1868*3600/1000000000,0)</f>
        <v>-25.769215200000005</v>
      </c>
      <c r="ER15" s="1014">
        <f ca="1">IF(ER9&lt;&gt;0,VLOOKUP(ER$8,INDIRECT(LU_MAT),$B15,FALSE)/4.1868*3600/1000000000,0)</f>
        <v>-270.24729200000002</v>
      </c>
      <c r="ES15" s="1014">
        <f ca="1">IF(ES9&lt;&gt;0,VLOOKUP(ES$8,INDIRECT(LU_MAT),$B15,FALSE)/4.1868*3600/1000000000,0)</f>
        <v>-3.7254776900000001E-2</v>
      </c>
      <c r="ET15" s="993"/>
      <c r="EU15" s="924"/>
      <c r="EV15" s="1014">
        <f ca="1">IF(EV9&lt;&gt;0,VLOOKUP(EV$8,INDIRECT(LU_MAT),$B15,FALSE)/4.1868*3600/1000000000,0)</f>
        <v>-99.466693100000001</v>
      </c>
      <c r="EW15" s="1014">
        <f ca="1">IF(EW9&lt;&gt;0,VLOOKUP(EW$8,INDIRECT(LU_MAT),$B15,FALSE)/4.1868*3600/1000000000,0)</f>
        <v>-99.466693100000001</v>
      </c>
      <c r="EX15" s="924"/>
      <c r="EY15" s="1014">
        <f ca="1">IF(EY9&lt;&gt;0,VLOOKUP(EY$8,INDIRECT(LU_MAT),$B15,FALSE)/4.1868*3600/1000000000,0)</f>
        <v>-587.20378600000004</v>
      </c>
      <c r="EZ15" s="1014">
        <f ca="1">IF(EZ9&lt;&gt;0,VLOOKUP(EZ$8,INDIRECT(LU_MAT),$B15,FALSE)/4.1868*3600/1000000000,0)</f>
        <v>-66.946429900000012</v>
      </c>
      <c r="FA15" s="1014">
        <f t="shared" ca="1" si="34"/>
        <v>-520.25735610000004</v>
      </c>
      <c r="FB15" s="924"/>
      <c r="FC15" s="1014">
        <f t="shared" ref="FC15:GB15" ca="1" si="84">IF(FC9&lt;&gt;0,VLOOKUP(FC$8,INDIRECT(LU_MAT),$B15,FALSE)/4.1868*3600/1000000000,0)</f>
        <v>-194.94873999999999</v>
      </c>
      <c r="FD15" s="1014">
        <f t="shared" ca="1" si="84"/>
        <v>-4.0831322300000004</v>
      </c>
      <c r="FE15" s="1014">
        <f t="shared" ca="1" si="84"/>
        <v>-0.9690926769999999</v>
      </c>
      <c r="FF15" s="1014">
        <f t="shared" ca="1" si="84"/>
        <v>-6.7078839300000002E-4</v>
      </c>
      <c r="FG15" s="1014">
        <f t="shared" ca="1" si="84"/>
        <v>-5.6321385900000007E-2</v>
      </c>
      <c r="FH15" s="1014">
        <f t="shared" ca="1" si="84"/>
        <v>-0.24966345700000001</v>
      </c>
      <c r="FI15" s="1014">
        <f t="shared" ca="1" si="84"/>
        <v>-0.53628653800000003</v>
      </c>
      <c r="FJ15" s="1014">
        <f t="shared" ca="1" si="84"/>
        <v>-2.4132894199999999</v>
      </c>
      <c r="FK15" s="1014">
        <f t="shared" ca="1" si="84"/>
        <v>-5.6482670500000012</v>
      </c>
      <c r="FL15" s="1014">
        <f t="shared" ca="1" si="84"/>
        <v>-2.4546681400000003E-2</v>
      </c>
      <c r="FM15" s="1014">
        <f t="shared" ca="1" si="84"/>
        <v>0</v>
      </c>
      <c r="FN15" s="1014">
        <f ca="1">IF(FN9&lt;&gt;0,VLOOKUP(FN$8,INDIRECT(LU_MAT),$B15,FALSE)/4.1868*3600/1000000000,0)</f>
        <v>-0.112315129</v>
      </c>
      <c r="FO15" s="1014">
        <f ca="1">IF(FO9&lt;&gt;0,VLOOKUP(FO$8,INDIRECT(LU_MAT),$B15,FALSE)/4.1868*3600/1000000000,0)</f>
        <v>-7.0326061800000006E-2</v>
      </c>
      <c r="FP15" s="1014">
        <f t="shared" ca="1" si="84"/>
        <v>-1.8166646500000001E-2</v>
      </c>
      <c r="FQ15" s="1014">
        <f t="shared" ca="1" si="84"/>
        <v>-0.39851066899999998</v>
      </c>
      <c r="FR15" s="1014">
        <f t="shared" ca="1" si="84"/>
        <v>-9.2717537300000003E-3</v>
      </c>
      <c r="FS15" s="1014">
        <f t="shared" ca="1" si="84"/>
        <v>-2.0458972499999999</v>
      </c>
      <c r="FT15" s="1014">
        <f t="shared" ca="1" si="84"/>
        <v>-0.76064300100000004</v>
      </c>
      <c r="FU15" s="1014">
        <f t="shared" ca="1" si="84"/>
        <v>0</v>
      </c>
      <c r="FV15" s="1014">
        <f ca="1">IF(FV9&lt;&gt;0,VLOOKUP(FV$8,INDIRECT(LU_MAT),$B15,FALSE)/4.1868*3600/1000000000,0)</f>
        <v>0</v>
      </c>
      <c r="FW15" s="1014">
        <f t="shared" ca="1" si="84"/>
        <v>-14.013872299999999</v>
      </c>
      <c r="FX15" s="1014">
        <f t="shared" ca="1" si="84"/>
        <v>-12.3048532</v>
      </c>
      <c r="FY15" s="1014">
        <f t="shared" ca="1" si="84"/>
        <v>-17.863621299999998</v>
      </c>
      <c r="FZ15" s="1014">
        <f t="shared" ca="1" si="84"/>
        <v>-2.8432400900000001</v>
      </c>
      <c r="GA15" s="1014">
        <f ca="1">IF(GA9&lt;&gt;0,VLOOKUP(GA$8,INDIRECT(LU_MAT),$B15,FALSE)/4.1868*3600/1000000000,0)</f>
        <v>0</v>
      </c>
      <c r="GB15" s="1014">
        <f t="shared" ca="1" si="84"/>
        <v>-557.27290100000016</v>
      </c>
      <c r="GC15" s="1028"/>
      <c r="GD15" s="1014">
        <f t="shared" ref="GD15:GN15" ca="1" si="85">IF(GD9&lt;&gt;0,VLOOKUP(GD$8,INDIRECT(LU_MAT),$B15,FALSE)/4.1868*3600/1000000000,0)</f>
        <v>-7.2467179499999999</v>
      </c>
      <c r="GE15" s="1014">
        <f t="shared" ca="1" si="85"/>
        <v>-0.32120976899999998</v>
      </c>
      <c r="GF15" s="1014">
        <f t="shared" ca="1" si="85"/>
        <v>-31.656502100000001</v>
      </c>
      <c r="GG15" s="1014">
        <f t="shared" ca="1" si="85"/>
        <v>-45.885069299999998</v>
      </c>
      <c r="GH15" s="1014">
        <f t="shared" ca="1" si="85"/>
        <v>0</v>
      </c>
      <c r="GI15" s="1014">
        <f ca="1">IF(GI9&lt;&gt;0,VLOOKUP(GI$8,INDIRECT(LU_MAT),$B15,FALSE)/4.1868*3600/1000000000,0)</f>
        <v>0</v>
      </c>
      <c r="GJ15" s="1014">
        <f t="shared" ca="1" si="85"/>
        <v>-22.201983899999998</v>
      </c>
      <c r="GK15" s="1014">
        <f t="shared" ca="1" si="85"/>
        <v>-25.769215200000005</v>
      </c>
      <c r="GL15" s="1014">
        <f t="shared" ca="1" si="85"/>
        <v>-14.988352000000004</v>
      </c>
      <c r="GM15" s="1014">
        <f t="shared" ca="1" si="85"/>
        <v>-331.55633499999993</v>
      </c>
      <c r="GN15" s="1014">
        <f t="shared" ca="1" si="85"/>
        <v>-8.2739833700000016</v>
      </c>
      <c r="GO15" s="1014">
        <f t="shared" ca="1" si="37"/>
        <v>-520.25735610000004</v>
      </c>
      <c r="GP15" s="1004"/>
      <c r="GR15" s="1183"/>
      <c r="GS15" s="946"/>
      <c r="GU15" s="946"/>
      <c r="GV15" s="946"/>
      <c r="GW15" s="946"/>
      <c r="GX15" s="1143">
        <v>535</v>
      </c>
      <c r="GY15" s="1181">
        <f ca="1">BT17</f>
        <v>100.96948676870939</v>
      </c>
    </row>
    <row r="16" spans="1:207" s="914" customFormat="1" x14ac:dyDescent="0.3">
      <c r="A16" s="1027"/>
      <c r="B16" s="1020"/>
      <c r="C16" s="1020"/>
      <c r="D16" s="1026" t="s">
        <v>1170</v>
      </c>
      <c r="E16" s="995" t="s">
        <v>982</v>
      </c>
      <c r="F16" s="989">
        <f ca="1">IF(F9&lt;&gt;0,F15-F12,0)</f>
        <v>0</v>
      </c>
      <c r="G16" s="989">
        <f t="shared" ref="G16:P16" ca="1" si="86">IF(G9&lt;&gt;0,G15-G12,0)</f>
        <v>-3.2680620000000147</v>
      </c>
      <c r="H16" s="989">
        <f t="shared" ca="1" si="86"/>
        <v>1.6546099999992236E-3</v>
      </c>
      <c r="I16" s="989">
        <f t="shared" ca="1" si="86"/>
        <v>-1.0389760000000479</v>
      </c>
      <c r="J16" s="989">
        <f t="shared" ca="1" si="86"/>
        <v>-2.7306138999999945</v>
      </c>
      <c r="K16" s="989">
        <f ca="1">IF(K9&lt;&gt;0,K15-K12,0)</f>
        <v>-0.38821420000000018</v>
      </c>
      <c r="L16" s="989">
        <f t="shared" ca="1" si="86"/>
        <v>7.7872300000002559E-3</v>
      </c>
      <c r="M16" s="989">
        <f t="shared" ca="1" si="86"/>
        <v>-1.1086749999998347</v>
      </c>
      <c r="N16" s="989">
        <f t="shared" ca="1" si="86"/>
        <v>4.1308199999999518E-7</v>
      </c>
      <c r="O16" s="994">
        <f t="shared" ca="1" si="86"/>
        <v>-2.4628989999999789</v>
      </c>
      <c r="P16" s="989">
        <f t="shared" ca="1" si="86"/>
        <v>-18.812729999999874</v>
      </c>
      <c r="Q16" s="958"/>
      <c r="R16" s="989">
        <f ca="1">IF(R9&lt;&gt;0,R15-R12,0)</f>
        <v>-18.812729999999874</v>
      </c>
      <c r="S16" s="989">
        <f t="shared" ref="S16:AA16" ca="1" si="87">IF(S9&lt;&gt;0,S15-S12,0)</f>
        <v>-4.4830699999998558E-2</v>
      </c>
      <c r="T16" s="989">
        <f t="shared" ca="1" si="87"/>
        <v>1.2431099999994644E-5</v>
      </c>
      <c r="U16" s="989">
        <f t="shared" ca="1" si="87"/>
        <v>7.1062899999996265E-4</v>
      </c>
      <c r="V16" s="989">
        <f t="shared" ca="1" si="87"/>
        <v>5.5104999999999738E-5</v>
      </c>
      <c r="W16" s="989">
        <f t="shared" ca="1" si="87"/>
        <v>3.1978299999999571E-3</v>
      </c>
      <c r="X16" s="989">
        <f t="shared" ca="1" si="87"/>
        <v>-0.2305640000000011</v>
      </c>
      <c r="Y16" s="994">
        <f t="shared" ca="1" si="87"/>
        <v>-2.8311000000001059</v>
      </c>
      <c r="Z16" s="989">
        <f t="shared" ca="1" si="87"/>
        <v>-2.822820000000803E-2</v>
      </c>
      <c r="AA16" s="989">
        <f t="shared" ca="1" si="87"/>
        <v>-2.8965200000010682E-3</v>
      </c>
      <c r="AB16" s="958"/>
      <c r="AC16" s="989">
        <f ca="1">IF(AC9&lt;&gt;0,AC15-AC12,0)</f>
        <v>-3.0748630000000318E-4</v>
      </c>
      <c r="AD16" s="989">
        <f t="shared" ref="AD16:AN16" ca="1" si="88">IF(AD9&lt;&gt;0,AD15-AD12,0)</f>
        <v>-8.4144100000003164E-2</v>
      </c>
      <c r="AE16" s="989">
        <f t="shared" ca="1" si="88"/>
        <v>-4.7420800000015362E-3</v>
      </c>
      <c r="AF16" s="989">
        <f t="shared" ca="1" si="88"/>
        <v>-1.2419630000000126E-3</v>
      </c>
      <c r="AG16" s="989">
        <f t="shared" ca="1" si="88"/>
        <v>-1.6362540000000592E-4</v>
      </c>
      <c r="AH16" s="989">
        <f t="shared" ca="1" si="88"/>
        <v>-7.3351999999998752E-6</v>
      </c>
      <c r="AI16" s="989">
        <f t="shared" ca="1" si="88"/>
        <v>2.8548579999999185E-5</v>
      </c>
      <c r="AJ16" s="989">
        <f t="shared" ca="1" si="88"/>
        <v>0</v>
      </c>
      <c r="AK16" s="989">
        <f t="shared" ca="1" si="88"/>
        <v>0</v>
      </c>
      <c r="AL16" s="994">
        <f t="shared" ca="1" si="88"/>
        <v>-4.4830699999998558E-2</v>
      </c>
      <c r="AM16" s="989">
        <f t="shared" ca="1" si="88"/>
        <v>-1.1652959999999823E-3</v>
      </c>
      <c r="AN16" s="989">
        <f t="shared" ca="1" si="88"/>
        <v>-2.3336480000000215E-2</v>
      </c>
      <c r="AO16" s="958"/>
      <c r="AP16" s="989">
        <f ca="1">IF(AP9&lt;&gt;0,AP15-AP12,0)</f>
        <v>-2.8311000000001059</v>
      </c>
      <c r="AQ16" s="989">
        <f t="shared" ref="AQ16:AY16" ca="1" si="89">IF(AQ9&lt;&gt;0,AQ15-AQ12,0)</f>
        <v>-2.8965200000010682E-3</v>
      </c>
      <c r="AR16" s="989">
        <f t="shared" ca="1" si="89"/>
        <v>-2.822820000000803E-2</v>
      </c>
      <c r="AS16" s="989">
        <f t="shared" ca="1" si="89"/>
        <v>-0.19770800000001998</v>
      </c>
      <c r="AT16" s="989">
        <f t="shared" ca="1" si="89"/>
        <v>0</v>
      </c>
      <c r="AU16" s="989">
        <f ca="1">IF(AU9&lt;&gt;0,AU15-AU12,0)</f>
        <v>0</v>
      </c>
      <c r="AV16" s="994">
        <f t="shared" ca="1" si="89"/>
        <v>-3.9004399999996053E-2</v>
      </c>
      <c r="AW16" s="989">
        <f t="shared" ca="1" si="89"/>
        <v>-0.2305640000000011</v>
      </c>
      <c r="AX16" s="989">
        <f t="shared" ca="1" si="89"/>
        <v>-0.19027509999999737</v>
      </c>
      <c r="AY16" s="989">
        <f t="shared" ca="1" si="89"/>
        <v>-3.2680620000000147</v>
      </c>
      <c r="AZ16" s="989">
        <f ca="1">IF(AZ9&lt;&gt;0,AZ15-AZ12,0)</f>
        <v>-23.379247000000007</v>
      </c>
      <c r="BA16" s="989">
        <f ca="1">IF(BA9&lt;&gt;0,BA15-BA12,0)</f>
        <v>-7.1540400000003501</v>
      </c>
      <c r="BB16" s="989">
        <f ca="1">IF(BB9&lt;&gt;0,BB15-BB12,0)</f>
        <v>-0.56454519999999775</v>
      </c>
      <c r="BC16" s="989">
        <f ca="1">IF(BC9&lt;&gt;0,BC15-BC12,0)</f>
        <v>-9.0587248999999814E-2</v>
      </c>
      <c r="BD16" s="958"/>
      <c r="BE16" s="989">
        <f ca="1">IF(BE9&lt;&gt;0,BE15-BE12,0)</f>
        <v>-2.8311000000001059</v>
      </c>
      <c r="BF16" s="989">
        <f t="shared" ref="BF16:BO16" ca="1" si="90">IF(BF9&lt;&gt;0,BF15-BF12,0)</f>
        <v>-2.8965200000010682E-3</v>
      </c>
      <c r="BG16" s="989">
        <f t="shared" ca="1" si="90"/>
        <v>-2.822820000000803E-2</v>
      </c>
      <c r="BH16" s="989">
        <f t="shared" ca="1" si="90"/>
        <v>-0.19770800000001998</v>
      </c>
      <c r="BI16" s="989">
        <f t="shared" ca="1" si="90"/>
        <v>0</v>
      </c>
      <c r="BJ16" s="994">
        <f t="shared" ca="1" si="90"/>
        <v>-3.9004399999996053E-2</v>
      </c>
      <c r="BK16" s="989">
        <f t="shared" ca="1" si="90"/>
        <v>-0.2305640000000011</v>
      </c>
      <c r="BL16" s="989">
        <f t="shared" ca="1" si="90"/>
        <v>-0.19027509999999737</v>
      </c>
      <c r="BM16" s="989">
        <f t="shared" ca="1" si="90"/>
        <v>-7.437570000000278</v>
      </c>
      <c r="BN16" s="989">
        <f ca="1">IF(BN9&lt;&gt;0,BN15-BN12,0)</f>
        <v>-23.379247000000007</v>
      </c>
      <c r="BO16" s="989">
        <f t="shared" ca="1" si="90"/>
        <v>-3.2680620000000147</v>
      </c>
      <c r="BP16" s="958"/>
      <c r="BQ16" s="989">
        <f t="shared" ref="BQ16:BW16" ca="1" si="91">IF(BQ9&lt;&gt;0,BQ15-BQ12,0)</f>
        <v>0</v>
      </c>
      <c r="BR16" s="989">
        <f t="shared" ca="1" si="91"/>
        <v>-7.437570000000278</v>
      </c>
      <c r="BS16" s="989">
        <f t="shared" ca="1" si="91"/>
        <v>0</v>
      </c>
      <c r="BT16" s="989">
        <f t="shared" ca="1" si="91"/>
        <v>-7.1540400000003501</v>
      </c>
      <c r="BU16" s="989">
        <f t="shared" ca="1" si="91"/>
        <v>-9.0587248999999814E-2</v>
      </c>
      <c r="BV16" s="989">
        <f t="shared" ca="1" si="91"/>
        <v>-0.56454519999999775</v>
      </c>
      <c r="BW16" s="989">
        <f t="shared" ca="1" si="91"/>
        <v>-2.9333120100000051E-3</v>
      </c>
      <c r="BX16" s="958"/>
      <c r="BY16" s="989">
        <f ca="1">IF(BY9&lt;&gt;0,BY15-BY12,0)</f>
        <v>-0.56454519999999775</v>
      </c>
      <c r="BZ16" s="989">
        <f t="shared" ref="BZ16:CF16" ca="1" si="92">IF(BZ9&lt;&gt;0,BZ15-BZ12,0)</f>
        <v>-9.0587248999999814E-2</v>
      </c>
      <c r="CA16" s="989">
        <f t="shared" ca="1" si="92"/>
        <v>0</v>
      </c>
      <c r="CB16" s="989">
        <f t="shared" ca="1" si="92"/>
        <v>-3.5153299999993948E-2</v>
      </c>
      <c r="CC16" s="989">
        <f t="shared" ca="1" si="92"/>
        <v>-8.5709400000006042E-2</v>
      </c>
      <c r="CD16" s="989">
        <f t="shared" ca="1" si="92"/>
        <v>-2.8840100000003588E-2</v>
      </c>
      <c r="CE16" s="989">
        <f t="shared" ca="1" si="92"/>
        <v>-0.13733210000000362</v>
      </c>
      <c r="CF16" s="989">
        <f t="shared" ca="1" si="92"/>
        <v>-11.392176999999947</v>
      </c>
      <c r="CG16" s="958"/>
      <c r="CH16" s="989">
        <f ca="1">IF(CH9&lt;&gt;0,CH15-CH12,0)</f>
        <v>-13.405004900000002</v>
      </c>
      <c r="CI16" s="989">
        <f ca="1">IF(CI9&lt;&gt;0,CI15-CI12,0)</f>
        <v>-0.59184899999999629</v>
      </c>
      <c r="CJ16" s="989">
        <f ca="1">IF(CJ9&lt;&gt;0,CJ15-CJ12,0)</f>
        <v>-91.345631999999995</v>
      </c>
      <c r="CK16" s="989">
        <f ca="1">IF(CK9&lt;&gt;0,CK15-CK12,0)</f>
        <v>0</v>
      </c>
      <c r="CL16" s="989">
        <f ca="1">IF(CL9&lt;&gt;0,CL15-CL12,0)</f>
        <v>0</v>
      </c>
      <c r="CM16" s="958"/>
      <c r="CN16" s="989">
        <f ca="1">IF(CN9&lt;&gt;0,CN15-CN12,0)</f>
        <v>-0.28143200000002366</v>
      </c>
      <c r="CO16" s="989">
        <f t="shared" ref="CO16:DH16" ca="1" si="93">IF(CO9&lt;&gt;0,CO15-CO12,0)</f>
        <v>0</v>
      </c>
      <c r="CP16" s="989">
        <f t="shared" ca="1" si="93"/>
        <v>-2.4563401999999854</v>
      </c>
      <c r="CQ16" s="989">
        <f t="shared" ca="1" si="93"/>
        <v>-7.9047150000000954E-2</v>
      </c>
      <c r="CR16" s="989">
        <f t="shared" ca="1" si="93"/>
        <v>-0.35197450000000075</v>
      </c>
      <c r="CS16" s="989">
        <f ca="1">IF(CS9&lt;&gt;0,CS15-CS12,0)</f>
        <v>-0.34922040000000187</v>
      </c>
      <c r="CT16" s="958"/>
      <c r="CU16" s="989">
        <f t="shared" ca="1" si="93"/>
        <v>-2.4628989999999789</v>
      </c>
      <c r="CV16" s="989">
        <f t="shared" ca="1" si="93"/>
        <v>-5.0685999999984688E-2</v>
      </c>
      <c r="CW16" s="989">
        <f t="shared" ca="1" si="93"/>
        <v>-0.3520064000000005</v>
      </c>
      <c r="CX16" s="989">
        <f t="shared" ca="1" si="93"/>
        <v>-7.1540400000003501</v>
      </c>
      <c r="CY16" s="989">
        <f t="shared" ca="1" si="93"/>
        <v>-1.0684540000002185E-3</v>
      </c>
      <c r="CZ16" s="989">
        <f ca="1">IF(CZ9&lt;&gt;0,CZ15-CZ12,0)</f>
        <v>0</v>
      </c>
      <c r="DA16" s="989">
        <f ca="1">IF(DA9&lt;&gt;0,DA15-DA12,0)</f>
        <v>0</v>
      </c>
      <c r="DB16" s="989">
        <f t="shared" ca="1" si="93"/>
        <v>6.34310000000049E-3</v>
      </c>
      <c r="DC16" s="989">
        <f t="shared" ca="1" si="93"/>
        <v>0</v>
      </c>
      <c r="DD16" s="994">
        <f t="shared" ca="1" si="93"/>
        <v>-8.5709400000006042E-2</v>
      </c>
      <c r="DE16" s="989">
        <f t="shared" ca="1" si="93"/>
        <v>0</v>
      </c>
      <c r="DF16" s="989">
        <f ca="1">IF(DF9&lt;&gt;0,DF15-DF12,0)</f>
        <v>-0.72030000000017935</v>
      </c>
      <c r="DG16" s="989">
        <f t="shared" ca="1" si="93"/>
        <v>-0.46183140000000478</v>
      </c>
      <c r="DH16" s="989">
        <f t="shared" ca="1" si="93"/>
        <v>-3.5153299999993948E-2</v>
      </c>
      <c r="DI16" s="958"/>
      <c r="DJ16" s="989">
        <f t="shared" ref="DJ16:DP16" ca="1" si="94">IF(DJ9&lt;&gt;0,DJ15-DJ12,0)</f>
        <v>-0.27108999999927619</v>
      </c>
      <c r="DK16" s="989">
        <f t="shared" ca="1" si="94"/>
        <v>-3.8194200000000365</v>
      </c>
      <c r="DL16" s="989">
        <f t="shared" ca="1" si="94"/>
        <v>0</v>
      </c>
      <c r="DM16" s="989">
        <f t="shared" ca="1" si="94"/>
        <v>6.34310000000049E-3</v>
      </c>
      <c r="DN16" s="989">
        <f t="shared" ca="1" si="94"/>
        <v>0</v>
      </c>
      <c r="DO16" s="994">
        <f t="shared" ca="1" si="94"/>
        <v>0</v>
      </c>
      <c r="DP16" s="989">
        <f t="shared" ca="1" si="94"/>
        <v>0</v>
      </c>
      <c r="DQ16" s="958"/>
      <c r="DR16" s="989">
        <f ca="1">IF(DR9&lt;&gt;0,DR15-DR12,0)</f>
        <v>-9.4570100000005652E-2</v>
      </c>
      <c r="DS16" s="989">
        <f ca="1">IF(DS9&lt;&gt;0,DS15-DS12,0)</f>
        <v>-0.18384120000000337</v>
      </c>
      <c r="DT16" s="989">
        <f ca="1">IF(DT9&lt;&gt;0,DT15-DT12,0)</f>
        <v>-0.29552699999999277</v>
      </c>
      <c r="DU16" s="989">
        <f ca="1">IF(DU9&lt;&gt;0,DU15-DU12,0)</f>
        <v>0</v>
      </c>
      <c r="DV16" s="1025"/>
      <c r="DW16" s="958"/>
      <c r="DX16" s="989">
        <f ca="1">IF(DX9&lt;&gt;0,DX15-DX12,0)</f>
        <v>-9.4570100000005652E-2</v>
      </c>
      <c r="DY16" s="989">
        <f ca="1">IF(DY9&lt;&gt;0,DY15-DY12,0)</f>
        <v>-0.18384120000000337</v>
      </c>
      <c r="DZ16" s="989">
        <f ca="1">IF(DZ9&lt;&gt;0,DZ15-DZ12,0)</f>
        <v>-0.29552699999999277</v>
      </c>
      <c r="EA16" s="989">
        <f ca="1">IF(EA9&lt;&gt;0,EA15-EA12,0)</f>
        <v>0</v>
      </c>
      <c r="EB16" s="1025"/>
      <c r="EC16" s="958"/>
      <c r="ED16" s="989">
        <f ca="1">IF(ED9&lt;&gt;0,ED15-ED12,0)</f>
        <v>-5.1137900000000069E-3</v>
      </c>
      <c r="EE16" s="989">
        <f ca="1">IF(EE9&lt;&gt;0,EE15-EE12,0)</f>
        <v>-3.9613800000000143E-3</v>
      </c>
      <c r="EF16" s="989">
        <f ca="1">IF(EF9&lt;&gt;0,EF15-EF12,0)</f>
        <v>0</v>
      </c>
      <c r="EG16" s="989">
        <f ca="1">IF(EG9&lt;&gt;0,EG15-EG12,0)</f>
        <v>0</v>
      </c>
      <c r="EH16" s="1025"/>
      <c r="EI16" s="958"/>
      <c r="EJ16" s="989">
        <f ca="1">IF(EJ9&lt;&gt;0,EJ15-EJ12,0)</f>
        <v>-1.1424269999999979</v>
      </c>
      <c r="EK16" s="989">
        <f ca="1">IF(EK9&lt;&gt;0,EK15-EK12,0)</f>
        <v>0</v>
      </c>
      <c r="EL16" s="989">
        <f ca="1">IF(EL9&lt;&gt;0,EL15-EL12,0)</f>
        <v>-5.0682000000008998E-2</v>
      </c>
      <c r="EM16" s="989">
        <f ca="1">IF(EM9&lt;&gt;0,EM15-EM12,0)</f>
        <v>-20.334017000000017</v>
      </c>
      <c r="EN16" s="1024"/>
      <c r="EO16" s="958"/>
      <c r="EP16" s="989">
        <f ca="1">IF(EP9&lt;&gt;0,EP15-EP12,0)</f>
        <v>-1.8597999999997228E-2</v>
      </c>
      <c r="EQ16" s="989">
        <f ca="1">IF(EQ9&lt;&gt;0,EQ15-EQ12,0)</f>
        <v>-0.46183140000000478</v>
      </c>
      <c r="ER16" s="989">
        <f ca="1">IF(ER9&lt;&gt;0,ER15-ER12,0)</f>
        <v>-0.65843799999998964</v>
      </c>
      <c r="ES16" s="989">
        <f ca="1">IF(ES9&lt;&gt;0,ES15-ES12,0)</f>
        <v>-4.2524500000000465E-4</v>
      </c>
      <c r="ET16" s="1025"/>
      <c r="EU16" s="958"/>
      <c r="EV16" s="989">
        <f ca="1">IF(EV9&lt;&gt;0,EV15-EV12,0)</f>
        <v>0</v>
      </c>
      <c r="EW16" s="989">
        <f ca="1">IF(EW9&lt;&gt;0,EW15-EW12,0)</f>
        <v>-23.379247000000007</v>
      </c>
      <c r="EX16" s="958"/>
      <c r="EY16" s="989">
        <f ca="1">IF(EY9&lt;&gt;0,EY15-EY12,0)</f>
        <v>-1.1424269999999979</v>
      </c>
      <c r="EZ16" s="989">
        <f ca="1">IF(EZ9&lt;&gt;0,EZ15-EZ12,0)</f>
        <v>-5.0682000000008998E-2</v>
      </c>
      <c r="FA16" s="1014">
        <f t="shared" ca="1" si="34"/>
        <v>-1.0917449999999889</v>
      </c>
      <c r="FB16" s="958"/>
      <c r="FC16" s="989">
        <f t="shared" ref="FC16:GN16" ca="1" si="95">IF(FC9&lt;&gt;0,FC15-FC12,0)</f>
        <v>0</v>
      </c>
      <c r="FD16" s="989">
        <f t="shared" ca="1" si="95"/>
        <v>1.6546099999992236E-3</v>
      </c>
      <c r="FE16" s="989">
        <f t="shared" ca="1" si="95"/>
        <v>7.7872300000002559E-3</v>
      </c>
      <c r="FF16" s="989">
        <f t="shared" ca="1" si="95"/>
        <v>4.1308199999999518E-7</v>
      </c>
      <c r="FG16" s="989">
        <f t="shared" ca="1" si="95"/>
        <v>1.2431099999994644E-5</v>
      </c>
      <c r="FH16" s="989">
        <f t="shared" ca="1" si="95"/>
        <v>5.5104999999999738E-5</v>
      </c>
      <c r="FI16" s="989">
        <f t="shared" ca="1" si="95"/>
        <v>7.1062899999996265E-4</v>
      </c>
      <c r="FJ16" s="989">
        <f t="shared" ca="1" si="95"/>
        <v>3.1978299999999571E-3</v>
      </c>
      <c r="FK16" s="989">
        <f t="shared" ca="1" si="95"/>
        <v>-4.7420800000015362E-3</v>
      </c>
      <c r="FL16" s="989">
        <f t="shared" ca="1" si="95"/>
        <v>-3.0748630000000318E-4</v>
      </c>
      <c r="FM16" s="989">
        <f t="shared" ca="1" si="95"/>
        <v>0</v>
      </c>
      <c r="FN16" s="989">
        <f ca="1">IF(FN9&lt;&gt;0,FN15-FN12,0)</f>
        <v>1.6476699999999622E-4</v>
      </c>
      <c r="FO16" s="989">
        <f ca="1">IF(FO9&lt;&gt;0,FO15-FO12,0)</f>
        <v>-1.6362540000000592E-4</v>
      </c>
      <c r="FP16" s="989">
        <f t="shared" ca="1" si="95"/>
        <v>-7.3351999999998752E-6</v>
      </c>
      <c r="FQ16" s="989">
        <f t="shared" ca="1" si="95"/>
        <v>5.2806300000002304E-4</v>
      </c>
      <c r="FR16" s="989">
        <f t="shared" ca="1" si="95"/>
        <v>2.8548579999999185E-5</v>
      </c>
      <c r="FS16" s="989">
        <f t="shared" ca="1" si="95"/>
        <v>0</v>
      </c>
      <c r="FT16" s="989">
        <f t="shared" ca="1" si="95"/>
        <v>0</v>
      </c>
      <c r="FU16" s="989">
        <f t="shared" ca="1" si="95"/>
        <v>0</v>
      </c>
      <c r="FV16" s="989">
        <f ca="1">IF(FV9&lt;&gt;0,FV15-FV12,0)</f>
        <v>0</v>
      </c>
      <c r="FW16" s="989">
        <f t="shared" ca="1" si="95"/>
        <v>0</v>
      </c>
      <c r="FX16" s="989">
        <f t="shared" ca="1" si="95"/>
        <v>6.34310000000049E-3</v>
      </c>
      <c r="FY16" s="989">
        <f t="shared" ca="1" si="95"/>
        <v>0</v>
      </c>
      <c r="FZ16" s="989">
        <f t="shared" ca="1" si="95"/>
        <v>0</v>
      </c>
      <c r="GA16" s="989">
        <f ca="1">IF(GA9&lt;&gt;0,GA15-GA12,0)</f>
        <v>0</v>
      </c>
      <c r="GB16" s="989">
        <f t="shared" ca="1" si="95"/>
        <v>1.5974949999998671</v>
      </c>
      <c r="GC16" s="1023"/>
      <c r="GD16" s="989">
        <f t="shared" ca="1" si="95"/>
        <v>-2.3336480000000215E-2</v>
      </c>
      <c r="GE16" s="989">
        <f t="shared" ca="1" si="95"/>
        <v>-1.1652959999999823E-3</v>
      </c>
      <c r="GF16" s="989">
        <f t="shared" ca="1" si="95"/>
        <v>-0.19027509999999737</v>
      </c>
      <c r="GG16" s="989">
        <f t="shared" ca="1" si="95"/>
        <v>-3.9004399999996053E-2</v>
      </c>
      <c r="GH16" s="989">
        <f t="shared" ca="1" si="95"/>
        <v>0</v>
      </c>
      <c r="GI16" s="989">
        <f ca="1">IF(GI9&lt;&gt;0,GI15-GI12,0)</f>
        <v>0</v>
      </c>
      <c r="GJ16" s="989">
        <f t="shared" ca="1" si="95"/>
        <v>0</v>
      </c>
      <c r="GK16" s="989">
        <f t="shared" ca="1" si="95"/>
        <v>-0.46183140000000478</v>
      </c>
      <c r="GL16" s="989">
        <f t="shared" ca="1" si="95"/>
        <v>-0.13733210000000362</v>
      </c>
      <c r="GM16" s="989">
        <f t="shared" ca="1" si="95"/>
        <v>-11.392176999999947</v>
      </c>
      <c r="GN16" s="989">
        <f t="shared" ca="1" si="95"/>
        <v>-7.9047150000000954E-2</v>
      </c>
      <c r="GO16" s="1014">
        <f t="shared" ca="1" si="37"/>
        <v>-1.0917449999999889</v>
      </c>
      <c r="GP16" s="1004"/>
      <c r="GQ16" s="1143" t="s">
        <v>3082</v>
      </c>
      <c r="GR16" s="1183">
        <f ca="1">FK9</f>
        <v>2844.6651299999999</v>
      </c>
      <c r="GS16" s="1182" t="s">
        <v>287</v>
      </c>
      <c r="GT16" s="1143" t="s">
        <v>3069</v>
      </c>
      <c r="GU16" s="1183">
        <f ca="1">GJ9</f>
        <v>220999.43700000001</v>
      </c>
      <c r="GV16" s="1182" t="s">
        <v>287</v>
      </c>
      <c r="GW16" s="946"/>
      <c r="GX16" s="1143" t="s">
        <v>3099</v>
      </c>
      <c r="GY16" s="1181">
        <f ca="1">CQ20</f>
        <v>50.737314900000001</v>
      </c>
    </row>
    <row r="17" spans="1:207" s="914" customFormat="1" x14ac:dyDescent="0.3">
      <c r="A17" s="997"/>
      <c r="B17" s="1020"/>
      <c r="C17" s="1020"/>
      <c r="D17" s="990" t="s">
        <v>1168</v>
      </c>
      <c r="E17" s="995" t="s">
        <v>982</v>
      </c>
      <c r="F17" s="1014">
        <f ca="1">IF(F9&lt;&gt;0,(F13+F14+F16),0)</f>
        <v>-315.57189332922115</v>
      </c>
      <c r="G17" s="1014">
        <f t="shared" ref="G17:P17" ca="1" si="96">IF(G9&lt;&gt;0,(G13+G14+G16),0)</f>
        <v>16.958977353366805</v>
      </c>
      <c r="H17" s="1014">
        <f t="shared" ca="1" si="96"/>
        <v>1.224578636430133</v>
      </c>
      <c r="I17" s="1014">
        <f t="shared" ca="1" si="96"/>
        <v>80.952278605883961</v>
      </c>
      <c r="J17" s="1014">
        <f t="shared" ca="1" si="96"/>
        <v>-2.7306140460192281</v>
      </c>
      <c r="K17" s="1014">
        <f ca="1">IF(K9&lt;&gt;0,(K13+K14+K16),0)</f>
        <v>-0.38821422241906911</v>
      </c>
      <c r="L17" s="1014">
        <f t="shared" ca="1" si="96"/>
        <v>-4.368626386199252</v>
      </c>
      <c r="M17" s="1014">
        <f t="shared" ca="1" si="96"/>
        <v>86.382967786154182</v>
      </c>
      <c r="N17" s="1014">
        <f t="shared" ca="1" si="96"/>
        <v>2.0131846378020808E-4</v>
      </c>
      <c r="O17" s="1015">
        <f t="shared" ca="1" si="96"/>
        <v>14.775949332961872</v>
      </c>
      <c r="P17" s="1014">
        <f t="shared" ca="1" si="96"/>
        <v>-146.9890514290297</v>
      </c>
      <c r="Q17" s="917"/>
      <c r="R17" s="1014">
        <f ca="1">IF(R9&lt;&gt;0,(R13+R14+R16),0)</f>
        <v>-146.9890514290297</v>
      </c>
      <c r="S17" s="1014">
        <f t="shared" ref="S17:AA17" ca="1" si="97">IF(S9&lt;&gt;0,(S13+S14+S16),0)</f>
        <v>3.5819404375231967</v>
      </c>
      <c r="T17" s="1014">
        <f t="shared" ca="1" si="97"/>
        <v>1.2431099999994644E-5</v>
      </c>
      <c r="U17" s="1014">
        <f t="shared" ca="1" si="97"/>
        <v>-0.38882852787784594</v>
      </c>
      <c r="V17" s="1014">
        <f t="shared" ca="1" si="97"/>
        <v>5.5104999999999738E-5</v>
      </c>
      <c r="W17" s="1014">
        <f t="shared" ca="1" si="97"/>
        <v>-1.7497283745927834</v>
      </c>
      <c r="X17" s="1014">
        <f t="shared" ca="1" si="97"/>
        <v>12.589733222954745</v>
      </c>
      <c r="Y17" s="1015">
        <f t="shared" ca="1" si="97"/>
        <v>-110.3510488216302</v>
      </c>
      <c r="Z17" s="1014">
        <f t="shared" ca="1" si="97"/>
        <v>-2.1571478714210097</v>
      </c>
      <c r="AA17" s="1014">
        <f t="shared" ca="1" si="97"/>
        <v>-0.2089557491973198</v>
      </c>
      <c r="AB17" s="917"/>
      <c r="AC17" s="1014">
        <f ca="1">IF(AC9&lt;&gt;0,(AC13+AC14+AC16),0)</f>
        <v>-4.0211060277617686E-2</v>
      </c>
      <c r="AD17" s="1014">
        <f t="shared" ref="AD17:AN17" ca="1" si="98">IF(AD9&lt;&gt;0,(AD13+AD14+AD16),0)</f>
        <v>6.556132058539859</v>
      </c>
      <c r="AE17" s="1014">
        <f t="shared" ca="1" si="98"/>
        <v>-7.9441872443591892</v>
      </c>
      <c r="AF17" s="1014">
        <f t="shared" ca="1" si="98"/>
        <v>-0.51876628005642567</v>
      </c>
      <c r="AG17" s="1014">
        <f t="shared" ca="1" si="98"/>
        <v>-0.48560773454269091</v>
      </c>
      <c r="AH17" s="1014">
        <f t="shared" ca="1" si="98"/>
        <v>-7.3351999999998752E-6</v>
      </c>
      <c r="AI17" s="1014">
        <f t="shared" ca="1" si="98"/>
        <v>-0.11713321078502911</v>
      </c>
      <c r="AJ17" s="1014">
        <f t="shared" ca="1" si="98"/>
        <v>-2.9133742977092614E-9</v>
      </c>
      <c r="AK17" s="1014">
        <f t="shared" ca="1" si="98"/>
        <v>0</v>
      </c>
      <c r="AL17" s="1015">
        <f t="shared" ca="1" si="98"/>
        <v>3.5819404375231967</v>
      </c>
      <c r="AM17" s="1014">
        <f t="shared" ca="1" si="98"/>
        <v>-2.4083269194619629E-3</v>
      </c>
      <c r="AN17" s="1014">
        <f t="shared" ca="1" si="98"/>
        <v>-2.4249994930616234E-2</v>
      </c>
      <c r="AO17" s="917"/>
      <c r="AP17" s="1014">
        <f ca="1">IF(AP9&lt;&gt;0,(AP13+AP14+AP16),0)</f>
        <v>-110.3510488216302</v>
      </c>
      <c r="AQ17" s="1014">
        <f t="shared" ref="AQ17:AY17" ca="1" si="99">IF(AQ9&lt;&gt;0,(AQ13+AQ14+AQ16),0)</f>
        <v>-0.2089557491973198</v>
      </c>
      <c r="AR17" s="1014">
        <f t="shared" ca="1" si="99"/>
        <v>-2.1571478714210097</v>
      </c>
      <c r="AS17" s="1014">
        <f t="shared" ca="1" si="99"/>
        <v>15.404448073866867</v>
      </c>
      <c r="AT17" s="1014">
        <f t="shared" ca="1" si="99"/>
        <v>-1.5880988796640307E-7</v>
      </c>
      <c r="AU17" s="1014">
        <f ca="1">IF(AU9&lt;&gt;0,(AU13+AU14+AU16),0)</f>
        <v>-1.7357883782747199E-9</v>
      </c>
      <c r="AV17" s="1015">
        <f t="shared" ca="1" si="99"/>
        <v>-6.667109293225626E-2</v>
      </c>
      <c r="AW17" s="1014">
        <f t="shared" ca="1" si="99"/>
        <v>12.589733222954745</v>
      </c>
      <c r="AX17" s="1014">
        <f t="shared" ca="1" si="99"/>
        <v>-138.88942433999296</v>
      </c>
      <c r="AY17" s="1014">
        <f t="shared" ca="1" si="99"/>
        <v>16.958977353366805</v>
      </c>
      <c r="AZ17" s="1014">
        <f ca="1">IF(AZ9&lt;&gt;0,(AZ13+AZ14+AZ16),0)</f>
        <v>-23.379247158809896</v>
      </c>
      <c r="BA17" s="1014">
        <f ca="1">IF(BA9&lt;&gt;0,(BA13+BA14+BA16),0)</f>
        <v>100.96948676870939</v>
      </c>
      <c r="BB17" s="1014">
        <f ca="1">IF(BB9&lt;&gt;0,(BB13+BB14+BB16),0)</f>
        <v>-97.281632168432523</v>
      </c>
      <c r="BC17" s="1014">
        <f ca="1">IF(BC9&lt;&gt;0,(BC13+BC14+BC16),0)</f>
        <v>-0.10175386647897909</v>
      </c>
      <c r="BD17" s="917"/>
      <c r="BE17" s="1014">
        <f ca="1">IF(BE9&lt;&gt;0,(BE13+BE14+BE16),0)</f>
        <v>-110.3510488216302</v>
      </c>
      <c r="BF17" s="1014">
        <f t="shared" ref="BF17:BO17" ca="1" si="100">IF(BF9&lt;&gt;0,(BF13+BF14+BF16),0)</f>
        <v>-0.2089557491973198</v>
      </c>
      <c r="BG17" s="1014">
        <f t="shared" ca="1" si="100"/>
        <v>-2.1571478714210097</v>
      </c>
      <c r="BH17" s="1014">
        <f t="shared" ca="1" si="100"/>
        <v>15.404448073866867</v>
      </c>
      <c r="BI17" s="1014">
        <f t="shared" ca="1" si="100"/>
        <v>-1.5880988796640307E-7</v>
      </c>
      <c r="BJ17" s="1015">
        <f t="shared" ca="1" si="100"/>
        <v>-6.667109293225626E-2</v>
      </c>
      <c r="BK17" s="1014">
        <f t="shared" ca="1" si="100"/>
        <v>12.589733222954745</v>
      </c>
      <c r="BL17" s="1014">
        <f t="shared" ca="1" si="100"/>
        <v>-138.88942433999296</v>
      </c>
      <c r="BM17" s="1014">
        <f t="shared" ca="1" si="100"/>
        <v>3.9218708534378095</v>
      </c>
      <c r="BN17" s="1014">
        <f ca="1">IF(BN9&lt;&gt;0,(BN13+BN14+BN16),0)</f>
        <v>-23.379247158809896</v>
      </c>
      <c r="BO17" s="1014">
        <f t="shared" ca="1" si="100"/>
        <v>16.958977353366805</v>
      </c>
      <c r="BP17" s="917"/>
      <c r="BQ17" s="1014">
        <f t="shared" ref="BQ17:BW17" ca="1" si="101">IF(BQ9&lt;&gt;0,(BQ13+BQ14+BQ16),0)</f>
        <v>-1.7357883782747199E-9</v>
      </c>
      <c r="BR17" s="1014">
        <f t="shared" ca="1" si="101"/>
        <v>3.9218708534378095</v>
      </c>
      <c r="BS17" s="1014">
        <f t="shared" ca="1" si="101"/>
        <v>0</v>
      </c>
      <c r="BT17" s="1014">
        <f t="shared" ca="1" si="101"/>
        <v>100.96948676870939</v>
      </c>
      <c r="BU17" s="1014">
        <f t="shared" ca="1" si="101"/>
        <v>-0.10175386647897909</v>
      </c>
      <c r="BV17" s="1014">
        <f t="shared" ca="1" si="101"/>
        <v>-97.281632168432523</v>
      </c>
      <c r="BW17" s="1014">
        <f t="shared" ca="1" si="101"/>
        <v>-2.9333120100000051E-3</v>
      </c>
      <c r="BX17" s="917"/>
      <c r="BY17" s="1014">
        <f ca="1">IF(BY9&lt;&gt;0,(BY13+BY14+BY16),0)</f>
        <v>-97.281632168432523</v>
      </c>
      <c r="BZ17" s="1014">
        <f t="shared" ref="BZ17:CF17" ca="1" si="102">IF(BZ9&lt;&gt;0,(BZ13+BZ14+BZ16),0)</f>
        <v>-0.10175386647897909</v>
      </c>
      <c r="CA17" s="1014">
        <f t="shared" ca="1" si="102"/>
        <v>-2.5354831022583616E-8</v>
      </c>
      <c r="CB17" s="1014">
        <f t="shared" ca="1" si="102"/>
        <v>-5.1710732625487239</v>
      </c>
      <c r="CC17" s="1014">
        <f t="shared" ca="1" si="102"/>
        <v>-65.519854459765611</v>
      </c>
      <c r="CD17" s="1014">
        <f t="shared" ca="1" si="102"/>
        <v>2.3664669137805028</v>
      </c>
      <c r="CE17" s="1014">
        <f t="shared" ca="1" si="102"/>
        <v>0.12526356952489248</v>
      </c>
      <c r="CF17" s="1014">
        <f t="shared" ca="1" si="102"/>
        <v>-11.577804382133733</v>
      </c>
      <c r="CG17" s="917"/>
      <c r="CH17" s="1014">
        <f ca="1">IF(CH9&lt;&gt;0,(CH13+CH14+CH16),0)</f>
        <v>-78.850316597208916</v>
      </c>
      <c r="CI17" s="1014">
        <f ca="1">IF(CI9&lt;&gt;0,(CI13+CI14+CI16),0)</f>
        <v>-102.44485575490933</v>
      </c>
      <c r="CJ17" s="1014">
        <f ca="1">IF(CJ9&lt;&gt;0,(CJ13+CJ14+CJ16),0)</f>
        <v>-92.490190085521817</v>
      </c>
      <c r="CK17" s="1014">
        <f ca="1">IF(CK9&lt;&gt;0,(CK13+CK14+CK16),0)</f>
        <v>0</v>
      </c>
      <c r="CL17" s="1014">
        <f ca="1">IF(CL9&lt;&gt;0,(CL13+CL14+CL16),0)</f>
        <v>0</v>
      </c>
      <c r="CM17" s="917"/>
      <c r="CN17" s="1014">
        <f ca="1">IF(CN9&lt;&gt;0,(CN13+CN14+CN16),0)</f>
        <v>20.24950802276236</v>
      </c>
      <c r="CO17" s="1014">
        <f t="shared" ref="CO17:DH17" ca="1" si="103">IF(CO9&lt;&gt;0,(CO13+CO14+CO16),0)</f>
        <v>0</v>
      </c>
      <c r="CP17" s="1014">
        <f t="shared" ca="1" si="103"/>
        <v>-2.456340346019219</v>
      </c>
      <c r="CQ17" s="1014">
        <f t="shared" ca="1" si="103"/>
        <v>-7.9047165536820035E-2</v>
      </c>
      <c r="CR17" s="1014">
        <f t="shared" ca="1" si="103"/>
        <v>2.3703871940972618</v>
      </c>
      <c r="CS17" s="1014">
        <f ca="1">IF(CS9&lt;&gt;0,(CS13+CS14+CS16),0)</f>
        <v>-0.34922042241907081</v>
      </c>
      <c r="CT17" s="917"/>
      <c r="CU17" s="1014">
        <f t="shared" ca="1" si="103"/>
        <v>14.775949332961872</v>
      </c>
      <c r="CV17" s="1014">
        <f t="shared" ca="1" si="103"/>
        <v>10.228597906007128</v>
      </c>
      <c r="CW17" s="1014">
        <f t="shared" ca="1" si="103"/>
        <v>2.3706027807342145</v>
      </c>
      <c r="CX17" s="1014">
        <f t="shared" ca="1" si="103"/>
        <v>100.96948676870939</v>
      </c>
      <c r="CY17" s="1014">
        <f t="shared" ca="1" si="103"/>
        <v>8.3249126728692321E-2</v>
      </c>
      <c r="CZ17" s="1014">
        <f ca="1">IF(CZ9&lt;&gt;0,(CZ13+CZ14+CZ16),0)</f>
        <v>0</v>
      </c>
      <c r="DA17" s="1014">
        <f ca="1">IF(DA9&lt;&gt;0,(DA13+DA14+DA16),0)</f>
        <v>0</v>
      </c>
      <c r="DB17" s="1014">
        <f t="shared" ca="1" si="103"/>
        <v>3.2688881071136531</v>
      </c>
      <c r="DC17" s="1014">
        <f t="shared" ca="1" si="103"/>
        <v>-1.426208039161771E-8</v>
      </c>
      <c r="DD17" s="1015">
        <f t="shared" ca="1" si="103"/>
        <v>-65.519854459765611</v>
      </c>
      <c r="DE17" s="1014">
        <f t="shared" ca="1" si="103"/>
        <v>-1.0647146123336744</v>
      </c>
      <c r="DF17" s="1014">
        <f ca="1">IF(DF9&lt;&gt;0,(DF13+DF14+DF16),0)</f>
        <v>218.2961633157602</v>
      </c>
      <c r="DG17" s="1014">
        <f t="shared" ca="1" si="103"/>
        <v>8.2103783203994034</v>
      </c>
      <c r="DH17" s="1014">
        <f t="shared" ca="1" si="103"/>
        <v>-5.1710732625487239</v>
      </c>
      <c r="DI17" s="917"/>
      <c r="DJ17" s="1014">
        <f t="shared" ref="DJ17:DP17" ca="1" si="104">IF(DJ9&lt;&gt;0,(DJ13+DJ14+DJ16),0)</f>
        <v>1157.8068322745048</v>
      </c>
      <c r="DK17" s="1014">
        <f t="shared" ca="1" si="104"/>
        <v>250.03737675153107</v>
      </c>
      <c r="DL17" s="1014">
        <f t="shared" ca="1" si="104"/>
        <v>-1.426208039161771E-8</v>
      </c>
      <c r="DM17" s="1014">
        <f t="shared" ca="1" si="104"/>
        <v>3.2688881071136531</v>
      </c>
      <c r="DN17" s="1014">
        <f t="shared" ca="1" si="104"/>
        <v>0</v>
      </c>
      <c r="DO17" s="1015">
        <f t="shared" ca="1" si="104"/>
        <v>1432.9932486410646</v>
      </c>
      <c r="DP17" s="1014">
        <f t="shared" ca="1" si="104"/>
        <v>0</v>
      </c>
      <c r="DQ17" s="917"/>
      <c r="DR17" s="1014">
        <f ca="1">IF(DR9&lt;&gt;0,(DR13+DR14+DR16),0)</f>
        <v>-68.650233575490802</v>
      </c>
      <c r="DS17" s="1014">
        <f ca="1">IF(DS9&lt;&gt;0,(DS13+DS14+DS16),0)</f>
        <v>10.842164232907001</v>
      </c>
      <c r="DT17" s="1014">
        <f ca="1">IF(DT9&lt;&gt;0,(DT13+DT14+DT16),0)</f>
        <v>-59.312592435104946</v>
      </c>
      <c r="DU17" s="1014">
        <f ca="1">IF(DU9&lt;&gt;0,(DU13+DU14+DU16),0)</f>
        <v>0</v>
      </c>
      <c r="DV17" s="1143"/>
      <c r="DW17" s="917"/>
      <c r="DX17" s="1014">
        <f ca="1">IF(DX9&lt;&gt;0,(DX13+DX14+DX16),0)</f>
        <v>-68.650233575490802</v>
      </c>
      <c r="DY17" s="1014">
        <f ca="1">IF(DY9&lt;&gt;0,(DY13+DY14+DY16),0)</f>
        <v>10.842164232907001</v>
      </c>
      <c r="DZ17" s="1014">
        <f ca="1">IF(DZ9&lt;&gt;0,(DZ13+DZ14+DZ16),0)</f>
        <v>-59.312592435104946</v>
      </c>
      <c r="EA17" s="1014">
        <f ca="1">IF(EA9&lt;&gt;0,(EA13+EA14+EA16),0)</f>
        <v>0</v>
      </c>
      <c r="EC17" s="917"/>
      <c r="ED17" s="1014">
        <f ca="1">IF(ED9&lt;&gt;0,(ED13+ED14+ED16),0)</f>
        <v>-3.7121924602157446</v>
      </c>
      <c r="EE17" s="1014">
        <f ca="1">IF(EE9&lt;&gt;0,(EE13+EE14+EE16),0)</f>
        <v>-5.4723677984801782</v>
      </c>
      <c r="EF17" s="1014">
        <f ca="1">IF(EF9&lt;&gt;0,(EF13+EF14+EF16),0)</f>
        <v>0</v>
      </c>
      <c r="EG17" s="1014">
        <f ca="1">IF(EG9&lt;&gt;0,(EG13+EG14+EG16),0)</f>
        <v>0</v>
      </c>
      <c r="EH17" s="1143"/>
      <c r="EI17" s="917"/>
      <c r="EJ17" s="1014">
        <f ca="1">IF(EJ9&lt;&gt;0,(EJ13+EJ14+EJ16),0)</f>
        <v>89.01277036383722</v>
      </c>
      <c r="EK17" s="1014">
        <f ca="1">IF(EK9&lt;&gt;0,(EK13+EK14+EK16),0)</f>
        <v>-7.7653468550014917E-7</v>
      </c>
      <c r="EL17" s="1014">
        <f ca="1">IF(EL9&lt;&gt;0,(EL13+EL14+EL16),0)</f>
        <v>10.227804145393302</v>
      </c>
      <c r="EM17" s="1014">
        <f ca="1">IF(EM9&lt;&gt;0,(EM13+EM14+EM16),0)</f>
        <v>-20.334017580135438</v>
      </c>
      <c r="EO17" s="917"/>
      <c r="EP17" s="1014">
        <f ca="1">IF(EP9&lt;&gt;0,(EP13+EP14+EP16),0)</f>
        <v>50.185212018670242</v>
      </c>
      <c r="EQ17" s="1014">
        <f ca="1">IF(EQ9&lt;&gt;0,(EQ13+EQ14+EQ16),0)</f>
        <v>8.2103783203994034</v>
      </c>
      <c r="ER17" s="1014">
        <f ca="1">IF(ER9&lt;&gt;0,(ER13+ER14+ER16),0)</f>
        <v>40.833457113386714</v>
      </c>
      <c r="ES17" s="1014">
        <f ca="1">IF(ES9&lt;&gt;0,(ES13+ES14+ES16),0)</f>
        <v>-2.463432099492519E-3</v>
      </c>
      <c r="ET17" s="1143"/>
      <c r="EU17" s="917"/>
      <c r="EV17" s="1014">
        <f ca="1">IF(EV9&lt;&gt;0,(EV13+EV14+EV16),0)</f>
        <v>-1.5880988796640307E-7</v>
      </c>
      <c r="EW17" s="1014">
        <f ca="1">IF(EW9&lt;&gt;0,(EW13+EW14+EW16),0)</f>
        <v>-23.379247158809896</v>
      </c>
      <c r="EX17" s="917"/>
      <c r="EY17" s="1014">
        <f ca="1">IF(EY9&lt;&gt;0,(EY13+EY14+EY16),0)</f>
        <v>89.01277036383722</v>
      </c>
      <c r="EZ17" s="1014">
        <f ca="1">IF(EZ9&lt;&gt;0,(EZ13+EZ14+EZ16),0)</f>
        <v>10.227804145393302</v>
      </c>
      <c r="FA17" s="1014">
        <f ca="1">EY17-EZ17-EY20</f>
        <v>-19.544912181556086</v>
      </c>
      <c r="FB17" s="917"/>
      <c r="FC17" s="1014">
        <f t="shared" ref="FC17:GN17" ca="1" si="105">IF(FC9&lt;&gt;0,(FC13+FC14+FC16),0)</f>
        <v>-315.57189332922115</v>
      </c>
      <c r="FD17" s="1014">
        <f t="shared" ca="1" si="105"/>
        <v>1.224578636430133</v>
      </c>
      <c r="FE17" s="1014">
        <f t="shared" ca="1" si="105"/>
        <v>-4.368626386199252</v>
      </c>
      <c r="FF17" s="1014">
        <f t="shared" ca="1" si="105"/>
        <v>2.0131846378020808E-4</v>
      </c>
      <c r="FG17" s="1014">
        <f t="shared" ca="1" si="105"/>
        <v>1.2431099999994644E-5</v>
      </c>
      <c r="FH17" s="1014">
        <f t="shared" ca="1" si="105"/>
        <v>5.5104999999999738E-5</v>
      </c>
      <c r="FI17" s="1014">
        <f t="shared" ca="1" si="105"/>
        <v>-0.38882852787784594</v>
      </c>
      <c r="FJ17" s="1014">
        <f t="shared" ca="1" si="105"/>
        <v>-1.7497283745927834</v>
      </c>
      <c r="FK17" s="1014">
        <f t="shared" ca="1" si="105"/>
        <v>-7.9441872443591892</v>
      </c>
      <c r="FL17" s="1014">
        <f t="shared" ca="1" si="105"/>
        <v>-4.0211060277617686E-2</v>
      </c>
      <c r="FM17" s="1014">
        <f t="shared" ca="1" si="105"/>
        <v>0</v>
      </c>
      <c r="FN17" s="1014">
        <f ca="1">IF(FN9&lt;&gt;0,(FN13+FN14+FN16),0)</f>
        <v>-0.22789580472544735</v>
      </c>
      <c r="FO17" s="1014">
        <f ca="1">IF(FO9&lt;&gt;0,(FO13+FO14+FO16),0)</f>
        <v>-0.48560773454269091</v>
      </c>
      <c r="FP17" s="1014">
        <f t="shared" ca="1" si="105"/>
        <v>-7.3351999999998752E-6</v>
      </c>
      <c r="FQ17" s="1014">
        <f t="shared" ca="1" si="105"/>
        <v>-0.28893568233097827</v>
      </c>
      <c r="FR17" s="1014">
        <f t="shared" ca="1" si="105"/>
        <v>-0.11713321078502911</v>
      </c>
      <c r="FS17" s="1014">
        <f t="shared" ca="1" si="105"/>
        <v>-2.9133742977092614E-9</v>
      </c>
      <c r="FT17" s="1014">
        <f t="shared" ca="1" si="105"/>
        <v>-1.7357883782747199E-9</v>
      </c>
      <c r="FU17" s="1014">
        <f t="shared" ca="1" si="105"/>
        <v>0</v>
      </c>
      <c r="FV17" s="1014">
        <f ca="1">IF(FV9&lt;&gt;0,(FV13+FV14+FV16),0)</f>
        <v>0</v>
      </c>
      <c r="FW17" s="1014">
        <f t="shared" ca="1" si="105"/>
        <v>-1.426208039161771E-8</v>
      </c>
      <c r="FX17" s="1014">
        <f t="shared" ca="1" si="105"/>
        <v>3.2688881071136531</v>
      </c>
      <c r="FY17" s="1014">
        <f t="shared" ca="1" si="105"/>
        <v>-2.5354831022583616E-8</v>
      </c>
      <c r="FZ17" s="1014">
        <f t="shared" ca="1" si="105"/>
        <v>0.31481130385388462</v>
      </c>
      <c r="GA17" s="1014">
        <f ca="1">IF(GA9&lt;&gt;0,(GA13+GA14+GA16),0)</f>
        <v>0</v>
      </c>
      <c r="GB17" s="1014">
        <f t="shared" ca="1" si="105"/>
        <v>87.157311526553755</v>
      </c>
      <c r="GC17" s="1022"/>
      <c r="GD17" s="1014">
        <f t="shared" ca="1" si="105"/>
        <v>-2.4249994930616234E-2</v>
      </c>
      <c r="GE17" s="1014">
        <f t="shared" ca="1" si="105"/>
        <v>-2.4083269194619629E-3</v>
      </c>
      <c r="GF17" s="1014">
        <f t="shared" ca="1" si="105"/>
        <v>-138.88942433999296</v>
      </c>
      <c r="GG17" s="1014">
        <f t="shared" ca="1" si="105"/>
        <v>-6.667109293225626E-2</v>
      </c>
      <c r="GH17" s="1014">
        <f t="shared" ca="1" si="105"/>
        <v>0</v>
      </c>
      <c r="GI17" s="1014">
        <f ca="1">IF(GI9&lt;&gt;0,(GI13+GI14+GI16),0)</f>
        <v>0</v>
      </c>
      <c r="GJ17" s="1014">
        <f t="shared" ca="1" si="105"/>
        <v>-1.0647146123336744</v>
      </c>
      <c r="GK17" s="1014">
        <f t="shared" ca="1" si="105"/>
        <v>8.2103783203994034</v>
      </c>
      <c r="GL17" s="1014">
        <f t="shared" ca="1" si="105"/>
        <v>0.12526356952489248</v>
      </c>
      <c r="GM17" s="1014">
        <f t="shared" ca="1" si="105"/>
        <v>-11.577804382133733</v>
      </c>
      <c r="GN17" s="1014">
        <f t="shared" ca="1" si="105"/>
        <v>-7.9047165536820035E-2</v>
      </c>
      <c r="GO17" s="1014">
        <f t="shared" ca="1" si="37"/>
        <v>-19.544912181556086</v>
      </c>
      <c r="GP17" s="1021"/>
      <c r="GR17" s="1181">
        <f ca="1">FK10</f>
        <v>80.528303244226436</v>
      </c>
      <c r="GS17" s="1182" t="s">
        <v>3077</v>
      </c>
      <c r="GU17" s="1181">
        <f ca="1">GJ10</f>
        <v>87.834635902677078</v>
      </c>
      <c r="GV17" s="1182" t="s">
        <v>3077</v>
      </c>
      <c r="GW17" s="946"/>
      <c r="GX17" s="1143" t="s">
        <v>3100</v>
      </c>
      <c r="GY17" s="1181">
        <f ca="1">J17+K17</f>
        <v>-3.1188282684382971</v>
      </c>
    </row>
    <row r="18" spans="1:207" s="914" customFormat="1" x14ac:dyDescent="0.3">
      <c r="A18" s="997"/>
      <c r="B18" s="1020"/>
      <c r="C18" s="1020"/>
      <c r="D18" s="1019"/>
      <c r="E18" s="1018"/>
      <c r="F18" s="1017"/>
      <c r="G18" s="1017"/>
      <c r="H18" s="1017"/>
      <c r="I18" s="1017"/>
      <c r="J18" s="1017"/>
      <c r="K18" s="1017"/>
      <c r="L18" s="1017"/>
      <c r="M18" s="1017"/>
      <c r="N18" s="1015"/>
      <c r="O18" s="1017"/>
      <c r="P18" s="1017"/>
      <c r="Q18" s="917"/>
      <c r="R18" s="1017"/>
      <c r="S18" s="1017"/>
      <c r="T18" s="1017"/>
      <c r="U18" s="1017"/>
      <c r="V18" s="1017"/>
      <c r="W18" s="1017"/>
      <c r="X18" s="1015"/>
      <c r="Y18" s="1017"/>
      <c r="Z18" s="1017"/>
      <c r="AA18" s="1017"/>
      <c r="AB18" s="917"/>
      <c r="AC18" s="1017"/>
      <c r="AD18" s="1017"/>
      <c r="AE18" s="1017"/>
      <c r="AF18" s="1017"/>
      <c r="AG18" s="1017"/>
      <c r="AH18" s="1017"/>
      <c r="AI18" s="1017"/>
      <c r="AJ18" s="1017"/>
      <c r="AK18" s="1015"/>
      <c r="AL18" s="1017"/>
      <c r="AM18" s="1017"/>
      <c r="AN18" s="1017"/>
      <c r="AO18" s="917"/>
      <c r="AP18" s="1017"/>
      <c r="AQ18" s="1017"/>
      <c r="AR18" s="1017"/>
      <c r="AS18" s="1017"/>
      <c r="AT18" s="1015"/>
      <c r="AU18" s="1015"/>
      <c r="AV18" s="1017"/>
      <c r="AW18" s="1017"/>
      <c r="AX18" s="1017"/>
      <c r="AY18" s="1017"/>
      <c r="AZ18" s="1017"/>
      <c r="BA18" s="1017"/>
      <c r="BB18" s="1017"/>
      <c r="BC18" s="1017"/>
      <c r="BD18" s="917"/>
      <c r="BE18" s="1017"/>
      <c r="BF18" s="1017"/>
      <c r="BG18" s="1017"/>
      <c r="BH18" s="1017"/>
      <c r="BI18" s="1015"/>
      <c r="BJ18" s="1017"/>
      <c r="BK18" s="1017"/>
      <c r="BL18" s="1017"/>
      <c r="BM18" s="1017"/>
      <c r="BN18" s="1017"/>
      <c r="BO18" s="1017"/>
      <c r="BP18" s="917"/>
      <c r="BQ18" s="1017"/>
      <c r="BR18" s="1014"/>
      <c r="BS18" s="1014"/>
      <c r="BT18" s="1014"/>
      <c r="BU18" s="1014"/>
      <c r="BV18" s="1014"/>
      <c r="BW18" s="1014"/>
      <c r="BX18" s="917"/>
      <c r="BY18" s="1017"/>
      <c r="BZ18" s="1017"/>
      <c r="CA18" s="1017"/>
      <c r="CB18" s="1017"/>
      <c r="CC18" s="1017"/>
      <c r="CD18" s="1017"/>
      <c r="CE18" s="1017"/>
      <c r="CF18" s="1017"/>
      <c r="CG18" s="917"/>
      <c r="CH18" s="1017"/>
      <c r="CI18" s="1014"/>
      <c r="CJ18" s="918"/>
      <c r="CK18" s="1014"/>
      <c r="CL18" s="1016"/>
      <c r="CM18" s="917"/>
      <c r="CN18" s="1014"/>
      <c r="CO18" s="1014"/>
      <c r="CP18" s="918"/>
      <c r="CQ18" s="1014"/>
      <c r="CR18" s="1014"/>
      <c r="CS18" s="1014"/>
      <c r="CT18" s="917"/>
      <c r="CU18" s="1014"/>
      <c r="CV18" s="1014"/>
      <c r="CW18" s="1014"/>
      <c r="CX18" s="1014"/>
      <c r="CY18" s="1014"/>
      <c r="CZ18" s="1014"/>
      <c r="DA18" s="1014"/>
      <c r="DB18" s="1014"/>
      <c r="DC18" s="1014"/>
      <c r="DD18" s="1015"/>
      <c r="DE18" s="1014"/>
      <c r="DF18" s="1014"/>
      <c r="DG18" s="1014"/>
      <c r="DH18" s="1014"/>
      <c r="DI18" s="917"/>
      <c r="DJ18" s="1014"/>
      <c r="DK18" s="1014"/>
      <c r="DL18" s="1014"/>
      <c r="DM18" s="1014"/>
      <c r="DN18" s="1014"/>
      <c r="DO18" s="1015"/>
      <c r="DP18" s="1014"/>
      <c r="DQ18" s="917"/>
      <c r="DR18" s="1014"/>
      <c r="DS18" s="1014"/>
      <c r="DT18" s="1014"/>
      <c r="DU18" s="1014"/>
      <c r="DV18" s="1143"/>
      <c r="DW18" s="917"/>
      <c r="DX18" s="1014"/>
      <c r="DY18" s="1014"/>
      <c r="DZ18" s="1014"/>
      <c r="EA18" s="1014"/>
      <c r="EC18" s="917"/>
      <c r="ED18" s="1014"/>
      <c r="EE18" s="1014"/>
      <c r="EF18" s="1014"/>
      <c r="EG18" s="1014"/>
      <c r="EH18" s="1143"/>
      <c r="EI18" s="917"/>
      <c r="EJ18" s="1014"/>
      <c r="EK18" s="918"/>
      <c r="EL18" s="1014"/>
      <c r="EM18" s="1014"/>
      <c r="EO18" s="917"/>
      <c r="EP18" s="1014"/>
      <c r="EQ18" s="1014"/>
      <c r="ER18" s="1014"/>
      <c r="ES18" s="1014"/>
      <c r="ET18" s="1143"/>
      <c r="EU18" s="917"/>
      <c r="EV18" s="1014"/>
      <c r="EW18" s="1014"/>
      <c r="EX18" s="917"/>
      <c r="EY18" s="1014"/>
      <c r="EZ18" s="1014"/>
      <c r="FA18" s="1014"/>
      <c r="FB18" s="917"/>
      <c r="FC18" s="1017"/>
      <c r="FD18" s="1017"/>
      <c r="FE18" s="1017"/>
      <c r="FF18" s="1017"/>
      <c r="FG18" s="1017"/>
      <c r="FH18" s="1017"/>
      <c r="FI18" s="1017"/>
      <c r="FJ18" s="1017"/>
      <c r="FK18" s="1017"/>
      <c r="FL18" s="1017"/>
      <c r="FM18" s="1017"/>
      <c r="FN18" s="1017"/>
      <c r="FO18" s="1017"/>
      <c r="FP18" s="1017"/>
      <c r="FQ18" s="1017"/>
      <c r="FR18" s="1017"/>
      <c r="FS18" s="1017"/>
      <c r="FT18" s="1017"/>
      <c r="FU18" s="1017"/>
      <c r="FV18" s="1017"/>
      <c r="FW18" s="1017"/>
      <c r="FX18" s="1017"/>
      <c r="FY18" s="1017"/>
      <c r="FZ18" s="1017"/>
      <c r="GA18" s="1017"/>
      <c r="GB18" s="1017"/>
      <c r="GC18" s="918"/>
      <c r="GD18" s="1014"/>
      <c r="GE18" s="1014"/>
      <c r="GF18" s="1014"/>
      <c r="GG18" s="1014"/>
      <c r="GH18" s="1014"/>
      <c r="GI18" s="1014"/>
      <c r="GJ18" s="1014"/>
      <c r="GK18" s="1014"/>
      <c r="GL18" s="1014"/>
      <c r="GM18" s="1014"/>
      <c r="GN18" s="1014"/>
      <c r="GO18" s="1014"/>
      <c r="GP18" s="1002"/>
      <c r="GR18" s="1181">
        <f ca="1">FK17</f>
        <v>-7.9441872443591892</v>
      </c>
      <c r="GS18" s="1182" t="s">
        <v>3079</v>
      </c>
      <c r="GU18" s="1181">
        <f ca="1">GJ17</f>
        <v>-1.0647146123336744</v>
      </c>
      <c r="GV18" s="1182" t="s">
        <v>3079</v>
      </c>
      <c r="GW18" s="946"/>
      <c r="GX18" s="1143" t="s">
        <v>3101</v>
      </c>
      <c r="GY18" s="1181">
        <f ca="1">BK20</f>
        <v>-38.7022987</v>
      </c>
    </row>
    <row r="19" spans="1:207" s="914" customFormat="1" x14ac:dyDescent="0.3">
      <c r="A19" s="943"/>
      <c r="B19" s="977"/>
      <c r="C19" s="977"/>
      <c r="D19" s="1013" t="s">
        <v>1174</v>
      </c>
      <c r="E19" s="1013" t="s">
        <v>1164</v>
      </c>
      <c r="F19" s="990" t="s">
        <v>2552</v>
      </c>
      <c r="G19" s="990"/>
      <c r="H19" s="991"/>
      <c r="I19" s="991"/>
      <c r="J19" s="991"/>
      <c r="K19" s="991"/>
      <c r="L19" s="991"/>
      <c r="M19" s="991"/>
      <c r="N19" s="991"/>
      <c r="O19" s="992" t="s">
        <v>2983</v>
      </c>
      <c r="P19" s="991"/>
      <c r="Q19" s="958"/>
      <c r="R19" s="990"/>
      <c r="S19" s="991"/>
      <c r="T19" s="991"/>
      <c r="U19" s="991"/>
      <c r="V19" s="991"/>
      <c r="W19" s="991"/>
      <c r="X19" s="991"/>
      <c r="Y19" s="992" t="s">
        <v>1179</v>
      </c>
      <c r="Z19" s="991" t="s">
        <v>2551</v>
      </c>
      <c r="AA19" s="991" t="s">
        <v>2550</v>
      </c>
      <c r="AB19" s="958"/>
      <c r="AC19" s="990"/>
      <c r="AD19" s="990"/>
      <c r="AE19" s="991"/>
      <c r="AF19" s="991"/>
      <c r="AG19" s="991"/>
      <c r="AH19" s="991"/>
      <c r="AI19" s="991"/>
      <c r="AJ19" s="991"/>
      <c r="AK19" s="991"/>
      <c r="AL19" s="1000" t="s">
        <v>1180</v>
      </c>
      <c r="AM19" s="1000" t="s">
        <v>1189</v>
      </c>
      <c r="AN19" s="1000"/>
      <c r="AO19" s="958"/>
      <c r="AP19" s="990"/>
      <c r="AQ19" s="990"/>
      <c r="AR19" s="991"/>
      <c r="AS19" s="991"/>
      <c r="AT19" s="991"/>
      <c r="AU19" s="991"/>
      <c r="AV19" s="1012"/>
      <c r="AW19" s="990" t="s">
        <v>1190</v>
      </c>
      <c r="AX19" s="990" t="s">
        <v>1503</v>
      </c>
      <c r="AY19" s="1000"/>
      <c r="AZ19" s="1000"/>
      <c r="BA19" s="1000"/>
      <c r="BB19" s="1000"/>
      <c r="BC19" s="1000"/>
      <c r="BD19" s="958"/>
      <c r="BE19" s="990"/>
      <c r="BF19" s="990"/>
      <c r="BG19" s="991"/>
      <c r="BH19" s="991"/>
      <c r="BI19" s="991"/>
      <c r="BJ19" s="1012" t="s">
        <v>2758</v>
      </c>
      <c r="BK19" s="990" t="s">
        <v>1190</v>
      </c>
      <c r="BL19" s="990" t="s">
        <v>1503</v>
      </c>
      <c r="BM19" s="1000"/>
      <c r="BN19" s="1000"/>
      <c r="BO19" s="1000"/>
      <c r="BP19" s="958"/>
      <c r="BQ19" s="990"/>
      <c r="BR19" s="990"/>
      <c r="BS19" s="990"/>
      <c r="BT19" s="995" t="s">
        <v>2988</v>
      </c>
      <c r="BU19" s="995"/>
      <c r="BV19" s="995"/>
      <c r="BW19" s="995"/>
      <c r="BX19" s="958"/>
      <c r="BY19" s="990"/>
      <c r="BZ19" s="990"/>
      <c r="CA19" s="990"/>
      <c r="CB19" s="990"/>
      <c r="CC19" s="915"/>
      <c r="CD19" s="990"/>
      <c r="CE19" s="990" t="s">
        <v>354</v>
      </c>
      <c r="CF19" s="990" t="s">
        <v>355</v>
      </c>
      <c r="CG19" s="958"/>
      <c r="CH19" s="990"/>
      <c r="CI19" s="1000"/>
      <c r="CJ19" s="915" t="s">
        <v>353</v>
      </c>
      <c r="CK19" s="1000"/>
      <c r="CL19" s="1003"/>
      <c r="CM19" s="958"/>
      <c r="CN19" s="990" t="s">
        <v>354</v>
      </c>
      <c r="CO19" s="1000"/>
      <c r="CP19" s="915" t="s">
        <v>1186</v>
      </c>
      <c r="CQ19" s="1000" t="s">
        <v>352</v>
      </c>
      <c r="CR19" s="1000"/>
      <c r="CS19" s="1000"/>
      <c r="CT19" s="958"/>
      <c r="CU19" s="1000"/>
      <c r="CV19" s="1000"/>
      <c r="CW19" s="1000"/>
      <c r="CX19" s="1000"/>
      <c r="CY19" s="1000"/>
      <c r="CZ19" s="1000"/>
      <c r="DA19" s="1000"/>
      <c r="DB19" s="1000"/>
      <c r="DC19" s="1000"/>
      <c r="DD19" s="1141" t="s">
        <v>2930</v>
      </c>
      <c r="DE19" s="1000" t="s">
        <v>3036</v>
      </c>
      <c r="DF19" s="1000" t="s">
        <v>3143</v>
      </c>
      <c r="DG19" s="1000" t="s">
        <v>3144</v>
      </c>
      <c r="DH19" s="1000"/>
      <c r="DI19" s="958"/>
      <c r="DJ19" s="1000"/>
      <c r="DK19" s="1000"/>
      <c r="DL19" s="1000"/>
      <c r="DM19" s="1000"/>
      <c r="DN19" s="1000"/>
      <c r="DO19" s="1141" t="s">
        <v>2930</v>
      </c>
      <c r="DP19" s="1000"/>
      <c r="DQ19" s="958"/>
      <c r="DR19" s="1000"/>
      <c r="DS19" s="990"/>
      <c r="DT19" s="1000" t="s">
        <v>2935</v>
      </c>
      <c r="DU19" s="990"/>
      <c r="DV19" s="1144"/>
      <c r="DW19" s="958"/>
      <c r="DX19" s="1000"/>
      <c r="DY19" s="990"/>
      <c r="DZ19" s="1000" t="s">
        <v>2935</v>
      </c>
      <c r="EA19" s="990"/>
      <c r="EB19" s="918"/>
      <c r="EC19" s="958"/>
      <c r="ED19" s="1000"/>
      <c r="EE19" s="990" t="s">
        <v>2936</v>
      </c>
      <c r="EF19" s="1000"/>
      <c r="EG19" s="990"/>
      <c r="EH19" s="1144"/>
      <c r="EI19" s="958"/>
      <c r="EJ19" s="990" t="s">
        <v>2493</v>
      </c>
      <c r="EK19" s="990"/>
      <c r="EL19" s="1000"/>
      <c r="EM19" s="990"/>
      <c r="EN19" s="918"/>
      <c r="EO19" s="958"/>
      <c r="EP19" s="1000"/>
      <c r="EQ19" s="990" t="s">
        <v>3036</v>
      </c>
      <c r="ER19" s="1000"/>
      <c r="ES19" s="990"/>
      <c r="ET19" s="1144"/>
      <c r="EU19" s="958"/>
      <c r="EV19" s="1000"/>
      <c r="EW19" s="1000"/>
      <c r="EX19" s="958"/>
      <c r="EY19" s="1000" t="s">
        <v>3151</v>
      </c>
      <c r="EZ19" s="1000"/>
      <c r="FA19" s="1000"/>
      <c r="FB19" s="958"/>
      <c r="FC19" s="990"/>
      <c r="FD19" s="990"/>
      <c r="FE19" s="1000"/>
      <c r="FF19" s="1000"/>
      <c r="FG19" s="1000"/>
      <c r="FH19" s="1000"/>
      <c r="FI19" s="1000"/>
      <c r="FJ19" s="1000"/>
      <c r="FK19" s="1000"/>
      <c r="FL19" s="1000"/>
      <c r="FM19" s="1000"/>
      <c r="FN19" s="1000"/>
      <c r="FO19" s="1000"/>
      <c r="FP19" s="1000"/>
      <c r="FQ19" s="1000"/>
      <c r="FR19" s="1000"/>
      <c r="FS19" s="1000"/>
      <c r="FT19" s="1000"/>
      <c r="FU19" s="1000"/>
      <c r="FV19" s="1000"/>
      <c r="FW19" s="1000"/>
      <c r="FX19" s="1000"/>
      <c r="FY19" s="1000"/>
      <c r="FZ19" s="1000"/>
      <c r="GA19" s="1000"/>
      <c r="GB19" s="1000"/>
      <c r="GC19" s="918"/>
      <c r="GD19" s="1108" t="s">
        <v>355</v>
      </c>
      <c r="GE19" s="1108" t="s">
        <v>3024</v>
      </c>
      <c r="GF19" s="1153" t="s">
        <v>2988</v>
      </c>
      <c r="GG19" s="1153" t="s">
        <v>2933</v>
      </c>
      <c r="GH19" s="1153" t="s">
        <v>3006</v>
      </c>
      <c r="GI19" s="1153" t="s">
        <v>3036</v>
      </c>
      <c r="GJ19" s="1000" t="s">
        <v>3042</v>
      </c>
      <c r="GK19" s="1000" t="s">
        <v>3045</v>
      </c>
      <c r="GL19" s="1000" t="s">
        <v>3073</v>
      </c>
      <c r="GM19" s="1000"/>
      <c r="GN19" s="1000"/>
      <c r="GO19" s="1000"/>
      <c r="GP19" s="1004"/>
      <c r="GR19" s="946"/>
      <c r="GS19" s="946"/>
      <c r="GU19" s="946"/>
      <c r="GV19" s="946"/>
      <c r="GW19" s="946"/>
      <c r="GX19" s="1143"/>
      <c r="GY19" s="946"/>
    </row>
    <row r="20" spans="1:207" s="1008" customFormat="1" x14ac:dyDescent="0.3">
      <c r="A20" s="997"/>
      <c r="B20" s="996"/>
      <c r="C20" s="996"/>
      <c r="D20" s="990" t="s">
        <v>1174</v>
      </c>
      <c r="E20" s="995" t="s">
        <v>982</v>
      </c>
      <c r="F20" s="989">
        <f t="shared" ref="F20:P20" ca="1" si="106">IF(F19&lt;&gt;"",VLOOKUP(F19,INDIRECT(LU_HEAT),2,FALSE),0)</f>
        <v>-2.2618047099999998</v>
      </c>
      <c r="G20" s="989">
        <f t="shared" ca="1" si="106"/>
        <v>0</v>
      </c>
      <c r="H20" s="989">
        <f t="shared" ca="1" si="106"/>
        <v>0</v>
      </c>
      <c r="I20" s="989">
        <f t="shared" ca="1" si="106"/>
        <v>0</v>
      </c>
      <c r="J20" s="989">
        <f t="shared" ca="1" si="106"/>
        <v>0</v>
      </c>
      <c r="K20" s="989">
        <f ca="1">IF(K19&lt;&gt;"",VLOOKUP(K19,INDIRECT(LU_HEAT),2,FALSE),0)</f>
        <v>0</v>
      </c>
      <c r="L20" s="989">
        <f t="shared" ca="1" si="106"/>
        <v>0</v>
      </c>
      <c r="M20" s="989">
        <f t="shared" ca="1" si="106"/>
        <v>0</v>
      </c>
      <c r="N20" s="989">
        <f t="shared" ca="1" si="106"/>
        <v>0</v>
      </c>
      <c r="O20" s="994">
        <f t="shared" ca="1" si="106"/>
        <v>7.2414730399999998</v>
      </c>
      <c r="P20" s="989">
        <f t="shared" ca="1" si="106"/>
        <v>0</v>
      </c>
      <c r="Q20" s="916"/>
      <c r="R20" s="989">
        <f t="shared" ref="R20:AA20" ca="1" si="107">IF(R19&lt;&gt;"",VLOOKUP(R19,INDIRECT(LU_HEAT),2,FALSE),0)</f>
        <v>0</v>
      </c>
      <c r="S20" s="989">
        <f t="shared" ca="1" si="107"/>
        <v>0</v>
      </c>
      <c r="T20" s="989">
        <f t="shared" ca="1" si="107"/>
        <v>0</v>
      </c>
      <c r="U20" s="989">
        <f t="shared" ca="1" si="107"/>
        <v>0</v>
      </c>
      <c r="V20" s="989">
        <f t="shared" ca="1" si="107"/>
        <v>0</v>
      </c>
      <c r="W20" s="989">
        <f t="shared" ca="1" si="107"/>
        <v>0</v>
      </c>
      <c r="X20" s="989">
        <f t="shared" ca="1" si="107"/>
        <v>0</v>
      </c>
      <c r="Y20" s="994">
        <f t="shared" ca="1" si="107"/>
        <v>4.8719147400000002</v>
      </c>
      <c r="Z20" s="989">
        <f t="shared" ca="1" si="107"/>
        <v>16.5899222</v>
      </c>
      <c r="AA20" s="989">
        <f t="shared" ca="1" si="107"/>
        <v>0.36176343599999999</v>
      </c>
      <c r="AB20" s="916"/>
      <c r="AC20" s="989">
        <f t="shared" ref="AC20:AN20" ca="1" si="108">IF(AC19&lt;&gt;"",VLOOKUP(AC19,INDIRECT(LU_HEAT),2,FALSE),0)</f>
        <v>0</v>
      </c>
      <c r="AD20" s="989">
        <f t="shared" ca="1" si="108"/>
        <v>0</v>
      </c>
      <c r="AE20" s="989">
        <f t="shared" ca="1" si="108"/>
        <v>0</v>
      </c>
      <c r="AF20" s="989">
        <f t="shared" ca="1" si="108"/>
        <v>0</v>
      </c>
      <c r="AG20" s="989">
        <f t="shared" ca="1" si="108"/>
        <v>0</v>
      </c>
      <c r="AH20" s="989">
        <f t="shared" ca="1" si="108"/>
        <v>0</v>
      </c>
      <c r="AI20" s="989">
        <f t="shared" ca="1" si="108"/>
        <v>0</v>
      </c>
      <c r="AJ20" s="989">
        <f t="shared" ca="1" si="108"/>
        <v>0</v>
      </c>
      <c r="AK20" s="989">
        <f t="shared" ca="1" si="108"/>
        <v>0</v>
      </c>
      <c r="AL20" s="994">
        <f t="shared" ca="1" si="108"/>
        <v>8.5723706800000006</v>
      </c>
      <c r="AM20" s="989">
        <f t="shared" ca="1" si="108"/>
        <v>1.1719730799999999</v>
      </c>
      <c r="AN20" s="989">
        <f t="shared" ca="1" si="108"/>
        <v>0</v>
      </c>
      <c r="AO20" s="916"/>
      <c r="AP20" s="989">
        <f t="shared" ref="AP20:AY20" ca="1" si="109">IF(AP19&lt;&gt;"",VLOOKUP(AP19,INDIRECT(LU_HEAT),2,FALSE),0)</f>
        <v>0</v>
      </c>
      <c r="AQ20" s="989">
        <f t="shared" ca="1" si="109"/>
        <v>0</v>
      </c>
      <c r="AR20" s="989">
        <f t="shared" ca="1" si="109"/>
        <v>0</v>
      </c>
      <c r="AS20" s="989">
        <f t="shared" ca="1" si="109"/>
        <v>0</v>
      </c>
      <c r="AT20" s="989">
        <f t="shared" ca="1" si="109"/>
        <v>0</v>
      </c>
      <c r="AU20" s="989">
        <f ca="1">IF(AU19&lt;&gt;"",VLOOKUP(AU19,INDIRECT(LU_HEAT),2,FALSE),0)</f>
        <v>0</v>
      </c>
      <c r="AV20" s="994">
        <f t="shared" ca="1" si="109"/>
        <v>0</v>
      </c>
      <c r="AW20" s="989">
        <f t="shared" ca="1" si="109"/>
        <v>-38.7022987</v>
      </c>
      <c r="AX20" s="989">
        <f t="shared" ca="1" si="109"/>
        <v>8.2030449700000005</v>
      </c>
      <c r="AY20" s="989">
        <f t="shared" ca="1" si="109"/>
        <v>0</v>
      </c>
      <c r="AZ20" s="989">
        <f ca="1">IF(AZ19&lt;&gt;"",VLOOKUP(AZ19,INDIRECT(LU_HEAT),2,FALSE),0)</f>
        <v>0</v>
      </c>
      <c r="BA20" s="989">
        <f ca="1">IF(BA19&lt;&gt;"",VLOOKUP(BA19,INDIRECT(LU_HEAT),2,FALSE),0)</f>
        <v>0</v>
      </c>
      <c r="BB20" s="989">
        <f ca="1">IF(BB19&lt;&gt;"",VLOOKUP(BB19,INDIRECT(LU_HEAT),2,FALSE),0)</f>
        <v>0</v>
      </c>
      <c r="BC20" s="989">
        <f ca="1">IF(BC19&lt;&gt;"",VLOOKUP(BC19,INDIRECT(LU_HEAT),2,FALSE),0)</f>
        <v>0</v>
      </c>
      <c r="BD20" s="916"/>
      <c r="BE20" s="989">
        <f t="shared" ref="BE20:BO20" ca="1" si="110">IF(BE19&lt;&gt;"",VLOOKUP(BE19,INDIRECT(LU_HEAT),2,FALSE),0)</f>
        <v>0</v>
      </c>
      <c r="BF20" s="989">
        <f t="shared" ca="1" si="110"/>
        <v>0</v>
      </c>
      <c r="BG20" s="989">
        <f t="shared" ca="1" si="110"/>
        <v>0</v>
      </c>
      <c r="BH20" s="989">
        <f t="shared" ca="1" si="110"/>
        <v>0</v>
      </c>
      <c r="BI20" s="989">
        <f t="shared" ca="1" si="110"/>
        <v>0</v>
      </c>
      <c r="BJ20" s="994">
        <f t="shared" ca="1" si="110"/>
        <v>-3.5234903900000002E-14</v>
      </c>
      <c r="BK20" s="989">
        <f t="shared" ca="1" si="110"/>
        <v>-38.7022987</v>
      </c>
      <c r="BL20" s="989">
        <f t="shared" ca="1" si="110"/>
        <v>8.2030449700000005</v>
      </c>
      <c r="BM20" s="989">
        <f t="shared" ca="1" si="110"/>
        <v>0</v>
      </c>
      <c r="BN20" s="989">
        <f ca="1">IF(BN19&lt;&gt;"",VLOOKUP(BN19,INDIRECT(LU_HEAT),2,FALSE),0)</f>
        <v>0</v>
      </c>
      <c r="BO20" s="989">
        <f t="shared" ca="1" si="110"/>
        <v>0</v>
      </c>
      <c r="BP20" s="916"/>
      <c r="BQ20" s="989">
        <f t="shared" ref="BQ20:BW20" ca="1" si="111">IF(BQ19&lt;&gt;"",VLOOKUP(BQ19,INDIRECT(LU_HEAT),2,FALSE),0)</f>
        <v>0</v>
      </c>
      <c r="BR20" s="989">
        <f t="shared" ca="1" si="111"/>
        <v>0</v>
      </c>
      <c r="BS20" s="989">
        <f t="shared" ca="1" si="111"/>
        <v>0</v>
      </c>
      <c r="BT20" s="989">
        <f t="shared" ca="1" si="111"/>
        <v>0.73393591899999999</v>
      </c>
      <c r="BU20" s="989">
        <f t="shared" ca="1" si="111"/>
        <v>0</v>
      </c>
      <c r="BV20" s="989">
        <f t="shared" ca="1" si="111"/>
        <v>0</v>
      </c>
      <c r="BW20" s="989">
        <f t="shared" ca="1" si="111"/>
        <v>0</v>
      </c>
      <c r="BX20" s="916"/>
      <c r="BY20" s="989">
        <f t="shared" ref="BY20:CF20" ca="1" si="112">IF(BY19&lt;&gt;"",VLOOKUP(BY19,INDIRECT(LU_HEAT),2,FALSE),0)</f>
        <v>0</v>
      </c>
      <c r="BZ20" s="989">
        <f t="shared" ca="1" si="112"/>
        <v>0</v>
      </c>
      <c r="CA20" s="989">
        <f t="shared" ca="1" si="112"/>
        <v>0</v>
      </c>
      <c r="CB20" s="989">
        <f t="shared" ca="1" si="112"/>
        <v>0</v>
      </c>
      <c r="CC20" s="989">
        <f t="shared" ca="1" si="112"/>
        <v>0</v>
      </c>
      <c r="CD20" s="989">
        <f t="shared" ca="1" si="112"/>
        <v>0</v>
      </c>
      <c r="CE20" s="989">
        <f t="shared" ca="1" si="112"/>
        <v>144.630402</v>
      </c>
      <c r="CF20" s="989">
        <f t="shared" ca="1" si="112"/>
        <v>10.2201354</v>
      </c>
      <c r="CG20" s="916"/>
      <c r="CH20" s="989">
        <f ca="1">IF(CH19&lt;&gt;"",VLOOKUP(CH19,INDIRECT(LU_HEAT),2,FALSE),0)</f>
        <v>0</v>
      </c>
      <c r="CI20" s="989">
        <f ca="1">IF(CI19&lt;&gt;"",VLOOKUP(CI19,INDIRECT(LU_HEAT),2,FALSE),0)</f>
        <v>0</v>
      </c>
      <c r="CJ20" s="989">
        <f ca="1">IF(CJ19&lt;&gt;"",VLOOKUP(CJ19,INDIRECT(LU_HEAT),2,FALSE),0)</f>
        <v>88.785755699999996</v>
      </c>
      <c r="CK20" s="989">
        <f ca="1">IF(CK19&lt;&gt;"",VLOOKUP(CK19,INDIRECT(LU_HEAT),2,FALSE),0)</f>
        <v>0</v>
      </c>
      <c r="CL20" s="989">
        <f ca="1">IF(CL19&lt;&gt;"",VLOOKUP(CL19,INDIRECT(LU_HEAT),2,FALSE),0)</f>
        <v>0</v>
      </c>
      <c r="CM20" s="916"/>
      <c r="CN20" s="989">
        <f t="shared" ref="CN20:CS20" ca="1" si="113">IF(CN19&lt;&gt;"",VLOOKUP(CN19,INDIRECT(LU_HEAT),2,FALSE),0)</f>
        <v>144.630402</v>
      </c>
      <c r="CO20" s="989">
        <f t="shared" ca="1" si="113"/>
        <v>0</v>
      </c>
      <c r="CP20" s="989">
        <f t="shared" ca="1" si="113"/>
        <v>-2.18607212</v>
      </c>
      <c r="CQ20" s="989">
        <f t="shared" ca="1" si="113"/>
        <v>50.737314900000001</v>
      </c>
      <c r="CR20" s="989">
        <f t="shared" ca="1" si="113"/>
        <v>0</v>
      </c>
      <c r="CS20" s="989">
        <f t="shared" ca="1" si="113"/>
        <v>0</v>
      </c>
      <c r="CT20" s="916"/>
      <c r="CU20" s="989">
        <f t="shared" ref="CU20:DH20" ca="1" si="114">IF(CU19&lt;&gt;"",VLOOKUP(CU19,INDIRECT(LU_HEAT),2,FALSE),0)</f>
        <v>0</v>
      </c>
      <c r="CV20" s="989">
        <f t="shared" ca="1" si="114"/>
        <v>0</v>
      </c>
      <c r="CW20" s="989">
        <f t="shared" ca="1" si="114"/>
        <v>0</v>
      </c>
      <c r="CX20" s="989">
        <f t="shared" ca="1" si="114"/>
        <v>0</v>
      </c>
      <c r="CY20" s="989">
        <f t="shared" ca="1" si="114"/>
        <v>0</v>
      </c>
      <c r="CZ20" s="989">
        <f ca="1">IF(CZ19&lt;&gt;"",VLOOKUP(CZ19,INDIRECT(LU_HEAT),2,FALSE),0)</f>
        <v>0</v>
      </c>
      <c r="DA20" s="989">
        <f ca="1">IF(DA19&lt;&gt;"",VLOOKUP(DA19,INDIRECT(LU_HEAT),2,FALSE),0)</f>
        <v>0</v>
      </c>
      <c r="DB20" s="989">
        <f t="shared" ca="1" si="114"/>
        <v>0</v>
      </c>
      <c r="DC20" s="989">
        <f t="shared" ca="1" si="114"/>
        <v>0</v>
      </c>
      <c r="DD20" s="994">
        <f t="shared" ca="1" si="114"/>
        <v>25.6295793</v>
      </c>
      <c r="DE20" s="989">
        <f t="shared" ca="1" si="114"/>
        <v>0.72148762899999996</v>
      </c>
      <c r="DF20" s="989">
        <f ca="1">IF(DF19&lt;&gt;"",VLOOKUP(DF19,INDIRECT(LU_HEAT),2,FALSE),0)</f>
        <v>-1.73373658</v>
      </c>
      <c r="DG20" s="989">
        <f t="shared" ca="1" si="114"/>
        <v>6.3438290300000002</v>
      </c>
      <c r="DH20" s="989">
        <f t="shared" ca="1" si="114"/>
        <v>0</v>
      </c>
      <c r="DI20" s="916"/>
      <c r="DJ20" s="989">
        <f t="shared" ref="DJ20:DP20" ca="1" si="115">IF(DJ19&lt;&gt;"",VLOOKUP(DJ19,INDIRECT(LU_HEAT),2,FALSE),0)</f>
        <v>0</v>
      </c>
      <c r="DK20" s="989">
        <f t="shared" ca="1" si="115"/>
        <v>0</v>
      </c>
      <c r="DL20" s="989">
        <f t="shared" ca="1" si="115"/>
        <v>0</v>
      </c>
      <c r="DM20" s="989">
        <f t="shared" ca="1" si="115"/>
        <v>0</v>
      </c>
      <c r="DN20" s="989">
        <f t="shared" ca="1" si="115"/>
        <v>0</v>
      </c>
      <c r="DO20" s="994">
        <f t="shared" ca="1" si="115"/>
        <v>25.6295793</v>
      </c>
      <c r="DP20" s="989">
        <f t="shared" ca="1" si="115"/>
        <v>0</v>
      </c>
      <c r="DQ20" s="916"/>
      <c r="DR20" s="1011"/>
      <c r="DS20" s="989">
        <f ca="1">IF(DS19&lt;&gt;"",VLOOKUP(DS19,INDIRECT(LU_HEAT),2,FALSE),0)</f>
        <v>0</v>
      </c>
      <c r="DT20" s="989">
        <f ca="1">IF(DT19&lt;&gt;"",VLOOKUP(DT19,INDIRECT(LU_HEAT),2,FALSE),0)</f>
        <v>-1.0685896399999999</v>
      </c>
      <c r="DU20" s="989">
        <f ca="1">IF(DU19&lt;&gt;"",VLOOKUP(DU19,INDIRECT(LU_HEAT),2,FALSE),0)</f>
        <v>0</v>
      </c>
      <c r="DV20" s="915"/>
      <c r="DW20" s="916"/>
      <c r="DX20" s="1011"/>
      <c r="DY20" s="989">
        <f ca="1">IF(DY19&lt;&gt;"",VLOOKUP(DY19,INDIRECT(LU_HEAT),2,FALSE),0)</f>
        <v>0</v>
      </c>
      <c r="DZ20" s="989">
        <f ca="1">IF(DZ19&lt;&gt;"",VLOOKUP(DZ19,INDIRECT(LU_HEAT),2,FALSE),0)</f>
        <v>-1.0685896399999999</v>
      </c>
      <c r="EA20" s="989">
        <f ca="1">IF(EA19&lt;&gt;"",VLOOKUP(EA19,INDIRECT(LU_HEAT),2,FALSE),0)</f>
        <v>0</v>
      </c>
      <c r="EB20" s="915"/>
      <c r="EC20" s="916"/>
      <c r="ED20" s="1011"/>
      <c r="EE20" s="989">
        <f ca="1">IF(EE19&lt;&gt;"",VLOOKUP(EE19,INDIRECT(LU_HEAT),2,FALSE),0)</f>
        <v>-0.66514694399999996</v>
      </c>
      <c r="EF20" s="1010"/>
      <c r="EG20" s="1009"/>
      <c r="EH20" s="915"/>
      <c r="EI20" s="916"/>
      <c r="EJ20" s="989">
        <f ca="1">IF(EJ19&lt;&gt;"",VLOOKUP(EJ19,INDIRECT(LU_HEAT),2,FALSE),0)</f>
        <v>97.388013599999994</v>
      </c>
      <c r="EK20" s="989">
        <f ca="1">IF(EK19&lt;&gt;"",VLOOKUP(EK19,INDIRECT(LU_HEAT),2,FALSE),0)</f>
        <v>0</v>
      </c>
      <c r="EL20" s="989">
        <f ca="1">IF(EL19&lt;&gt;"",VLOOKUP(EL19,INDIRECT(LU_WORK),2,FALSE)*859.8576/1000000,0)</f>
        <v>0</v>
      </c>
      <c r="EM20" s="990"/>
      <c r="EN20" s="914"/>
      <c r="EO20" s="916"/>
      <c r="EP20" s="1011"/>
      <c r="EQ20" s="989">
        <f ca="1">IF(EQ19&lt;&gt;"",VLOOKUP(EQ19,INDIRECT(LU_HEAT),2,FALSE),0)</f>
        <v>0.72148762899999996</v>
      </c>
      <c r="ER20" s="1010"/>
      <c r="ES20" s="1009"/>
      <c r="ET20" s="915"/>
      <c r="EU20" s="916"/>
      <c r="EV20" s="989">
        <f ca="1">IF(EV19&lt;&gt;"",VLOOKUP(EV19,INDIRECT(LU_HEAT),2,FALSE),0)</f>
        <v>0</v>
      </c>
      <c r="EW20" s="989">
        <f ca="1">IF(EW19&lt;&gt;"",VLOOKUP(EW19,INDIRECT(LU_HEAT),2,FALSE),0)</f>
        <v>0</v>
      </c>
      <c r="EX20" s="916"/>
      <c r="EY20" s="989">
        <f ca="1">IF(EY19&lt;&gt;"",VLOOKUP(EY19,INDIRECT(LU_HEAT),2,FALSE),0)</f>
        <v>98.329878399999998</v>
      </c>
      <c r="EZ20" s="989">
        <f ca="1">IF(EZ19&lt;&gt;"",VLOOKUP(EZ19,INDIRECT(LU_HEAT),2,FALSE),0)</f>
        <v>0</v>
      </c>
      <c r="FA20" s="989">
        <f ca="1">IF(FA19&lt;&gt;"",VLOOKUP(FA19,INDIRECT(LU_HEAT),2,FALSE),0)</f>
        <v>0</v>
      </c>
      <c r="FB20" s="916"/>
      <c r="FC20" s="989">
        <f t="shared" ref="FC20:GB20" ca="1" si="116">IF(FC19&lt;&gt;"",VLOOKUP(FC19,INDIRECT(LU_HEAT),2,FALSE),0)</f>
        <v>0</v>
      </c>
      <c r="FD20" s="989">
        <f t="shared" ca="1" si="116"/>
        <v>0</v>
      </c>
      <c r="FE20" s="989">
        <f t="shared" ca="1" si="116"/>
        <v>0</v>
      </c>
      <c r="FF20" s="989">
        <f t="shared" ca="1" si="116"/>
        <v>0</v>
      </c>
      <c r="FG20" s="989">
        <f t="shared" ca="1" si="116"/>
        <v>0</v>
      </c>
      <c r="FH20" s="989">
        <f t="shared" ca="1" si="116"/>
        <v>0</v>
      </c>
      <c r="FI20" s="989">
        <f t="shared" ca="1" si="116"/>
        <v>0</v>
      </c>
      <c r="FJ20" s="989">
        <f t="shared" ca="1" si="116"/>
        <v>0</v>
      </c>
      <c r="FK20" s="989">
        <f t="shared" ca="1" si="116"/>
        <v>0</v>
      </c>
      <c r="FL20" s="989">
        <f t="shared" ca="1" si="116"/>
        <v>0</v>
      </c>
      <c r="FM20" s="989">
        <f t="shared" ca="1" si="116"/>
        <v>0</v>
      </c>
      <c r="FN20" s="989">
        <f ca="1">IF(FN19&lt;&gt;"",VLOOKUP(FN19,INDIRECT(LU_HEAT),2,FALSE),0)</f>
        <v>0</v>
      </c>
      <c r="FO20" s="989">
        <f ca="1">IF(FO19&lt;&gt;"",VLOOKUP(FO19,INDIRECT(LU_HEAT),2,FALSE),0)</f>
        <v>0</v>
      </c>
      <c r="FP20" s="989">
        <f t="shared" ca="1" si="116"/>
        <v>0</v>
      </c>
      <c r="FQ20" s="989">
        <f t="shared" ca="1" si="116"/>
        <v>0</v>
      </c>
      <c r="FR20" s="989">
        <f t="shared" ca="1" si="116"/>
        <v>0</v>
      </c>
      <c r="FS20" s="989">
        <f t="shared" ca="1" si="116"/>
        <v>0</v>
      </c>
      <c r="FT20" s="989">
        <f t="shared" ca="1" si="116"/>
        <v>0</v>
      </c>
      <c r="FU20" s="989">
        <f t="shared" ca="1" si="116"/>
        <v>0</v>
      </c>
      <c r="FV20" s="989">
        <f ca="1">IF(FV19&lt;&gt;"",VLOOKUP(FV19,INDIRECT(LU_HEAT),2,FALSE),0)</f>
        <v>0</v>
      </c>
      <c r="FW20" s="989">
        <f t="shared" ca="1" si="116"/>
        <v>0</v>
      </c>
      <c r="FX20" s="989">
        <f t="shared" ca="1" si="116"/>
        <v>0</v>
      </c>
      <c r="FY20" s="989">
        <f t="shared" ca="1" si="116"/>
        <v>0</v>
      </c>
      <c r="FZ20" s="989">
        <f t="shared" ca="1" si="116"/>
        <v>0</v>
      </c>
      <c r="GA20" s="989">
        <f ca="1">IF(GA19&lt;&gt;"",VLOOKUP(GA19,INDIRECT(LU_HEAT),2,FALSE),0)</f>
        <v>0</v>
      </c>
      <c r="GB20" s="989">
        <f t="shared" ca="1" si="116"/>
        <v>0</v>
      </c>
      <c r="GC20" s="915"/>
      <c r="GD20" s="989">
        <f t="shared" ref="GD20:GH20" ca="1" si="117">IF(GD19&lt;&gt;"",VLOOKUP(GD19,INDIRECT(LU_HEAT),2,FALSE),0)</f>
        <v>10.2201354</v>
      </c>
      <c r="GE20" s="989">
        <f t="shared" ca="1" si="117"/>
        <v>9.3390233599999997E-2</v>
      </c>
      <c r="GF20" s="989">
        <f t="shared" ca="1" si="117"/>
        <v>0.73393591899999999</v>
      </c>
      <c r="GG20" s="989">
        <f t="shared" ca="1" si="117"/>
        <v>25.6295793</v>
      </c>
      <c r="GH20" s="989">
        <f t="shared" ca="1" si="117"/>
        <v>-1.73373658</v>
      </c>
      <c r="GI20" s="989">
        <f ca="1">IF(GI19&lt;&gt;"",VLOOKUP(GI19,INDIRECT(LU_HEAT),2,FALSE),0)</f>
        <v>0.72148762899999996</v>
      </c>
      <c r="GJ20" s="989">
        <f ca="1">IF(GJ19&lt;&gt;"",VLOOKUP(GJ19,INDIRECT(LU_HEAT),2,FALSE),0)</f>
        <v>-3.0574503499999999E-2</v>
      </c>
      <c r="GK20" s="989">
        <f ca="1">IF(GK19&lt;&gt;"",VLOOKUP(GK19,INDIRECT(LU_HEAT),2,FALSE),0)</f>
        <v>1.61837366</v>
      </c>
      <c r="GL20" s="989">
        <f ca="1">EV3</f>
        <v>23.187107393592939</v>
      </c>
      <c r="GM20" s="989">
        <f ca="1">IF(GM19&lt;&gt;"",VLOOKUP(GM19,INDIRECT(LU_HEAT),2,FALSE),0)</f>
        <v>0</v>
      </c>
      <c r="GN20" s="989">
        <f ca="1">IF(GN19&lt;&gt;"",VLOOKUP(GN19,INDIRECT(LU_HEAT),2,FALSE),0)</f>
        <v>0</v>
      </c>
      <c r="GO20" s="989">
        <f ca="1">IF(GO19&lt;&gt;"",VLOOKUP(GO19,INDIRECT(LU_HEAT),2,FALSE),0)</f>
        <v>0</v>
      </c>
      <c r="GP20" s="998"/>
      <c r="GQ20" s="1143" t="s">
        <v>3072</v>
      </c>
      <c r="GR20" s="1183">
        <f ca="1">FL9+FM9+FN9+FO9+FP9+FQ9+FR9</f>
        <v>377.08012970000004</v>
      </c>
      <c r="GS20" s="1182" t="s">
        <v>287</v>
      </c>
      <c r="GT20" s="1143" t="s">
        <v>3093</v>
      </c>
      <c r="GU20" s="1183">
        <f ca="1">GK9</f>
        <v>9921.6759700000002</v>
      </c>
      <c r="GV20" s="1182" t="s">
        <v>287</v>
      </c>
      <c r="GW20" s="946"/>
      <c r="GX20" s="1008" t="s">
        <v>3102</v>
      </c>
      <c r="GY20" s="1181">
        <f ca="1">P23+O23</f>
        <v>4.1942659213822076</v>
      </c>
    </row>
    <row r="21" spans="1:207" s="946" customFormat="1" x14ac:dyDescent="0.3">
      <c r="A21" s="997"/>
      <c r="B21" s="996"/>
      <c r="C21" s="996"/>
      <c r="D21" s="915"/>
      <c r="E21" s="1007"/>
      <c r="F21" s="915"/>
      <c r="G21" s="915"/>
      <c r="H21" s="915"/>
      <c r="I21" s="915"/>
      <c r="J21" s="915"/>
      <c r="K21" s="915"/>
      <c r="L21" s="915"/>
      <c r="M21" s="915"/>
      <c r="N21" s="1005"/>
      <c r="O21" s="915"/>
      <c r="P21" s="915"/>
      <c r="Q21" s="916"/>
      <c r="R21" s="915"/>
      <c r="S21" s="915"/>
      <c r="T21" s="915"/>
      <c r="U21" s="915"/>
      <c r="V21" s="915"/>
      <c r="W21" s="915"/>
      <c r="X21" s="1005"/>
      <c r="Y21" s="915"/>
      <c r="Z21" s="915"/>
      <c r="AA21" s="915"/>
      <c r="AB21" s="916"/>
      <c r="AC21" s="915"/>
      <c r="AD21" s="915"/>
      <c r="AE21" s="915"/>
      <c r="AF21" s="915"/>
      <c r="AG21" s="915"/>
      <c r="AH21" s="915"/>
      <c r="AI21" s="915"/>
      <c r="AJ21" s="915"/>
      <c r="AK21" s="1005"/>
      <c r="AL21" s="915"/>
      <c r="AM21" s="915"/>
      <c r="AN21" s="915"/>
      <c r="AO21" s="916"/>
      <c r="AP21" s="915"/>
      <c r="AQ21" s="915"/>
      <c r="AR21" s="915"/>
      <c r="AS21" s="915"/>
      <c r="AT21" s="1005"/>
      <c r="AU21" s="1005"/>
      <c r="AV21" s="915"/>
      <c r="AW21" s="915"/>
      <c r="AX21" s="915"/>
      <c r="AY21" s="915"/>
      <c r="AZ21" s="915"/>
      <c r="BA21" s="915"/>
      <c r="BB21" s="915"/>
      <c r="BC21" s="915"/>
      <c r="BD21" s="916"/>
      <c r="BE21" s="915"/>
      <c r="BF21" s="915"/>
      <c r="BG21" s="915"/>
      <c r="BH21" s="915"/>
      <c r="BI21" s="1005"/>
      <c r="BJ21" s="915"/>
      <c r="BK21" s="915"/>
      <c r="BL21" s="915"/>
      <c r="BM21" s="915"/>
      <c r="BN21" s="915"/>
      <c r="BO21" s="915"/>
      <c r="BP21" s="916"/>
      <c r="BQ21" s="915"/>
      <c r="BR21" s="915"/>
      <c r="BS21" s="915"/>
      <c r="BT21" s="915"/>
      <c r="BU21" s="915"/>
      <c r="BV21" s="915"/>
      <c r="BW21" s="915"/>
      <c r="BX21" s="916"/>
      <c r="BY21" s="915"/>
      <c r="BZ21" s="915"/>
      <c r="CA21" s="915"/>
      <c r="CB21" s="915"/>
      <c r="CC21" s="915"/>
      <c r="CD21" s="915"/>
      <c r="CE21" s="915"/>
      <c r="CF21" s="915"/>
      <c r="CG21" s="916"/>
      <c r="CH21" s="915"/>
      <c r="CI21" s="915"/>
      <c r="CJ21" s="915"/>
      <c r="CK21" s="915"/>
      <c r="CL21" s="915"/>
      <c r="CM21" s="916"/>
      <c r="CN21" s="1006"/>
      <c r="CO21" s="915"/>
      <c r="CP21" s="915"/>
      <c r="CQ21" s="915"/>
      <c r="CR21" s="915"/>
      <c r="CS21" s="915"/>
      <c r="CT21" s="916"/>
      <c r="CU21" s="914"/>
      <c r="CV21" s="914"/>
      <c r="CW21" s="914"/>
      <c r="CX21" s="914"/>
      <c r="CY21" s="914"/>
      <c r="CZ21" s="1143"/>
      <c r="DA21" s="1143"/>
      <c r="DB21" s="914"/>
      <c r="DC21" s="1005"/>
      <c r="DD21" s="915"/>
      <c r="DE21" s="915"/>
      <c r="DF21" s="915"/>
      <c r="DG21" s="915"/>
      <c r="DH21" s="915"/>
      <c r="DI21" s="916"/>
      <c r="DJ21" s="1143"/>
      <c r="DK21" s="1143"/>
      <c r="DL21" s="1143"/>
      <c r="DM21" s="1143"/>
      <c r="DN21" s="1143"/>
      <c r="DO21" s="915"/>
      <c r="DP21" s="915"/>
      <c r="DQ21" s="916"/>
      <c r="DR21" s="1143"/>
      <c r="DS21" s="1143"/>
      <c r="DT21" s="1143"/>
      <c r="DU21" s="1143"/>
      <c r="DV21" s="1143"/>
      <c r="DW21" s="916"/>
      <c r="DX21" s="914"/>
      <c r="DY21" s="914"/>
      <c r="DZ21" s="914"/>
      <c r="EA21" s="914"/>
      <c r="EB21" s="914"/>
      <c r="EC21" s="916"/>
      <c r="ED21" s="1143"/>
      <c r="EE21" s="1143"/>
      <c r="EF21" s="1143"/>
      <c r="EG21" s="1143"/>
      <c r="EH21" s="1143"/>
      <c r="EI21" s="916"/>
      <c r="EJ21" s="915"/>
      <c r="EK21" s="915"/>
      <c r="EL21" s="915"/>
      <c r="EM21" s="915"/>
      <c r="EN21" s="914"/>
      <c r="EO21" s="916"/>
      <c r="EP21" s="1143"/>
      <c r="EQ21" s="1143"/>
      <c r="ER21" s="1143"/>
      <c r="ES21" s="1143"/>
      <c r="ET21" s="1143"/>
      <c r="EU21" s="916"/>
      <c r="EV21" s="915"/>
      <c r="EW21" s="915"/>
      <c r="EX21" s="916"/>
      <c r="EY21" s="915"/>
      <c r="EZ21" s="915"/>
      <c r="FA21" s="915"/>
      <c r="FB21" s="916"/>
      <c r="FC21" s="915"/>
      <c r="FD21" s="915"/>
      <c r="FE21" s="915"/>
      <c r="FF21" s="915"/>
      <c r="FG21" s="915"/>
      <c r="FH21" s="915"/>
      <c r="FI21" s="915"/>
      <c r="FJ21" s="915"/>
      <c r="FK21" s="915"/>
      <c r="FL21" s="915"/>
      <c r="FM21" s="915"/>
      <c r="FN21" s="915"/>
      <c r="FO21" s="915"/>
      <c r="FP21" s="915"/>
      <c r="FQ21" s="915"/>
      <c r="FR21" s="915"/>
      <c r="FS21" s="915"/>
      <c r="FT21" s="915"/>
      <c r="FU21" s="915"/>
      <c r="FV21" s="915"/>
      <c r="FW21" s="915"/>
      <c r="FX21" s="915"/>
      <c r="FY21" s="915"/>
      <c r="FZ21" s="915"/>
      <c r="GA21" s="915"/>
      <c r="GB21" s="915"/>
      <c r="GC21" s="915"/>
      <c r="GD21" s="915"/>
      <c r="GE21" s="915"/>
      <c r="GF21" s="915"/>
      <c r="GG21" s="915"/>
      <c r="GH21" s="915"/>
      <c r="GI21" s="915"/>
      <c r="GJ21" s="915"/>
      <c r="GK21" s="915"/>
      <c r="GL21" s="915"/>
      <c r="GM21" s="915"/>
      <c r="GN21" s="915"/>
      <c r="GO21" s="915"/>
      <c r="GP21" s="1004"/>
      <c r="GQ21" s="914"/>
      <c r="GR21" s="1181">
        <f ca="1">FL10+FM10+FN10+FO10+FP10+FQ10+FR10</f>
        <v>6.2507030762056246</v>
      </c>
      <c r="GS21" s="1182" t="s">
        <v>3077</v>
      </c>
      <c r="GT21" s="914"/>
      <c r="GU21" s="1181">
        <f ca="1">GK10</f>
        <v>3.857385550859084</v>
      </c>
      <c r="GV21" s="1182" t="s">
        <v>3077</v>
      </c>
      <c r="GX21" s="946" t="s">
        <v>3103</v>
      </c>
      <c r="GY21" s="1181">
        <f ca="1">Y23</f>
        <v>1.4924770206460802</v>
      </c>
    </row>
    <row r="22" spans="1:207" s="914" customFormat="1" x14ac:dyDescent="0.3">
      <c r="A22" s="997"/>
      <c r="B22" s="996"/>
      <c r="C22" s="996"/>
      <c r="D22" s="990" t="s">
        <v>1176</v>
      </c>
      <c r="E22" s="995" t="s">
        <v>1164</v>
      </c>
      <c r="F22" s="1000"/>
      <c r="G22" s="991"/>
      <c r="H22" s="991"/>
      <c r="I22" s="991"/>
      <c r="J22" s="991"/>
      <c r="K22" s="991"/>
      <c r="L22" s="991"/>
      <c r="M22" s="991"/>
      <c r="N22" s="991"/>
      <c r="O22" s="992"/>
      <c r="P22" s="990" t="s">
        <v>2769</v>
      </c>
      <c r="Q22" s="916"/>
      <c r="R22" s="991"/>
      <c r="S22" s="991"/>
      <c r="T22" s="991"/>
      <c r="U22" s="991"/>
      <c r="V22" s="991"/>
      <c r="W22" s="991"/>
      <c r="X22" s="991"/>
      <c r="Y22" s="992" t="s">
        <v>2984</v>
      </c>
      <c r="Z22" s="991"/>
      <c r="AA22" s="991"/>
      <c r="AB22" s="916"/>
      <c r="AC22" s="991"/>
      <c r="AD22" s="991"/>
      <c r="AE22" s="991"/>
      <c r="AF22" s="991"/>
      <c r="AG22" s="991"/>
      <c r="AH22" s="991"/>
      <c r="AI22" s="991"/>
      <c r="AJ22" s="991"/>
      <c r="AK22" s="991"/>
      <c r="AL22" s="991" t="s">
        <v>2533</v>
      </c>
      <c r="AM22" s="991"/>
      <c r="AN22" s="991"/>
      <c r="AO22" s="916"/>
      <c r="AP22" s="991"/>
      <c r="AQ22" s="991"/>
      <c r="AR22" s="991"/>
      <c r="AS22" s="991"/>
      <c r="AT22" s="991"/>
      <c r="AU22" s="991"/>
      <c r="AV22" s="992" t="s">
        <v>2534</v>
      </c>
      <c r="AW22" s="991"/>
      <c r="AX22" s="991"/>
      <c r="AY22" s="991"/>
      <c r="AZ22" s="991"/>
      <c r="BA22" s="991"/>
      <c r="BB22" s="991"/>
      <c r="BC22" s="991"/>
      <c r="BD22" s="916"/>
      <c r="BE22" s="991"/>
      <c r="BF22" s="991"/>
      <c r="BG22" s="991"/>
      <c r="BH22" s="991"/>
      <c r="BI22" s="991"/>
      <c r="BJ22" s="992" t="s">
        <v>2986</v>
      </c>
      <c r="BK22" s="991"/>
      <c r="BL22" s="991"/>
      <c r="BM22" s="991"/>
      <c r="BN22" s="991"/>
      <c r="BO22" s="991"/>
      <c r="BP22" s="916"/>
      <c r="BQ22" s="991"/>
      <c r="BR22" s="991"/>
      <c r="BS22" s="991"/>
      <c r="BT22" s="991" t="s">
        <v>1606</v>
      </c>
      <c r="BU22" s="991"/>
      <c r="BV22" s="990"/>
      <c r="BW22" s="990"/>
      <c r="BX22" s="916"/>
      <c r="BY22" s="991"/>
      <c r="BZ22" s="990"/>
      <c r="CA22" s="990"/>
      <c r="CB22" s="990"/>
      <c r="CC22" s="990"/>
      <c r="CD22" s="990"/>
      <c r="CE22" s="990" t="s">
        <v>338</v>
      </c>
      <c r="CF22" s="990"/>
      <c r="CG22" s="916"/>
      <c r="CH22" s="991"/>
      <c r="CI22" s="1000"/>
      <c r="CJ22" s="990"/>
      <c r="CK22" s="1000"/>
      <c r="CL22" s="1003"/>
      <c r="CM22" s="916"/>
      <c r="CN22" s="990" t="s">
        <v>1190</v>
      </c>
      <c r="CO22" s="1000"/>
      <c r="CP22" s="990" t="s">
        <v>339</v>
      </c>
      <c r="CQ22" s="1000" t="s">
        <v>675</v>
      </c>
      <c r="CR22" s="1000" t="s">
        <v>2549</v>
      </c>
      <c r="CS22" s="1000"/>
      <c r="CT22" s="916"/>
      <c r="CU22" s="1000"/>
      <c r="CV22" s="1000"/>
      <c r="CW22" s="1000"/>
      <c r="CX22" s="1000"/>
      <c r="CY22" s="1000"/>
      <c r="CZ22" s="1000"/>
      <c r="DA22" s="1000"/>
      <c r="DB22" s="1000"/>
      <c r="DC22" s="1000"/>
      <c r="DD22" s="1001" t="s">
        <v>3107</v>
      </c>
      <c r="DE22" s="1000"/>
      <c r="DF22" s="1000"/>
      <c r="DG22" s="1000"/>
      <c r="DH22" s="1000"/>
      <c r="DI22" s="916"/>
      <c r="DJ22" s="1000"/>
      <c r="DK22" s="1000"/>
      <c r="DL22" s="1000"/>
      <c r="DM22" s="1000"/>
      <c r="DN22" s="1000"/>
      <c r="DO22" s="1001"/>
      <c r="DP22" s="1000"/>
      <c r="DQ22" s="916"/>
      <c r="DR22" s="1002"/>
      <c r="DS22" s="1002"/>
      <c r="DT22" s="1002"/>
      <c r="DU22" s="1143"/>
      <c r="DV22" s="1143"/>
      <c r="DW22" s="916"/>
      <c r="DX22" s="1002"/>
      <c r="DY22" s="1002"/>
      <c r="DZ22" s="1002"/>
      <c r="EC22" s="916"/>
      <c r="ED22" s="1002"/>
      <c r="EE22" s="1002"/>
      <c r="EF22" s="1002"/>
      <c r="EG22" s="1143"/>
      <c r="EH22" s="1143"/>
      <c r="EI22" s="916"/>
      <c r="EJ22" s="1001"/>
      <c r="EK22" s="1000"/>
      <c r="EL22" s="1000" t="s">
        <v>441</v>
      </c>
      <c r="EM22" s="990" t="s">
        <v>443</v>
      </c>
      <c r="EO22" s="916"/>
      <c r="EP22" s="1001"/>
      <c r="EQ22" s="1178" t="s">
        <v>3334</v>
      </c>
      <c r="ER22" s="1000"/>
      <c r="ES22" s="990"/>
      <c r="ET22" s="1143"/>
      <c r="EU22" s="916"/>
      <c r="EV22" s="1000" t="s">
        <v>3074</v>
      </c>
      <c r="EW22" s="1000"/>
      <c r="EX22" s="916"/>
      <c r="EY22" s="1000"/>
      <c r="EZ22" s="1000"/>
      <c r="FA22" s="1000"/>
      <c r="FB22" s="916"/>
      <c r="FC22" s="1000"/>
      <c r="FD22" s="1000"/>
      <c r="FE22" s="1000"/>
      <c r="FF22" s="1000" t="s">
        <v>2531</v>
      </c>
      <c r="FG22" s="1000" t="s">
        <v>3011</v>
      </c>
      <c r="FH22" s="1000" t="s">
        <v>3012</v>
      </c>
      <c r="FI22" s="1000" t="s">
        <v>3013</v>
      </c>
      <c r="FJ22" s="1000" t="s">
        <v>3161</v>
      </c>
      <c r="FK22" s="1000" t="s">
        <v>3023</v>
      </c>
      <c r="FL22" s="1000" t="s">
        <v>3040</v>
      </c>
      <c r="FM22" s="1000"/>
      <c r="FN22" s="999"/>
      <c r="FO22" s="999"/>
      <c r="FP22" s="999"/>
      <c r="FQ22" s="999"/>
      <c r="FR22" s="999"/>
      <c r="FS22" s="999"/>
      <c r="FT22" s="999"/>
      <c r="FU22" s="999"/>
      <c r="FV22" s="999"/>
      <c r="FW22" s="999"/>
      <c r="FX22" s="999"/>
      <c r="FY22" s="999"/>
      <c r="FZ22" s="999"/>
      <c r="GA22" s="999"/>
      <c r="GB22" s="999"/>
      <c r="GC22" s="915"/>
      <c r="GD22" s="1000" t="s">
        <v>3002</v>
      </c>
      <c r="GE22" s="1000" t="s">
        <v>2549</v>
      </c>
      <c r="GF22" s="1000"/>
      <c r="GG22" s="999"/>
      <c r="GH22" s="999"/>
      <c r="GI22" s="999"/>
      <c r="GJ22" s="999"/>
      <c r="GK22" s="999"/>
      <c r="GL22" s="999"/>
      <c r="GM22" s="999"/>
      <c r="GN22" s="999"/>
      <c r="GO22" s="999"/>
      <c r="GP22" s="998"/>
      <c r="GR22" s="1181">
        <f ca="1">SUM(FL17:FR17)</f>
        <v>-1.1597908278617632</v>
      </c>
      <c r="GS22" s="1182" t="s">
        <v>3079</v>
      </c>
      <c r="GU22" s="1181">
        <f ca="1">GK17</f>
        <v>8.2103783203994034</v>
      </c>
      <c r="GV22" s="1182" t="s">
        <v>3079</v>
      </c>
      <c r="GW22" s="946"/>
      <c r="GX22" s="1143" t="s">
        <v>3104</v>
      </c>
      <c r="GY22" s="1181">
        <f ca="1">AL23</f>
        <v>3.2269458035226721</v>
      </c>
    </row>
    <row r="23" spans="1:207" s="946" customFormat="1" ht="14.4" thickBot="1" x14ac:dyDescent="0.35">
      <c r="A23" s="997"/>
      <c r="B23" s="996"/>
      <c r="C23" s="996"/>
      <c r="D23" s="995" t="s">
        <v>1176</v>
      </c>
      <c r="E23" s="995" t="s">
        <v>982</v>
      </c>
      <c r="F23" s="989">
        <f t="shared" ref="F23:P23" ca="1" si="118">IF(F22&lt;&gt;"",VLOOKUP(F22,INDIRECT(LU_WORK),2,FALSE)*859.8576/1000000,0)</f>
        <v>0</v>
      </c>
      <c r="G23" s="989">
        <f t="shared" ca="1" si="118"/>
        <v>0</v>
      </c>
      <c r="H23" s="989">
        <f t="shared" ca="1" si="118"/>
        <v>0</v>
      </c>
      <c r="I23" s="989">
        <f t="shared" ca="1" si="118"/>
        <v>0</v>
      </c>
      <c r="J23" s="989">
        <f t="shared" ca="1" si="118"/>
        <v>0</v>
      </c>
      <c r="K23" s="989">
        <f ca="1">IF(K22&lt;&gt;"",VLOOKUP(K22,INDIRECT(LU_WORK),2,FALSE)*859.8576/1000000,0)</f>
        <v>0</v>
      </c>
      <c r="L23" s="989">
        <f t="shared" ca="1" si="118"/>
        <v>0</v>
      </c>
      <c r="M23" s="989">
        <f t="shared" ca="1" si="118"/>
        <v>0</v>
      </c>
      <c r="N23" s="989">
        <f t="shared" ca="1" si="118"/>
        <v>0</v>
      </c>
      <c r="O23" s="994">
        <f t="shared" ca="1" si="118"/>
        <v>0</v>
      </c>
      <c r="P23" s="989">
        <f t="shared" ca="1" si="118"/>
        <v>4.1942659213822076</v>
      </c>
      <c r="Q23" s="916"/>
      <c r="R23" s="989">
        <f t="shared" ref="R23:AA23" ca="1" si="119">IF(R22&lt;&gt;"",VLOOKUP(R22,INDIRECT(LU_WORK),2,FALSE)*859.8576/1000000,0)</f>
        <v>0</v>
      </c>
      <c r="S23" s="989">
        <f t="shared" ca="1" si="119"/>
        <v>0</v>
      </c>
      <c r="T23" s="989">
        <f t="shared" ca="1" si="119"/>
        <v>0</v>
      </c>
      <c r="U23" s="989">
        <f t="shared" ca="1" si="119"/>
        <v>0</v>
      </c>
      <c r="V23" s="989">
        <f t="shared" ca="1" si="119"/>
        <v>0</v>
      </c>
      <c r="W23" s="989">
        <f t="shared" ca="1" si="119"/>
        <v>0</v>
      </c>
      <c r="X23" s="989">
        <f t="shared" ca="1" si="119"/>
        <v>0</v>
      </c>
      <c r="Y23" s="994">
        <f t="shared" ca="1" si="119"/>
        <v>1.4924770206460802</v>
      </c>
      <c r="Z23" s="989">
        <f t="shared" ca="1" si="119"/>
        <v>0</v>
      </c>
      <c r="AA23" s="989">
        <f t="shared" ca="1" si="119"/>
        <v>0</v>
      </c>
      <c r="AB23" s="916"/>
      <c r="AC23" s="989">
        <f t="shared" ref="AC23:AN23" ca="1" si="120">IF(AC22&lt;&gt;"",VLOOKUP(AC22,INDIRECT(LU_WORK),2,FALSE)*859.8576/1000000,0)</f>
        <v>0</v>
      </c>
      <c r="AD23" s="989">
        <f t="shared" ca="1" si="120"/>
        <v>0</v>
      </c>
      <c r="AE23" s="989">
        <f t="shared" ca="1" si="120"/>
        <v>0</v>
      </c>
      <c r="AF23" s="989">
        <f t="shared" ca="1" si="120"/>
        <v>0</v>
      </c>
      <c r="AG23" s="989">
        <f t="shared" ca="1" si="120"/>
        <v>0</v>
      </c>
      <c r="AH23" s="989">
        <f t="shared" ca="1" si="120"/>
        <v>0</v>
      </c>
      <c r="AI23" s="989">
        <f t="shared" ca="1" si="120"/>
        <v>0</v>
      </c>
      <c r="AJ23" s="989">
        <f t="shared" ca="1" si="120"/>
        <v>0</v>
      </c>
      <c r="AK23" s="989">
        <f t="shared" ca="1" si="120"/>
        <v>0</v>
      </c>
      <c r="AL23" s="994">
        <f t="shared" ca="1" si="120"/>
        <v>3.2269458035226721</v>
      </c>
      <c r="AM23" s="989"/>
      <c r="AN23" s="989">
        <f t="shared" ca="1" si="120"/>
        <v>0</v>
      </c>
      <c r="AO23" s="916"/>
      <c r="AP23" s="989">
        <f t="shared" ref="AP23:AY23" ca="1" si="121">IF(AP22&lt;&gt;"",VLOOKUP(AP22,INDIRECT(LU_WORK),2,FALSE)*859.8576/1000000,0)</f>
        <v>0</v>
      </c>
      <c r="AQ23" s="989">
        <f t="shared" ca="1" si="121"/>
        <v>0</v>
      </c>
      <c r="AR23" s="989">
        <f t="shared" ca="1" si="121"/>
        <v>0</v>
      </c>
      <c r="AS23" s="989">
        <f t="shared" ca="1" si="121"/>
        <v>0</v>
      </c>
      <c r="AT23" s="989">
        <f t="shared" ca="1" si="121"/>
        <v>0</v>
      </c>
      <c r="AU23" s="989">
        <f ca="1">IF(AU22&lt;&gt;"",VLOOKUP(AU22,INDIRECT(LU_WORK),2,FALSE)*859.8576/1000000,0)</f>
        <v>0</v>
      </c>
      <c r="AV23" s="994">
        <f t="shared" ca="1" si="121"/>
        <v>1.8276463316529603</v>
      </c>
      <c r="AW23" s="989">
        <f t="shared" ca="1" si="121"/>
        <v>0</v>
      </c>
      <c r="AX23" s="989">
        <f t="shared" ca="1" si="121"/>
        <v>0</v>
      </c>
      <c r="AY23" s="989">
        <f t="shared" ca="1" si="121"/>
        <v>0</v>
      </c>
      <c r="AZ23" s="989">
        <f ca="1">IF(AZ22&lt;&gt;"",VLOOKUP(AZ22,INDIRECT(LU_WORK),2,FALSE)*859.8576/1000000,0)</f>
        <v>0</v>
      </c>
      <c r="BA23" s="989">
        <f ca="1">IF(BA22&lt;&gt;"",VLOOKUP(BA22,INDIRECT(LU_WORK),2,FALSE)*859.8576/1000000,0)</f>
        <v>0</v>
      </c>
      <c r="BB23" s="989">
        <f ca="1">IF(BB22&lt;&gt;"",VLOOKUP(BB22,INDIRECT(LU_WORK),2,FALSE)*859.8576/1000000,0)</f>
        <v>0</v>
      </c>
      <c r="BC23" s="989">
        <f ca="1">IF(BC22&lt;&gt;"",VLOOKUP(BC22,INDIRECT(LU_WORK),2,FALSE)*859.8576/1000000,0)</f>
        <v>0</v>
      </c>
      <c r="BD23" s="916"/>
      <c r="BE23" s="989">
        <f t="shared" ref="BE23:BO23" ca="1" si="122">IF(BE22&lt;&gt;"",VLOOKUP(BE22,INDIRECT(LU_WORK),2,FALSE)*859.8576/1000000,0)</f>
        <v>0</v>
      </c>
      <c r="BF23" s="989">
        <f t="shared" ca="1" si="122"/>
        <v>0</v>
      </c>
      <c r="BG23" s="989">
        <f t="shared" ca="1" si="122"/>
        <v>0</v>
      </c>
      <c r="BH23" s="989">
        <f t="shared" ca="1" si="122"/>
        <v>0</v>
      </c>
      <c r="BI23" s="989">
        <f t="shared" ca="1" si="122"/>
        <v>0</v>
      </c>
      <c r="BJ23" s="994">
        <f t="shared" ca="1" si="122"/>
        <v>0.5289246508942369</v>
      </c>
      <c r="BK23" s="989">
        <f t="shared" ca="1" si="122"/>
        <v>0</v>
      </c>
      <c r="BL23" s="989">
        <f t="shared" ca="1" si="122"/>
        <v>0</v>
      </c>
      <c r="BM23" s="989">
        <f t="shared" ca="1" si="122"/>
        <v>0</v>
      </c>
      <c r="BN23" s="989">
        <f ca="1">IF(BN22&lt;&gt;"",VLOOKUP(BN22,INDIRECT(LU_WORK),2,FALSE)*859.8576/1000000,0)</f>
        <v>0</v>
      </c>
      <c r="BO23" s="989">
        <f t="shared" ca="1" si="122"/>
        <v>0</v>
      </c>
      <c r="BP23" s="916"/>
      <c r="BQ23" s="989">
        <f t="shared" ref="BQ23:BW23" ca="1" si="123">IF(BQ22&lt;&gt;"",VLOOKUP(BQ22,INDIRECT(LU_WORK),2,FALSE)*859.8576/1000000,0)</f>
        <v>0</v>
      </c>
      <c r="BR23" s="989">
        <f t="shared" ca="1" si="123"/>
        <v>0</v>
      </c>
      <c r="BS23" s="989">
        <f t="shared" ca="1" si="123"/>
        <v>0</v>
      </c>
      <c r="BT23" s="989">
        <f t="shared" ca="1" si="123"/>
        <v>0.89780382097123212</v>
      </c>
      <c r="BU23" s="989">
        <f t="shared" ca="1" si="123"/>
        <v>0</v>
      </c>
      <c r="BV23" s="989">
        <f t="shared" ca="1" si="123"/>
        <v>0</v>
      </c>
      <c r="BW23" s="989">
        <f t="shared" ca="1" si="123"/>
        <v>0</v>
      </c>
      <c r="BX23" s="916"/>
      <c r="BY23" s="989">
        <f t="shared" ref="BY23:CF23" ca="1" si="124">IF(BY22&lt;&gt;"",VLOOKUP(BY22,INDIRECT(LU_WORK),2,FALSE)*859.8576/1000000,0)</f>
        <v>0</v>
      </c>
      <c r="BZ23" s="989">
        <f t="shared" ca="1" si="124"/>
        <v>0</v>
      </c>
      <c r="CA23" s="989">
        <f t="shared" ca="1" si="124"/>
        <v>0</v>
      </c>
      <c r="CB23" s="989">
        <f t="shared" ca="1" si="124"/>
        <v>0</v>
      </c>
      <c r="CC23" s="989">
        <f t="shared" ca="1" si="124"/>
        <v>0</v>
      </c>
      <c r="CD23" s="989">
        <f t="shared" ca="1" si="124"/>
        <v>0</v>
      </c>
      <c r="CE23" s="989">
        <f t="shared" ca="1" si="124"/>
        <v>0.12244252187879041</v>
      </c>
      <c r="CF23" s="989">
        <f t="shared" ca="1" si="124"/>
        <v>0</v>
      </c>
      <c r="CG23" s="916"/>
      <c r="CH23" s="989">
        <f ca="1">IF(CH22&lt;&gt;"",VLOOKUP(CH22,INDIRECT(LU_WORK),2,FALSE)*859.8576/1000000,0)</f>
        <v>0</v>
      </c>
      <c r="CI23" s="989">
        <f ca="1">IF(CI22&lt;&gt;"",VLOOKUP(CI22,INDIRECT(LU_WORK),2,FALSE)*859.8576/1000000,0)</f>
        <v>0</v>
      </c>
      <c r="CJ23" s="989">
        <f ca="1">IF(CJ22&lt;&gt;"",VLOOKUP(CJ22,INDIRECT(LU_WORK),2,FALSE)*859.8576/1000000,0)</f>
        <v>0</v>
      </c>
      <c r="CK23" s="989">
        <f ca="1">IF(CK22&lt;&gt;"",VLOOKUP(CK22,INDIRECT(LU_WORK),2,FALSE)*859.8576/1000000,0)</f>
        <v>0</v>
      </c>
      <c r="CL23" s="989">
        <f ca="1">IF(CL22&lt;&gt;"",VLOOKUP(CL22,INDIRECT(LU_WORK),2,FALSE)*859.8576/1000000,0)</f>
        <v>0</v>
      </c>
      <c r="CM23" s="916"/>
      <c r="CN23" s="989">
        <f ca="1">IF(CN22&lt;&gt;"",VLOOKUP(CN22,INDIRECT(LU_HEAT),2,FALSE),0)</f>
        <v>-38.7022987</v>
      </c>
      <c r="CO23" s="991"/>
      <c r="CP23" s="989">
        <f ca="1">IF(CP22&lt;&gt;"",VLOOKUP(CP22,INDIRECT(LU_WORK),2,FALSE)*859.8576/1000000,0)</f>
        <v>-35.541458167155362</v>
      </c>
      <c r="CQ23" s="989">
        <f ca="1">IF(CQ22&lt;&gt;"",VLOOKUP(CQ22,INDIRECT(LU_WORK),2,FALSE)*859.8576/1000000,0)</f>
        <v>0.54165119342658252</v>
      </c>
      <c r="CR23" s="989">
        <f ca="1">VLOOKUP("a800.wtotal",INDIRECT(LU_WORK),2,FALSE)*859.8576/1000000/25</f>
        <v>-1.4216583266862144</v>
      </c>
      <c r="CS23" s="989"/>
      <c r="CT23" s="916"/>
      <c r="CU23" s="989">
        <f t="shared" ref="CU23:DH23" ca="1" si="125">IF(CU22&lt;&gt;"",VLOOKUP(CU22,INDIRECT(LU_WORK),2,FALSE)*859.8576/1000000,0)</f>
        <v>0</v>
      </c>
      <c r="CV23" s="989">
        <f t="shared" ca="1" si="125"/>
        <v>0</v>
      </c>
      <c r="CW23" s="989">
        <f t="shared" ca="1" si="125"/>
        <v>0</v>
      </c>
      <c r="CX23" s="989">
        <f t="shared" ca="1" si="125"/>
        <v>0</v>
      </c>
      <c r="CY23" s="989">
        <f t="shared" ca="1" si="125"/>
        <v>0</v>
      </c>
      <c r="CZ23" s="989">
        <f ca="1">IF(CZ22&lt;&gt;"",VLOOKUP(CZ22,INDIRECT(LU_WORK),2,FALSE)*859.8576/1000000,0)</f>
        <v>0</v>
      </c>
      <c r="DA23" s="989">
        <f ca="1">IF(DA22&lt;&gt;"",VLOOKUP(DA22,INDIRECT(LU_WORK),2,FALSE)*859.8576/1000000,0)</f>
        <v>0</v>
      </c>
      <c r="DB23" s="989">
        <f t="shared" ca="1" si="125"/>
        <v>0</v>
      </c>
      <c r="DC23" s="989">
        <f t="shared" ca="1" si="125"/>
        <v>0</v>
      </c>
      <c r="DD23" s="994">
        <f t="shared" ca="1" si="125"/>
        <v>6.3261966140620798</v>
      </c>
      <c r="DE23" s="989">
        <f t="shared" ca="1" si="125"/>
        <v>0</v>
      </c>
      <c r="DF23" s="989">
        <f ca="1">IF(DF22&lt;&gt;"",VLOOKUP(DF22,INDIRECT(LU_WORK),2,FALSE)*859.8576/1000000,0)</f>
        <v>0</v>
      </c>
      <c r="DG23" s="989">
        <f t="shared" ca="1" si="125"/>
        <v>0</v>
      </c>
      <c r="DH23" s="989">
        <f t="shared" ca="1" si="125"/>
        <v>0</v>
      </c>
      <c r="DI23" s="916"/>
      <c r="DJ23" s="989">
        <f t="shared" ref="DJ23:DP23" ca="1" si="126">IF(DJ22&lt;&gt;"",VLOOKUP(DJ22,INDIRECT(LU_WORK),2,FALSE)*859.8576/1000000,0)</f>
        <v>0</v>
      </c>
      <c r="DK23" s="989">
        <f t="shared" ca="1" si="126"/>
        <v>0</v>
      </c>
      <c r="DL23" s="989">
        <f t="shared" ca="1" si="126"/>
        <v>0</v>
      </c>
      <c r="DM23" s="989">
        <f t="shared" ca="1" si="126"/>
        <v>0</v>
      </c>
      <c r="DN23" s="989">
        <f t="shared" ca="1" si="126"/>
        <v>0</v>
      </c>
      <c r="DO23" s="994">
        <f t="shared" ca="1" si="126"/>
        <v>0</v>
      </c>
      <c r="DP23" s="989">
        <f t="shared" ca="1" si="126"/>
        <v>0</v>
      </c>
      <c r="DQ23" s="916"/>
      <c r="DR23" s="993"/>
      <c r="DS23" s="993"/>
      <c r="DT23" s="993"/>
      <c r="DU23" s="1143"/>
      <c r="DV23" s="1143"/>
      <c r="DW23" s="916"/>
      <c r="DX23" s="993"/>
      <c r="DY23" s="993"/>
      <c r="DZ23" s="993"/>
      <c r="EA23" s="914"/>
      <c r="EB23" s="914"/>
      <c r="EC23" s="916"/>
      <c r="ED23" s="993"/>
      <c r="EE23" s="993"/>
      <c r="EF23" s="993"/>
      <c r="EG23" s="1143"/>
      <c r="EH23" s="1143"/>
      <c r="EI23" s="916"/>
      <c r="EJ23" s="992"/>
      <c r="EK23" s="991"/>
      <c r="EL23" s="989">
        <f ca="1">IF(EL22&lt;&gt;"",VLOOKUP(EL22,INDIRECT(LU_WORK),2,FALSE)*859.8576/1000000,0)</f>
        <v>0.87781501229419212</v>
      </c>
      <c r="EM23" s="989">
        <f ca="1">IF(EM22&lt;&gt;"",VLOOKUP(EM22,INDIRECT(LU_WORK),2,FALSE)*859.8576/1000000,0)</f>
        <v>1.373948505213312</v>
      </c>
      <c r="EN23" s="914"/>
      <c r="EO23" s="916"/>
      <c r="EP23" s="989">
        <f ca="1">IF(EP22&lt;&gt;"",VLOOKUP(EP22,INDIRECT(LU_WORK),2,FALSE)*859.8576/1000000,0)</f>
        <v>0</v>
      </c>
      <c r="EQ23" s="989">
        <f ca="1">IF(EQ22&lt;&gt;"",VLOOKUP(EQ22,INDIRECT(LU_WORK),2,FALSE)*859.8576/1000000,0)</f>
        <v>1.8689045091349921</v>
      </c>
      <c r="ER23" s="989">
        <f ca="1">IF(ER22&lt;&gt;"",VLOOKUP(ER22,INDIRECT(LU_WORK),2,FALSE)*859.8576/1000000,0)</f>
        <v>0</v>
      </c>
      <c r="ES23" s="989">
        <f ca="1">IF(ES22&lt;&gt;"",VLOOKUP(ES22,INDIRECT(LU_WORK),2,FALSE)*859.8576/1000000,0)</f>
        <v>0</v>
      </c>
      <c r="ET23" s="1143"/>
      <c r="EU23" s="916"/>
      <c r="EV23" s="989">
        <f ca="1">IF(EV22&lt;&gt;"",VLOOKUP(EV22,INDIRECT(LU_WORK),2,FALSE)*859.8576/1000000,0)</f>
        <v>0.1921396064070672</v>
      </c>
      <c r="EW23" s="989">
        <f ca="1">IF(EW22&lt;&gt;"",VLOOKUP(EW22,INDIRECT(LU_WORK),2,FALSE)*859.8576/1000000,0)</f>
        <v>0</v>
      </c>
      <c r="EX23" s="916"/>
      <c r="EY23" s="989">
        <f ca="1">IF(EY22&lt;&gt;"",VLOOKUP(EY22,INDIRECT(LU_WORK),2,FALSE)*859.8576/1000000,0)</f>
        <v>0</v>
      </c>
      <c r="EZ23" s="989">
        <f ca="1">IF(EZ22&lt;&gt;"",VLOOKUP(EZ22,INDIRECT(LU_WORK),2,FALSE)*859.8576/1000000,0)</f>
        <v>0</v>
      </c>
      <c r="FA23" s="989">
        <f ca="1">IF(FA22&lt;&gt;"",VLOOKUP(FA22,INDIRECT(LU_WORK),2,FALSE)*859.8576/1000000,0)</f>
        <v>0</v>
      </c>
      <c r="FB23" s="916"/>
      <c r="FC23" s="989">
        <f t="shared" ref="FC23:GB23" ca="1" si="127">IF(FC22&lt;&gt;"",VLOOKUP(FC22,INDIRECT(LU_WORK),2,FALSE)*859.8576/1000000,0)</f>
        <v>0</v>
      </c>
      <c r="FD23" s="989">
        <f t="shared" ca="1" si="127"/>
        <v>0</v>
      </c>
      <c r="FE23" s="989">
        <f t="shared" ca="1" si="127"/>
        <v>0</v>
      </c>
      <c r="FF23" s="989">
        <f t="shared" ca="1" si="127"/>
        <v>0.73903445395829281</v>
      </c>
      <c r="FG23" s="989">
        <f t="shared" ca="1" si="127"/>
        <v>2.1407724106134243</v>
      </c>
      <c r="FH23" s="989">
        <f t="shared" ca="1" si="127"/>
        <v>0.68962701820528316</v>
      </c>
      <c r="FI23" s="989">
        <f t="shared" ca="1" si="127"/>
        <v>0.37489791360000002</v>
      </c>
      <c r="FJ23" s="989">
        <f t="shared" ca="1" si="127"/>
        <v>0.1288485512838384</v>
      </c>
      <c r="FK23" s="989">
        <f t="shared" ca="1" si="127"/>
        <v>1.6029892556455681E-2</v>
      </c>
      <c r="FL23" s="989">
        <f t="shared" ca="1" si="127"/>
        <v>9.3553022794559994E-3</v>
      </c>
      <c r="FM23" s="989">
        <f t="shared" ca="1" si="127"/>
        <v>0</v>
      </c>
      <c r="FN23" s="989">
        <f ca="1">IF(FN22&lt;&gt;"",VLOOKUP(FN22,INDIRECT(LU_WORK),2,FALSE)*859.8576/1000000,0)</f>
        <v>0</v>
      </c>
      <c r="FO23" s="989">
        <f ca="1">IF(FO22&lt;&gt;"",VLOOKUP(FO22,INDIRECT(LU_WORK),2,FALSE)*859.8576/1000000,0)</f>
        <v>0</v>
      </c>
      <c r="FP23" s="989">
        <f t="shared" ca="1" si="127"/>
        <v>0</v>
      </c>
      <c r="FQ23" s="989">
        <f t="shared" ca="1" si="127"/>
        <v>0</v>
      </c>
      <c r="FR23" s="989">
        <f t="shared" ca="1" si="127"/>
        <v>0</v>
      </c>
      <c r="FS23" s="989">
        <f t="shared" ca="1" si="127"/>
        <v>0</v>
      </c>
      <c r="FT23" s="989">
        <f t="shared" ca="1" si="127"/>
        <v>0</v>
      </c>
      <c r="FU23" s="989">
        <f t="shared" ca="1" si="127"/>
        <v>0</v>
      </c>
      <c r="FV23" s="989">
        <f ca="1">IF(FV22&lt;&gt;"",VLOOKUP(FV22,INDIRECT(LU_WORK),2,FALSE)*859.8576/1000000,0)</f>
        <v>0</v>
      </c>
      <c r="FW23" s="989">
        <f t="shared" ca="1" si="127"/>
        <v>0</v>
      </c>
      <c r="FX23" s="989">
        <f t="shared" ca="1" si="127"/>
        <v>0</v>
      </c>
      <c r="FY23" s="989">
        <f t="shared" ca="1" si="127"/>
        <v>0</v>
      </c>
      <c r="FZ23" s="989">
        <f t="shared" ca="1" si="127"/>
        <v>0</v>
      </c>
      <c r="GA23" s="989">
        <f ca="1">IF(GA22&lt;&gt;"",VLOOKUP(GA22,INDIRECT(LU_WORK),2,FALSE)*859.8576/1000000,0)</f>
        <v>0</v>
      </c>
      <c r="GB23" s="989">
        <f t="shared" ca="1" si="127"/>
        <v>0</v>
      </c>
      <c r="GC23" s="915"/>
      <c r="GD23" s="989">
        <f ca="1">IF(GD22&lt;&gt;"",VLOOKUP(GD22,INDIRECT(LU_WORK),2,FALSE)*859.8576/1000000,0)</f>
        <v>-11.018342889267842</v>
      </c>
      <c r="GE23" s="989">
        <f ca="1">VLOOKUP("a800.wtotal",INDIRECT(LU_WORK),2,FALSE)*859.8576/1000000/25</f>
        <v>-1.4216583266862144</v>
      </c>
      <c r="GF23" s="989">
        <f t="shared" ref="GF23:GO23" ca="1" si="128">IF(GF22&lt;&gt;"",VLOOKUP(GF22,INDIRECT(LU_WORK),2,FALSE)*859.8576/1000000,0)</f>
        <v>0</v>
      </c>
      <c r="GG23" s="989">
        <f t="shared" ca="1" si="128"/>
        <v>0</v>
      </c>
      <c r="GH23" s="989">
        <f t="shared" ca="1" si="128"/>
        <v>0</v>
      </c>
      <c r="GI23" s="989">
        <f ca="1">IF(GI22&lt;&gt;"",VLOOKUP(GI22,INDIRECT(LU_WORK),2,FALSE)*859.8576/1000000,0)</f>
        <v>0</v>
      </c>
      <c r="GJ23" s="989">
        <f t="shared" ca="1" si="128"/>
        <v>0</v>
      </c>
      <c r="GK23" s="989">
        <f t="shared" ca="1" si="128"/>
        <v>0</v>
      </c>
      <c r="GL23" s="989">
        <f t="shared" ca="1" si="128"/>
        <v>0</v>
      </c>
      <c r="GM23" s="989">
        <f t="shared" ca="1" si="128"/>
        <v>0</v>
      </c>
      <c r="GN23" s="989">
        <f t="shared" ca="1" si="128"/>
        <v>0</v>
      </c>
      <c r="GO23" s="989">
        <f t="shared" ca="1" si="128"/>
        <v>0</v>
      </c>
      <c r="GP23" s="918"/>
      <c r="GQ23" s="914"/>
      <c r="GT23" s="914"/>
      <c r="GX23" s="946" t="s">
        <v>3105</v>
      </c>
      <c r="GY23" s="1181">
        <f ca="1">BT23+BJ23</f>
        <v>1.4267284718654691</v>
      </c>
    </row>
    <row r="24" spans="1:207" s="914" customFormat="1" x14ac:dyDescent="0.3">
      <c r="A24" s="988" t="s">
        <v>2375</v>
      </c>
      <c r="B24" s="957"/>
      <c r="C24" s="987"/>
      <c r="D24" s="981" t="s">
        <v>2548</v>
      </c>
      <c r="E24" s="986"/>
      <c r="F24" s="985"/>
      <c r="G24" s="981"/>
      <c r="H24" s="981"/>
      <c r="I24" s="981"/>
      <c r="J24" s="981"/>
      <c r="K24" s="981"/>
      <c r="L24" s="981"/>
      <c r="M24" s="981"/>
      <c r="N24" s="982"/>
      <c r="O24" s="981"/>
      <c r="P24" s="984"/>
      <c r="Q24" s="916"/>
      <c r="R24" s="981"/>
      <c r="S24" s="981"/>
      <c r="T24" s="981"/>
      <c r="U24" s="981"/>
      <c r="V24" s="981"/>
      <c r="W24" s="981"/>
      <c r="X24" s="982"/>
      <c r="Y24" s="981"/>
      <c r="Z24" s="981"/>
      <c r="AA24" s="981"/>
      <c r="AB24" s="916"/>
      <c r="AC24" s="981"/>
      <c r="AD24" s="981"/>
      <c r="AE24" s="981"/>
      <c r="AF24" s="981"/>
      <c r="AG24" s="981"/>
      <c r="AH24" s="981"/>
      <c r="AI24" s="981"/>
      <c r="AJ24" s="981"/>
      <c r="AK24" s="982"/>
      <c r="AL24" s="981"/>
      <c r="AM24" s="981"/>
      <c r="AN24" s="981"/>
      <c r="AO24" s="916"/>
      <c r="AP24" s="981"/>
      <c r="AQ24" s="981"/>
      <c r="AR24" s="981"/>
      <c r="AS24" s="981"/>
      <c r="AT24" s="982"/>
      <c r="AU24" s="982"/>
      <c r="AV24" s="981"/>
      <c r="AW24" s="981"/>
      <c r="AX24" s="981"/>
      <c r="AY24" s="983"/>
      <c r="AZ24" s="983"/>
      <c r="BA24" s="983"/>
      <c r="BB24" s="983"/>
      <c r="BC24" s="983"/>
      <c r="BD24" s="916"/>
      <c r="BE24" s="981"/>
      <c r="BF24" s="981"/>
      <c r="BG24" s="981"/>
      <c r="BH24" s="981"/>
      <c r="BI24" s="982"/>
      <c r="BJ24" s="981"/>
      <c r="BK24" s="981"/>
      <c r="BL24" s="981"/>
      <c r="BM24" s="983"/>
      <c r="BN24" s="983"/>
      <c r="BO24" s="983"/>
      <c r="BP24" s="916"/>
      <c r="BQ24" s="981"/>
      <c r="BR24" s="981"/>
      <c r="BS24" s="981"/>
      <c r="BT24" s="981"/>
      <c r="BU24" s="981"/>
      <c r="BV24" s="981"/>
      <c r="BW24" s="981"/>
      <c r="BX24" s="916"/>
      <c r="BY24" s="981"/>
      <c r="BZ24" s="981"/>
      <c r="CA24" s="981"/>
      <c r="CB24" s="981"/>
      <c r="CC24" s="981"/>
      <c r="CD24" s="981"/>
      <c r="CE24" s="981"/>
      <c r="CF24" s="981"/>
      <c r="CG24" s="916"/>
      <c r="CH24" s="981"/>
      <c r="CI24" s="981"/>
      <c r="CJ24" s="981"/>
      <c r="CK24" s="981"/>
      <c r="CL24" s="981"/>
      <c r="CM24" s="916"/>
      <c r="CN24" s="981"/>
      <c r="CO24" s="981"/>
      <c r="CP24" s="981"/>
      <c r="CQ24" s="981"/>
      <c r="CR24" s="981"/>
      <c r="CS24" s="981"/>
      <c r="CT24" s="916"/>
      <c r="CU24" s="981"/>
      <c r="CV24" s="981"/>
      <c r="CW24" s="981"/>
      <c r="CX24" s="981"/>
      <c r="CY24" s="981"/>
      <c r="CZ24" s="981"/>
      <c r="DA24" s="981"/>
      <c r="DB24" s="981"/>
      <c r="DC24" s="982"/>
      <c r="DD24" s="981"/>
      <c r="DE24" s="981"/>
      <c r="DF24" s="981"/>
      <c r="DG24" s="981"/>
      <c r="DH24" s="981"/>
      <c r="DI24" s="916"/>
      <c r="DJ24" s="981"/>
      <c r="DK24" s="981"/>
      <c r="DL24" s="981"/>
      <c r="DM24" s="981"/>
      <c r="DN24" s="981"/>
      <c r="DO24" s="981"/>
      <c r="DP24" s="981"/>
      <c r="DQ24" s="916"/>
      <c r="DR24" s="981"/>
      <c r="DS24" s="981"/>
      <c r="DT24" s="981"/>
      <c r="DU24" s="981"/>
      <c r="DV24" s="915"/>
      <c r="DW24" s="916"/>
      <c r="DX24" s="981"/>
      <c r="DY24" s="981"/>
      <c r="DZ24" s="981"/>
      <c r="EA24" s="981"/>
      <c r="EB24" s="915"/>
      <c r="EC24" s="916"/>
      <c r="ED24" s="981"/>
      <c r="EE24" s="981"/>
      <c r="EF24" s="981"/>
      <c r="EG24" s="981"/>
      <c r="EH24" s="915"/>
      <c r="EI24" s="916"/>
      <c r="EJ24" s="981"/>
      <c r="EK24" s="981"/>
      <c r="EL24" s="981"/>
      <c r="EM24" s="981"/>
      <c r="EN24" s="915"/>
      <c r="EO24" s="916"/>
      <c r="EP24" s="981"/>
      <c r="EQ24" s="981"/>
      <c r="ER24" s="981"/>
      <c r="ES24" s="981"/>
      <c r="ET24" s="915"/>
      <c r="EU24" s="916"/>
      <c r="EV24" s="981"/>
      <c r="EW24" s="981"/>
      <c r="EX24" s="916"/>
      <c r="EY24" s="981"/>
      <c r="EZ24" s="981"/>
      <c r="FA24" s="981"/>
      <c r="FB24" s="916"/>
      <c r="FC24" s="981"/>
      <c r="FD24" s="981"/>
      <c r="FE24" s="981"/>
      <c r="FF24" s="981"/>
      <c r="FG24" s="981"/>
      <c r="FH24" s="981"/>
      <c r="FI24" s="981"/>
      <c r="FJ24" s="981"/>
      <c r="FK24" s="981"/>
      <c r="FL24" s="981"/>
      <c r="FM24" s="981"/>
      <c r="FN24" s="981"/>
      <c r="FO24" s="981"/>
      <c r="FP24" s="981"/>
      <c r="FQ24" s="981"/>
      <c r="FR24" s="981"/>
      <c r="FS24" s="981"/>
      <c r="FT24" s="981"/>
      <c r="FU24" s="981"/>
      <c r="FV24" s="981"/>
      <c r="FW24" s="981"/>
      <c r="FX24" s="981"/>
      <c r="FY24" s="981"/>
      <c r="FZ24" s="981"/>
      <c r="GA24" s="981"/>
      <c r="GB24" s="981"/>
      <c r="GC24" s="915"/>
      <c r="GD24" s="981"/>
      <c r="GE24" s="981"/>
      <c r="GF24" s="981"/>
      <c r="GG24" s="981"/>
      <c r="GH24" s="981"/>
      <c r="GI24" s="981"/>
      <c r="GJ24" s="981"/>
      <c r="GK24" s="981"/>
      <c r="GL24" s="981"/>
      <c r="GM24" s="981"/>
      <c r="GN24" s="981"/>
      <c r="GO24" s="981"/>
      <c r="GP24" s="915"/>
      <c r="GQ24" s="1143" t="s">
        <v>3083</v>
      </c>
      <c r="GR24" s="1183">
        <f ca="1">FS9</f>
        <v>32582.828799999999</v>
      </c>
      <c r="GS24" s="946" t="s">
        <v>287</v>
      </c>
      <c r="GT24" s="1143" t="s">
        <v>3094</v>
      </c>
      <c r="GU24" s="1181">
        <f ca="1">-GG20-GH20-GI20-GK20</f>
        <v>-26.235704008999999</v>
      </c>
      <c r="GV24" s="1182" t="s">
        <v>3079</v>
      </c>
      <c r="GW24" s="946"/>
      <c r="GX24" s="1143" t="s">
        <v>3106</v>
      </c>
      <c r="GY24" s="1181">
        <f ca="1">DD23</f>
        <v>6.3261966140620798</v>
      </c>
    </row>
    <row r="25" spans="1:207" s="914" customFormat="1" x14ac:dyDescent="0.3">
      <c r="A25" s="975" t="s">
        <v>1504</v>
      </c>
      <c r="B25" s="977">
        <v>6</v>
      </c>
      <c r="C25" s="973">
        <v>180.15768</v>
      </c>
      <c r="D25" s="914">
        <v>-0.61003928257999984</v>
      </c>
      <c r="E25" s="972" t="s">
        <v>982</v>
      </c>
      <c r="F25" s="936">
        <f t="shared" ref="F25:P33" ca="1" si="129">VLOOKUP(F$8,INDIRECT(LU_MAT),$B25,FALSE)*$D25/$C25</f>
        <v>0</v>
      </c>
      <c r="G25" s="918">
        <f t="shared" ca="1" si="129"/>
        <v>-1.3433233112115488E-8</v>
      </c>
      <c r="H25" s="918">
        <f t="shared" ca="1" si="129"/>
        <v>0</v>
      </c>
      <c r="I25" s="918">
        <f t="shared" ca="1" si="129"/>
        <v>0</v>
      </c>
      <c r="J25" s="918">
        <f t="shared" ca="1" si="129"/>
        <v>0</v>
      </c>
      <c r="K25" s="1144">
        <f t="shared" ca="1" si="129"/>
        <v>0</v>
      </c>
      <c r="L25" s="918">
        <f t="shared" ca="1" si="129"/>
        <v>0</v>
      </c>
      <c r="M25" s="918">
        <f t="shared" ca="1" si="129"/>
        <v>0</v>
      </c>
      <c r="N25" s="938">
        <f t="shared" ca="1" si="129"/>
        <v>0</v>
      </c>
      <c r="O25" s="918">
        <f t="shared" ca="1" si="129"/>
        <v>-3.5005241965796844E-7</v>
      </c>
      <c r="P25" s="939">
        <f t="shared" ca="1" si="129"/>
        <v>-12.021632692640097</v>
      </c>
      <c r="Q25" s="921"/>
      <c r="R25" s="918">
        <f t="shared" ref="R25:AA33" ca="1" si="130">VLOOKUP(R$8,INDIRECT(LU_MAT),$B25,FALSE)*$D25/$C25</f>
        <v>-12.021632692640097</v>
      </c>
      <c r="S25" s="918">
        <f t="shared" ca="1" si="130"/>
        <v>0</v>
      </c>
      <c r="T25" s="918">
        <f t="shared" ca="1" si="130"/>
        <v>0</v>
      </c>
      <c r="U25" s="918">
        <f t="shared" ca="1" si="130"/>
        <v>0</v>
      </c>
      <c r="V25" s="918">
        <f t="shared" ca="1" si="130"/>
        <v>0</v>
      </c>
      <c r="W25" s="918">
        <f t="shared" ca="1" si="130"/>
        <v>0</v>
      </c>
      <c r="X25" s="938">
        <f t="shared" ca="1" si="130"/>
        <v>0</v>
      </c>
      <c r="Y25" s="918">
        <f t="shared" ca="1" si="130"/>
        <v>-1.7649975336352051</v>
      </c>
      <c r="Z25" s="918">
        <f t="shared" ca="1" si="130"/>
        <v>-1.044820579067946E-14</v>
      </c>
      <c r="AA25" s="918">
        <f t="shared" ca="1" si="130"/>
        <v>-3.0697954063910942E-15</v>
      </c>
      <c r="AB25" s="921"/>
      <c r="AC25" s="918">
        <f t="shared" ref="AC25:AN33" ca="1" si="131">VLOOKUP(AC$8,INDIRECT(LU_MAT),$B25,FALSE)*$D25/$C25</f>
        <v>0</v>
      </c>
      <c r="AD25" s="918">
        <f t="shared" ca="1" si="131"/>
        <v>0</v>
      </c>
      <c r="AE25" s="918">
        <f t="shared" ca="1" si="131"/>
        <v>-8.1875713181791152</v>
      </c>
      <c r="AF25" s="918">
        <f t="shared" ca="1" si="131"/>
        <v>0</v>
      </c>
      <c r="AG25" s="918">
        <f t="shared" ca="1" si="131"/>
        <v>0</v>
      </c>
      <c r="AH25" s="918">
        <f t="shared" ca="1" si="131"/>
        <v>0</v>
      </c>
      <c r="AI25" s="918">
        <f t="shared" ca="1" si="131"/>
        <v>0</v>
      </c>
      <c r="AJ25" s="918">
        <f t="shared" ca="1" si="131"/>
        <v>0</v>
      </c>
      <c r="AK25" s="938">
        <f t="shared" ca="1" si="131"/>
        <v>0</v>
      </c>
      <c r="AL25" s="918">
        <f t="shared" ca="1" si="131"/>
        <v>0</v>
      </c>
      <c r="AM25" s="918">
        <f t="shared" ca="1" si="131"/>
        <v>-7.3781660843833037E-15</v>
      </c>
      <c r="AN25" s="918">
        <f t="shared" ca="1" si="131"/>
        <v>0</v>
      </c>
      <c r="AO25" s="921"/>
      <c r="AP25" s="1144">
        <f t="shared" ref="AP25:BC40" ca="1" si="132">VLOOKUP(AP$8,INDIRECT(LU_MAT),$B25,FALSE)*$D25/$C25</f>
        <v>-1.7649975336352051</v>
      </c>
      <c r="AQ25" s="1144">
        <f t="shared" ca="1" si="132"/>
        <v>-3.0697954063910942E-15</v>
      </c>
      <c r="AR25" s="1144">
        <f t="shared" ca="1" si="132"/>
        <v>-1.044820579067946E-14</v>
      </c>
      <c r="AS25" s="1144">
        <f t="shared" ca="1" si="132"/>
        <v>0</v>
      </c>
      <c r="AT25" s="938">
        <f t="shared" ca="1" si="132"/>
        <v>0</v>
      </c>
      <c r="AU25" s="938">
        <f t="shared" ca="1" si="132"/>
        <v>0</v>
      </c>
      <c r="AV25" s="1144">
        <f t="shared" ca="1" si="132"/>
        <v>0</v>
      </c>
      <c r="AW25" s="1144">
        <f t="shared" ca="1" si="132"/>
        <v>0</v>
      </c>
      <c r="AX25" s="1144">
        <f t="shared" ca="1" si="132"/>
        <v>0</v>
      </c>
      <c r="AY25" s="1144">
        <f t="shared" ca="1" si="132"/>
        <v>-1.3433233112115488E-8</v>
      </c>
      <c r="AZ25" s="1144">
        <f t="shared" ca="1" si="132"/>
        <v>0</v>
      </c>
      <c r="BA25" s="1144">
        <f t="shared" ca="1" si="132"/>
        <v>-1.6992838796110166</v>
      </c>
      <c r="BB25" s="1144">
        <f t="shared" ca="1" si="132"/>
        <v>-6.5713640818238966E-2</v>
      </c>
      <c r="BC25" s="1144">
        <f t="shared" ca="1" si="132"/>
        <v>-1.2881761503935467E-13</v>
      </c>
      <c r="BD25" s="921"/>
      <c r="BE25" s="918">
        <f t="shared" ref="BE25:BO33" ca="1" si="133">VLOOKUP(BE$8,INDIRECT(LU_MAT),$B25,FALSE)*$D25/$C25</f>
        <v>-1.7649975336352051</v>
      </c>
      <c r="BF25" s="918">
        <f t="shared" ca="1" si="133"/>
        <v>-3.0697954063910942E-15</v>
      </c>
      <c r="BG25" s="918">
        <f t="shared" ca="1" si="133"/>
        <v>-1.044820579067946E-14</v>
      </c>
      <c r="BH25" s="918">
        <f t="shared" ca="1" si="133"/>
        <v>0</v>
      </c>
      <c r="BI25" s="938">
        <f t="shared" ca="1" si="133"/>
        <v>0</v>
      </c>
      <c r="BJ25" s="918">
        <f t="shared" ca="1" si="133"/>
        <v>0</v>
      </c>
      <c r="BK25" s="918">
        <f t="shared" ca="1" si="133"/>
        <v>0</v>
      </c>
      <c r="BL25" s="918">
        <f t="shared" ca="1" si="133"/>
        <v>0</v>
      </c>
      <c r="BM25" s="918">
        <f t="shared" ca="1" si="133"/>
        <v>-1.7649975200906416</v>
      </c>
      <c r="BN25" s="1144">
        <f t="shared" ca="1" si="133"/>
        <v>0</v>
      </c>
      <c r="BO25" s="918">
        <f t="shared" ca="1" si="133"/>
        <v>-1.3433233112115488E-8</v>
      </c>
      <c r="BP25" s="921"/>
      <c r="BQ25" s="918">
        <f t="shared" ref="BQ25:BW33" ca="1" si="134">VLOOKUP(BQ$8,INDIRECT(LU_MAT),$B25,FALSE)*$D25/$C25</f>
        <v>0</v>
      </c>
      <c r="BR25" s="918">
        <f t="shared" ca="1" si="134"/>
        <v>-1.7649975200906416</v>
      </c>
      <c r="BS25" s="1144">
        <f t="shared" ca="1" si="134"/>
        <v>0</v>
      </c>
      <c r="BT25" s="918">
        <f t="shared" ca="1" si="134"/>
        <v>-1.6992838796110166</v>
      </c>
      <c r="BU25" s="918">
        <f t="shared" ca="1" si="134"/>
        <v>-1.2881761503935467E-13</v>
      </c>
      <c r="BV25" s="918">
        <f t="shared" ca="1" si="134"/>
        <v>-6.5713640818238966E-2</v>
      </c>
      <c r="BW25" s="1144">
        <f t="shared" ca="1" si="134"/>
        <v>0</v>
      </c>
      <c r="BX25" s="921"/>
      <c r="BY25" s="918">
        <f t="shared" ref="BY25:CF33" ca="1" si="135">VLOOKUP(BY$8,INDIRECT(LU_MAT),$B25,FALSE)*$D25/$C25</f>
        <v>-6.5713640818238966E-2</v>
      </c>
      <c r="BZ25" s="918">
        <f t="shared" ca="1" si="135"/>
        <v>-1.2881761503935467E-13</v>
      </c>
      <c r="CA25" s="918">
        <f t="shared" ca="1" si="135"/>
        <v>0</v>
      </c>
      <c r="CB25" s="918">
        <f t="shared" ca="1" si="135"/>
        <v>-7.3527280736026288E-4</v>
      </c>
      <c r="CC25" s="918">
        <f t="shared" ca="1" si="135"/>
        <v>-3.3291592024630695E-15</v>
      </c>
      <c r="CD25" s="918">
        <f t="shared" ca="1" si="135"/>
        <v>0</v>
      </c>
      <c r="CE25" s="918">
        <f t="shared" ca="1" si="135"/>
        <v>0</v>
      </c>
      <c r="CF25" s="918">
        <f t="shared" ca="1" si="135"/>
        <v>0</v>
      </c>
      <c r="CG25" s="921"/>
      <c r="CH25" s="918">
        <f t="shared" ref="CH25:CL33" ca="1" si="136">VLOOKUP(CH$8,INDIRECT(LU_MAT),$B25,FALSE)*$D25/$C25</f>
        <v>-1.3214677426552072E-13</v>
      </c>
      <c r="CI25" s="918">
        <f t="shared" ca="1" si="136"/>
        <v>-6.6448913540945717E-2</v>
      </c>
      <c r="CJ25" s="918">
        <f t="shared" ca="1" si="136"/>
        <v>0</v>
      </c>
      <c r="CK25" s="918" t="e">
        <f t="shared" ca="1" si="136"/>
        <v>#N/A</v>
      </c>
      <c r="CL25" s="918" t="e">
        <f t="shared" ca="1" si="136"/>
        <v>#N/A</v>
      </c>
      <c r="CM25" s="921"/>
      <c r="CN25" s="918">
        <f t="shared" ref="CN25:CS33" ca="1" si="137">VLOOKUP(CN$8,INDIRECT(LU_MAT),$B25,FALSE)*$D25/$C25</f>
        <v>0</v>
      </c>
      <c r="CO25" s="918" t="e">
        <f t="shared" ca="1" si="137"/>
        <v>#N/A</v>
      </c>
      <c r="CP25" s="918">
        <f t="shared" ca="1" si="137"/>
        <v>0</v>
      </c>
      <c r="CQ25" s="918">
        <f t="shared" ca="1" si="137"/>
        <v>0</v>
      </c>
      <c r="CR25" s="918">
        <f t="shared" ca="1" si="137"/>
        <v>0</v>
      </c>
      <c r="CS25" s="1144">
        <f t="shared" ca="1" si="137"/>
        <v>0</v>
      </c>
      <c r="CT25" s="921"/>
      <c r="CU25" s="918">
        <f t="shared" ref="CU25:DL33" ca="1" si="138">VLOOKUP(CU$8,INDIRECT(LU_MAT),$B25,FALSE)*$D25/$C25</f>
        <v>-3.5005241965796844E-7</v>
      </c>
      <c r="CV25" s="918">
        <f t="shared" ca="1" si="138"/>
        <v>0</v>
      </c>
      <c r="CW25" s="918">
        <f t="shared" ca="1" si="138"/>
        <v>0</v>
      </c>
      <c r="CX25" s="918">
        <f t="shared" ca="1" si="138"/>
        <v>-1.6992838796110166</v>
      </c>
      <c r="CY25" s="918">
        <f t="shared" ca="1" si="138"/>
        <v>0</v>
      </c>
      <c r="CZ25" s="1144" t="e">
        <f t="shared" ca="1" si="138"/>
        <v>#N/A</v>
      </c>
      <c r="DA25" s="1144" t="e">
        <f t="shared" ca="1" si="138"/>
        <v>#N/A</v>
      </c>
      <c r="DB25" s="918">
        <f t="shared" ca="1" si="138"/>
        <v>0</v>
      </c>
      <c r="DC25" s="938">
        <f t="shared" ca="1" si="138"/>
        <v>0</v>
      </c>
      <c r="DD25" s="918">
        <f t="shared" ca="1" si="138"/>
        <v>-3.3291592024630695E-15</v>
      </c>
      <c r="DE25" s="918">
        <f t="shared" ca="1" si="138"/>
        <v>-2.3714279790228217E-17</v>
      </c>
      <c r="DF25" s="918">
        <f t="shared" ca="1" si="138"/>
        <v>0</v>
      </c>
      <c r="DG25" s="918">
        <f t="shared" ca="1" si="138"/>
        <v>-9.2746913014405763E-4</v>
      </c>
      <c r="DH25" s="918">
        <f t="shared" ca="1" si="138"/>
        <v>-7.3527280736026288E-4</v>
      </c>
      <c r="DI25" s="921"/>
      <c r="DJ25" s="1144">
        <f t="shared" ca="1" si="138"/>
        <v>-5.1605431858372779E-3</v>
      </c>
      <c r="DK25" s="1144">
        <f t="shared" ca="1" si="138"/>
        <v>-0.15241533038413296</v>
      </c>
      <c r="DL25" s="1144">
        <f t="shared" ca="1" si="138"/>
        <v>0</v>
      </c>
      <c r="DM25" s="1144">
        <f t="shared" ref="DJ25:DP40" ca="1" si="139">VLOOKUP(DM$8,INDIRECT(LU_MAT),$B25,FALSE)*$D25/$C25</f>
        <v>0</v>
      </c>
      <c r="DN25" s="1144" t="e">
        <f t="shared" ca="1" si="139"/>
        <v>#N/A</v>
      </c>
      <c r="DO25" s="1144">
        <f t="shared" ca="1" si="139"/>
        <v>-6.303034936026527E-3</v>
      </c>
      <c r="DP25" s="1144" t="e">
        <f t="shared" ca="1" si="139"/>
        <v>#N/A</v>
      </c>
      <c r="DQ25" s="921"/>
      <c r="DR25" s="1144">
        <f t="shared" ref="DR25:DU43" ca="1" si="140">VLOOKUP(DR$8,INDIRECT(LU_MAT),$B25,FALSE)*$D25/$C25</f>
        <v>-1.4670209637623544</v>
      </c>
      <c r="DS25" s="1144">
        <f t="shared" ca="1" si="140"/>
        <v>0</v>
      </c>
      <c r="DT25" s="1144">
        <f t="shared" ca="1" si="140"/>
        <v>0</v>
      </c>
      <c r="DU25" s="1144" t="e">
        <f t="shared" ca="1" si="140"/>
        <v>#N/A</v>
      </c>
      <c r="DV25" s="920"/>
      <c r="DW25" s="921"/>
      <c r="DX25" s="918">
        <f t="shared" ref="DX25:EA43" ca="1" si="141">VLOOKUP(DX$8,INDIRECT(LU_MAT),$B25,FALSE)*$D25/$C25</f>
        <v>-1.4670209637623544</v>
      </c>
      <c r="DY25" s="918">
        <f t="shared" ca="1" si="141"/>
        <v>0</v>
      </c>
      <c r="DZ25" s="918">
        <f t="shared" ca="1" si="141"/>
        <v>0</v>
      </c>
      <c r="EA25" s="918" t="e">
        <f t="shared" ca="1" si="141"/>
        <v>#N/A</v>
      </c>
      <c r="EB25" s="920"/>
      <c r="EC25" s="921"/>
      <c r="ED25" s="1144">
        <f t="shared" ref="ED25:EG43" ca="1" si="142">VLOOKUP(ED$8,INDIRECT(LU_MAT),$B25,FALSE)*$D25/$C25</f>
        <v>-7.9327685522694771E-2</v>
      </c>
      <c r="EE25" s="1144">
        <f t="shared" ca="1" si="142"/>
        <v>0</v>
      </c>
      <c r="EF25" s="1144" t="e">
        <f t="shared" ca="1" si="142"/>
        <v>#N/A</v>
      </c>
      <c r="EG25" s="1144" t="e">
        <f t="shared" ca="1" si="142"/>
        <v>#N/A</v>
      </c>
      <c r="EH25" s="920"/>
      <c r="EI25" s="921"/>
      <c r="EJ25" s="918">
        <f t="shared" ref="EJ25:EM43" ca="1" si="143">VLOOKUP(EJ$8,INDIRECT(LU_MAT),$B25,FALSE)*$D25/$C25</f>
        <v>0</v>
      </c>
      <c r="EK25" s="918">
        <f t="shared" ca="1" si="143"/>
        <v>0</v>
      </c>
      <c r="EL25" s="918">
        <f t="shared" ca="1" si="143"/>
        <v>0</v>
      </c>
      <c r="EM25" s="918">
        <f t="shared" ca="1" si="143"/>
        <v>0</v>
      </c>
      <c r="EN25" s="920"/>
      <c r="EO25" s="921"/>
      <c r="EP25" s="1144">
        <f t="shared" ref="EP25:ES43" ca="1" si="144">VLOOKUP(EP$8,INDIRECT(LU_MAT),$B25,FALSE)*$D25/$C25</f>
        <v>-9.2746913014405763E-4</v>
      </c>
      <c r="EQ25" s="1144">
        <f t="shared" ca="1" si="144"/>
        <v>-9.2746913014405763E-4</v>
      </c>
      <c r="ER25" s="1144">
        <f t="shared" ca="1" si="144"/>
        <v>0</v>
      </c>
      <c r="ES25" s="1144">
        <f t="shared" ca="1" si="144"/>
        <v>-5.4111304772599571E-16</v>
      </c>
      <c r="ET25" s="920"/>
      <c r="EU25" s="921"/>
      <c r="EV25" s="1144">
        <f t="shared" ref="EV25:FA40" ca="1" si="145">VLOOKUP(EV$8,INDIRECT(LU_MAT),$B25,FALSE)*$D25/$C25</f>
        <v>0</v>
      </c>
      <c r="EW25" s="1144">
        <f t="shared" ca="1" si="145"/>
        <v>0</v>
      </c>
      <c r="EX25" s="921"/>
      <c r="EY25" s="1144">
        <f t="shared" ca="1" si="145"/>
        <v>0</v>
      </c>
      <c r="EZ25" s="1144">
        <f t="shared" ca="1" si="145"/>
        <v>0</v>
      </c>
      <c r="FA25" s="1144" t="e">
        <f t="shared" ca="1" si="145"/>
        <v>#N/A</v>
      </c>
      <c r="FB25" s="921"/>
      <c r="FC25" s="918">
        <f t="shared" ref="FC25:FL33" ca="1" si="146">VLOOKUP(FC$8,INDIRECT(LU_MAT),$B25,FALSE)*$D25/$C25</f>
        <v>0</v>
      </c>
      <c r="FD25" s="918">
        <f t="shared" ca="1" si="146"/>
        <v>0</v>
      </c>
      <c r="FE25" s="918">
        <f t="shared" ca="1" si="146"/>
        <v>0</v>
      </c>
      <c r="FF25" s="918">
        <f t="shared" ca="1" si="146"/>
        <v>0</v>
      </c>
      <c r="FG25" s="918">
        <f t="shared" ca="1" si="146"/>
        <v>0</v>
      </c>
      <c r="FH25" s="918">
        <f t="shared" ca="1" si="146"/>
        <v>0</v>
      </c>
      <c r="FI25" s="918">
        <f t="shared" ca="1" si="146"/>
        <v>0</v>
      </c>
      <c r="FJ25" s="918">
        <f t="shared" ca="1" si="146"/>
        <v>0</v>
      </c>
      <c r="FK25" s="918">
        <f t="shared" ca="1" si="146"/>
        <v>-8.1875713181791152</v>
      </c>
      <c r="FL25" s="918">
        <f t="shared" ca="1" si="146"/>
        <v>0</v>
      </c>
      <c r="FM25" s="918" t="e">
        <f t="shared" ref="FM25:GB33" ca="1" si="147">VLOOKUP(FM$8,INDIRECT(LU_MAT),$B25,FALSE)*$D25/$C25</f>
        <v>#N/A</v>
      </c>
      <c r="FN25" s="1144">
        <f t="shared" ca="1" si="147"/>
        <v>0</v>
      </c>
      <c r="FO25" s="1144">
        <f t="shared" ca="1" si="147"/>
        <v>0</v>
      </c>
      <c r="FP25" s="918">
        <f t="shared" ca="1" si="147"/>
        <v>0</v>
      </c>
      <c r="FQ25" s="918">
        <f t="shared" ca="1" si="147"/>
        <v>0</v>
      </c>
      <c r="FR25" s="918">
        <f t="shared" ca="1" si="147"/>
        <v>0</v>
      </c>
      <c r="FS25" s="918">
        <f t="shared" ca="1" si="147"/>
        <v>0</v>
      </c>
      <c r="FT25" s="918">
        <f t="shared" ca="1" si="147"/>
        <v>0</v>
      </c>
      <c r="FU25" s="918" t="e">
        <f t="shared" ca="1" si="147"/>
        <v>#N/A</v>
      </c>
      <c r="FV25" s="1144" t="e">
        <f t="shared" ca="1" si="147"/>
        <v>#N/A</v>
      </c>
      <c r="FW25" s="918">
        <f t="shared" ca="1" si="147"/>
        <v>0</v>
      </c>
      <c r="FX25" s="918">
        <f t="shared" ca="1" si="147"/>
        <v>0</v>
      </c>
      <c r="FY25" s="918">
        <f t="shared" ca="1" si="147"/>
        <v>0</v>
      </c>
      <c r="FZ25" s="918">
        <f t="shared" ca="1" si="147"/>
        <v>0</v>
      </c>
      <c r="GA25" s="1144" t="e">
        <f t="shared" ca="1" si="147"/>
        <v>#N/A</v>
      </c>
      <c r="GB25" s="918">
        <f t="shared" ca="1" si="147"/>
        <v>0</v>
      </c>
      <c r="GC25" s="920"/>
      <c r="GD25" s="918">
        <f t="shared" ref="GD25:GO33" ca="1" si="148">VLOOKUP(GD$8,INDIRECT(LU_MAT),$B25,FALSE)*$D25/$C25</f>
        <v>0</v>
      </c>
      <c r="GE25" s="918">
        <f t="shared" ca="1" si="148"/>
        <v>-7.3781660843833037E-15</v>
      </c>
      <c r="GF25" s="918">
        <f t="shared" ca="1" si="148"/>
        <v>0</v>
      </c>
      <c r="GG25" s="918">
        <f t="shared" ca="1" si="148"/>
        <v>0</v>
      </c>
      <c r="GH25" s="918" t="e">
        <f t="shared" ca="1" si="148"/>
        <v>#N/A</v>
      </c>
      <c r="GI25" s="1144" t="e">
        <f t="shared" ca="1" si="148"/>
        <v>#N/A</v>
      </c>
      <c r="GJ25" s="918">
        <f t="shared" ca="1" si="148"/>
        <v>-2.3714279790228217E-17</v>
      </c>
      <c r="GK25" s="918">
        <f t="shared" ca="1" si="148"/>
        <v>-9.2746913014405763E-4</v>
      </c>
      <c r="GL25" s="918">
        <f t="shared" ca="1" si="148"/>
        <v>0</v>
      </c>
      <c r="GM25" s="918">
        <f t="shared" ca="1" si="148"/>
        <v>0</v>
      </c>
      <c r="GN25" s="918">
        <f t="shared" ca="1" si="148"/>
        <v>0</v>
      </c>
      <c r="GO25" s="918" t="e">
        <f t="shared" ca="1" si="148"/>
        <v>#N/A</v>
      </c>
      <c r="GP25" s="915"/>
      <c r="GR25" s="946"/>
      <c r="GS25" s="946"/>
      <c r="GU25" s="946"/>
      <c r="GV25" s="946"/>
      <c r="GW25" s="946"/>
      <c r="GX25" s="1143"/>
      <c r="GY25" s="946"/>
    </row>
    <row r="26" spans="1:207" s="914" customFormat="1" x14ac:dyDescent="0.3">
      <c r="A26" s="975" t="s">
        <v>1505</v>
      </c>
      <c r="B26" s="977">
        <v>9</v>
      </c>
      <c r="C26" s="973">
        <v>150.13139999999999</v>
      </c>
      <c r="D26" s="914">
        <v>-0.50928265215000001</v>
      </c>
      <c r="E26" s="972" t="s">
        <v>982</v>
      </c>
      <c r="F26" s="936">
        <f t="shared" ca="1" si="129"/>
        <v>0</v>
      </c>
      <c r="G26" s="918">
        <f t="shared" ca="1" si="129"/>
        <v>-6.0882637973734364E-7</v>
      </c>
      <c r="H26" s="918">
        <f t="shared" ca="1" si="129"/>
        <v>0</v>
      </c>
      <c r="I26" s="918">
        <f t="shared" ca="1" si="129"/>
        <v>0</v>
      </c>
      <c r="J26" s="918">
        <f t="shared" ca="1" si="129"/>
        <v>0</v>
      </c>
      <c r="K26" s="1144">
        <f t="shared" ca="1" si="129"/>
        <v>0</v>
      </c>
      <c r="L26" s="918">
        <f t="shared" ca="1" si="129"/>
        <v>0</v>
      </c>
      <c r="M26" s="918">
        <f t="shared" ca="1" si="129"/>
        <v>0</v>
      </c>
      <c r="N26" s="938">
        <f t="shared" ca="1" si="129"/>
        <v>0</v>
      </c>
      <c r="O26" s="918">
        <f t="shared" ca="1" si="129"/>
        <v>-2.6227562233704724E-5</v>
      </c>
      <c r="P26" s="939">
        <f t="shared" ca="1" si="129"/>
        <v>-55.891702651419223</v>
      </c>
      <c r="Q26" s="921"/>
      <c r="R26" s="918">
        <f t="shared" ca="1" si="130"/>
        <v>-55.891702651419223</v>
      </c>
      <c r="S26" s="918">
        <f t="shared" ca="1" si="130"/>
        <v>0</v>
      </c>
      <c r="T26" s="918">
        <f t="shared" ca="1" si="130"/>
        <v>0</v>
      </c>
      <c r="U26" s="918">
        <f t="shared" ca="1" si="130"/>
        <v>0</v>
      </c>
      <c r="V26" s="918">
        <f t="shared" ca="1" si="130"/>
        <v>0</v>
      </c>
      <c r="W26" s="918">
        <f t="shared" ca="1" si="130"/>
        <v>0</v>
      </c>
      <c r="X26" s="938">
        <f t="shared" ca="1" si="130"/>
        <v>-4.5452255326188761E-12</v>
      </c>
      <c r="Y26" s="918">
        <f t="shared" ca="1" si="130"/>
        <v>-3.6022907615957425</v>
      </c>
      <c r="Z26" s="918">
        <f t="shared" ca="1" si="130"/>
        <v>-3.9072670151250371E-12</v>
      </c>
      <c r="AA26" s="918">
        <f t="shared" ca="1" si="130"/>
        <v>-6.3795472157048305E-13</v>
      </c>
      <c r="AB26" s="921"/>
      <c r="AC26" s="918">
        <f t="shared" ca="1" si="131"/>
        <v>0</v>
      </c>
      <c r="AD26" s="918">
        <f t="shared" ca="1" si="131"/>
        <v>0</v>
      </c>
      <c r="AE26" s="918">
        <f t="shared" ca="1" si="131"/>
        <v>0</v>
      </c>
      <c r="AF26" s="918">
        <f t="shared" ca="1" si="131"/>
        <v>0</v>
      </c>
      <c r="AG26" s="918">
        <f t="shared" ca="1" si="131"/>
        <v>0</v>
      </c>
      <c r="AH26" s="918">
        <f t="shared" ca="1" si="131"/>
        <v>0</v>
      </c>
      <c r="AI26" s="918">
        <f t="shared" ca="1" si="131"/>
        <v>0</v>
      </c>
      <c r="AJ26" s="918">
        <f t="shared" ca="1" si="131"/>
        <v>0</v>
      </c>
      <c r="AK26" s="938">
        <f t="shared" ca="1" si="131"/>
        <v>0</v>
      </c>
      <c r="AL26" s="918">
        <f t="shared" ca="1" si="131"/>
        <v>0</v>
      </c>
      <c r="AM26" s="918">
        <f t="shared" ca="1" si="131"/>
        <v>0</v>
      </c>
      <c r="AN26" s="918">
        <f t="shared" ca="1" si="131"/>
        <v>0</v>
      </c>
      <c r="AO26" s="921"/>
      <c r="AP26" s="1144">
        <f t="shared" ca="1" si="132"/>
        <v>-3.6022907615957425</v>
      </c>
      <c r="AQ26" s="1144">
        <f t="shared" ca="1" si="132"/>
        <v>-6.3795472157048305E-13</v>
      </c>
      <c r="AR26" s="1144">
        <f t="shared" ca="1" si="132"/>
        <v>-3.9072670151250371E-12</v>
      </c>
      <c r="AS26" s="1144">
        <f t="shared" ca="1" si="132"/>
        <v>0</v>
      </c>
      <c r="AT26" s="938">
        <f t="shared" ca="1" si="132"/>
        <v>0</v>
      </c>
      <c r="AU26" s="938">
        <f t="shared" ca="1" si="132"/>
        <v>0</v>
      </c>
      <c r="AV26" s="1144">
        <f t="shared" ca="1" si="132"/>
        <v>0</v>
      </c>
      <c r="AW26" s="1144">
        <f t="shared" ca="1" si="132"/>
        <v>-4.5452255326188761E-12</v>
      </c>
      <c r="AX26" s="1144">
        <f t="shared" ca="1" si="132"/>
        <v>0</v>
      </c>
      <c r="AY26" s="1144">
        <f t="shared" ca="1" si="132"/>
        <v>-6.0882637973734364E-7</v>
      </c>
      <c r="AZ26" s="1144">
        <f t="shared" ca="1" si="132"/>
        <v>0</v>
      </c>
      <c r="BA26" s="1144">
        <f t="shared" ca="1" si="132"/>
        <v>-3.4681712232880124</v>
      </c>
      <c r="BB26" s="1144">
        <f t="shared" ca="1" si="132"/>
        <v>-0.13411894262932023</v>
      </c>
      <c r="BC26" s="1144">
        <f t="shared" ca="1" si="132"/>
        <v>-2.8142391991084237E-11</v>
      </c>
      <c r="BD26" s="921"/>
      <c r="BE26" s="918">
        <f t="shared" ca="1" si="133"/>
        <v>-3.6022907615957425</v>
      </c>
      <c r="BF26" s="918">
        <f t="shared" ca="1" si="133"/>
        <v>-6.3795472157048305E-13</v>
      </c>
      <c r="BG26" s="918">
        <f t="shared" ca="1" si="133"/>
        <v>-3.9072670151250371E-12</v>
      </c>
      <c r="BH26" s="918">
        <f t="shared" ca="1" si="133"/>
        <v>0</v>
      </c>
      <c r="BI26" s="938">
        <f t="shared" ca="1" si="133"/>
        <v>0</v>
      </c>
      <c r="BJ26" s="918">
        <f t="shared" ca="1" si="133"/>
        <v>0</v>
      </c>
      <c r="BK26" s="918">
        <f t="shared" ca="1" si="133"/>
        <v>-4.5452255326188761E-12</v>
      </c>
      <c r="BL26" s="918">
        <f t="shared" ca="1" si="133"/>
        <v>0</v>
      </c>
      <c r="BM26" s="918">
        <f t="shared" ca="1" si="133"/>
        <v>-3.6022901509914491</v>
      </c>
      <c r="BN26" s="1144">
        <f t="shared" ca="1" si="133"/>
        <v>0</v>
      </c>
      <c r="BO26" s="918">
        <f t="shared" ca="1" si="133"/>
        <v>-6.0882637973734364E-7</v>
      </c>
      <c r="BP26" s="921"/>
      <c r="BQ26" s="918">
        <f t="shared" ca="1" si="134"/>
        <v>0</v>
      </c>
      <c r="BR26" s="918">
        <f t="shared" ca="1" si="134"/>
        <v>-3.6022901509914491</v>
      </c>
      <c r="BS26" s="1144">
        <f t="shared" ca="1" si="134"/>
        <v>0</v>
      </c>
      <c r="BT26" s="918">
        <f t="shared" ca="1" si="134"/>
        <v>-3.4681712232880124</v>
      </c>
      <c r="BU26" s="918">
        <f t="shared" ca="1" si="134"/>
        <v>-2.8142391991084237E-11</v>
      </c>
      <c r="BV26" s="918">
        <f t="shared" ca="1" si="134"/>
        <v>-0.13411894262932023</v>
      </c>
      <c r="BW26" s="1144">
        <f t="shared" ca="1" si="134"/>
        <v>0</v>
      </c>
      <c r="BX26" s="921"/>
      <c r="BY26" s="918">
        <f t="shared" ca="1" si="135"/>
        <v>-0.13411894262932023</v>
      </c>
      <c r="BZ26" s="918">
        <f t="shared" ca="1" si="135"/>
        <v>-2.8142391991084237E-11</v>
      </c>
      <c r="CA26" s="918">
        <f t="shared" ca="1" si="135"/>
        <v>0</v>
      </c>
      <c r="CB26" s="918">
        <f t="shared" ca="1" si="135"/>
        <v>-1.5006737654589106E-3</v>
      </c>
      <c r="CC26" s="918">
        <f t="shared" ca="1" si="135"/>
        <v>-1.0266687424271857E-12</v>
      </c>
      <c r="CD26" s="918">
        <f t="shared" ca="1" si="135"/>
        <v>0</v>
      </c>
      <c r="CE26" s="918">
        <f t="shared" ca="1" si="135"/>
        <v>0</v>
      </c>
      <c r="CF26" s="918">
        <f t="shared" ca="1" si="135"/>
        <v>0</v>
      </c>
      <c r="CG26" s="921"/>
      <c r="CH26" s="918">
        <f t="shared" ca="1" si="136"/>
        <v>-2.9169060726726928E-11</v>
      </c>
      <c r="CI26" s="918">
        <f t="shared" ca="1" si="136"/>
        <v>-0.13561961665937433</v>
      </c>
      <c r="CJ26" s="918">
        <f t="shared" ca="1" si="136"/>
        <v>0</v>
      </c>
      <c r="CK26" s="918" t="e">
        <f t="shared" ca="1" si="136"/>
        <v>#N/A</v>
      </c>
      <c r="CL26" s="918" t="e">
        <f t="shared" ca="1" si="136"/>
        <v>#N/A</v>
      </c>
      <c r="CM26" s="921"/>
      <c r="CN26" s="918">
        <f t="shared" ca="1" si="137"/>
        <v>0</v>
      </c>
      <c r="CO26" s="918" t="e">
        <f t="shared" ca="1" si="137"/>
        <v>#N/A</v>
      </c>
      <c r="CP26" s="918">
        <f t="shared" ca="1" si="137"/>
        <v>0</v>
      </c>
      <c r="CQ26" s="918">
        <f t="shared" ca="1" si="137"/>
        <v>0</v>
      </c>
      <c r="CR26" s="918">
        <f t="shared" ca="1" si="137"/>
        <v>0</v>
      </c>
      <c r="CS26" s="1144">
        <f t="shared" ca="1" si="137"/>
        <v>0</v>
      </c>
      <c r="CT26" s="921"/>
      <c r="CU26" s="918">
        <f t="shared" ca="1" si="138"/>
        <v>-2.6227562233704724E-5</v>
      </c>
      <c r="CV26" s="918">
        <f t="shared" ca="1" si="138"/>
        <v>0</v>
      </c>
      <c r="CW26" s="918">
        <f t="shared" ca="1" si="138"/>
        <v>0</v>
      </c>
      <c r="CX26" s="918">
        <f t="shared" ca="1" si="138"/>
        <v>-3.4681712232880124</v>
      </c>
      <c r="CY26" s="918">
        <f t="shared" ca="1" si="138"/>
        <v>0</v>
      </c>
      <c r="CZ26" s="1144" t="e">
        <f t="shared" ca="1" si="138"/>
        <v>#N/A</v>
      </c>
      <c r="DA26" s="1144" t="e">
        <f t="shared" ca="1" si="138"/>
        <v>#N/A</v>
      </c>
      <c r="DB26" s="918">
        <f t="shared" ca="1" si="138"/>
        <v>0</v>
      </c>
      <c r="DC26" s="938">
        <f t="shared" ca="1" si="138"/>
        <v>0</v>
      </c>
      <c r="DD26" s="918">
        <f t="shared" ca="1" si="138"/>
        <v>-1.0266687424271857E-12</v>
      </c>
      <c r="DE26" s="918">
        <f t="shared" ca="1" si="138"/>
        <v>-1.0416201789399915E-14</v>
      </c>
      <c r="DF26" s="918">
        <f t="shared" ca="1" si="138"/>
        <v>0</v>
      </c>
      <c r="DG26" s="918">
        <f t="shared" ca="1" si="138"/>
        <v>-1.892941754328358E-3</v>
      </c>
      <c r="DH26" s="918">
        <f t="shared" ca="1" si="138"/>
        <v>-1.5006737654589106E-3</v>
      </c>
      <c r="DI26" s="921"/>
      <c r="DJ26" s="1144">
        <f t="shared" ca="1" si="139"/>
        <v>-1.0532542091122298E-2</v>
      </c>
      <c r="DK26" s="1144">
        <f t="shared" ca="1" si="139"/>
        <v>-0.311075951943655</v>
      </c>
      <c r="DL26" s="1144">
        <f t="shared" ca="1" si="139"/>
        <v>0</v>
      </c>
      <c r="DM26" s="1144">
        <f t="shared" ca="1" si="139"/>
        <v>0</v>
      </c>
      <c r="DN26" s="1144" t="e">
        <f t="shared" ca="1" si="139"/>
        <v>#N/A</v>
      </c>
      <c r="DO26" s="1144">
        <f t="shared" ca="1" si="139"/>
        <v>-1.2864339781744566E-2</v>
      </c>
      <c r="DP26" s="1144" t="e">
        <f t="shared" ca="1" si="139"/>
        <v>#N/A</v>
      </c>
      <c r="DQ26" s="921"/>
      <c r="DR26" s="1144">
        <f t="shared" ca="1" si="140"/>
        <v>-2.9941538117736264</v>
      </c>
      <c r="DS26" s="1144">
        <f t="shared" ca="1" si="140"/>
        <v>0</v>
      </c>
      <c r="DT26" s="1144">
        <f t="shared" ca="1" si="140"/>
        <v>0</v>
      </c>
      <c r="DU26" s="1144" t="e">
        <f t="shared" ca="1" si="140"/>
        <v>#N/A</v>
      </c>
      <c r="DV26" s="920"/>
      <c r="DW26" s="921"/>
      <c r="DX26" s="918">
        <f t="shared" ca="1" si="141"/>
        <v>-2.9941538117736264</v>
      </c>
      <c r="DY26" s="918">
        <f t="shared" ca="1" si="141"/>
        <v>0</v>
      </c>
      <c r="DZ26" s="918">
        <f t="shared" ca="1" si="141"/>
        <v>0</v>
      </c>
      <c r="EA26" s="918" t="e">
        <f t="shared" ca="1" si="141"/>
        <v>#N/A</v>
      </c>
      <c r="EB26" s="920"/>
      <c r="EC26" s="921"/>
      <c r="ED26" s="1144">
        <f t="shared" ca="1" si="142"/>
        <v>-0.16190586112044628</v>
      </c>
      <c r="EE26" s="1144">
        <f t="shared" ca="1" si="142"/>
        <v>0</v>
      </c>
      <c r="EF26" s="1144" t="e">
        <f t="shared" ca="1" si="142"/>
        <v>#N/A</v>
      </c>
      <c r="EG26" s="1144" t="e">
        <f t="shared" ca="1" si="142"/>
        <v>#N/A</v>
      </c>
      <c r="EH26" s="920"/>
      <c r="EI26" s="921"/>
      <c r="EJ26" s="918">
        <f t="shared" ca="1" si="143"/>
        <v>0</v>
      </c>
      <c r="EK26" s="918">
        <f t="shared" ca="1" si="143"/>
        <v>0</v>
      </c>
      <c r="EL26" s="918">
        <f t="shared" ca="1" si="143"/>
        <v>0</v>
      </c>
      <c r="EM26" s="918">
        <f t="shared" ca="1" si="143"/>
        <v>0</v>
      </c>
      <c r="EN26" s="920"/>
      <c r="EO26" s="921"/>
      <c r="EP26" s="1144">
        <f t="shared" ca="1" si="144"/>
        <v>-1.892941754328358E-3</v>
      </c>
      <c r="EQ26" s="1144">
        <f t="shared" ca="1" si="144"/>
        <v>-1.892941754328358E-3</v>
      </c>
      <c r="ER26" s="1144">
        <f t="shared" ca="1" si="144"/>
        <v>0</v>
      </c>
      <c r="ES26" s="1144">
        <f t="shared" ca="1" si="144"/>
        <v>-5.3069827475869279E-14</v>
      </c>
      <c r="ET26" s="920"/>
      <c r="EU26" s="921"/>
      <c r="EV26" s="1144">
        <f t="shared" ca="1" si="145"/>
        <v>0</v>
      </c>
      <c r="EW26" s="1144">
        <f t="shared" ca="1" si="145"/>
        <v>0</v>
      </c>
      <c r="EX26" s="921"/>
      <c r="EY26" s="1144">
        <f t="shared" ca="1" si="145"/>
        <v>0</v>
      </c>
      <c r="EZ26" s="1144">
        <f t="shared" ca="1" si="145"/>
        <v>0</v>
      </c>
      <c r="FA26" s="1144" t="e">
        <f t="shared" ca="1" si="145"/>
        <v>#N/A</v>
      </c>
      <c r="FB26" s="921"/>
      <c r="FC26" s="918">
        <f t="shared" ca="1" si="146"/>
        <v>0</v>
      </c>
      <c r="FD26" s="918">
        <f t="shared" ca="1" si="146"/>
        <v>0</v>
      </c>
      <c r="FE26" s="918">
        <f t="shared" ca="1" si="146"/>
        <v>0</v>
      </c>
      <c r="FF26" s="918">
        <f t="shared" ca="1" si="146"/>
        <v>0</v>
      </c>
      <c r="FG26" s="918">
        <f t="shared" ca="1" si="146"/>
        <v>0</v>
      </c>
      <c r="FH26" s="918">
        <f t="shared" ca="1" si="146"/>
        <v>0</v>
      </c>
      <c r="FI26" s="918">
        <f t="shared" ca="1" si="146"/>
        <v>0</v>
      </c>
      <c r="FJ26" s="918">
        <f t="shared" ca="1" si="146"/>
        <v>0</v>
      </c>
      <c r="FK26" s="918">
        <f t="shared" ca="1" si="146"/>
        <v>0</v>
      </c>
      <c r="FL26" s="918">
        <f t="shared" ca="1" si="146"/>
        <v>0</v>
      </c>
      <c r="FM26" s="918" t="e">
        <f t="shared" ca="1" si="147"/>
        <v>#N/A</v>
      </c>
      <c r="FN26" s="1144">
        <f t="shared" ca="1" si="147"/>
        <v>0</v>
      </c>
      <c r="FO26" s="1144">
        <f t="shared" ca="1" si="147"/>
        <v>0</v>
      </c>
      <c r="FP26" s="918">
        <f t="shared" ca="1" si="147"/>
        <v>0</v>
      </c>
      <c r="FQ26" s="918">
        <f t="shared" ca="1" si="147"/>
        <v>0</v>
      </c>
      <c r="FR26" s="918">
        <f t="shared" ca="1" si="147"/>
        <v>0</v>
      </c>
      <c r="FS26" s="918">
        <f t="shared" ca="1" si="147"/>
        <v>0</v>
      </c>
      <c r="FT26" s="918">
        <f t="shared" ca="1" si="147"/>
        <v>0</v>
      </c>
      <c r="FU26" s="918" t="e">
        <f t="shared" ca="1" si="147"/>
        <v>#N/A</v>
      </c>
      <c r="FV26" s="1144" t="e">
        <f t="shared" ca="1" si="147"/>
        <v>#N/A</v>
      </c>
      <c r="FW26" s="918">
        <f t="shared" ca="1" si="147"/>
        <v>0</v>
      </c>
      <c r="FX26" s="918">
        <f t="shared" ca="1" si="147"/>
        <v>0</v>
      </c>
      <c r="FY26" s="918">
        <f t="shared" ca="1" si="147"/>
        <v>0</v>
      </c>
      <c r="FZ26" s="918">
        <f t="shared" ca="1" si="147"/>
        <v>0</v>
      </c>
      <c r="GA26" s="1144" t="e">
        <f t="shared" ca="1" si="147"/>
        <v>#N/A</v>
      </c>
      <c r="GB26" s="918">
        <f t="shared" ca="1" si="147"/>
        <v>0</v>
      </c>
      <c r="GC26" s="920"/>
      <c r="GD26" s="918">
        <f t="shared" ca="1" si="148"/>
        <v>0</v>
      </c>
      <c r="GE26" s="918">
        <f t="shared" ca="1" si="148"/>
        <v>0</v>
      </c>
      <c r="GF26" s="918">
        <f t="shared" ca="1" si="148"/>
        <v>0</v>
      </c>
      <c r="GG26" s="918">
        <f t="shared" ca="1" si="148"/>
        <v>0</v>
      </c>
      <c r="GH26" s="918" t="e">
        <f t="shared" ca="1" si="148"/>
        <v>#N/A</v>
      </c>
      <c r="GI26" s="1144" t="e">
        <f t="shared" ca="1" si="148"/>
        <v>#N/A</v>
      </c>
      <c r="GJ26" s="918">
        <f t="shared" ca="1" si="148"/>
        <v>-1.0416201789399915E-14</v>
      </c>
      <c r="GK26" s="918">
        <f t="shared" ca="1" si="148"/>
        <v>-1.892941754328358E-3</v>
      </c>
      <c r="GL26" s="918">
        <f t="shared" ca="1" si="148"/>
        <v>0</v>
      </c>
      <c r="GM26" s="918">
        <f t="shared" ca="1" si="148"/>
        <v>0</v>
      </c>
      <c r="GN26" s="918">
        <f t="shared" ca="1" si="148"/>
        <v>0</v>
      </c>
      <c r="GO26" s="918" t="e">
        <f t="shared" ca="1" si="148"/>
        <v>#N/A</v>
      </c>
      <c r="GP26" s="915"/>
      <c r="GQ26" s="1143" t="s">
        <v>3084</v>
      </c>
      <c r="GR26" s="1183">
        <f ca="1">FW9</f>
        <v>223184.03400000001</v>
      </c>
      <c r="GS26" s="946" t="s">
        <v>287</v>
      </c>
      <c r="GT26" s="1143" t="s">
        <v>3095</v>
      </c>
      <c r="GU26" s="1181">
        <f ca="1">-GD20+GE23-GJ20</f>
        <v>-11.611219223186215</v>
      </c>
      <c r="GV26" s="1182" t="s">
        <v>3079</v>
      </c>
      <c r="GW26" s="946"/>
      <c r="GX26" s="1143"/>
      <c r="GY26" s="946"/>
    </row>
    <row r="27" spans="1:207" s="914" customFormat="1" x14ac:dyDescent="0.3">
      <c r="A27" s="975" t="s">
        <v>2307</v>
      </c>
      <c r="B27" s="977">
        <v>12</v>
      </c>
      <c r="C27" s="973">
        <v>342.3</v>
      </c>
      <c r="D27" s="914">
        <v>-1.2822778035099998</v>
      </c>
      <c r="E27" s="972" t="s">
        <v>982</v>
      </c>
      <c r="F27" s="936">
        <f t="shared" ca="1" si="129"/>
        <v>-2.4037245817889055</v>
      </c>
      <c r="G27" s="918">
        <f t="shared" ca="1" si="129"/>
        <v>0</v>
      </c>
      <c r="H27" s="918">
        <f t="shared" ca="1" si="129"/>
        <v>0</v>
      </c>
      <c r="I27" s="918">
        <f t="shared" ca="1" si="129"/>
        <v>0</v>
      </c>
      <c r="J27" s="918">
        <f t="shared" ca="1" si="129"/>
        <v>0</v>
      </c>
      <c r="K27" s="1144">
        <f t="shared" ca="1" si="129"/>
        <v>0</v>
      </c>
      <c r="L27" s="918">
        <f t="shared" ca="1" si="129"/>
        <v>0</v>
      </c>
      <c r="M27" s="918">
        <f t="shared" ca="1" si="129"/>
        <v>0</v>
      </c>
      <c r="N27" s="938">
        <f t="shared" ca="1" si="129"/>
        <v>0</v>
      </c>
      <c r="O27" s="918">
        <f t="shared" ca="1" si="129"/>
        <v>0</v>
      </c>
      <c r="P27" s="939">
        <f t="shared" ca="1" si="129"/>
        <v>0</v>
      </c>
      <c r="Q27" s="921"/>
      <c r="R27" s="918">
        <f t="shared" ca="1" si="130"/>
        <v>0</v>
      </c>
      <c r="S27" s="918">
        <f t="shared" ca="1" si="130"/>
        <v>0</v>
      </c>
      <c r="T27" s="918">
        <f t="shared" ca="1" si="130"/>
        <v>0</v>
      </c>
      <c r="U27" s="918">
        <f t="shared" ca="1" si="130"/>
        <v>0</v>
      </c>
      <c r="V27" s="918">
        <f t="shared" ca="1" si="130"/>
        <v>0</v>
      </c>
      <c r="W27" s="918">
        <f t="shared" ca="1" si="130"/>
        <v>0</v>
      </c>
      <c r="X27" s="938">
        <f t="shared" ca="1" si="130"/>
        <v>0</v>
      </c>
      <c r="Y27" s="918">
        <f t="shared" ca="1" si="130"/>
        <v>0</v>
      </c>
      <c r="Z27" s="918">
        <f t="shared" ca="1" si="130"/>
        <v>0</v>
      </c>
      <c r="AA27" s="918">
        <f t="shared" ca="1" si="130"/>
        <v>0</v>
      </c>
      <c r="AB27" s="921"/>
      <c r="AC27" s="918">
        <f t="shared" ca="1" si="131"/>
        <v>0</v>
      </c>
      <c r="AD27" s="918">
        <f t="shared" ca="1" si="131"/>
        <v>0</v>
      </c>
      <c r="AE27" s="918">
        <f t="shared" ca="1" si="131"/>
        <v>0</v>
      </c>
      <c r="AF27" s="918">
        <f t="shared" ca="1" si="131"/>
        <v>0</v>
      </c>
      <c r="AG27" s="918">
        <f t="shared" ca="1" si="131"/>
        <v>0</v>
      </c>
      <c r="AH27" s="918">
        <f t="shared" ca="1" si="131"/>
        <v>0</v>
      </c>
      <c r="AI27" s="918">
        <f t="shared" ca="1" si="131"/>
        <v>0</v>
      </c>
      <c r="AJ27" s="918">
        <f t="shared" ca="1" si="131"/>
        <v>0</v>
      </c>
      <c r="AK27" s="938">
        <f t="shared" ca="1" si="131"/>
        <v>0</v>
      </c>
      <c r="AL27" s="918">
        <f t="shared" ca="1" si="131"/>
        <v>0</v>
      </c>
      <c r="AM27" s="918">
        <f t="shared" ca="1" si="131"/>
        <v>0</v>
      </c>
      <c r="AN27" s="918">
        <f t="shared" ca="1" si="131"/>
        <v>0</v>
      </c>
      <c r="AO27" s="921"/>
      <c r="AP27" s="1144">
        <f t="shared" ca="1" si="132"/>
        <v>0</v>
      </c>
      <c r="AQ27" s="1144">
        <f t="shared" ca="1" si="132"/>
        <v>0</v>
      </c>
      <c r="AR27" s="1144">
        <f t="shared" ca="1" si="132"/>
        <v>0</v>
      </c>
      <c r="AS27" s="1144">
        <f t="shared" ca="1" si="132"/>
        <v>0</v>
      </c>
      <c r="AT27" s="938">
        <f t="shared" ca="1" si="132"/>
        <v>0</v>
      </c>
      <c r="AU27" s="938">
        <f t="shared" ca="1" si="132"/>
        <v>0</v>
      </c>
      <c r="AV27" s="1144">
        <f t="shared" ca="1" si="132"/>
        <v>0</v>
      </c>
      <c r="AW27" s="1144">
        <f t="shared" ca="1" si="132"/>
        <v>0</v>
      </c>
      <c r="AX27" s="1144">
        <f t="shared" ca="1" si="132"/>
        <v>0</v>
      </c>
      <c r="AY27" s="1144">
        <f t="shared" ca="1" si="132"/>
        <v>0</v>
      </c>
      <c r="AZ27" s="1144">
        <f t="shared" ca="1" si="132"/>
        <v>0</v>
      </c>
      <c r="BA27" s="1144">
        <f t="shared" ca="1" si="132"/>
        <v>0</v>
      </c>
      <c r="BB27" s="1144">
        <f t="shared" ca="1" si="132"/>
        <v>0</v>
      </c>
      <c r="BC27" s="1144">
        <f t="shared" ca="1" si="132"/>
        <v>0</v>
      </c>
      <c r="BD27" s="921"/>
      <c r="BE27" s="918">
        <f t="shared" ca="1" si="133"/>
        <v>0</v>
      </c>
      <c r="BF27" s="918">
        <f t="shared" ca="1" si="133"/>
        <v>0</v>
      </c>
      <c r="BG27" s="918">
        <f t="shared" ca="1" si="133"/>
        <v>0</v>
      </c>
      <c r="BH27" s="918">
        <f t="shared" ca="1" si="133"/>
        <v>0</v>
      </c>
      <c r="BI27" s="938">
        <f t="shared" ca="1" si="133"/>
        <v>0</v>
      </c>
      <c r="BJ27" s="918">
        <f t="shared" ca="1" si="133"/>
        <v>0</v>
      </c>
      <c r="BK27" s="918">
        <f t="shared" ca="1" si="133"/>
        <v>0</v>
      </c>
      <c r="BL27" s="918">
        <f t="shared" ca="1" si="133"/>
        <v>0</v>
      </c>
      <c r="BM27" s="918">
        <f t="shared" ca="1" si="133"/>
        <v>0</v>
      </c>
      <c r="BN27" s="1144">
        <f t="shared" ca="1" si="133"/>
        <v>0</v>
      </c>
      <c r="BO27" s="918">
        <f t="shared" ca="1" si="133"/>
        <v>0</v>
      </c>
      <c r="BP27" s="921"/>
      <c r="BQ27" s="918">
        <f t="shared" ca="1" si="134"/>
        <v>0</v>
      </c>
      <c r="BR27" s="918">
        <f t="shared" ca="1" si="134"/>
        <v>0</v>
      </c>
      <c r="BS27" s="1144">
        <f t="shared" ca="1" si="134"/>
        <v>0</v>
      </c>
      <c r="BT27" s="918">
        <f t="shared" ca="1" si="134"/>
        <v>0</v>
      </c>
      <c r="BU27" s="918">
        <f t="shared" ca="1" si="134"/>
        <v>0</v>
      </c>
      <c r="BV27" s="918">
        <f t="shared" ca="1" si="134"/>
        <v>0</v>
      </c>
      <c r="BW27" s="1144">
        <f t="shared" ca="1" si="134"/>
        <v>0</v>
      </c>
      <c r="BX27" s="921"/>
      <c r="BY27" s="918">
        <f t="shared" ca="1" si="135"/>
        <v>0</v>
      </c>
      <c r="BZ27" s="918">
        <f t="shared" ca="1" si="135"/>
        <v>0</v>
      </c>
      <c r="CA27" s="918">
        <f t="shared" ca="1" si="135"/>
        <v>0</v>
      </c>
      <c r="CB27" s="918">
        <f t="shared" ca="1" si="135"/>
        <v>0</v>
      </c>
      <c r="CC27" s="918">
        <f t="shared" ca="1" si="135"/>
        <v>0</v>
      </c>
      <c r="CD27" s="918">
        <f t="shared" ca="1" si="135"/>
        <v>0</v>
      </c>
      <c r="CE27" s="918">
        <f t="shared" ca="1" si="135"/>
        <v>0</v>
      </c>
      <c r="CF27" s="918">
        <f t="shared" ca="1" si="135"/>
        <v>0</v>
      </c>
      <c r="CG27" s="921"/>
      <c r="CH27" s="918">
        <f t="shared" ca="1" si="136"/>
        <v>0</v>
      </c>
      <c r="CI27" s="918">
        <f t="shared" ca="1" si="136"/>
        <v>0</v>
      </c>
      <c r="CJ27" s="918">
        <f t="shared" ca="1" si="136"/>
        <v>0</v>
      </c>
      <c r="CK27" s="918" t="e">
        <f t="shared" ca="1" si="136"/>
        <v>#N/A</v>
      </c>
      <c r="CL27" s="918" t="e">
        <f t="shared" ca="1" si="136"/>
        <v>#N/A</v>
      </c>
      <c r="CM27" s="921"/>
      <c r="CN27" s="918">
        <f t="shared" ca="1" si="137"/>
        <v>0</v>
      </c>
      <c r="CO27" s="918" t="e">
        <f t="shared" ca="1" si="137"/>
        <v>#N/A</v>
      </c>
      <c r="CP27" s="918">
        <f t="shared" ca="1" si="137"/>
        <v>0</v>
      </c>
      <c r="CQ27" s="918">
        <f t="shared" ca="1" si="137"/>
        <v>0</v>
      </c>
      <c r="CR27" s="918">
        <f t="shared" ca="1" si="137"/>
        <v>0</v>
      </c>
      <c r="CS27" s="1144">
        <f t="shared" ca="1" si="137"/>
        <v>0</v>
      </c>
      <c r="CT27" s="921"/>
      <c r="CU27" s="918">
        <f t="shared" ca="1" si="138"/>
        <v>0</v>
      </c>
      <c r="CV27" s="918">
        <f t="shared" ca="1" si="138"/>
        <v>0</v>
      </c>
      <c r="CW27" s="918">
        <f t="shared" ca="1" si="138"/>
        <v>0</v>
      </c>
      <c r="CX27" s="918">
        <f t="shared" ca="1" si="138"/>
        <v>0</v>
      </c>
      <c r="CY27" s="918">
        <f t="shared" ca="1" si="138"/>
        <v>0</v>
      </c>
      <c r="CZ27" s="1144" t="e">
        <f t="shared" ca="1" si="138"/>
        <v>#N/A</v>
      </c>
      <c r="DA27" s="1144" t="e">
        <f t="shared" ca="1" si="138"/>
        <v>#N/A</v>
      </c>
      <c r="DB27" s="918">
        <f t="shared" ca="1" si="138"/>
        <v>0</v>
      </c>
      <c r="DC27" s="938">
        <f t="shared" ca="1" si="138"/>
        <v>0</v>
      </c>
      <c r="DD27" s="918">
        <f t="shared" ca="1" si="138"/>
        <v>0</v>
      </c>
      <c r="DE27" s="918">
        <f t="shared" ca="1" si="138"/>
        <v>0</v>
      </c>
      <c r="DF27" s="918">
        <f t="shared" ca="1" si="138"/>
        <v>0</v>
      </c>
      <c r="DG27" s="918">
        <f t="shared" ca="1" si="138"/>
        <v>0</v>
      </c>
      <c r="DH27" s="918">
        <f t="shared" ca="1" si="138"/>
        <v>0</v>
      </c>
      <c r="DI27" s="921"/>
      <c r="DJ27" s="1144">
        <f t="shared" ca="1" si="139"/>
        <v>0</v>
      </c>
      <c r="DK27" s="1144">
        <f t="shared" ca="1" si="139"/>
        <v>0</v>
      </c>
      <c r="DL27" s="1144">
        <f t="shared" ca="1" si="139"/>
        <v>0</v>
      </c>
      <c r="DM27" s="1144">
        <f t="shared" ca="1" si="139"/>
        <v>0</v>
      </c>
      <c r="DN27" s="1144" t="e">
        <f t="shared" ca="1" si="139"/>
        <v>#N/A</v>
      </c>
      <c r="DO27" s="1144">
        <f t="shared" ca="1" si="139"/>
        <v>0</v>
      </c>
      <c r="DP27" s="1144" t="e">
        <f t="shared" ca="1" si="139"/>
        <v>#N/A</v>
      </c>
      <c r="DQ27" s="921"/>
      <c r="DR27" s="1144">
        <f t="shared" ca="1" si="140"/>
        <v>0</v>
      </c>
      <c r="DS27" s="1144">
        <f t="shared" ca="1" si="140"/>
        <v>0</v>
      </c>
      <c r="DT27" s="1144">
        <f t="shared" ca="1" si="140"/>
        <v>0</v>
      </c>
      <c r="DU27" s="1144" t="e">
        <f t="shared" ca="1" si="140"/>
        <v>#N/A</v>
      </c>
      <c r="DV27" s="920"/>
      <c r="DW27" s="921"/>
      <c r="DX27" s="918">
        <f t="shared" ca="1" si="141"/>
        <v>0</v>
      </c>
      <c r="DY27" s="918">
        <f t="shared" ca="1" si="141"/>
        <v>0</v>
      </c>
      <c r="DZ27" s="918">
        <f t="shared" ca="1" si="141"/>
        <v>0</v>
      </c>
      <c r="EA27" s="918" t="e">
        <f t="shared" ca="1" si="141"/>
        <v>#N/A</v>
      </c>
      <c r="EB27" s="920"/>
      <c r="EC27" s="921"/>
      <c r="ED27" s="1144">
        <f t="shared" ca="1" si="142"/>
        <v>0</v>
      </c>
      <c r="EE27" s="1144">
        <f t="shared" ca="1" si="142"/>
        <v>0</v>
      </c>
      <c r="EF27" s="1144" t="e">
        <f t="shared" ca="1" si="142"/>
        <v>#N/A</v>
      </c>
      <c r="EG27" s="1144" t="e">
        <f t="shared" ca="1" si="142"/>
        <v>#N/A</v>
      </c>
      <c r="EH27" s="920"/>
      <c r="EI27" s="921"/>
      <c r="EJ27" s="918">
        <f t="shared" ca="1" si="143"/>
        <v>0</v>
      </c>
      <c r="EK27" s="918">
        <f t="shared" ca="1" si="143"/>
        <v>0</v>
      </c>
      <c r="EL27" s="918">
        <f t="shared" ca="1" si="143"/>
        <v>0</v>
      </c>
      <c r="EM27" s="918">
        <f t="shared" ca="1" si="143"/>
        <v>0</v>
      </c>
      <c r="EN27" s="920"/>
      <c r="EO27" s="921"/>
      <c r="EP27" s="1144">
        <f t="shared" ca="1" si="144"/>
        <v>0</v>
      </c>
      <c r="EQ27" s="1144">
        <f t="shared" ca="1" si="144"/>
        <v>0</v>
      </c>
      <c r="ER27" s="1144">
        <f t="shared" ca="1" si="144"/>
        <v>0</v>
      </c>
      <c r="ES27" s="1144">
        <f t="shared" ca="1" si="144"/>
        <v>0</v>
      </c>
      <c r="ET27" s="920"/>
      <c r="EU27" s="921"/>
      <c r="EV27" s="1144">
        <f t="shared" ca="1" si="145"/>
        <v>0</v>
      </c>
      <c r="EW27" s="1144">
        <f t="shared" ca="1" si="145"/>
        <v>0</v>
      </c>
      <c r="EX27" s="921"/>
      <c r="EY27" s="1144">
        <f t="shared" ca="1" si="145"/>
        <v>0</v>
      </c>
      <c r="EZ27" s="1144">
        <f t="shared" ca="1" si="145"/>
        <v>0</v>
      </c>
      <c r="FA27" s="1144" t="e">
        <f t="shared" ca="1" si="145"/>
        <v>#N/A</v>
      </c>
      <c r="FB27" s="921"/>
      <c r="FC27" s="918">
        <f t="shared" ca="1" si="146"/>
        <v>-2.4037245817889055</v>
      </c>
      <c r="FD27" s="918">
        <f t="shared" ca="1" si="146"/>
        <v>0</v>
      </c>
      <c r="FE27" s="918">
        <f t="shared" ca="1" si="146"/>
        <v>0</v>
      </c>
      <c r="FF27" s="918">
        <f t="shared" ca="1" si="146"/>
        <v>0</v>
      </c>
      <c r="FG27" s="918">
        <f t="shared" ca="1" si="146"/>
        <v>0</v>
      </c>
      <c r="FH27" s="918">
        <f t="shared" ca="1" si="146"/>
        <v>0</v>
      </c>
      <c r="FI27" s="918">
        <f t="shared" ca="1" si="146"/>
        <v>0</v>
      </c>
      <c r="FJ27" s="918">
        <f t="shared" ca="1" si="146"/>
        <v>0</v>
      </c>
      <c r="FK27" s="918">
        <f t="shared" ca="1" si="146"/>
        <v>0</v>
      </c>
      <c r="FL27" s="918">
        <f t="shared" ca="1" si="146"/>
        <v>0</v>
      </c>
      <c r="FM27" s="918" t="e">
        <f t="shared" ca="1" si="147"/>
        <v>#N/A</v>
      </c>
      <c r="FN27" s="1144">
        <f t="shared" ca="1" si="147"/>
        <v>0</v>
      </c>
      <c r="FO27" s="1144">
        <f t="shared" ca="1" si="147"/>
        <v>0</v>
      </c>
      <c r="FP27" s="918">
        <f t="shared" ca="1" si="147"/>
        <v>0</v>
      </c>
      <c r="FQ27" s="918">
        <f t="shared" ca="1" si="147"/>
        <v>0</v>
      </c>
      <c r="FR27" s="918">
        <f t="shared" ca="1" si="147"/>
        <v>0</v>
      </c>
      <c r="FS27" s="918">
        <f t="shared" ca="1" si="147"/>
        <v>0</v>
      </c>
      <c r="FT27" s="918">
        <f t="shared" ca="1" si="147"/>
        <v>0</v>
      </c>
      <c r="FU27" s="918" t="e">
        <f t="shared" ca="1" si="147"/>
        <v>#N/A</v>
      </c>
      <c r="FV27" s="1144" t="e">
        <f t="shared" ca="1" si="147"/>
        <v>#N/A</v>
      </c>
      <c r="FW27" s="918">
        <f t="shared" ca="1" si="147"/>
        <v>0</v>
      </c>
      <c r="FX27" s="918">
        <f t="shared" ca="1" si="147"/>
        <v>0</v>
      </c>
      <c r="FY27" s="918">
        <f t="shared" ca="1" si="147"/>
        <v>0</v>
      </c>
      <c r="FZ27" s="918">
        <f t="shared" ca="1" si="147"/>
        <v>0</v>
      </c>
      <c r="GA27" s="1144" t="e">
        <f t="shared" ca="1" si="147"/>
        <v>#N/A</v>
      </c>
      <c r="GB27" s="918">
        <f t="shared" ca="1" si="147"/>
        <v>0</v>
      </c>
      <c r="GC27" s="920"/>
      <c r="GD27" s="918">
        <f t="shared" ca="1" si="148"/>
        <v>0</v>
      </c>
      <c r="GE27" s="918">
        <f t="shared" ca="1" si="148"/>
        <v>0</v>
      </c>
      <c r="GF27" s="918">
        <f t="shared" ca="1" si="148"/>
        <v>0</v>
      </c>
      <c r="GG27" s="918">
        <f t="shared" ca="1" si="148"/>
        <v>0</v>
      </c>
      <c r="GH27" s="918" t="e">
        <f t="shared" ca="1" si="148"/>
        <v>#N/A</v>
      </c>
      <c r="GI27" s="1144" t="e">
        <f t="shared" ca="1" si="148"/>
        <v>#N/A</v>
      </c>
      <c r="GJ27" s="918">
        <f t="shared" ca="1" si="148"/>
        <v>0</v>
      </c>
      <c r="GK27" s="918">
        <f t="shared" ca="1" si="148"/>
        <v>0</v>
      </c>
      <c r="GL27" s="918">
        <f t="shared" ca="1" si="148"/>
        <v>0</v>
      </c>
      <c r="GM27" s="918">
        <f t="shared" ca="1" si="148"/>
        <v>0</v>
      </c>
      <c r="GN27" s="918">
        <f t="shared" ca="1" si="148"/>
        <v>0</v>
      </c>
      <c r="GO27" s="918" t="e">
        <f t="shared" ca="1" si="148"/>
        <v>#N/A</v>
      </c>
      <c r="GP27" s="915"/>
      <c r="GR27" s="946"/>
      <c r="GS27" s="946"/>
      <c r="GU27" s="946"/>
      <c r="GV27" s="946"/>
      <c r="GW27" s="946"/>
      <c r="GX27" s="1143"/>
      <c r="GY27" s="946"/>
    </row>
    <row r="28" spans="1:207" s="914" customFormat="1" x14ac:dyDescent="0.3">
      <c r="A28" s="975" t="s">
        <v>1506</v>
      </c>
      <c r="B28" s="977">
        <v>18</v>
      </c>
      <c r="C28" s="973">
        <v>180.16</v>
      </c>
      <c r="D28" s="914">
        <v>-0.61003928257999984</v>
      </c>
      <c r="E28" s="972" t="s">
        <v>982</v>
      </c>
      <c r="F28" s="936">
        <f t="shared" ca="1" si="129"/>
        <v>-41.338603951096367</v>
      </c>
      <c r="G28" s="918">
        <f t="shared" ca="1" si="129"/>
        <v>-3.146242885637227E-7</v>
      </c>
      <c r="H28" s="918">
        <f t="shared" ca="1" si="129"/>
        <v>0</v>
      </c>
      <c r="I28" s="918">
        <f t="shared" ca="1" si="129"/>
        <v>0</v>
      </c>
      <c r="J28" s="918">
        <f t="shared" ca="1" si="129"/>
        <v>0</v>
      </c>
      <c r="K28" s="1144">
        <f t="shared" ca="1" si="129"/>
        <v>0</v>
      </c>
      <c r="L28" s="918">
        <f t="shared" ca="1" si="129"/>
        <v>0</v>
      </c>
      <c r="M28" s="918">
        <f t="shared" ca="1" si="129"/>
        <v>0</v>
      </c>
      <c r="N28" s="938">
        <f t="shared" ca="1" si="129"/>
        <v>0</v>
      </c>
      <c r="O28" s="918">
        <f t="shared" ca="1" si="129"/>
        <v>-1.2037198586235641E-6</v>
      </c>
      <c r="P28" s="939">
        <f t="shared" ca="1" si="129"/>
        <v>-41.33860327387692</v>
      </c>
      <c r="Q28" s="921"/>
      <c r="R28" s="918">
        <f t="shared" ca="1" si="130"/>
        <v>-41.33860327387692</v>
      </c>
      <c r="S28" s="918">
        <f t="shared" ca="1" si="130"/>
        <v>0</v>
      </c>
      <c r="T28" s="918">
        <f t="shared" ca="1" si="130"/>
        <v>0</v>
      </c>
      <c r="U28" s="918">
        <f t="shared" ca="1" si="130"/>
        <v>0</v>
      </c>
      <c r="V28" s="918">
        <f t="shared" ca="1" si="130"/>
        <v>0</v>
      </c>
      <c r="W28" s="918">
        <f t="shared" ca="1" si="130"/>
        <v>0</v>
      </c>
      <c r="X28" s="938">
        <f t="shared" ca="1" si="130"/>
        <v>0</v>
      </c>
      <c r="Y28" s="918">
        <f t="shared" ca="1" si="130"/>
        <v>-41.33860327387692</v>
      </c>
      <c r="Z28" s="918">
        <f t="shared" ca="1" si="130"/>
        <v>-2.4471095566413466E-13</v>
      </c>
      <c r="AA28" s="918">
        <f t="shared" ca="1" si="130"/>
        <v>-2.5246514683552773E-14</v>
      </c>
      <c r="AB28" s="921"/>
      <c r="AC28" s="918">
        <f t="shared" ca="1" si="131"/>
        <v>0</v>
      </c>
      <c r="AD28" s="918">
        <f t="shared" ca="1" si="131"/>
        <v>0</v>
      </c>
      <c r="AE28" s="918">
        <f t="shared" ca="1" si="131"/>
        <v>0</v>
      </c>
      <c r="AF28" s="918">
        <f t="shared" ca="1" si="131"/>
        <v>0</v>
      </c>
      <c r="AG28" s="918">
        <f t="shared" ca="1" si="131"/>
        <v>0</v>
      </c>
      <c r="AH28" s="918">
        <f t="shared" ca="1" si="131"/>
        <v>0</v>
      </c>
      <c r="AI28" s="918">
        <f t="shared" ca="1" si="131"/>
        <v>0</v>
      </c>
      <c r="AJ28" s="918">
        <f t="shared" ca="1" si="131"/>
        <v>0</v>
      </c>
      <c r="AK28" s="938">
        <f t="shared" ca="1" si="131"/>
        <v>0</v>
      </c>
      <c r="AL28" s="918">
        <f t="shared" ca="1" si="131"/>
        <v>0</v>
      </c>
      <c r="AM28" s="918">
        <f t="shared" ca="1" si="131"/>
        <v>0</v>
      </c>
      <c r="AN28" s="918">
        <f t="shared" ca="1" si="131"/>
        <v>0</v>
      </c>
      <c r="AO28" s="921"/>
      <c r="AP28" s="1144">
        <f t="shared" ca="1" si="132"/>
        <v>-41.33860327387692</v>
      </c>
      <c r="AQ28" s="1144">
        <f t="shared" ca="1" si="132"/>
        <v>-2.5246514683552773E-14</v>
      </c>
      <c r="AR28" s="1144">
        <f t="shared" ca="1" si="132"/>
        <v>-2.4471095566413466E-13</v>
      </c>
      <c r="AS28" s="1144">
        <f t="shared" ca="1" si="132"/>
        <v>0</v>
      </c>
      <c r="AT28" s="938">
        <f t="shared" ca="1" si="132"/>
        <v>0</v>
      </c>
      <c r="AU28" s="938">
        <f t="shared" ca="1" si="132"/>
        <v>0</v>
      </c>
      <c r="AV28" s="1144">
        <f t="shared" ca="1" si="132"/>
        <v>0</v>
      </c>
      <c r="AW28" s="1144">
        <f t="shared" ca="1" si="132"/>
        <v>0</v>
      </c>
      <c r="AX28" s="1144">
        <f t="shared" ca="1" si="132"/>
        <v>0</v>
      </c>
      <c r="AY28" s="1144">
        <f t="shared" ca="1" si="132"/>
        <v>-3.146242885637227E-7</v>
      </c>
      <c r="AZ28" s="1144">
        <f t="shared" ca="1" si="132"/>
        <v>0</v>
      </c>
      <c r="BA28" s="1144">
        <f t="shared" ca="1" si="132"/>
        <v>-39.799501523593456</v>
      </c>
      <c r="BB28" s="1144">
        <f t="shared" ca="1" si="132"/>
        <v>-1.5391013676544785</v>
      </c>
      <c r="BC28" s="1144">
        <f t="shared" ca="1" si="132"/>
        <v>-3.0170808591250575E-12</v>
      </c>
      <c r="BD28" s="921"/>
      <c r="BE28" s="918">
        <f t="shared" ca="1" si="133"/>
        <v>-41.33860327387692</v>
      </c>
      <c r="BF28" s="918">
        <f t="shared" ca="1" si="133"/>
        <v>-2.5246514683552773E-14</v>
      </c>
      <c r="BG28" s="918">
        <f t="shared" ca="1" si="133"/>
        <v>-2.4471095566413466E-13</v>
      </c>
      <c r="BH28" s="918">
        <f t="shared" ca="1" si="133"/>
        <v>0</v>
      </c>
      <c r="BI28" s="938">
        <f t="shared" ca="1" si="133"/>
        <v>0</v>
      </c>
      <c r="BJ28" s="918">
        <f t="shared" ca="1" si="133"/>
        <v>0</v>
      </c>
      <c r="BK28" s="918">
        <f t="shared" ca="1" si="133"/>
        <v>0</v>
      </c>
      <c r="BL28" s="918">
        <f t="shared" ca="1" si="133"/>
        <v>0</v>
      </c>
      <c r="BM28" s="918">
        <f t="shared" ca="1" si="133"/>
        <v>-41.338602935267197</v>
      </c>
      <c r="BN28" s="1144">
        <f t="shared" ca="1" si="133"/>
        <v>0</v>
      </c>
      <c r="BO28" s="918">
        <f t="shared" ca="1" si="133"/>
        <v>-3.146242885637227E-7</v>
      </c>
      <c r="BP28" s="921"/>
      <c r="BQ28" s="918">
        <f t="shared" ca="1" si="134"/>
        <v>0</v>
      </c>
      <c r="BR28" s="918">
        <f t="shared" ca="1" si="134"/>
        <v>-41.338602935267197</v>
      </c>
      <c r="BS28" s="1144">
        <f t="shared" ca="1" si="134"/>
        <v>0</v>
      </c>
      <c r="BT28" s="918">
        <f t="shared" ca="1" si="134"/>
        <v>-39.799501523593456</v>
      </c>
      <c r="BU28" s="918">
        <f t="shared" ca="1" si="134"/>
        <v>-3.0170808591250575E-12</v>
      </c>
      <c r="BV28" s="918">
        <f t="shared" ca="1" si="134"/>
        <v>-1.5391013676544785</v>
      </c>
      <c r="BW28" s="1144">
        <f t="shared" ca="1" si="134"/>
        <v>0</v>
      </c>
      <c r="BX28" s="921"/>
      <c r="BY28" s="918">
        <f t="shared" ca="1" si="135"/>
        <v>-1.5391013676544785</v>
      </c>
      <c r="BZ28" s="918">
        <f t="shared" ca="1" si="135"/>
        <v>-3.0170808591250575E-12</v>
      </c>
      <c r="CA28" s="918">
        <f t="shared" ca="1" si="135"/>
        <v>0</v>
      </c>
      <c r="CB28" s="918">
        <f t="shared" ca="1" si="135"/>
        <v>-1.7221069626426853E-2</v>
      </c>
      <c r="CC28" s="918">
        <f t="shared" ca="1" si="135"/>
        <v>-7.7973347910370682E-14</v>
      </c>
      <c r="CD28" s="918">
        <f t="shared" ca="1" si="135"/>
        <v>0</v>
      </c>
      <c r="CE28" s="918">
        <f t="shared" ca="1" si="135"/>
        <v>0</v>
      </c>
      <c r="CF28" s="918">
        <f t="shared" ca="1" si="135"/>
        <v>0</v>
      </c>
      <c r="CG28" s="921"/>
      <c r="CH28" s="918">
        <f t="shared" ca="1" si="136"/>
        <v>-3.0950542070354278E-12</v>
      </c>
      <c r="CI28" s="918">
        <f t="shared" ca="1" si="136"/>
        <v>-1.5563224386692052</v>
      </c>
      <c r="CJ28" s="918">
        <f t="shared" ca="1" si="136"/>
        <v>0</v>
      </c>
      <c r="CK28" s="918" t="e">
        <f t="shared" ca="1" si="136"/>
        <v>#N/A</v>
      </c>
      <c r="CL28" s="918" t="e">
        <f t="shared" ca="1" si="136"/>
        <v>#N/A</v>
      </c>
      <c r="CM28" s="921"/>
      <c r="CN28" s="918">
        <f t="shared" ca="1" si="137"/>
        <v>0</v>
      </c>
      <c r="CO28" s="918" t="e">
        <f t="shared" ca="1" si="137"/>
        <v>#N/A</v>
      </c>
      <c r="CP28" s="918">
        <f t="shared" ca="1" si="137"/>
        <v>0</v>
      </c>
      <c r="CQ28" s="918">
        <f t="shared" ca="1" si="137"/>
        <v>0</v>
      </c>
      <c r="CR28" s="918">
        <f t="shared" ca="1" si="137"/>
        <v>0</v>
      </c>
      <c r="CS28" s="1144">
        <f t="shared" ca="1" si="137"/>
        <v>0</v>
      </c>
      <c r="CT28" s="921"/>
      <c r="CU28" s="918">
        <f t="shared" ca="1" si="138"/>
        <v>-1.2037198586235641E-6</v>
      </c>
      <c r="CV28" s="918">
        <f t="shared" ca="1" si="138"/>
        <v>0</v>
      </c>
      <c r="CW28" s="918">
        <f t="shared" ca="1" si="138"/>
        <v>0</v>
      </c>
      <c r="CX28" s="918">
        <f t="shared" ca="1" si="138"/>
        <v>-39.799501523593456</v>
      </c>
      <c r="CY28" s="918">
        <f t="shared" ca="1" si="138"/>
        <v>0</v>
      </c>
      <c r="CZ28" s="1144" t="e">
        <f t="shared" ca="1" si="138"/>
        <v>#N/A</v>
      </c>
      <c r="DA28" s="1144" t="e">
        <f t="shared" ca="1" si="138"/>
        <v>#N/A</v>
      </c>
      <c r="DB28" s="918">
        <f t="shared" ca="1" si="138"/>
        <v>0</v>
      </c>
      <c r="DC28" s="938">
        <f t="shared" ca="1" si="138"/>
        <v>0</v>
      </c>
      <c r="DD28" s="918">
        <f t="shared" ca="1" si="138"/>
        <v>-7.7973347910370682E-14</v>
      </c>
      <c r="DE28" s="918">
        <f t="shared" ca="1" si="138"/>
        <v>-5.5542005741824034E-16</v>
      </c>
      <c r="DF28" s="918">
        <f t="shared" ca="1" si="138"/>
        <v>0</v>
      </c>
      <c r="DG28" s="918">
        <f t="shared" ca="1" si="138"/>
        <v>-2.1722563849637055E-2</v>
      </c>
      <c r="DH28" s="918">
        <f t="shared" ca="1" si="138"/>
        <v>-1.7221069626426853E-2</v>
      </c>
      <c r="DI28" s="921"/>
      <c r="DJ28" s="1144">
        <f t="shared" ca="1" si="139"/>
        <v>-0.12086680302733185</v>
      </c>
      <c r="DK28" s="1144">
        <f t="shared" ca="1" si="139"/>
        <v>-3.5697702830594245</v>
      </c>
      <c r="DL28" s="1144">
        <f t="shared" ca="1" si="139"/>
        <v>0</v>
      </c>
      <c r="DM28" s="1144">
        <f t="shared" ca="1" si="139"/>
        <v>0</v>
      </c>
      <c r="DN28" s="1144" t="e">
        <f t="shared" ca="1" si="139"/>
        <v>#N/A</v>
      </c>
      <c r="DO28" s="1144">
        <f t="shared" ca="1" si="139"/>
        <v>-0.14762548370081363</v>
      </c>
      <c r="DP28" s="1144" t="e">
        <f t="shared" ca="1" si="139"/>
        <v>#N/A</v>
      </c>
      <c r="DQ28" s="921"/>
      <c r="DR28" s="1144">
        <f t="shared" ca="1" si="140"/>
        <v>-34.359587285176474</v>
      </c>
      <c r="DS28" s="1144">
        <f t="shared" ca="1" si="140"/>
        <v>0</v>
      </c>
      <c r="DT28" s="1144">
        <f t="shared" ca="1" si="140"/>
        <v>0</v>
      </c>
      <c r="DU28" s="1144" t="e">
        <f t="shared" ca="1" si="140"/>
        <v>#N/A</v>
      </c>
      <c r="DV28" s="920"/>
      <c r="DW28" s="921"/>
      <c r="DX28" s="918">
        <f t="shared" ca="1" si="141"/>
        <v>-34.359587285176474</v>
      </c>
      <c r="DY28" s="918">
        <f t="shared" ca="1" si="141"/>
        <v>0</v>
      </c>
      <c r="DZ28" s="918">
        <f t="shared" ca="1" si="141"/>
        <v>0</v>
      </c>
      <c r="EA28" s="918" t="e">
        <f t="shared" ca="1" si="141"/>
        <v>#N/A</v>
      </c>
      <c r="EB28" s="920"/>
      <c r="EC28" s="921"/>
      <c r="ED28" s="1144">
        <f t="shared" ca="1" si="142"/>
        <v>-1.8579601848446938</v>
      </c>
      <c r="EE28" s="1144">
        <f t="shared" ca="1" si="142"/>
        <v>0</v>
      </c>
      <c r="EF28" s="1144" t="e">
        <f t="shared" ca="1" si="142"/>
        <v>#N/A</v>
      </c>
      <c r="EG28" s="1144" t="e">
        <f t="shared" ca="1" si="142"/>
        <v>#N/A</v>
      </c>
      <c r="EH28" s="920"/>
      <c r="EI28" s="921"/>
      <c r="EJ28" s="918">
        <f t="shared" ca="1" si="143"/>
        <v>0</v>
      </c>
      <c r="EK28" s="918">
        <f t="shared" ca="1" si="143"/>
        <v>0</v>
      </c>
      <c r="EL28" s="918">
        <f t="shared" ca="1" si="143"/>
        <v>0</v>
      </c>
      <c r="EM28" s="918">
        <f t="shared" ca="1" si="143"/>
        <v>0</v>
      </c>
      <c r="EN28" s="920"/>
      <c r="EO28" s="921"/>
      <c r="EP28" s="1144">
        <f t="shared" ca="1" si="144"/>
        <v>-2.1722563849637055E-2</v>
      </c>
      <c r="EQ28" s="1144">
        <f t="shared" ca="1" si="144"/>
        <v>-2.1722563849637055E-2</v>
      </c>
      <c r="ER28" s="1144">
        <f t="shared" ca="1" si="144"/>
        <v>0</v>
      </c>
      <c r="ES28" s="1144">
        <f t="shared" ca="1" si="144"/>
        <v>-1.2673589222643789E-14</v>
      </c>
      <c r="ET28" s="920"/>
      <c r="EU28" s="921"/>
      <c r="EV28" s="1144">
        <f t="shared" ca="1" si="145"/>
        <v>0</v>
      </c>
      <c r="EW28" s="1144">
        <f t="shared" ca="1" si="145"/>
        <v>0</v>
      </c>
      <c r="EX28" s="921"/>
      <c r="EY28" s="1144">
        <f t="shared" ca="1" si="145"/>
        <v>0</v>
      </c>
      <c r="EZ28" s="1144">
        <f t="shared" ca="1" si="145"/>
        <v>0</v>
      </c>
      <c r="FA28" s="1144" t="e">
        <f t="shared" ca="1" si="145"/>
        <v>#N/A</v>
      </c>
      <c r="FB28" s="921"/>
      <c r="FC28" s="918">
        <f t="shared" ca="1" si="146"/>
        <v>-41.338603951096367</v>
      </c>
      <c r="FD28" s="918">
        <f t="shared" ca="1" si="146"/>
        <v>0</v>
      </c>
      <c r="FE28" s="918">
        <f t="shared" ca="1" si="146"/>
        <v>0</v>
      </c>
      <c r="FF28" s="918">
        <f t="shared" ca="1" si="146"/>
        <v>0</v>
      </c>
      <c r="FG28" s="918">
        <f t="shared" ca="1" si="146"/>
        <v>0</v>
      </c>
      <c r="FH28" s="918">
        <f t="shared" ca="1" si="146"/>
        <v>0</v>
      </c>
      <c r="FI28" s="918">
        <f t="shared" ca="1" si="146"/>
        <v>0</v>
      </c>
      <c r="FJ28" s="918">
        <f t="shared" ca="1" si="146"/>
        <v>0</v>
      </c>
      <c r="FK28" s="918">
        <f t="shared" ca="1" si="146"/>
        <v>0</v>
      </c>
      <c r="FL28" s="918">
        <f t="shared" ca="1" si="146"/>
        <v>0</v>
      </c>
      <c r="FM28" s="918" t="e">
        <f t="shared" ca="1" si="147"/>
        <v>#N/A</v>
      </c>
      <c r="FN28" s="1144">
        <f t="shared" ca="1" si="147"/>
        <v>0</v>
      </c>
      <c r="FO28" s="1144">
        <f t="shared" ca="1" si="147"/>
        <v>0</v>
      </c>
      <c r="FP28" s="918">
        <f t="shared" ca="1" si="147"/>
        <v>0</v>
      </c>
      <c r="FQ28" s="918">
        <f t="shared" ca="1" si="147"/>
        <v>0</v>
      </c>
      <c r="FR28" s="918">
        <f t="shared" ca="1" si="147"/>
        <v>0</v>
      </c>
      <c r="FS28" s="918">
        <f t="shared" ca="1" si="147"/>
        <v>0</v>
      </c>
      <c r="FT28" s="918">
        <f t="shared" ca="1" si="147"/>
        <v>0</v>
      </c>
      <c r="FU28" s="918" t="e">
        <f t="shared" ca="1" si="147"/>
        <v>#N/A</v>
      </c>
      <c r="FV28" s="1144" t="e">
        <f t="shared" ca="1" si="147"/>
        <v>#N/A</v>
      </c>
      <c r="FW28" s="918">
        <f t="shared" ca="1" si="147"/>
        <v>0</v>
      </c>
      <c r="FX28" s="918">
        <f t="shared" ca="1" si="147"/>
        <v>0</v>
      </c>
      <c r="FY28" s="918">
        <f t="shared" ca="1" si="147"/>
        <v>0</v>
      </c>
      <c r="FZ28" s="918">
        <f t="shared" ca="1" si="147"/>
        <v>0</v>
      </c>
      <c r="GA28" s="1144" t="e">
        <f t="shared" ca="1" si="147"/>
        <v>#N/A</v>
      </c>
      <c r="GB28" s="918">
        <f t="shared" ca="1" si="147"/>
        <v>0</v>
      </c>
      <c r="GC28" s="920"/>
      <c r="GD28" s="918">
        <f t="shared" ca="1" si="148"/>
        <v>0</v>
      </c>
      <c r="GE28" s="918">
        <f t="shared" ca="1" si="148"/>
        <v>0</v>
      </c>
      <c r="GF28" s="918">
        <f t="shared" ca="1" si="148"/>
        <v>0</v>
      </c>
      <c r="GG28" s="918">
        <f t="shared" ca="1" si="148"/>
        <v>0</v>
      </c>
      <c r="GH28" s="918" t="e">
        <f t="shared" ca="1" si="148"/>
        <v>#N/A</v>
      </c>
      <c r="GI28" s="1144" t="e">
        <f t="shared" ca="1" si="148"/>
        <v>#N/A</v>
      </c>
      <c r="GJ28" s="918">
        <f t="shared" ca="1" si="148"/>
        <v>-5.5542005741824034E-16</v>
      </c>
      <c r="GK28" s="918">
        <f t="shared" ca="1" si="148"/>
        <v>-2.1722563849637055E-2</v>
      </c>
      <c r="GL28" s="918">
        <f t="shared" ca="1" si="148"/>
        <v>0</v>
      </c>
      <c r="GM28" s="918">
        <f t="shared" ca="1" si="148"/>
        <v>0</v>
      </c>
      <c r="GN28" s="918">
        <f t="shared" ca="1" si="148"/>
        <v>0</v>
      </c>
      <c r="GO28" s="918" t="e">
        <f t="shared" ca="1" si="148"/>
        <v>#N/A</v>
      </c>
      <c r="GP28" s="915"/>
      <c r="GQ28" s="1143" t="s">
        <v>3085</v>
      </c>
      <c r="GR28" s="1183">
        <f ca="1">FX9</f>
        <v>4504.1320500000002</v>
      </c>
      <c r="GS28" s="1182" t="s">
        <v>287</v>
      </c>
      <c r="GT28" s="1143" t="s">
        <v>3096</v>
      </c>
      <c r="GU28" s="1181">
        <f ca="1">GD23</f>
        <v>-11.018342889267842</v>
      </c>
      <c r="GV28" s="1182" t="s">
        <v>3079</v>
      </c>
      <c r="GW28" s="946"/>
      <c r="GX28" s="1143"/>
      <c r="GY28" s="946"/>
    </row>
    <row r="29" spans="1:207" s="914" customFormat="1" x14ac:dyDescent="0.3">
      <c r="A29" s="975" t="s">
        <v>1507</v>
      </c>
      <c r="B29" s="977">
        <v>10</v>
      </c>
      <c r="C29" s="973">
        <v>150.13139999999999</v>
      </c>
      <c r="D29" s="914">
        <v>-0.50928265215000001</v>
      </c>
      <c r="E29" s="972" t="s">
        <v>982</v>
      </c>
      <c r="F29" s="936">
        <f t="shared" ca="1" si="129"/>
        <v>0</v>
      </c>
      <c r="G29" s="918">
        <f t="shared" ca="1" si="129"/>
        <v>-1.2616633834921792E-7</v>
      </c>
      <c r="H29" s="918">
        <f t="shared" ca="1" si="129"/>
        <v>0</v>
      </c>
      <c r="I29" s="918">
        <f t="shared" ca="1" si="129"/>
        <v>0</v>
      </c>
      <c r="J29" s="918">
        <f t="shared" ca="1" si="129"/>
        <v>0</v>
      </c>
      <c r="K29" s="1144">
        <f t="shared" ca="1" si="129"/>
        <v>0</v>
      </c>
      <c r="L29" s="918">
        <f t="shared" ca="1" si="129"/>
        <v>0</v>
      </c>
      <c r="M29" s="918">
        <f t="shared" ca="1" si="129"/>
        <v>0</v>
      </c>
      <c r="N29" s="938">
        <f t="shared" ca="1" si="129"/>
        <v>0</v>
      </c>
      <c r="O29" s="918">
        <f t="shared" ca="1" si="129"/>
        <v>-3.1961904042706557E-6</v>
      </c>
      <c r="P29" s="939">
        <f t="shared" ca="1" si="129"/>
        <v>-6.8111752831133261</v>
      </c>
      <c r="Q29" s="921"/>
      <c r="R29" s="918">
        <f t="shared" ca="1" si="130"/>
        <v>-6.8111752831133261</v>
      </c>
      <c r="S29" s="918">
        <f t="shared" ca="1" si="130"/>
        <v>0</v>
      </c>
      <c r="T29" s="918">
        <f t="shared" ca="1" si="130"/>
        <v>0</v>
      </c>
      <c r="U29" s="918">
        <f t="shared" ca="1" si="130"/>
        <v>0</v>
      </c>
      <c r="V29" s="918">
        <f t="shared" ca="1" si="130"/>
        <v>0</v>
      </c>
      <c r="W29" s="918">
        <f t="shared" ca="1" si="130"/>
        <v>0</v>
      </c>
      <c r="X29" s="938">
        <f t="shared" ca="1" si="130"/>
        <v>-1.571128738724792E-12</v>
      </c>
      <c r="Y29" s="918">
        <f t="shared" ca="1" si="130"/>
        <v>-0.74649826456419599</v>
      </c>
      <c r="Z29" s="918">
        <f t="shared" ca="1" si="130"/>
        <v>-8.0969811563970699E-13</v>
      </c>
      <c r="AA29" s="918">
        <f t="shared" ca="1" si="130"/>
        <v>-7.6142983608399566E-13</v>
      </c>
      <c r="AB29" s="921"/>
      <c r="AC29" s="918">
        <f t="shared" ca="1" si="131"/>
        <v>0</v>
      </c>
      <c r="AD29" s="918">
        <f t="shared" ca="1" si="131"/>
        <v>0</v>
      </c>
      <c r="AE29" s="918">
        <f t="shared" ca="1" si="131"/>
        <v>0</v>
      </c>
      <c r="AF29" s="918">
        <f t="shared" ca="1" si="131"/>
        <v>0</v>
      </c>
      <c r="AG29" s="918">
        <f t="shared" ca="1" si="131"/>
        <v>0</v>
      </c>
      <c r="AH29" s="918">
        <f t="shared" ca="1" si="131"/>
        <v>0</v>
      </c>
      <c r="AI29" s="918">
        <f t="shared" ca="1" si="131"/>
        <v>0</v>
      </c>
      <c r="AJ29" s="918">
        <f t="shared" ca="1" si="131"/>
        <v>0</v>
      </c>
      <c r="AK29" s="938">
        <f t="shared" ca="1" si="131"/>
        <v>0</v>
      </c>
      <c r="AL29" s="918">
        <f t="shared" ca="1" si="131"/>
        <v>0</v>
      </c>
      <c r="AM29" s="918">
        <f t="shared" ca="1" si="131"/>
        <v>0</v>
      </c>
      <c r="AN29" s="918">
        <f t="shared" ca="1" si="131"/>
        <v>0</v>
      </c>
      <c r="AO29" s="921"/>
      <c r="AP29" s="1144">
        <f t="shared" ca="1" si="132"/>
        <v>-0.74649826456419599</v>
      </c>
      <c r="AQ29" s="1144">
        <f t="shared" ca="1" si="132"/>
        <v>-7.6142983608399566E-13</v>
      </c>
      <c r="AR29" s="1144">
        <f t="shared" ca="1" si="132"/>
        <v>-8.0969811563970699E-13</v>
      </c>
      <c r="AS29" s="1144">
        <f t="shared" ca="1" si="132"/>
        <v>0</v>
      </c>
      <c r="AT29" s="938">
        <f t="shared" ca="1" si="132"/>
        <v>0</v>
      </c>
      <c r="AU29" s="938">
        <f t="shared" ca="1" si="132"/>
        <v>0</v>
      </c>
      <c r="AV29" s="1144">
        <f t="shared" ca="1" si="132"/>
        <v>0</v>
      </c>
      <c r="AW29" s="1144">
        <f t="shared" ca="1" si="132"/>
        <v>-1.571128738724792E-12</v>
      </c>
      <c r="AX29" s="1144">
        <f t="shared" ca="1" si="132"/>
        <v>0</v>
      </c>
      <c r="AY29" s="1144">
        <f t="shared" ca="1" si="132"/>
        <v>-1.2616633834921792E-7</v>
      </c>
      <c r="AZ29" s="1144">
        <f t="shared" ca="1" si="132"/>
        <v>0</v>
      </c>
      <c r="BA29" s="1144">
        <f t="shared" ca="1" si="132"/>
        <v>-0.71870483601363044</v>
      </c>
      <c r="BB29" s="1144">
        <f t="shared" ca="1" si="132"/>
        <v>-2.7793302800003632E-2</v>
      </c>
      <c r="BC29" s="1144">
        <f t="shared" ca="1" si="132"/>
        <v>-5.8319131185020287E-12</v>
      </c>
      <c r="BD29" s="921"/>
      <c r="BE29" s="918">
        <f t="shared" ca="1" si="133"/>
        <v>-0.74649826456419599</v>
      </c>
      <c r="BF29" s="918">
        <f t="shared" ca="1" si="133"/>
        <v>-7.6142983608399566E-13</v>
      </c>
      <c r="BG29" s="918">
        <f t="shared" ca="1" si="133"/>
        <v>-8.0969811563970699E-13</v>
      </c>
      <c r="BH29" s="918">
        <f t="shared" ca="1" si="133"/>
        <v>0</v>
      </c>
      <c r="BI29" s="938">
        <f t="shared" ca="1" si="133"/>
        <v>0</v>
      </c>
      <c r="BJ29" s="918">
        <f t="shared" ca="1" si="133"/>
        <v>0</v>
      </c>
      <c r="BK29" s="918">
        <f t="shared" ca="1" si="133"/>
        <v>-1.571128738724792E-12</v>
      </c>
      <c r="BL29" s="918">
        <f t="shared" ca="1" si="133"/>
        <v>0</v>
      </c>
      <c r="BM29" s="918">
        <f t="shared" ca="1" si="133"/>
        <v>-0.7464981390510913</v>
      </c>
      <c r="BN29" s="1144">
        <f t="shared" ca="1" si="133"/>
        <v>0</v>
      </c>
      <c r="BO29" s="918">
        <f t="shared" ca="1" si="133"/>
        <v>-1.2616633834921792E-7</v>
      </c>
      <c r="BP29" s="921"/>
      <c r="BQ29" s="918">
        <f t="shared" ca="1" si="134"/>
        <v>0</v>
      </c>
      <c r="BR29" s="918">
        <f t="shared" ca="1" si="134"/>
        <v>-0.7464981390510913</v>
      </c>
      <c r="BS29" s="1144">
        <f t="shared" ca="1" si="134"/>
        <v>0</v>
      </c>
      <c r="BT29" s="918">
        <f t="shared" ca="1" si="134"/>
        <v>-0.71870483601363044</v>
      </c>
      <c r="BU29" s="918">
        <f t="shared" ca="1" si="134"/>
        <v>-5.8319131185020287E-12</v>
      </c>
      <c r="BV29" s="918">
        <f t="shared" ca="1" si="134"/>
        <v>-2.7793302800003632E-2</v>
      </c>
      <c r="BW29" s="1144">
        <f t="shared" ca="1" si="134"/>
        <v>0</v>
      </c>
      <c r="BX29" s="921"/>
      <c r="BY29" s="918">
        <f t="shared" ca="1" si="135"/>
        <v>-2.7793302800003632E-2</v>
      </c>
      <c r="BZ29" s="918">
        <f t="shared" ca="1" si="135"/>
        <v>-5.8319131185020287E-12</v>
      </c>
      <c r="CA29" s="918">
        <f t="shared" ca="1" si="135"/>
        <v>0</v>
      </c>
      <c r="CB29" s="918">
        <f t="shared" ca="1" si="135"/>
        <v>-3.1098180185000967E-4</v>
      </c>
      <c r="CC29" s="918">
        <f t="shared" ca="1" si="135"/>
        <v>-2.1275463244096126E-13</v>
      </c>
      <c r="CD29" s="918">
        <f t="shared" ca="1" si="135"/>
        <v>0</v>
      </c>
      <c r="CE29" s="918">
        <f t="shared" ca="1" si="135"/>
        <v>0</v>
      </c>
      <c r="CF29" s="918">
        <f t="shared" ca="1" si="135"/>
        <v>0</v>
      </c>
      <c r="CG29" s="921"/>
      <c r="CH29" s="918">
        <f t="shared" ca="1" si="136"/>
        <v>-6.0446677363563326E-12</v>
      </c>
      <c r="CI29" s="918">
        <f t="shared" ca="1" si="136"/>
        <v>-2.8104284618136417E-2</v>
      </c>
      <c r="CJ29" s="918">
        <f t="shared" ca="1" si="136"/>
        <v>0</v>
      </c>
      <c r="CK29" s="918" t="e">
        <f t="shared" ca="1" si="136"/>
        <v>#N/A</v>
      </c>
      <c r="CL29" s="918" t="e">
        <f t="shared" ca="1" si="136"/>
        <v>#N/A</v>
      </c>
      <c r="CM29" s="921"/>
      <c r="CN29" s="918">
        <f t="shared" ca="1" si="137"/>
        <v>0</v>
      </c>
      <c r="CO29" s="918" t="e">
        <f t="shared" ca="1" si="137"/>
        <v>#N/A</v>
      </c>
      <c r="CP29" s="918">
        <f t="shared" ca="1" si="137"/>
        <v>0</v>
      </c>
      <c r="CQ29" s="918">
        <f t="shared" ca="1" si="137"/>
        <v>0</v>
      </c>
      <c r="CR29" s="918">
        <f t="shared" ca="1" si="137"/>
        <v>0</v>
      </c>
      <c r="CS29" s="1144">
        <f t="shared" ca="1" si="137"/>
        <v>0</v>
      </c>
      <c r="CT29" s="921"/>
      <c r="CU29" s="918">
        <f t="shared" ca="1" si="138"/>
        <v>-3.1961904042706557E-6</v>
      </c>
      <c r="CV29" s="918">
        <f t="shared" ca="1" si="138"/>
        <v>0</v>
      </c>
      <c r="CW29" s="918">
        <f t="shared" ca="1" si="138"/>
        <v>0</v>
      </c>
      <c r="CX29" s="918">
        <f t="shared" ca="1" si="138"/>
        <v>-0.71870483601363044</v>
      </c>
      <c r="CY29" s="918">
        <f t="shared" ca="1" si="138"/>
        <v>0</v>
      </c>
      <c r="CZ29" s="1144" t="e">
        <f t="shared" ca="1" si="138"/>
        <v>#N/A</v>
      </c>
      <c r="DA29" s="1144" t="e">
        <f t="shared" ca="1" si="138"/>
        <v>#N/A</v>
      </c>
      <c r="DB29" s="918">
        <f t="shared" ca="1" si="138"/>
        <v>0</v>
      </c>
      <c r="DC29" s="938">
        <f t="shared" ca="1" si="138"/>
        <v>0</v>
      </c>
      <c r="DD29" s="918">
        <f t="shared" ca="1" si="138"/>
        <v>-2.1275463244096126E-13</v>
      </c>
      <c r="DE29" s="918">
        <f t="shared" ca="1" si="138"/>
        <v>-2.1585298991893011E-15</v>
      </c>
      <c r="DF29" s="918">
        <f t="shared" ca="1" si="138"/>
        <v>0</v>
      </c>
      <c r="DG29" s="918">
        <f t="shared" ca="1" si="138"/>
        <v>-3.9227076033448955E-4</v>
      </c>
      <c r="DH29" s="918">
        <f t="shared" ca="1" si="138"/>
        <v>-3.1098180185000967E-4</v>
      </c>
      <c r="DI29" s="921"/>
      <c r="DJ29" s="1144">
        <f t="shared" ca="1" si="139"/>
        <v>-2.1826388837663988E-3</v>
      </c>
      <c r="DK29" s="1144">
        <f t="shared" ca="1" si="139"/>
        <v>-6.4463684251535813E-2</v>
      </c>
      <c r="DL29" s="1144">
        <f t="shared" ca="1" si="139"/>
        <v>0</v>
      </c>
      <c r="DM29" s="1144">
        <f t="shared" ca="1" si="139"/>
        <v>0</v>
      </c>
      <c r="DN29" s="1144" t="e">
        <f t="shared" ca="1" si="139"/>
        <v>#N/A</v>
      </c>
      <c r="DO29" s="1144">
        <f t="shared" ca="1" si="139"/>
        <v>-2.6658529288043345E-3</v>
      </c>
      <c r="DP29" s="1144" t="e">
        <f t="shared" ca="1" si="139"/>
        <v>#N/A</v>
      </c>
      <c r="DQ29" s="921"/>
      <c r="DR29" s="1144">
        <f t="shared" ca="1" si="140"/>
        <v>-0.62047286284491743</v>
      </c>
      <c r="DS29" s="1144">
        <f t="shared" ca="1" si="140"/>
        <v>0</v>
      </c>
      <c r="DT29" s="1144">
        <f t="shared" ca="1" si="140"/>
        <v>0</v>
      </c>
      <c r="DU29" s="1144" t="e">
        <f t="shared" ca="1" si="140"/>
        <v>#N/A</v>
      </c>
      <c r="DV29" s="920"/>
      <c r="DW29" s="921"/>
      <c r="DX29" s="918">
        <f t="shared" ca="1" si="141"/>
        <v>-0.62047286284491743</v>
      </c>
      <c r="DY29" s="918">
        <f t="shared" ca="1" si="141"/>
        <v>0</v>
      </c>
      <c r="DZ29" s="918">
        <f t="shared" ca="1" si="141"/>
        <v>0</v>
      </c>
      <c r="EA29" s="918" t="e">
        <f t="shared" ca="1" si="141"/>
        <v>#N/A</v>
      </c>
      <c r="EB29" s="920"/>
      <c r="EC29" s="921"/>
      <c r="ED29" s="1144">
        <f t="shared" ca="1" si="142"/>
        <v>-3.3551447049873895E-2</v>
      </c>
      <c r="EE29" s="1144">
        <f t="shared" ca="1" si="142"/>
        <v>0</v>
      </c>
      <c r="EF29" s="1144" t="e">
        <f t="shared" ca="1" si="142"/>
        <v>#N/A</v>
      </c>
      <c r="EG29" s="1144" t="e">
        <f t="shared" ca="1" si="142"/>
        <v>#N/A</v>
      </c>
      <c r="EH29" s="920"/>
      <c r="EI29" s="921"/>
      <c r="EJ29" s="918">
        <f t="shared" ca="1" si="143"/>
        <v>0</v>
      </c>
      <c r="EK29" s="918">
        <f t="shared" ca="1" si="143"/>
        <v>0</v>
      </c>
      <c r="EL29" s="918">
        <f t="shared" ca="1" si="143"/>
        <v>0</v>
      </c>
      <c r="EM29" s="918">
        <f t="shared" ca="1" si="143"/>
        <v>0</v>
      </c>
      <c r="EN29" s="920"/>
      <c r="EO29" s="921"/>
      <c r="EP29" s="1144">
        <f t="shared" ca="1" si="144"/>
        <v>-3.9227076033448955E-4</v>
      </c>
      <c r="EQ29" s="1144">
        <f t="shared" ca="1" si="144"/>
        <v>-3.9227076033448955E-4</v>
      </c>
      <c r="ER29" s="1144">
        <f t="shared" ca="1" si="144"/>
        <v>0</v>
      </c>
      <c r="ES29" s="1144">
        <f t="shared" ca="1" si="144"/>
        <v>-1.0997560477623651E-14</v>
      </c>
      <c r="ET29" s="920"/>
      <c r="EU29" s="921"/>
      <c r="EV29" s="1144">
        <f t="shared" ca="1" si="145"/>
        <v>0</v>
      </c>
      <c r="EW29" s="1144">
        <f t="shared" ca="1" si="145"/>
        <v>0</v>
      </c>
      <c r="EX29" s="921"/>
      <c r="EY29" s="1144">
        <f t="shared" ca="1" si="145"/>
        <v>0</v>
      </c>
      <c r="EZ29" s="1144">
        <f t="shared" ca="1" si="145"/>
        <v>0</v>
      </c>
      <c r="FA29" s="1144" t="e">
        <f t="shared" ca="1" si="145"/>
        <v>#N/A</v>
      </c>
      <c r="FB29" s="921"/>
      <c r="FC29" s="918">
        <f t="shared" ca="1" si="146"/>
        <v>0</v>
      </c>
      <c r="FD29" s="918">
        <f t="shared" ca="1" si="146"/>
        <v>0</v>
      </c>
      <c r="FE29" s="918">
        <f t="shared" ca="1" si="146"/>
        <v>0</v>
      </c>
      <c r="FF29" s="918">
        <f t="shared" ca="1" si="146"/>
        <v>0</v>
      </c>
      <c r="FG29" s="918">
        <f t="shared" ca="1" si="146"/>
        <v>0</v>
      </c>
      <c r="FH29" s="918">
        <f t="shared" ca="1" si="146"/>
        <v>0</v>
      </c>
      <c r="FI29" s="918">
        <f t="shared" ca="1" si="146"/>
        <v>0</v>
      </c>
      <c r="FJ29" s="918">
        <f t="shared" ca="1" si="146"/>
        <v>0</v>
      </c>
      <c r="FK29" s="918">
        <f t="shared" ca="1" si="146"/>
        <v>0</v>
      </c>
      <c r="FL29" s="918">
        <f t="shared" ca="1" si="146"/>
        <v>0</v>
      </c>
      <c r="FM29" s="918" t="e">
        <f t="shared" ca="1" si="147"/>
        <v>#N/A</v>
      </c>
      <c r="FN29" s="1144">
        <f t="shared" ca="1" si="147"/>
        <v>0</v>
      </c>
      <c r="FO29" s="1144">
        <f t="shared" ca="1" si="147"/>
        <v>0</v>
      </c>
      <c r="FP29" s="918">
        <f t="shared" ca="1" si="147"/>
        <v>0</v>
      </c>
      <c r="FQ29" s="918">
        <f t="shared" ca="1" si="147"/>
        <v>0</v>
      </c>
      <c r="FR29" s="918">
        <f t="shared" ca="1" si="147"/>
        <v>0</v>
      </c>
      <c r="FS29" s="918">
        <f t="shared" ca="1" si="147"/>
        <v>0</v>
      </c>
      <c r="FT29" s="918">
        <f t="shared" ca="1" si="147"/>
        <v>0</v>
      </c>
      <c r="FU29" s="918" t="e">
        <f t="shared" ca="1" si="147"/>
        <v>#N/A</v>
      </c>
      <c r="FV29" s="1144" t="e">
        <f t="shared" ca="1" si="147"/>
        <v>#N/A</v>
      </c>
      <c r="FW29" s="918">
        <f t="shared" ca="1" si="147"/>
        <v>0</v>
      </c>
      <c r="FX29" s="918">
        <f t="shared" ca="1" si="147"/>
        <v>0</v>
      </c>
      <c r="FY29" s="918">
        <f t="shared" ca="1" si="147"/>
        <v>0</v>
      </c>
      <c r="FZ29" s="918">
        <f t="shared" ca="1" si="147"/>
        <v>0</v>
      </c>
      <c r="GA29" s="1144" t="e">
        <f t="shared" ca="1" si="147"/>
        <v>#N/A</v>
      </c>
      <c r="GB29" s="918">
        <f t="shared" ca="1" si="147"/>
        <v>0</v>
      </c>
      <c r="GC29" s="920"/>
      <c r="GD29" s="918">
        <f t="shared" ca="1" si="148"/>
        <v>0</v>
      </c>
      <c r="GE29" s="918">
        <f t="shared" ca="1" si="148"/>
        <v>0</v>
      </c>
      <c r="GF29" s="918">
        <f t="shared" ca="1" si="148"/>
        <v>0</v>
      </c>
      <c r="GG29" s="918">
        <f t="shared" ca="1" si="148"/>
        <v>0</v>
      </c>
      <c r="GH29" s="918" t="e">
        <f t="shared" ca="1" si="148"/>
        <v>#N/A</v>
      </c>
      <c r="GI29" s="1144" t="e">
        <f t="shared" ca="1" si="148"/>
        <v>#N/A</v>
      </c>
      <c r="GJ29" s="918">
        <f t="shared" ca="1" si="148"/>
        <v>-2.1585298991893011E-15</v>
      </c>
      <c r="GK29" s="918">
        <f t="shared" ca="1" si="148"/>
        <v>-3.9227076033448955E-4</v>
      </c>
      <c r="GL29" s="918">
        <f t="shared" ca="1" si="148"/>
        <v>0</v>
      </c>
      <c r="GM29" s="918">
        <f t="shared" ca="1" si="148"/>
        <v>0</v>
      </c>
      <c r="GN29" s="918">
        <f t="shared" ca="1" si="148"/>
        <v>0</v>
      </c>
      <c r="GO29" s="918" t="e">
        <f t="shared" ca="1" si="148"/>
        <v>#N/A</v>
      </c>
      <c r="GR29" s="1181">
        <f ca="1">FX10</f>
        <v>0</v>
      </c>
      <c r="GS29" s="1182" t="s">
        <v>3077</v>
      </c>
      <c r="GU29" s="946"/>
      <c r="GV29" s="946"/>
      <c r="GW29" s="946"/>
      <c r="GX29" s="1143"/>
      <c r="GY29" s="946"/>
    </row>
    <row r="30" spans="1:207" s="914" customFormat="1" x14ac:dyDescent="0.3">
      <c r="A30" s="975" t="s">
        <v>1508</v>
      </c>
      <c r="B30" s="977">
        <v>7</v>
      </c>
      <c r="C30" s="973">
        <v>180.15768</v>
      </c>
      <c r="D30" s="914">
        <v>-0.61003928257999984</v>
      </c>
      <c r="E30" s="972" t="s">
        <v>982</v>
      </c>
      <c r="F30" s="936">
        <f t="shared" ca="1" si="129"/>
        <v>0</v>
      </c>
      <c r="G30" s="918">
        <f t="shared" ca="1" si="129"/>
        <v>-2.9488353877799519E-8</v>
      </c>
      <c r="H30" s="918">
        <f t="shared" ca="1" si="129"/>
        <v>0</v>
      </c>
      <c r="I30" s="918">
        <f t="shared" ca="1" si="129"/>
        <v>0</v>
      </c>
      <c r="J30" s="918">
        <f t="shared" ca="1" si="129"/>
        <v>0</v>
      </c>
      <c r="K30" s="1144">
        <f t="shared" ca="1" si="129"/>
        <v>0</v>
      </c>
      <c r="L30" s="918">
        <f t="shared" ca="1" si="129"/>
        <v>0</v>
      </c>
      <c r="M30" s="918">
        <f t="shared" ca="1" si="129"/>
        <v>0</v>
      </c>
      <c r="N30" s="938">
        <f t="shared" ca="1" si="129"/>
        <v>0</v>
      </c>
      <c r="O30" s="918">
        <f t="shared" ca="1" si="129"/>
        <v>-1.1748347387902732E-7</v>
      </c>
      <c r="P30" s="939">
        <f t="shared" ca="1" si="129"/>
        <v>-3.9943153331280388</v>
      </c>
      <c r="Q30" s="921"/>
      <c r="R30" s="918">
        <f t="shared" ca="1" si="130"/>
        <v>-3.9943153331280388</v>
      </c>
      <c r="S30" s="918">
        <f t="shared" ca="1" si="130"/>
        <v>0</v>
      </c>
      <c r="T30" s="918">
        <f t="shared" ca="1" si="130"/>
        <v>0</v>
      </c>
      <c r="U30" s="918">
        <f t="shared" ca="1" si="130"/>
        <v>0</v>
      </c>
      <c r="V30" s="918">
        <f t="shared" ca="1" si="130"/>
        <v>0</v>
      </c>
      <c r="W30" s="918">
        <f t="shared" ca="1" si="130"/>
        <v>0</v>
      </c>
      <c r="X30" s="938">
        <f t="shared" ca="1" si="130"/>
        <v>0</v>
      </c>
      <c r="Y30" s="918">
        <f t="shared" ca="1" si="130"/>
        <v>-3.8744858690708286</v>
      </c>
      <c r="Z30" s="918">
        <f t="shared" ca="1" si="130"/>
        <v>-2.2935683968607481E-14</v>
      </c>
      <c r="AA30" s="918">
        <f t="shared" ca="1" si="130"/>
        <v>-2.4394278639339609E-15</v>
      </c>
      <c r="AB30" s="921"/>
      <c r="AC30" s="918">
        <f t="shared" ca="1" si="131"/>
        <v>0</v>
      </c>
      <c r="AD30" s="918">
        <f t="shared" ca="1" si="131"/>
        <v>0</v>
      </c>
      <c r="AE30" s="918">
        <f t="shared" ca="1" si="131"/>
        <v>0</v>
      </c>
      <c r="AF30" s="918">
        <f t="shared" ca="1" si="131"/>
        <v>0</v>
      </c>
      <c r="AG30" s="918">
        <f t="shared" ca="1" si="131"/>
        <v>0</v>
      </c>
      <c r="AH30" s="918">
        <f t="shared" ca="1" si="131"/>
        <v>0</v>
      </c>
      <c r="AI30" s="918">
        <f t="shared" ca="1" si="131"/>
        <v>0</v>
      </c>
      <c r="AJ30" s="918">
        <f t="shared" ca="1" si="131"/>
        <v>0</v>
      </c>
      <c r="AK30" s="938">
        <f t="shared" ca="1" si="131"/>
        <v>0</v>
      </c>
      <c r="AL30" s="918">
        <f t="shared" ca="1" si="131"/>
        <v>0</v>
      </c>
      <c r="AM30" s="918">
        <f t="shared" ca="1" si="131"/>
        <v>0</v>
      </c>
      <c r="AN30" s="918">
        <f t="shared" ca="1" si="131"/>
        <v>0</v>
      </c>
      <c r="AO30" s="921"/>
      <c r="AP30" s="1144">
        <f t="shared" ca="1" si="132"/>
        <v>-3.8744858690708286</v>
      </c>
      <c r="AQ30" s="1144">
        <f t="shared" ca="1" si="132"/>
        <v>-2.4394278639339609E-15</v>
      </c>
      <c r="AR30" s="1144">
        <f t="shared" ca="1" si="132"/>
        <v>-2.2935683968607481E-14</v>
      </c>
      <c r="AS30" s="1144">
        <f t="shared" ca="1" si="132"/>
        <v>0</v>
      </c>
      <c r="AT30" s="938">
        <f t="shared" ca="1" si="132"/>
        <v>0</v>
      </c>
      <c r="AU30" s="938">
        <f t="shared" ca="1" si="132"/>
        <v>0</v>
      </c>
      <c r="AV30" s="1144">
        <f t="shared" ca="1" si="132"/>
        <v>0</v>
      </c>
      <c r="AW30" s="1144">
        <f t="shared" ca="1" si="132"/>
        <v>0</v>
      </c>
      <c r="AX30" s="1144">
        <f t="shared" ca="1" si="132"/>
        <v>0</v>
      </c>
      <c r="AY30" s="1144">
        <f t="shared" ca="1" si="132"/>
        <v>-2.9488353877799519E-8</v>
      </c>
      <c r="AZ30" s="1144">
        <f t="shared" ca="1" si="132"/>
        <v>0</v>
      </c>
      <c r="BA30" s="1144">
        <f t="shared" ca="1" si="132"/>
        <v>-3.7302326111451429</v>
      </c>
      <c r="BB30" s="1144">
        <f t="shared" ca="1" si="132"/>
        <v>-0.14425321695338139</v>
      </c>
      <c r="BC30" s="1144">
        <f t="shared" ca="1" si="132"/>
        <v>-2.8277774859947942E-13</v>
      </c>
      <c r="BD30" s="921"/>
      <c r="BE30" s="918">
        <f t="shared" ca="1" si="133"/>
        <v>-3.8744858690708286</v>
      </c>
      <c r="BF30" s="918">
        <f t="shared" ca="1" si="133"/>
        <v>-2.4394278639339609E-15</v>
      </c>
      <c r="BG30" s="918">
        <f t="shared" ca="1" si="133"/>
        <v>-2.2935683968607481E-14</v>
      </c>
      <c r="BH30" s="918">
        <f t="shared" ca="1" si="133"/>
        <v>0</v>
      </c>
      <c r="BI30" s="938">
        <f t="shared" ca="1" si="133"/>
        <v>0</v>
      </c>
      <c r="BJ30" s="918">
        <f t="shared" ca="1" si="133"/>
        <v>0</v>
      </c>
      <c r="BK30" s="918">
        <f t="shared" ca="1" si="133"/>
        <v>0</v>
      </c>
      <c r="BL30" s="918">
        <f t="shared" ca="1" si="133"/>
        <v>0</v>
      </c>
      <c r="BM30" s="918">
        <f t="shared" ca="1" si="133"/>
        <v>-3.8744858352094198</v>
      </c>
      <c r="BN30" s="1144">
        <f t="shared" ca="1" si="133"/>
        <v>0</v>
      </c>
      <c r="BO30" s="918">
        <f t="shared" ca="1" si="133"/>
        <v>-2.9488353877799519E-8</v>
      </c>
      <c r="BP30" s="921"/>
      <c r="BQ30" s="918">
        <f t="shared" ca="1" si="134"/>
        <v>0</v>
      </c>
      <c r="BR30" s="918">
        <f t="shared" ca="1" si="134"/>
        <v>-3.8744858352094198</v>
      </c>
      <c r="BS30" s="1144">
        <f t="shared" ca="1" si="134"/>
        <v>0</v>
      </c>
      <c r="BT30" s="918">
        <f t="shared" ca="1" si="134"/>
        <v>-3.7302326111451429</v>
      </c>
      <c r="BU30" s="918">
        <f t="shared" ca="1" si="134"/>
        <v>-2.8277774859947942E-13</v>
      </c>
      <c r="BV30" s="918">
        <f t="shared" ca="1" si="134"/>
        <v>-0.14425321695338139</v>
      </c>
      <c r="BW30" s="1144">
        <f t="shared" ca="1" si="134"/>
        <v>0</v>
      </c>
      <c r="BX30" s="921"/>
      <c r="BY30" s="918">
        <f t="shared" ca="1" si="135"/>
        <v>-0.14425321695338139</v>
      </c>
      <c r="BZ30" s="918">
        <f t="shared" ca="1" si="135"/>
        <v>-2.8277774859947942E-13</v>
      </c>
      <c r="CA30" s="918">
        <f t="shared" ca="1" si="135"/>
        <v>0</v>
      </c>
      <c r="CB30" s="918">
        <f t="shared" ca="1" si="135"/>
        <v>-1.6140552828843094E-3</v>
      </c>
      <c r="CC30" s="918">
        <f t="shared" ca="1" si="135"/>
        <v>-7.3080997528304036E-15</v>
      </c>
      <c r="CD30" s="918">
        <f t="shared" ca="1" si="135"/>
        <v>0</v>
      </c>
      <c r="CE30" s="918">
        <f t="shared" ca="1" si="135"/>
        <v>0</v>
      </c>
      <c r="CF30" s="918">
        <f t="shared" ca="1" si="135"/>
        <v>0</v>
      </c>
      <c r="CG30" s="921"/>
      <c r="CH30" s="918">
        <f t="shared" ca="1" si="136"/>
        <v>-2.9008584818300277E-13</v>
      </c>
      <c r="CI30" s="918">
        <f t="shared" ca="1" si="136"/>
        <v>-0.14586727246652328</v>
      </c>
      <c r="CJ30" s="918">
        <f t="shared" ca="1" si="136"/>
        <v>0</v>
      </c>
      <c r="CK30" s="918" t="e">
        <f t="shared" ca="1" si="136"/>
        <v>#N/A</v>
      </c>
      <c r="CL30" s="918" t="e">
        <f t="shared" ca="1" si="136"/>
        <v>#N/A</v>
      </c>
      <c r="CM30" s="921"/>
      <c r="CN30" s="918">
        <f t="shared" ca="1" si="137"/>
        <v>0</v>
      </c>
      <c r="CO30" s="918" t="e">
        <f t="shared" ca="1" si="137"/>
        <v>#N/A</v>
      </c>
      <c r="CP30" s="918">
        <f t="shared" ca="1" si="137"/>
        <v>0</v>
      </c>
      <c r="CQ30" s="918">
        <f t="shared" ca="1" si="137"/>
        <v>0</v>
      </c>
      <c r="CR30" s="918">
        <f t="shared" ca="1" si="137"/>
        <v>0</v>
      </c>
      <c r="CS30" s="1144">
        <f t="shared" ca="1" si="137"/>
        <v>0</v>
      </c>
      <c r="CT30" s="921"/>
      <c r="CU30" s="918">
        <f t="shared" ca="1" si="138"/>
        <v>-1.1748347387902732E-7</v>
      </c>
      <c r="CV30" s="918">
        <f t="shared" ca="1" si="138"/>
        <v>0</v>
      </c>
      <c r="CW30" s="918">
        <f t="shared" ca="1" si="138"/>
        <v>0</v>
      </c>
      <c r="CX30" s="918">
        <f t="shared" ca="1" si="138"/>
        <v>-3.7302326111451429</v>
      </c>
      <c r="CY30" s="918">
        <f t="shared" ca="1" si="138"/>
        <v>0</v>
      </c>
      <c r="CZ30" s="1144" t="e">
        <f t="shared" ca="1" si="138"/>
        <v>#N/A</v>
      </c>
      <c r="DA30" s="1144" t="e">
        <f t="shared" ca="1" si="138"/>
        <v>#N/A</v>
      </c>
      <c r="DB30" s="918">
        <f t="shared" ca="1" si="138"/>
        <v>0</v>
      </c>
      <c r="DC30" s="938">
        <f t="shared" ca="1" si="138"/>
        <v>0</v>
      </c>
      <c r="DD30" s="918">
        <f t="shared" ca="1" si="138"/>
        <v>-7.3080997528304036E-15</v>
      </c>
      <c r="DE30" s="918">
        <f t="shared" ca="1" si="138"/>
        <v>-5.2057084469666307E-17</v>
      </c>
      <c r="DF30" s="918">
        <f t="shared" ca="1" si="138"/>
        <v>0</v>
      </c>
      <c r="DG30" s="918">
        <f t="shared" ca="1" si="138"/>
        <v>-2.0359605857190872E-3</v>
      </c>
      <c r="DH30" s="918">
        <f t="shared" ca="1" si="138"/>
        <v>-1.6140552828843094E-3</v>
      </c>
      <c r="DI30" s="921"/>
      <c r="DJ30" s="1144">
        <f t="shared" ca="1" si="139"/>
        <v>-1.1328315034076062E-2</v>
      </c>
      <c r="DK30" s="1144">
        <f t="shared" ca="1" si="139"/>
        <v>-0.33457890414050684</v>
      </c>
      <c r="DL30" s="1144">
        <f t="shared" ca="1" si="139"/>
        <v>0</v>
      </c>
      <c r="DM30" s="1144">
        <f t="shared" ca="1" si="139"/>
        <v>0</v>
      </c>
      <c r="DN30" s="1144" t="e">
        <f t="shared" ca="1" si="139"/>
        <v>#N/A</v>
      </c>
      <c r="DO30" s="1144">
        <f t="shared" ca="1" si="139"/>
        <v>-1.3836288743957559E-2</v>
      </c>
      <c r="DP30" s="1144" t="e">
        <f t="shared" ca="1" si="139"/>
        <v>#N/A</v>
      </c>
      <c r="DQ30" s="921"/>
      <c r="DR30" s="1144">
        <f t="shared" ca="1" si="140"/>
        <v>-3.2203733354739303</v>
      </c>
      <c r="DS30" s="1144">
        <f t="shared" ca="1" si="140"/>
        <v>0</v>
      </c>
      <c r="DT30" s="1144">
        <f t="shared" ca="1" si="140"/>
        <v>0</v>
      </c>
      <c r="DU30" s="1144" t="e">
        <f t="shared" ca="1" si="140"/>
        <v>#N/A</v>
      </c>
      <c r="DV30" s="920"/>
      <c r="DW30" s="921"/>
      <c r="DX30" s="918">
        <f t="shared" ca="1" si="141"/>
        <v>-3.2203733354739303</v>
      </c>
      <c r="DY30" s="918">
        <f t="shared" ca="1" si="141"/>
        <v>0</v>
      </c>
      <c r="DZ30" s="918">
        <f t="shared" ca="1" si="141"/>
        <v>0</v>
      </c>
      <c r="EA30" s="918" t="e">
        <f t="shared" ca="1" si="141"/>
        <v>#N/A</v>
      </c>
      <c r="EB30" s="920"/>
      <c r="EC30" s="921"/>
      <c r="ED30" s="1144">
        <f t="shared" ca="1" si="142"/>
        <v>-0.1741384547810963</v>
      </c>
      <c r="EE30" s="1144">
        <f t="shared" ca="1" si="142"/>
        <v>0</v>
      </c>
      <c r="EF30" s="1144" t="e">
        <f t="shared" ca="1" si="142"/>
        <v>#N/A</v>
      </c>
      <c r="EG30" s="1144" t="e">
        <f t="shared" ca="1" si="142"/>
        <v>#N/A</v>
      </c>
      <c r="EH30" s="920"/>
      <c r="EI30" s="921"/>
      <c r="EJ30" s="918">
        <f t="shared" ca="1" si="143"/>
        <v>0</v>
      </c>
      <c r="EK30" s="918">
        <f t="shared" ca="1" si="143"/>
        <v>0</v>
      </c>
      <c r="EL30" s="918">
        <f t="shared" ca="1" si="143"/>
        <v>0</v>
      </c>
      <c r="EM30" s="918">
        <f t="shared" ca="1" si="143"/>
        <v>0</v>
      </c>
      <c r="EN30" s="920"/>
      <c r="EO30" s="921"/>
      <c r="EP30" s="1144">
        <f t="shared" ca="1" si="144"/>
        <v>-2.0359605857190872E-3</v>
      </c>
      <c r="EQ30" s="1144">
        <f t="shared" ca="1" si="144"/>
        <v>-2.0359605857190872E-3</v>
      </c>
      <c r="ER30" s="1144">
        <f t="shared" ca="1" si="144"/>
        <v>0</v>
      </c>
      <c r="ES30" s="1144">
        <f t="shared" ca="1" si="144"/>
        <v>-1.1878399001729177E-15</v>
      </c>
      <c r="ET30" s="920"/>
      <c r="EU30" s="921"/>
      <c r="EV30" s="1144">
        <f t="shared" ca="1" si="145"/>
        <v>0</v>
      </c>
      <c r="EW30" s="1144">
        <f t="shared" ca="1" si="145"/>
        <v>0</v>
      </c>
      <c r="EX30" s="921"/>
      <c r="EY30" s="1144">
        <f t="shared" ca="1" si="145"/>
        <v>0</v>
      </c>
      <c r="EZ30" s="1144">
        <f t="shared" ca="1" si="145"/>
        <v>0</v>
      </c>
      <c r="FA30" s="1144" t="e">
        <f t="shared" ca="1" si="145"/>
        <v>#N/A</v>
      </c>
      <c r="FB30" s="921"/>
      <c r="FC30" s="918">
        <f t="shared" ca="1" si="146"/>
        <v>0</v>
      </c>
      <c r="FD30" s="918">
        <f t="shared" ca="1" si="146"/>
        <v>0</v>
      </c>
      <c r="FE30" s="918">
        <f t="shared" ca="1" si="146"/>
        <v>0</v>
      </c>
      <c r="FF30" s="918">
        <f t="shared" ca="1" si="146"/>
        <v>0</v>
      </c>
      <c r="FG30" s="918">
        <f t="shared" ca="1" si="146"/>
        <v>0</v>
      </c>
      <c r="FH30" s="918">
        <f t="shared" ca="1" si="146"/>
        <v>0</v>
      </c>
      <c r="FI30" s="918">
        <f t="shared" ca="1" si="146"/>
        <v>0</v>
      </c>
      <c r="FJ30" s="918">
        <f t="shared" ca="1" si="146"/>
        <v>0</v>
      </c>
      <c r="FK30" s="918">
        <f t="shared" ca="1" si="146"/>
        <v>0</v>
      </c>
      <c r="FL30" s="918">
        <f t="shared" ca="1" si="146"/>
        <v>0</v>
      </c>
      <c r="FM30" s="918" t="e">
        <f t="shared" ca="1" si="147"/>
        <v>#N/A</v>
      </c>
      <c r="FN30" s="1144">
        <f t="shared" ca="1" si="147"/>
        <v>0</v>
      </c>
      <c r="FO30" s="1144">
        <f t="shared" ca="1" si="147"/>
        <v>0</v>
      </c>
      <c r="FP30" s="918">
        <f t="shared" ca="1" si="147"/>
        <v>0</v>
      </c>
      <c r="FQ30" s="918">
        <f t="shared" ca="1" si="147"/>
        <v>0</v>
      </c>
      <c r="FR30" s="918">
        <f t="shared" ca="1" si="147"/>
        <v>0</v>
      </c>
      <c r="FS30" s="918">
        <f t="shared" ca="1" si="147"/>
        <v>0</v>
      </c>
      <c r="FT30" s="918">
        <f t="shared" ca="1" si="147"/>
        <v>0</v>
      </c>
      <c r="FU30" s="918" t="e">
        <f t="shared" ca="1" si="147"/>
        <v>#N/A</v>
      </c>
      <c r="FV30" s="1144" t="e">
        <f t="shared" ca="1" si="147"/>
        <v>#N/A</v>
      </c>
      <c r="FW30" s="918">
        <f t="shared" ca="1" si="147"/>
        <v>0</v>
      </c>
      <c r="FX30" s="918">
        <f t="shared" ca="1" si="147"/>
        <v>0</v>
      </c>
      <c r="FY30" s="918">
        <f t="shared" ca="1" si="147"/>
        <v>0</v>
      </c>
      <c r="FZ30" s="918">
        <f t="shared" ca="1" si="147"/>
        <v>0</v>
      </c>
      <c r="GA30" s="1144" t="e">
        <f t="shared" ca="1" si="147"/>
        <v>#N/A</v>
      </c>
      <c r="GB30" s="918">
        <f t="shared" ca="1" si="147"/>
        <v>0</v>
      </c>
      <c r="GC30" s="920"/>
      <c r="GD30" s="918">
        <f t="shared" ca="1" si="148"/>
        <v>0</v>
      </c>
      <c r="GE30" s="918">
        <f t="shared" ca="1" si="148"/>
        <v>0</v>
      </c>
      <c r="GF30" s="918">
        <f t="shared" ca="1" si="148"/>
        <v>0</v>
      </c>
      <c r="GG30" s="918">
        <f t="shared" ca="1" si="148"/>
        <v>0</v>
      </c>
      <c r="GH30" s="918" t="e">
        <f t="shared" ca="1" si="148"/>
        <v>#N/A</v>
      </c>
      <c r="GI30" s="1144" t="e">
        <f t="shared" ca="1" si="148"/>
        <v>#N/A</v>
      </c>
      <c r="GJ30" s="918">
        <f t="shared" ca="1" si="148"/>
        <v>-5.2057084469666307E-17</v>
      </c>
      <c r="GK30" s="918">
        <f t="shared" ca="1" si="148"/>
        <v>-2.0359605857190872E-3</v>
      </c>
      <c r="GL30" s="918">
        <f t="shared" ca="1" si="148"/>
        <v>0</v>
      </c>
      <c r="GM30" s="918">
        <f t="shared" ca="1" si="148"/>
        <v>0</v>
      </c>
      <c r="GN30" s="918">
        <f t="shared" ca="1" si="148"/>
        <v>0</v>
      </c>
      <c r="GO30" s="918" t="e">
        <f t="shared" ca="1" si="148"/>
        <v>#N/A</v>
      </c>
      <c r="GR30" s="1181">
        <f ca="1">FX17</f>
        <v>3.2688881071136531</v>
      </c>
      <c r="GS30" s="1182" t="s">
        <v>3079</v>
      </c>
      <c r="GT30" s="1143" t="s">
        <v>3097</v>
      </c>
      <c r="GU30" s="1181">
        <f ca="1">-SUM(FF23:FL23)</f>
        <v>-4.0985655424967504</v>
      </c>
      <c r="GV30" s="1182" t="s">
        <v>3079</v>
      </c>
      <c r="GW30" s="946"/>
      <c r="GX30" s="1143"/>
      <c r="GY30" s="946"/>
    </row>
    <row r="31" spans="1:207" s="914" customFormat="1" x14ac:dyDescent="0.3">
      <c r="A31" s="975" t="s">
        <v>1509</v>
      </c>
      <c r="B31" s="977">
        <v>8</v>
      </c>
      <c r="C31" s="973">
        <v>180.15768</v>
      </c>
      <c r="D31" s="914">
        <v>-0.61003928257999984</v>
      </c>
      <c r="E31" s="972" t="s">
        <v>982</v>
      </c>
      <c r="F31" s="936">
        <f t="shared" ca="1" si="129"/>
        <v>0</v>
      </c>
      <c r="G31" s="918">
        <f t="shared" ca="1" si="129"/>
        <v>-1.2372735882600912E-8</v>
      </c>
      <c r="H31" s="918">
        <f t="shared" ca="1" si="129"/>
        <v>0</v>
      </c>
      <c r="I31" s="918">
        <f t="shared" ca="1" si="129"/>
        <v>0</v>
      </c>
      <c r="J31" s="918">
        <f t="shared" ca="1" si="129"/>
        <v>0</v>
      </c>
      <c r="K31" s="1144">
        <f t="shared" ca="1" si="129"/>
        <v>0</v>
      </c>
      <c r="L31" s="918">
        <f t="shared" ca="1" si="129"/>
        <v>0</v>
      </c>
      <c r="M31" s="918">
        <f t="shared" ca="1" si="129"/>
        <v>0</v>
      </c>
      <c r="N31" s="938">
        <f t="shared" ca="1" si="129"/>
        <v>0</v>
      </c>
      <c r="O31" s="918">
        <f t="shared" ca="1" si="129"/>
        <v>-4.9293765297078581E-8</v>
      </c>
      <c r="P31" s="939">
        <f t="shared" ca="1" si="129"/>
        <v>-1.6759364992901664</v>
      </c>
      <c r="Q31" s="921"/>
      <c r="R31" s="918">
        <f t="shared" ca="1" si="130"/>
        <v>-1.6759364992901664</v>
      </c>
      <c r="S31" s="918">
        <f t="shared" ca="1" si="130"/>
        <v>0</v>
      </c>
      <c r="T31" s="918">
        <f t="shared" ca="1" si="130"/>
        <v>0</v>
      </c>
      <c r="U31" s="918">
        <f t="shared" ca="1" si="130"/>
        <v>0</v>
      </c>
      <c r="V31" s="918">
        <f t="shared" ca="1" si="130"/>
        <v>0</v>
      </c>
      <c r="W31" s="918">
        <f t="shared" ca="1" si="130"/>
        <v>0</v>
      </c>
      <c r="X31" s="938">
        <f t="shared" ca="1" si="130"/>
        <v>0</v>
      </c>
      <c r="Y31" s="918">
        <f t="shared" ca="1" si="130"/>
        <v>-1.6256584058690866</v>
      </c>
      <c r="Z31" s="918">
        <f t="shared" ca="1" si="130"/>
        <v>-9.6233639194877432E-15</v>
      </c>
      <c r="AA31" s="918">
        <f t="shared" ca="1" si="130"/>
        <v>-1.0235361678221848E-15</v>
      </c>
      <c r="AB31" s="921"/>
      <c r="AC31" s="918">
        <f t="shared" ca="1" si="131"/>
        <v>0</v>
      </c>
      <c r="AD31" s="918">
        <f t="shared" ca="1" si="131"/>
        <v>0</v>
      </c>
      <c r="AE31" s="918">
        <f t="shared" ca="1" si="131"/>
        <v>0</v>
      </c>
      <c r="AF31" s="918">
        <f t="shared" ca="1" si="131"/>
        <v>0</v>
      </c>
      <c r="AG31" s="918">
        <f t="shared" ca="1" si="131"/>
        <v>0</v>
      </c>
      <c r="AH31" s="918">
        <f t="shared" ca="1" si="131"/>
        <v>0</v>
      </c>
      <c r="AI31" s="918">
        <f t="shared" ca="1" si="131"/>
        <v>0</v>
      </c>
      <c r="AJ31" s="918">
        <f t="shared" ca="1" si="131"/>
        <v>0</v>
      </c>
      <c r="AK31" s="938">
        <f t="shared" ca="1" si="131"/>
        <v>0</v>
      </c>
      <c r="AL31" s="918">
        <f t="shared" ca="1" si="131"/>
        <v>0</v>
      </c>
      <c r="AM31" s="918">
        <f t="shared" ca="1" si="131"/>
        <v>0</v>
      </c>
      <c r="AN31" s="918">
        <f t="shared" ca="1" si="131"/>
        <v>0</v>
      </c>
      <c r="AO31" s="921"/>
      <c r="AP31" s="1144">
        <f t="shared" ca="1" si="132"/>
        <v>-1.6256584058690866</v>
      </c>
      <c r="AQ31" s="1144">
        <f t="shared" ca="1" si="132"/>
        <v>-1.0235361678221848E-15</v>
      </c>
      <c r="AR31" s="1144">
        <f t="shared" ca="1" si="132"/>
        <v>-9.6233639194877432E-15</v>
      </c>
      <c r="AS31" s="1144">
        <f t="shared" ca="1" si="132"/>
        <v>0</v>
      </c>
      <c r="AT31" s="938">
        <f t="shared" ca="1" si="132"/>
        <v>0</v>
      </c>
      <c r="AU31" s="938">
        <f t="shared" ca="1" si="132"/>
        <v>0</v>
      </c>
      <c r="AV31" s="1144">
        <f t="shared" ca="1" si="132"/>
        <v>0</v>
      </c>
      <c r="AW31" s="1144">
        <f t="shared" ca="1" si="132"/>
        <v>0</v>
      </c>
      <c r="AX31" s="1144">
        <f t="shared" ca="1" si="132"/>
        <v>0</v>
      </c>
      <c r="AY31" s="1144">
        <f t="shared" ca="1" si="132"/>
        <v>-1.2372735882600912E-8</v>
      </c>
      <c r="AZ31" s="1144">
        <f t="shared" ca="1" si="132"/>
        <v>0</v>
      </c>
      <c r="BA31" s="1144">
        <f t="shared" ca="1" si="132"/>
        <v>-1.5651325668399634</v>
      </c>
      <c r="BB31" s="1144">
        <f t="shared" ca="1" si="132"/>
        <v>-6.0525825484559509E-2</v>
      </c>
      <c r="BC31" s="1144">
        <f t="shared" ca="1" si="132"/>
        <v>-1.1864800632486632E-13</v>
      </c>
      <c r="BD31" s="921"/>
      <c r="BE31" s="918">
        <f t="shared" ca="1" si="133"/>
        <v>-1.6256584058690866</v>
      </c>
      <c r="BF31" s="918">
        <f t="shared" ca="1" si="133"/>
        <v>-1.0235361678221848E-15</v>
      </c>
      <c r="BG31" s="918">
        <f t="shared" ca="1" si="133"/>
        <v>-9.6233639194877432E-15</v>
      </c>
      <c r="BH31" s="918">
        <f t="shared" ca="1" si="133"/>
        <v>0</v>
      </c>
      <c r="BI31" s="938">
        <f t="shared" ca="1" si="133"/>
        <v>0</v>
      </c>
      <c r="BJ31" s="918">
        <f t="shared" ca="1" si="133"/>
        <v>0</v>
      </c>
      <c r="BK31" s="918">
        <f t="shared" ca="1" si="133"/>
        <v>0</v>
      </c>
      <c r="BL31" s="918">
        <f t="shared" ca="1" si="133"/>
        <v>0</v>
      </c>
      <c r="BM31" s="918">
        <f t="shared" ca="1" si="133"/>
        <v>-1.6256583923245225</v>
      </c>
      <c r="BN31" s="1144">
        <f t="shared" ca="1" si="133"/>
        <v>0</v>
      </c>
      <c r="BO31" s="918">
        <f t="shared" ca="1" si="133"/>
        <v>-1.2372735882600912E-8</v>
      </c>
      <c r="BP31" s="921"/>
      <c r="BQ31" s="918">
        <f t="shared" ca="1" si="134"/>
        <v>0</v>
      </c>
      <c r="BR31" s="918">
        <f t="shared" ca="1" si="134"/>
        <v>-1.6256583923245225</v>
      </c>
      <c r="BS31" s="1144">
        <f t="shared" ca="1" si="134"/>
        <v>0</v>
      </c>
      <c r="BT31" s="918">
        <f t="shared" ca="1" si="134"/>
        <v>-1.5651325668399634</v>
      </c>
      <c r="BU31" s="918">
        <f t="shared" ca="1" si="134"/>
        <v>-1.1864800632486632E-13</v>
      </c>
      <c r="BV31" s="918">
        <f t="shared" ca="1" si="134"/>
        <v>-6.0525825484559509E-2</v>
      </c>
      <c r="BW31" s="1144">
        <f t="shared" ca="1" si="134"/>
        <v>0</v>
      </c>
      <c r="BX31" s="921"/>
      <c r="BY31" s="918">
        <f t="shared" ca="1" si="135"/>
        <v>-6.0525825484559509E-2</v>
      </c>
      <c r="BZ31" s="918">
        <f t="shared" ca="1" si="135"/>
        <v>-1.1864800632486632E-13</v>
      </c>
      <c r="CA31" s="918">
        <f t="shared" ca="1" si="135"/>
        <v>0</v>
      </c>
      <c r="CB31" s="918">
        <f t="shared" ca="1" si="135"/>
        <v>-6.7722599253443967E-4</v>
      </c>
      <c r="CC31" s="918">
        <f t="shared" ca="1" si="135"/>
        <v>-3.0663355560106768E-15</v>
      </c>
      <c r="CD31" s="918">
        <f t="shared" ca="1" si="135"/>
        <v>0</v>
      </c>
      <c r="CE31" s="918">
        <f t="shared" ca="1" si="135"/>
        <v>0</v>
      </c>
      <c r="CF31" s="918">
        <f t="shared" ca="1" si="135"/>
        <v>0</v>
      </c>
      <c r="CG31" s="921"/>
      <c r="CH31" s="918">
        <f t="shared" ca="1" si="136"/>
        <v>-1.2171434210097617E-13</v>
      </c>
      <c r="CI31" s="918">
        <f t="shared" ca="1" si="136"/>
        <v>-6.120305128747007E-2</v>
      </c>
      <c r="CJ31" s="918">
        <f t="shared" ca="1" si="136"/>
        <v>0</v>
      </c>
      <c r="CK31" s="918" t="e">
        <f t="shared" ca="1" si="136"/>
        <v>#N/A</v>
      </c>
      <c r="CL31" s="918" t="e">
        <f t="shared" ca="1" si="136"/>
        <v>#N/A</v>
      </c>
      <c r="CM31" s="921"/>
      <c r="CN31" s="918">
        <f t="shared" ca="1" si="137"/>
        <v>0</v>
      </c>
      <c r="CO31" s="918" t="e">
        <f t="shared" ca="1" si="137"/>
        <v>#N/A</v>
      </c>
      <c r="CP31" s="918">
        <f t="shared" ca="1" si="137"/>
        <v>0</v>
      </c>
      <c r="CQ31" s="918">
        <f t="shared" ca="1" si="137"/>
        <v>0</v>
      </c>
      <c r="CR31" s="918">
        <f t="shared" ca="1" si="137"/>
        <v>0</v>
      </c>
      <c r="CS31" s="1144">
        <f t="shared" ca="1" si="137"/>
        <v>0</v>
      </c>
      <c r="CT31" s="921"/>
      <c r="CU31" s="918">
        <f t="shared" ca="1" si="138"/>
        <v>-4.9293765297078581E-8</v>
      </c>
      <c r="CV31" s="918">
        <f t="shared" ca="1" si="138"/>
        <v>0</v>
      </c>
      <c r="CW31" s="918">
        <f t="shared" ca="1" si="138"/>
        <v>0</v>
      </c>
      <c r="CX31" s="918">
        <f t="shared" ca="1" si="138"/>
        <v>-1.5651325668399634</v>
      </c>
      <c r="CY31" s="918">
        <f t="shared" ca="1" si="138"/>
        <v>0</v>
      </c>
      <c r="CZ31" s="1144" t="e">
        <f t="shared" ca="1" si="138"/>
        <v>#N/A</v>
      </c>
      <c r="DA31" s="1144" t="e">
        <f t="shared" ca="1" si="138"/>
        <v>#N/A</v>
      </c>
      <c r="DB31" s="918">
        <f t="shared" ca="1" si="138"/>
        <v>0</v>
      </c>
      <c r="DC31" s="938">
        <f t="shared" ca="1" si="138"/>
        <v>0</v>
      </c>
      <c r="DD31" s="918">
        <f t="shared" ca="1" si="138"/>
        <v>-3.0663355560106768E-15</v>
      </c>
      <c r="DE31" s="918">
        <f t="shared" ca="1" si="138"/>
        <v>-2.1842133365227308E-17</v>
      </c>
      <c r="DF31" s="918">
        <f t="shared" ca="1" si="138"/>
        <v>0</v>
      </c>
      <c r="DG31" s="918">
        <f t="shared" ca="1" si="138"/>
        <v>-8.5424919756294925E-4</v>
      </c>
      <c r="DH31" s="918">
        <f t="shared" ca="1" si="138"/>
        <v>-6.7722599253443967E-4</v>
      </c>
      <c r="DI31" s="921"/>
      <c r="DJ31" s="1144">
        <f t="shared" ca="1" si="139"/>
        <v>-4.7531391734792578E-3</v>
      </c>
      <c r="DK31" s="1144">
        <f t="shared" ca="1" si="139"/>
        <v>-0.14038275703649325</v>
      </c>
      <c r="DL31" s="1144">
        <f t="shared" ca="1" si="139"/>
        <v>0</v>
      </c>
      <c r="DM31" s="1144">
        <f t="shared" ca="1" si="139"/>
        <v>0</v>
      </c>
      <c r="DN31" s="1144" t="e">
        <f t="shared" ca="1" si="139"/>
        <v>#N/A</v>
      </c>
      <c r="DO31" s="1144">
        <f t="shared" ca="1" si="139"/>
        <v>-5.8054358470444435E-3</v>
      </c>
      <c r="DP31" s="1144" t="e">
        <f t="shared" ca="1" si="139"/>
        <v>#N/A</v>
      </c>
      <c r="DQ31" s="921"/>
      <c r="DR31" s="1144">
        <f t="shared" ca="1" si="140"/>
        <v>-1.3512055936225162</v>
      </c>
      <c r="DS31" s="1144">
        <f t="shared" ca="1" si="140"/>
        <v>0</v>
      </c>
      <c r="DT31" s="1144">
        <f t="shared" ca="1" si="140"/>
        <v>0</v>
      </c>
      <c r="DU31" s="1144" t="e">
        <f t="shared" ca="1" si="140"/>
        <v>#N/A</v>
      </c>
      <c r="DV31" s="920"/>
      <c r="DW31" s="921"/>
      <c r="DX31" s="918">
        <f t="shared" ca="1" si="141"/>
        <v>-1.3512055936225162</v>
      </c>
      <c r="DY31" s="918">
        <f t="shared" ca="1" si="141"/>
        <v>0</v>
      </c>
      <c r="DZ31" s="918">
        <f t="shared" ca="1" si="141"/>
        <v>0</v>
      </c>
      <c r="EA31" s="918" t="e">
        <f t="shared" ca="1" si="141"/>
        <v>#N/A</v>
      </c>
      <c r="EB31" s="920"/>
      <c r="EC31" s="921"/>
      <c r="ED31" s="1144">
        <f t="shared" ca="1" si="142"/>
        <v>-7.3065086052374495E-2</v>
      </c>
      <c r="EE31" s="1144">
        <f t="shared" ca="1" si="142"/>
        <v>0</v>
      </c>
      <c r="EF31" s="1144" t="e">
        <f t="shared" ca="1" si="142"/>
        <v>#N/A</v>
      </c>
      <c r="EG31" s="1144" t="e">
        <f t="shared" ca="1" si="142"/>
        <v>#N/A</v>
      </c>
      <c r="EH31" s="920"/>
      <c r="EI31" s="921"/>
      <c r="EJ31" s="918">
        <f t="shared" ca="1" si="143"/>
        <v>0</v>
      </c>
      <c r="EK31" s="918">
        <f t="shared" ca="1" si="143"/>
        <v>0</v>
      </c>
      <c r="EL31" s="918">
        <f t="shared" ca="1" si="143"/>
        <v>0</v>
      </c>
      <c r="EM31" s="918">
        <f t="shared" ca="1" si="143"/>
        <v>0</v>
      </c>
      <c r="EN31" s="920"/>
      <c r="EO31" s="921"/>
      <c r="EP31" s="1144">
        <f t="shared" ca="1" si="144"/>
        <v>-8.5424919756294925E-4</v>
      </c>
      <c r="EQ31" s="1144">
        <f t="shared" ca="1" si="144"/>
        <v>-8.5424919756294925E-4</v>
      </c>
      <c r="ER31" s="1144">
        <f t="shared" ca="1" si="144"/>
        <v>0</v>
      </c>
      <c r="ES31" s="1144">
        <f t="shared" ca="1" si="144"/>
        <v>-4.9839436479816471E-16</v>
      </c>
      <c r="ET31" s="920"/>
      <c r="EU31" s="921"/>
      <c r="EV31" s="1144">
        <f t="shared" ca="1" si="145"/>
        <v>0</v>
      </c>
      <c r="EW31" s="1144">
        <f t="shared" ca="1" si="145"/>
        <v>0</v>
      </c>
      <c r="EX31" s="921"/>
      <c r="EY31" s="1144">
        <f t="shared" ca="1" si="145"/>
        <v>0</v>
      </c>
      <c r="EZ31" s="1144">
        <f t="shared" ca="1" si="145"/>
        <v>0</v>
      </c>
      <c r="FA31" s="1144" t="e">
        <f t="shared" ca="1" si="145"/>
        <v>#N/A</v>
      </c>
      <c r="FB31" s="921"/>
      <c r="FC31" s="918">
        <f t="shared" ca="1" si="146"/>
        <v>0</v>
      </c>
      <c r="FD31" s="918">
        <f t="shared" ca="1" si="146"/>
        <v>0</v>
      </c>
      <c r="FE31" s="918">
        <f t="shared" ca="1" si="146"/>
        <v>0</v>
      </c>
      <c r="FF31" s="918">
        <f t="shared" ca="1" si="146"/>
        <v>0</v>
      </c>
      <c r="FG31" s="918">
        <f t="shared" ca="1" si="146"/>
        <v>0</v>
      </c>
      <c r="FH31" s="918">
        <f t="shared" ca="1" si="146"/>
        <v>0</v>
      </c>
      <c r="FI31" s="918">
        <f t="shared" ca="1" si="146"/>
        <v>0</v>
      </c>
      <c r="FJ31" s="918">
        <f t="shared" ca="1" si="146"/>
        <v>0</v>
      </c>
      <c r="FK31" s="918">
        <f t="shared" ca="1" si="146"/>
        <v>0</v>
      </c>
      <c r="FL31" s="918">
        <f t="shared" ca="1" si="146"/>
        <v>0</v>
      </c>
      <c r="FM31" s="918" t="e">
        <f t="shared" ca="1" si="147"/>
        <v>#N/A</v>
      </c>
      <c r="FN31" s="1144">
        <f t="shared" ca="1" si="147"/>
        <v>0</v>
      </c>
      <c r="FO31" s="1144">
        <f t="shared" ca="1" si="147"/>
        <v>0</v>
      </c>
      <c r="FP31" s="918">
        <f t="shared" ca="1" si="147"/>
        <v>0</v>
      </c>
      <c r="FQ31" s="918">
        <f t="shared" ca="1" si="147"/>
        <v>0</v>
      </c>
      <c r="FR31" s="918">
        <f t="shared" ca="1" si="147"/>
        <v>0</v>
      </c>
      <c r="FS31" s="918">
        <f t="shared" ca="1" si="147"/>
        <v>0</v>
      </c>
      <c r="FT31" s="918">
        <f t="shared" ca="1" si="147"/>
        <v>0</v>
      </c>
      <c r="FU31" s="918" t="e">
        <f t="shared" ca="1" si="147"/>
        <v>#N/A</v>
      </c>
      <c r="FV31" s="1144" t="e">
        <f t="shared" ca="1" si="147"/>
        <v>#N/A</v>
      </c>
      <c r="FW31" s="918">
        <f t="shared" ca="1" si="147"/>
        <v>0</v>
      </c>
      <c r="FX31" s="918">
        <f t="shared" ca="1" si="147"/>
        <v>0</v>
      </c>
      <c r="FY31" s="918">
        <f t="shared" ca="1" si="147"/>
        <v>0</v>
      </c>
      <c r="FZ31" s="918">
        <f t="shared" ca="1" si="147"/>
        <v>0</v>
      </c>
      <c r="GA31" s="1144" t="e">
        <f t="shared" ca="1" si="147"/>
        <v>#N/A</v>
      </c>
      <c r="GB31" s="918">
        <f t="shared" ca="1" si="147"/>
        <v>0</v>
      </c>
      <c r="GC31" s="920"/>
      <c r="GD31" s="918">
        <f t="shared" ca="1" si="148"/>
        <v>0</v>
      </c>
      <c r="GE31" s="918">
        <f t="shared" ca="1" si="148"/>
        <v>0</v>
      </c>
      <c r="GF31" s="918">
        <f t="shared" ca="1" si="148"/>
        <v>0</v>
      </c>
      <c r="GG31" s="918">
        <f t="shared" ca="1" si="148"/>
        <v>0</v>
      </c>
      <c r="GH31" s="918" t="e">
        <f t="shared" ca="1" si="148"/>
        <v>#N/A</v>
      </c>
      <c r="GI31" s="1144" t="e">
        <f t="shared" ca="1" si="148"/>
        <v>#N/A</v>
      </c>
      <c r="GJ31" s="918">
        <f t="shared" ca="1" si="148"/>
        <v>-2.1842133365227308E-17</v>
      </c>
      <c r="GK31" s="918">
        <f t="shared" ca="1" si="148"/>
        <v>-8.5424919756294925E-4</v>
      </c>
      <c r="GL31" s="918">
        <f t="shared" ca="1" si="148"/>
        <v>0</v>
      </c>
      <c r="GM31" s="918">
        <f t="shared" ca="1" si="148"/>
        <v>0</v>
      </c>
      <c r="GN31" s="918">
        <f t="shared" ca="1" si="148"/>
        <v>0</v>
      </c>
      <c r="GO31" s="918" t="e">
        <f t="shared" ca="1" si="148"/>
        <v>#N/A</v>
      </c>
      <c r="GR31" s="946"/>
      <c r="GS31" s="946"/>
      <c r="GU31" s="946"/>
      <c r="GV31" s="946"/>
      <c r="GW31" s="946"/>
      <c r="GX31" s="1143"/>
      <c r="GY31" s="946"/>
    </row>
    <row r="32" spans="1:207" s="914" customFormat="1" x14ac:dyDescent="0.3">
      <c r="A32" s="975" t="s">
        <v>1510</v>
      </c>
      <c r="B32" s="977">
        <v>13</v>
      </c>
      <c r="C32" s="973">
        <v>162.14239999999998</v>
      </c>
      <c r="D32" s="914">
        <v>-0.61951084092999997</v>
      </c>
      <c r="E32" s="972" t="s">
        <v>982</v>
      </c>
      <c r="F32" s="936">
        <f t="shared" ca="1" si="129"/>
        <v>0</v>
      </c>
      <c r="G32" s="918">
        <f t="shared" ca="1" si="129"/>
        <v>-3.2951555645066229E-8</v>
      </c>
      <c r="H32" s="918">
        <f t="shared" ca="1" si="129"/>
        <v>0</v>
      </c>
      <c r="I32" s="918">
        <f t="shared" ca="1" si="129"/>
        <v>0</v>
      </c>
      <c r="J32" s="918">
        <f t="shared" ca="1" si="129"/>
        <v>0</v>
      </c>
      <c r="K32" s="1144">
        <f t="shared" ca="1" si="129"/>
        <v>0</v>
      </c>
      <c r="L32" s="918">
        <f t="shared" ca="1" si="129"/>
        <v>0</v>
      </c>
      <c r="M32" s="918">
        <f t="shared" ca="1" si="129"/>
        <v>0</v>
      </c>
      <c r="N32" s="938">
        <f t="shared" ca="1" si="129"/>
        <v>0</v>
      </c>
      <c r="O32" s="918">
        <f t="shared" ca="1" si="129"/>
        <v>-9.4677940246458642E-9</v>
      </c>
      <c r="P32" s="939">
        <f t="shared" ca="1" si="129"/>
        <v>-0.3347565096394246</v>
      </c>
      <c r="Q32" s="921"/>
      <c r="R32" s="918">
        <f t="shared" ca="1" si="130"/>
        <v>-0.3347565096394246</v>
      </c>
      <c r="S32" s="918">
        <f t="shared" ca="1" si="130"/>
        <v>0</v>
      </c>
      <c r="T32" s="918">
        <f t="shared" ca="1" si="130"/>
        <v>0</v>
      </c>
      <c r="U32" s="918">
        <f t="shared" ca="1" si="130"/>
        <v>0</v>
      </c>
      <c r="V32" s="918">
        <f t="shared" ca="1" si="130"/>
        <v>0</v>
      </c>
      <c r="W32" s="918">
        <f t="shared" ca="1" si="130"/>
        <v>0</v>
      </c>
      <c r="X32" s="938">
        <f t="shared" ca="1" si="130"/>
        <v>0</v>
      </c>
      <c r="Y32" s="918">
        <f t="shared" ca="1" si="130"/>
        <v>-4.3295172583358807</v>
      </c>
      <c r="Z32" s="918">
        <f t="shared" ca="1" si="130"/>
        <v>-2.5629320301828579E-14</v>
      </c>
      <c r="AA32" s="918">
        <f t="shared" ca="1" si="130"/>
        <v>-2.6441440264408111E-15</v>
      </c>
      <c r="AB32" s="921"/>
      <c r="AC32" s="918">
        <f t="shared" ca="1" si="131"/>
        <v>0</v>
      </c>
      <c r="AD32" s="918">
        <f t="shared" ca="1" si="131"/>
        <v>0</v>
      </c>
      <c r="AE32" s="918">
        <f t="shared" ca="1" si="131"/>
        <v>0</v>
      </c>
      <c r="AF32" s="918">
        <f t="shared" ca="1" si="131"/>
        <v>0</v>
      </c>
      <c r="AG32" s="918">
        <f t="shared" ca="1" si="131"/>
        <v>0</v>
      </c>
      <c r="AH32" s="918">
        <f t="shared" ca="1" si="131"/>
        <v>0</v>
      </c>
      <c r="AI32" s="918">
        <f t="shared" ca="1" si="131"/>
        <v>0</v>
      </c>
      <c r="AJ32" s="918">
        <f t="shared" ca="1" si="131"/>
        <v>0</v>
      </c>
      <c r="AK32" s="938">
        <f t="shared" ca="1" si="131"/>
        <v>0</v>
      </c>
      <c r="AL32" s="918">
        <f t="shared" ca="1" si="131"/>
        <v>0</v>
      </c>
      <c r="AM32" s="918">
        <f t="shared" ca="1" si="131"/>
        <v>0</v>
      </c>
      <c r="AN32" s="918">
        <f t="shared" ca="1" si="131"/>
        <v>0</v>
      </c>
      <c r="AO32" s="921"/>
      <c r="AP32" s="1144">
        <f t="shared" ca="1" si="132"/>
        <v>-4.3295172583358807</v>
      </c>
      <c r="AQ32" s="1144">
        <f t="shared" ca="1" si="132"/>
        <v>-2.6441440264408111E-15</v>
      </c>
      <c r="AR32" s="1144">
        <f t="shared" ca="1" si="132"/>
        <v>-2.5629320301828579E-14</v>
      </c>
      <c r="AS32" s="1144">
        <f t="shared" ca="1" si="132"/>
        <v>0</v>
      </c>
      <c r="AT32" s="938">
        <f t="shared" ca="1" si="132"/>
        <v>0</v>
      </c>
      <c r="AU32" s="938">
        <f t="shared" ca="1" si="132"/>
        <v>0</v>
      </c>
      <c r="AV32" s="1144">
        <f t="shared" ca="1" si="132"/>
        <v>0</v>
      </c>
      <c r="AW32" s="1144">
        <f t="shared" ca="1" si="132"/>
        <v>0</v>
      </c>
      <c r="AX32" s="1144">
        <f t="shared" ca="1" si="132"/>
        <v>0</v>
      </c>
      <c r="AY32" s="1144">
        <f t="shared" ca="1" si="132"/>
        <v>-3.2951555645066229E-8</v>
      </c>
      <c r="AZ32" s="1144">
        <f t="shared" ca="1" si="132"/>
        <v>0</v>
      </c>
      <c r="BA32" s="1144">
        <f t="shared" ca="1" si="132"/>
        <v>-4.1683224573926756</v>
      </c>
      <c r="BB32" s="1144">
        <f t="shared" ca="1" si="132"/>
        <v>-0.16119475280134701</v>
      </c>
      <c r="BC32" s="1144">
        <f t="shared" ref="BB32:BC40" ca="1" si="149">VLOOKUP(BC$8,INDIRECT(LU_MAT),$B32,FALSE)*$D32/$C32</f>
        <v>-3.2132826187292925E-13</v>
      </c>
      <c r="BD32" s="921"/>
      <c r="BE32" s="918">
        <f t="shared" ca="1" si="133"/>
        <v>-4.3295172583358807</v>
      </c>
      <c r="BF32" s="918">
        <f t="shared" ca="1" si="133"/>
        <v>-2.6441440264408111E-15</v>
      </c>
      <c r="BG32" s="918">
        <f t="shared" ca="1" si="133"/>
        <v>-2.5629320301828579E-14</v>
      </c>
      <c r="BH32" s="918">
        <f t="shared" ca="1" si="133"/>
        <v>0</v>
      </c>
      <c r="BI32" s="938">
        <f t="shared" ca="1" si="133"/>
        <v>0</v>
      </c>
      <c r="BJ32" s="918">
        <f t="shared" ca="1" si="133"/>
        <v>0</v>
      </c>
      <c r="BK32" s="918">
        <f t="shared" ca="1" si="133"/>
        <v>0</v>
      </c>
      <c r="BL32" s="918">
        <f t="shared" ca="1" si="133"/>
        <v>0</v>
      </c>
      <c r="BM32" s="918">
        <f t="shared" ca="1" si="133"/>
        <v>-4.3295172201280554</v>
      </c>
      <c r="BN32" s="1144">
        <f t="shared" ca="1" si="133"/>
        <v>0</v>
      </c>
      <c r="BO32" s="918">
        <f t="shared" ca="1" si="133"/>
        <v>-3.2951555645066229E-8</v>
      </c>
      <c r="BP32" s="921"/>
      <c r="BQ32" s="918">
        <f t="shared" ca="1" si="134"/>
        <v>0</v>
      </c>
      <c r="BR32" s="918">
        <f t="shared" ca="1" si="134"/>
        <v>-4.3295172201280554</v>
      </c>
      <c r="BS32" s="1144">
        <f t="shared" ca="1" si="134"/>
        <v>0</v>
      </c>
      <c r="BT32" s="918">
        <f t="shared" ca="1" si="134"/>
        <v>-4.1683224573926756</v>
      </c>
      <c r="BU32" s="918">
        <f t="shared" ca="1" si="134"/>
        <v>-3.2132826187292925E-13</v>
      </c>
      <c r="BV32" s="918">
        <f t="shared" ca="1" si="134"/>
        <v>-0.16119475280134701</v>
      </c>
      <c r="BW32" s="1144">
        <f t="shared" ca="1" si="134"/>
        <v>0</v>
      </c>
      <c r="BX32" s="921"/>
      <c r="BY32" s="918">
        <f t="shared" ca="1" si="135"/>
        <v>-0.16119475280134701</v>
      </c>
      <c r="BZ32" s="918">
        <f t="shared" ca="1" si="135"/>
        <v>-3.2132826187292925E-13</v>
      </c>
      <c r="CA32" s="918">
        <f t="shared" ca="1" si="135"/>
        <v>0</v>
      </c>
      <c r="CB32" s="918">
        <f t="shared" ca="1" si="135"/>
        <v>-1.8036147809326771E-3</v>
      </c>
      <c r="CC32" s="918">
        <f t="shared" ca="1" si="135"/>
        <v>-8.16638492533383E-15</v>
      </c>
      <c r="CD32" s="918">
        <f t="shared" ca="1" si="135"/>
        <v>0</v>
      </c>
      <c r="CE32" s="918">
        <f t="shared" ca="1" si="135"/>
        <v>0</v>
      </c>
      <c r="CF32" s="918">
        <f t="shared" ca="1" si="135"/>
        <v>0</v>
      </c>
      <c r="CG32" s="921"/>
      <c r="CH32" s="918">
        <f t="shared" ca="1" si="136"/>
        <v>-3.2949464683647092E-13</v>
      </c>
      <c r="CI32" s="918">
        <f t="shared" ca="1" si="136"/>
        <v>-0.16299836730718337</v>
      </c>
      <c r="CJ32" s="918">
        <f t="shared" ca="1" si="136"/>
        <v>0</v>
      </c>
      <c r="CK32" s="918" t="e">
        <f t="shared" ca="1" si="136"/>
        <v>#N/A</v>
      </c>
      <c r="CL32" s="918" t="e">
        <f t="shared" ca="1" si="136"/>
        <v>#N/A</v>
      </c>
      <c r="CM32" s="921"/>
      <c r="CN32" s="918">
        <f t="shared" ca="1" si="137"/>
        <v>0</v>
      </c>
      <c r="CO32" s="918" t="e">
        <f t="shared" ca="1" si="137"/>
        <v>#N/A</v>
      </c>
      <c r="CP32" s="918">
        <f t="shared" ca="1" si="137"/>
        <v>0</v>
      </c>
      <c r="CQ32" s="918">
        <f t="shared" ca="1" si="137"/>
        <v>0</v>
      </c>
      <c r="CR32" s="918">
        <f t="shared" ca="1" si="137"/>
        <v>0</v>
      </c>
      <c r="CS32" s="1144">
        <f t="shared" ca="1" si="137"/>
        <v>0</v>
      </c>
      <c r="CT32" s="921"/>
      <c r="CU32" s="918">
        <f t="shared" ca="1" si="138"/>
        <v>-9.4677940246458642E-9</v>
      </c>
      <c r="CV32" s="918">
        <f t="shared" ca="1" si="138"/>
        <v>0</v>
      </c>
      <c r="CW32" s="918">
        <f t="shared" ca="1" si="138"/>
        <v>0</v>
      </c>
      <c r="CX32" s="918">
        <f t="shared" ca="1" si="138"/>
        <v>-4.1683224573926756</v>
      </c>
      <c r="CY32" s="918">
        <f t="shared" ca="1" si="138"/>
        <v>0</v>
      </c>
      <c r="CZ32" s="1144" t="e">
        <f t="shared" ca="1" si="138"/>
        <v>#N/A</v>
      </c>
      <c r="DA32" s="1144" t="e">
        <f t="shared" ca="1" si="138"/>
        <v>#N/A</v>
      </c>
      <c r="DB32" s="918">
        <f t="shared" ca="1" si="138"/>
        <v>0</v>
      </c>
      <c r="DC32" s="938">
        <f t="shared" ca="1" si="138"/>
        <v>0</v>
      </c>
      <c r="DD32" s="918">
        <f t="shared" ca="1" si="138"/>
        <v>-8.16638492533383E-15</v>
      </c>
      <c r="DE32" s="918">
        <f t="shared" ca="1" si="138"/>
        <v>-5.8170824833539826E-17</v>
      </c>
      <c r="DF32" s="918">
        <f t="shared" ca="1" si="138"/>
        <v>0</v>
      </c>
      <c r="DG32" s="918">
        <f t="shared" ca="1" si="138"/>
        <v>-2.2750699072830601E-3</v>
      </c>
      <c r="DH32" s="918">
        <f t="shared" ca="1" si="138"/>
        <v>-1.8036147809326771E-3</v>
      </c>
      <c r="DI32" s="921"/>
      <c r="DJ32" s="1144">
        <f t="shared" ca="1" si="139"/>
        <v>-1.2658746378201028E-2</v>
      </c>
      <c r="DK32" s="1144">
        <f t="shared" ca="1" si="139"/>
        <v>-0.37387285498246026</v>
      </c>
      <c r="DL32" s="1144">
        <f t="shared" ca="1" si="139"/>
        <v>0</v>
      </c>
      <c r="DM32" s="1144">
        <f t="shared" ca="1" si="139"/>
        <v>0</v>
      </c>
      <c r="DN32" s="1144" t="e">
        <f t="shared" ca="1" si="139"/>
        <v>#N/A</v>
      </c>
      <c r="DO32" s="1144">
        <f t="shared" ca="1" si="139"/>
        <v>-1.5461264039143321E-2</v>
      </c>
      <c r="DP32" s="1144" t="e">
        <f t="shared" ca="1" si="139"/>
        <v>#N/A</v>
      </c>
      <c r="DQ32" s="921"/>
      <c r="DR32" s="1144">
        <f t="shared" ca="1" si="140"/>
        <v>-3.5985836469223105</v>
      </c>
      <c r="DS32" s="1144">
        <f t="shared" ca="1" si="140"/>
        <v>0</v>
      </c>
      <c r="DT32" s="1144">
        <f t="shared" ca="1" si="140"/>
        <v>0</v>
      </c>
      <c r="DU32" s="1144" t="e">
        <f t="shared" ca="1" si="140"/>
        <v>#N/A</v>
      </c>
      <c r="DV32" s="920"/>
      <c r="DW32" s="921"/>
      <c r="DX32" s="918">
        <f t="shared" ca="1" si="141"/>
        <v>-3.5985836469223105</v>
      </c>
      <c r="DY32" s="918">
        <f t="shared" ca="1" si="141"/>
        <v>0</v>
      </c>
      <c r="DZ32" s="918">
        <f t="shared" ca="1" si="141"/>
        <v>0</v>
      </c>
      <c r="EA32" s="918" t="e">
        <f t="shared" ca="1" si="141"/>
        <v>#N/A</v>
      </c>
      <c r="EB32" s="920"/>
      <c r="EC32" s="921"/>
      <c r="ED32" s="1144">
        <f t="shared" ca="1" si="142"/>
        <v>-0.19458979771074555</v>
      </c>
      <c r="EE32" s="1144">
        <f t="shared" ca="1" si="142"/>
        <v>0</v>
      </c>
      <c r="EF32" s="1144" t="e">
        <f t="shared" ca="1" si="142"/>
        <v>#N/A</v>
      </c>
      <c r="EG32" s="1144" t="e">
        <f t="shared" ca="1" si="142"/>
        <v>#N/A</v>
      </c>
      <c r="EH32" s="920"/>
      <c r="EI32" s="921"/>
      <c r="EJ32" s="918">
        <f t="shared" ca="1" si="143"/>
        <v>0</v>
      </c>
      <c r="EK32" s="918">
        <f t="shared" ca="1" si="143"/>
        <v>0</v>
      </c>
      <c r="EL32" s="918">
        <f t="shared" ca="1" si="143"/>
        <v>0</v>
      </c>
      <c r="EM32" s="918">
        <f t="shared" ca="1" si="143"/>
        <v>0</v>
      </c>
      <c r="EN32" s="920"/>
      <c r="EO32" s="921"/>
      <c r="EP32" s="1144">
        <f t="shared" ca="1" si="144"/>
        <v>-2.2750699072830601E-3</v>
      </c>
      <c r="EQ32" s="1144">
        <f t="shared" ca="1" si="144"/>
        <v>-2.2750699072830601E-3</v>
      </c>
      <c r="ER32" s="1144">
        <f t="shared" ca="1" si="144"/>
        <v>0</v>
      </c>
      <c r="ES32" s="1144">
        <f t="shared" ca="1" si="144"/>
        <v>-1.3273433863330262E-15</v>
      </c>
      <c r="ET32" s="920"/>
      <c r="EU32" s="921"/>
      <c r="EV32" s="1144">
        <f t="shared" ca="1" si="145"/>
        <v>0</v>
      </c>
      <c r="EW32" s="1144">
        <f t="shared" ca="1" si="145"/>
        <v>0</v>
      </c>
      <c r="EX32" s="921"/>
      <c r="EY32" s="1144">
        <f t="shared" ca="1" si="145"/>
        <v>0</v>
      </c>
      <c r="EZ32" s="1144">
        <f t="shared" ca="1" si="145"/>
        <v>0</v>
      </c>
      <c r="FA32" s="1144" t="e">
        <f t="shared" ca="1" si="145"/>
        <v>#N/A</v>
      </c>
      <c r="FB32" s="921"/>
      <c r="FC32" s="918">
        <f t="shared" ca="1" si="146"/>
        <v>0</v>
      </c>
      <c r="FD32" s="918">
        <f t="shared" ca="1" si="146"/>
        <v>0</v>
      </c>
      <c r="FE32" s="918">
        <f t="shared" ca="1" si="146"/>
        <v>0</v>
      </c>
      <c r="FF32" s="918">
        <f t="shared" ca="1" si="146"/>
        <v>0</v>
      </c>
      <c r="FG32" s="918">
        <f t="shared" ca="1" si="146"/>
        <v>0</v>
      </c>
      <c r="FH32" s="918">
        <f t="shared" ca="1" si="146"/>
        <v>0</v>
      </c>
      <c r="FI32" s="918">
        <f t="shared" ca="1" si="146"/>
        <v>0</v>
      </c>
      <c r="FJ32" s="918">
        <f t="shared" ca="1" si="146"/>
        <v>0</v>
      </c>
      <c r="FK32" s="918">
        <f t="shared" ca="1" si="146"/>
        <v>0</v>
      </c>
      <c r="FL32" s="918">
        <f t="shared" ca="1" si="146"/>
        <v>0</v>
      </c>
      <c r="FM32" s="918" t="e">
        <f t="shared" ca="1" si="147"/>
        <v>#N/A</v>
      </c>
      <c r="FN32" s="1144">
        <f t="shared" ca="1" si="147"/>
        <v>0</v>
      </c>
      <c r="FO32" s="1144">
        <f t="shared" ca="1" si="147"/>
        <v>0</v>
      </c>
      <c r="FP32" s="918">
        <f t="shared" ca="1" si="147"/>
        <v>0</v>
      </c>
      <c r="FQ32" s="918">
        <f t="shared" ca="1" si="147"/>
        <v>0</v>
      </c>
      <c r="FR32" s="918">
        <f t="shared" ca="1" si="147"/>
        <v>0</v>
      </c>
      <c r="FS32" s="918">
        <f t="shared" ca="1" si="147"/>
        <v>0</v>
      </c>
      <c r="FT32" s="918">
        <f t="shared" ca="1" si="147"/>
        <v>0</v>
      </c>
      <c r="FU32" s="918" t="e">
        <f t="shared" ca="1" si="147"/>
        <v>#N/A</v>
      </c>
      <c r="FV32" s="1144" t="e">
        <f t="shared" ca="1" si="147"/>
        <v>#N/A</v>
      </c>
      <c r="FW32" s="918">
        <f t="shared" ca="1" si="147"/>
        <v>0</v>
      </c>
      <c r="FX32" s="918">
        <f t="shared" ca="1" si="147"/>
        <v>0</v>
      </c>
      <c r="FY32" s="918">
        <f t="shared" ca="1" si="147"/>
        <v>0</v>
      </c>
      <c r="FZ32" s="918">
        <f t="shared" ca="1" si="147"/>
        <v>0</v>
      </c>
      <c r="GA32" s="1144" t="e">
        <f t="shared" ca="1" si="147"/>
        <v>#N/A</v>
      </c>
      <c r="GB32" s="918">
        <f t="shared" ca="1" si="147"/>
        <v>0</v>
      </c>
      <c r="GC32" s="920"/>
      <c r="GD32" s="918">
        <f t="shared" ca="1" si="148"/>
        <v>0</v>
      </c>
      <c r="GE32" s="918">
        <f t="shared" ca="1" si="148"/>
        <v>0</v>
      </c>
      <c r="GF32" s="918">
        <f t="shared" ca="1" si="148"/>
        <v>0</v>
      </c>
      <c r="GG32" s="918">
        <f t="shared" ca="1" si="148"/>
        <v>0</v>
      </c>
      <c r="GH32" s="918" t="e">
        <f t="shared" ca="1" si="148"/>
        <v>#N/A</v>
      </c>
      <c r="GI32" s="1144" t="e">
        <f t="shared" ca="1" si="148"/>
        <v>#N/A</v>
      </c>
      <c r="GJ32" s="918">
        <f t="shared" ca="1" si="148"/>
        <v>-5.8170824833539826E-17</v>
      </c>
      <c r="GK32" s="918">
        <f t="shared" ca="1" si="148"/>
        <v>-2.2750699072830601E-3</v>
      </c>
      <c r="GL32" s="918">
        <f t="shared" ca="1" si="148"/>
        <v>0</v>
      </c>
      <c r="GM32" s="918">
        <f t="shared" ca="1" si="148"/>
        <v>0</v>
      </c>
      <c r="GN32" s="918">
        <f t="shared" ca="1" si="148"/>
        <v>0</v>
      </c>
      <c r="GO32" s="918" t="e">
        <f t="shared" ca="1" si="148"/>
        <v>#N/A</v>
      </c>
      <c r="GP32" s="980"/>
      <c r="GQ32" s="1143" t="s">
        <v>3086</v>
      </c>
      <c r="GR32" s="1183">
        <f ca="1">FY9</f>
        <v>284494.891</v>
      </c>
      <c r="GS32" s="946" t="s">
        <v>287</v>
      </c>
      <c r="GT32" s="1148" t="s">
        <v>3075</v>
      </c>
      <c r="GU32" s="1183">
        <f ca="1">GM9+GN9+GL9</f>
        <v>371758.88152</v>
      </c>
      <c r="GV32" s="1182" t="s">
        <v>287</v>
      </c>
      <c r="GW32" s="946"/>
      <c r="GX32" s="1143"/>
      <c r="GY32" s="946"/>
    </row>
    <row r="33" spans="1:207" s="914" customFormat="1" x14ac:dyDescent="0.3">
      <c r="A33" s="975" t="s">
        <v>1511</v>
      </c>
      <c r="B33" s="977">
        <v>11</v>
      </c>
      <c r="C33" s="973">
        <v>342.30009999999999</v>
      </c>
      <c r="D33" s="914">
        <v>-1.2822778035099998</v>
      </c>
      <c r="E33" s="972" t="s">
        <v>982</v>
      </c>
      <c r="F33" s="936">
        <f t="shared" ca="1" si="129"/>
        <v>0</v>
      </c>
      <c r="G33" s="918">
        <f t="shared" ca="1" si="129"/>
        <v>-5.5112296256288735E-7</v>
      </c>
      <c r="H33" s="918">
        <f t="shared" ca="1" si="129"/>
        <v>0</v>
      </c>
      <c r="I33" s="918">
        <f t="shared" ca="1" si="129"/>
        <v>0</v>
      </c>
      <c r="J33" s="918">
        <f t="shared" ca="1" si="129"/>
        <v>0</v>
      </c>
      <c r="K33" s="1144">
        <f t="shared" ca="1" si="129"/>
        <v>0</v>
      </c>
      <c r="L33" s="918">
        <f t="shared" ca="1" si="129"/>
        <v>0</v>
      </c>
      <c r="M33" s="918">
        <f t="shared" ca="1" si="129"/>
        <v>0</v>
      </c>
      <c r="N33" s="938">
        <f t="shared" ca="1" si="129"/>
        <v>0</v>
      </c>
      <c r="O33" s="918">
        <f t="shared" ca="1" si="129"/>
        <v>0</v>
      </c>
      <c r="P33" s="939">
        <f t="shared" ca="1" si="129"/>
        <v>-5.5112248681286252E-7</v>
      </c>
      <c r="Q33" s="921"/>
      <c r="R33" s="918">
        <f t="shared" ca="1" si="130"/>
        <v>-5.5112248681286252E-7</v>
      </c>
      <c r="S33" s="918">
        <f t="shared" ca="1" si="130"/>
        <v>0</v>
      </c>
      <c r="T33" s="918">
        <f t="shared" ca="1" si="130"/>
        <v>0</v>
      </c>
      <c r="U33" s="918">
        <f t="shared" ca="1" si="130"/>
        <v>0</v>
      </c>
      <c r="V33" s="918">
        <f t="shared" ca="1" si="130"/>
        <v>0</v>
      </c>
      <c r="W33" s="918">
        <f t="shared" ca="1" si="130"/>
        <v>0</v>
      </c>
      <c r="X33" s="938">
        <f t="shared" ca="1" si="130"/>
        <v>-2.1522305264760375E-10</v>
      </c>
      <c r="Y33" s="918">
        <f t="shared" ca="1" si="130"/>
        <v>-1.2402670909113842</v>
      </c>
      <c r="Z33" s="918">
        <f t="shared" ca="1" si="130"/>
        <v>-1.9509521989118533E-10</v>
      </c>
      <c r="AA33" s="918">
        <f t="shared" ca="1" si="130"/>
        <v>-2.0127723034227638E-11</v>
      </c>
      <c r="AB33" s="921"/>
      <c r="AC33" s="918">
        <f t="shared" ca="1" si="131"/>
        <v>0</v>
      </c>
      <c r="AD33" s="918">
        <f t="shared" ca="1" si="131"/>
        <v>0</v>
      </c>
      <c r="AE33" s="918">
        <f t="shared" ca="1" si="131"/>
        <v>0</v>
      </c>
      <c r="AF33" s="918">
        <f t="shared" ca="1" si="131"/>
        <v>0</v>
      </c>
      <c r="AG33" s="918">
        <f t="shared" ca="1" si="131"/>
        <v>0</v>
      </c>
      <c r="AH33" s="918">
        <f t="shared" ca="1" si="131"/>
        <v>0</v>
      </c>
      <c r="AI33" s="918">
        <f t="shared" ca="1" si="131"/>
        <v>0</v>
      </c>
      <c r="AJ33" s="918">
        <f t="shared" ca="1" si="131"/>
        <v>0</v>
      </c>
      <c r="AK33" s="938">
        <f t="shared" ca="1" si="131"/>
        <v>0</v>
      </c>
      <c r="AL33" s="918">
        <f t="shared" ca="1" si="131"/>
        <v>0</v>
      </c>
      <c r="AM33" s="918">
        <f t="shared" ca="1" si="131"/>
        <v>0</v>
      </c>
      <c r="AN33" s="918">
        <f t="shared" ca="1" si="131"/>
        <v>0</v>
      </c>
      <c r="AO33" s="921"/>
      <c r="AP33" s="1144">
        <f t="shared" ca="1" si="132"/>
        <v>-1.2402670909113842</v>
      </c>
      <c r="AQ33" s="1144">
        <f t="shared" ca="1" si="132"/>
        <v>-2.0127723034227638E-11</v>
      </c>
      <c r="AR33" s="1144">
        <f t="shared" ca="1" si="132"/>
        <v>-1.9509521989118533E-10</v>
      </c>
      <c r="AS33" s="1144">
        <f t="shared" ca="1" si="132"/>
        <v>0</v>
      </c>
      <c r="AT33" s="938">
        <f t="shared" ca="1" si="132"/>
        <v>0</v>
      </c>
      <c r="AU33" s="938">
        <f t="shared" ca="1" si="132"/>
        <v>0</v>
      </c>
      <c r="AV33" s="1144">
        <f t="shared" ca="1" si="132"/>
        <v>0</v>
      </c>
      <c r="AW33" s="1144">
        <f t="shared" ca="1" si="132"/>
        <v>-2.1522305264760375E-10</v>
      </c>
      <c r="AX33" s="1144">
        <f t="shared" ca="1" si="132"/>
        <v>0</v>
      </c>
      <c r="AY33" s="1144">
        <f t="shared" ca="1" si="132"/>
        <v>-5.5112296256288735E-7</v>
      </c>
      <c r="AZ33" s="1144">
        <f t="shared" ca="1" si="132"/>
        <v>0</v>
      </c>
      <c r="BA33" s="1144">
        <f t="shared" ca="1" si="132"/>
        <v>-1.1940894599109828</v>
      </c>
      <c r="BB33" s="1144">
        <f t="shared" ca="1" si="149"/>
        <v>-4.6177078456081273E-2</v>
      </c>
      <c r="BC33" s="1144">
        <f t="shared" ca="1" si="149"/>
        <v>-3.7564706121092146E-10</v>
      </c>
      <c r="BD33" s="921"/>
      <c r="BE33" s="918">
        <f t="shared" ca="1" si="133"/>
        <v>-1.2402670909113842</v>
      </c>
      <c r="BF33" s="918">
        <f t="shared" ca="1" si="133"/>
        <v>-2.0127723034227638E-11</v>
      </c>
      <c r="BG33" s="918">
        <f t="shared" ca="1" si="133"/>
        <v>-1.9509521989118533E-10</v>
      </c>
      <c r="BH33" s="918">
        <f t="shared" ca="1" si="133"/>
        <v>0</v>
      </c>
      <c r="BI33" s="938">
        <f t="shared" ca="1" si="133"/>
        <v>0</v>
      </c>
      <c r="BJ33" s="918">
        <f t="shared" ca="1" si="133"/>
        <v>0</v>
      </c>
      <c r="BK33" s="918">
        <f t="shared" ca="1" si="133"/>
        <v>-2.1522305264760375E-10</v>
      </c>
      <c r="BL33" s="918">
        <f t="shared" ca="1" si="133"/>
        <v>0</v>
      </c>
      <c r="BM33" s="918">
        <f t="shared" ca="1" si="133"/>
        <v>-1.2402665402400959</v>
      </c>
      <c r="BN33" s="1144">
        <f t="shared" ca="1" si="133"/>
        <v>0</v>
      </c>
      <c r="BO33" s="918">
        <f t="shared" ca="1" si="133"/>
        <v>-5.5112296256288735E-7</v>
      </c>
      <c r="BP33" s="921"/>
      <c r="BQ33" s="918">
        <f t="shared" ca="1" si="134"/>
        <v>0</v>
      </c>
      <c r="BR33" s="918">
        <f t="shared" ca="1" si="134"/>
        <v>-1.2402665402400959</v>
      </c>
      <c r="BS33" s="1144">
        <f t="shared" ca="1" si="134"/>
        <v>0</v>
      </c>
      <c r="BT33" s="918">
        <f t="shared" ca="1" si="134"/>
        <v>-1.1940894599109828</v>
      </c>
      <c r="BU33" s="918">
        <f t="shared" ca="1" si="134"/>
        <v>-3.7564706121092146E-10</v>
      </c>
      <c r="BV33" s="918">
        <f t="shared" ca="1" si="134"/>
        <v>-4.6177078456081273E-2</v>
      </c>
      <c r="BW33" s="1144">
        <f t="shared" ca="1" si="134"/>
        <v>0</v>
      </c>
      <c r="BX33" s="921"/>
      <c r="BY33" s="918">
        <f t="shared" ca="1" si="135"/>
        <v>-4.6177078456081273E-2</v>
      </c>
      <c r="BZ33" s="918">
        <f t="shared" ca="1" si="135"/>
        <v>-3.7564706121092146E-10</v>
      </c>
      <c r="CA33" s="918">
        <f t="shared" ca="1" si="135"/>
        <v>0</v>
      </c>
      <c r="CB33" s="918">
        <f t="shared" ca="1" si="135"/>
        <v>-5.1667725225147383E-4</v>
      </c>
      <c r="CC33" s="918">
        <f t="shared" ca="1" si="135"/>
        <v>-3.993072524908428E-11</v>
      </c>
      <c r="CD33" s="918">
        <f t="shared" ca="1" si="135"/>
        <v>0</v>
      </c>
      <c r="CE33" s="918">
        <f t="shared" ca="1" si="135"/>
        <v>0</v>
      </c>
      <c r="CF33" s="918">
        <f t="shared" ca="1" si="135"/>
        <v>0</v>
      </c>
      <c r="CG33" s="921"/>
      <c r="CH33" s="918">
        <f t="shared" ca="1" si="136"/>
        <v>-4.155777872092184E-10</v>
      </c>
      <c r="CI33" s="918">
        <f t="shared" ca="1" si="136"/>
        <v>-4.6693755719570934E-2</v>
      </c>
      <c r="CJ33" s="918">
        <f t="shared" ca="1" si="136"/>
        <v>0</v>
      </c>
      <c r="CK33" s="918" t="e">
        <f t="shared" ca="1" si="136"/>
        <v>#N/A</v>
      </c>
      <c r="CL33" s="918" t="e">
        <f t="shared" ca="1" si="136"/>
        <v>#N/A</v>
      </c>
      <c r="CM33" s="921"/>
      <c r="CN33" s="918">
        <f t="shared" ca="1" si="137"/>
        <v>0</v>
      </c>
      <c r="CO33" s="918" t="e">
        <f t="shared" ca="1" si="137"/>
        <v>#N/A</v>
      </c>
      <c r="CP33" s="918">
        <f t="shared" ca="1" si="137"/>
        <v>0</v>
      </c>
      <c r="CQ33" s="918">
        <f t="shared" ca="1" si="137"/>
        <v>0</v>
      </c>
      <c r="CR33" s="918">
        <f t="shared" ca="1" si="137"/>
        <v>0</v>
      </c>
      <c r="CS33" s="1144">
        <f t="shared" ca="1" si="137"/>
        <v>0</v>
      </c>
      <c r="CT33" s="921"/>
      <c r="CU33" s="918">
        <f t="shared" ca="1" si="138"/>
        <v>0</v>
      </c>
      <c r="CV33" s="918">
        <f t="shared" ca="1" si="138"/>
        <v>0</v>
      </c>
      <c r="CW33" s="918">
        <f t="shared" ca="1" si="138"/>
        <v>0</v>
      </c>
      <c r="CX33" s="918">
        <f t="shared" ca="1" si="138"/>
        <v>-1.1940894599109828</v>
      </c>
      <c r="CY33" s="918">
        <f t="shared" ca="1" si="138"/>
        <v>0</v>
      </c>
      <c r="CZ33" s="1144" t="e">
        <f t="shared" ca="1" si="138"/>
        <v>#N/A</v>
      </c>
      <c r="DA33" s="1144" t="e">
        <f t="shared" ca="1" si="138"/>
        <v>#N/A</v>
      </c>
      <c r="DB33" s="918">
        <f t="shared" ca="1" si="138"/>
        <v>0</v>
      </c>
      <c r="DC33" s="938">
        <f t="shared" ca="1" si="138"/>
        <v>0</v>
      </c>
      <c r="DD33" s="918">
        <f t="shared" ca="1" si="138"/>
        <v>-3.993072524908428E-11</v>
      </c>
      <c r="DE33" s="918">
        <f t="shared" ca="1" si="138"/>
        <v>-8.588812107405351E-13</v>
      </c>
      <c r="DF33" s="918">
        <f t="shared" ca="1" si="138"/>
        <v>0</v>
      </c>
      <c r="DG33" s="918">
        <f t="shared" ca="1" si="138"/>
        <v>-6.5173388477461256E-4</v>
      </c>
      <c r="DH33" s="918">
        <f t="shared" ca="1" si="138"/>
        <v>-5.1667725225147383E-4</v>
      </c>
      <c r="DI33" s="921"/>
      <c r="DJ33" s="1144">
        <f t="shared" ca="1" si="139"/>
        <v>-3.6263210788669144E-3</v>
      </c>
      <c r="DK33" s="1144">
        <f t="shared" ca="1" si="139"/>
        <v>-0.10710247098777556</v>
      </c>
      <c r="DL33" s="1144">
        <f t="shared" ca="1" si="139"/>
        <v>0</v>
      </c>
      <c r="DM33" s="1144">
        <f t="shared" ca="1" si="139"/>
        <v>0</v>
      </c>
      <c r="DN33" s="1144" t="e">
        <f t="shared" ca="1" si="139"/>
        <v>#N/A</v>
      </c>
      <c r="DO33" s="1144">
        <f t="shared" ca="1" si="139"/>
        <v>-4.4291516655836517E-3</v>
      </c>
      <c r="DP33" s="1144" t="e">
        <f t="shared" ca="1" si="139"/>
        <v>#N/A</v>
      </c>
      <c r="DQ33" s="921"/>
      <c r="DR33" s="1144">
        <f t="shared" ca="1" si="140"/>
        <v>-1.0308777311438007</v>
      </c>
      <c r="DS33" s="1144">
        <f t="shared" ca="1" si="140"/>
        <v>0</v>
      </c>
      <c r="DT33" s="1144">
        <f t="shared" ca="1" si="140"/>
        <v>0</v>
      </c>
      <c r="DU33" s="1144" t="e">
        <f t="shared" ca="1" si="140"/>
        <v>#N/A</v>
      </c>
      <c r="DV33" s="920"/>
      <c r="DW33" s="921"/>
      <c r="DX33" s="918">
        <f t="shared" ca="1" si="141"/>
        <v>-1.0308777311438007</v>
      </c>
      <c r="DY33" s="918">
        <f t="shared" ca="1" si="141"/>
        <v>0</v>
      </c>
      <c r="DZ33" s="918">
        <f t="shared" ca="1" si="141"/>
        <v>0</v>
      </c>
      <c r="EA33" s="918" t="e">
        <f t="shared" ca="1" si="141"/>
        <v>#N/A</v>
      </c>
      <c r="EB33" s="920"/>
      <c r="EC33" s="921"/>
      <c r="ED33" s="1144">
        <f t="shared" ca="1" si="142"/>
        <v>-5.5743678349170094E-2</v>
      </c>
      <c r="EE33" s="1144">
        <f t="shared" ca="1" si="142"/>
        <v>0</v>
      </c>
      <c r="EF33" s="1144" t="e">
        <f t="shared" ca="1" si="142"/>
        <v>#N/A</v>
      </c>
      <c r="EG33" s="1144" t="e">
        <f t="shared" ca="1" si="142"/>
        <v>#N/A</v>
      </c>
      <c r="EH33" s="920"/>
      <c r="EI33" s="921"/>
      <c r="EJ33" s="918">
        <f t="shared" ca="1" si="143"/>
        <v>0</v>
      </c>
      <c r="EK33" s="918">
        <f t="shared" ca="1" si="143"/>
        <v>0</v>
      </c>
      <c r="EL33" s="918">
        <f t="shared" ca="1" si="143"/>
        <v>0</v>
      </c>
      <c r="EM33" s="918">
        <f t="shared" ca="1" si="143"/>
        <v>0</v>
      </c>
      <c r="EN33" s="920"/>
      <c r="EO33" s="921"/>
      <c r="EP33" s="1144">
        <f t="shared" ca="1" si="144"/>
        <v>-6.5173388477461256E-4</v>
      </c>
      <c r="EQ33" s="1144">
        <f t="shared" ca="1" si="144"/>
        <v>-6.5173388477461256E-4</v>
      </c>
      <c r="ER33" s="1144">
        <f t="shared" ca="1" si="144"/>
        <v>0</v>
      </c>
      <c r="ES33" s="1144">
        <f t="shared" ca="1" si="144"/>
        <v>-1.4124351810086138E-13</v>
      </c>
      <c r="ET33" s="920"/>
      <c r="EU33" s="921"/>
      <c r="EV33" s="1144">
        <f t="shared" ca="1" si="145"/>
        <v>0</v>
      </c>
      <c r="EW33" s="1144">
        <f t="shared" ca="1" si="145"/>
        <v>0</v>
      </c>
      <c r="EX33" s="921"/>
      <c r="EY33" s="1144">
        <f t="shared" ca="1" si="145"/>
        <v>0</v>
      </c>
      <c r="EZ33" s="1144">
        <f t="shared" ca="1" si="145"/>
        <v>0</v>
      </c>
      <c r="FA33" s="1144" t="e">
        <f t="shared" ca="1" si="145"/>
        <v>#N/A</v>
      </c>
      <c r="FB33" s="921"/>
      <c r="FC33" s="918">
        <f t="shared" ca="1" si="146"/>
        <v>0</v>
      </c>
      <c r="FD33" s="918">
        <f t="shared" ca="1" si="146"/>
        <v>0</v>
      </c>
      <c r="FE33" s="918">
        <f t="shared" ca="1" si="146"/>
        <v>0</v>
      </c>
      <c r="FF33" s="918">
        <f t="shared" ca="1" si="146"/>
        <v>0</v>
      </c>
      <c r="FG33" s="918">
        <f t="shared" ca="1" si="146"/>
        <v>0</v>
      </c>
      <c r="FH33" s="918">
        <f t="shared" ca="1" si="146"/>
        <v>0</v>
      </c>
      <c r="FI33" s="918">
        <f t="shared" ca="1" si="146"/>
        <v>0</v>
      </c>
      <c r="FJ33" s="918">
        <f t="shared" ca="1" si="146"/>
        <v>0</v>
      </c>
      <c r="FK33" s="918">
        <f t="shared" ca="1" si="146"/>
        <v>0</v>
      </c>
      <c r="FL33" s="918">
        <f t="shared" ca="1" si="146"/>
        <v>0</v>
      </c>
      <c r="FM33" s="918" t="e">
        <f t="shared" ca="1" si="147"/>
        <v>#N/A</v>
      </c>
      <c r="FN33" s="1144">
        <f t="shared" ca="1" si="147"/>
        <v>0</v>
      </c>
      <c r="FO33" s="1144">
        <f t="shared" ca="1" si="147"/>
        <v>0</v>
      </c>
      <c r="FP33" s="918">
        <f t="shared" ca="1" si="147"/>
        <v>0</v>
      </c>
      <c r="FQ33" s="918">
        <f t="shared" ca="1" si="147"/>
        <v>0</v>
      </c>
      <c r="FR33" s="918">
        <f t="shared" ca="1" si="147"/>
        <v>0</v>
      </c>
      <c r="FS33" s="918">
        <f t="shared" ca="1" si="147"/>
        <v>0</v>
      </c>
      <c r="FT33" s="918">
        <f t="shared" ca="1" si="147"/>
        <v>0</v>
      </c>
      <c r="FU33" s="918" t="e">
        <f t="shared" ca="1" si="147"/>
        <v>#N/A</v>
      </c>
      <c r="FV33" s="1144" t="e">
        <f t="shared" ca="1" si="147"/>
        <v>#N/A</v>
      </c>
      <c r="FW33" s="918">
        <f t="shared" ca="1" si="147"/>
        <v>0</v>
      </c>
      <c r="FX33" s="918">
        <f t="shared" ca="1" si="147"/>
        <v>0</v>
      </c>
      <c r="FY33" s="918">
        <f t="shared" ca="1" si="147"/>
        <v>0</v>
      </c>
      <c r="FZ33" s="918">
        <f t="shared" ca="1" si="147"/>
        <v>0</v>
      </c>
      <c r="GA33" s="1144" t="e">
        <f t="shared" ca="1" si="147"/>
        <v>#N/A</v>
      </c>
      <c r="GB33" s="918">
        <f t="shared" ca="1" si="147"/>
        <v>0</v>
      </c>
      <c r="GC33" s="920"/>
      <c r="GD33" s="918">
        <f t="shared" ca="1" si="148"/>
        <v>0</v>
      </c>
      <c r="GE33" s="918">
        <f t="shared" ca="1" si="148"/>
        <v>0</v>
      </c>
      <c r="GF33" s="918">
        <f t="shared" ca="1" si="148"/>
        <v>0</v>
      </c>
      <c r="GG33" s="918">
        <f t="shared" ca="1" si="148"/>
        <v>0</v>
      </c>
      <c r="GH33" s="918" t="e">
        <f t="shared" ca="1" si="148"/>
        <v>#N/A</v>
      </c>
      <c r="GI33" s="1144" t="e">
        <f t="shared" ca="1" si="148"/>
        <v>#N/A</v>
      </c>
      <c r="GJ33" s="918">
        <f t="shared" ca="1" si="148"/>
        <v>-8.588812107405351E-13</v>
      </c>
      <c r="GK33" s="918">
        <f t="shared" ca="1" si="148"/>
        <v>-6.5173388477461256E-4</v>
      </c>
      <c r="GL33" s="918">
        <f t="shared" ca="1" si="148"/>
        <v>0</v>
      </c>
      <c r="GM33" s="918">
        <f t="shared" ca="1" si="148"/>
        <v>0</v>
      </c>
      <c r="GN33" s="918">
        <f t="shared" ca="1" si="148"/>
        <v>0</v>
      </c>
      <c r="GO33" s="918" t="e">
        <f t="shared" ca="1" si="148"/>
        <v>#N/A</v>
      </c>
      <c r="GP33" s="980"/>
      <c r="GR33" s="946"/>
      <c r="GS33" s="946"/>
      <c r="GU33" s="1181">
        <f ca="1">GM10+GN10+GL10</f>
        <v>1680.1562651412501</v>
      </c>
      <c r="GV33" s="1182" t="s">
        <v>3077</v>
      </c>
      <c r="GW33" s="946"/>
      <c r="GX33" s="1143"/>
      <c r="GY33" s="946"/>
    </row>
    <row r="34" spans="1:207" s="914" customFormat="1" x14ac:dyDescent="0.3">
      <c r="A34" s="975" t="s">
        <v>1512</v>
      </c>
      <c r="B34" s="977">
        <v>16</v>
      </c>
      <c r="C34" s="973">
        <v>132.11612</v>
      </c>
      <c r="D34" s="914">
        <v>-0.51886643737722915</v>
      </c>
      <c r="E34" s="972" t="s">
        <v>982</v>
      </c>
      <c r="F34" s="936">
        <f t="shared" ref="F34:P43" ca="1" si="150">VLOOKUP(F$8,INDIRECT(LU_MAT),$B34,FALSE)*$D34/$C34</f>
        <v>0</v>
      </c>
      <c r="G34" s="918">
        <f t="shared" ca="1" si="150"/>
        <v>-2.5923422528819613E-7</v>
      </c>
      <c r="H34" s="918">
        <f t="shared" ca="1" si="150"/>
        <v>0</v>
      </c>
      <c r="I34" s="918">
        <f t="shared" ca="1" si="150"/>
        <v>0</v>
      </c>
      <c r="J34" s="918">
        <f t="shared" ca="1" si="150"/>
        <v>0</v>
      </c>
      <c r="K34" s="1144">
        <f t="shared" ca="1" si="150"/>
        <v>0</v>
      </c>
      <c r="L34" s="918">
        <f t="shared" ca="1" si="150"/>
        <v>0</v>
      </c>
      <c r="M34" s="918">
        <f t="shared" ca="1" si="150"/>
        <v>0</v>
      </c>
      <c r="N34" s="938">
        <f t="shared" ca="1" si="150"/>
        <v>0</v>
      </c>
      <c r="O34" s="918">
        <f t="shared" ca="1" si="150"/>
        <v>-7.1256325451648095E-7</v>
      </c>
      <c r="P34" s="939">
        <f t="shared" ca="1" si="150"/>
        <v>-1.5338314659989218</v>
      </c>
      <c r="Q34" s="921"/>
      <c r="R34" s="918">
        <f t="shared" ref="R34:AA43" ca="1" si="151">VLOOKUP(R$8,INDIRECT(LU_MAT),$B34,FALSE)*$D34/$C34</f>
        <v>-1.5338314659989218</v>
      </c>
      <c r="S34" s="918">
        <f t="shared" ca="1" si="151"/>
        <v>0</v>
      </c>
      <c r="T34" s="918">
        <f t="shared" ca="1" si="151"/>
        <v>0</v>
      </c>
      <c r="U34" s="918">
        <f t="shared" ca="1" si="151"/>
        <v>0</v>
      </c>
      <c r="V34" s="918">
        <f t="shared" ca="1" si="151"/>
        <v>0</v>
      </c>
      <c r="W34" s="918">
        <f t="shared" ca="1" si="151"/>
        <v>0</v>
      </c>
      <c r="X34" s="938">
        <f t="shared" ca="1" si="151"/>
        <v>-1.8353305265879444E-12</v>
      </c>
      <c r="Y34" s="918">
        <f t="shared" ca="1" si="151"/>
        <v>-1.5338314659989218</v>
      </c>
      <c r="Z34" s="918">
        <f t="shared" ca="1" si="151"/>
        <v>-1.6636883210640293E-12</v>
      </c>
      <c r="AA34" s="918">
        <f t="shared" ca="1" si="151"/>
        <v>-1.7164058549143571E-13</v>
      </c>
      <c r="AB34" s="921"/>
      <c r="AC34" s="918">
        <f t="shared" ref="AC34:AN43" ca="1" si="152">VLOOKUP(AC$8,INDIRECT(LU_MAT),$B34,FALSE)*$D34/$C34</f>
        <v>0</v>
      </c>
      <c r="AD34" s="918">
        <f t="shared" ca="1" si="152"/>
        <v>0</v>
      </c>
      <c r="AE34" s="918">
        <f t="shared" ca="1" si="152"/>
        <v>0</v>
      </c>
      <c r="AF34" s="918">
        <f t="shared" ca="1" si="152"/>
        <v>0</v>
      </c>
      <c r="AG34" s="918">
        <f t="shared" ca="1" si="152"/>
        <v>0</v>
      </c>
      <c r="AH34" s="918">
        <f t="shared" ca="1" si="152"/>
        <v>0</v>
      </c>
      <c r="AI34" s="918">
        <f t="shared" ca="1" si="152"/>
        <v>0</v>
      </c>
      <c r="AJ34" s="918">
        <f t="shared" ca="1" si="152"/>
        <v>0</v>
      </c>
      <c r="AK34" s="938">
        <f t="shared" ca="1" si="152"/>
        <v>0</v>
      </c>
      <c r="AL34" s="918">
        <f t="shared" ca="1" si="152"/>
        <v>0</v>
      </c>
      <c r="AM34" s="918">
        <f t="shared" ca="1" si="152"/>
        <v>0</v>
      </c>
      <c r="AN34" s="918">
        <f t="shared" ca="1" si="152"/>
        <v>0</v>
      </c>
      <c r="AO34" s="921"/>
      <c r="AP34" s="1144">
        <f t="shared" ca="1" si="132"/>
        <v>-1.5338314659989218</v>
      </c>
      <c r="AQ34" s="1144">
        <f t="shared" ca="1" si="132"/>
        <v>-1.7164058549143571E-13</v>
      </c>
      <c r="AR34" s="1144">
        <f t="shared" ca="1" si="132"/>
        <v>-1.6636883210640293E-12</v>
      </c>
      <c r="AS34" s="1144">
        <f t="shared" ca="1" si="132"/>
        <v>0</v>
      </c>
      <c r="AT34" s="938">
        <f t="shared" ca="1" si="132"/>
        <v>0</v>
      </c>
      <c r="AU34" s="938">
        <f t="shared" ca="1" si="132"/>
        <v>0</v>
      </c>
      <c r="AV34" s="1144">
        <f t="shared" ca="1" si="132"/>
        <v>0</v>
      </c>
      <c r="AW34" s="1144">
        <f t="shared" ca="1" si="132"/>
        <v>-1.8353305265879444E-12</v>
      </c>
      <c r="AX34" s="1144">
        <f t="shared" ca="1" si="132"/>
        <v>0</v>
      </c>
      <c r="AY34" s="1144">
        <f t="shared" ca="1" si="132"/>
        <v>-2.5923422528819613E-7</v>
      </c>
      <c r="AZ34" s="1144">
        <f t="shared" ca="1" si="132"/>
        <v>0</v>
      </c>
      <c r="BA34" s="1144">
        <f t="shared" ca="1" si="132"/>
        <v>-1.476724248942247</v>
      </c>
      <c r="BB34" s="1144">
        <f t="shared" ca="1" si="149"/>
        <v>-5.7106954316861684E-2</v>
      </c>
      <c r="BC34" s="1144">
        <f t="shared" ca="1" si="149"/>
        <v>-1.198284345780876E-11</v>
      </c>
      <c r="BD34" s="921"/>
      <c r="BE34" s="918">
        <f t="shared" ref="BE34:BO43" ca="1" si="153">VLOOKUP(BE$8,INDIRECT(LU_MAT),$B34,FALSE)*$D34/$C34</f>
        <v>-1.5338314659989218</v>
      </c>
      <c r="BF34" s="918">
        <f t="shared" ca="1" si="153"/>
        <v>-1.7164058549143571E-13</v>
      </c>
      <c r="BG34" s="918">
        <f t="shared" ca="1" si="153"/>
        <v>-1.6636883210640293E-12</v>
      </c>
      <c r="BH34" s="918">
        <f t="shared" ca="1" si="153"/>
        <v>0</v>
      </c>
      <c r="BI34" s="938">
        <f t="shared" ca="1" si="153"/>
        <v>0</v>
      </c>
      <c r="BJ34" s="918">
        <f t="shared" ca="1" si="153"/>
        <v>0</v>
      </c>
      <c r="BK34" s="918">
        <f t="shared" ca="1" si="153"/>
        <v>-1.8353305265879444E-12</v>
      </c>
      <c r="BL34" s="918">
        <f t="shared" ca="1" si="153"/>
        <v>0</v>
      </c>
      <c r="BM34" s="918">
        <f t="shared" ca="1" si="153"/>
        <v>-1.5338312067937252</v>
      </c>
      <c r="BN34" s="1144">
        <f t="shared" ca="1" si="153"/>
        <v>0</v>
      </c>
      <c r="BO34" s="918">
        <f t="shared" ca="1" si="153"/>
        <v>-2.5923422528819613E-7</v>
      </c>
      <c r="BP34" s="921"/>
      <c r="BQ34" s="918">
        <f t="shared" ref="BQ34:BW43" ca="1" si="154">VLOOKUP(BQ$8,INDIRECT(LU_MAT),$B34,FALSE)*$D34/$C34</f>
        <v>0</v>
      </c>
      <c r="BR34" s="918">
        <f t="shared" ca="1" si="154"/>
        <v>-1.5338312067937252</v>
      </c>
      <c r="BS34" s="1144">
        <f t="shared" ca="1" si="154"/>
        <v>0</v>
      </c>
      <c r="BT34" s="918">
        <f t="shared" ca="1" si="154"/>
        <v>-1.476724248942247</v>
      </c>
      <c r="BU34" s="918">
        <f t="shared" ca="1" si="154"/>
        <v>-1.198284345780876E-11</v>
      </c>
      <c r="BV34" s="918">
        <f t="shared" ca="1" si="154"/>
        <v>-5.7106954316861684E-2</v>
      </c>
      <c r="BW34" s="1144">
        <f t="shared" ca="1" si="154"/>
        <v>0</v>
      </c>
      <c r="BX34" s="921"/>
      <c r="BY34" s="918">
        <f t="shared" ref="BY34:CF43" ca="1" si="155">VLOOKUP(BY$8,INDIRECT(LU_MAT),$B34,FALSE)*$D34/$C34</f>
        <v>-5.7106954316861684E-2</v>
      </c>
      <c r="BZ34" s="918">
        <f t="shared" ca="1" si="155"/>
        <v>-1.198284345780876E-11</v>
      </c>
      <c r="CA34" s="918">
        <f t="shared" ca="1" si="155"/>
        <v>0</v>
      </c>
      <c r="CB34" s="918">
        <f t="shared" ca="1" si="155"/>
        <v>-6.389723896063883E-4</v>
      </c>
      <c r="CC34" s="918">
        <f t="shared" ca="1" si="155"/>
        <v>-4.3714563289262647E-13</v>
      </c>
      <c r="CD34" s="918">
        <f t="shared" ca="1" si="155"/>
        <v>0</v>
      </c>
      <c r="CE34" s="918">
        <f t="shared" ca="1" si="155"/>
        <v>0</v>
      </c>
      <c r="CF34" s="918">
        <f t="shared" ca="1" si="155"/>
        <v>0</v>
      </c>
      <c r="CG34" s="921"/>
      <c r="CH34" s="918">
        <f t="shared" ref="CH34:CL43" ca="1" si="156">VLOOKUP(CH$8,INDIRECT(LU_MAT),$B34,FALSE)*$D34/$C34</f>
        <v>-1.2419989055355223E-11</v>
      </c>
      <c r="CI34" s="918">
        <f t="shared" ca="1" si="156"/>
        <v>-5.774592654544667E-2</v>
      </c>
      <c r="CJ34" s="918">
        <f t="shared" ca="1" si="156"/>
        <v>0</v>
      </c>
      <c r="CK34" s="918" t="e">
        <f t="shared" ca="1" si="156"/>
        <v>#N/A</v>
      </c>
      <c r="CL34" s="918" t="e">
        <f t="shared" ca="1" si="156"/>
        <v>#N/A</v>
      </c>
      <c r="CM34" s="921"/>
      <c r="CN34" s="918">
        <f t="shared" ref="CN34:CS43" ca="1" si="157">VLOOKUP(CN$8,INDIRECT(LU_MAT),$B34,FALSE)*$D34/$C34</f>
        <v>0</v>
      </c>
      <c r="CO34" s="918" t="e">
        <f t="shared" ca="1" si="157"/>
        <v>#N/A</v>
      </c>
      <c r="CP34" s="918">
        <f t="shared" ca="1" si="157"/>
        <v>0</v>
      </c>
      <c r="CQ34" s="918">
        <f t="shared" ca="1" si="157"/>
        <v>0</v>
      </c>
      <c r="CR34" s="918">
        <f t="shared" ca="1" si="157"/>
        <v>0</v>
      </c>
      <c r="CS34" s="1144">
        <f t="shared" ca="1" si="157"/>
        <v>0</v>
      </c>
      <c r="CT34" s="921"/>
      <c r="CU34" s="918">
        <f t="shared" ref="CU34:DL43" ca="1" si="158">VLOOKUP(CU$8,INDIRECT(LU_MAT),$B34,FALSE)*$D34/$C34</f>
        <v>-7.1256325451648095E-7</v>
      </c>
      <c r="CV34" s="918">
        <f t="shared" ca="1" si="158"/>
        <v>0</v>
      </c>
      <c r="CW34" s="918">
        <f t="shared" ca="1" si="158"/>
        <v>0</v>
      </c>
      <c r="CX34" s="918">
        <f t="shared" ca="1" si="158"/>
        <v>-1.476724248942247</v>
      </c>
      <c r="CY34" s="918">
        <f t="shared" ca="1" si="158"/>
        <v>0</v>
      </c>
      <c r="CZ34" s="1144" t="e">
        <f t="shared" ca="1" si="158"/>
        <v>#N/A</v>
      </c>
      <c r="DA34" s="1144" t="e">
        <f t="shared" ca="1" si="158"/>
        <v>#N/A</v>
      </c>
      <c r="DB34" s="918">
        <f t="shared" ca="1" si="158"/>
        <v>0</v>
      </c>
      <c r="DC34" s="938">
        <f t="shared" ca="1" si="158"/>
        <v>0</v>
      </c>
      <c r="DD34" s="918">
        <f t="shared" ca="1" si="158"/>
        <v>-4.3714563289262647E-13</v>
      </c>
      <c r="DE34" s="918">
        <f t="shared" ca="1" si="158"/>
        <v>-4.4351180677909462E-15</v>
      </c>
      <c r="DF34" s="918">
        <f t="shared" ca="1" si="158"/>
        <v>0</v>
      </c>
      <c r="DG34" s="918">
        <f t="shared" ca="1" si="158"/>
        <v>-8.0599630864990578E-4</v>
      </c>
      <c r="DH34" s="918">
        <f t="shared" ca="1" si="158"/>
        <v>-6.389723896063883E-4</v>
      </c>
      <c r="DI34" s="921"/>
      <c r="DJ34" s="1144">
        <f t="shared" ca="1" si="158"/>
        <v>-4.484654655104588E-3</v>
      </c>
      <c r="DK34" s="1144">
        <f t="shared" ca="1" si="158"/>
        <v>-0.13245313482558504</v>
      </c>
      <c r="DL34" s="1144">
        <f t="shared" ca="1" si="158"/>
        <v>0</v>
      </c>
      <c r="DM34" s="1144">
        <f t="shared" ca="1" si="139"/>
        <v>0</v>
      </c>
      <c r="DN34" s="1144" t="e">
        <f t="shared" ca="1" si="139"/>
        <v>#N/A</v>
      </c>
      <c r="DO34" s="1144">
        <f t="shared" ca="1" si="139"/>
        <v>-5.4775115698019418E-3</v>
      </c>
      <c r="DP34" s="1144" t="e">
        <f t="shared" ca="1" si="139"/>
        <v>#N/A</v>
      </c>
      <c r="DQ34" s="921"/>
      <c r="DR34" s="1144">
        <f t="shared" ca="1" si="140"/>
        <v>-1.2748817631858693</v>
      </c>
      <c r="DS34" s="1144">
        <f t="shared" ca="1" si="140"/>
        <v>0</v>
      </c>
      <c r="DT34" s="1144">
        <f t="shared" ca="1" si="140"/>
        <v>0</v>
      </c>
      <c r="DU34" s="1144" t="e">
        <f t="shared" ca="1" si="140"/>
        <v>#N/A</v>
      </c>
      <c r="DV34" s="920"/>
      <c r="DW34" s="921"/>
      <c r="DX34" s="918">
        <f t="shared" ca="1" si="141"/>
        <v>-1.2748817631858693</v>
      </c>
      <c r="DY34" s="918">
        <f t="shared" ca="1" si="141"/>
        <v>0</v>
      </c>
      <c r="DZ34" s="918">
        <f t="shared" ca="1" si="141"/>
        <v>0</v>
      </c>
      <c r="EA34" s="918" t="e">
        <f t="shared" ca="1" si="141"/>
        <v>#N/A</v>
      </c>
      <c r="EB34" s="920"/>
      <c r="EC34" s="921"/>
      <c r="ED34" s="1144">
        <f t="shared" ca="1" si="142"/>
        <v>-6.8937951364567013E-2</v>
      </c>
      <c r="EE34" s="1144">
        <f t="shared" ca="1" si="142"/>
        <v>0</v>
      </c>
      <c r="EF34" s="1144" t="e">
        <f t="shared" ca="1" si="142"/>
        <v>#N/A</v>
      </c>
      <c r="EG34" s="1144" t="e">
        <f t="shared" ca="1" si="142"/>
        <v>#N/A</v>
      </c>
      <c r="EH34" s="920"/>
      <c r="EI34" s="921"/>
      <c r="EJ34" s="918">
        <f t="shared" ca="1" si="143"/>
        <v>0</v>
      </c>
      <c r="EK34" s="918">
        <f t="shared" ca="1" si="143"/>
        <v>0</v>
      </c>
      <c r="EL34" s="918">
        <f t="shared" ca="1" si="143"/>
        <v>0</v>
      </c>
      <c r="EM34" s="918">
        <f t="shared" ca="1" si="143"/>
        <v>0</v>
      </c>
      <c r="EN34" s="920"/>
      <c r="EO34" s="921"/>
      <c r="EP34" s="1144">
        <f t="shared" ca="1" si="144"/>
        <v>-8.0599630864990578E-4</v>
      </c>
      <c r="EQ34" s="1144">
        <f t="shared" ca="1" si="144"/>
        <v>-8.0599630864990578E-4</v>
      </c>
      <c r="ER34" s="1144">
        <f t="shared" ca="1" si="144"/>
        <v>0</v>
      </c>
      <c r="ES34" s="1144">
        <f t="shared" ca="1" si="144"/>
        <v>-2.2596619735578153E-14</v>
      </c>
      <c r="ET34" s="920"/>
      <c r="EU34" s="921"/>
      <c r="EV34" s="1144">
        <f t="shared" ca="1" si="145"/>
        <v>0</v>
      </c>
      <c r="EW34" s="1144">
        <f t="shared" ca="1" si="145"/>
        <v>0</v>
      </c>
      <c r="EX34" s="921"/>
      <c r="EY34" s="1144">
        <f t="shared" ca="1" si="145"/>
        <v>0</v>
      </c>
      <c r="EZ34" s="1144">
        <f t="shared" ca="1" si="145"/>
        <v>0</v>
      </c>
      <c r="FA34" s="1144" t="e">
        <f t="shared" ca="1" si="145"/>
        <v>#N/A</v>
      </c>
      <c r="FB34" s="921"/>
      <c r="FC34" s="918">
        <f t="shared" ref="FC34:FL43" ca="1" si="159">VLOOKUP(FC$8,INDIRECT(LU_MAT),$B34,FALSE)*$D34/$C34</f>
        <v>0</v>
      </c>
      <c r="FD34" s="918">
        <f t="shared" ca="1" si="159"/>
        <v>0</v>
      </c>
      <c r="FE34" s="918">
        <f t="shared" ca="1" si="159"/>
        <v>0</v>
      </c>
      <c r="FF34" s="918">
        <f t="shared" ca="1" si="159"/>
        <v>0</v>
      </c>
      <c r="FG34" s="918">
        <f t="shared" ca="1" si="159"/>
        <v>0</v>
      </c>
      <c r="FH34" s="918">
        <f t="shared" ca="1" si="159"/>
        <v>0</v>
      </c>
      <c r="FI34" s="918">
        <f t="shared" ca="1" si="159"/>
        <v>0</v>
      </c>
      <c r="FJ34" s="918">
        <f t="shared" ca="1" si="159"/>
        <v>0</v>
      </c>
      <c r="FK34" s="918">
        <f t="shared" ca="1" si="159"/>
        <v>0</v>
      </c>
      <c r="FL34" s="918">
        <f t="shared" ca="1" si="159"/>
        <v>0</v>
      </c>
      <c r="FM34" s="918" t="e">
        <f t="shared" ref="FM34:GB43" ca="1" si="160">VLOOKUP(FM$8,INDIRECT(LU_MAT),$B34,FALSE)*$D34/$C34</f>
        <v>#N/A</v>
      </c>
      <c r="FN34" s="1144">
        <f t="shared" ca="1" si="160"/>
        <v>0</v>
      </c>
      <c r="FO34" s="1144">
        <f t="shared" ca="1" si="160"/>
        <v>0</v>
      </c>
      <c r="FP34" s="918">
        <f t="shared" ca="1" si="160"/>
        <v>0</v>
      </c>
      <c r="FQ34" s="918">
        <f t="shared" ca="1" si="160"/>
        <v>0</v>
      </c>
      <c r="FR34" s="918">
        <f t="shared" ca="1" si="160"/>
        <v>0</v>
      </c>
      <c r="FS34" s="918">
        <f t="shared" ca="1" si="160"/>
        <v>0</v>
      </c>
      <c r="FT34" s="918">
        <f t="shared" ca="1" si="160"/>
        <v>0</v>
      </c>
      <c r="FU34" s="918" t="e">
        <f t="shared" ca="1" si="160"/>
        <v>#N/A</v>
      </c>
      <c r="FV34" s="1144" t="e">
        <f t="shared" ca="1" si="160"/>
        <v>#N/A</v>
      </c>
      <c r="FW34" s="918">
        <f t="shared" ca="1" si="160"/>
        <v>0</v>
      </c>
      <c r="FX34" s="918">
        <f t="shared" ca="1" si="160"/>
        <v>0</v>
      </c>
      <c r="FY34" s="918">
        <f t="shared" ca="1" si="160"/>
        <v>0</v>
      </c>
      <c r="FZ34" s="918">
        <f t="shared" ca="1" si="160"/>
        <v>0</v>
      </c>
      <c r="GA34" s="1144" t="e">
        <f t="shared" ca="1" si="160"/>
        <v>#N/A</v>
      </c>
      <c r="GB34" s="918">
        <f t="shared" ca="1" si="160"/>
        <v>0</v>
      </c>
      <c r="GC34" s="920"/>
      <c r="GD34" s="918">
        <f t="shared" ref="GD34:GO43" ca="1" si="161">VLOOKUP(GD$8,INDIRECT(LU_MAT),$B34,FALSE)*$D34/$C34</f>
        <v>0</v>
      </c>
      <c r="GE34" s="918">
        <f t="shared" ca="1" si="161"/>
        <v>0</v>
      </c>
      <c r="GF34" s="918">
        <f t="shared" ca="1" si="161"/>
        <v>0</v>
      </c>
      <c r="GG34" s="918">
        <f t="shared" ca="1" si="161"/>
        <v>0</v>
      </c>
      <c r="GH34" s="918" t="e">
        <f t="shared" ca="1" si="161"/>
        <v>#N/A</v>
      </c>
      <c r="GI34" s="1144" t="e">
        <f t="shared" ca="1" si="161"/>
        <v>#N/A</v>
      </c>
      <c r="GJ34" s="918">
        <f t="shared" ca="1" si="161"/>
        <v>-4.4351180677909462E-15</v>
      </c>
      <c r="GK34" s="918">
        <f t="shared" ca="1" si="161"/>
        <v>-8.0599630864990578E-4</v>
      </c>
      <c r="GL34" s="918">
        <f t="shared" ca="1" si="161"/>
        <v>0</v>
      </c>
      <c r="GM34" s="918">
        <f t="shared" ca="1" si="161"/>
        <v>0</v>
      </c>
      <c r="GN34" s="918">
        <f t="shared" ca="1" si="161"/>
        <v>0</v>
      </c>
      <c r="GO34" s="918" t="e">
        <f t="shared" ca="1" si="161"/>
        <v>#N/A</v>
      </c>
      <c r="GQ34" s="1143" t="s">
        <v>3087</v>
      </c>
      <c r="GR34" s="1183">
        <f ca="1">FZ9</f>
        <v>894.45129599999996</v>
      </c>
      <c r="GS34" s="1182" t="s">
        <v>287</v>
      </c>
      <c r="GU34" s="1181">
        <f ca="1">GM17+GN17+GL17</f>
        <v>-11.531587978145662</v>
      </c>
      <c r="GV34" s="1182" t="s">
        <v>3079</v>
      </c>
      <c r="GW34" s="946"/>
      <c r="GX34" s="1143"/>
      <c r="GY34" s="946"/>
    </row>
    <row r="35" spans="1:207" s="914" customFormat="1" x14ac:dyDescent="0.3">
      <c r="A35" s="975" t="s">
        <v>1513</v>
      </c>
      <c r="B35" s="977">
        <v>15</v>
      </c>
      <c r="C35" s="973">
        <v>162.14239999999998</v>
      </c>
      <c r="D35" s="914">
        <v>-0.61951084092999997</v>
      </c>
      <c r="E35" s="972" t="s">
        <v>982</v>
      </c>
      <c r="F35" s="936">
        <f t="shared" ca="1" si="150"/>
        <v>0</v>
      </c>
      <c r="G35" s="918">
        <f t="shared" ca="1" si="150"/>
        <v>-3.4891420858811899E-10</v>
      </c>
      <c r="H35" s="918">
        <f t="shared" ca="1" si="150"/>
        <v>0</v>
      </c>
      <c r="I35" s="918">
        <f t="shared" ca="1" si="150"/>
        <v>0</v>
      </c>
      <c r="J35" s="918">
        <f t="shared" ca="1" si="150"/>
        <v>0</v>
      </c>
      <c r="K35" s="1144">
        <f t="shared" ca="1" si="150"/>
        <v>0</v>
      </c>
      <c r="L35" s="918">
        <f t="shared" ca="1" si="150"/>
        <v>0</v>
      </c>
      <c r="M35" s="918">
        <f t="shared" ca="1" si="150"/>
        <v>0</v>
      </c>
      <c r="N35" s="938">
        <f t="shared" ca="1" si="150"/>
        <v>0</v>
      </c>
      <c r="O35" s="918">
        <f t="shared" ca="1" si="150"/>
        <v>-1.2965879366404137E-9</v>
      </c>
      <c r="P35" s="939">
        <f t="shared" ca="1" si="150"/>
        <v>-4.5843968432857818E-2</v>
      </c>
      <c r="Q35" s="921"/>
      <c r="R35" s="918">
        <f t="shared" ca="1" si="151"/>
        <v>-4.5843968432857818E-2</v>
      </c>
      <c r="S35" s="918">
        <f t="shared" ca="1" si="151"/>
        <v>0</v>
      </c>
      <c r="T35" s="918">
        <f t="shared" ca="1" si="151"/>
        <v>0</v>
      </c>
      <c r="U35" s="918">
        <f t="shared" ca="1" si="151"/>
        <v>0</v>
      </c>
      <c r="V35" s="918">
        <f t="shared" ca="1" si="151"/>
        <v>0</v>
      </c>
      <c r="W35" s="918">
        <f t="shared" ca="1" si="151"/>
        <v>0</v>
      </c>
      <c r="X35" s="938">
        <f t="shared" ca="1" si="151"/>
        <v>0</v>
      </c>
      <c r="Y35" s="918">
        <f t="shared" ca="1" si="151"/>
        <v>-4.5843968432857818E-2</v>
      </c>
      <c r="Z35" s="918">
        <f t="shared" ca="1" si="151"/>
        <v>-2.7138123957578212E-16</v>
      </c>
      <c r="AA35" s="918">
        <f t="shared" ca="1" si="151"/>
        <v>-2.7998053600557239E-17</v>
      </c>
      <c r="AB35" s="921"/>
      <c r="AC35" s="918">
        <f t="shared" ca="1" si="152"/>
        <v>0</v>
      </c>
      <c r="AD35" s="918">
        <f t="shared" ca="1" si="152"/>
        <v>0</v>
      </c>
      <c r="AE35" s="918">
        <f t="shared" ca="1" si="152"/>
        <v>0</v>
      </c>
      <c r="AF35" s="918">
        <f t="shared" ca="1" si="152"/>
        <v>0</v>
      </c>
      <c r="AG35" s="918">
        <f t="shared" ca="1" si="152"/>
        <v>0</v>
      </c>
      <c r="AH35" s="918">
        <f t="shared" ca="1" si="152"/>
        <v>0</v>
      </c>
      <c r="AI35" s="918">
        <f t="shared" ca="1" si="152"/>
        <v>0</v>
      </c>
      <c r="AJ35" s="918">
        <f t="shared" ca="1" si="152"/>
        <v>0</v>
      </c>
      <c r="AK35" s="938">
        <f t="shared" ca="1" si="152"/>
        <v>0</v>
      </c>
      <c r="AL35" s="918">
        <f t="shared" ca="1" si="152"/>
        <v>0</v>
      </c>
      <c r="AM35" s="918">
        <f t="shared" ca="1" si="152"/>
        <v>0</v>
      </c>
      <c r="AN35" s="918">
        <f t="shared" ca="1" si="152"/>
        <v>0</v>
      </c>
      <c r="AO35" s="921"/>
      <c r="AP35" s="1144">
        <f t="shared" ca="1" si="132"/>
        <v>-4.5843968432857818E-2</v>
      </c>
      <c r="AQ35" s="1144">
        <f t="shared" ca="1" si="132"/>
        <v>-2.7998053600557239E-17</v>
      </c>
      <c r="AR35" s="1144">
        <f t="shared" ca="1" si="132"/>
        <v>-2.7138123957578212E-16</v>
      </c>
      <c r="AS35" s="1144">
        <f t="shared" ca="1" si="132"/>
        <v>0</v>
      </c>
      <c r="AT35" s="938">
        <f t="shared" ca="1" si="132"/>
        <v>0</v>
      </c>
      <c r="AU35" s="938">
        <f t="shared" ca="1" si="132"/>
        <v>0</v>
      </c>
      <c r="AV35" s="1144">
        <f t="shared" ca="1" si="132"/>
        <v>0</v>
      </c>
      <c r="AW35" s="1144">
        <f t="shared" ca="1" si="132"/>
        <v>0</v>
      </c>
      <c r="AX35" s="1144">
        <f t="shared" ca="1" si="132"/>
        <v>0</v>
      </c>
      <c r="AY35" s="1144">
        <f t="shared" ca="1" si="132"/>
        <v>-3.4891420858811899E-10</v>
      </c>
      <c r="AZ35" s="1144">
        <f t="shared" ca="1" si="132"/>
        <v>0</v>
      </c>
      <c r="BA35" s="1144">
        <f t="shared" ca="1" si="132"/>
        <v>-4.4137125177322066E-2</v>
      </c>
      <c r="BB35" s="1144">
        <f t="shared" ca="1" si="149"/>
        <v>-1.706843224969487E-3</v>
      </c>
      <c r="BC35" s="1144">
        <f t="shared" ca="1" si="149"/>
        <v>-3.4024492612151487E-15</v>
      </c>
      <c r="BD35" s="921"/>
      <c r="BE35" s="918">
        <f t="shared" ca="1" si="153"/>
        <v>-4.5843968432857818E-2</v>
      </c>
      <c r="BF35" s="918">
        <f t="shared" ca="1" si="153"/>
        <v>-2.7998053600557239E-17</v>
      </c>
      <c r="BG35" s="918">
        <f t="shared" ca="1" si="153"/>
        <v>-2.7138123957578212E-16</v>
      </c>
      <c r="BH35" s="918">
        <f t="shared" ca="1" si="153"/>
        <v>0</v>
      </c>
      <c r="BI35" s="938">
        <f t="shared" ca="1" si="153"/>
        <v>0</v>
      </c>
      <c r="BJ35" s="918">
        <f t="shared" ca="1" si="153"/>
        <v>0</v>
      </c>
      <c r="BK35" s="918">
        <f t="shared" ca="1" si="153"/>
        <v>0</v>
      </c>
      <c r="BL35" s="918">
        <f t="shared" ca="1" si="153"/>
        <v>0</v>
      </c>
      <c r="BM35" s="918">
        <f t="shared" ca="1" si="153"/>
        <v>-4.5843968432857818E-2</v>
      </c>
      <c r="BN35" s="1144">
        <f t="shared" ca="1" si="153"/>
        <v>0</v>
      </c>
      <c r="BO35" s="918">
        <f t="shared" ca="1" si="153"/>
        <v>-3.4891420858811899E-10</v>
      </c>
      <c r="BP35" s="921"/>
      <c r="BQ35" s="918">
        <f t="shared" ca="1" si="154"/>
        <v>0</v>
      </c>
      <c r="BR35" s="918">
        <f t="shared" ca="1" si="154"/>
        <v>-4.5843968432857818E-2</v>
      </c>
      <c r="BS35" s="1144">
        <f t="shared" ca="1" si="154"/>
        <v>0</v>
      </c>
      <c r="BT35" s="918">
        <f t="shared" ca="1" si="154"/>
        <v>-4.4137125177322066E-2</v>
      </c>
      <c r="BU35" s="918">
        <f t="shared" ca="1" si="154"/>
        <v>-3.4024492612151487E-15</v>
      </c>
      <c r="BV35" s="918">
        <f t="shared" ca="1" si="154"/>
        <v>-1.706843224969487E-3</v>
      </c>
      <c r="BW35" s="1144">
        <f t="shared" ca="1" si="154"/>
        <v>0</v>
      </c>
      <c r="BX35" s="921"/>
      <c r="BY35" s="918">
        <f t="shared" ca="1" si="155"/>
        <v>-1.706843224969487E-3</v>
      </c>
      <c r="BZ35" s="918">
        <f t="shared" ca="1" si="155"/>
        <v>-3.4024492612151487E-15</v>
      </c>
      <c r="CA35" s="918">
        <f t="shared" ca="1" si="155"/>
        <v>0</v>
      </c>
      <c r="CB35" s="918">
        <f t="shared" ca="1" si="155"/>
        <v>-1.9097940279871126E-5</v>
      </c>
      <c r="CC35" s="918">
        <f t="shared" ca="1" si="155"/>
        <v>-8.6471419873372374E-17</v>
      </c>
      <c r="CD35" s="918">
        <f t="shared" ca="1" si="155"/>
        <v>0</v>
      </c>
      <c r="CE35" s="918">
        <f t="shared" ca="1" si="155"/>
        <v>0</v>
      </c>
      <c r="CF35" s="918">
        <f t="shared" ca="1" si="155"/>
        <v>0</v>
      </c>
      <c r="CG35" s="921"/>
      <c r="CH35" s="918">
        <f t="shared" ca="1" si="156"/>
        <v>-3.4889206829989121E-15</v>
      </c>
      <c r="CI35" s="918">
        <f t="shared" ca="1" si="156"/>
        <v>-1.7259411654786051E-3</v>
      </c>
      <c r="CJ35" s="918">
        <f t="shared" ca="1" si="156"/>
        <v>0</v>
      </c>
      <c r="CK35" s="918" t="e">
        <f t="shared" ca="1" si="156"/>
        <v>#N/A</v>
      </c>
      <c r="CL35" s="918" t="e">
        <f t="shared" ca="1" si="156"/>
        <v>#N/A</v>
      </c>
      <c r="CM35" s="921"/>
      <c r="CN35" s="918">
        <f t="shared" ca="1" si="157"/>
        <v>0</v>
      </c>
      <c r="CO35" s="918" t="e">
        <f t="shared" ca="1" si="157"/>
        <v>#N/A</v>
      </c>
      <c r="CP35" s="918">
        <f t="shared" ca="1" si="157"/>
        <v>0</v>
      </c>
      <c r="CQ35" s="918">
        <f t="shared" ca="1" si="157"/>
        <v>0</v>
      </c>
      <c r="CR35" s="918">
        <f t="shared" ca="1" si="157"/>
        <v>0</v>
      </c>
      <c r="CS35" s="1144">
        <f t="shared" ca="1" si="157"/>
        <v>0</v>
      </c>
      <c r="CT35" s="921"/>
      <c r="CU35" s="918">
        <f t="shared" ca="1" si="158"/>
        <v>-1.2965879366404137E-9</v>
      </c>
      <c r="CV35" s="918">
        <f t="shared" ca="1" si="158"/>
        <v>0</v>
      </c>
      <c r="CW35" s="918">
        <f t="shared" ca="1" si="158"/>
        <v>0</v>
      </c>
      <c r="CX35" s="918">
        <f t="shared" ca="1" si="158"/>
        <v>-4.4137125177322066E-2</v>
      </c>
      <c r="CY35" s="918">
        <f t="shared" ca="1" si="158"/>
        <v>0</v>
      </c>
      <c r="CZ35" s="1144" t="e">
        <f t="shared" ca="1" si="158"/>
        <v>#N/A</v>
      </c>
      <c r="DA35" s="1144" t="e">
        <f t="shared" ca="1" si="158"/>
        <v>#N/A</v>
      </c>
      <c r="DB35" s="918">
        <f t="shared" ca="1" si="158"/>
        <v>0</v>
      </c>
      <c r="DC35" s="938">
        <f t="shared" ca="1" si="158"/>
        <v>0</v>
      </c>
      <c r="DD35" s="918">
        <f t="shared" ca="1" si="158"/>
        <v>-8.6471419873372374E-17</v>
      </c>
      <c r="DE35" s="918">
        <f t="shared" ca="1" si="158"/>
        <v>-6.1595355489441587E-19</v>
      </c>
      <c r="DF35" s="918">
        <f t="shared" ca="1" si="158"/>
        <v>0</v>
      </c>
      <c r="DG35" s="918">
        <f t="shared" ca="1" si="158"/>
        <v>-2.4090038302456369E-5</v>
      </c>
      <c r="DH35" s="918">
        <f t="shared" ca="1" si="158"/>
        <v>-1.9097940279871126E-5</v>
      </c>
      <c r="DI35" s="921"/>
      <c r="DJ35" s="1144">
        <f t="shared" ca="1" si="139"/>
        <v>-1.340396986509443E-4</v>
      </c>
      <c r="DK35" s="1144">
        <f t="shared" ca="1" si="139"/>
        <v>-3.9588284191910102E-3</v>
      </c>
      <c r="DL35" s="1144">
        <f t="shared" ca="1" si="139"/>
        <v>0</v>
      </c>
      <c r="DM35" s="1144">
        <f t="shared" ca="1" si="139"/>
        <v>0</v>
      </c>
      <c r="DN35" s="1144" t="e">
        <f t="shared" ca="1" si="139"/>
        <v>#N/A</v>
      </c>
      <c r="DO35" s="1144">
        <f t="shared" ca="1" si="139"/>
        <v>-1.6371472466782878E-4</v>
      </c>
      <c r="DP35" s="1144" t="e">
        <f t="shared" ca="1" si="139"/>
        <v>#N/A</v>
      </c>
      <c r="DQ35" s="921"/>
      <c r="DR35" s="1144">
        <f t="shared" ca="1" si="140"/>
        <v>-3.8104331478517522E-2</v>
      </c>
      <c r="DS35" s="1144">
        <f t="shared" ca="1" si="140"/>
        <v>0</v>
      </c>
      <c r="DT35" s="1144">
        <f t="shared" ca="1" si="140"/>
        <v>0</v>
      </c>
      <c r="DU35" s="1144" t="e">
        <f t="shared" ca="1" si="140"/>
        <v>#N/A</v>
      </c>
      <c r="DV35" s="920"/>
      <c r="DW35" s="921"/>
      <c r="DX35" s="918">
        <f t="shared" ca="1" si="141"/>
        <v>-3.8104331478517522E-2</v>
      </c>
      <c r="DY35" s="918">
        <f t="shared" ca="1" si="141"/>
        <v>0</v>
      </c>
      <c r="DZ35" s="918">
        <f t="shared" ca="1" si="141"/>
        <v>0</v>
      </c>
      <c r="EA35" s="918" t="e">
        <f t="shared" ca="1" si="141"/>
        <v>#N/A</v>
      </c>
      <c r="EB35" s="920"/>
      <c r="EC35" s="921"/>
      <c r="ED35" s="1144">
        <f t="shared" ca="1" si="142"/>
        <v>-2.0604534682776084E-3</v>
      </c>
      <c r="EE35" s="1144">
        <f t="shared" ca="1" si="142"/>
        <v>0</v>
      </c>
      <c r="EF35" s="1144" t="e">
        <f t="shared" ca="1" si="142"/>
        <v>#N/A</v>
      </c>
      <c r="EG35" s="1144" t="e">
        <f t="shared" ca="1" si="142"/>
        <v>#N/A</v>
      </c>
      <c r="EH35" s="920"/>
      <c r="EI35" s="921"/>
      <c r="EJ35" s="918">
        <f t="shared" ca="1" si="143"/>
        <v>0</v>
      </c>
      <c r="EK35" s="918">
        <f t="shared" ca="1" si="143"/>
        <v>0</v>
      </c>
      <c r="EL35" s="918">
        <f t="shared" ca="1" si="143"/>
        <v>0</v>
      </c>
      <c r="EM35" s="918">
        <f t="shared" ca="1" si="143"/>
        <v>0</v>
      </c>
      <c r="EN35" s="920"/>
      <c r="EO35" s="921"/>
      <c r="EP35" s="1144">
        <f t="shared" ca="1" si="144"/>
        <v>-2.4090038302456369E-5</v>
      </c>
      <c r="EQ35" s="1144">
        <f t="shared" ca="1" si="144"/>
        <v>-2.4090038302456369E-5</v>
      </c>
      <c r="ER35" s="1144">
        <f t="shared" ca="1" si="144"/>
        <v>0</v>
      </c>
      <c r="ES35" s="1144">
        <f t="shared" ca="1" si="144"/>
        <v>-1.4054844172115968E-17</v>
      </c>
      <c r="ET35" s="920"/>
      <c r="EU35" s="921"/>
      <c r="EV35" s="1144">
        <f t="shared" ca="1" si="145"/>
        <v>0</v>
      </c>
      <c r="EW35" s="1144">
        <f t="shared" ca="1" si="145"/>
        <v>0</v>
      </c>
      <c r="EX35" s="921"/>
      <c r="EY35" s="1144">
        <f t="shared" ca="1" si="145"/>
        <v>0</v>
      </c>
      <c r="EZ35" s="1144">
        <f t="shared" ca="1" si="145"/>
        <v>0</v>
      </c>
      <c r="FA35" s="1144" t="e">
        <f t="shared" ca="1" si="145"/>
        <v>#N/A</v>
      </c>
      <c r="FB35" s="921"/>
      <c r="FC35" s="918">
        <f t="shared" ca="1" si="159"/>
        <v>0</v>
      </c>
      <c r="FD35" s="918">
        <f t="shared" ca="1" si="159"/>
        <v>0</v>
      </c>
      <c r="FE35" s="918">
        <f t="shared" ca="1" si="159"/>
        <v>0</v>
      </c>
      <c r="FF35" s="918">
        <f t="shared" ca="1" si="159"/>
        <v>0</v>
      </c>
      <c r="FG35" s="918">
        <f t="shared" ca="1" si="159"/>
        <v>0</v>
      </c>
      <c r="FH35" s="918">
        <f t="shared" ca="1" si="159"/>
        <v>0</v>
      </c>
      <c r="FI35" s="918">
        <f t="shared" ca="1" si="159"/>
        <v>0</v>
      </c>
      <c r="FJ35" s="918">
        <f t="shared" ca="1" si="159"/>
        <v>0</v>
      </c>
      <c r="FK35" s="918">
        <f t="shared" ca="1" si="159"/>
        <v>0</v>
      </c>
      <c r="FL35" s="918">
        <f t="shared" ca="1" si="159"/>
        <v>0</v>
      </c>
      <c r="FM35" s="918" t="e">
        <f t="shared" ca="1" si="160"/>
        <v>#N/A</v>
      </c>
      <c r="FN35" s="1144">
        <f t="shared" ca="1" si="160"/>
        <v>0</v>
      </c>
      <c r="FO35" s="1144">
        <f t="shared" ca="1" si="160"/>
        <v>0</v>
      </c>
      <c r="FP35" s="918">
        <f t="shared" ca="1" si="160"/>
        <v>0</v>
      </c>
      <c r="FQ35" s="918">
        <f t="shared" ca="1" si="160"/>
        <v>0</v>
      </c>
      <c r="FR35" s="918">
        <f t="shared" ca="1" si="160"/>
        <v>0</v>
      </c>
      <c r="FS35" s="918">
        <f t="shared" ca="1" si="160"/>
        <v>0</v>
      </c>
      <c r="FT35" s="918">
        <f t="shared" ca="1" si="160"/>
        <v>0</v>
      </c>
      <c r="FU35" s="918" t="e">
        <f t="shared" ca="1" si="160"/>
        <v>#N/A</v>
      </c>
      <c r="FV35" s="1144" t="e">
        <f t="shared" ca="1" si="160"/>
        <v>#N/A</v>
      </c>
      <c r="FW35" s="918">
        <f t="shared" ca="1" si="160"/>
        <v>0</v>
      </c>
      <c r="FX35" s="918">
        <f t="shared" ca="1" si="160"/>
        <v>0</v>
      </c>
      <c r="FY35" s="918">
        <f t="shared" ca="1" si="160"/>
        <v>0</v>
      </c>
      <c r="FZ35" s="918">
        <f t="shared" ca="1" si="160"/>
        <v>0</v>
      </c>
      <c r="GA35" s="1144" t="e">
        <f t="shared" ca="1" si="160"/>
        <v>#N/A</v>
      </c>
      <c r="GB35" s="918">
        <f t="shared" ca="1" si="160"/>
        <v>0</v>
      </c>
      <c r="GC35" s="920"/>
      <c r="GD35" s="918">
        <f t="shared" ca="1" si="161"/>
        <v>0</v>
      </c>
      <c r="GE35" s="918">
        <f t="shared" ca="1" si="161"/>
        <v>0</v>
      </c>
      <c r="GF35" s="918">
        <f t="shared" ca="1" si="161"/>
        <v>0</v>
      </c>
      <c r="GG35" s="918">
        <f t="shared" ca="1" si="161"/>
        <v>0</v>
      </c>
      <c r="GH35" s="918" t="e">
        <f t="shared" ca="1" si="161"/>
        <v>#N/A</v>
      </c>
      <c r="GI35" s="1144" t="e">
        <f t="shared" ca="1" si="161"/>
        <v>#N/A</v>
      </c>
      <c r="GJ35" s="918">
        <f t="shared" ca="1" si="161"/>
        <v>-6.1595355489441587E-19</v>
      </c>
      <c r="GK35" s="918">
        <f t="shared" ca="1" si="161"/>
        <v>-2.4090038302456369E-5</v>
      </c>
      <c r="GL35" s="918">
        <f t="shared" ca="1" si="161"/>
        <v>0</v>
      </c>
      <c r="GM35" s="918">
        <f t="shared" ca="1" si="161"/>
        <v>0</v>
      </c>
      <c r="GN35" s="918">
        <f t="shared" ca="1" si="161"/>
        <v>0</v>
      </c>
      <c r="GO35" s="918" t="e">
        <f t="shared" ca="1" si="161"/>
        <v>#N/A</v>
      </c>
      <c r="GP35" s="915"/>
      <c r="GR35" s="1181">
        <f ca="1">FZ10</f>
        <v>0</v>
      </c>
      <c r="GS35" s="1182" t="s">
        <v>3077</v>
      </c>
      <c r="GU35" s="946"/>
      <c r="GV35" s="946"/>
      <c r="GW35" s="946"/>
      <c r="GX35" s="1143"/>
      <c r="GY35" s="946"/>
    </row>
    <row r="36" spans="1:207" s="914" customFormat="1" x14ac:dyDescent="0.3">
      <c r="A36" s="975" t="s">
        <v>1514</v>
      </c>
      <c r="B36" s="977">
        <v>14</v>
      </c>
      <c r="C36" s="973">
        <v>162.14239999999998</v>
      </c>
      <c r="D36" s="914">
        <v>-0.61951084092999997</v>
      </c>
      <c r="E36" s="972" t="s">
        <v>982</v>
      </c>
      <c r="F36" s="936">
        <f t="shared" ca="1" si="150"/>
        <v>0</v>
      </c>
      <c r="G36" s="918">
        <f t="shared" ca="1" si="150"/>
        <v>-8.3157886387173128E-10</v>
      </c>
      <c r="H36" s="918">
        <f t="shared" ca="1" si="150"/>
        <v>0</v>
      </c>
      <c r="I36" s="918">
        <f t="shared" ca="1" si="150"/>
        <v>0</v>
      </c>
      <c r="J36" s="918">
        <f t="shared" ca="1" si="150"/>
        <v>0</v>
      </c>
      <c r="K36" s="1144">
        <f t="shared" ca="1" si="150"/>
        <v>0</v>
      </c>
      <c r="L36" s="918">
        <f t="shared" ca="1" si="150"/>
        <v>0</v>
      </c>
      <c r="M36" s="918">
        <f t="shared" ca="1" si="150"/>
        <v>0</v>
      </c>
      <c r="N36" s="938">
        <f t="shared" ca="1" si="150"/>
        <v>0</v>
      </c>
      <c r="O36" s="918">
        <f t="shared" ca="1" si="150"/>
        <v>-3.0902012501392202E-9</v>
      </c>
      <c r="P36" s="939">
        <f t="shared" ca="1" si="150"/>
        <v>-0.10926145852496517</v>
      </c>
      <c r="Q36" s="921"/>
      <c r="R36" s="918">
        <f t="shared" ca="1" si="151"/>
        <v>-0.10926145852496517</v>
      </c>
      <c r="S36" s="918">
        <f t="shared" ca="1" si="151"/>
        <v>0</v>
      </c>
      <c r="T36" s="918">
        <f t="shared" ca="1" si="151"/>
        <v>0</v>
      </c>
      <c r="U36" s="918">
        <f t="shared" ca="1" si="151"/>
        <v>0</v>
      </c>
      <c r="V36" s="918">
        <f t="shared" ca="1" si="151"/>
        <v>0</v>
      </c>
      <c r="W36" s="918">
        <f t="shared" ca="1" si="151"/>
        <v>0</v>
      </c>
      <c r="X36" s="938">
        <f t="shared" ca="1" si="151"/>
        <v>0</v>
      </c>
      <c r="Y36" s="918">
        <f t="shared" ca="1" si="151"/>
        <v>-0.10926145852496517</v>
      </c>
      <c r="Z36" s="918">
        <f t="shared" ca="1" si="151"/>
        <v>-6.4679195377463529E-16</v>
      </c>
      <c r="AA36" s="918">
        <f t="shared" ca="1" si="151"/>
        <v>-6.6728694429307751E-17</v>
      </c>
      <c r="AB36" s="921"/>
      <c r="AC36" s="918">
        <f t="shared" ca="1" si="152"/>
        <v>0</v>
      </c>
      <c r="AD36" s="918">
        <f t="shared" ca="1" si="152"/>
        <v>0</v>
      </c>
      <c r="AE36" s="918">
        <f t="shared" ca="1" si="152"/>
        <v>0</v>
      </c>
      <c r="AF36" s="918">
        <f t="shared" ca="1" si="152"/>
        <v>0</v>
      </c>
      <c r="AG36" s="918">
        <f t="shared" ca="1" si="152"/>
        <v>0</v>
      </c>
      <c r="AH36" s="918">
        <f t="shared" ca="1" si="152"/>
        <v>0</v>
      </c>
      <c r="AI36" s="918">
        <f t="shared" ca="1" si="152"/>
        <v>0</v>
      </c>
      <c r="AJ36" s="918">
        <f t="shared" ca="1" si="152"/>
        <v>0</v>
      </c>
      <c r="AK36" s="938">
        <f t="shared" ca="1" si="152"/>
        <v>0</v>
      </c>
      <c r="AL36" s="918">
        <f t="shared" ca="1" si="152"/>
        <v>0</v>
      </c>
      <c r="AM36" s="918">
        <f t="shared" ca="1" si="152"/>
        <v>0</v>
      </c>
      <c r="AN36" s="918">
        <f t="shared" ca="1" si="152"/>
        <v>0</v>
      </c>
      <c r="AO36" s="921"/>
      <c r="AP36" s="1144">
        <f t="shared" ca="1" si="132"/>
        <v>-0.10926145852496517</v>
      </c>
      <c r="AQ36" s="1144">
        <f t="shared" ca="1" si="132"/>
        <v>-6.6728694429307751E-17</v>
      </c>
      <c r="AR36" s="1144">
        <f t="shared" ca="1" si="132"/>
        <v>-6.4679195377463529E-16</v>
      </c>
      <c r="AS36" s="1144">
        <f t="shared" ca="1" si="132"/>
        <v>0</v>
      </c>
      <c r="AT36" s="938">
        <f t="shared" ca="1" si="132"/>
        <v>0</v>
      </c>
      <c r="AU36" s="938">
        <f t="shared" ca="1" si="132"/>
        <v>0</v>
      </c>
      <c r="AV36" s="1144">
        <f t="shared" ca="1" si="132"/>
        <v>0</v>
      </c>
      <c r="AW36" s="1144">
        <f t="shared" ca="1" si="132"/>
        <v>0</v>
      </c>
      <c r="AX36" s="1144">
        <f t="shared" ca="1" si="132"/>
        <v>0</v>
      </c>
      <c r="AY36" s="1144">
        <f t="shared" ca="1" si="132"/>
        <v>-8.3157886387173128E-10</v>
      </c>
      <c r="AZ36" s="1144">
        <f t="shared" ca="1" si="132"/>
        <v>0</v>
      </c>
      <c r="BA36" s="1144">
        <f t="shared" ca="1" si="132"/>
        <v>-0.10519348135421906</v>
      </c>
      <c r="BB36" s="1144">
        <f t="shared" ca="1" si="149"/>
        <v>-4.067976368381793E-3</v>
      </c>
      <c r="BC36" s="1144">
        <f t="shared" ca="1" si="149"/>
        <v>-8.1091707327341073E-15</v>
      </c>
      <c r="BD36" s="921"/>
      <c r="BE36" s="918">
        <f t="shared" ca="1" si="153"/>
        <v>-0.10926145852496517</v>
      </c>
      <c r="BF36" s="918">
        <f t="shared" ca="1" si="153"/>
        <v>-6.6728694429307751E-17</v>
      </c>
      <c r="BG36" s="918">
        <f t="shared" ca="1" si="153"/>
        <v>-6.4679195377463529E-16</v>
      </c>
      <c r="BH36" s="918">
        <f t="shared" ca="1" si="153"/>
        <v>0</v>
      </c>
      <c r="BI36" s="938">
        <f t="shared" ca="1" si="153"/>
        <v>0</v>
      </c>
      <c r="BJ36" s="918">
        <f t="shared" ca="1" si="153"/>
        <v>0</v>
      </c>
      <c r="BK36" s="918">
        <f t="shared" ca="1" si="153"/>
        <v>0</v>
      </c>
      <c r="BL36" s="918">
        <f t="shared" ca="1" si="153"/>
        <v>0</v>
      </c>
      <c r="BM36" s="918">
        <f t="shared" ca="1" si="153"/>
        <v>-0.10926145776080869</v>
      </c>
      <c r="BN36" s="1144">
        <f t="shared" ca="1" si="153"/>
        <v>0</v>
      </c>
      <c r="BO36" s="918">
        <f t="shared" ca="1" si="153"/>
        <v>-8.3157886387173128E-10</v>
      </c>
      <c r="BP36" s="921"/>
      <c r="BQ36" s="918">
        <f t="shared" ca="1" si="154"/>
        <v>0</v>
      </c>
      <c r="BR36" s="918">
        <f t="shared" ca="1" si="154"/>
        <v>-0.10926145776080869</v>
      </c>
      <c r="BS36" s="1144">
        <f t="shared" ca="1" si="154"/>
        <v>0</v>
      </c>
      <c r="BT36" s="918">
        <f t="shared" ca="1" si="154"/>
        <v>-0.10519348135421906</v>
      </c>
      <c r="BU36" s="918">
        <f t="shared" ca="1" si="154"/>
        <v>-8.1091707327341073E-15</v>
      </c>
      <c r="BV36" s="918">
        <f t="shared" ca="1" si="154"/>
        <v>-4.067976368381793E-3</v>
      </c>
      <c r="BW36" s="1144">
        <f t="shared" ca="1" si="154"/>
        <v>0</v>
      </c>
      <c r="BX36" s="921"/>
      <c r="BY36" s="918">
        <f t="shared" ca="1" si="155"/>
        <v>-4.067976368381793E-3</v>
      </c>
      <c r="BZ36" s="918">
        <f t="shared" ca="1" si="155"/>
        <v>-8.1091707327341073E-15</v>
      </c>
      <c r="CA36" s="918">
        <f t="shared" ca="1" si="155"/>
        <v>0</v>
      </c>
      <c r="CB36" s="918">
        <f t="shared" ca="1" si="155"/>
        <v>-4.5516757767640122E-5</v>
      </c>
      <c r="CC36" s="918">
        <f t="shared" ca="1" si="155"/>
        <v>-2.060902177151092E-16</v>
      </c>
      <c r="CD36" s="918">
        <f t="shared" ca="1" si="155"/>
        <v>0</v>
      </c>
      <c r="CE36" s="918">
        <f t="shared" ca="1" si="155"/>
        <v>0</v>
      </c>
      <c r="CF36" s="918">
        <f t="shared" ca="1" si="155"/>
        <v>0</v>
      </c>
      <c r="CG36" s="921"/>
      <c r="CH36" s="918">
        <f t="shared" ca="1" si="156"/>
        <v>-8.3152609504492176E-15</v>
      </c>
      <c r="CI36" s="918">
        <f t="shared" ca="1" si="156"/>
        <v>-4.1134931208003369E-3</v>
      </c>
      <c r="CJ36" s="918">
        <f t="shared" ca="1" si="156"/>
        <v>0</v>
      </c>
      <c r="CK36" s="918" t="e">
        <f t="shared" ca="1" si="156"/>
        <v>#N/A</v>
      </c>
      <c r="CL36" s="918" t="e">
        <f t="shared" ca="1" si="156"/>
        <v>#N/A</v>
      </c>
      <c r="CM36" s="921"/>
      <c r="CN36" s="918">
        <f t="shared" ca="1" si="157"/>
        <v>0</v>
      </c>
      <c r="CO36" s="918" t="e">
        <f t="shared" ca="1" si="157"/>
        <v>#N/A</v>
      </c>
      <c r="CP36" s="918">
        <f t="shared" ca="1" si="157"/>
        <v>0</v>
      </c>
      <c r="CQ36" s="918">
        <f t="shared" ca="1" si="157"/>
        <v>0</v>
      </c>
      <c r="CR36" s="918">
        <f t="shared" ca="1" si="157"/>
        <v>0</v>
      </c>
      <c r="CS36" s="1144">
        <f t="shared" ca="1" si="157"/>
        <v>0</v>
      </c>
      <c r="CT36" s="921"/>
      <c r="CU36" s="918">
        <f t="shared" ca="1" si="158"/>
        <v>-3.0902012501392202E-9</v>
      </c>
      <c r="CV36" s="918">
        <f t="shared" ca="1" si="158"/>
        <v>0</v>
      </c>
      <c r="CW36" s="918">
        <f t="shared" ca="1" si="158"/>
        <v>0</v>
      </c>
      <c r="CX36" s="918">
        <f t="shared" ca="1" si="158"/>
        <v>-0.10519348135421906</v>
      </c>
      <c r="CY36" s="918">
        <f t="shared" ca="1" si="158"/>
        <v>0</v>
      </c>
      <c r="CZ36" s="1144" t="e">
        <f t="shared" ca="1" si="158"/>
        <v>#N/A</v>
      </c>
      <c r="DA36" s="1144" t="e">
        <f t="shared" ca="1" si="158"/>
        <v>#N/A</v>
      </c>
      <c r="DB36" s="918">
        <f t="shared" ca="1" si="158"/>
        <v>0</v>
      </c>
      <c r="DC36" s="938">
        <f t="shared" ca="1" si="158"/>
        <v>0</v>
      </c>
      <c r="DD36" s="918">
        <f t="shared" ca="1" si="158"/>
        <v>-2.060902177151092E-16</v>
      </c>
      <c r="DE36" s="918">
        <f t="shared" ca="1" si="158"/>
        <v>-1.4680226409480561E-18</v>
      </c>
      <c r="DF36" s="918">
        <f t="shared" ca="1" si="158"/>
        <v>0</v>
      </c>
      <c r="DG36" s="918">
        <f t="shared" ca="1" si="158"/>
        <v>-5.741459149448006E-5</v>
      </c>
      <c r="DH36" s="918">
        <f t="shared" ca="1" si="158"/>
        <v>-4.5516757767640122E-5</v>
      </c>
      <c r="DI36" s="921"/>
      <c r="DJ36" s="1144">
        <f t="shared" ca="1" si="139"/>
        <v>-3.1946128236423594E-4</v>
      </c>
      <c r="DK36" s="1144">
        <f t="shared" ca="1" si="139"/>
        <v>-9.435207717122111E-3</v>
      </c>
      <c r="DL36" s="1144">
        <f t="shared" ca="1" si="139"/>
        <v>0</v>
      </c>
      <c r="DM36" s="1144">
        <f t="shared" ca="1" si="139"/>
        <v>0</v>
      </c>
      <c r="DN36" s="1144" t="e">
        <f t="shared" ca="1" si="139"/>
        <v>#N/A</v>
      </c>
      <c r="DO36" s="1144">
        <f t="shared" ca="1" si="139"/>
        <v>-3.901867620885258E-4</v>
      </c>
      <c r="DP36" s="1144" t="e">
        <f t="shared" ca="1" si="139"/>
        <v>#N/A</v>
      </c>
      <c r="DQ36" s="921"/>
      <c r="DR36" s="1144">
        <f t="shared" ca="1" si="140"/>
        <v>-9.081532325651949E-2</v>
      </c>
      <c r="DS36" s="1144">
        <f t="shared" ca="1" si="140"/>
        <v>0</v>
      </c>
      <c r="DT36" s="1144">
        <f t="shared" ca="1" si="140"/>
        <v>0</v>
      </c>
      <c r="DU36" s="1144" t="e">
        <f t="shared" ca="1" si="140"/>
        <v>#N/A</v>
      </c>
      <c r="DV36" s="920"/>
      <c r="DW36" s="921"/>
      <c r="DX36" s="918">
        <f t="shared" ca="1" si="141"/>
        <v>-9.081532325651949E-2</v>
      </c>
      <c r="DY36" s="918">
        <f t="shared" ca="1" si="141"/>
        <v>0</v>
      </c>
      <c r="DZ36" s="918">
        <f t="shared" ca="1" si="141"/>
        <v>0</v>
      </c>
      <c r="EA36" s="918" t="e">
        <f t="shared" ca="1" si="141"/>
        <v>#N/A</v>
      </c>
      <c r="EB36" s="920"/>
      <c r="EC36" s="921"/>
      <c r="ED36" s="1144">
        <f t="shared" ca="1" si="142"/>
        <v>-4.9107474503675792E-3</v>
      </c>
      <c r="EE36" s="1144">
        <f t="shared" ca="1" si="142"/>
        <v>0</v>
      </c>
      <c r="EF36" s="1144" t="e">
        <f t="shared" ca="1" si="142"/>
        <v>#N/A</v>
      </c>
      <c r="EG36" s="1144" t="e">
        <f t="shared" ca="1" si="142"/>
        <v>#N/A</v>
      </c>
      <c r="EH36" s="920"/>
      <c r="EI36" s="921"/>
      <c r="EJ36" s="918">
        <f t="shared" ca="1" si="143"/>
        <v>0</v>
      </c>
      <c r="EK36" s="918">
        <f t="shared" ca="1" si="143"/>
        <v>0</v>
      </c>
      <c r="EL36" s="918">
        <f t="shared" ca="1" si="143"/>
        <v>0</v>
      </c>
      <c r="EM36" s="918">
        <f t="shared" ca="1" si="143"/>
        <v>0</v>
      </c>
      <c r="EN36" s="920"/>
      <c r="EO36" s="921"/>
      <c r="EP36" s="1144">
        <f t="shared" ca="1" si="144"/>
        <v>-5.741459149448006E-5</v>
      </c>
      <c r="EQ36" s="1144">
        <f t="shared" ca="1" si="144"/>
        <v>-5.741459149448006E-5</v>
      </c>
      <c r="ER36" s="1144">
        <f t="shared" ca="1" si="144"/>
        <v>0</v>
      </c>
      <c r="ES36" s="1144">
        <f t="shared" ca="1" si="144"/>
        <v>-3.3497378569454704E-17</v>
      </c>
      <c r="ET36" s="920"/>
      <c r="EU36" s="921"/>
      <c r="EV36" s="1144">
        <f t="shared" ca="1" si="145"/>
        <v>0</v>
      </c>
      <c r="EW36" s="1144">
        <f t="shared" ca="1" si="145"/>
        <v>0</v>
      </c>
      <c r="EX36" s="921"/>
      <c r="EY36" s="1144">
        <f t="shared" ca="1" si="145"/>
        <v>0</v>
      </c>
      <c r="EZ36" s="1144">
        <f t="shared" ca="1" si="145"/>
        <v>0</v>
      </c>
      <c r="FA36" s="1144" t="e">
        <f t="shared" ca="1" si="145"/>
        <v>#N/A</v>
      </c>
      <c r="FB36" s="921"/>
      <c r="FC36" s="918">
        <f t="shared" ca="1" si="159"/>
        <v>0</v>
      </c>
      <c r="FD36" s="918">
        <f t="shared" ca="1" si="159"/>
        <v>0</v>
      </c>
      <c r="FE36" s="918">
        <f t="shared" ca="1" si="159"/>
        <v>0</v>
      </c>
      <c r="FF36" s="918">
        <f t="shared" ca="1" si="159"/>
        <v>0</v>
      </c>
      <c r="FG36" s="918">
        <f t="shared" ca="1" si="159"/>
        <v>0</v>
      </c>
      <c r="FH36" s="918">
        <f t="shared" ca="1" si="159"/>
        <v>0</v>
      </c>
      <c r="FI36" s="918">
        <f t="shared" ca="1" si="159"/>
        <v>0</v>
      </c>
      <c r="FJ36" s="918">
        <f t="shared" ca="1" si="159"/>
        <v>0</v>
      </c>
      <c r="FK36" s="918">
        <f t="shared" ca="1" si="159"/>
        <v>0</v>
      </c>
      <c r="FL36" s="918">
        <f t="shared" ca="1" si="159"/>
        <v>0</v>
      </c>
      <c r="FM36" s="918" t="e">
        <f t="shared" ca="1" si="160"/>
        <v>#N/A</v>
      </c>
      <c r="FN36" s="1144">
        <f t="shared" ca="1" si="160"/>
        <v>0</v>
      </c>
      <c r="FO36" s="1144">
        <f t="shared" ca="1" si="160"/>
        <v>0</v>
      </c>
      <c r="FP36" s="918">
        <f t="shared" ca="1" si="160"/>
        <v>0</v>
      </c>
      <c r="FQ36" s="918">
        <f t="shared" ca="1" si="160"/>
        <v>0</v>
      </c>
      <c r="FR36" s="918">
        <f t="shared" ca="1" si="160"/>
        <v>0</v>
      </c>
      <c r="FS36" s="918">
        <f t="shared" ca="1" si="160"/>
        <v>0</v>
      </c>
      <c r="FT36" s="918">
        <f t="shared" ca="1" si="160"/>
        <v>0</v>
      </c>
      <c r="FU36" s="918" t="e">
        <f t="shared" ca="1" si="160"/>
        <v>#N/A</v>
      </c>
      <c r="FV36" s="1144" t="e">
        <f t="shared" ca="1" si="160"/>
        <v>#N/A</v>
      </c>
      <c r="FW36" s="918">
        <f t="shared" ca="1" si="160"/>
        <v>0</v>
      </c>
      <c r="FX36" s="918">
        <f t="shared" ca="1" si="160"/>
        <v>0</v>
      </c>
      <c r="FY36" s="918">
        <f t="shared" ca="1" si="160"/>
        <v>0</v>
      </c>
      <c r="FZ36" s="918">
        <f t="shared" ca="1" si="160"/>
        <v>0</v>
      </c>
      <c r="GA36" s="1144" t="e">
        <f t="shared" ca="1" si="160"/>
        <v>#N/A</v>
      </c>
      <c r="GB36" s="918">
        <f t="shared" ca="1" si="160"/>
        <v>0</v>
      </c>
      <c r="GC36" s="920"/>
      <c r="GD36" s="918">
        <f t="shared" ca="1" si="161"/>
        <v>0</v>
      </c>
      <c r="GE36" s="918">
        <f t="shared" ca="1" si="161"/>
        <v>0</v>
      </c>
      <c r="GF36" s="918">
        <f t="shared" ca="1" si="161"/>
        <v>0</v>
      </c>
      <c r="GG36" s="918">
        <f t="shared" ca="1" si="161"/>
        <v>0</v>
      </c>
      <c r="GH36" s="918" t="e">
        <f t="shared" ca="1" si="161"/>
        <v>#N/A</v>
      </c>
      <c r="GI36" s="1144" t="e">
        <f t="shared" ca="1" si="161"/>
        <v>#N/A</v>
      </c>
      <c r="GJ36" s="918">
        <f t="shared" ca="1" si="161"/>
        <v>-1.4680226409480561E-18</v>
      </c>
      <c r="GK36" s="918">
        <f t="shared" ca="1" si="161"/>
        <v>-5.741459149448006E-5</v>
      </c>
      <c r="GL36" s="918">
        <f t="shared" ca="1" si="161"/>
        <v>0</v>
      </c>
      <c r="GM36" s="918">
        <f t="shared" ca="1" si="161"/>
        <v>0</v>
      </c>
      <c r="GN36" s="918">
        <f t="shared" ca="1" si="161"/>
        <v>0</v>
      </c>
      <c r="GO36" s="918" t="e">
        <f t="shared" ca="1" si="161"/>
        <v>#N/A</v>
      </c>
      <c r="GP36" s="915"/>
      <c r="GR36" s="1181">
        <f ca="1">FZ17</f>
        <v>0.31481130385388462</v>
      </c>
      <c r="GS36" s="1182" t="s">
        <v>3079</v>
      </c>
      <c r="GT36" s="1143" t="s">
        <v>3071</v>
      </c>
      <c r="GU36" s="1183">
        <f ca="1">GO9</f>
        <v>137362.7598</v>
      </c>
      <c r="GV36" s="1182" t="s">
        <v>287</v>
      </c>
      <c r="GW36" s="946"/>
      <c r="GX36" s="1143"/>
      <c r="GY36" s="946"/>
    </row>
    <row r="37" spans="1:207" s="914" customFormat="1" x14ac:dyDescent="0.3">
      <c r="A37" s="975" t="s">
        <v>1515</v>
      </c>
      <c r="B37" s="977">
        <v>17</v>
      </c>
      <c r="C37" s="973">
        <v>132.11612</v>
      </c>
      <c r="D37" s="914">
        <v>-0.51886643737722915</v>
      </c>
      <c r="E37" s="972" t="s">
        <v>982</v>
      </c>
      <c r="F37" s="936">
        <f t="shared" ca="1" si="150"/>
        <v>0</v>
      </c>
      <c r="G37" s="918">
        <f t="shared" ca="1" si="150"/>
        <v>-3.1591267571240049E-8</v>
      </c>
      <c r="H37" s="918">
        <f t="shared" ca="1" si="150"/>
        <v>0</v>
      </c>
      <c r="I37" s="918">
        <f t="shared" ca="1" si="150"/>
        <v>0</v>
      </c>
      <c r="J37" s="918">
        <f t="shared" ca="1" si="150"/>
        <v>0</v>
      </c>
      <c r="K37" s="1144">
        <f t="shared" ca="1" si="150"/>
        <v>0</v>
      </c>
      <c r="L37" s="918">
        <f t="shared" ca="1" si="150"/>
        <v>0</v>
      </c>
      <c r="M37" s="918">
        <f t="shared" ca="1" si="150"/>
        <v>0</v>
      </c>
      <c r="N37" s="938">
        <f t="shared" ca="1" si="150"/>
        <v>0</v>
      </c>
      <c r="O37" s="918">
        <f t="shared" ca="1" si="150"/>
        <v>-8.6835665676917351E-8</v>
      </c>
      <c r="P37" s="939">
        <f t="shared" ca="1" si="150"/>
        <v>-0.18691852976872864</v>
      </c>
      <c r="Q37" s="921"/>
      <c r="R37" s="918">
        <f t="shared" ca="1" si="151"/>
        <v>-0.18691852976872864</v>
      </c>
      <c r="S37" s="918">
        <f t="shared" ca="1" si="151"/>
        <v>0</v>
      </c>
      <c r="T37" s="918">
        <f t="shared" ca="1" si="151"/>
        <v>0</v>
      </c>
      <c r="U37" s="918">
        <f t="shared" ca="1" si="151"/>
        <v>0</v>
      </c>
      <c r="V37" s="918">
        <f t="shared" ca="1" si="151"/>
        <v>0</v>
      </c>
      <c r="W37" s="918">
        <f t="shared" ca="1" si="151"/>
        <v>0</v>
      </c>
      <c r="X37" s="938">
        <f t="shared" ca="1" si="151"/>
        <v>0</v>
      </c>
      <c r="Y37" s="918">
        <f t="shared" ca="1" si="151"/>
        <v>-0.18691852976872864</v>
      </c>
      <c r="Z37" s="918">
        <f t="shared" ca="1" si="151"/>
        <v>-2.0274337973063323E-13</v>
      </c>
      <c r="AA37" s="918">
        <f t="shared" ca="1" si="151"/>
        <v>-2.0916773850725458E-14</v>
      </c>
      <c r="AB37" s="921"/>
      <c r="AC37" s="918">
        <f t="shared" ca="1" si="152"/>
        <v>0</v>
      </c>
      <c r="AD37" s="918">
        <f t="shared" ca="1" si="152"/>
        <v>0</v>
      </c>
      <c r="AE37" s="918">
        <f t="shared" ca="1" si="152"/>
        <v>0</v>
      </c>
      <c r="AF37" s="918">
        <f t="shared" ca="1" si="152"/>
        <v>0</v>
      </c>
      <c r="AG37" s="918">
        <f t="shared" ca="1" si="152"/>
        <v>0</v>
      </c>
      <c r="AH37" s="918">
        <f t="shared" ca="1" si="152"/>
        <v>0</v>
      </c>
      <c r="AI37" s="918">
        <f t="shared" ca="1" si="152"/>
        <v>0</v>
      </c>
      <c r="AJ37" s="918">
        <f t="shared" ca="1" si="152"/>
        <v>0</v>
      </c>
      <c r="AK37" s="938">
        <f t="shared" ca="1" si="152"/>
        <v>0</v>
      </c>
      <c r="AL37" s="918">
        <f t="shared" ca="1" si="152"/>
        <v>0</v>
      </c>
      <c r="AM37" s="918">
        <f t="shared" ca="1" si="152"/>
        <v>0</v>
      </c>
      <c r="AN37" s="918">
        <f t="shared" ca="1" si="152"/>
        <v>0</v>
      </c>
      <c r="AO37" s="921"/>
      <c r="AP37" s="1144">
        <f t="shared" ca="1" si="132"/>
        <v>-0.18691852976872864</v>
      </c>
      <c r="AQ37" s="1144">
        <f t="shared" ca="1" si="132"/>
        <v>-2.0916773850725458E-14</v>
      </c>
      <c r="AR37" s="1144">
        <f t="shared" ca="1" si="132"/>
        <v>-2.0274337973063323E-13</v>
      </c>
      <c r="AS37" s="1144">
        <f t="shared" ca="1" si="132"/>
        <v>0</v>
      </c>
      <c r="AT37" s="938">
        <f t="shared" ca="1" si="132"/>
        <v>0</v>
      </c>
      <c r="AU37" s="938">
        <f t="shared" ca="1" si="132"/>
        <v>0</v>
      </c>
      <c r="AV37" s="1144">
        <f t="shared" ca="1" si="132"/>
        <v>0</v>
      </c>
      <c r="AW37" s="1144">
        <f t="shared" ca="1" si="132"/>
        <v>0</v>
      </c>
      <c r="AX37" s="1144">
        <f t="shared" ca="1" si="132"/>
        <v>0</v>
      </c>
      <c r="AY37" s="1144">
        <f t="shared" ca="1" si="132"/>
        <v>-3.1591267571240049E-8</v>
      </c>
      <c r="AZ37" s="1144">
        <f t="shared" ca="1" si="132"/>
        <v>0</v>
      </c>
      <c r="BA37" s="1144">
        <f t="shared" ca="1" si="132"/>
        <v>-0.17995922762732167</v>
      </c>
      <c r="BB37" s="1144">
        <f t="shared" ca="1" si="149"/>
        <v>-6.9592704084071822E-3</v>
      </c>
      <c r="BC37" s="1144">
        <f t="shared" ca="1" si="149"/>
        <v>-1.4602748279568431E-12</v>
      </c>
      <c r="BD37" s="921"/>
      <c r="BE37" s="918">
        <f t="shared" ca="1" si="153"/>
        <v>-0.18691852976872864</v>
      </c>
      <c r="BF37" s="918">
        <f t="shared" ca="1" si="153"/>
        <v>-2.0916773850725458E-14</v>
      </c>
      <c r="BG37" s="918">
        <f t="shared" ca="1" si="153"/>
        <v>-2.0274337973063323E-13</v>
      </c>
      <c r="BH37" s="918">
        <f t="shared" ca="1" si="153"/>
        <v>0</v>
      </c>
      <c r="BI37" s="938">
        <f t="shared" ca="1" si="153"/>
        <v>0</v>
      </c>
      <c r="BJ37" s="918">
        <f t="shared" ca="1" si="153"/>
        <v>0</v>
      </c>
      <c r="BK37" s="918">
        <f t="shared" ca="1" si="153"/>
        <v>0</v>
      </c>
      <c r="BL37" s="918">
        <f t="shared" ca="1" si="153"/>
        <v>0</v>
      </c>
      <c r="BM37" s="918">
        <f t="shared" ca="1" si="153"/>
        <v>-0.18691849795718177</v>
      </c>
      <c r="BN37" s="1144">
        <f t="shared" ca="1" si="153"/>
        <v>0</v>
      </c>
      <c r="BO37" s="918">
        <f t="shared" ca="1" si="153"/>
        <v>-3.1591267571240049E-8</v>
      </c>
      <c r="BP37" s="921"/>
      <c r="BQ37" s="918">
        <f t="shared" ca="1" si="154"/>
        <v>0</v>
      </c>
      <c r="BR37" s="918">
        <f t="shared" ca="1" si="154"/>
        <v>-0.18691849795718177</v>
      </c>
      <c r="BS37" s="1144">
        <f t="shared" ca="1" si="154"/>
        <v>0</v>
      </c>
      <c r="BT37" s="918">
        <f t="shared" ca="1" si="154"/>
        <v>-0.17995922762732167</v>
      </c>
      <c r="BU37" s="918">
        <f t="shared" ca="1" si="154"/>
        <v>-1.4602748279568431E-12</v>
      </c>
      <c r="BV37" s="918">
        <f t="shared" ca="1" si="154"/>
        <v>-6.9592704084071822E-3</v>
      </c>
      <c r="BW37" s="1144">
        <f t="shared" ca="1" si="154"/>
        <v>0</v>
      </c>
      <c r="BX37" s="921"/>
      <c r="BY37" s="918">
        <f t="shared" ca="1" si="155"/>
        <v>-6.9592704084071822E-3</v>
      </c>
      <c r="BZ37" s="918">
        <f t="shared" ca="1" si="155"/>
        <v>-1.4602748279568431E-12</v>
      </c>
      <c r="CA37" s="918">
        <f t="shared" ca="1" si="155"/>
        <v>0</v>
      </c>
      <c r="CB37" s="918">
        <f t="shared" ca="1" si="155"/>
        <v>-8.8593903617772957E-5</v>
      </c>
      <c r="CC37" s="918">
        <f t="shared" ca="1" si="155"/>
        <v>-7.2718090379588225E-14</v>
      </c>
      <c r="CD37" s="918">
        <f t="shared" ca="1" si="155"/>
        <v>0</v>
      </c>
      <c r="CE37" s="918">
        <f t="shared" ca="1" si="155"/>
        <v>0</v>
      </c>
      <c r="CF37" s="918">
        <f t="shared" ca="1" si="155"/>
        <v>0</v>
      </c>
      <c r="CG37" s="921"/>
      <c r="CH37" s="918">
        <f t="shared" ca="1" si="156"/>
        <v>-1.5329929175509611E-12</v>
      </c>
      <c r="CI37" s="918">
        <f t="shared" ca="1" si="156"/>
        <v>-7.0478643096685461E-3</v>
      </c>
      <c r="CJ37" s="918">
        <f t="shared" ca="1" si="156"/>
        <v>0</v>
      </c>
      <c r="CK37" s="918" t="e">
        <f t="shared" ca="1" si="156"/>
        <v>#N/A</v>
      </c>
      <c r="CL37" s="918" t="e">
        <f t="shared" ca="1" si="156"/>
        <v>#N/A</v>
      </c>
      <c r="CM37" s="921"/>
      <c r="CN37" s="918">
        <f t="shared" ca="1" si="157"/>
        <v>0</v>
      </c>
      <c r="CO37" s="918" t="e">
        <f t="shared" ca="1" si="157"/>
        <v>#N/A</v>
      </c>
      <c r="CP37" s="918">
        <f t="shared" ca="1" si="157"/>
        <v>0</v>
      </c>
      <c r="CQ37" s="918">
        <f t="shared" ca="1" si="157"/>
        <v>0</v>
      </c>
      <c r="CR37" s="918">
        <f t="shared" ca="1" si="157"/>
        <v>0</v>
      </c>
      <c r="CS37" s="1144">
        <f t="shared" ca="1" si="157"/>
        <v>0</v>
      </c>
      <c r="CT37" s="921"/>
      <c r="CU37" s="918">
        <f t="shared" ca="1" si="158"/>
        <v>-8.6835665676917351E-8</v>
      </c>
      <c r="CV37" s="918">
        <f t="shared" ca="1" si="158"/>
        <v>0</v>
      </c>
      <c r="CW37" s="918">
        <f t="shared" ca="1" si="158"/>
        <v>0</v>
      </c>
      <c r="CX37" s="918">
        <f t="shared" ca="1" si="158"/>
        <v>-0.17995922762732167</v>
      </c>
      <c r="CY37" s="918">
        <f t="shared" ca="1" si="158"/>
        <v>0</v>
      </c>
      <c r="CZ37" s="1144" t="e">
        <f t="shared" ca="1" si="158"/>
        <v>#N/A</v>
      </c>
      <c r="DA37" s="1144" t="e">
        <f t="shared" ca="1" si="158"/>
        <v>#N/A</v>
      </c>
      <c r="DB37" s="918">
        <f t="shared" ca="1" si="158"/>
        <v>0</v>
      </c>
      <c r="DC37" s="938">
        <f t="shared" ca="1" si="158"/>
        <v>0</v>
      </c>
      <c r="DD37" s="918">
        <f t="shared" ca="1" si="158"/>
        <v>-7.2718090379588225E-14</v>
      </c>
      <c r="DE37" s="918">
        <f t="shared" ca="1" si="158"/>
        <v>-4.3571882610554293E-15</v>
      </c>
      <c r="DF37" s="918">
        <f t="shared" ca="1" si="158"/>
        <v>0</v>
      </c>
      <c r="DG37" s="918">
        <f t="shared" ca="1" si="158"/>
        <v>-7.9183408290104068E-4</v>
      </c>
      <c r="DH37" s="918">
        <f t="shared" ca="1" si="158"/>
        <v>-8.8593903617772957E-5</v>
      </c>
      <c r="DI37" s="921"/>
      <c r="DJ37" s="1144">
        <f t="shared" ca="1" si="139"/>
        <v>-4.4058544294639755E-3</v>
      </c>
      <c r="DK37" s="1144">
        <f t="shared" ca="1" si="139"/>
        <v>-1.6291321681939783E-2</v>
      </c>
      <c r="DL37" s="1144">
        <f t="shared" ca="1" si="139"/>
        <v>0</v>
      </c>
      <c r="DM37" s="1144">
        <f t="shared" ca="1" si="139"/>
        <v>0</v>
      </c>
      <c r="DN37" s="1144" t="e">
        <f t="shared" ca="1" si="139"/>
        <v>#N/A</v>
      </c>
      <c r="DO37" s="1144">
        <f t="shared" ca="1" si="139"/>
        <v>-5.3812657740410419E-3</v>
      </c>
      <c r="DP37" s="1144" t="e">
        <f t="shared" ca="1" si="139"/>
        <v>#N/A</v>
      </c>
      <c r="DQ37" s="921"/>
      <c r="DR37" s="1144">
        <f t="shared" ca="1" si="140"/>
        <v>-0.15536193556609049</v>
      </c>
      <c r="DS37" s="1144">
        <f t="shared" ca="1" si="140"/>
        <v>0</v>
      </c>
      <c r="DT37" s="1144">
        <f t="shared" ca="1" si="140"/>
        <v>0</v>
      </c>
      <c r="DU37" s="1144" t="e">
        <f t="shared" ca="1" si="140"/>
        <v>#N/A</v>
      </c>
      <c r="DV37" s="920"/>
      <c r="DW37" s="921"/>
      <c r="DX37" s="918">
        <f t="shared" ca="1" si="141"/>
        <v>-0.15536193556609049</v>
      </c>
      <c r="DY37" s="918">
        <f t="shared" ca="1" si="141"/>
        <v>0</v>
      </c>
      <c r="DZ37" s="918">
        <f t="shared" ca="1" si="141"/>
        <v>0</v>
      </c>
      <c r="EA37" s="918" t="e">
        <f t="shared" ca="1" si="141"/>
        <v>#N/A</v>
      </c>
      <c r="EB37" s="920"/>
      <c r="EC37" s="921"/>
      <c r="ED37" s="1144">
        <f t="shared" ca="1" si="142"/>
        <v>-8.401040679485423E-3</v>
      </c>
      <c r="EE37" s="1144">
        <f t="shared" ca="1" si="142"/>
        <v>0</v>
      </c>
      <c r="EF37" s="1144" t="e">
        <f t="shared" ca="1" si="142"/>
        <v>#N/A</v>
      </c>
      <c r="EG37" s="1144" t="e">
        <f t="shared" ca="1" si="142"/>
        <v>#N/A</v>
      </c>
      <c r="EH37" s="920"/>
      <c r="EI37" s="921"/>
      <c r="EJ37" s="918">
        <f t="shared" ca="1" si="143"/>
        <v>0</v>
      </c>
      <c r="EK37" s="918">
        <f t="shared" ca="1" si="143"/>
        <v>0</v>
      </c>
      <c r="EL37" s="918">
        <f t="shared" ca="1" si="143"/>
        <v>0</v>
      </c>
      <c r="EM37" s="918">
        <f t="shared" ca="1" si="143"/>
        <v>0</v>
      </c>
      <c r="EN37" s="920"/>
      <c r="EO37" s="921"/>
      <c r="EP37" s="1144">
        <f t="shared" ca="1" si="144"/>
        <v>-7.9183408290104068E-4</v>
      </c>
      <c r="EQ37" s="1144">
        <f t="shared" ca="1" si="144"/>
        <v>-7.9183408290104068E-4</v>
      </c>
      <c r="ER37" s="1144">
        <f t="shared" ca="1" si="144"/>
        <v>0</v>
      </c>
      <c r="ES37" s="1144">
        <f t="shared" ca="1" si="144"/>
        <v>-2.2199572710673216E-14</v>
      </c>
      <c r="ET37" s="920"/>
      <c r="EU37" s="921"/>
      <c r="EV37" s="1144">
        <f t="shared" ca="1" si="145"/>
        <v>0</v>
      </c>
      <c r="EW37" s="1144">
        <f t="shared" ca="1" si="145"/>
        <v>0</v>
      </c>
      <c r="EX37" s="921"/>
      <c r="EY37" s="1144">
        <f t="shared" ca="1" si="145"/>
        <v>0</v>
      </c>
      <c r="EZ37" s="1144">
        <f t="shared" ca="1" si="145"/>
        <v>0</v>
      </c>
      <c r="FA37" s="1144" t="e">
        <f t="shared" ca="1" si="145"/>
        <v>#N/A</v>
      </c>
      <c r="FB37" s="921"/>
      <c r="FC37" s="918">
        <f t="shared" ca="1" si="159"/>
        <v>0</v>
      </c>
      <c r="FD37" s="918">
        <f t="shared" ca="1" si="159"/>
        <v>0</v>
      </c>
      <c r="FE37" s="918">
        <f t="shared" ca="1" si="159"/>
        <v>0</v>
      </c>
      <c r="FF37" s="918">
        <f t="shared" ca="1" si="159"/>
        <v>0</v>
      </c>
      <c r="FG37" s="918">
        <f t="shared" ca="1" si="159"/>
        <v>0</v>
      </c>
      <c r="FH37" s="918">
        <f t="shared" ca="1" si="159"/>
        <v>0</v>
      </c>
      <c r="FI37" s="918">
        <f t="shared" ca="1" si="159"/>
        <v>0</v>
      </c>
      <c r="FJ37" s="918">
        <f t="shared" ca="1" si="159"/>
        <v>0</v>
      </c>
      <c r="FK37" s="918">
        <f t="shared" ca="1" si="159"/>
        <v>0</v>
      </c>
      <c r="FL37" s="918">
        <f t="shared" ca="1" si="159"/>
        <v>0</v>
      </c>
      <c r="FM37" s="918" t="e">
        <f t="shared" ca="1" si="160"/>
        <v>#N/A</v>
      </c>
      <c r="FN37" s="1144">
        <f t="shared" ca="1" si="160"/>
        <v>0</v>
      </c>
      <c r="FO37" s="1144">
        <f t="shared" ca="1" si="160"/>
        <v>0</v>
      </c>
      <c r="FP37" s="918">
        <f t="shared" ca="1" si="160"/>
        <v>0</v>
      </c>
      <c r="FQ37" s="918">
        <f t="shared" ca="1" si="160"/>
        <v>0</v>
      </c>
      <c r="FR37" s="918">
        <f t="shared" ca="1" si="160"/>
        <v>0</v>
      </c>
      <c r="FS37" s="918">
        <f t="shared" ca="1" si="160"/>
        <v>0</v>
      </c>
      <c r="FT37" s="918">
        <f t="shared" ca="1" si="160"/>
        <v>0</v>
      </c>
      <c r="FU37" s="918" t="e">
        <f t="shared" ca="1" si="160"/>
        <v>#N/A</v>
      </c>
      <c r="FV37" s="1144" t="e">
        <f t="shared" ca="1" si="160"/>
        <v>#N/A</v>
      </c>
      <c r="FW37" s="918">
        <f t="shared" ca="1" si="160"/>
        <v>0</v>
      </c>
      <c r="FX37" s="918">
        <f t="shared" ca="1" si="160"/>
        <v>0</v>
      </c>
      <c r="FY37" s="918">
        <f t="shared" ca="1" si="160"/>
        <v>0</v>
      </c>
      <c r="FZ37" s="918">
        <f t="shared" ca="1" si="160"/>
        <v>0</v>
      </c>
      <c r="GA37" s="1144" t="e">
        <f t="shared" ca="1" si="160"/>
        <v>#N/A</v>
      </c>
      <c r="GB37" s="918">
        <f t="shared" ca="1" si="160"/>
        <v>0</v>
      </c>
      <c r="GC37" s="920"/>
      <c r="GD37" s="918">
        <f t="shared" ca="1" si="161"/>
        <v>0</v>
      </c>
      <c r="GE37" s="918">
        <f t="shared" ca="1" si="161"/>
        <v>0</v>
      </c>
      <c r="GF37" s="918">
        <f t="shared" ca="1" si="161"/>
        <v>0</v>
      </c>
      <c r="GG37" s="918">
        <f t="shared" ca="1" si="161"/>
        <v>0</v>
      </c>
      <c r="GH37" s="918" t="e">
        <f t="shared" ca="1" si="161"/>
        <v>#N/A</v>
      </c>
      <c r="GI37" s="1144" t="e">
        <f t="shared" ca="1" si="161"/>
        <v>#N/A</v>
      </c>
      <c r="GJ37" s="918">
        <f t="shared" ca="1" si="161"/>
        <v>-4.3571882610554293E-15</v>
      </c>
      <c r="GK37" s="918">
        <f t="shared" ca="1" si="161"/>
        <v>-7.9183408290104068E-4</v>
      </c>
      <c r="GL37" s="918">
        <f t="shared" ca="1" si="161"/>
        <v>0</v>
      </c>
      <c r="GM37" s="918">
        <f t="shared" ca="1" si="161"/>
        <v>0</v>
      </c>
      <c r="GN37" s="918">
        <f t="shared" ca="1" si="161"/>
        <v>0</v>
      </c>
      <c r="GO37" s="918" t="e">
        <f t="shared" ca="1" si="161"/>
        <v>#N/A</v>
      </c>
      <c r="GP37" s="915"/>
      <c r="GR37" s="946"/>
      <c r="GS37" s="946"/>
      <c r="GU37" s="1181">
        <f>GO10</f>
        <v>0</v>
      </c>
      <c r="GV37" s="1182" t="s">
        <v>3077</v>
      </c>
      <c r="GW37" s="946"/>
      <c r="GX37" s="1143"/>
      <c r="GY37" s="946"/>
    </row>
    <row r="38" spans="1:207" s="914" customFormat="1" x14ac:dyDescent="0.3">
      <c r="A38" s="975" t="s">
        <v>1516</v>
      </c>
      <c r="B38" s="977">
        <v>24</v>
      </c>
      <c r="C38" s="973">
        <v>152.15</v>
      </c>
      <c r="D38" s="914">
        <v>-0.57333426379999997</v>
      </c>
      <c r="E38" s="972" t="s">
        <v>982</v>
      </c>
      <c r="F38" s="936">
        <f t="shared" ca="1" si="150"/>
        <v>0</v>
      </c>
      <c r="G38" s="918">
        <f t="shared" ca="1" si="150"/>
        <v>-1.8178328309443462E-7</v>
      </c>
      <c r="H38" s="918">
        <f t="shared" ca="1" si="150"/>
        <v>0</v>
      </c>
      <c r="I38" s="918">
        <f t="shared" ca="1" si="150"/>
        <v>0</v>
      </c>
      <c r="J38" s="918">
        <f t="shared" ca="1" si="150"/>
        <v>0</v>
      </c>
      <c r="K38" s="1144">
        <f t="shared" ca="1" si="150"/>
        <v>0</v>
      </c>
      <c r="L38" s="918">
        <f t="shared" ca="1" si="150"/>
        <v>0</v>
      </c>
      <c r="M38" s="918">
        <f t="shared" ca="1" si="150"/>
        <v>0</v>
      </c>
      <c r="N38" s="938">
        <f t="shared" ca="1" si="150"/>
        <v>0</v>
      </c>
      <c r="O38" s="918">
        <f t="shared" ca="1" si="150"/>
        <v>0</v>
      </c>
      <c r="P38" s="939">
        <f t="shared" ca="1" si="150"/>
        <v>-1.8178324880365711E-7</v>
      </c>
      <c r="Q38" s="921"/>
      <c r="R38" s="918">
        <f t="shared" ca="1" si="151"/>
        <v>-1.8178324880365711E-7</v>
      </c>
      <c r="S38" s="918">
        <f t="shared" ca="1" si="151"/>
        <v>0</v>
      </c>
      <c r="T38" s="918">
        <f t="shared" ca="1" si="151"/>
        <v>0</v>
      </c>
      <c r="U38" s="918">
        <f t="shared" ca="1" si="151"/>
        <v>0</v>
      </c>
      <c r="V38" s="918">
        <f t="shared" ca="1" si="151"/>
        <v>0</v>
      </c>
      <c r="W38" s="918">
        <f t="shared" ca="1" si="151"/>
        <v>0</v>
      </c>
      <c r="X38" s="938">
        <f t="shared" ca="1" si="151"/>
        <v>-3.7006672974491405E-12</v>
      </c>
      <c r="Y38" s="918">
        <f t="shared" ca="1" si="151"/>
        <v>-2.8448091282782175</v>
      </c>
      <c r="Z38" s="918">
        <f t="shared" ca="1" si="151"/>
        <v>-3.3491282056510003E-12</v>
      </c>
      <c r="AA38" s="918">
        <f t="shared" ca="1" si="151"/>
        <v>-3.5153867201873114E-13</v>
      </c>
      <c r="AB38" s="921"/>
      <c r="AC38" s="918">
        <f t="shared" ca="1" si="152"/>
        <v>0</v>
      </c>
      <c r="AD38" s="918">
        <f t="shared" ca="1" si="152"/>
        <v>0</v>
      </c>
      <c r="AE38" s="918">
        <f t="shared" ca="1" si="152"/>
        <v>0</v>
      </c>
      <c r="AF38" s="918">
        <f t="shared" ca="1" si="152"/>
        <v>0</v>
      </c>
      <c r="AG38" s="918">
        <f t="shared" ca="1" si="152"/>
        <v>0</v>
      </c>
      <c r="AH38" s="918">
        <f t="shared" ca="1" si="152"/>
        <v>0</v>
      </c>
      <c r="AI38" s="918">
        <f t="shared" ca="1" si="152"/>
        <v>0</v>
      </c>
      <c r="AJ38" s="918">
        <f t="shared" ca="1" si="152"/>
        <v>0</v>
      </c>
      <c r="AK38" s="938">
        <f t="shared" ca="1" si="152"/>
        <v>0</v>
      </c>
      <c r="AL38" s="918">
        <f t="shared" ca="1" si="152"/>
        <v>0</v>
      </c>
      <c r="AM38" s="918">
        <f t="shared" ca="1" si="152"/>
        <v>0</v>
      </c>
      <c r="AN38" s="918">
        <f t="shared" ca="1" si="152"/>
        <v>0</v>
      </c>
      <c r="AO38" s="921"/>
      <c r="AP38" s="1144">
        <f t="shared" ca="1" si="132"/>
        <v>-2.8448091282782175</v>
      </c>
      <c r="AQ38" s="1144">
        <f t="shared" ca="1" si="132"/>
        <v>-3.5153867201873114E-13</v>
      </c>
      <c r="AR38" s="1144">
        <f t="shared" ca="1" si="132"/>
        <v>-3.3491282056510003E-12</v>
      </c>
      <c r="AS38" s="1144">
        <f t="shared" ca="1" si="132"/>
        <v>0</v>
      </c>
      <c r="AT38" s="938">
        <f t="shared" ca="1" si="132"/>
        <v>0</v>
      </c>
      <c r="AU38" s="938">
        <f t="shared" ca="1" si="132"/>
        <v>0</v>
      </c>
      <c r="AV38" s="1144">
        <f t="shared" ca="1" si="132"/>
        <v>0</v>
      </c>
      <c r="AW38" s="1144">
        <f t="shared" ca="1" si="132"/>
        <v>-3.7006672974491405E-12</v>
      </c>
      <c r="AX38" s="1144">
        <f t="shared" ca="1" si="132"/>
        <v>0</v>
      </c>
      <c r="AY38" s="1144">
        <f t="shared" ca="1" si="132"/>
        <v>-1.8178328309443462E-7</v>
      </c>
      <c r="AZ38" s="1144">
        <f t="shared" ca="1" si="132"/>
        <v>0</v>
      </c>
      <c r="BA38" s="1144">
        <f t="shared" ca="1" si="132"/>
        <v>-2.7388922230737869</v>
      </c>
      <c r="BB38" s="1144">
        <f t="shared" ca="1" si="149"/>
        <v>-0.10591672282271274</v>
      </c>
      <c r="BC38" s="1144">
        <f t="shared" ca="1" si="149"/>
        <v>-9.5774945767675537E-12</v>
      </c>
      <c r="BD38" s="921"/>
      <c r="BE38" s="918">
        <f t="shared" ca="1" si="153"/>
        <v>-2.8448091282782175</v>
      </c>
      <c r="BF38" s="918">
        <f t="shared" ca="1" si="153"/>
        <v>-3.5153867201873114E-13</v>
      </c>
      <c r="BG38" s="918">
        <f t="shared" ca="1" si="153"/>
        <v>-3.3491282056510003E-12</v>
      </c>
      <c r="BH38" s="918">
        <f t="shared" ca="1" si="153"/>
        <v>0</v>
      </c>
      <c r="BI38" s="938">
        <f t="shared" ca="1" si="153"/>
        <v>0</v>
      </c>
      <c r="BJ38" s="918">
        <f t="shared" ca="1" si="153"/>
        <v>0</v>
      </c>
      <c r="BK38" s="918">
        <f t="shared" ca="1" si="153"/>
        <v>-3.7006672974491405E-12</v>
      </c>
      <c r="BL38" s="918">
        <f t="shared" ca="1" si="153"/>
        <v>0</v>
      </c>
      <c r="BM38" s="918">
        <f t="shared" ca="1" si="153"/>
        <v>-2.8448089474037865</v>
      </c>
      <c r="BN38" s="1144">
        <f t="shared" ca="1" si="153"/>
        <v>0</v>
      </c>
      <c r="BO38" s="918">
        <f t="shared" ca="1" si="153"/>
        <v>-1.8178328309443462E-7</v>
      </c>
      <c r="BP38" s="921"/>
      <c r="BQ38" s="918">
        <f t="shared" ca="1" si="154"/>
        <v>0</v>
      </c>
      <c r="BR38" s="918">
        <f t="shared" ca="1" si="154"/>
        <v>-2.8448089474037865</v>
      </c>
      <c r="BS38" s="1144">
        <f t="shared" ca="1" si="154"/>
        <v>0</v>
      </c>
      <c r="BT38" s="918">
        <f t="shared" ca="1" si="154"/>
        <v>-2.7388922230737869</v>
      </c>
      <c r="BU38" s="918">
        <f t="shared" ca="1" si="154"/>
        <v>-9.5774945767675537E-12</v>
      </c>
      <c r="BV38" s="918">
        <f t="shared" ca="1" si="154"/>
        <v>-0.10591672282271274</v>
      </c>
      <c r="BW38" s="1144">
        <f t="shared" ca="1" si="154"/>
        <v>0</v>
      </c>
      <c r="BX38" s="921"/>
      <c r="BY38" s="918">
        <f t="shared" ca="1" si="155"/>
        <v>-0.10591672282271274</v>
      </c>
      <c r="BZ38" s="918">
        <f t="shared" ca="1" si="155"/>
        <v>-9.5774945767675537E-12</v>
      </c>
      <c r="CA38" s="918">
        <f t="shared" ca="1" si="155"/>
        <v>0</v>
      </c>
      <c r="CB38" s="918">
        <f t="shared" ca="1" si="155"/>
        <v>-1.1851066088662014E-3</v>
      </c>
      <c r="CC38" s="918">
        <f t="shared" ca="1" si="155"/>
        <v>-7.2756571392762452E-13</v>
      </c>
      <c r="CD38" s="918">
        <f t="shared" ca="1" si="155"/>
        <v>0</v>
      </c>
      <c r="CE38" s="918">
        <f t="shared" ca="1" si="155"/>
        <v>0</v>
      </c>
      <c r="CF38" s="918">
        <f t="shared" ca="1" si="155"/>
        <v>0</v>
      </c>
      <c r="CG38" s="921"/>
      <c r="CH38" s="918">
        <f t="shared" ca="1" si="156"/>
        <v>-1.0305060279390528E-11</v>
      </c>
      <c r="CI38" s="918">
        <f t="shared" ca="1" si="156"/>
        <v>-0.10710182942781073</v>
      </c>
      <c r="CJ38" s="918">
        <f t="shared" ca="1" si="156"/>
        <v>0</v>
      </c>
      <c r="CK38" s="918" t="e">
        <f t="shared" ca="1" si="156"/>
        <v>#N/A</v>
      </c>
      <c r="CL38" s="918" t="e">
        <f t="shared" ca="1" si="156"/>
        <v>#N/A</v>
      </c>
      <c r="CM38" s="921"/>
      <c r="CN38" s="918">
        <f t="shared" ca="1" si="157"/>
        <v>0</v>
      </c>
      <c r="CO38" s="918" t="e">
        <f t="shared" ca="1" si="157"/>
        <v>#N/A</v>
      </c>
      <c r="CP38" s="918">
        <f t="shared" ca="1" si="157"/>
        <v>0</v>
      </c>
      <c r="CQ38" s="918">
        <f t="shared" ca="1" si="157"/>
        <v>0</v>
      </c>
      <c r="CR38" s="918">
        <f t="shared" ca="1" si="157"/>
        <v>0</v>
      </c>
      <c r="CS38" s="1144">
        <f t="shared" ca="1" si="157"/>
        <v>0</v>
      </c>
      <c r="CT38" s="921"/>
      <c r="CU38" s="918">
        <f t="shared" ca="1" si="158"/>
        <v>0</v>
      </c>
      <c r="CV38" s="918">
        <f t="shared" ca="1" si="158"/>
        <v>0</v>
      </c>
      <c r="CW38" s="918">
        <f t="shared" ca="1" si="158"/>
        <v>0</v>
      </c>
      <c r="CX38" s="918">
        <f t="shared" ca="1" si="158"/>
        <v>-2.7388922230737869</v>
      </c>
      <c r="CY38" s="918">
        <f t="shared" ca="1" si="158"/>
        <v>0</v>
      </c>
      <c r="CZ38" s="1144" t="e">
        <f t="shared" ca="1" si="158"/>
        <v>#N/A</v>
      </c>
      <c r="DA38" s="1144" t="e">
        <f t="shared" ca="1" si="158"/>
        <v>#N/A</v>
      </c>
      <c r="DB38" s="918">
        <f t="shared" ca="1" si="158"/>
        <v>0</v>
      </c>
      <c r="DC38" s="938">
        <f t="shared" ca="1" si="158"/>
        <v>0</v>
      </c>
      <c r="DD38" s="918">
        <f t="shared" ca="1" si="158"/>
        <v>-7.2756571392762452E-13</v>
      </c>
      <c r="DE38" s="918">
        <f t="shared" ca="1" si="158"/>
        <v>-1.3559673338728836E-14</v>
      </c>
      <c r="DF38" s="918">
        <f t="shared" ca="1" si="158"/>
        <v>0</v>
      </c>
      <c r="DG38" s="918">
        <f t="shared" ca="1" si="158"/>
        <v>-1.4948870512312144E-3</v>
      </c>
      <c r="DH38" s="918">
        <f t="shared" ca="1" si="158"/>
        <v>-1.1851066088662014E-3</v>
      </c>
      <c r="DI38" s="921"/>
      <c r="DJ38" s="1144">
        <f t="shared" ca="1" si="139"/>
        <v>-8.3177207079788724E-3</v>
      </c>
      <c r="DK38" s="1144">
        <f t="shared" ca="1" si="139"/>
        <v>-0.24566176531058684</v>
      </c>
      <c r="DL38" s="1144">
        <f t="shared" ca="1" si="139"/>
        <v>0</v>
      </c>
      <c r="DM38" s="1144">
        <f t="shared" ca="1" si="139"/>
        <v>0</v>
      </c>
      <c r="DN38" s="1144" t="e">
        <f t="shared" ca="1" si="139"/>
        <v>#N/A</v>
      </c>
      <c r="DO38" s="1144">
        <f t="shared" ca="1" si="139"/>
        <v>-1.0159179436220769E-2</v>
      </c>
      <c r="DP38" s="1144" t="e">
        <f t="shared" ca="1" si="139"/>
        <v>#N/A</v>
      </c>
      <c r="DQ38" s="921"/>
      <c r="DR38" s="1144">
        <f t="shared" ca="1" si="140"/>
        <v>-2.3645322194010636</v>
      </c>
      <c r="DS38" s="1144">
        <f t="shared" ca="1" si="140"/>
        <v>0</v>
      </c>
      <c r="DT38" s="1144">
        <f t="shared" ca="1" si="140"/>
        <v>0</v>
      </c>
      <c r="DU38" s="1144" t="e">
        <f t="shared" ca="1" si="140"/>
        <v>#N/A</v>
      </c>
      <c r="DV38" s="920"/>
      <c r="DW38" s="921"/>
      <c r="DX38" s="918">
        <f t="shared" ca="1" si="141"/>
        <v>-2.3645322194010636</v>
      </c>
      <c r="DY38" s="918">
        <f t="shared" ca="1" si="141"/>
        <v>0</v>
      </c>
      <c r="DZ38" s="918">
        <f t="shared" ca="1" si="141"/>
        <v>0</v>
      </c>
      <c r="EA38" s="918" t="e">
        <f t="shared" ca="1" si="141"/>
        <v>#N/A</v>
      </c>
      <c r="EB38" s="920"/>
      <c r="EC38" s="921"/>
      <c r="ED38" s="1144">
        <f t="shared" ca="1" si="142"/>
        <v>-0.12785970563092003</v>
      </c>
      <c r="EE38" s="1144">
        <f t="shared" ca="1" si="142"/>
        <v>0</v>
      </c>
      <c r="EF38" s="1144" t="e">
        <f t="shared" ca="1" si="142"/>
        <v>#N/A</v>
      </c>
      <c r="EG38" s="1144" t="e">
        <f t="shared" ca="1" si="142"/>
        <v>#N/A</v>
      </c>
      <c r="EH38" s="920"/>
      <c r="EI38" s="921"/>
      <c r="EJ38" s="918">
        <f t="shared" ca="1" si="143"/>
        <v>0</v>
      </c>
      <c r="EK38" s="918">
        <f t="shared" ca="1" si="143"/>
        <v>0</v>
      </c>
      <c r="EL38" s="918">
        <f t="shared" ca="1" si="143"/>
        <v>0</v>
      </c>
      <c r="EM38" s="918">
        <f t="shared" ca="1" si="143"/>
        <v>0</v>
      </c>
      <c r="EN38" s="920"/>
      <c r="EO38" s="921"/>
      <c r="EP38" s="1144">
        <f t="shared" ca="1" si="144"/>
        <v>-1.4948870512312144E-3</v>
      </c>
      <c r="EQ38" s="1144">
        <f t="shared" ca="1" si="144"/>
        <v>-1.4948870512312144E-3</v>
      </c>
      <c r="ER38" s="1144">
        <f t="shared" ca="1" si="144"/>
        <v>0</v>
      </c>
      <c r="ES38" s="1144">
        <f t="shared" ca="1" si="144"/>
        <v>-1.2782599440521643E-14</v>
      </c>
      <c r="ET38" s="920"/>
      <c r="EU38" s="921"/>
      <c r="EV38" s="1144">
        <f t="shared" ca="1" si="145"/>
        <v>0</v>
      </c>
      <c r="EW38" s="1144">
        <f t="shared" ca="1" si="145"/>
        <v>0</v>
      </c>
      <c r="EX38" s="921"/>
      <c r="EY38" s="1144">
        <f t="shared" ca="1" si="145"/>
        <v>0</v>
      </c>
      <c r="EZ38" s="1144">
        <f t="shared" ca="1" si="145"/>
        <v>0</v>
      </c>
      <c r="FA38" s="1144" t="e">
        <f t="shared" ca="1" si="145"/>
        <v>#N/A</v>
      </c>
      <c r="FB38" s="921"/>
      <c r="FC38" s="918">
        <f t="shared" ca="1" si="159"/>
        <v>0</v>
      </c>
      <c r="FD38" s="918">
        <f t="shared" ca="1" si="159"/>
        <v>0</v>
      </c>
      <c r="FE38" s="918">
        <f t="shared" ca="1" si="159"/>
        <v>0</v>
      </c>
      <c r="FF38" s="918">
        <f t="shared" ca="1" si="159"/>
        <v>0</v>
      </c>
      <c r="FG38" s="918">
        <f t="shared" ca="1" si="159"/>
        <v>0</v>
      </c>
      <c r="FH38" s="918">
        <f t="shared" ca="1" si="159"/>
        <v>0</v>
      </c>
      <c r="FI38" s="918">
        <f t="shared" ca="1" si="159"/>
        <v>0</v>
      </c>
      <c r="FJ38" s="918">
        <f t="shared" ca="1" si="159"/>
        <v>0</v>
      </c>
      <c r="FK38" s="918">
        <f t="shared" ca="1" si="159"/>
        <v>0</v>
      </c>
      <c r="FL38" s="918">
        <f t="shared" ca="1" si="159"/>
        <v>0</v>
      </c>
      <c r="FM38" s="918" t="e">
        <f t="shared" ca="1" si="160"/>
        <v>#N/A</v>
      </c>
      <c r="FN38" s="1144">
        <f t="shared" ca="1" si="160"/>
        <v>0</v>
      </c>
      <c r="FO38" s="1144">
        <f t="shared" ca="1" si="160"/>
        <v>0</v>
      </c>
      <c r="FP38" s="918">
        <f t="shared" ca="1" si="160"/>
        <v>0</v>
      </c>
      <c r="FQ38" s="918">
        <f t="shared" ca="1" si="160"/>
        <v>0</v>
      </c>
      <c r="FR38" s="918">
        <f t="shared" ca="1" si="160"/>
        <v>0</v>
      </c>
      <c r="FS38" s="918">
        <f t="shared" ca="1" si="160"/>
        <v>0</v>
      </c>
      <c r="FT38" s="918">
        <f t="shared" ca="1" si="160"/>
        <v>0</v>
      </c>
      <c r="FU38" s="918" t="e">
        <f t="shared" ca="1" si="160"/>
        <v>#N/A</v>
      </c>
      <c r="FV38" s="1144" t="e">
        <f t="shared" ca="1" si="160"/>
        <v>#N/A</v>
      </c>
      <c r="FW38" s="918">
        <f t="shared" ca="1" si="160"/>
        <v>0</v>
      </c>
      <c r="FX38" s="918">
        <f t="shared" ca="1" si="160"/>
        <v>0</v>
      </c>
      <c r="FY38" s="918">
        <f t="shared" ca="1" si="160"/>
        <v>0</v>
      </c>
      <c r="FZ38" s="918">
        <f t="shared" ca="1" si="160"/>
        <v>0</v>
      </c>
      <c r="GA38" s="1144" t="e">
        <f t="shared" ca="1" si="160"/>
        <v>#N/A</v>
      </c>
      <c r="GB38" s="918">
        <f t="shared" ca="1" si="160"/>
        <v>0</v>
      </c>
      <c r="GC38" s="920"/>
      <c r="GD38" s="918">
        <f t="shared" ca="1" si="161"/>
        <v>0</v>
      </c>
      <c r="GE38" s="918">
        <f t="shared" ca="1" si="161"/>
        <v>0</v>
      </c>
      <c r="GF38" s="918">
        <f t="shared" ca="1" si="161"/>
        <v>0</v>
      </c>
      <c r="GG38" s="918">
        <f t="shared" ca="1" si="161"/>
        <v>0</v>
      </c>
      <c r="GH38" s="918" t="e">
        <f t="shared" ca="1" si="161"/>
        <v>#N/A</v>
      </c>
      <c r="GI38" s="1144" t="e">
        <f t="shared" ca="1" si="161"/>
        <v>#N/A</v>
      </c>
      <c r="GJ38" s="918">
        <f t="shared" ca="1" si="161"/>
        <v>-1.3559673338728836E-14</v>
      </c>
      <c r="GK38" s="918">
        <f t="shared" ca="1" si="161"/>
        <v>-1.4948870512312144E-3</v>
      </c>
      <c r="GL38" s="918">
        <f t="shared" ca="1" si="161"/>
        <v>0</v>
      </c>
      <c r="GM38" s="918">
        <f t="shared" ca="1" si="161"/>
        <v>0</v>
      </c>
      <c r="GN38" s="918">
        <f t="shared" ca="1" si="161"/>
        <v>0</v>
      </c>
      <c r="GO38" s="918" t="e">
        <f t="shared" ca="1" si="161"/>
        <v>#N/A</v>
      </c>
      <c r="GP38" s="915"/>
      <c r="GQ38" s="1143" t="s">
        <v>3088</v>
      </c>
      <c r="GR38" s="1183">
        <f ca="1">GB9</f>
        <v>147136.25899999999</v>
      </c>
      <c r="GS38" s="1182" t="s">
        <v>287</v>
      </c>
      <c r="GU38" s="1181">
        <f ca="1">GO17</f>
        <v>-19.544912181556086</v>
      </c>
      <c r="GV38" s="1182" t="s">
        <v>3079</v>
      </c>
      <c r="GW38" s="946"/>
      <c r="GX38" s="1143"/>
      <c r="GY38" s="946"/>
    </row>
    <row r="39" spans="1:207" s="914" customFormat="1" x14ac:dyDescent="0.3">
      <c r="A39" s="975" t="s">
        <v>1517</v>
      </c>
      <c r="B39" s="977">
        <v>19</v>
      </c>
      <c r="C39" s="973">
        <v>152.15</v>
      </c>
      <c r="D39" s="914">
        <v>-0.87468325683999992</v>
      </c>
      <c r="E39" s="972" t="s">
        <v>982</v>
      </c>
      <c r="F39" s="936">
        <f t="shared" ca="1" si="150"/>
        <v>0</v>
      </c>
      <c r="G39" s="918">
        <f t="shared" ca="1" si="150"/>
        <v>-2.417321702710531E-4</v>
      </c>
      <c r="H39" s="918">
        <f t="shared" ca="1" si="150"/>
        <v>0</v>
      </c>
      <c r="I39" s="918">
        <f t="shared" ca="1" si="150"/>
        <v>0</v>
      </c>
      <c r="J39" s="918">
        <f t="shared" ca="1" si="150"/>
        <v>0</v>
      </c>
      <c r="K39" s="1144">
        <f t="shared" ca="1" si="150"/>
        <v>0</v>
      </c>
      <c r="L39" s="918">
        <f t="shared" ca="1" si="150"/>
        <v>0</v>
      </c>
      <c r="M39" s="918">
        <f t="shared" ca="1" si="150"/>
        <v>0</v>
      </c>
      <c r="N39" s="938">
        <f t="shared" ca="1" si="150"/>
        <v>0</v>
      </c>
      <c r="O39" s="918">
        <f t="shared" ca="1" si="150"/>
        <v>-5.2558299186539128E-4</v>
      </c>
      <c r="P39" s="939">
        <f t="shared" ca="1" si="150"/>
        <v>-3.77432960764241</v>
      </c>
      <c r="Q39" s="921"/>
      <c r="R39" s="918">
        <f t="shared" ca="1" si="151"/>
        <v>-3.77432960764241</v>
      </c>
      <c r="S39" s="918">
        <f t="shared" ca="1" si="151"/>
        <v>0</v>
      </c>
      <c r="T39" s="918">
        <f t="shared" ca="1" si="151"/>
        <v>0</v>
      </c>
      <c r="U39" s="918">
        <f t="shared" ca="1" si="151"/>
        <v>0</v>
      </c>
      <c r="V39" s="918">
        <f t="shared" ca="1" si="151"/>
        <v>0</v>
      </c>
      <c r="W39" s="918">
        <f t="shared" ca="1" si="151"/>
        <v>0</v>
      </c>
      <c r="X39" s="938">
        <f t="shared" ca="1" si="151"/>
        <v>-1.1151368804903096E-7</v>
      </c>
      <c r="Y39" s="918">
        <f t="shared" ca="1" si="151"/>
        <v>-3.77432960764241</v>
      </c>
      <c r="Z39" s="918">
        <f t="shared" ca="1" si="151"/>
        <v>-1.0107764004058205E-7</v>
      </c>
      <c r="AA39" s="918">
        <f t="shared" ca="1" si="151"/>
        <v>-1.0428050189889944E-8</v>
      </c>
      <c r="AB39" s="921"/>
      <c r="AC39" s="918">
        <f t="shared" ca="1" si="152"/>
        <v>0</v>
      </c>
      <c r="AD39" s="918">
        <f t="shared" ca="1" si="152"/>
        <v>0</v>
      </c>
      <c r="AE39" s="918">
        <f t="shared" ca="1" si="152"/>
        <v>0</v>
      </c>
      <c r="AF39" s="918">
        <f t="shared" ca="1" si="152"/>
        <v>0</v>
      </c>
      <c r="AG39" s="918">
        <f t="shared" ca="1" si="152"/>
        <v>0</v>
      </c>
      <c r="AH39" s="918">
        <f t="shared" ca="1" si="152"/>
        <v>0</v>
      </c>
      <c r="AI39" s="918">
        <f t="shared" ca="1" si="152"/>
        <v>0</v>
      </c>
      <c r="AJ39" s="918">
        <f t="shared" ca="1" si="152"/>
        <v>0</v>
      </c>
      <c r="AK39" s="938">
        <f t="shared" ca="1" si="152"/>
        <v>0</v>
      </c>
      <c r="AL39" s="918">
        <f t="shared" ca="1" si="152"/>
        <v>0</v>
      </c>
      <c r="AM39" s="918">
        <f t="shared" ca="1" si="152"/>
        <v>0</v>
      </c>
      <c r="AN39" s="918">
        <f t="shared" ca="1" si="152"/>
        <v>0</v>
      </c>
      <c r="AO39" s="921"/>
      <c r="AP39" s="1144">
        <f t="shared" ca="1" si="132"/>
        <v>-3.77432960764241</v>
      </c>
      <c r="AQ39" s="1144">
        <f t="shared" ca="1" si="132"/>
        <v>-1.0428050189889944E-8</v>
      </c>
      <c r="AR39" s="1144">
        <f t="shared" ca="1" si="132"/>
        <v>-1.0107764004058205E-7</v>
      </c>
      <c r="AS39" s="1144">
        <f t="shared" ca="1" si="132"/>
        <v>0</v>
      </c>
      <c r="AT39" s="938">
        <f t="shared" ca="1" si="132"/>
        <v>0</v>
      </c>
      <c r="AU39" s="938">
        <f t="shared" ca="1" si="132"/>
        <v>0</v>
      </c>
      <c r="AV39" s="1144">
        <f t="shared" ca="1" si="132"/>
        <v>-1.6169216529952588E-32</v>
      </c>
      <c r="AW39" s="1144">
        <f t="shared" ca="1" si="132"/>
        <v>-1.1151368804903096E-7</v>
      </c>
      <c r="AX39" s="1144">
        <f t="shared" ca="1" si="132"/>
        <v>0</v>
      </c>
      <c r="AY39" s="1144">
        <f t="shared" ca="1" si="132"/>
        <v>-2.417321702710531E-4</v>
      </c>
      <c r="AZ39" s="1144">
        <f t="shared" ca="1" si="132"/>
        <v>0</v>
      </c>
      <c r="BA39" s="1144">
        <f t="shared" ca="1" si="132"/>
        <v>-3.6335726345548887</v>
      </c>
      <c r="BB39" s="1144">
        <f t="shared" ca="1" si="149"/>
        <v>-0.14051507473318053</v>
      </c>
      <c r="BC39" s="1144">
        <f t="shared" ca="1" si="149"/>
        <v>-1.6781211967701573E-7</v>
      </c>
      <c r="BD39" s="921"/>
      <c r="BE39" s="918">
        <f t="shared" ca="1" si="153"/>
        <v>-3.77432960764241</v>
      </c>
      <c r="BF39" s="918">
        <f t="shared" ca="1" si="153"/>
        <v>-1.0428050189889944E-8</v>
      </c>
      <c r="BG39" s="918">
        <f t="shared" ca="1" si="153"/>
        <v>-1.0107764004058205E-7</v>
      </c>
      <c r="BH39" s="918">
        <f t="shared" ca="1" si="153"/>
        <v>0</v>
      </c>
      <c r="BI39" s="938">
        <f t="shared" ca="1" si="153"/>
        <v>0</v>
      </c>
      <c r="BJ39" s="918">
        <f t="shared" ca="1" si="153"/>
        <v>-1.6169216529952588E-32</v>
      </c>
      <c r="BK39" s="918">
        <f t="shared" ca="1" si="153"/>
        <v>-1.1151368804903096E-7</v>
      </c>
      <c r="BL39" s="918">
        <f t="shared" ca="1" si="153"/>
        <v>0</v>
      </c>
      <c r="BM39" s="918">
        <f t="shared" ca="1" si="153"/>
        <v>-3.7740878754290228</v>
      </c>
      <c r="BN39" s="1144">
        <f t="shared" ca="1" si="153"/>
        <v>0</v>
      </c>
      <c r="BO39" s="918">
        <f t="shared" ca="1" si="153"/>
        <v>-2.417321702710531E-4</v>
      </c>
      <c r="BP39" s="921"/>
      <c r="BQ39" s="918">
        <f t="shared" ca="1" si="154"/>
        <v>0</v>
      </c>
      <c r="BR39" s="918">
        <f t="shared" ca="1" si="154"/>
        <v>-3.7740878754290228</v>
      </c>
      <c r="BS39" s="1144">
        <f t="shared" ca="1" si="154"/>
        <v>0</v>
      </c>
      <c r="BT39" s="918">
        <f t="shared" ca="1" si="154"/>
        <v>-3.6335726345548887</v>
      </c>
      <c r="BU39" s="918">
        <f t="shared" ca="1" si="154"/>
        <v>-1.6781211967701573E-7</v>
      </c>
      <c r="BV39" s="918">
        <f t="shared" ca="1" si="154"/>
        <v>-0.14051507473318053</v>
      </c>
      <c r="BW39" s="1144">
        <f t="shared" ca="1" si="154"/>
        <v>0</v>
      </c>
      <c r="BX39" s="921"/>
      <c r="BY39" s="918">
        <f t="shared" ca="1" si="155"/>
        <v>-0.14051507473318053</v>
      </c>
      <c r="BZ39" s="918">
        <f t="shared" ca="1" si="155"/>
        <v>-1.6781211967701573E-7</v>
      </c>
      <c r="CA39" s="918">
        <f t="shared" ca="1" si="155"/>
        <v>0</v>
      </c>
      <c r="CB39" s="918">
        <f t="shared" ca="1" si="155"/>
        <v>-6.4992014008599941E-3</v>
      </c>
      <c r="CC39" s="918">
        <f t="shared" ca="1" si="155"/>
        <v>-3.1367499691975429E-8</v>
      </c>
      <c r="CD39" s="918">
        <f t="shared" ca="1" si="155"/>
        <v>0</v>
      </c>
      <c r="CE39" s="918">
        <f t="shared" ca="1" si="155"/>
        <v>0</v>
      </c>
      <c r="CF39" s="918">
        <f t="shared" ca="1" si="155"/>
        <v>0</v>
      </c>
      <c r="CG39" s="921"/>
      <c r="CH39" s="918">
        <f t="shared" ca="1" si="156"/>
        <v>-1.9917961971392048E-7</v>
      </c>
      <c r="CI39" s="918">
        <f t="shared" ca="1" si="156"/>
        <v>-0.14701427601906411</v>
      </c>
      <c r="CJ39" s="918">
        <f t="shared" ca="1" si="156"/>
        <v>0</v>
      </c>
      <c r="CK39" s="918" t="e">
        <f t="shared" ca="1" si="156"/>
        <v>#N/A</v>
      </c>
      <c r="CL39" s="918" t="e">
        <f t="shared" ca="1" si="156"/>
        <v>#N/A</v>
      </c>
      <c r="CM39" s="921"/>
      <c r="CN39" s="918">
        <f t="shared" ca="1" si="157"/>
        <v>0</v>
      </c>
      <c r="CO39" s="918" t="e">
        <f t="shared" ca="1" si="157"/>
        <v>#N/A</v>
      </c>
      <c r="CP39" s="918">
        <f t="shared" ca="1" si="157"/>
        <v>0</v>
      </c>
      <c r="CQ39" s="918">
        <f t="shared" ca="1" si="157"/>
        <v>0</v>
      </c>
      <c r="CR39" s="918">
        <f t="shared" ca="1" si="157"/>
        <v>0</v>
      </c>
      <c r="CS39" s="1144">
        <f t="shared" ca="1" si="157"/>
        <v>0</v>
      </c>
      <c r="CT39" s="921"/>
      <c r="CU39" s="918">
        <f t="shared" ca="1" si="158"/>
        <v>-5.2558299186539128E-4</v>
      </c>
      <c r="CV39" s="918">
        <f t="shared" ca="1" si="158"/>
        <v>0</v>
      </c>
      <c r="CW39" s="918">
        <f t="shared" ca="1" si="158"/>
        <v>0</v>
      </c>
      <c r="CX39" s="918">
        <f t="shared" ca="1" si="158"/>
        <v>-3.6335726345548887</v>
      </c>
      <c r="CY39" s="918">
        <f t="shared" ca="1" si="158"/>
        <v>0</v>
      </c>
      <c r="CZ39" s="1144" t="e">
        <f t="shared" ca="1" si="158"/>
        <v>#N/A</v>
      </c>
      <c r="DA39" s="1144" t="e">
        <f t="shared" ca="1" si="158"/>
        <v>#N/A</v>
      </c>
      <c r="DB39" s="918">
        <f t="shared" ca="1" si="158"/>
        <v>0</v>
      </c>
      <c r="DC39" s="938">
        <f t="shared" ca="1" si="158"/>
        <v>0</v>
      </c>
      <c r="DD39" s="918">
        <f t="shared" ca="1" si="158"/>
        <v>-3.1367499691975429E-8</v>
      </c>
      <c r="DE39" s="918">
        <f t="shared" ca="1" si="158"/>
        <v>-7.2871672431366544E-8</v>
      </c>
      <c r="DF39" s="918">
        <f t="shared" ca="1" si="158"/>
        <v>0</v>
      </c>
      <c r="DG39" s="918">
        <f t="shared" ca="1" si="158"/>
        <v>-0.32056953376708841</v>
      </c>
      <c r="DH39" s="918">
        <f t="shared" ca="1" si="158"/>
        <v>-6.4992014008599941E-3</v>
      </c>
      <c r="DI39" s="921"/>
      <c r="DJ39" s="1144">
        <f t="shared" ca="1" si="139"/>
        <v>-1.7836852157212417</v>
      </c>
      <c r="DK39" s="1144">
        <f t="shared" ca="1" si="139"/>
        <v>-0.39488983459044535</v>
      </c>
      <c r="DL39" s="1144">
        <f t="shared" ca="1" si="139"/>
        <v>0</v>
      </c>
      <c r="DM39" s="1144">
        <f t="shared" ca="1" si="139"/>
        <v>0</v>
      </c>
      <c r="DN39" s="1144" t="e">
        <f t="shared" ca="1" si="139"/>
        <v>#N/A</v>
      </c>
      <c r="DO39" s="1144">
        <f t="shared" ca="1" si="139"/>
        <v>-2.1785750537609805</v>
      </c>
      <c r="DP39" s="1144" t="e">
        <f t="shared" ca="1" si="139"/>
        <v>#N/A</v>
      </c>
      <c r="DQ39" s="921"/>
      <c r="DR39" s="1144">
        <f t="shared" ca="1" si="140"/>
        <v>-3.1373787695915616</v>
      </c>
      <c r="DS39" s="1144">
        <f t="shared" ca="1" si="140"/>
        <v>0</v>
      </c>
      <c r="DT39" s="1144">
        <f t="shared" ca="1" si="140"/>
        <v>0</v>
      </c>
      <c r="DU39" s="1144" t="e">
        <f t="shared" ca="1" si="140"/>
        <v>#N/A</v>
      </c>
      <c r="DV39" s="920"/>
      <c r="DW39" s="921"/>
      <c r="DX39" s="918">
        <f t="shared" ca="1" si="141"/>
        <v>-3.1373787695915616</v>
      </c>
      <c r="DY39" s="918">
        <f t="shared" ca="1" si="141"/>
        <v>0</v>
      </c>
      <c r="DZ39" s="918">
        <f t="shared" ca="1" si="141"/>
        <v>0</v>
      </c>
      <c r="EA39" s="918" t="e">
        <f t="shared" ca="1" si="141"/>
        <v>#N/A</v>
      </c>
      <c r="EB39" s="920"/>
      <c r="EC39" s="921"/>
      <c r="ED39" s="1144">
        <f t="shared" ca="1" si="142"/>
        <v>-0.16965060672780277</v>
      </c>
      <c r="EE39" s="1144">
        <f t="shared" ca="1" si="142"/>
        <v>0</v>
      </c>
      <c r="EF39" s="1144" t="e">
        <f t="shared" ca="1" si="142"/>
        <v>#N/A</v>
      </c>
      <c r="EG39" s="1144" t="e">
        <f t="shared" ca="1" si="142"/>
        <v>#N/A</v>
      </c>
      <c r="EH39" s="920"/>
      <c r="EI39" s="921"/>
      <c r="EJ39" s="918">
        <f t="shared" ca="1" si="143"/>
        <v>0</v>
      </c>
      <c r="EK39" s="918">
        <f t="shared" ca="1" si="143"/>
        <v>0</v>
      </c>
      <c r="EL39" s="918">
        <f t="shared" ca="1" si="143"/>
        <v>0</v>
      </c>
      <c r="EM39" s="918">
        <f t="shared" ca="1" si="143"/>
        <v>0</v>
      </c>
      <c r="EN39" s="920"/>
      <c r="EO39" s="921"/>
      <c r="EP39" s="1144">
        <f t="shared" ca="1" si="144"/>
        <v>-0.32056954468985011</v>
      </c>
      <c r="EQ39" s="1144">
        <f t="shared" ca="1" si="144"/>
        <v>-0.32056953376708841</v>
      </c>
      <c r="ER39" s="1144">
        <f t="shared" ca="1" si="144"/>
        <v>0</v>
      </c>
      <c r="ES39" s="1144">
        <f t="shared" ca="1" si="144"/>
        <v>-1.0860440013051241E-8</v>
      </c>
      <c r="ET39" s="920"/>
      <c r="EU39" s="921"/>
      <c r="EV39" s="1144">
        <f t="shared" ca="1" si="145"/>
        <v>0</v>
      </c>
      <c r="EW39" s="1144">
        <f t="shared" ca="1" si="145"/>
        <v>0</v>
      </c>
      <c r="EX39" s="921"/>
      <c r="EY39" s="1144">
        <f t="shared" ca="1" si="145"/>
        <v>0</v>
      </c>
      <c r="EZ39" s="1144">
        <f t="shared" ca="1" si="145"/>
        <v>0</v>
      </c>
      <c r="FA39" s="1144" t="e">
        <f t="shared" ca="1" si="145"/>
        <v>#N/A</v>
      </c>
      <c r="FB39" s="921"/>
      <c r="FC39" s="918">
        <f t="shared" ca="1" si="159"/>
        <v>0</v>
      </c>
      <c r="FD39" s="918">
        <f t="shared" ca="1" si="159"/>
        <v>0</v>
      </c>
      <c r="FE39" s="918">
        <f t="shared" ca="1" si="159"/>
        <v>0</v>
      </c>
      <c r="FF39" s="918">
        <f t="shared" ca="1" si="159"/>
        <v>0</v>
      </c>
      <c r="FG39" s="918">
        <f t="shared" ca="1" si="159"/>
        <v>0</v>
      </c>
      <c r="FH39" s="918">
        <f t="shared" ca="1" si="159"/>
        <v>0</v>
      </c>
      <c r="FI39" s="918">
        <f t="shared" ca="1" si="159"/>
        <v>0</v>
      </c>
      <c r="FJ39" s="918">
        <f t="shared" ca="1" si="159"/>
        <v>0</v>
      </c>
      <c r="FK39" s="918">
        <f t="shared" ca="1" si="159"/>
        <v>0</v>
      </c>
      <c r="FL39" s="918">
        <f t="shared" ca="1" si="159"/>
        <v>0</v>
      </c>
      <c r="FM39" s="918" t="e">
        <f t="shared" ca="1" si="160"/>
        <v>#N/A</v>
      </c>
      <c r="FN39" s="1144">
        <f t="shared" ca="1" si="160"/>
        <v>0</v>
      </c>
      <c r="FO39" s="1144">
        <f t="shared" ca="1" si="160"/>
        <v>0</v>
      </c>
      <c r="FP39" s="918">
        <f t="shared" ca="1" si="160"/>
        <v>0</v>
      </c>
      <c r="FQ39" s="918">
        <f t="shared" ca="1" si="160"/>
        <v>0</v>
      </c>
      <c r="FR39" s="918">
        <f t="shared" ca="1" si="160"/>
        <v>0</v>
      </c>
      <c r="FS39" s="918">
        <f t="shared" ca="1" si="160"/>
        <v>0</v>
      </c>
      <c r="FT39" s="918">
        <f t="shared" ca="1" si="160"/>
        <v>0</v>
      </c>
      <c r="FU39" s="918" t="e">
        <f t="shared" ca="1" si="160"/>
        <v>#N/A</v>
      </c>
      <c r="FV39" s="1144" t="e">
        <f t="shared" ca="1" si="160"/>
        <v>#N/A</v>
      </c>
      <c r="FW39" s="918">
        <f t="shared" ca="1" si="160"/>
        <v>0</v>
      </c>
      <c r="FX39" s="918">
        <f t="shared" ca="1" si="160"/>
        <v>0</v>
      </c>
      <c r="FY39" s="918">
        <f t="shared" ca="1" si="160"/>
        <v>0</v>
      </c>
      <c r="FZ39" s="918">
        <f t="shared" ca="1" si="160"/>
        <v>0</v>
      </c>
      <c r="GA39" s="1144" t="e">
        <f t="shared" ca="1" si="160"/>
        <v>#N/A</v>
      </c>
      <c r="GB39" s="918">
        <f t="shared" ca="1" si="160"/>
        <v>0</v>
      </c>
      <c r="GC39" s="920"/>
      <c r="GD39" s="918">
        <f t="shared" ca="1" si="161"/>
        <v>0</v>
      </c>
      <c r="GE39" s="918">
        <f t="shared" ca="1" si="161"/>
        <v>0</v>
      </c>
      <c r="GF39" s="918">
        <f t="shared" ca="1" si="161"/>
        <v>0</v>
      </c>
      <c r="GG39" s="918">
        <f t="shared" ca="1" si="161"/>
        <v>-1.6169216529952588E-32</v>
      </c>
      <c r="GH39" s="918" t="e">
        <f t="shared" ca="1" si="161"/>
        <v>#N/A</v>
      </c>
      <c r="GI39" s="1144" t="e">
        <f t="shared" ca="1" si="161"/>
        <v>#N/A</v>
      </c>
      <c r="GJ39" s="918">
        <f t="shared" ca="1" si="161"/>
        <v>-7.2871672431366544E-8</v>
      </c>
      <c r="GK39" s="918">
        <f t="shared" ca="1" si="161"/>
        <v>-0.32056953376708841</v>
      </c>
      <c r="GL39" s="918">
        <f t="shared" ca="1" si="161"/>
        <v>0</v>
      </c>
      <c r="GM39" s="918">
        <f t="shared" ca="1" si="161"/>
        <v>0</v>
      </c>
      <c r="GN39" s="918">
        <f t="shared" ca="1" si="161"/>
        <v>0</v>
      </c>
      <c r="GO39" s="918" t="e">
        <f t="shared" ca="1" si="161"/>
        <v>#N/A</v>
      </c>
      <c r="GP39" s="915"/>
      <c r="GR39" s="1181">
        <f ca="1">GB10</f>
        <v>0</v>
      </c>
      <c r="GS39" s="1182" t="s">
        <v>3077</v>
      </c>
      <c r="GU39" s="946"/>
      <c r="GV39" s="946"/>
      <c r="GW39" s="946"/>
      <c r="GX39" s="1143"/>
      <c r="GY39" s="946"/>
    </row>
    <row r="40" spans="1:207" s="914" customFormat="1" x14ac:dyDescent="0.3">
      <c r="A40" s="975" t="s">
        <v>1518</v>
      </c>
      <c r="B40" s="977">
        <v>5</v>
      </c>
      <c r="C40" s="973">
        <v>46.069040000000001</v>
      </c>
      <c r="D40" s="914">
        <v>-0.29496760951000001</v>
      </c>
      <c r="E40" s="972" t="s">
        <v>982</v>
      </c>
      <c r="F40" s="936">
        <f t="shared" ca="1" si="150"/>
        <v>0</v>
      </c>
      <c r="G40" s="918">
        <f t="shared" ca="1" si="150"/>
        <v>-0.11793979165899797</v>
      </c>
      <c r="H40" s="918">
        <f t="shared" ca="1" si="150"/>
        <v>0</v>
      </c>
      <c r="I40" s="918">
        <f t="shared" ca="1" si="150"/>
        <v>0</v>
      </c>
      <c r="J40" s="918">
        <f t="shared" ca="1" si="150"/>
        <v>0</v>
      </c>
      <c r="K40" s="1144">
        <f t="shared" ca="1" si="150"/>
        <v>0</v>
      </c>
      <c r="L40" s="918">
        <f t="shared" ca="1" si="150"/>
        <v>0</v>
      </c>
      <c r="M40" s="918">
        <f t="shared" ca="1" si="150"/>
        <v>0</v>
      </c>
      <c r="N40" s="938">
        <f t="shared" ca="1" si="150"/>
        <v>0</v>
      </c>
      <c r="O40" s="918">
        <f t="shared" ca="1" si="150"/>
        <v>-8.0305163211802547E-2</v>
      </c>
      <c r="P40" s="939">
        <f t="shared" ca="1" si="150"/>
        <v>-3.7634628319140835E-2</v>
      </c>
      <c r="Q40" s="921"/>
      <c r="R40" s="918">
        <f t="shared" ca="1" si="151"/>
        <v>-3.7634628319140835E-2</v>
      </c>
      <c r="S40" s="918">
        <f t="shared" ca="1" si="151"/>
        <v>0</v>
      </c>
      <c r="T40" s="918">
        <f t="shared" ca="1" si="151"/>
        <v>0</v>
      </c>
      <c r="U40" s="918">
        <f t="shared" ca="1" si="151"/>
        <v>0</v>
      </c>
      <c r="V40" s="918">
        <f t="shared" ca="1" si="151"/>
        <v>0</v>
      </c>
      <c r="W40" s="918">
        <f t="shared" ca="1" si="151"/>
        <v>0</v>
      </c>
      <c r="X40" s="938">
        <f t="shared" ca="1" si="151"/>
        <v>-2.7125764204205822</v>
      </c>
      <c r="Y40" s="918">
        <f t="shared" ca="1" si="151"/>
        <v>-140.48006301051726</v>
      </c>
      <c r="Z40" s="918">
        <f t="shared" ca="1" si="151"/>
        <v>-2.1158988133189789</v>
      </c>
      <c r="AA40" s="918">
        <f t="shared" ca="1" si="151"/>
        <v>-0.20470240163340098</v>
      </c>
      <c r="AB40" s="921"/>
      <c r="AC40" s="918">
        <f t="shared" ca="1" si="152"/>
        <v>0</v>
      </c>
      <c r="AD40" s="918">
        <f t="shared" ca="1" si="152"/>
        <v>0</v>
      </c>
      <c r="AE40" s="918">
        <f t="shared" ca="1" si="152"/>
        <v>0</v>
      </c>
      <c r="AF40" s="918">
        <f t="shared" ca="1" si="152"/>
        <v>0</v>
      </c>
      <c r="AG40" s="918">
        <f t="shared" ca="1" si="152"/>
        <v>0</v>
      </c>
      <c r="AH40" s="918">
        <f t="shared" ca="1" si="152"/>
        <v>0</v>
      </c>
      <c r="AI40" s="918">
        <f t="shared" ca="1" si="152"/>
        <v>0</v>
      </c>
      <c r="AJ40" s="918">
        <f t="shared" ca="1" si="152"/>
        <v>0</v>
      </c>
      <c r="AK40" s="938">
        <f t="shared" ca="1" si="152"/>
        <v>0</v>
      </c>
      <c r="AL40" s="918">
        <f t="shared" ca="1" si="152"/>
        <v>0</v>
      </c>
      <c r="AM40" s="918">
        <f t="shared" ca="1" si="152"/>
        <v>0</v>
      </c>
      <c r="AN40" s="918">
        <f t="shared" ca="1" si="152"/>
        <v>0</v>
      </c>
      <c r="AO40" s="921"/>
      <c r="AP40" s="1144">
        <f t="shared" ca="1" si="132"/>
        <v>-140.48006301051726</v>
      </c>
      <c r="AQ40" s="1144">
        <f t="shared" ca="1" si="132"/>
        <v>-0.20470240163340098</v>
      </c>
      <c r="AR40" s="1144">
        <f t="shared" ca="1" si="132"/>
        <v>-2.1158988133189789</v>
      </c>
      <c r="AS40" s="1144">
        <f t="shared" ca="1" si="132"/>
        <v>0</v>
      </c>
      <c r="AT40" s="938">
        <f t="shared" ca="1" si="132"/>
        <v>0</v>
      </c>
      <c r="AU40" s="938">
        <f t="shared" ca="1" si="132"/>
        <v>0</v>
      </c>
      <c r="AV40" s="1144">
        <f t="shared" ca="1" si="132"/>
        <v>-2.7633955389300417E-2</v>
      </c>
      <c r="AW40" s="1144">
        <f t="shared" ca="1" si="132"/>
        <v>-2.7125764204205822</v>
      </c>
      <c r="AX40" s="1144">
        <f t="shared" ca="1" si="132"/>
        <v>-138.76257943592518</v>
      </c>
      <c r="AY40" s="1144">
        <f t="shared" ca="1" si="132"/>
        <v>-0.11793979165899797</v>
      </c>
      <c r="AZ40" s="1144">
        <f t="shared" ca="1" si="132"/>
        <v>0</v>
      </c>
      <c r="BA40" s="1144">
        <f t="shared" ca="1" si="132"/>
        <v>-1.1359987934463656</v>
      </c>
      <c r="BB40" s="1144">
        <f t="shared" ca="1" si="149"/>
        <v>-3.6437269465266348E-2</v>
      </c>
      <c r="BC40" s="1144">
        <f t="shared" ca="1" si="149"/>
        <v>-7.4933637970010063E-3</v>
      </c>
      <c r="BD40" s="921"/>
      <c r="BE40" s="918">
        <f t="shared" ca="1" si="153"/>
        <v>-140.48006301051726</v>
      </c>
      <c r="BF40" s="918">
        <f t="shared" ca="1" si="153"/>
        <v>-0.20470240163340098</v>
      </c>
      <c r="BG40" s="918">
        <f t="shared" ca="1" si="153"/>
        <v>-2.1158988133189789</v>
      </c>
      <c r="BH40" s="918">
        <f t="shared" ca="1" si="153"/>
        <v>0</v>
      </c>
      <c r="BI40" s="938">
        <f t="shared" ca="1" si="153"/>
        <v>0</v>
      </c>
      <c r="BJ40" s="918">
        <f t="shared" ca="1" si="153"/>
        <v>-2.7633955389300417E-2</v>
      </c>
      <c r="BK40" s="918">
        <f t="shared" ca="1" si="153"/>
        <v>-2.7125764204205822</v>
      </c>
      <c r="BL40" s="918">
        <f t="shared" ca="1" si="153"/>
        <v>-138.76257943592518</v>
      </c>
      <c r="BM40" s="918">
        <f t="shared" ca="1" si="153"/>
        <v>-1.1799294263884963</v>
      </c>
      <c r="BN40" s="1144">
        <f t="shared" ca="1" si="153"/>
        <v>0</v>
      </c>
      <c r="BO40" s="918">
        <f t="shared" ca="1" si="153"/>
        <v>-0.11793979165899797</v>
      </c>
      <c r="BP40" s="921"/>
      <c r="BQ40" s="918">
        <f t="shared" ca="1" si="154"/>
        <v>0</v>
      </c>
      <c r="BR40" s="918">
        <f t="shared" ca="1" si="154"/>
        <v>-1.1799294263884963</v>
      </c>
      <c r="BS40" s="1144">
        <f t="shared" ca="1" si="154"/>
        <v>0</v>
      </c>
      <c r="BT40" s="918">
        <f t="shared" ca="1" si="154"/>
        <v>-1.1359987934463656</v>
      </c>
      <c r="BU40" s="918">
        <f t="shared" ca="1" si="154"/>
        <v>-7.4933637970010063E-3</v>
      </c>
      <c r="BV40" s="918">
        <f t="shared" ca="1" si="154"/>
        <v>-3.6437269465266348E-2</v>
      </c>
      <c r="BW40" s="1144">
        <f t="shared" ca="1" si="154"/>
        <v>0</v>
      </c>
      <c r="BX40" s="921"/>
      <c r="BY40" s="918">
        <f t="shared" ca="1" si="155"/>
        <v>-3.6437269465266348E-2</v>
      </c>
      <c r="BZ40" s="918">
        <f t="shared" ca="1" si="155"/>
        <v>-7.4933637970010063E-3</v>
      </c>
      <c r="CA40" s="918">
        <f t="shared" ca="1" si="155"/>
        <v>0</v>
      </c>
      <c r="CB40" s="918">
        <f t="shared" ca="1" si="155"/>
        <v>-5.0857693675206074E-4</v>
      </c>
      <c r="CC40" s="918">
        <f t="shared" ca="1" si="155"/>
        <v>-3.6184277319151253E-3</v>
      </c>
      <c r="CD40" s="918">
        <f t="shared" ca="1" si="155"/>
        <v>0</v>
      </c>
      <c r="CE40" s="918">
        <f t="shared" ca="1" si="155"/>
        <v>0</v>
      </c>
      <c r="CF40" s="918">
        <f t="shared" ca="1" si="155"/>
        <v>0</v>
      </c>
      <c r="CG40" s="921"/>
      <c r="CH40" s="918">
        <f t="shared" ca="1" si="156"/>
        <v>-1.1111791496902482E-2</v>
      </c>
      <c r="CI40" s="918">
        <f t="shared" ca="1" si="156"/>
        <v>-3.6945846350796577E-2</v>
      </c>
      <c r="CJ40" s="918">
        <f t="shared" ca="1" si="156"/>
        <v>0</v>
      </c>
      <c r="CK40" s="918" t="e">
        <f t="shared" ca="1" si="156"/>
        <v>#N/A</v>
      </c>
      <c r="CL40" s="918" t="e">
        <f t="shared" ca="1" si="156"/>
        <v>#N/A</v>
      </c>
      <c r="CM40" s="921"/>
      <c r="CN40" s="918">
        <f t="shared" ca="1" si="157"/>
        <v>0</v>
      </c>
      <c r="CO40" s="918" t="e">
        <f t="shared" ca="1" si="157"/>
        <v>#N/A</v>
      </c>
      <c r="CP40" s="918">
        <f t="shared" ca="1" si="157"/>
        <v>0</v>
      </c>
      <c r="CQ40" s="918">
        <f t="shared" ca="1" si="157"/>
        <v>0</v>
      </c>
      <c r="CR40" s="918">
        <f t="shared" ca="1" si="157"/>
        <v>0</v>
      </c>
      <c r="CS40" s="1144">
        <f t="shared" ca="1" si="157"/>
        <v>0</v>
      </c>
      <c r="CT40" s="921"/>
      <c r="CU40" s="918">
        <f t="shared" ca="1" si="158"/>
        <v>-8.0305163211802547E-2</v>
      </c>
      <c r="CV40" s="918">
        <f t="shared" ca="1" si="158"/>
        <v>0</v>
      </c>
      <c r="CW40" s="918">
        <f t="shared" ca="1" si="158"/>
        <v>0</v>
      </c>
      <c r="CX40" s="918">
        <f t="shared" ca="1" si="158"/>
        <v>-1.1359987934463656</v>
      </c>
      <c r="CY40" s="918">
        <f t="shared" ca="1" si="158"/>
        <v>0</v>
      </c>
      <c r="CZ40" s="1144" t="e">
        <f t="shared" ca="1" si="158"/>
        <v>#N/A</v>
      </c>
      <c r="DA40" s="1144" t="e">
        <f t="shared" ca="1" si="158"/>
        <v>#N/A</v>
      </c>
      <c r="DB40" s="918">
        <f t="shared" ca="1" si="158"/>
        <v>0</v>
      </c>
      <c r="DC40" s="938">
        <f t="shared" ca="1" si="158"/>
        <v>0</v>
      </c>
      <c r="DD40" s="918">
        <f t="shared" ca="1" si="158"/>
        <v>-3.6184277319151253E-3</v>
      </c>
      <c r="DE40" s="918">
        <f t="shared" ca="1" si="158"/>
        <v>-1.3602180904357148E-4</v>
      </c>
      <c r="DF40" s="918">
        <f t="shared" ca="1" si="158"/>
        <v>0</v>
      </c>
      <c r="DG40" s="918">
        <f t="shared" ca="1" si="158"/>
        <v>-6.202830391229589E-4</v>
      </c>
      <c r="DH40" s="918">
        <f t="shared" ca="1" si="158"/>
        <v>-5.0857693675206074E-4</v>
      </c>
      <c r="DI40" s="921"/>
      <c r="DJ40" s="1144">
        <f t="shared" ca="1" si="139"/>
        <v>-3.4564290990549825E-3</v>
      </c>
      <c r="DK40" s="1144">
        <f t="shared" ca="1" si="139"/>
        <v>-0.10548528705135593</v>
      </c>
      <c r="DL40" s="1144">
        <f t="shared" ca="1" si="139"/>
        <v>0</v>
      </c>
      <c r="DM40" s="1144">
        <f t="shared" ca="1" si="139"/>
        <v>0</v>
      </c>
      <c r="DN40" s="1144" t="e">
        <f t="shared" ca="1" si="139"/>
        <v>#N/A</v>
      </c>
      <c r="DO40" s="1144">
        <f t="shared" ca="1" si="139"/>
        <v>-4.357668633210977E-3</v>
      </c>
      <c r="DP40" s="1144" t="e">
        <f t="shared" ca="1" si="139"/>
        <v>#N/A</v>
      </c>
      <c r="DQ40" s="921"/>
      <c r="DR40" s="1144">
        <f t="shared" ca="1" si="140"/>
        <v>-1.0500558878164297</v>
      </c>
      <c r="DS40" s="1144">
        <f t="shared" ca="1" si="140"/>
        <v>0</v>
      </c>
      <c r="DT40" s="1144">
        <f t="shared" ca="1" si="140"/>
        <v>0</v>
      </c>
      <c r="DU40" s="1144" t="e">
        <f t="shared" ca="1" si="140"/>
        <v>#N/A</v>
      </c>
      <c r="DV40" s="920"/>
      <c r="DW40" s="921"/>
      <c r="DX40" s="918">
        <f t="shared" ca="1" si="141"/>
        <v>-1.0500558878164297</v>
      </c>
      <c r="DY40" s="918">
        <f t="shared" ca="1" si="141"/>
        <v>0</v>
      </c>
      <c r="DZ40" s="918">
        <f t="shared" ca="1" si="141"/>
        <v>0</v>
      </c>
      <c r="EA40" s="918" t="e">
        <f t="shared" ca="1" si="141"/>
        <v>#N/A</v>
      </c>
      <c r="EB40" s="920"/>
      <c r="EC40" s="921"/>
      <c r="ED40" s="1144">
        <f t="shared" ca="1" si="142"/>
        <v>-5.6780717717424267E-2</v>
      </c>
      <c r="EE40" s="1144">
        <f t="shared" ca="1" si="142"/>
        <v>0</v>
      </c>
      <c r="EF40" s="1144" t="e">
        <f t="shared" ca="1" si="142"/>
        <v>#N/A</v>
      </c>
      <c r="EG40" s="1144" t="e">
        <f t="shared" ca="1" si="142"/>
        <v>#N/A</v>
      </c>
      <c r="EH40" s="920"/>
      <c r="EI40" s="921"/>
      <c r="EJ40" s="918">
        <f t="shared" ca="1" si="143"/>
        <v>0</v>
      </c>
      <c r="EK40" s="918">
        <f t="shared" ca="1" si="143"/>
        <v>0</v>
      </c>
      <c r="EL40" s="918">
        <f t="shared" ca="1" si="143"/>
        <v>0</v>
      </c>
      <c r="EM40" s="918">
        <f t="shared" ca="1" si="143"/>
        <v>0</v>
      </c>
      <c r="EN40" s="920"/>
      <c r="EO40" s="921"/>
      <c r="EP40" s="1144">
        <f t="shared" ca="1" si="144"/>
        <v>-6.212002864929339E-4</v>
      </c>
      <c r="EQ40" s="1144">
        <f t="shared" ca="1" si="144"/>
        <v>-6.202830391229589E-4</v>
      </c>
      <c r="ER40" s="1144">
        <f t="shared" ca="1" si="144"/>
        <v>0</v>
      </c>
      <c r="ES40" s="1144">
        <f t="shared" ca="1" si="144"/>
        <v>-9.1724735076676991E-7</v>
      </c>
      <c r="ET40" s="920"/>
      <c r="EU40" s="921"/>
      <c r="EV40" s="1144">
        <f t="shared" ca="1" si="145"/>
        <v>0</v>
      </c>
      <c r="EW40" s="1144">
        <f t="shared" ca="1" si="145"/>
        <v>0</v>
      </c>
      <c r="EX40" s="921"/>
      <c r="EY40" s="1144">
        <f t="shared" ca="1" si="145"/>
        <v>0</v>
      </c>
      <c r="EZ40" s="1144">
        <f t="shared" ca="1" si="145"/>
        <v>0</v>
      </c>
      <c r="FA40" s="1144" t="e">
        <f t="shared" ca="1" si="145"/>
        <v>#N/A</v>
      </c>
      <c r="FB40" s="921"/>
      <c r="FC40" s="918">
        <f t="shared" ca="1" si="159"/>
        <v>0</v>
      </c>
      <c r="FD40" s="918">
        <f t="shared" ca="1" si="159"/>
        <v>0</v>
      </c>
      <c r="FE40" s="918">
        <f t="shared" ca="1" si="159"/>
        <v>0</v>
      </c>
      <c r="FF40" s="918">
        <f t="shared" ca="1" si="159"/>
        <v>0</v>
      </c>
      <c r="FG40" s="918">
        <f t="shared" ca="1" si="159"/>
        <v>0</v>
      </c>
      <c r="FH40" s="918">
        <f t="shared" ca="1" si="159"/>
        <v>0</v>
      </c>
      <c r="FI40" s="918">
        <f t="shared" ca="1" si="159"/>
        <v>0</v>
      </c>
      <c r="FJ40" s="918">
        <f t="shared" ca="1" si="159"/>
        <v>0</v>
      </c>
      <c r="FK40" s="918">
        <f t="shared" ca="1" si="159"/>
        <v>0</v>
      </c>
      <c r="FL40" s="918">
        <f t="shared" ca="1" si="159"/>
        <v>0</v>
      </c>
      <c r="FM40" s="918" t="e">
        <f t="shared" ca="1" si="160"/>
        <v>#N/A</v>
      </c>
      <c r="FN40" s="1144">
        <f t="shared" ca="1" si="160"/>
        <v>0</v>
      </c>
      <c r="FO40" s="1144">
        <f t="shared" ca="1" si="160"/>
        <v>0</v>
      </c>
      <c r="FP40" s="918">
        <f t="shared" ca="1" si="160"/>
        <v>0</v>
      </c>
      <c r="FQ40" s="918">
        <f t="shared" ca="1" si="160"/>
        <v>0</v>
      </c>
      <c r="FR40" s="918">
        <f t="shared" ca="1" si="160"/>
        <v>0</v>
      </c>
      <c r="FS40" s="918">
        <f t="shared" ca="1" si="160"/>
        <v>0</v>
      </c>
      <c r="FT40" s="918">
        <f t="shared" ca="1" si="160"/>
        <v>0</v>
      </c>
      <c r="FU40" s="918" t="e">
        <f t="shared" ca="1" si="160"/>
        <v>#N/A</v>
      </c>
      <c r="FV40" s="1144" t="e">
        <f t="shared" ca="1" si="160"/>
        <v>#N/A</v>
      </c>
      <c r="FW40" s="918">
        <f t="shared" ca="1" si="160"/>
        <v>0</v>
      </c>
      <c r="FX40" s="918">
        <f t="shared" ca="1" si="160"/>
        <v>0</v>
      </c>
      <c r="FY40" s="918">
        <f t="shared" ca="1" si="160"/>
        <v>0</v>
      </c>
      <c r="FZ40" s="918">
        <f t="shared" ca="1" si="160"/>
        <v>0</v>
      </c>
      <c r="GA40" s="1144" t="e">
        <f t="shared" ca="1" si="160"/>
        <v>#N/A</v>
      </c>
      <c r="GB40" s="918">
        <f t="shared" ca="1" si="160"/>
        <v>0</v>
      </c>
      <c r="GC40" s="920"/>
      <c r="GD40" s="918">
        <f t="shared" ca="1" si="161"/>
        <v>0</v>
      </c>
      <c r="GE40" s="918">
        <f t="shared" ca="1" si="161"/>
        <v>0</v>
      </c>
      <c r="GF40" s="918">
        <f t="shared" ca="1" si="161"/>
        <v>-138.76257943592518</v>
      </c>
      <c r="GG40" s="918">
        <f t="shared" ca="1" si="161"/>
        <v>-2.7633955389300417E-2</v>
      </c>
      <c r="GH40" s="918" t="e">
        <f t="shared" ca="1" si="161"/>
        <v>#N/A</v>
      </c>
      <c r="GI40" s="1144" t="e">
        <f t="shared" ca="1" si="161"/>
        <v>#N/A</v>
      </c>
      <c r="GJ40" s="918">
        <f t="shared" ca="1" si="161"/>
        <v>-1.3602180904357148E-4</v>
      </c>
      <c r="GK40" s="918">
        <f t="shared" ca="1" si="161"/>
        <v>-6.202830391229589E-4</v>
      </c>
      <c r="GL40" s="918">
        <f t="shared" ca="1" si="161"/>
        <v>0</v>
      </c>
      <c r="GM40" s="918">
        <f t="shared" ca="1" si="161"/>
        <v>0</v>
      </c>
      <c r="GN40" s="918">
        <f t="shared" ca="1" si="161"/>
        <v>0</v>
      </c>
      <c r="GO40" s="918" t="e">
        <f t="shared" ca="1" si="161"/>
        <v>#N/A</v>
      </c>
      <c r="GP40" s="915"/>
      <c r="GR40" s="1181">
        <f ca="1">GB17</f>
        <v>87.157311526553755</v>
      </c>
      <c r="GS40" s="1182" t="s">
        <v>3079</v>
      </c>
      <c r="GU40" s="946"/>
      <c r="GV40" s="946"/>
      <c r="GW40" s="946"/>
      <c r="GX40" s="1143"/>
      <c r="GY40" s="946"/>
    </row>
    <row r="41" spans="1:207" s="914" customFormat="1" x14ac:dyDescent="0.3">
      <c r="A41" s="975" t="s">
        <v>1519</v>
      </c>
      <c r="B41" s="977">
        <v>4</v>
      </c>
      <c r="C41" s="973">
        <v>18.015279999999997</v>
      </c>
      <c r="D41" s="914">
        <v>0</v>
      </c>
      <c r="E41" s="972" t="s">
        <v>982</v>
      </c>
      <c r="F41" s="936">
        <f t="shared" ca="1" si="150"/>
        <v>0</v>
      </c>
      <c r="G41" s="918">
        <f t="shared" ca="1" si="150"/>
        <v>0</v>
      </c>
      <c r="H41" s="918">
        <f t="shared" ca="1" si="150"/>
        <v>0</v>
      </c>
      <c r="I41" s="918">
        <f t="shared" ca="1" si="150"/>
        <v>0</v>
      </c>
      <c r="J41" s="918">
        <f t="shared" ca="1" si="150"/>
        <v>0</v>
      </c>
      <c r="K41" s="1144">
        <f t="shared" ca="1" si="150"/>
        <v>0</v>
      </c>
      <c r="L41" s="918">
        <f t="shared" ca="1" si="150"/>
        <v>0</v>
      </c>
      <c r="M41" s="918">
        <f t="shared" ca="1" si="150"/>
        <v>0</v>
      </c>
      <c r="N41" s="938">
        <f t="shared" ca="1" si="150"/>
        <v>0</v>
      </c>
      <c r="O41" s="918">
        <f t="shared" ca="1" si="150"/>
        <v>0</v>
      </c>
      <c r="P41" s="939">
        <f t="shared" ca="1" si="150"/>
        <v>0</v>
      </c>
      <c r="Q41" s="921"/>
      <c r="R41" s="918">
        <f t="shared" ca="1" si="151"/>
        <v>0</v>
      </c>
      <c r="S41" s="918">
        <f t="shared" ca="1" si="151"/>
        <v>0</v>
      </c>
      <c r="T41" s="918">
        <f t="shared" ca="1" si="151"/>
        <v>0</v>
      </c>
      <c r="U41" s="918">
        <f t="shared" ca="1" si="151"/>
        <v>0</v>
      </c>
      <c r="V41" s="918">
        <f t="shared" ca="1" si="151"/>
        <v>0</v>
      </c>
      <c r="W41" s="918">
        <f t="shared" ca="1" si="151"/>
        <v>0</v>
      </c>
      <c r="X41" s="938">
        <f t="shared" ca="1" si="151"/>
        <v>0</v>
      </c>
      <c r="Y41" s="918">
        <f t="shared" ca="1" si="151"/>
        <v>0</v>
      </c>
      <c r="Z41" s="918">
        <f t="shared" ca="1" si="151"/>
        <v>0</v>
      </c>
      <c r="AA41" s="918">
        <f t="shared" ca="1" si="151"/>
        <v>0</v>
      </c>
      <c r="AB41" s="921"/>
      <c r="AC41" s="918">
        <f t="shared" ca="1" si="152"/>
        <v>0</v>
      </c>
      <c r="AD41" s="918">
        <f t="shared" ca="1" si="152"/>
        <v>0</v>
      </c>
      <c r="AE41" s="918">
        <f t="shared" ca="1" si="152"/>
        <v>0</v>
      </c>
      <c r="AF41" s="918">
        <f t="shared" ca="1" si="152"/>
        <v>0</v>
      </c>
      <c r="AG41" s="918">
        <f t="shared" ca="1" si="152"/>
        <v>0</v>
      </c>
      <c r="AH41" s="918">
        <f t="shared" ca="1" si="152"/>
        <v>0</v>
      </c>
      <c r="AI41" s="918">
        <f t="shared" ca="1" si="152"/>
        <v>0</v>
      </c>
      <c r="AJ41" s="918">
        <f t="shared" ca="1" si="152"/>
        <v>0</v>
      </c>
      <c r="AK41" s="938">
        <f t="shared" ca="1" si="152"/>
        <v>0</v>
      </c>
      <c r="AL41" s="918">
        <f t="shared" ca="1" si="152"/>
        <v>0</v>
      </c>
      <c r="AM41" s="918">
        <f t="shared" ca="1" si="152"/>
        <v>0</v>
      </c>
      <c r="AN41" s="918">
        <f t="shared" ca="1" si="152"/>
        <v>0</v>
      </c>
      <c r="AO41" s="921"/>
      <c r="AP41" s="1144">
        <f t="shared" ref="AP41:BC56" ca="1" si="162">VLOOKUP(AP$8,INDIRECT(LU_MAT),$B41,FALSE)*$D41/$C41</f>
        <v>0</v>
      </c>
      <c r="AQ41" s="1144">
        <f t="shared" ca="1" si="162"/>
        <v>0</v>
      </c>
      <c r="AR41" s="1144">
        <f t="shared" ca="1" si="162"/>
        <v>0</v>
      </c>
      <c r="AS41" s="1144">
        <f t="shared" ca="1" si="162"/>
        <v>0</v>
      </c>
      <c r="AT41" s="938">
        <f t="shared" ca="1" si="162"/>
        <v>0</v>
      </c>
      <c r="AU41" s="938">
        <f t="shared" ca="1" si="162"/>
        <v>0</v>
      </c>
      <c r="AV41" s="1144">
        <f t="shared" ca="1" si="162"/>
        <v>0</v>
      </c>
      <c r="AW41" s="1144">
        <f t="shared" ca="1" si="162"/>
        <v>0</v>
      </c>
      <c r="AX41" s="1144">
        <f t="shared" ca="1" si="162"/>
        <v>0</v>
      </c>
      <c r="AY41" s="1144">
        <f t="shared" ca="1" si="162"/>
        <v>0</v>
      </c>
      <c r="AZ41" s="1144">
        <f t="shared" ca="1" si="162"/>
        <v>0</v>
      </c>
      <c r="BA41" s="1144">
        <f t="shared" ca="1" si="162"/>
        <v>0</v>
      </c>
      <c r="BB41" s="1144">
        <f t="shared" ca="1" si="162"/>
        <v>0</v>
      </c>
      <c r="BC41" s="1144">
        <f t="shared" ca="1" si="162"/>
        <v>0</v>
      </c>
      <c r="BD41" s="921"/>
      <c r="BE41" s="918">
        <f t="shared" ca="1" si="153"/>
        <v>0</v>
      </c>
      <c r="BF41" s="918">
        <f t="shared" ca="1" si="153"/>
        <v>0</v>
      </c>
      <c r="BG41" s="918">
        <f t="shared" ca="1" si="153"/>
        <v>0</v>
      </c>
      <c r="BH41" s="918">
        <f t="shared" ca="1" si="153"/>
        <v>0</v>
      </c>
      <c r="BI41" s="938">
        <f t="shared" ca="1" si="153"/>
        <v>0</v>
      </c>
      <c r="BJ41" s="918">
        <f t="shared" ca="1" si="153"/>
        <v>0</v>
      </c>
      <c r="BK41" s="918">
        <f t="shared" ca="1" si="153"/>
        <v>0</v>
      </c>
      <c r="BL41" s="918">
        <f t="shared" ca="1" si="153"/>
        <v>0</v>
      </c>
      <c r="BM41" s="918">
        <f t="shared" ca="1" si="153"/>
        <v>0</v>
      </c>
      <c r="BN41" s="1144">
        <f t="shared" ca="1" si="153"/>
        <v>0</v>
      </c>
      <c r="BO41" s="918">
        <f t="shared" ca="1" si="153"/>
        <v>0</v>
      </c>
      <c r="BP41" s="921"/>
      <c r="BQ41" s="918">
        <f t="shared" ca="1" si="154"/>
        <v>0</v>
      </c>
      <c r="BR41" s="918">
        <f t="shared" ca="1" si="154"/>
        <v>0</v>
      </c>
      <c r="BS41" s="1144">
        <f t="shared" ca="1" si="154"/>
        <v>0</v>
      </c>
      <c r="BT41" s="918">
        <f t="shared" ca="1" si="154"/>
        <v>0</v>
      </c>
      <c r="BU41" s="918">
        <f t="shared" ca="1" si="154"/>
        <v>0</v>
      </c>
      <c r="BV41" s="918">
        <f t="shared" ca="1" si="154"/>
        <v>0</v>
      </c>
      <c r="BW41" s="1144">
        <f t="shared" ca="1" si="154"/>
        <v>0</v>
      </c>
      <c r="BX41" s="921"/>
      <c r="BY41" s="918">
        <f t="shared" ca="1" si="155"/>
        <v>0</v>
      </c>
      <c r="BZ41" s="918">
        <f t="shared" ca="1" si="155"/>
        <v>0</v>
      </c>
      <c r="CA41" s="918">
        <f t="shared" ca="1" si="155"/>
        <v>0</v>
      </c>
      <c r="CB41" s="918">
        <f t="shared" ca="1" si="155"/>
        <v>0</v>
      </c>
      <c r="CC41" s="918">
        <f t="shared" ca="1" si="155"/>
        <v>0</v>
      </c>
      <c r="CD41" s="918">
        <f t="shared" ca="1" si="155"/>
        <v>0</v>
      </c>
      <c r="CE41" s="918">
        <f t="shared" ca="1" si="155"/>
        <v>0</v>
      </c>
      <c r="CF41" s="918">
        <f t="shared" ca="1" si="155"/>
        <v>0</v>
      </c>
      <c r="CG41" s="921"/>
      <c r="CH41" s="918">
        <f t="shared" ca="1" si="156"/>
        <v>0</v>
      </c>
      <c r="CI41" s="918">
        <f t="shared" ca="1" si="156"/>
        <v>0</v>
      </c>
      <c r="CJ41" s="918">
        <f t="shared" ca="1" si="156"/>
        <v>0</v>
      </c>
      <c r="CK41" s="918" t="e">
        <f t="shared" ca="1" si="156"/>
        <v>#N/A</v>
      </c>
      <c r="CL41" s="918" t="e">
        <f t="shared" ca="1" si="156"/>
        <v>#N/A</v>
      </c>
      <c r="CM41" s="921"/>
      <c r="CN41" s="918">
        <f t="shared" ca="1" si="157"/>
        <v>0</v>
      </c>
      <c r="CO41" s="918" t="e">
        <f t="shared" ca="1" si="157"/>
        <v>#N/A</v>
      </c>
      <c r="CP41" s="918">
        <f t="shared" ca="1" si="157"/>
        <v>0</v>
      </c>
      <c r="CQ41" s="918">
        <f t="shared" ca="1" si="157"/>
        <v>0</v>
      </c>
      <c r="CR41" s="918">
        <f t="shared" ca="1" si="157"/>
        <v>0</v>
      </c>
      <c r="CS41" s="1144">
        <f t="shared" ca="1" si="157"/>
        <v>0</v>
      </c>
      <c r="CT41" s="921"/>
      <c r="CU41" s="918">
        <f t="shared" ca="1" si="158"/>
        <v>0</v>
      </c>
      <c r="CV41" s="918">
        <f t="shared" ca="1" si="158"/>
        <v>0</v>
      </c>
      <c r="CW41" s="918">
        <f t="shared" ca="1" si="158"/>
        <v>0</v>
      </c>
      <c r="CX41" s="918">
        <f t="shared" ca="1" si="158"/>
        <v>0</v>
      </c>
      <c r="CY41" s="918">
        <f t="shared" ca="1" si="158"/>
        <v>0</v>
      </c>
      <c r="CZ41" s="1144" t="e">
        <f t="shared" ca="1" si="158"/>
        <v>#N/A</v>
      </c>
      <c r="DA41" s="1144" t="e">
        <f t="shared" ca="1" si="158"/>
        <v>#N/A</v>
      </c>
      <c r="DB41" s="918">
        <f t="shared" ca="1" si="158"/>
        <v>0</v>
      </c>
      <c r="DC41" s="938">
        <f t="shared" ca="1" si="158"/>
        <v>0</v>
      </c>
      <c r="DD41" s="918">
        <f t="shared" ca="1" si="158"/>
        <v>0</v>
      </c>
      <c r="DE41" s="918">
        <f t="shared" ca="1" si="158"/>
        <v>0</v>
      </c>
      <c r="DF41" s="918">
        <f t="shared" ca="1" si="158"/>
        <v>0</v>
      </c>
      <c r="DG41" s="918">
        <f t="shared" ca="1" si="158"/>
        <v>0</v>
      </c>
      <c r="DH41" s="918">
        <f t="shared" ca="1" si="158"/>
        <v>0</v>
      </c>
      <c r="DI41" s="921"/>
      <c r="DJ41" s="1144">
        <f t="shared" ref="DJ41:DP56" ca="1" si="163">VLOOKUP(DJ$8,INDIRECT(LU_MAT),$B41,FALSE)*$D41/$C41</f>
        <v>0</v>
      </c>
      <c r="DK41" s="1144">
        <f t="shared" ca="1" si="163"/>
        <v>0</v>
      </c>
      <c r="DL41" s="1144">
        <f t="shared" ca="1" si="163"/>
        <v>0</v>
      </c>
      <c r="DM41" s="1144">
        <f t="shared" ca="1" si="163"/>
        <v>0</v>
      </c>
      <c r="DN41" s="1144" t="e">
        <f t="shared" ca="1" si="163"/>
        <v>#N/A</v>
      </c>
      <c r="DO41" s="1144">
        <f t="shared" ca="1" si="163"/>
        <v>0</v>
      </c>
      <c r="DP41" s="1144" t="e">
        <f t="shared" ca="1" si="163"/>
        <v>#N/A</v>
      </c>
      <c r="DQ41" s="921"/>
      <c r="DR41" s="1144">
        <f t="shared" ca="1" si="140"/>
        <v>0</v>
      </c>
      <c r="DS41" s="1144">
        <f t="shared" ca="1" si="140"/>
        <v>0</v>
      </c>
      <c r="DT41" s="1144">
        <f t="shared" ca="1" si="140"/>
        <v>0</v>
      </c>
      <c r="DU41" s="1144" t="e">
        <f t="shared" ca="1" si="140"/>
        <v>#N/A</v>
      </c>
      <c r="DV41" s="920"/>
      <c r="DW41" s="921"/>
      <c r="DX41" s="918">
        <f t="shared" ca="1" si="141"/>
        <v>0</v>
      </c>
      <c r="DY41" s="918">
        <f t="shared" ca="1" si="141"/>
        <v>0</v>
      </c>
      <c r="DZ41" s="918">
        <f t="shared" ca="1" si="141"/>
        <v>0</v>
      </c>
      <c r="EA41" s="918" t="e">
        <f t="shared" ca="1" si="141"/>
        <v>#N/A</v>
      </c>
      <c r="EB41" s="920"/>
      <c r="EC41" s="921"/>
      <c r="ED41" s="1144">
        <f t="shared" ca="1" si="142"/>
        <v>0</v>
      </c>
      <c r="EE41" s="1144">
        <f t="shared" ca="1" si="142"/>
        <v>0</v>
      </c>
      <c r="EF41" s="1144" t="e">
        <f t="shared" ca="1" si="142"/>
        <v>#N/A</v>
      </c>
      <c r="EG41" s="1144" t="e">
        <f t="shared" ca="1" si="142"/>
        <v>#N/A</v>
      </c>
      <c r="EH41" s="920"/>
      <c r="EI41" s="921"/>
      <c r="EJ41" s="918">
        <f t="shared" ca="1" si="143"/>
        <v>0</v>
      </c>
      <c r="EK41" s="918">
        <f t="shared" ca="1" si="143"/>
        <v>0</v>
      </c>
      <c r="EL41" s="918">
        <f t="shared" ca="1" si="143"/>
        <v>0</v>
      </c>
      <c r="EM41" s="918">
        <f t="shared" ca="1" si="143"/>
        <v>0</v>
      </c>
      <c r="EN41" s="920"/>
      <c r="EO41" s="921"/>
      <c r="EP41" s="1144">
        <f t="shared" ca="1" si="144"/>
        <v>0</v>
      </c>
      <c r="EQ41" s="1144">
        <f t="shared" ca="1" si="144"/>
        <v>0</v>
      </c>
      <c r="ER41" s="1144">
        <f t="shared" ca="1" si="144"/>
        <v>0</v>
      </c>
      <c r="ES41" s="1144">
        <f t="shared" ca="1" si="144"/>
        <v>0</v>
      </c>
      <c r="ET41" s="920"/>
      <c r="EU41" s="921"/>
      <c r="EV41" s="1144">
        <f t="shared" ref="EV41:FA56" ca="1" si="164">VLOOKUP(EV$8,INDIRECT(LU_MAT),$B41,FALSE)*$D41/$C41</f>
        <v>0</v>
      </c>
      <c r="EW41" s="1144">
        <f t="shared" ca="1" si="164"/>
        <v>0</v>
      </c>
      <c r="EX41" s="921"/>
      <c r="EY41" s="1144">
        <f t="shared" ca="1" si="164"/>
        <v>0</v>
      </c>
      <c r="EZ41" s="1144">
        <f t="shared" ca="1" si="164"/>
        <v>0</v>
      </c>
      <c r="FA41" s="1144" t="e">
        <f t="shared" ca="1" si="164"/>
        <v>#N/A</v>
      </c>
      <c r="FB41" s="921"/>
      <c r="FC41" s="918">
        <f t="shared" ca="1" si="159"/>
        <v>0</v>
      </c>
      <c r="FD41" s="918">
        <f t="shared" ca="1" si="159"/>
        <v>0</v>
      </c>
      <c r="FE41" s="918">
        <f t="shared" ca="1" si="159"/>
        <v>0</v>
      </c>
      <c r="FF41" s="918">
        <f t="shared" ca="1" si="159"/>
        <v>0</v>
      </c>
      <c r="FG41" s="918">
        <f t="shared" ca="1" si="159"/>
        <v>0</v>
      </c>
      <c r="FH41" s="918">
        <f t="shared" ca="1" si="159"/>
        <v>0</v>
      </c>
      <c r="FI41" s="918">
        <f t="shared" ca="1" si="159"/>
        <v>0</v>
      </c>
      <c r="FJ41" s="918">
        <f t="shared" ca="1" si="159"/>
        <v>0</v>
      </c>
      <c r="FK41" s="918">
        <f t="shared" ca="1" si="159"/>
        <v>0</v>
      </c>
      <c r="FL41" s="918">
        <f t="shared" ca="1" si="159"/>
        <v>0</v>
      </c>
      <c r="FM41" s="918" t="e">
        <f t="shared" ca="1" si="160"/>
        <v>#N/A</v>
      </c>
      <c r="FN41" s="1144">
        <f t="shared" ca="1" si="160"/>
        <v>0</v>
      </c>
      <c r="FO41" s="1144">
        <f t="shared" ca="1" si="160"/>
        <v>0</v>
      </c>
      <c r="FP41" s="918">
        <f t="shared" ca="1" si="160"/>
        <v>0</v>
      </c>
      <c r="FQ41" s="918">
        <f t="shared" ca="1" si="160"/>
        <v>0</v>
      </c>
      <c r="FR41" s="918">
        <f t="shared" ca="1" si="160"/>
        <v>0</v>
      </c>
      <c r="FS41" s="918">
        <f t="shared" ca="1" si="160"/>
        <v>0</v>
      </c>
      <c r="FT41" s="918">
        <f t="shared" ca="1" si="160"/>
        <v>0</v>
      </c>
      <c r="FU41" s="918" t="e">
        <f t="shared" ca="1" si="160"/>
        <v>#N/A</v>
      </c>
      <c r="FV41" s="1144" t="e">
        <f t="shared" ca="1" si="160"/>
        <v>#N/A</v>
      </c>
      <c r="FW41" s="918">
        <f t="shared" ca="1" si="160"/>
        <v>0</v>
      </c>
      <c r="FX41" s="918">
        <f t="shared" ca="1" si="160"/>
        <v>0</v>
      </c>
      <c r="FY41" s="918">
        <f t="shared" ca="1" si="160"/>
        <v>0</v>
      </c>
      <c r="FZ41" s="918">
        <f t="shared" ca="1" si="160"/>
        <v>0</v>
      </c>
      <c r="GA41" s="1144" t="e">
        <f t="shared" ca="1" si="160"/>
        <v>#N/A</v>
      </c>
      <c r="GB41" s="918">
        <f t="shared" ca="1" si="160"/>
        <v>0</v>
      </c>
      <c r="GC41" s="920"/>
      <c r="GD41" s="918">
        <f t="shared" ca="1" si="161"/>
        <v>0</v>
      </c>
      <c r="GE41" s="918">
        <f t="shared" ca="1" si="161"/>
        <v>0</v>
      </c>
      <c r="GF41" s="918">
        <f t="shared" ca="1" si="161"/>
        <v>0</v>
      </c>
      <c r="GG41" s="918">
        <f t="shared" ca="1" si="161"/>
        <v>0</v>
      </c>
      <c r="GH41" s="918" t="e">
        <f t="shared" ca="1" si="161"/>
        <v>#N/A</v>
      </c>
      <c r="GI41" s="1144" t="e">
        <f t="shared" ca="1" si="161"/>
        <v>#N/A</v>
      </c>
      <c r="GJ41" s="918">
        <f t="shared" ca="1" si="161"/>
        <v>0</v>
      </c>
      <c r="GK41" s="918">
        <f t="shared" ca="1" si="161"/>
        <v>0</v>
      </c>
      <c r="GL41" s="918">
        <f t="shared" ca="1" si="161"/>
        <v>0</v>
      </c>
      <c r="GM41" s="918">
        <f t="shared" ca="1" si="161"/>
        <v>0</v>
      </c>
      <c r="GN41" s="918">
        <f t="shared" ca="1" si="161"/>
        <v>0</v>
      </c>
      <c r="GO41" s="918" t="e">
        <f t="shared" ca="1" si="161"/>
        <v>#N/A</v>
      </c>
      <c r="GP41" s="915"/>
      <c r="GR41" s="946"/>
      <c r="GS41" s="946"/>
      <c r="GU41" s="946"/>
      <c r="GV41" s="946"/>
      <c r="GW41" s="946"/>
      <c r="GX41" s="1143"/>
      <c r="GY41" s="946"/>
    </row>
    <row r="42" spans="1:207" s="914" customFormat="1" x14ac:dyDescent="0.3">
      <c r="A42" s="975" t="s">
        <v>1520</v>
      </c>
      <c r="B42" s="977">
        <v>21</v>
      </c>
      <c r="C42" s="973">
        <v>96.085560000000001</v>
      </c>
      <c r="D42" s="914">
        <v>-0.53771555020000006</v>
      </c>
      <c r="E42" s="972" t="s">
        <v>982</v>
      </c>
      <c r="F42" s="936">
        <f t="shared" ca="1" si="150"/>
        <v>0</v>
      </c>
      <c r="G42" s="918">
        <f t="shared" ca="1" si="150"/>
        <v>-0.96239682091053025</v>
      </c>
      <c r="H42" s="918">
        <f t="shared" ca="1" si="150"/>
        <v>0</v>
      </c>
      <c r="I42" s="918">
        <f t="shared" ca="1" si="150"/>
        <v>0</v>
      </c>
      <c r="J42" s="918">
        <f t="shared" ca="1" si="150"/>
        <v>0</v>
      </c>
      <c r="K42" s="1144">
        <f t="shared" ca="1" si="150"/>
        <v>0</v>
      </c>
      <c r="L42" s="918">
        <f t="shared" ca="1" si="150"/>
        <v>0</v>
      </c>
      <c r="M42" s="918">
        <f t="shared" ca="1" si="150"/>
        <v>0</v>
      </c>
      <c r="N42" s="938">
        <f t="shared" ca="1" si="150"/>
        <v>0</v>
      </c>
      <c r="O42" s="918">
        <f t="shared" ca="1" si="150"/>
        <v>-1.8343051679896754</v>
      </c>
      <c r="P42" s="939">
        <f t="shared" ca="1" si="150"/>
        <v>-1.8808220012170525</v>
      </c>
      <c r="Q42" s="921"/>
      <c r="R42" s="918">
        <f t="shared" ca="1" si="151"/>
        <v>-1.8808220012170525</v>
      </c>
      <c r="S42" s="918">
        <f t="shared" ca="1" si="151"/>
        <v>0</v>
      </c>
      <c r="T42" s="918">
        <f t="shared" ca="1" si="151"/>
        <v>0</v>
      </c>
      <c r="U42" s="918">
        <f t="shared" ca="1" si="151"/>
        <v>0</v>
      </c>
      <c r="V42" s="918">
        <f t="shared" ca="1" si="151"/>
        <v>0</v>
      </c>
      <c r="W42" s="918">
        <f t="shared" ca="1" si="151"/>
        <v>0</v>
      </c>
      <c r="X42" s="938">
        <f t="shared" ca="1" si="151"/>
        <v>-1.5149052798258568E-2</v>
      </c>
      <c r="Y42" s="918">
        <f t="shared" ca="1" si="151"/>
        <v>-1.8816204525301934</v>
      </c>
      <c r="Z42" s="918">
        <f t="shared" ca="1" si="151"/>
        <v>-1.2996434952568654E-2</v>
      </c>
      <c r="AA42" s="918">
        <f t="shared" ca="1" si="151"/>
        <v>-1.3543870458450145E-3</v>
      </c>
      <c r="AB42" s="921"/>
      <c r="AC42" s="918">
        <f t="shared" ca="1" si="152"/>
        <v>0</v>
      </c>
      <c r="AD42" s="918">
        <f t="shared" ca="1" si="152"/>
        <v>0</v>
      </c>
      <c r="AE42" s="918">
        <f t="shared" ca="1" si="152"/>
        <v>0</v>
      </c>
      <c r="AF42" s="918">
        <f t="shared" ca="1" si="152"/>
        <v>0</v>
      </c>
      <c r="AG42" s="918">
        <f t="shared" ca="1" si="152"/>
        <v>0</v>
      </c>
      <c r="AH42" s="918">
        <f t="shared" ca="1" si="152"/>
        <v>0</v>
      </c>
      <c r="AI42" s="918">
        <f t="shared" ca="1" si="152"/>
        <v>0</v>
      </c>
      <c r="AJ42" s="918">
        <f t="shared" ca="1" si="152"/>
        <v>0</v>
      </c>
      <c r="AK42" s="938">
        <f t="shared" ca="1" si="152"/>
        <v>0</v>
      </c>
      <c r="AL42" s="918">
        <f t="shared" ca="1" si="152"/>
        <v>0</v>
      </c>
      <c r="AM42" s="918">
        <f t="shared" ca="1" si="152"/>
        <v>0</v>
      </c>
      <c r="AN42" s="918">
        <f t="shared" ca="1" si="152"/>
        <v>0</v>
      </c>
      <c r="AO42" s="921"/>
      <c r="AP42" s="1144">
        <f t="shared" ca="1" si="162"/>
        <v>-1.8816204525301934</v>
      </c>
      <c r="AQ42" s="1144">
        <f t="shared" ca="1" si="162"/>
        <v>-1.3543870458450145E-3</v>
      </c>
      <c r="AR42" s="1144">
        <f t="shared" ca="1" si="162"/>
        <v>-1.2996434952568654E-2</v>
      </c>
      <c r="AS42" s="1144">
        <f t="shared" ca="1" si="162"/>
        <v>0</v>
      </c>
      <c r="AT42" s="938">
        <f t="shared" ca="1" si="162"/>
        <v>0</v>
      </c>
      <c r="AU42" s="938">
        <f t="shared" ca="1" si="162"/>
        <v>0</v>
      </c>
      <c r="AV42" s="1144">
        <f t="shared" ca="1" si="162"/>
        <v>-3.2308006558730856E-5</v>
      </c>
      <c r="AW42" s="1144">
        <f t="shared" ca="1" si="162"/>
        <v>-1.5149052798258568E-2</v>
      </c>
      <c r="AX42" s="1144">
        <f t="shared" ca="1" si="162"/>
        <v>-2.7779599312711792E-7</v>
      </c>
      <c r="AY42" s="1144">
        <f t="shared" ca="1" si="162"/>
        <v>-0.96239682091053025</v>
      </c>
      <c r="AZ42" s="1144">
        <f t="shared" ca="1" si="162"/>
        <v>0</v>
      </c>
      <c r="BA42" s="1144">
        <f t="shared" ca="1" si="162"/>
        <v>-0.88419960732795722</v>
      </c>
      <c r="BB42" s="1144">
        <f t="shared" ca="1" si="162"/>
        <v>-3.0529433132346646E-2</v>
      </c>
      <c r="BC42" s="1144">
        <f t="shared" ca="1" si="162"/>
        <v>-3.6637796711181192E-3</v>
      </c>
      <c r="BD42" s="921"/>
      <c r="BE42" s="918">
        <f t="shared" ca="1" si="153"/>
        <v>-1.8816204525301934</v>
      </c>
      <c r="BF42" s="918">
        <f t="shared" ca="1" si="153"/>
        <v>-1.3543870458450145E-3</v>
      </c>
      <c r="BG42" s="918">
        <f t="shared" ca="1" si="153"/>
        <v>-1.2996434952568654E-2</v>
      </c>
      <c r="BH42" s="918">
        <f t="shared" ca="1" si="153"/>
        <v>0</v>
      </c>
      <c r="BI42" s="938">
        <f t="shared" ca="1" si="153"/>
        <v>0</v>
      </c>
      <c r="BJ42" s="918">
        <f t="shared" ca="1" si="153"/>
        <v>-3.2308006558730856E-5</v>
      </c>
      <c r="BK42" s="918">
        <f t="shared" ca="1" si="153"/>
        <v>-1.5149052798258568E-2</v>
      </c>
      <c r="BL42" s="918">
        <f t="shared" ca="1" si="153"/>
        <v>-2.7779599312711792E-7</v>
      </c>
      <c r="BM42" s="918">
        <f t="shared" ca="1" si="153"/>
        <v>-0.91839281738927614</v>
      </c>
      <c r="BN42" s="1144">
        <f t="shared" ca="1" si="153"/>
        <v>0</v>
      </c>
      <c r="BO42" s="918">
        <f t="shared" ca="1" si="153"/>
        <v>-0.96239682091053025</v>
      </c>
      <c r="BP42" s="921"/>
      <c r="BQ42" s="918">
        <f t="shared" ca="1" si="154"/>
        <v>0</v>
      </c>
      <c r="BR42" s="918">
        <f t="shared" ca="1" si="154"/>
        <v>-0.91839281738927614</v>
      </c>
      <c r="BS42" s="1144">
        <f t="shared" ca="1" si="154"/>
        <v>0</v>
      </c>
      <c r="BT42" s="918">
        <f t="shared" ca="1" si="154"/>
        <v>-0.88419960732795722</v>
      </c>
      <c r="BU42" s="918">
        <f t="shared" ca="1" si="154"/>
        <v>-3.6637796711181192E-3</v>
      </c>
      <c r="BV42" s="918">
        <f t="shared" ca="1" si="154"/>
        <v>-3.0529433132346646E-2</v>
      </c>
      <c r="BW42" s="1144">
        <f t="shared" ca="1" si="154"/>
        <v>0</v>
      </c>
      <c r="BX42" s="921"/>
      <c r="BY42" s="918">
        <f t="shared" ca="1" si="155"/>
        <v>-3.0529433132346646E-2</v>
      </c>
      <c r="BZ42" s="918">
        <f t="shared" ca="1" si="155"/>
        <v>-3.6637796711181192E-3</v>
      </c>
      <c r="CA42" s="918">
        <f t="shared" ca="1" si="155"/>
        <v>0</v>
      </c>
      <c r="CB42" s="918">
        <f t="shared" ca="1" si="155"/>
        <v>-1.1513120233830865E-3</v>
      </c>
      <c r="CC42" s="918">
        <f t="shared" ca="1" si="155"/>
        <v>-5.0973364521581625E-3</v>
      </c>
      <c r="CD42" s="918">
        <f t="shared" ca="1" si="155"/>
        <v>0</v>
      </c>
      <c r="CE42" s="918">
        <f t="shared" ca="1" si="155"/>
        <v>0</v>
      </c>
      <c r="CF42" s="918">
        <f t="shared" ca="1" si="155"/>
        <v>0</v>
      </c>
      <c r="CG42" s="921"/>
      <c r="CH42" s="918">
        <f t="shared" ca="1" si="156"/>
        <v>-8.761116145661144E-3</v>
      </c>
      <c r="CI42" s="918">
        <f t="shared" ca="1" si="156"/>
        <v>-3.1680745116556219E-2</v>
      </c>
      <c r="CJ42" s="918">
        <f t="shared" ca="1" si="156"/>
        <v>0</v>
      </c>
      <c r="CK42" s="918" t="e">
        <f t="shared" ca="1" si="156"/>
        <v>#N/A</v>
      </c>
      <c r="CL42" s="918" t="e">
        <f t="shared" ca="1" si="156"/>
        <v>#N/A</v>
      </c>
      <c r="CM42" s="921"/>
      <c r="CN42" s="918">
        <f t="shared" ca="1" si="157"/>
        <v>0</v>
      </c>
      <c r="CO42" s="918" t="e">
        <f t="shared" ca="1" si="157"/>
        <v>#N/A</v>
      </c>
      <c r="CP42" s="918">
        <f t="shared" ca="1" si="157"/>
        <v>0</v>
      </c>
      <c r="CQ42" s="918">
        <f t="shared" ca="1" si="157"/>
        <v>0</v>
      </c>
      <c r="CR42" s="918">
        <f t="shared" ca="1" si="157"/>
        <v>0</v>
      </c>
      <c r="CS42" s="1144">
        <f t="shared" ca="1" si="157"/>
        <v>0</v>
      </c>
      <c r="CT42" s="921"/>
      <c r="CU42" s="918">
        <f t="shared" ca="1" si="158"/>
        <v>-1.8343051679896754</v>
      </c>
      <c r="CV42" s="918">
        <f t="shared" ca="1" si="158"/>
        <v>0</v>
      </c>
      <c r="CW42" s="918">
        <f t="shared" ca="1" si="158"/>
        <v>0</v>
      </c>
      <c r="CX42" s="918">
        <f t="shared" ca="1" si="158"/>
        <v>-0.88419960732795722</v>
      </c>
      <c r="CY42" s="918">
        <f t="shared" ca="1" si="158"/>
        <v>0</v>
      </c>
      <c r="CZ42" s="1144" t="e">
        <f t="shared" ca="1" si="158"/>
        <v>#N/A</v>
      </c>
      <c r="DA42" s="1144" t="e">
        <f t="shared" ca="1" si="158"/>
        <v>#N/A</v>
      </c>
      <c r="DB42" s="918">
        <f t="shared" ca="1" si="158"/>
        <v>0</v>
      </c>
      <c r="DC42" s="938">
        <f t="shared" ca="1" si="158"/>
        <v>0</v>
      </c>
      <c r="DD42" s="918">
        <f t="shared" ca="1" si="158"/>
        <v>-5.0973364521581625E-3</v>
      </c>
      <c r="DE42" s="918">
        <f t="shared" ca="1" si="158"/>
        <v>-2.0028931174908375E-4</v>
      </c>
      <c r="DF42" s="918">
        <f t="shared" ca="1" si="158"/>
        <v>0</v>
      </c>
      <c r="DG42" s="918">
        <f t="shared" ca="1" si="158"/>
        <v>-1.4212209357381961E-3</v>
      </c>
      <c r="DH42" s="918">
        <f t="shared" ca="1" si="158"/>
        <v>-1.1513120233830865E-3</v>
      </c>
      <c r="DI42" s="921"/>
      <c r="DJ42" s="1144">
        <f t="shared" ca="1" si="163"/>
        <v>-7.9140834656634216E-3</v>
      </c>
      <c r="DK42" s="1144">
        <f t="shared" ca="1" si="163"/>
        <v>-0.23874765770396411</v>
      </c>
      <c r="DL42" s="1144">
        <f t="shared" ca="1" si="163"/>
        <v>0</v>
      </c>
      <c r="DM42" s="1144">
        <f t="shared" ca="1" si="163"/>
        <v>0</v>
      </c>
      <c r="DN42" s="1144" t="e">
        <f t="shared" ca="1" si="163"/>
        <v>#N/A</v>
      </c>
      <c r="DO42" s="1144">
        <f t="shared" ca="1" si="163"/>
        <v>-9.8664696535005585E-3</v>
      </c>
      <c r="DP42" s="1144" t="e">
        <f t="shared" ca="1" si="163"/>
        <v>#N/A</v>
      </c>
      <c r="DQ42" s="921"/>
      <c r="DR42" s="1144">
        <f t="shared" ca="1" si="140"/>
        <v>-2.3469313875805962</v>
      </c>
      <c r="DS42" s="1144">
        <f t="shared" ca="1" si="140"/>
        <v>0</v>
      </c>
      <c r="DT42" s="1144">
        <f t="shared" ca="1" si="140"/>
        <v>0</v>
      </c>
      <c r="DU42" s="1144" t="e">
        <f t="shared" ca="1" si="140"/>
        <v>#N/A</v>
      </c>
      <c r="DV42" s="920"/>
      <c r="DW42" s="921"/>
      <c r="DX42" s="918">
        <f t="shared" ca="1" si="141"/>
        <v>-2.3469313875805962</v>
      </c>
      <c r="DY42" s="918">
        <f t="shared" ca="1" si="141"/>
        <v>0</v>
      </c>
      <c r="DZ42" s="918">
        <f t="shared" ca="1" si="141"/>
        <v>0</v>
      </c>
      <c r="EA42" s="918" t="e">
        <f t="shared" ca="1" si="141"/>
        <v>#N/A</v>
      </c>
      <c r="EB42" s="920"/>
      <c r="EC42" s="921"/>
      <c r="ED42" s="1144">
        <f t="shared" ca="1" si="142"/>
        <v>-0.12690795823826009</v>
      </c>
      <c r="EE42" s="1144">
        <f t="shared" ca="1" si="142"/>
        <v>0</v>
      </c>
      <c r="EF42" s="1144" t="e">
        <f t="shared" ca="1" si="142"/>
        <v>#N/A</v>
      </c>
      <c r="EG42" s="1144" t="e">
        <f t="shared" ca="1" si="142"/>
        <v>#N/A</v>
      </c>
      <c r="EH42" s="920"/>
      <c r="EI42" s="921"/>
      <c r="EJ42" s="918">
        <f t="shared" ca="1" si="143"/>
        <v>0</v>
      </c>
      <c r="EK42" s="918">
        <f t="shared" ca="1" si="143"/>
        <v>0</v>
      </c>
      <c r="EL42" s="918">
        <f t="shared" ca="1" si="143"/>
        <v>0</v>
      </c>
      <c r="EM42" s="918">
        <f t="shared" ca="1" si="143"/>
        <v>0</v>
      </c>
      <c r="EN42" s="920"/>
      <c r="EO42" s="921"/>
      <c r="EP42" s="1144">
        <f t="shared" ca="1" si="144"/>
        <v>-1.4223439899653835E-3</v>
      </c>
      <c r="EQ42" s="1144">
        <f t="shared" ca="1" si="144"/>
        <v>-1.4212209357381961E-3</v>
      </c>
      <c r="ER42" s="1144">
        <f t="shared" ca="1" si="144"/>
        <v>0</v>
      </c>
      <c r="ES42" s="1144">
        <f t="shared" ca="1" si="144"/>
        <v>-1.123057573724764E-6</v>
      </c>
      <c r="ET42" s="920"/>
      <c r="EU42" s="921"/>
      <c r="EV42" s="1144">
        <f t="shared" ca="1" si="164"/>
        <v>0</v>
      </c>
      <c r="EW42" s="1144">
        <f t="shared" ca="1" si="164"/>
        <v>0</v>
      </c>
      <c r="EX42" s="921"/>
      <c r="EY42" s="1144">
        <f t="shared" ca="1" si="164"/>
        <v>0</v>
      </c>
      <c r="EZ42" s="1144">
        <f t="shared" ca="1" si="164"/>
        <v>0</v>
      </c>
      <c r="FA42" s="1144" t="e">
        <f t="shared" ca="1" si="164"/>
        <v>#N/A</v>
      </c>
      <c r="FB42" s="921"/>
      <c r="FC42" s="918">
        <f t="shared" ca="1" si="159"/>
        <v>0</v>
      </c>
      <c r="FD42" s="918">
        <f t="shared" ca="1" si="159"/>
        <v>0</v>
      </c>
      <c r="FE42" s="918">
        <f t="shared" ca="1" si="159"/>
        <v>0</v>
      </c>
      <c r="FF42" s="918">
        <f t="shared" ca="1" si="159"/>
        <v>0</v>
      </c>
      <c r="FG42" s="918">
        <f t="shared" ca="1" si="159"/>
        <v>0</v>
      </c>
      <c r="FH42" s="918">
        <f t="shared" ca="1" si="159"/>
        <v>0</v>
      </c>
      <c r="FI42" s="918">
        <f t="shared" ca="1" si="159"/>
        <v>0</v>
      </c>
      <c r="FJ42" s="918">
        <f t="shared" ca="1" si="159"/>
        <v>0</v>
      </c>
      <c r="FK42" s="918">
        <f t="shared" ca="1" si="159"/>
        <v>0</v>
      </c>
      <c r="FL42" s="918">
        <f t="shared" ca="1" si="159"/>
        <v>0</v>
      </c>
      <c r="FM42" s="918" t="e">
        <f t="shared" ca="1" si="160"/>
        <v>#N/A</v>
      </c>
      <c r="FN42" s="1144">
        <f t="shared" ca="1" si="160"/>
        <v>0</v>
      </c>
      <c r="FO42" s="1144">
        <f t="shared" ca="1" si="160"/>
        <v>0</v>
      </c>
      <c r="FP42" s="918">
        <f t="shared" ca="1" si="160"/>
        <v>0</v>
      </c>
      <c r="FQ42" s="918">
        <f t="shared" ca="1" si="160"/>
        <v>0</v>
      </c>
      <c r="FR42" s="918">
        <f t="shared" ca="1" si="160"/>
        <v>0</v>
      </c>
      <c r="FS42" s="918">
        <f t="shared" ca="1" si="160"/>
        <v>0</v>
      </c>
      <c r="FT42" s="918">
        <f t="shared" ca="1" si="160"/>
        <v>0</v>
      </c>
      <c r="FU42" s="918" t="e">
        <f t="shared" ca="1" si="160"/>
        <v>#N/A</v>
      </c>
      <c r="FV42" s="1144" t="e">
        <f t="shared" ca="1" si="160"/>
        <v>#N/A</v>
      </c>
      <c r="FW42" s="918">
        <f t="shared" ca="1" si="160"/>
        <v>0</v>
      </c>
      <c r="FX42" s="918">
        <f t="shared" ca="1" si="160"/>
        <v>0</v>
      </c>
      <c r="FY42" s="918">
        <f t="shared" ca="1" si="160"/>
        <v>0</v>
      </c>
      <c r="FZ42" s="918">
        <f t="shared" ca="1" si="160"/>
        <v>0</v>
      </c>
      <c r="GA42" s="1144" t="e">
        <f t="shared" ca="1" si="160"/>
        <v>#N/A</v>
      </c>
      <c r="GB42" s="918">
        <f t="shared" ca="1" si="160"/>
        <v>0</v>
      </c>
      <c r="GC42" s="920"/>
      <c r="GD42" s="918">
        <f t="shared" ca="1" si="161"/>
        <v>0</v>
      </c>
      <c r="GE42" s="918">
        <f t="shared" ca="1" si="161"/>
        <v>0</v>
      </c>
      <c r="GF42" s="918">
        <f t="shared" ca="1" si="161"/>
        <v>-2.7779599312711792E-7</v>
      </c>
      <c r="GG42" s="918">
        <f t="shared" ca="1" si="161"/>
        <v>-3.2308006558730856E-5</v>
      </c>
      <c r="GH42" s="918" t="e">
        <f t="shared" ca="1" si="161"/>
        <v>#N/A</v>
      </c>
      <c r="GI42" s="1144" t="e">
        <f t="shared" ca="1" si="161"/>
        <v>#N/A</v>
      </c>
      <c r="GJ42" s="918">
        <f t="shared" ca="1" si="161"/>
        <v>-2.0028931174908375E-4</v>
      </c>
      <c r="GK42" s="918">
        <f t="shared" ca="1" si="161"/>
        <v>-1.4212209357381961E-3</v>
      </c>
      <c r="GL42" s="918">
        <f t="shared" ca="1" si="161"/>
        <v>0</v>
      </c>
      <c r="GM42" s="918">
        <f t="shared" ca="1" si="161"/>
        <v>0</v>
      </c>
      <c r="GN42" s="918">
        <f t="shared" ca="1" si="161"/>
        <v>0</v>
      </c>
      <c r="GO42" s="918" t="e">
        <f t="shared" ca="1" si="161"/>
        <v>#N/A</v>
      </c>
      <c r="GP42" s="915"/>
      <c r="GQ42" s="1143" t="s">
        <v>3089</v>
      </c>
      <c r="GR42" s="1183"/>
      <c r="GS42" s="946" t="s">
        <v>287</v>
      </c>
      <c r="GU42" s="946"/>
      <c r="GV42" s="946"/>
      <c r="GW42" s="946"/>
      <c r="GX42" s="1143"/>
      <c r="GY42" s="946"/>
    </row>
    <row r="43" spans="1:207" s="914" customFormat="1" x14ac:dyDescent="0.3">
      <c r="A43" s="975" t="s">
        <v>1521</v>
      </c>
      <c r="B43" s="977">
        <v>20</v>
      </c>
      <c r="C43" s="973">
        <v>126.11160000000001</v>
      </c>
      <c r="D43" s="914">
        <v>-0.63752126262999997</v>
      </c>
      <c r="E43" s="972" t="s">
        <v>982</v>
      </c>
      <c r="F43" s="936">
        <f t="shared" ca="1" si="150"/>
        <v>0</v>
      </c>
      <c r="G43" s="918">
        <f t="shared" ca="1" si="150"/>
        <v>-2.7231004844011494E-3</v>
      </c>
      <c r="H43" s="918">
        <f t="shared" ca="1" si="150"/>
        <v>0</v>
      </c>
      <c r="I43" s="918">
        <f t="shared" ca="1" si="150"/>
        <v>0</v>
      </c>
      <c r="J43" s="918">
        <f t="shared" ca="1" si="150"/>
        <v>0</v>
      </c>
      <c r="K43" s="1144">
        <f t="shared" ca="1" si="150"/>
        <v>0</v>
      </c>
      <c r="L43" s="918">
        <f t="shared" ca="1" si="150"/>
        <v>0</v>
      </c>
      <c r="M43" s="918">
        <f t="shared" ca="1" si="150"/>
        <v>0</v>
      </c>
      <c r="N43" s="938">
        <f t="shared" ca="1" si="150"/>
        <v>0</v>
      </c>
      <c r="O43" s="918">
        <f t="shared" ca="1" si="150"/>
        <v>-5.3235940266622619E-3</v>
      </c>
      <c r="P43" s="939">
        <f t="shared" ca="1" si="150"/>
        <v>-1.8667521953232482</v>
      </c>
      <c r="Q43" s="921"/>
      <c r="R43" s="918">
        <f t="shared" ca="1" si="151"/>
        <v>-1.8667521953232482</v>
      </c>
      <c r="S43" s="918">
        <f t="shared" ca="1" si="151"/>
        <v>0</v>
      </c>
      <c r="T43" s="918">
        <f t="shared" ca="1" si="151"/>
        <v>0</v>
      </c>
      <c r="U43" s="918">
        <f t="shared" ca="1" si="151"/>
        <v>0</v>
      </c>
      <c r="V43" s="918">
        <f t="shared" ca="1" si="151"/>
        <v>0</v>
      </c>
      <c r="W43" s="918">
        <f t="shared" ca="1" si="151"/>
        <v>0</v>
      </c>
      <c r="X43" s="938">
        <f t="shared" ca="1" si="151"/>
        <v>-6.2132193205175556E-6</v>
      </c>
      <c r="Y43" s="918">
        <f t="shared" ca="1" si="151"/>
        <v>-1.8667521953232482</v>
      </c>
      <c r="Z43" s="918">
        <f t="shared" ca="1" si="151"/>
        <v>-5.6256537944552854E-6</v>
      </c>
      <c r="AA43" s="918">
        <f t="shared" ca="1" si="151"/>
        <v>-5.8541749945513896E-7</v>
      </c>
      <c r="AB43" s="921"/>
      <c r="AC43" s="918">
        <f t="shared" ca="1" si="152"/>
        <v>0</v>
      </c>
      <c r="AD43" s="918">
        <f t="shared" ca="1" si="152"/>
        <v>0</v>
      </c>
      <c r="AE43" s="918">
        <f t="shared" ca="1" si="152"/>
        <v>0</v>
      </c>
      <c r="AF43" s="918">
        <f t="shared" ca="1" si="152"/>
        <v>0</v>
      </c>
      <c r="AG43" s="918">
        <f t="shared" ca="1" si="152"/>
        <v>0</v>
      </c>
      <c r="AH43" s="918">
        <f t="shared" ca="1" si="152"/>
        <v>0</v>
      </c>
      <c r="AI43" s="918">
        <f t="shared" ca="1" si="152"/>
        <v>0</v>
      </c>
      <c r="AJ43" s="918">
        <f t="shared" ca="1" si="152"/>
        <v>0</v>
      </c>
      <c r="AK43" s="938">
        <f t="shared" ca="1" si="152"/>
        <v>0</v>
      </c>
      <c r="AL43" s="918">
        <f t="shared" ca="1" si="152"/>
        <v>0</v>
      </c>
      <c r="AM43" s="918">
        <f t="shared" ca="1" si="152"/>
        <v>0</v>
      </c>
      <c r="AN43" s="918">
        <f t="shared" ca="1" si="152"/>
        <v>0</v>
      </c>
      <c r="AO43" s="921"/>
      <c r="AP43" s="1144">
        <f t="shared" ca="1" si="162"/>
        <v>-1.8667521953232482</v>
      </c>
      <c r="AQ43" s="1144">
        <f t="shared" ca="1" si="162"/>
        <v>-5.8541749945513896E-7</v>
      </c>
      <c r="AR43" s="1144">
        <f t="shared" ca="1" si="162"/>
        <v>-5.6256537944552854E-6</v>
      </c>
      <c r="AS43" s="1144">
        <f t="shared" ca="1" si="162"/>
        <v>0</v>
      </c>
      <c r="AT43" s="938">
        <f t="shared" ca="1" si="162"/>
        <v>0</v>
      </c>
      <c r="AU43" s="938">
        <f t="shared" ca="1" si="162"/>
        <v>0</v>
      </c>
      <c r="AV43" s="1144">
        <f t="shared" ca="1" si="162"/>
        <v>-7.6013312854952844E-22</v>
      </c>
      <c r="AW43" s="1144">
        <f t="shared" ca="1" si="162"/>
        <v>-6.2132193205175556E-6</v>
      </c>
      <c r="AX43" s="1144">
        <f t="shared" ca="1" si="162"/>
        <v>0</v>
      </c>
      <c r="AY43" s="1144">
        <f t="shared" ca="1" si="162"/>
        <v>-2.7231004844011494E-3</v>
      </c>
      <c r="AZ43" s="1144">
        <f t="shared" ca="1" si="162"/>
        <v>0</v>
      </c>
      <c r="BA43" s="1144">
        <f t="shared" ca="1" si="162"/>
        <v>-1.7946283548437549</v>
      </c>
      <c r="BB43" s="1144">
        <f t="shared" ca="1" si="162"/>
        <v>-6.9393750846814775E-2</v>
      </c>
      <c r="BC43" s="1144">
        <f t="shared" ca="1" si="162"/>
        <v>-6.9914395031173373E-6</v>
      </c>
      <c r="BD43" s="921"/>
      <c r="BE43" s="918">
        <f t="shared" ca="1" si="153"/>
        <v>-1.8667521953232482</v>
      </c>
      <c r="BF43" s="918">
        <f t="shared" ca="1" si="153"/>
        <v>-5.8541749945513896E-7</v>
      </c>
      <c r="BG43" s="918">
        <f t="shared" ca="1" si="153"/>
        <v>-5.6256537944552854E-6</v>
      </c>
      <c r="BH43" s="918">
        <f t="shared" ca="1" si="153"/>
        <v>0</v>
      </c>
      <c r="BI43" s="938">
        <f t="shared" ca="1" si="153"/>
        <v>0</v>
      </c>
      <c r="BJ43" s="918">
        <f t="shared" ca="1" si="153"/>
        <v>-7.6013312854952844E-22</v>
      </c>
      <c r="BK43" s="918">
        <f t="shared" ca="1" si="153"/>
        <v>-6.2132193205175556E-6</v>
      </c>
      <c r="BL43" s="918">
        <f t="shared" ca="1" si="153"/>
        <v>0</v>
      </c>
      <c r="BM43" s="918">
        <f t="shared" ca="1" si="153"/>
        <v>-1.8640290975585527</v>
      </c>
      <c r="BN43" s="1144">
        <f t="shared" ca="1" si="153"/>
        <v>0</v>
      </c>
      <c r="BO43" s="918">
        <f t="shared" ca="1" si="153"/>
        <v>-2.7231004844011494E-3</v>
      </c>
      <c r="BP43" s="921"/>
      <c r="BQ43" s="918">
        <f t="shared" ca="1" si="154"/>
        <v>0</v>
      </c>
      <c r="BR43" s="918">
        <f t="shared" ca="1" si="154"/>
        <v>-1.8640290975585527</v>
      </c>
      <c r="BS43" s="1144">
        <f t="shared" ca="1" si="154"/>
        <v>0</v>
      </c>
      <c r="BT43" s="918">
        <f t="shared" ca="1" si="154"/>
        <v>-1.7946283548437549</v>
      </c>
      <c r="BU43" s="918">
        <f t="shared" ca="1" si="154"/>
        <v>-6.9914395031173373E-6</v>
      </c>
      <c r="BV43" s="918">
        <f t="shared" ca="1" si="154"/>
        <v>-6.9393750846814775E-2</v>
      </c>
      <c r="BW43" s="1144">
        <f t="shared" ca="1" si="154"/>
        <v>0</v>
      </c>
      <c r="BX43" s="921"/>
      <c r="BY43" s="918">
        <f t="shared" ca="1" si="155"/>
        <v>-6.9393750846814775E-2</v>
      </c>
      <c r="BZ43" s="918">
        <f t="shared" ca="1" si="155"/>
        <v>-6.9914395031173373E-6</v>
      </c>
      <c r="CA43" s="918">
        <f t="shared" ca="1" si="155"/>
        <v>0</v>
      </c>
      <c r="CB43" s="918">
        <f t="shared" ca="1" si="155"/>
        <v>-7.7882340625015027E-4</v>
      </c>
      <c r="CC43" s="918">
        <f t="shared" ca="1" si="155"/>
        <v>-1.6160416594120278E-6</v>
      </c>
      <c r="CD43" s="918">
        <f t="shared" ca="1" si="155"/>
        <v>0</v>
      </c>
      <c r="CE43" s="918">
        <f t="shared" ca="1" si="155"/>
        <v>0</v>
      </c>
      <c r="CF43" s="918">
        <f t="shared" ca="1" si="155"/>
        <v>0</v>
      </c>
      <c r="CG43" s="921"/>
      <c r="CH43" s="918">
        <f t="shared" ca="1" si="156"/>
        <v>-8.6074811574741516E-6</v>
      </c>
      <c r="CI43" s="918">
        <f t="shared" ca="1" si="156"/>
        <v>-7.0172574470439161E-2</v>
      </c>
      <c r="CJ43" s="918">
        <f t="shared" ca="1" si="156"/>
        <v>0</v>
      </c>
      <c r="CK43" s="918" t="e">
        <f t="shared" ca="1" si="156"/>
        <v>#N/A</v>
      </c>
      <c r="CL43" s="918" t="e">
        <f t="shared" ca="1" si="156"/>
        <v>#N/A</v>
      </c>
      <c r="CM43" s="921"/>
      <c r="CN43" s="918">
        <f t="shared" ca="1" si="157"/>
        <v>0</v>
      </c>
      <c r="CO43" s="918" t="e">
        <f t="shared" ca="1" si="157"/>
        <v>#N/A</v>
      </c>
      <c r="CP43" s="918">
        <f t="shared" ca="1" si="157"/>
        <v>0</v>
      </c>
      <c r="CQ43" s="918">
        <f t="shared" ca="1" si="157"/>
        <v>0</v>
      </c>
      <c r="CR43" s="918">
        <f t="shared" ca="1" si="157"/>
        <v>0</v>
      </c>
      <c r="CS43" s="1144">
        <f t="shared" ca="1" si="157"/>
        <v>0</v>
      </c>
      <c r="CT43" s="921"/>
      <c r="CU43" s="918">
        <f t="shared" ca="1" si="158"/>
        <v>-5.3235940266622619E-3</v>
      </c>
      <c r="CV43" s="918">
        <f t="shared" ca="1" si="158"/>
        <v>0</v>
      </c>
      <c r="CW43" s="918">
        <f t="shared" ca="1" si="158"/>
        <v>0</v>
      </c>
      <c r="CX43" s="918">
        <f t="shared" ca="1" si="158"/>
        <v>-1.7946283548437549</v>
      </c>
      <c r="CY43" s="918">
        <f t="shared" ca="1" si="158"/>
        <v>0</v>
      </c>
      <c r="CZ43" s="1144" t="e">
        <f t="shared" ca="1" si="158"/>
        <v>#N/A</v>
      </c>
      <c r="DA43" s="1144" t="e">
        <f t="shared" ca="1" si="158"/>
        <v>#N/A</v>
      </c>
      <c r="DB43" s="918">
        <f t="shared" ca="1" si="158"/>
        <v>0</v>
      </c>
      <c r="DC43" s="938">
        <f t="shared" ca="1" si="158"/>
        <v>0</v>
      </c>
      <c r="DD43" s="918">
        <f t="shared" ca="1" si="158"/>
        <v>-1.6160416594120278E-6</v>
      </c>
      <c r="DE43" s="918">
        <f t="shared" ca="1" si="158"/>
        <v>-4.7974758026495899E-8</v>
      </c>
      <c r="DF43" s="918">
        <f t="shared" ca="1" si="158"/>
        <v>0</v>
      </c>
      <c r="DG43" s="918">
        <f t="shared" ca="1" si="158"/>
        <v>-9.8239506748772055E-4</v>
      </c>
      <c r="DH43" s="918">
        <f t="shared" ca="1" si="158"/>
        <v>-7.7882340625015027E-4</v>
      </c>
      <c r="DI43" s="921"/>
      <c r="DJ43" s="1144">
        <f t="shared" ca="1" si="163"/>
        <v>-5.4661650444342265E-3</v>
      </c>
      <c r="DK43" s="1144">
        <f t="shared" ca="1" si="163"/>
        <v>-0.16144299405731941</v>
      </c>
      <c r="DL43" s="1144">
        <f t="shared" ca="1" si="163"/>
        <v>0</v>
      </c>
      <c r="DM43" s="1144">
        <f t="shared" ca="1" si="163"/>
        <v>0</v>
      </c>
      <c r="DN43" s="1144" t="e">
        <f t="shared" ca="1" si="163"/>
        <v>#N/A</v>
      </c>
      <c r="DO43" s="1144">
        <f t="shared" ca="1" si="163"/>
        <v>-6.6763663478934566E-3</v>
      </c>
      <c r="DP43" s="1144" t="e">
        <f t="shared" ca="1" si="163"/>
        <v>#N/A</v>
      </c>
      <c r="DQ43" s="921"/>
      <c r="DR43" s="1144">
        <f t="shared" ca="1" si="140"/>
        <v>-1.5539291163334068</v>
      </c>
      <c r="DS43" s="1144">
        <f t="shared" ca="1" si="140"/>
        <v>0</v>
      </c>
      <c r="DT43" s="1144">
        <f t="shared" ca="1" si="140"/>
        <v>0</v>
      </c>
      <c r="DU43" s="1144" t="e">
        <f t="shared" ca="1" si="140"/>
        <v>#N/A</v>
      </c>
      <c r="DV43" s="920"/>
      <c r="DW43" s="921"/>
      <c r="DX43" s="918">
        <f t="shared" ca="1" si="141"/>
        <v>-1.5539291163334068</v>
      </c>
      <c r="DY43" s="918">
        <f t="shared" ca="1" si="141"/>
        <v>0</v>
      </c>
      <c r="DZ43" s="918">
        <f t="shared" ca="1" si="141"/>
        <v>0</v>
      </c>
      <c r="EA43" s="918" t="e">
        <f t="shared" ca="1" si="141"/>
        <v>#N/A</v>
      </c>
      <c r="EB43" s="920"/>
      <c r="EC43" s="921"/>
      <c r="ED43" s="1144">
        <f t="shared" ca="1" si="142"/>
        <v>-8.4027156768631234E-2</v>
      </c>
      <c r="EE43" s="1144">
        <f t="shared" ca="1" si="142"/>
        <v>0</v>
      </c>
      <c r="EF43" s="1144" t="e">
        <f t="shared" ca="1" si="142"/>
        <v>#N/A</v>
      </c>
      <c r="EG43" s="1144" t="e">
        <f t="shared" ca="1" si="142"/>
        <v>#N/A</v>
      </c>
      <c r="EH43" s="920"/>
      <c r="EI43" s="921"/>
      <c r="EJ43" s="918">
        <f t="shared" ca="1" si="143"/>
        <v>0</v>
      </c>
      <c r="EK43" s="918">
        <f t="shared" ca="1" si="143"/>
        <v>0</v>
      </c>
      <c r="EL43" s="918">
        <f t="shared" ca="1" si="143"/>
        <v>0</v>
      </c>
      <c r="EM43" s="918">
        <f t="shared" ca="1" si="143"/>
        <v>0</v>
      </c>
      <c r="EN43" s="920"/>
      <c r="EO43" s="921"/>
      <c r="EP43" s="1144">
        <f t="shared" ca="1" si="144"/>
        <v>-9.8239645767186868E-4</v>
      </c>
      <c r="EQ43" s="1144">
        <f t="shared" ca="1" si="144"/>
        <v>-9.8239506748772055E-4</v>
      </c>
      <c r="ER43" s="1144">
        <f t="shared" ca="1" si="144"/>
        <v>0</v>
      </c>
      <c r="ES43" s="1144">
        <f t="shared" ca="1" si="144"/>
        <v>-1.390664181306928E-9</v>
      </c>
      <c r="ET43" s="920"/>
      <c r="EU43" s="921"/>
      <c r="EV43" s="1144">
        <f t="shared" ca="1" si="164"/>
        <v>0</v>
      </c>
      <c r="EW43" s="1144">
        <f t="shared" ca="1" si="164"/>
        <v>0</v>
      </c>
      <c r="EX43" s="921"/>
      <c r="EY43" s="1144">
        <f t="shared" ca="1" si="164"/>
        <v>0</v>
      </c>
      <c r="EZ43" s="1144">
        <f t="shared" ca="1" si="164"/>
        <v>0</v>
      </c>
      <c r="FA43" s="1144" t="e">
        <f t="shared" ca="1" si="164"/>
        <v>#N/A</v>
      </c>
      <c r="FB43" s="921"/>
      <c r="FC43" s="918">
        <f t="shared" ca="1" si="159"/>
        <v>0</v>
      </c>
      <c r="FD43" s="918">
        <f t="shared" ca="1" si="159"/>
        <v>0</v>
      </c>
      <c r="FE43" s="918">
        <f t="shared" ca="1" si="159"/>
        <v>0</v>
      </c>
      <c r="FF43" s="918">
        <f t="shared" ca="1" si="159"/>
        <v>0</v>
      </c>
      <c r="FG43" s="918">
        <f t="shared" ca="1" si="159"/>
        <v>0</v>
      </c>
      <c r="FH43" s="918">
        <f t="shared" ca="1" si="159"/>
        <v>0</v>
      </c>
      <c r="FI43" s="918">
        <f t="shared" ca="1" si="159"/>
        <v>0</v>
      </c>
      <c r="FJ43" s="918">
        <f t="shared" ca="1" si="159"/>
        <v>0</v>
      </c>
      <c r="FK43" s="918">
        <f t="shared" ca="1" si="159"/>
        <v>0</v>
      </c>
      <c r="FL43" s="918">
        <f t="shared" ca="1" si="159"/>
        <v>0</v>
      </c>
      <c r="FM43" s="918" t="e">
        <f t="shared" ca="1" si="160"/>
        <v>#N/A</v>
      </c>
      <c r="FN43" s="1144">
        <f t="shared" ca="1" si="160"/>
        <v>0</v>
      </c>
      <c r="FO43" s="1144">
        <f t="shared" ca="1" si="160"/>
        <v>0</v>
      </c>
      <c r="FP43" s="918">
        <f t="shared" ca="1" si="160"/>
        <v>0</v>
      </c>
      <c r="FQ43" s="918">
        <f t="shared" ca="1" si="160"/>
        <v>0</v>
      </c>
      <c r="FR43" s="918">
        <f t="shared" ca="1" si="160"/>
        <v>0</v>
      </c>
      <c r="FS43" s="918">
        <f t="shared" ca="1" si="160"/>
        <v>0</v>
      </c>
      <c r="FT43" s="918">
        <f t="shared" ca="1" si="160"/>
        <v>0</v>
      </c>
      <c r="FU43" s="918" t="e">
        <f t="shared" ca="1" si="160"/>
        <v>#N/A</v>
      </c>
      <c r="FV43" s="1144" t="e">
        <f t="shared" ca="1" si="160"/>
        <v>#N/A</v>
      </c>
      <c r="FW43" s="918">
        <f t="shared" ca="1" si="160"/>
        <v>0</v>
      </c>
      <c r="FX43" s="918">
        <f t="shared" ca="1" si="160"/>
        <v>0</v>
      </c>
      <c r="FY43" s="918">
        <f t="shared" ca="1" si="160"/>
        <v>0</v>
      </c>
      <c r="FZ43" s="918">
        <f t="shared" ca="1" si="160"/>
        <v>0</v>
      </c>
      <c r="GA43" s="1144" t="e">
        <f t="shared" ca="1" si="160"/>
        <v>#N/A</v>
      </c>
      <c r="GB43" s="918">
        <f t="shared" ca="1" si="160"/>
        <v>0</v>
      </c>
      <c r="GC43" s="920"/>
      <c r="GD43" s="918">
        <f t="shared" ca="1" si="161"/>
        <v>0</v>
      </c>
      <c r="GE43" s="918">
        <f t="shared" ca="1" si="161"/>
        <v>0</v>
      </c>
      <c r="GF43" s="918">
        <f t="shared" ca="1" si="161"/>
        <v>0</v>
      </c>
      <c r="GG43" s="918">
        <f t="shared" ca="1" si="161"/>
        <v>-7.6013312854952844E-22</v>
      </c>
      <c r="GH43" s="918" t="e">
        <f t="shared" ca="1" si="161"/>
        <v>#N/A</v>
      </c>
      <c r="GI43" s="1144" t="e">
        <f t="shared" ca="1" si="161"/>
        <v>#N/A</v>
      </c>
      <c r="GJ43" s="918">
        <f t="shared" ca="1" si="161"/>
        <v>-4.7974758026495899E-8</v>
      </c>
      <c r="GK43" s="918">
        <f t="shared" ca="1" si="161"/>
        <v>-9.8239506748772055E-4</v>
      </c>
      <c r="GL43" s="918">
        <f t="shared" ca="1" si="161"/>
        <v>0</v>
      </c>
      <c r="GM43" s="918">
        <f t="shared" ca="1" si="161"/>
        <v>0</v>
      </c>
      <c r="GN43" s="918">
        <f t="shared" ca="1" si="161"/>
        <v>0</v>
      </c>
      <c r="GO43" s="918" t="e">
        <f t="shared" ca="1" si="161"/>
        <v>#N/A</v>
      </c>
      <c r="GP43" s="915"/>
      <c r="GR43" s="946"/>
      <c r="GS43" s="946"/>
      <c r="GU43" s="946"/>
      <c r="GV43" s="946"/>
      <c r="GW43" s="946"/>
      <c r="GX43" s="1143"/>
      <c r="GY43" s="946"/>
    </row>
    <row r="44" spans="1:207" s="914" customFormat="1" x14ac:dyDescent="0.3">
      <c r="A44" s="975" t="s">
        <v>1522</v>
      </c>
      <c r="B44" s="977">
        <v>28</v>
      </c>
      <c r="C44" s="973">
        <v>98.07947999999999</v>
      </c>
      <c r="D44" s="914">
        <v>6.0835002399999998E-2</v>
      </c>
      <c r="E44" s="972" t="s">
        <v>982</v>
      </c>
      <c r="F44" s="936">
        <f t="shared" ref="F44:P53" ca="1" si="165">VLOOKUP(F$8,INDIRECT(LU_MAT),$B44,FALSE)*$D44/$C44</f>
        <v>0</v>
      </c>
      <c r="G44" s="918">
        <f t="shared" ca="1" si="165"/>
        <v>0</v>
      </c>
      <c r="H44" s="918">
        <f t="shared" ca="1" si="165"/>
        <v>1.1423163773854637</v>
      </c>
      <c r="I44" s="918">
        <f t="shared" ca="1" si="165"/>
        <v>0</v>
      </c>
      <c r="J44" s="918">
        <f t="shared" ca="1" si="165"/>
        <v>0</v>
      </c>
      <c r="K44" s="1144">
        <f t="shared" ca="1" si="165"/>
        <v>0</v>
      </c>
      <c r="L44" s="918">
        <f t="shared" ca="1" si="165"/>
        <v>0</v>
      </c>
      <c r="M44" s="918">
        <f t="shared" ca="1" si="165"/>
        <v>0</v>
      </c>
      <c r="N44" s="938">
        <f t="shared" ca="1" si="165"/>
        <v>1.8766293158930871E-4</v>
      </c>
      <c r="O44" s="918">
        <f t="shared" ca="1" si="165"/>
        <v>4.2222108477749952E-5</v>
      </c>
      <c r="P44" s="939">
        <f t="shared" ca="1" si="165"/>
        <v>0</v>
      </c>
      <c r="Q44" s="921"/>
      <c r="R44" s="918">
        <f t="shared" ref="R44:AA53" ca="1" si="166">VLOOKUP(R$8,INDIRECT(LU_MAT),$B44,FALSE)*$D44/$C44</f>
        <v>0</v>
      </c>
      <c r="S44" s="918">
        <f t="shared" ca="1" si="166"/>
        <v>0</v>
      </c>
      <c r="T44" s="918">
        <f t="shared" ca="1" si="166"/>
        <v>0</v>
      </c>
      <c r="U44" s="918">
        <f t="shared" ca="1" si="166"/>
        <v>0</v>
      </c>
      <c r="V44" s="918">
        <f t="shared" ca="1" si="166"/>
        <v>0</v>
      </c>
      <c r="W44" s="918">
        <f t="shared" ca="1" si="166"/>
        <v>0</v>
      </c>
      <c r="X44" s="938">
        <f t="shared" ca="1" si="166"/>
        <v>0</v>
      </c>
      <c r="Y44" s="918">
        <f t="shared" ca="1" si="166"/>
        <v>0</v>
      </c>
      <c r="Z44" s="918">
        <f t="shared" ca="1" si="166"/>
        <v>0</v>
      </c>
      <c r="AA44" s="918">
        <f t="shared" ca="1" si="166"/>
        <v>0</v>
      </c>
      <c r="AB44" s="921"/>
      <c r="AC44" s="918">
        <f t="shared" ref="AC44:AN53" ca="1" si="167">VLOOKUP(AC$8,INDIRECT(LU_MAT),$B44,FALSE)*$D44/$C44</f>
        <v>0</v>
      </c>
      <c r="AD44" s="918">
        <f t="shared" ca="1" si="167"/>
        <v>0</v>
      </c>
      <c r="AE44" s="918">
        <f t="shared" ca="1" si="167"/>
        <v>0</v>
      </c>
      <c r="AF44" s="918">
        <f t="shared" ca="1" si="167"/>
        <v>0</v>
      </c>
      <c r="AG44" s="918">
        <f t="shared" ca="1" si="167"/>
        <v>0</v>
      </c>
      <c r="AH44" s="918">
        <f t="shared" ca="1" si="167"/>
        <v>0</v>
      </c>
      <c r="AI44" s="918">
        <f t="shared" ca="1" si="167"/>
        <v>0</v>
      </c>
      <c r="AJ44" s="918">
        <f t="shared" ca="1" si="167"/>
        <v>0</v>
      </c>
      <c r="AK44" s="938">
        <f t="shared" ca="1" si="167"/>
        <v>0</v>
      </c>
      <c r="AL44" s="918">
        <f t="shared" ca="1" si="167"/>
        <v>0</v>
      </c>
      <c r="AM44" s="918">
        <f t="shared" ca="1" si="167"/>
        <v>0</v>
      </c>
      <c r="AN44" s="918">
        <f t="shared" ca="1" si="167"/>
        <v>0</v>
      </c>
      <c r="AO44" s="921"/>
      <c r="AP44" s="1144">
        <f t="shared" ca="1" si="162"/>
        <v>0</v>
      </c>
      <c r="AQ44" s="1144">
        <f t="shared" ca="1" si="162"/>
        <v>0</v>
      </c>
      <c r="AR44" s="1144">
        <f t="shared" ca="1" si="162"/>
        <v>0</v>
      </c>
      <c r="AS44" s="1144">
        <f t="shared" ca="1" si="162"/>
        <v>0</v>
      </c>
      <c r="AT44" s="938">
        <f t="shared" ca="1" si="162"/>
        <v>0</v>
      </c>
      <c r="AU44" s="938">
        <f t="shared" ca="1" si="162"/>
        <v>0</v>
      </c>
      <c r="AV44" s="1144">
        <f t="shared" ca="1" si="162"/>
        <v>0</v>
      </c>
      <c r="AW44" s="1144">
        <f t="shared" ca="1" si="162"/>
        <v>0</v>
      </c>
      <c r="AX44" s="1144">
        <f t="shared" ca="1" si="162"/>
        <v>0</v>
      </c>
      <c r="AY44" s="1144">
        <f t="shared" ca="1" si="162"/>
        <v>0</v>
      </c>
      <c r="AZ44" s="1144">
        <f t="shared" ca="1" si="162"/>
        <v>0</v>
      </c>
      <c r="BA44" s="1144">
        <f t="shared" ca="1" si="162"/>
        <v>0</v>
      </c>
      <c r="BB44" s="1144">
        <f t="shared" ca="1" si="162"/>
        <v>0</v>
      </c>
      <c r="BC44" s="1144">
        <f t="shared" ca="1" si="162"/>
        <v>0</v>
      </c>
      <c r="BD44" s="921"/>
      <c r="BE44" s="918">
        <f t="shared" ref="BE44:BO53" ca="1" si="168">VLOOKUP(BE$8,INDIRECT(LU_MAT),$B44,FALSE)*$D44/$C44</f>
        <v>0</v>
      </c>
      <c r="BF44" s="918">
        <f t="shared" ca="1" si="168"/>
        <v>0</v>
      </c>
      <c r="BG44" s="918">
        <f t="shared" ca="1" si="168"/>
        <v>0</v>
      </c>
      <c r="BH44" s="918">
        <f t="shared" ca="1" si="168"/>
        <v>0</v>
      </c>
      <c r="BI44" s="938">
        <f t="shared" ca="1" si="168"/>
        <v>0</v>
      </c>
      <c r="BJ44" s="918">
        <f t="shared" ca="1" si="168"/>
        <v>0</v>
      </c>
      <c r="BK44" s="918">
        <f t="shared" ca="1" si="168"/>
        <v>0</v>
      </c>
      <c r="BL44" s="918">
        <f t="shared" ca="1" si="168"/>
        <v>0</v>
      </c>
      <c r="BM44" s="918">
        <f t="shared" ca="1" si="168"/>
        <v>0</v>
      </c>
      <c r="BN44" s="1144">
        <f t="shared" ca="1" si="168"/>
        <v>0</v>
      </c>
      <c r="BO44" s="918">
        <f t="shared" ca="1" si="168"/>
        <v>0</v>
      </c>
      <c r="BP44" s="921"/>
      <c r="BQ44" s="918">
        <f t="shared" ref="BQ44:BW53" ca="1" si="169">VLOOKUP(BQ$8,INDIRECT(LU_MAT),$B44,FALSE)*$D44/$C44</f>
        <v>0</v>
      </c>
      <c r="BR44" s="918">
        <f t="shared" ca="1" si="169"/>
        <v>0</v>
      </c>
      <c r="BS44" s="1144">
        <f t="shared" ca="1" si="169"/>
        <v>0</v>
      </c>
      <c r="BT44" s="918">
        <f t="shared" ca="1" si="169"/>
        <v>0</v>
      </c>
      <c r="BU44" s="918">
        <f t="shared" ca="1" si="169"/>
        <v>0</v>
      </c>
      <c r="BV44" s="918">
        <f t="shared" ca="1" si="169"/>
        <v>0</v>
      </c>
      <c r="BW44" s="1144">
        <f t="shared" ca="1" si="169"/>
        <v>0</v>
      </c>
      <c r="BX44" s="921"/>
      <c r="BY44" s="918">
        <f t="shared" ref="BY44:CF53" ca="1" si="170">VLOOKUP(BY$8,INDIRECT(LU_MAT),$B44,FALSE)*$D44/$C44</f>
        <v>0</v>
      </c>
      <c r="BZ44" s="918">
        <f t="shared" ca="1" si="170"/>
        <v>0</v>
      </c>
      <c r="CA44" s="918">
        <f t="shared" ca="1" si="170"/>
        <v>0</v>
      </c>
      <c r="CB44" s="918">
        <f t="shared" ca="1" si="170"/>
        <v>7.9983088394545252E-7</v>
      </c>
      <c r="CC44" s="918">
        <f t="shared" ca="1" si="170"/>
        <v>6.051388250465575E-13</v>
      </c>
      <c r="CD44" s="918">
        <f t="shared" ca="1" si="170"/>
        <v>0</v>
      </c>
      <c r="CE44" s="918">
        <f t="shared" ca="1" si="170"/>
        <v>0</v>
      </c>
      <c r="CF44" s="918">
        <f t="shared" ca="1" si="170"/>
        <v>1.9495939628566962E-8</v>
      </c>
      <c r="CG44" s="921"/>
      <c r="CH44" s="918">
        <f t="shared" ref="CH44:CL53" ca="1" si="171">VLOOKUP(CH$8,INDIRECT(LU_MAT),$B44,FALSE)*$D44/$C44</f>
        <v>6.051388250465575E-13</v>
      </c>
      <c r="CI44" s="918">
        <f t="shared" ca="1" si="171"/>
        <v>7.9983088394545252E-7</v>
      </c>
      <c r="CJ44" s="918">
        <f t="shared" ca="1" si="171"/>
        <v>1.9495939628566962E-8</v>
      </c>
      <c r="CK44" s="918" t="e">
        <f t="shared" ca="1" si="171"/>
        <v>#N/A</v>
      </c>
      <c r="CL44" s="918" t="e">
        <f t="shared" ca="1" si="171"/>
        <v>#N/A</v>
      </c>
      <c r="CM44" s="921"/>
      <c r="CN44" s="918">
        <f t="shared" ref="CN44:CS53" ca="1" si="172">VLOOKUP(CN$8,INDIRECT(LU_MAT),$B44,FALSE)*$D44/$C44</f>
        <v>0</v>
      </c>
      <c r="CO44" s="918" t="e">
        <f t="shared" ca="1" si="172"/>
        <v>#N/A</v>
      </c>
      <c r="CP44" s="918">
        <f t="shared" ca="1" si="172"/>
        <v>0</v>
      </c>
      <c r="CQ44" s="918">
        <f t="shared" ca="1" si="172"/>
        <v>0</v>
      </c>
      <c r="CR44" s="918">
        <f t="shared" ca="1" si="172"/>
        <v>0</v>
      </c>
      <c r="CS44" s="1144">
        <f t="shared" ca="1" si="172"/>
        <v>0</v>
      </c>
      <c r="CT44" s="921"/>
      <c r="CU44" s="918">
        <f t="shared" ref="CU44:DL53" ca="1" si="173">VLOOKUP(CU$8,INDIRECT(LU_MAT),$B44,FALSE)*$D44/$C44</f>
        <v>4.2222108477749952E-5</v>
      </c>
      <c r="CV44" s="918">
        <f t="shared" ca="1" si="173"/>
        <v>0</v>
      </c>
      <c r="CW44" s="918">
        <f t="shared" ca="1" si="173"/>
        <v>0</v>
      </c>
      <c r="CX44" s="918">
        <f t="shared" ca="1" si="173"/>
        <v>0</v>
      </c>
      <c r="CY44" s="918">
        <f t="shared" ca="1" si="173"/>
        <v>0</v>
      </c>
      <c r="CZ44" s="1144" t="e">
        <f t="shared" ca="1" si="173"/>
        <v>#N/A</v>
      </c>
      <c r="DA44" s="1144" t="e">
        <f t="shared" ca="1" si="173"/>
        <v>#N/A</v>
      </c>
      <c r="DB44" s="918">
        <f t="shared" ca="1" si="173"/>
        <v>0</v>
      </c>
      <c r="DC44" s="938">
        <f t="shared" ca="1" si="173"/>
        <v>0</v>
      </c>
      <c r="DD44" s="918">
        <f t="shared" ca="1" si="173"/>
        <v>6.051388250465575E-13</v>
      </c>
      <c r="DE44" s="918">
        <f t="shared" ca="1" si="173"/>
        <v>1.1188247558755731E-12</v>
      </c>
      <c r="DF44" s="918">
        <f t="shared" ca="1" si="173"/>
        <v>0</v>
      </c>
      <c r="DG44" s="918">
        <f t="shared" ca="1" si="173"/>
        <v>3.945122119130146E-5</v>
      </c>
      <c r="DH44" s="918">
        <f t="shared" ca="1" si="173"/>
        <v>7.9983088394545252E-7</v>
      </c>
      <c r="DI44" s="921"/>
      <c r="DJ44" s="1144">
        <f t="shared" ca="1" si="173"/>
        <v>2.1951105968680623E-4</v>
      </c>
      <c r="DK44" s="1144">
        <f t="shared" ca="1" si="173"/>
        <v>4.8597516740508526E-5</v>
      </c>
      <c r="DL44" s="1144">
        <f t="shared" ca="1" si="173"/>
        <v>0</v>
      </c>
      <c r="DM44" s="1144">
        <f t="shared" ca="1" si="163"/>
        <v>0</v>
      </c>
      <c r="DN44" s="1144" t="e">
        <f t="shared" ca="1" si="163"/>
        <v>#N/A</v>
      </c>
      <c r="DO44" s="1144">
        <f t="shared" ca="1" si="163"/>
        <v>2.6810857624123607E-4</v>
      </c>
      <c r="DP44" s="1144" t="e">
        <f t="shared" ca="1" si="163"/>
        <v>#N/A</v>
      </c>
      <c r="DQ44" s="921"/>
      <c r="DR44" s="1144">
        <f t="shared" ref="DR44:DU63" ca="1" si="174">VLOOKUP(DR$8,INDIRECT(LU_MAT),$B44,FALSE)*$D44/$C44</f>
        <v>3.6451063999362837E-5</v>
      </c>
      <c r="DS44" s="1144">
        <f t="shared" ca="1" si="174"/>
        <v>0</v>
      </c>
      <c r="DT44" s="1144">
        <f t="shared" ca="1" si="174"/>
        <v>3.6451063999362837E-5</v>
      </c>
      <c r="DU44" s="1144" t="e">
        <f t="shared" ca="1" si="174"/>
        <v>#N/A</v>
      </c>
      <c r="DV44" s="920"/>
      <c r="DW44" s="921"/>
      <c r="DX44" s="918">
        <f t="shared" ref="DX44:EA63" ca="1" si="175">VLOOKUP(DX$8,INDIRECT(LU_MAT),$B44,FALSE)*$D44/$C44</f>
        <v>3.6451063999362837E-5</v>
      </c>
      <c r="DY44" s="918">
        <f t="shared" ca="1" si="175"/>
        <v>0</v>
      </c>
      <c r="DZ44" s="918">
        <f t="shared" ca="1" si="175"/>
        <v>3.6451063999362837E-5</v>
      </c>
      <c r="EA44" s="918" t="e">
        <f t="shared" ca="1" si="175"/>
        <v>#N/A</v>
      </c>
      <c r="EB44" s="920"/>
      <c r="EC44" s="921"/>
      <c r="ED44" s="1144">
        <f t="shared" ref="ED44:EG63" ca="1" si="176">VLOOKUP(ED$8,INDIRECT(LU_MAT),$B44,FALSE)*$D44/$C44</f>
        <v>1.9710546905791378E-6</v>
      </c>
      <c r="EE44" s="1144">
        <f t="shared" ca="1" si="176"/>
        <v>0</v>
      </c>
      <c r="EF44" s="1144" t="e">
        <f t="shared" ca="1" si="176"/>
        <v>#N/A</v>
      </c>
      <c r="EG44" s="1144" t="e">
        <f t="shared" ca="1" si="176"/>
        <v>#N/A</v>
      </c>
      <c r="EH44" s="920"/>
      <c r="EI44" s="921"/>
      <c r="EJ44" s="918">
        <f t="shared" ref="EJ44:EM63" ca="1" si="177">VLOOKUP(EJ$8,INDIRECT(LU_MAT),$B44,FALSE)*$D44/$C44</f>
        <v>0</v>
      </c>
      <c r="EK44" s="918">
        <f t="shared" ca="1" si="177"/>
        <v>0</v>
      </c>
      <c r="EL44" s="918">
        <f t="shared" ca="1" si="177"/>
        <v>0</v>
      </c>
      <c r="EM44" s="918">
        <f t="shared" ca="1" si="177"/>
        <v>0</v>
      </c>
      <c r="EN44" s="920"/>
      <c r="EO44" s="921"/>
      <c r="EP44" s="1144">
        <f t="shared" ref="EP44:ES63" ca="1" si="178">VLOOKUP(EP$8,INDIRECT(LU_MAT),$B44,FALSE)*$D44/$C44</f>
        <v>3.9451221439406375E-5</v>
      </c>
      <c r="EQ44" s="1144">
        <f t="shared" ca="1" si="178"/>
        <v>3.945122119130146E-5</v>
      </c>
      <c r="ER44" s="1144">
        <f t="shared" ca="1" si="178"/>
        <v>0</v>
      </c>
      <c r="ES44" s="1144">
        <f t="shared" ca="1" si="178"/>
        <v>2.6393003235455187E-13</v>
      </c>
      <c r="ET44" s="920"/>
      <c r="EU44" s="921"/>
      <c r="EV44" s="1144">
        <f t="shared" ca="1" si="164"/>
        <v>0</v>
      </c>
      <c r="EW44" s="1144">
        <f t="shared" ca="1" si="164"/>
        <v>0</v>
      </c>
      <c r="EX44" s="921"/>
      <c r="EY44" s="1144">
        <f t="shared" ca="1" si="164"/>
        <v>0</v>
      </c>
      <c r="EZ44" s="1144">
        <f t="shared" ca="1" si="164"/>
        <v>0</v>
      </c>
      <c r="FA44" s="1144" t="e">
        <f t="shared" ca="1" si="164"/>
        <v>#N/A</v>
      </c>
      <c r="FB44" s="921"/>
      <c r="FC44" s="918">
        <f t="shared" ref="FC44:FL53" ca="1" si="179">VLOOKUP(FC$8,INDIRECT(LU_MAT),$B44,FALSE)*$D44/$C44</f>
        <v>0</v>
      </c>
      <c r="FD44" s="918">
        <f t="shared" ca="1" si="179"/>
        <v>1.1423163773854637</v>
      </c>
      <c r="FE44" s="918">
        <f t="shared" ca="1" si="179"/>
        <v>0</v>
      </c>
      <c r="FF44" s="918">
        <f t="shared" ca="1" si="179"/>
        <v>1.8766293158930871E-4</v>
      </c>
      <c r="FG44" s="918">
        <f t="shared" ca="1" si="179"/>
        <v>0</v>
      </c>
      <c r="FH44" s="918">
        <f t="shared" ca="1" si="179"/>
        <v>0</v>
      </c>
      <c r="FI44" s="918">
        <f t="shared" ca="1" si="179"/>
        <v>0</v>
      </c>
      <c r="FJ44" s="918">
        <f t="shared" ca="1" si="179"/>
        <v>0</v>
      </c>
      <c r="FK44" s="918">
        <f t="shared" ca="1" si="179"/>
        <v>0</v>
      </c>
      <c r="FL44" s="918">
        <f t="shared" ca="1" si="179"/>
        <v>0</v>
      </c>
      <c r="FM44" s="918" t="e">
        <f t="shared" ref="FM44:GB53" ca="1" si="180">VLOOKUP(FM$8,INDIRECT(LU_MAT),$B44,FALSE)*$D44/$C44</f>
        <v>#N/A</v>
      </c>
      <c r="FN44" s="1144">
        <f t="shared" ca="1" si="180"/>
        <v>0</v>
      </c>
      <c r="FO44" s="1144">
        <f t="shared" ca="1" si="180"/>
        <v>0</v>
      </c>
      <c r="FP44" s="918">
        <f t="shared" ca="1" si="180"/>
        <v>0</v>
      </c>
      <c r="FQ44" s="918">
        <f t="shared" ca="1" si="180"/>
        <v>0</v>
      </c>
      <c r="FR44" s="918">
        <f t="shared" ca="1" si="180"/>
        <v>0</v>
      </c>
      <c r="FS44" s="918">
        <f t="shared" ca="1" si="180"/>
        <v>0</v>
      </c>
      <c r="FT44" s="918">
        <f t="shared" ca="1" si="180"/>
        <v>0</v>
      </c>
      <c r="FU44" s="918" t="e">
        <f t="shared" ca="1" si="180"/>
        <v>#N/A</v>
      </c>
      <c r="FV44" s="1144" t="e">
        <f t="shared" ca="1" si="180"/>
        <v>#N/A</v>
      </c>
      <c r="FW44" s="918">
        <f t="shared" ca="1" si="180"/>
        <v>0</v>
      </c>
      <c r="FX44" s="918">
        <f t="shared" ca="1" si="180"/>
        <v>0</v>
      </c>
      <c r="FY44" s="918">
        <f t="shared" ca="1" si="180"/>
        <v>0</v>
      </c>
      <c r="FZ44" s="918">
        <f t="shared" ca="1" si="180"/>
        <v>0</v>
      </c>
      <c r="GA44" s="1144" t="e">
        <f t="shared" ca="1" si="180"/>
        <v>#N/A</v>
      </c>
      <c r="GB44" s="918">
        <f t="shared" ca="1" si="180"/>
        <v>0</v>
      </c>
      <c r="GC44" s="920"/>
      <c r="GD44" s="918">
        <f t="shared" ref="GD44:GO53" ca="1" si="181">VLOOKUP(GD$8,INDIRECT(LU_MAT),$B44,FALSE)*$D44/$C44</f>
        <v>0</v>
      </c>
      <c r="GE44" s="918">
        <f t="shared" ca="1" si="181"/>
        <v>0</v>
      </c>
      <c r="GF44" s="918">
        <f t="shared" ca="1" si="181"/>
        <v>0</v>
      </c>
      <c r="GG44" s="918">
        <f t="shared" ca="1" si="181"/>
        <v>0</v>
      </c>
      <c r="GH44" s="918" t="e">
        <f t="shared" ca="1" si="181"/>
        <v>#N/A</v>
      </c>
      <c r="GI44" s="1144" t="e">
        <f t="shared" ca="1" si="181"/>
        <v>#N/A</v>
      </c>
      <c r="GJ44" s="918">
        <f t="shared" ca="1" si="181"/>
        <v>1.1188247558755731E-12</v>
      </c>
      <c r="GK44" s="918">
        <f t="shared" ca="1" si="181"/>
        <v>3.945122119130146E-5</v>
      </c>
      <c r="GL44" s="918">
        <f t="shared" ca="1" si="181"/>
        <v>0</v>
      </c>
      <c r="GM44" s="918">
        <f t="shared" ca="1" si="181"/>
        <v>1.9495939628566962E-8</v>
      </c>
      <c r="GN44" s="918">
        <f t="shared" ca="1" si="181"/>
        <v>0</v>
      </c>
      <c r="GO44" s="918" t="e">
        <f t="shared" ca="1" si="181"/>
        <v>#N/A</v>
      </c>
      <c r="GP44" s="915"/>
      <c r="GQ44" s="1143" t="s">
        <v>1792</v>
      </c>
      <c r="GR44" s="1183">
        <f ca="1">GR2+GR6+GR10+GR14+GR16+GR20+GR24+GR26+GR28+GR32+GR38+GR42+GR34</f>
        <v>816631.98713604908</v>
      </c>
      <c r="GS44" s="1182" t="s">
        <v>287</v>
      </c>
      <c r="GT44" s="1143" t="s">
        <v>1792</v>
      </c>
      <c r="GU44" s="1183">
        <f ca="1">GU2+GU6+GU12+GU16+GU20+GU32+GU36</f>
        <v>816637.71626000002</v>
      </c>
      <c r="GV44" s="1182" t="s">
        <v>287</v>
      </c>
      <c r="GW44" s="946"/>
      <c r="GX44" s="1143"/>
      <c r="GY44" s="946"/>
    </row>
    <row r="45" spans="1:207" s="914" customFormat="1" x14ac:dyDescent="0.3">
      <c r="A45" s="975" t="s">
        <v>1523</v>
      </c>
      <c r="B45" s="977">
        <v>40</v>
      </c>
      <c r="C45" s="973">
        <v>28.013480000000001</v>
      </c>
      <c r="D45" s="914">
        <v>0</v>
      </c>
      <c r="E45" s="979" t="s">
        <v>982</v>
      </c>
      <c r="F45" s="936">
        <f t="shared" ca="1" si="165"/>
        <v>0</v>
      </c>
      <c r="G45" s="918">
        <f t="shared" ca="1" si="165"/>
        <v>0</v>
      </c>
      <c r="H45" s="918">
        <f t="shared" ca="1" si="165"/>
        <v>0</v>
      </c>
      <c r="I45" s="918">
        <f t="shared" ca="1" si="165"/>
        <v>0</v>
      </c>
      <c r="J45" s="918">
        <f t="shared" ca="1" si="165"/>
        <v>0</v>
      </c>
      <c r="K45" s="1144">
        <f t="shared" ca="1" si="165"/>
        <v>0</v>
      </c>
      <c r="L45" s="918">
        <f t="shared" ca="1" si="165"/>
        <v>0</v>
      </c>
      <c r="M45" s="918">
        <f t="shared" ca="1" si="165"/>
        <v>0</v>
      </c>
      <c r="N45" s="938">
        <f t="shared" ca="1" si="165"/>
        <v>0</v>
      </c>
      <c r="O45" s="918">
        <f t="shared" ca="1" si="165"/>
        <v>0</v>
      </c>
      <c r="P45" s="939">
        <f t="shared" ca="1" si="165"/>
        <v>0</v>
      </c>
      <c r="Q45" s="921"/>
      <c r="R45" s="918">
        <f t="shared" ca="1" si="166"/>
        <v>0</v>
      </c>
      <c r="S45" s="918">
        <f t="shared" ca="1" si="166"/>
        <v>0</v>
      </c>
      <c r="T45" s="918">
        <f t="shared" ca="1" si="166"/>
        <v>0</v>
      </c>
      <c r="U45" s="918">
        <f t="shared" ca="1" si="166"/>
        <v>0</v>
      </c>
      <c r="V45" s="918">
        <f t="shared" ca="1" si="166"/>
        <v>0</v>
      </c>
      <c r="W45" s="918">
        <f t="shared" ca="1" si="166"/>
        <v>0</v>
      </c>
      <c r="X45" s="938">
        <f t="shared" ca="1" si="166"/>
        <v>0</v>
      </c>
      <c r="Y45" s="918">
        <f t="shared" ca="1" si="166"/>
        <v>0</v>
      </c>
      <c r="Z45" s="918">
        <f t="shared" ca="1" si="166"/>
        <v>0</v>
      </c>
      <c r="AA45" s="918">
        <f t="shared" ca="1" si="166"/>
        <v>0</v>
      </c>
      <c r="AB45" s="921"/>
      <c r="AC45" s="918">
        <f t="shared" ca="1" si="167"/>
        <v>0</v>
      </c>
      <c r="AD45" s="918">
        <f t="shared" ca="1" si="167"/>
        <v>0</v>
      </c>
      <c r="AE45" s="918">
        <f t="shared" ca="1" si="167"/>
        <v>0</v>
      </c>
      <c r="AF45" s="918">
        <f t="shared" ca="1" si="167"/>
        <v>0</v>
      </c>
      <c r="AG45" s="918">
        <f t="shared" ca="1" si="167"/>
        <v>0</v>
      </c>
      <c r="AH45" s="918">
        <f t="shared" ca="1" si="167"/>
        <v>0</v>
      </c>
      <c r="AI45" s="918">
        <f t="shared" ca="1" si="167"/>
        <v>0</v>
      </c>
      <c r="AJ45" s="918">
        <f t="shared" ca="1" si="167"/>
        <v>0</v>
      </c>
      <c r="AK45" s="938">
        <f t="shared" ca="1" si="167"/>
        <v>0</v>
      </c>
      <c r="AL45" s="918">
        <f t="shared" ca="1" si="167"/>
        <v>0</v>
      </c>
      <c r="AM45" s="918">
        <f t="shared" ca="1" si="167"/>
        <v>0</v>
      </c>
      <c r="AN45" s="918">
        <f t="shared" ca="1" si="167"/>
        <v>0</v>
      </c>
      <c r="AO45" s="921"/>
      <c r="AP45" s="1144">
        <f t="shared" ca="1" si="162"/>
        <v>0</v>
      </c>
      <c r="AQ45" s="1144">
        <f t="shared" ca="1" si="162"/>
        <v>0</v>
      </c>
      <c r="AR45" s="1144">
        <f t="shared" ca="1" si="162"/>
        <v>0</v>
      </c>
      <c r="AS45" s="1144">
        <f t="shared" ca="1" si="162"/>
        <v>0</v>
      </c>
      <c r="AT45" s="938">
        <f t="shared" ca="1" si="162"/>
        <v>0</v>
      </c>
      <c r="AU45" s="938">
        <f t="shared" ca="1" si="162"/>
        <v>0</v>
      </c>
      <c r="AV45" s="1144">
        <f t="shared" ca="1" si="162"/>
        <v>0</v>
      </c>
      <c r="AW45" s="1144">
        <f t="shared" ca="1" si="162"/>
        <v>0</v>
      </c>
      <c r="AX45" s="1144">
        <f t="shared" ca="1" si="162"/>
        <v>0</v>
      </c>
      <c r="AY45" s="1144">
        <f t="shared" ca="1" si="162"/>
        <v>0</v>
      </c>
      <c r="AZ45" s="1144">
        <f t="shared" ca="1" si="162"/>
        <v>0</v>
      </c>
      <c r="BA45" s="1144">
        <f t="shared" ca="1" si="162"/>
        <v>0</v>
      </c>
      <c r="BB45" s="1144">
        <f t="shared" ca="1" si="162"/>
        <v>0</v>
      </c>
      <c r="BC45" s="1144">
        <f t="shared" ca="1" si="162"/>
        <v>0</v>
      </c>
      <c r="BD45" s="921"/>
      <c r="BE45" s="918">
        <f t="shared" ca="1" si="168"/>
        <v>0</v>
      </c>
      <c r="BF45" s="918">
        <f t="shared" ca="1" si="168"/>
        <v>0</v>
      </c>
      <c r="BG45" s="918">
        <f t="shared" ca="1" si="168"/>
        <v>0</v>
      </c>
      <c r="BH45" s="918">
        <f t="shared" ca="1" si="168"/>
        <v>0</v>
      </c>
      <c r="BI45" s="938">
        <f t="shared" ca="1" si="168"/>
        <v>0</v>
      </c>
      <c r="BJ45" s="918">
        <f t="shared" ca="1" si="168"/>
        <v>0</v>
      </c>
      <c r="BK45" s="918">
        <f t="shared" ca="1" si="168"/>
        <v>0</v>
      </c>
      <c r="BL45" s="918">
        <f t="shared" ca="1" si="168"/>
        <v>0</v>
      </c>
      <c r="BM45" s="918">
        <f t="shared" ca="1" si="168"/>
        <v>0</v>
      </c>
      <c r="BN45" s="1144">
        <f t="shared" ca="1" si="168"/>
        <v>0</v>
      </c>
      <c r="BO45" s="918">
        <f t="shared" ca="1" si="168"/>
        <v>0</v>
      </c>
      <c r="BP45" s="921"/>
      <c r="BQ45" s="918">
        <f t="shared" ca="1" si="169"/>
        <v>0</v>
      </c>
      <c r="BR45" s="918">
        <f t="shared" ca="1" si="169"/>
        <v>0</v>
      </c>
      <c r="BS45" s="1144">
        <f t="shared" ca="1" si="169"/>
        <v>0</v>
      </c>
      <c r="BT45" s="918">
        <f t="shared" ca="1" si="169"/>
        <v>0</v>
      </c>
      <c r="BU45" s="918">
        <f t="shared" ca="1" si="169"/>
        <v>0</v>
      </c>
      <c r="BV45" s="918">
        <f t="shared" ca="1" si="169"/>
        <v>0</v>
      </c>
      <c r="BW45" s="1144">
        <f t="shared" ca="1" si="169"/>
        <v>0</v>
      </c>
      <c r="BX45" s="921"/>
      <c r="BY45" s="918">
        <f t="shared" ca="1" si="170"/>
        <v>0</v>
      </c>
      <c r="BZ45" s="918">
        <f t="shared" ca="1" si="170"/>
        <v>0</v>
      </c>
      <c r="CA45" s="918">
        <f t="shared" ca="1" si="170"/>
        <v>0</v>
      </c>
      <c r="CB45" s="918">
        <f t="shared" ca="1" si="170"/>
        <v>0</v>
      </c>
      <c r="CC45" s="918">
        <f t="shared" ca="1" si="170"/>
        <v>0</v>
      </c>
      <c r="CD45" s="918">
        <f t="shared" ca="1" si="170"/>
        <v>0</v>
      </c>
      <c r="CE45" s="918">
        <f t="shared" ca="1" si="170"/>
        <v>0</v>
      </c>
      <c r="CF45" s="918">
        <f t="shared" ca="1" si="170"/>
        <v>0</v>
      </c>
      <c r="CG45" s="921"/>
      <c r="CH45" s="918">
        <f t="shared" ca="1" si="171"/>
        <v>0</v>
      </c>
      <c r="CI45" s="918">
        <f t="shared" ca="1" si="171"/>
        <v>0</v>
      </c>
      <c r="CJ45" s="918">
        <f t="shared" ca="1" si="171"/>
        <v>0</v>
      </c>
      <c r="CK45" s="918" t="e">
        <f t="shared" ca="1" si="171"/>
        <v>#N/A</v>
      </c>
      <c r="CL45" s="918" t="e">
        <f t="shared" ca="1" si="171"/>
        <v>#N/A</v>
      </c>
      <c r="CM45" s="921"/>
      <c r="CN45" s="918">
        <f t="shared" ca="1" si="172"/>
        <v>0</v>
      </c>
      <c r="CO45" s="918" t="e">
        <f t="shared" ca="1" si="172"/>
        <v>#N/A</v>
      </c>
      <c r="CP45" s="918">
        <f t="shared" ca="1" si="172"/>
        <v>0</v>
      </c>
      <c r="CQ45" s="918">
        <f t="shared" ca="1" si="172"/>
        <v>0</v>
      </c>
      <c r="CR45" s="918">
        <f t="shared" ca="1" si="172"/>
        <v>0</v>
      </c>
      <c r="CS45" s="1144">
        <f t="shared" ca="1" si="172"/>
        <v>0</v>
      </c>
      <c r="CT45" s="921"/>
      <c r="CU45" s="918">
        <f t="shared" ca="1" si="173"/>
        <v>0</v>
      </c>
      <c r="CV45" s="918">
        <f t="shared" ca="1" si="173"/>
        <v>0</v>
      </c>
      <c r="CW45" s="918">
        <f t="shared" ca="1" si="173"/>
        <v>0</v>
      </c>
      <c r="CX45" s="918">
        <f t="shared" ca="1" si="173"/>
        <v>0</v>
      </c>
      <c r="CY45" s="918">
        <f t="shared" ca="1" si="173"/>
        <v>0</v>
      </c>
      <c r="CZ45" s="1144" t="e">
        <f t="shared" ca="1" si="173"/>
        <v>#N/A</v>
      </c>
      <c r="DA45" s="1144" t="e">
        <f t="shared" ca="1" si="173"/>
        <v>#N/A</v>
      </c>
      <c r="DB45" s="918">
        <f t="shared" ca="1" si="173"/>
        <v>0</v>
      </c>
      <c r="DC45" s="938">
        <f t="shared" ca="1" si="173"/>
        <v>0</v>
      </c>
      <c r="DD45" s="918">
        <f t="shared" ca="1" si="173"/>
        <v>0</v>
      </c>
      <c r="DE45" s="918">
        <f t="shared" ca="1" si="173"/>
        <v>0</v>
      </c>
      <c r="DF45" s="918">
        <f t="shared" ca="1" si="173"/>
        <v>0</v>
      </c>
      <c r="DG45" s="918">
        <f t="shared" ca="1" si="173"/>
        <v>0</v>
      </c>
      <c r="DH45" s="918">
        <f t="shared" ca="1" si="173"/>
        <v>0</v>
      </c>
      <c r="DI45" s="921"/>
      <c r="DJ45" s="1144">
        <f t="shared" ca="1" si="163"/>
        <v>0</v>
      </c>
      <c r="DK45" s="1144">
        <f t="shared" ca="1" si="163"/>
        <v>0</v>
      </c>
      <c r="DL45" s="1144">
        <f t="shared" ca="1" si="163"/>
        <v>0</v>
      </c>
      <c r="DM45" s="1144">
        <f t="shared" ca="1" si="163"/>
        <v>0</v>
      </c>
      <c r="DN45" s="1144" t="e">
        <f t="shared" ca="1" si="163"/>
        <v>#N/A</v>
      </c>
      <c r="DO45" s="1144">
        <f t="shared" ca="1" si="163"/>
        <v>0</v>
      </c>
      <c r="DP45" s="1144" t="e">
        <f t="shared" ca="1" si="163"/>
        <v>#N/A</v>
      </c>
      <c r="DQ45" s="921"/>
      <c r="DR45" s="1144">
        <f t="shared" ca="1" si="174"/>
        <v>0</v>
      </c>
      <c r="DS45" s="1144">
        <f t="shared" ca="1" si="174"/>
        <v>0</v>
      </c>
      <c r="DT45" s="1144">
        <f t="shared" ca="1" si="174"/>
        <v>0</v>
      </c>
      <c r="DU45" s="1144" t="e">
        <f t="shared" ca="1" si="174"/>
        <v>#N/A</v>
      </c>
      <c r="DV45" s="920"/>
      <c r="DW45" s="921"/>
      <c r="DX45" s="918">
        <f t="shared" ca="1" si="175"/>
        <v>0</v>
      </c>
      <c r="DY45" s="918">
        <f t="shared" ca="1" si="175"/>
        <v>0</v>
      </c>
      <c r="DZ45" s="918">
        <f t="shared" ca="1" si="175"/>
        <v>0</v>
      </c>
      <c r="EA45" s="918" t="e">
        <f t="shared" ca="1" si="175"/>
        <v>#N/A</v>
      </c>
      <c r="EB45" s="920"/>
      <c r="EC45" s="921"/>
      <c r="ED45" s="1144">
        <f t="shared" ca="1" si="176"/>
        <v>0</v>
      </c>
      <c r="EE45" s="1144">
        <f t="shared" ca="1" si="176"/>
        <v>0</v>
      </c>
      <c r="EF45" s="1144" t="e">
        <f t="shared" ca="1" si="176"/>
        <v>#N/A</v>
      </c>
      <c r="EG45" s="1144" t="e">
        <f t="shared" ca="1" si="176"/>
        <v>#N/A</v>
      </c>
      <c r="EH45" s="920"/>
      <c r="EI45" s="921"/>
      <c r="EJ45" s="918">
        <f t="shared" ca="1" si="177"/>
        <v>0</v>
      </c>
      <c r="EK45" s="918">
        <f t="shared" ca="1" si="177"/>
        <v>0</v>
      </c>
      <c r="EL45" s="918">
        <f t="shared" ca="1" si="177"/>
        <v>0</v>
      </c>
      <c r="EM45" s="918">
        <f t="shared" ca="1" si="177"/>
        <v>0</v>
      </c>
      <c r="EN45" s="920"/>
      <c r="EO45" s="921"/>
      <c r="EP45" s="1144">
        <f t="shared" ca="1" si="178"/>
        <v>0</v>
      </c>
      <c r="EQ45" s="1144">
        <f t="shared" ca="1" si="178"/>
        <v>0</v>
      </c>
      <c r="ER45" s="1144">
        <f t="shared" ca="1" si="178"/>
        <v>0</v>
      </c>
      <c r="ES45" s="1144">
        <f t="shared" ca="1" si="178"/>
        <v>0</v>
      </c>
      <c r="ET45" s="920"/>
      <c r="EU45" s="921"/>
      <c r="EV45" s="1144">
        <f t="shared" ca="1" si="164"/>
        <v>0</v>
      </c>
      <c r="EW45" s="1144">
        <f t="shared" ca="1" si="164"/>
        <v>0</v>
      </c>
      <c r="EX45" s="921"/>
      <c r="EY45" s="1144">
        <f t="shared" ca="1" si="164"/>
        <v>0</v>
      </c>
      <c r="EZ45" s="1144">
        <f t="shared" ca="1" si="164"/>
        <v>0</v>
      </c>
      <c r="FA45" s="1144" t="e">
        <f t="shared" ca="1" si="164"/>
        <v>#N/A</v>
      </c>
      <c r="FB45" s="921"/>
      <c r="FC45" s="918">
        <f t="shared" ca="1" si="179"/>
        <v>0</v>
      </c>
      <c r="FD45" s="918">
        <f t="shared" ca="1" si="179"/>
        <v>0</v>
      </c>
      <c r="FE45" s="918">
        <f t="shared" ca="1" si="179"/>
        <v>0</v>
      </c>
      <c r="FF45" s="918">
        <f t="shared" ca="1" si="179"/>
        <v>0</v>
      </c>
      <c r="FG45" s="918">
        <f t="shared" ca="1" si="179"/>
        <v>0</v>
      </c>
      <c r="FH45" s="918">
        <f t="shared" ca="1" si="179"/>
        <v>0</v>
      </c>
      <c r="FI45" s="918">
        <f t="shared" ca="1" si="179"/>
        <v>0</v>
      </c>
      <c r="FJ45" s="918">
        <f t="shared" ca="1" si="179"/>
        <v>0</v>
      </c>
      <c r="FK45" s="918">
        <f t="shared" ca="1" si="179"/>
        <v>0</v>
      </c>
      <c r="FL45" s="918">
        <f t="shared" ca="1" si="179"/>
        <v>0</v>
      </c>
      <c r="FM45" s="918" t="e">
        <f t="shared" ca="1" si="180"/>
        <v>#N/A</v>
      </c>
      <c r="FN45" s="1144">
        <f t="shared" ca="1" si="180"/>
        <v>0</v>
      </c>
      <c r="FO45" s="1144">
        <f t="shared" ca="1" si="180"/>
        <v>0</v>
      </c>
      <c r="FP45" s="918">
        <f t="shared" ca="1" si="180"/>
        <v>0</v>
      </c>
      <c r="FQ45" s="918">
        <f t="shared" ca="1" si="180"/>
        <v>0</v>
      </c>
      <c r="FR45" s="918">
        <f t="shared" ca="1" si="180"/>
        <v>0</v>
      </c>
      <c r="FS45" s="918">
        <f t="shared" ca="1" si="180"/>
        <v>0</v>
      </c>
      <c r="FT45" s="918">
        <f t="shared" ca="1" si="180"/>
        <v>0</v>
      </c>
      <c r="FU45" s="918" t="e">
        <f t="shared" ca="1" si="180"/>
        <v>#N/A</v>
      </c>
      <c r="FV45" s="1144" t="e">
        <f t="shared" ca="1" si="180"/>
        <v>#N/A</v>
      </c>
      <c r="FW45" s="918">
        <f t="shared" ca="1" si="180"/>
        <v>0</v>
      </c>
      <c r="FX45" s="918">
        <f t="shared" ca="1" si="180"/>
        <v>0</v>
      </c>
      <c r="FY45" s="918">
        <f t="shared" ca="1" si="180"/>
        <v>0</v>
      </c>
      <c r="FZ45" s="918">
        <f t="shared" ca="1" si="180"/>
        <v>0</v>
      </c>
      <c r="GA45" s="1144" t="e">
        <f t="shared" ca="1" si="180"/>
        <v>#N/A</v>
      </c>
      <c r="GB45" s="918">
        <f t="shared" ca="1" si="180"/>
        <v>0</v>
      </c>
      <c r="GC45" s="920"/>
      <c r="GD45" s="918">
        <f t="shared" ca="1" si="181"/>
        <v>0</v>
      </c>
      <c r="GE45" s="918">
        <f t="shared" ca="1" si="181"/>
        <v>0</v>
      </c>
      <c r="GF45" s="918">
        <f t="shared" ca="1" si="181"/>
        <v>0</v>
      </c>
      <c r="GG45" s="918">
        <f t="shared" ca="1" si="181"/>
        <v>0</v>
      </c>
      <c r="GH45" s="918" t="e">
        <f t="shared" ca="1" si="181"/>
        <v>#N/A</v>
      </c>
      <c r="GI45" s="1144" t="e">
        <f t="shared" ca="1" si="181"/>
        <v>#N/A</v>
      </c>
      <c r="GJ45" s="918">
        <f t="shared" ca="1" si="181"/>
        <v>0</v>
      </c>
      <c r="GK45" s="918">
        <f t="shared" ca="1" si="181"/>
        <v>0</v>
      </c>
      <c r="GL45" s="918">
        <f t="shared" ca="1" si="181"/>
        <v>0</v>
      </c>
      <c r="GM45" s="918">
        <f t="shared" ca="1" si="181"/>
        <v>0</v>
      </c>
      <c r="GN45" s="918">
        <f t="shared" ca="1" si="181"/>
        <v>0</v>
      </c>
      <c r="GO45" s="918" t="e">
        <f t="shared" ca="1" si="181"/>
        <v>#N/A</v>
      </c>
      <c r="GP45" s="915"/>
      <c r="GR45" s="1181">
        <f ca="1">GR3+GR7+GR11+GR17+GR21+GR29+GR35+GR39</f>
        <v>3226.1098370150789</v>
      </c>
      <c r="GS45" s="1182" t="s">
        <v>3077</v>
      </c>
      <c r="GU45" s="1181">
        <f ca="1">GU3+GU7+GU13+GU17+GU21+GU33+GU37</f>
        <v>3237.9759764238079</v>
      </c>
      <c r="GV45" s="1182" t="s">
        <v>3077</v>
      </c>
      <c r="GW45" s="946"/>
      <c r="GX45" s="1143"/>
      <c r="GY45" s="946"/>
    </row>
    <row r="46" spans="1:207" s="914" customFormat="1" x14ac:dyDescent="0.3">
      <c r="A46" s="975" t="s">
        <v>1524</v>
      </c>
      <c r="B46" s="977">
        <v>44</v>
      </c>
      <c r="C46" s="973">
        <v>44.009800000000006</v>
      </c>
      <c r="D46" s="914">
        <v>0</v>
      </c>
      <c r="E46" s="979" t="s">
        <v>982</v>
      </c>
      <c r="F46" s="936">
        <f t="shared" ca="1" si="165"/>
        <v>0</v>
      </c>
      <c r="G46" s="918">
        <f t="shared" ca="1" si="165"/>
        <v>0</v>
      </c>
      <c r="H46" s="918">
        <f t="shared" ca="1" si="165"/>
        <v>0</v>
      </c>
      <c r="I46" s="918">
        <f t="shared" ca="1" si="165"/>
        <v>0</v>
      </c>
      <c r="J46" s="918">
        <f t="shared" ca="1" si="165"/>
        <v>0</v>
      </c>
      <c r="K46" s="1144">
        <f t="shared" ca="1" si="165"/>
        <v>0</v>
      </c>
      <c r="L46" s="918">
        <f t="shared" ca="1" si="165"/>
        <v>0</v>
      </c>
      <c r="M46" s="918">
        <f t="shared" ca="1" si="165"/>
        <v>0</v>
      </c>
      <c r="N46" s="938">
        <f t="shared" ca="1" si="165"/>
        <v>0</v>
      </c>
      <c r="O46" s="918">
        <f t="shared" ca="1" si="165"/>
        <v>0</v>
      </c>
      <c r="P46" s="939">
        <f t="shared" ca="1" si="165"/>
        <v>0</v>
      </c>
      <c r="Q46" s="921"/>
      <c r="R46" s="918">
        <f t="shared" ca="1" si="166"/>
        <v>0</v>
      </c>
      <c r="S46" s="918">
        <f t="shared" ca="1" si="166"/>
        <v>0</v>
      </c>
      <c r="T46" s="918">
        <f t="shared" ca="1" si="166"/>
        <v>0</v>
      </c>
      <c r="U46" s="918">
        <f t="shared" ca="1" si="166"/>
        <v>0</v>
      </c>
      <c r="V46" s="918">
        <f t="shared" ca="1" si="166"/>
        <v>0</v>
      </c>
      <c r="W46" s="918">
        <f t="shared" ca="1" si="166"/>
        <v>0</v>
      </c>
      <c r="X46" s="938">
        <f t="shared" ca="1" si="166"/>
        <v>0</v>
      </c>
      <c r="Y46" s="918">
        <f t="shared" ca="1" si="166"/>
        <v>0</v>
      </c>
      <c r="Z46" s="918">
        <f t="shared" ca="1" si="166"/>
        <v>0</v>
      </c>
      <c r="AA46" s="918">
        <f t="shared" ca="1" si="166"/>
        <v>0</v>
      </c>
      <c r="AB46" s="921"/>
      <c r="AC46" s="918">
        <f t="shared" ca="1" si="167"/>
        <v>0</v>
      </c>
      <c r="AD46" s="918">
        <f t="shared" ca="1" si="167"/>
        <v>0</v>
      </c>
      <c r="AE46" s="918">
        <f t="shared" ca="1" si="167"/>
        <v>0</v>
      </c>
      <c r="AF46" s="918">
        <f t="shared" ca="1" si="167"/>
        <v>0</v>
      </c>
      <c r="AG46" s="918">
        <f t="shared" ca="1" si="167"/>
        <v>0</v>
      </c>
      <c r="AH46" s="918">
        <f t="shared" ca="1" si="167"/>
        <v>0</v>
      </c>
      <c r="AI46" s="918">
        <f t="shared" ca="1" si="167"/>
        <v>0</v>
      </c>
      <c r="AJ46" s="918">
        <f t="shared" ca="1" si="167"/>
        <v>0</v>
      </c>
      <c r="AK46" s="938">
        <f t="shared" ca="1" si="167"/>
        <v>0</v>
      </c>
      <c r="AL46" s="918">
        <f t="shared" ca="1" si="167"/>
        <v>0</v>
      </c>
      <c r="AM46" s="918">
        <f t="shared" ca="1" si="167"/>
        <v>0</v>
      </c>
      <c r="AN46" s="918">
        <f t="shared" ca="1" si="167"/>
        <v>0</v>
      </c>
      <c r="AO46" s="921"/>
      <c r="AP46" s="1144">
        <f t="shared" ca="1" si="162"/>
        <v>0</v>
      </c>
      <c r="AQ46" s="1144">
        <f t="shared" ca="1" si="162"/>
        <v>0</v>
      </c>
      <c r="AR46" s="1144">
        <f t="shared" ca="1" si="162"/>
        <v>0</v>
      </c>
      <c r="AS46" s="1144">
        <f t="shared" ca="1" si="162"/>
        <v>0</v>
      </c>
      <c r="AT46" s="938">
        <f t="shared" ca="1" si="162"/>
        <v>0</v>
      </c>
      <c r="AU46" s="938">
        <f t="shared" ca="1" si="162"/>
        <v>0</v>
      </c>
      <c r="AV46" s="1144">
        <f t="shared" ca="1" si="162"/>
        <v>0</v>
      </c>
      <c r="AW46" s="1144">
        <f t="shared" ca="1" si="162"/>
        <v>0</v>
      </c>
      <c r="AX46" s="1144">
        <f t="shared" ca="1" si="162"/>
        <v>0</v>
      </c>
      <c r="AY46" s="1144">
        <f t="shared" ca="1" si="162"/>
        <v>0</v>
      </c>
      <c r="AZ46" s="1144">
        <f t="shared" ca="1" si="162"/>
        <v>0</v>
      </c>
      <c r="BA46" s="1144">
        <f t="shared" ca="1" si="162"/>
        <v>0</v>
      </c>
      <c r="BB46" s="1144">
        <f t="shared" ca="1" si="162"/>
        <v>0</v>
      </c>
      <c r="BC46" s="1144">
        <f t="shared" ca="1" si="162"/>
        <v>0</v>
      </c>
      <c r="BD46" s="921"/>
      <c r="BE46" s="918">
        <f t="shared" ca="1" si="168"/>
        <v>0</v>
      </c>
      <c r="BF46" s="918">
        <f t="shared" ca="1" si="168"/>
        <v>0</v>
      </c>
      <c r="BG46" s="918">
        <f t="shared" ca="1" si="168"/>
        <v>0</v>
      </c>
      <c r="BH46" s="918">
        <f t="shared" ca="1" si="168"/>
        <v>0</v>
      </c>
      <c r="BI46" s="938">
        <f t="shared" ca="1" si="168"/>
        <v>0</v>
      </c>
      <c r="BJ46" s="918">
        <f t="shared" ca="1" si="168"/>
        <v>0</v>
      </c>
      <c r="BK46" s="918">
        <f t="shared" ca="1" si="168"/>
        <v>0</v>
      </c>
      <c r="BL46" s="918">
        <f t="shared" ca="1" si="168"/>
        <v>0</v>
      </c>
      <c r="BM46" s="918">
        <f t="shared" ca="1" si="168"/>
        <v>0</v>
      </c>
      <c r="BN46" s="1144">
        <f t="shared" ca="1" si="168"/>
        <v>0</v>
      </c>
      <c r="BO46" s="918">
        <f t="shared" ca="1" si="168"/>
        <v>0</v>
      </c>
      <c r="BP46" s="921"/>
      <c r="BQ46" s="918">
        <f t="shared" ca="1" si="169"/>
        <v>0</v>
      </c>
      <c r="BR46" s="918">
        <f t="shared" ca="1" si="169"/>
        <v>0</v>
      </c>
      <c r="BS46" s="1144">
        <f t="shared" ca="1" si="169"/>
        <v>0</v>
      </c>
      <c r="BT46" s="918">
        <f t="shared" ca="1" si="169"/>
        <v>0</v>
      </c>
      <c r="BU46" s="918">
        <f t="shared" ca="1" si="169"/>
        <v>0</v>
      </c>
      <c r="BV46" s="918">
        <f t="shared" ca="1" si="169"/>
        <v>0</v>
      </c>
      <c r="BW46" s="1144">
        <f t="shared" ca="1" si="169"/>
        <v>0</v>
      </c>
      <c r="BX46" s="921"/>
      <c r="BY46" s="918">
        <f t="shared" ca="1" si="170"/>
        <v>0</v>
      </c>
      <c r="BZ46" s="918">
        <f t="shared" ca="1" si="170"/>
        <v>0</v>
      </c>
      <c r="CA46" s="918">
        <f t="shared" ca="1" si="170"/>
        <v>0</v>
      </c>
      <c r="CB46" s="918">
        <f t="shared" ca="1" si="170"/>
        <v>0</v>
      </c>
      <c r="CC46" s="918">
        <f t="shared" ca="1" si="170"/>
        <v>0</v>
      </c>
      <c r="CD46" s="918">
        <f t="shared" ca="1" si="170"/>
        <v>0</v>
      </c>
      <c r="CE46" s="918">
        <f t="shared" ca="1" si="170"/>
        <v>0</v>
      </c>
      <c r="CF46" s="918">
        <f t="shared" ca="1" si="170"/>
        <v>0</v>
      </c>
      <c r="CG46" s="921"/>
      <c r="CH46" s="918">
        <f t="shared" ca="1" si="171"/>
        <v>0</v>
      </c>
      <c r="CI46" s="918">
        <f t="shared" ca="1" si="171"/>
        <v>0</v>
      </c>
      <c r="CJ46" s="918">
        <f t="shared" ca="1" si="171"/>
        <v>0</v>
      </c>
      <c r="CK46" s="918" t="e">
        <f t="shared" ca="1" si="171"/>
        <v>#N/A</v>
      </c>
      <c r="CL46" s="918" t="e">
        <f t="shared" ca="1" si="171"/>
        <v>#N/A</v>
      </c>
      <c r="CM46" s="921"/>
      <c r="CN46" s="918">
        <f t="shared" ca="1" si="172"/>
        <v>0</v>
      </c>
      <c r="CO46" s="918" t="e">
        <f t="shared" ca="1" si="172"/>
        <v>#N/A</v>
      </c>
      <c r="CP46" s="918">
        <f t="shared" ca="1" si="172"/>
        <v>0</v>
      </c>
      <c r="CQ46" s="918">
        <f t="shared" ca="1" si="172"/>
        <v>0</v>
      </c>
      <c r="CR46" s="918">
        <f t="shared" ca="1" si="172"/>
        <v>0</v>
      </c>
      <c r="CS46" s="1144">
        <f t="shared" ca="1" si="172"/>
        <v>0</v>
      </c>
      <c r="CT46" s="921"/>
      <c r="CU46" s="918">
        <f t="shared" ca="1" si="173"/>
        <v>0</v>
      </c>
      <c r="CV46" s="918">
        <f t="shared" ca="1" si="173"/>
        <v>0</v>
      </c>
      <c r="CW46" s="918">
        <f t="shared" ca="1" si="173"/>
        <v>0</v>
      </c>
      <c r="CX46" s="918">
        <f t="shared" ca="1" si="173"/>
        <v>0</v>
      </c>
      <c r="CY46" s="918">
        <f t="shared" ca="1" si="173"/>
        <v>0</v>
      </c>
      <c r="CZ46" s="1144" t="e">
        <f t="shared" ca="1" si="173"/>
        <v>#N/A</v>
      </c>
      <c r="DA46" s="1144" t="e">
        <f t="shared" ca="1" si="173"/>
        <v>#N/A</v>
      </c>
      <c r="DB46" s="918">
        <f t="shared" ca="1" si="173"/>
        <v>0</v>
      </c>
      <c r="DC46" s="938">
        <f t="shared" ca="1" si="173"/>
        <v>0</v>
      </c>
      <c r="DD46" s="918">
        <f t="shared" ca="1" si="173"/>
        <v>0</v>
      </c>
      <c r="DE46" s="918">
        <f t="shared" ca="1" si="173"/>
        <v>0</v>
      </c>
      <c r="DF46" s="918">
        <f t="shared" ca="1" si="173"/>
        <v>0</v>
      </c>
      <c r="DG46" s="918">
        <f t="shared" ca="1" si="173"/>
        <v>0</v>
      </c>
      <c r="DH46" s="918">
        <f t="shared" ca="1" si="173"/>
        <v>0</v>
      </c>
      <c r="DI46" s="921"/>
      <c r="DJ46" s="1144">
        <f t="shared" ca="1" si="163"/>
        <v>0</v>
      </c>
      <c r="DK46" s="1144">
        <f t="shared" ca="1" si="163"/>
        <v>0</v>
      </c>
      <c r="DL46" s="1144">
        <f t="shared" ca="1" si="163"/>
        <v>0</v>
      </c>
      <c r="DM46" s="1144">
        <f t="shared" ca="1" si="163"/>
        <v>0</v>
      </c>
      <c r="DN46" s="1144" t="e">
        <f t="shared" ca="1" si="163"/>
        <v>#N/A</v>
      </c>
      <c r="DO46" s="1144">
        <f t="shared" ca="1" si="163"/>
        <v>0</v>
      </c>
      <c r="DP46" s="1144" t="e">
        <f t="shared" ca="1" si="163"/>
        <v>#N/A</v>
      </c>
      <c r="DQ46" s="921"/>
      <c r="DR46" s="1144">
        <f t="shared" ca="1" si="174"/>
        <v>0</v>
      </c>
      <c r="DS46" s="1144">
        <f t="shared" ca="1" si="174"/>
        <v>0</v>
      </c>
      <c r="DT46" s="1144">
        <f t="shared" ca="1" si="174"/>
        <v>0</v>
      </c>
      <c r="DU46" s="1144" t="e">
        <f t="shared" ca="1" si="174"/>
        <v>#N/A</v>
      </c>
      <c r="DV46" s="920"/>
      <c r="DW46" s="921"/>
      <c r="DX46" s="918">
        <f t="shared" ca="1" si="175"/>
        <v>0</v>
      </c>
      <c r="DY46" s="918">
        <f t="shared" ca="1" si="175"/>
        <v>0</v>
      </c>
      <c r="DZ46" s="918">
        <f t="shared" ca="1" si="175"/>
        <v>0</v>
      </c>
      <c r="EA46" s="918" t="e">
        <f t="shared" ca="1" si="175"/>
        <v>#N/A</v>
      </c>
      <c r="EB46" s="920"/>
      <c r="EC46" s="921"/>
      <c r="ED46" s="1144">
        <f t="shared" ca="1" si="176"/>
        <v>0</v>
      </c>
      <c r="EE46" s="1144">
        <f t="shared" ca="1" si="176"/>
        <v>0</v>
      </c>
      <c r="EF46" s="1144" t="e">
        <f t="shared" ca="1" si="176"/>
        <v>#N/A</v>
      </c>
      <c r="EG46" s="1144" t="e">
        <f t="shared" ca="1" si="176"/>
        <v>#N/A</v>
      </c>
      <c r="EH46" s="920"/>
      <c r="EI46" s="921"/>
      <c r="EJ46" s="918">
        <f t="shared" ca="1" si="177"/>
        <v>0</v>
      </c>
      <c r="EK46" s="918">
        <f t="shared" ca="1" si="177"/>
        <v>0</v>
      </c>
      <c r="EL46" s="918">
        <f t="shared" ca="1" si="177"/>
        <v>0</v>
      </c>
      <c r="EM46" s="918">
        <f t="shared" ca="1" si="177"/>
        <v>0</v>
      </c>
      <c r="EN46" s="920"/>
      <c r="EO46" s="921"/>
      <c r="EP46" s="1144">
        <f t="shared" ca="1" si="178"/>
        <v>0</v>
      </c>
      <c r="EQ46" s="1144">
        <f t="shared" ca="1" si="178"/>
        <v>0</v>
      </c>
      <c r="ER46" s="1144">
        <f t="shared" ca="1" si="178"/>
        <v>0</v>
      </c>
      <c r="ES46" s="1144">
        <f t="shared" ca="1" si="178"/>
        <v>0</v>
      </c>
      <c r="ET46" s="920"/>
      <c r="EU46" s="921"/>
      <c r="EV46" s="1144">
        <f t="shared" ca="1" si="164"/>
        <v>0</v>
      </c>
      <c r="EW46" s="1144">
        <f t="shared" ca="1" si="164"/>
        <v>0</v>
      </c>
      <c r="EX46" s="921"/>
      <c r="EY46" s="1144">
        <f t="shared" ca="1" si="164"/>
        <v>0</v>
      </c>
      <c r="EZ46" s="1144">
        <f t="shared" ca="1" si="164"/>
        <v>0</v>
      </c>
      <c r="FA46" s="1144" t="e">
        <f t="shared" ca="1" si="164"/>
        <v>#N/A</v>
      </c>
      <c r="FB46" s="921"/>
      <c r="FC46" s="918">
        <f t="shared" ca="1" si="179"/>
        <v>0</v>
      </c>
      <c r="FD46" s="918">
        <f t="shared" ca="1" si="179"/>
        <v>0</v>
      </c>
      <c r="FE46" s="918">
        <f t="shared" ca="1" si="179"/>
        <v>0</v>
      </c>
      <c r="FF46" s="918">
        <f t="shared" ca="1" si="179"/>
        <v>0</v>
      </c>
      <c r="FG46" s="918">
        <f t="shared" ca="1" si="179"/>
        <v>0</v>
      </c>
      <c r="FH46" s="918">
        <f t="shared" ca="1" si="179"/>
        <v>0</v>
      </c>
      <c r="FI46" s="918">
        <f t="shared" ca="1" si="179"/>
        <v>0</v>
      </c>
      <c r="FJ46" s="918">
        <f t="shared" ca="1" si="179"/>
        <v>0</v>
      </c>
      <c r="FK46" s="918">
        <f t="shared" ca="1" si="179"/>
        <v>0</v>
      </c>
      <c r="FL46" s="918">
        <f t="shared" ca="1" si="179"/>
        <v>0</v>
      </c>
      <c r="FM46" s="918" t="e">
        <f t="shared" ca="1" si="180"/>
        <v>#N/A</v>
      </c>
      <c r="FN46" s="1144">
        <f t="shared" ca="1" si="180"/>
        <v>0</v>
      </c>
      <c r="FO46" s="1144">
        <f t="shared" ca="1" si="180"/>
        <v>0</v>
      </c>
      <c r="FP46" s="918">
        <f t="shared" ca="1" si="180"/>
        <v>0</v>
      </c>
      <c r="FQ46" s="918">
        <f t="shared" ca="1" si="180"/>
        <v>0</v>
      </c>
      <c r="FR46" s="918">
        <f t="shared" ca="1" si="180"/>
        <v>0</v>
      </c>
      <c r="FS46" s="918">
        <f t="shared" ca="1" si="180"/>
        <v>0</v>
      </c>
      <c r="FT46" s="918">
        <f t="shared" ca="1" si="180"/>
        <v>0</v>
      </c>
      <c r="FU46" s="918" t="e">
        <f t="shared" ca="1" si="180"/>
        <v>#N/A</v>
      </c>
      <c r="FV46" s="1144" t="e">
        <f t="shared" ca="1" si="180"/>
        <v>#N/A</v>
      </c>
      <c r="FW46" s="918">
        <f t="shared" ca="1" si="180"/>
        <v>0</v>
      </c>
      <c r="FX46" s="918">
        <f t="shared" ca="1" si="180"/>
        <v>0</v>
      </c>
      <c r="FY46" s="918">
        <f t="shared" ca="1" si="180"/>
        <v>0</v>
      </c>
      <c r="FZ46" s="918">
        <f t="shared" ca="1" si="180"/>
        <v>0</v>
      </c>
      <c r="GA46" s="1144" t="e">
        <f t="shared" ca="1" si="180"/>
        <v>#N/A</v>
      </c>
      <c r="GB46" s="918">
        <f t="shared" ca="1" si="180"/>
        <v>0</v>
      </c>
      <c r="GC46" s="920"/>
      <c r="GD46" s="918">
        <f t="shared" ca="1" si="181"/>
        <v>0</v>
      </c>
      <c r="GE46" s="918">
        <f t="shared" ca="1" si="181"/>
        <v>0</v>
      </c>
      <c r="GF46" s="918">
        <f t="shared" ca="1" si="181"/>
        <v>0</v>
      </c>
      <c r="GG46" s="918">
        <f t="shared" ca="1" si="181"/>
        <v>0</v>
      </c>
      <c r="GH46" s="918" t="e">
        <f t="shared" ca="1" si="181"/>
        <v>#N/A</v>
      </c>
      <c r="GI46" s="1144" t="e">
        <f t="shared" ca="1" si="181"/>
        <v>#N/A</v>
      </c>
      <c r="GJ46" s="918">
        <f t="shared" ca="1" si="181"/>
        <v>0</v>
      </c>
      <c r="GK46" s="918">
        <f t="shared" ca="1" si="181"/>
        <v>0</v>
      </c>
      <c r="GL46" s="918">
        <f t="shared" ca="1" si="181"/>
        <v>0</v>
      </c>
      <c r="GM46" s="918">
        <f t="shared" ca="1" si="181"/>
        <v>0</v>
      </c>
      <c r="GN46" s="918">
        <f t="shared" ca="1" si="181"/>
        <v>0</v>
      </c>
      <c r="GO46" s="918" t="e">
        <f t="shared" ca="1" si="181"/>
        <v>#N/A</v>
      </c>
      <c r="GP46" s="915"/>
      <c r="GR46" s="1181">
        <f ca="1">GR4+GR8+GR12+GR18+GR22+GR30+GR36+GR40</f>
        <v>-239.21719626159671</v>
      </c>
      <c r="GS46" s="1182" t="s">
        <v>3079</v>
      </c>
      <c r="GU46" s="1181">
        <f ca="1">GU4+GU8+GU10+GU14+GU18+GU24+GU26+GU28+GU30+GU34+GU38+GU22</f>
        <v>-239.89185541655507</v>
      </c>
      <c r="GV46" s="1182" t="s">
        <v>3079</v>
      </c>
      <c r="GW46" s="946"/>
      <c r="GX46" s="1143"/>
      <c r="GY46" s="946"/>
    </row>
    <row r="47" spans="1:207" s="914" customFormat="1" x14ac:dyDescent="0.3">
      <c r="A47" s="975" t="s">
        <v>1525</v>
      </c>
      <c r="B47" s="977">
        <v>39</v>
      </c>
      <c r="C47" s="973">
        <v>31.998799999999999</v>
      </c>
      <c r="D47" s="914">
        <v>0</v>
      </c>
      <c r="E47" s="979" t="s">
        <v>982</v>
      </c>
      <c r="F47" s="936">
        <f t="shared" ca="1" si="165"/>
        <v>0</v>
      </c>
      <c r="G47" s="918">
        <f t="shared" ca="1" si="165"/>
        <v>0</v>
      </c>
      <c r="H47" s="918">
        <f t="shared" ca="1" si="165"/>
        <v>0</v>
      </c>
      <c r="I47" s="918">
        <f t="shared" ca="1" si="165"/>
        <v>0</v>
      </c>
      <c r="J47" s="918">
        <f t="shared" ca="1" si="165"/>
        <v>0</v>
      </c>
      <c r="K47" s="1144">
        <f t="shared" ca="1" si="165"/>
        <v>0</v>
      </c>
      <c r="L47" s="918">
        <f t="shared" ca="1" si="165"/>
        <v>0</v>
      </c>
      <c r="M47" s="918">
        <f t="shared" ca="1" si="165"/>
        <v>0</v>
      </c>
      <c r="N47" s="938">
        <f t="shared" ca="1" si="165"/>
        <v>0</v>
      </c>
      <c r="O47" s="918">
        <f t="shared" ca="1" si="165"/>
        <v>0</v>
      </c>
      <c r="P47" s="939">
        <f t="shared" ca="1" si="165"/>
        <v>0</v>
      </c>
      <c r="Q47" s="921"/>
      <c r="R47" s="918">
        <f t="shared" ca="1" si="166"/>
        <v>0</v>
      </c>
      <c r="S47" s="918">
        <f t="shared" ca="1" si="166"/>
        <v>0</v>
      </c>
      <c r="T47" s="918">
        <f t="shared" ca="1" si="166"/>
        <v>0</v>
      </c>
      <c r="U47" s="918">
        <f t="shared" ca="1" si="166"/>
        <v>0</v>
      </c>
      <c r="V47" s="918">
        <f t="shared" ca="1" si="166"/>
        <v>0</v>
      </c>
      <c r="W47" s="918">
        <f t="shared" ca="1" si="166"/>
        <v>0</v>
      </c>
      <c r="X47" s="938">
        <f t="shared" ca="1" si="166"/>
        <v>0</v>
      </c>
      <c r="Y47" s="918">
        <f t="shared" ca="1" si="166"/>
        <v>0</v>
      </c>
      <c r="Z47" s="918">
        <f t="shared" ca="1" si="166"/>
        <v>0</v>
      </c>
      <c r="AA47" s="918">
        <f t="shared" ca="1" si="166"/>
        <v>0</v>
      </c>
      <c r="AB47" s="921"/>
      <c r="AC47" s="918">
        <f t="shared" ca="1" si="167"/>
        <v>0</v>
      </c>
      <c r="AD47" s="918">
        <f t="shared" ca="1" si="167"/>
        <v>0</v>
      </c>
      <c r="AE47" s="918">
        <f t="shared" ca="1" si="167"/>
        <v>0</v>
      </c>
      <c r="AF47" s="918">
        <f t="shared" ca="1" si="167"/>
        <v>0</v>
      </c>
      <c r="AG47" s="918">
        <f t="shared" ca="1" si="167"/>
        <v>0</v>
      </c>
      <c r="AH47" s="918">
        <f t="shared" ca="1" si="167"/>
        <v>0</v>
      </c>
      <c r="AI47" s="918">
        <f t="shared" ca="1" si="167"/>
        <v>0</v>
      </c>
      <c r="AJ47" s="918">
        <f t="shared" ca="1" si="167"/>
        <v>0</v>
      </c>
      <c r="AK47" s="938">
        <f t="shared" ca="1" si="167"/>
        <v>0</v>
      </c>
      <c r="AL47" s="918">
        <f t="shared" ca="1" si="167"/>
        <v>0</v>
      </c>
      <c r="AM47" s="918">
        <f t="shared" ca="1" si="167"/>
        <v>0</v>
      </c>
      <c r="AN47" s="918">
        <f t="shared" ca="1" si="167"/>
        <v>0</v>
      </c>
      <c r="AO47" s="921"/>
      <c r="AP47" s="1144">
        <f t="shared" ca="1" si="162"/>
        <v>0</v>
      </c>
      <c r="AQ47" s="1144">
        <f t="shared" ca="1" si="162"/>
        <v>0</v>
      </c>
      <c r="AR47" s="1144">
        <f t="shared" ca="1" si="162"/>
        <v>0</v>
      </c>
      <c r="AS47" s="1144">
        <f t="shared" ca="1" si="162"/>
        <v>0</v>
      </c>
      <c r="AT47" s="938">
        <f t="shared" ca="1" si="162"/>
        <v>0</v>
      </c>
      <c r="AU47" s="938">
        <f t="shared" ca="1" si="162"/>
        <v>0</v>
      </c>
      <c r="AV47" s="1144">
        <f t="shared" ca="1" si="162"/>
        <v>0</v>
      </c>
      <c r="AW47" s="1144">
        <f t="shared" ca="1" si="162"/>
        <v>0</v>
      </c>
      <c r="AX47" s="1144">
        <f t="shared" ca="1" si="162"/>
        <v>0</v>
      </c>
      <c r="AY47" s="1144">
        <f t="shared" ca="1" si="162"/>
        <v>0</v>
      </c>
      <c r="AZ47" s="1144">
        <f t="shared" ca="1" si="162"/>
        <v>0</v>
      </c>
      <c r="BA47" s="1144">
        <f t="shared" ca="1" si="162"/>
        <v>0</v>
      </c>
      <c r="BB47" s="1144">
        <f t="shared" ca="1" si="162"/>
        <v>0</v>
      </c>
      <c r="BC47" s="1144">
        <f t="shared" ca="1" si="162"/>
        <v>0</v>
      </c>
      <c r="BD47" s="921"/>
      <c r="BE47" s="918">
        <f t="shared" ca="1" si="168"/>
        <v>0</v>
      </c>
      <c r="BF47" s="918">
        <f t="shared" ca="1" si="168"/>
        <v>0</v>
      </c>
      <c r="BG47" s="918">
        <f t="shared" ca="1" si="168"/>
        <v>0</v>
      </c>
      <c r="BH47" s="918">
        <f t="shared" ca="1" si="168"/>
        <v>0</v>
      </c>
      <c r="BI47" s="938">
        <f t="shared" ca="1" si="168"/>
        <v>0</v>
      </c>
      <c r="BJ47" s="918">
        <f t="shared" ca="1" si="168"/>
        <v>0</v>
      </c>
      <c r="BK47" s="918">
        <f t="shared" ca="1" si="168"/>
        <v>0</v>
      </c>
      <c r="BL47" s="918">
        <f t="shared" ca="1" si="168"/>
        <v>0</v>
      </c>
      <c r="BM47" s="918">
        <f t="shared" ca="1" si="168"/>
        <v>0</v>
      </c>
      <c r="BN47" s="1144">
        <f t="shared" ca="1" si="168"/>
        <v>0</v>
      </c>
      <c r="BO47" s="918">
        <f t="shared" ca="1" si="168"/>
        <v>0</v>
      </c>
      <c r="BP47" s="921"/>
      <c r="BQ47" s="918">
        <f t="shared" ca="1" si="169"/>
        <v>0</v>
      </c>
      <c r="BR47" s="918">
        <f t="shared" ca="1" si="169"/>
        <v>0</v>
      </c>
      <c r="BS47" s="1144">
        <f t="shared" ca="1" si="169"/>
        <v>0</v>
      </c>
      <c r="BT47" s="918">
        <f t="shared" ca="1" si="169"/>
        <v>0</v>
      </c>
      <c r="BU47" s="918">
        <f t="shared" ca="1" si="169"/>
        <v>0</v>
      </c>
      <c r="BV47" s="918">
        <f t="shared" ca="1" si="169"/>
        <v>0</v>
      </c>
      <c r="BW47" s="1144">
        <f t="shared" ca="1" si="169"/>
        <v>0</v>
      </c>
      <c r="BX47" s="921"/>
      <c r="BY47" s="918">
        <f t="shared" ca="1" si="170"/>
        <v>0</v>
      </c>
      <c r="BZ47" s="918">
        <f t="shared" ca="1" si="170"/>
        <v>0</v>
      </c>
      <c r="CA47" s="918">
        <f t="shared" ca="1" si="170"/>
        <v>0</v>
      </c>
      <c r="CB47" s="918">
        <f t="shared" ca="1" si="170"/>
        <v>0</v>
      </c>
      <c r="CC47" s="918">
        <f t="shared" ca="1" si="170"/>
        <v>0</v>
      </c>
      <c r="CD47" s="918">
        <f t="shared" ca="1" si="170"/>
        <v>0</v>
      </c>
      <c r="CE47" s="918">
        <f t="shared" ca="1" si="170"/>
        <v>0</v>
      </c>
      <c r="CF47" s="918">
        <f t="shared" ca="1" si="170"/>
        <v>0</v>
      </c>
      <c r="CG47" s="921"/>
      <c r="CH47" s="918">
        <f t="shared" ca="1" si="171"/>
        <v>0</v>
      </c>
      <c r="CI47" s="918">
        <f t="shared" ca="1" si="171"/>
        <v>0</v>
      </c>
      <c r="CJ47" s="918">
        <f t="shared" ca="1" si="171"/>
        <v>0</v>
      </c>
      <c r="CK47" s="918" t="e">
        <f t="shared" ca="1" si="171"/>
        <v>#N/A</v>
      </c>
      <c r="CL47" s="918" t="e">
        <f t="shared" ca="1" si="171"/>
        <v>#N/A</v>
      </c>
      <c r="CM47" s="921"/>
      <c r="CN47" s="918">
        <f t="shared" ca="1" si="172"/>
        <v>0</v>
      </c>
      <c r="CO47" s="918" t="e">
        <f t="shared" ca="1" si="172"/>
        <v>#N/A</v>
      </c>
      <c r="CP47" s="918">
        <f t="shared" ca="1" si="172"/>
        <v>0</v>
      </c>
      <c r="CQ47" s="918">
        <f t="shared" ca="1" si="172"/>
        <v>0</v>
      </c>
      <c r="CR47" s="918">
        <f t="shared" ca="1" si="172"/>
        <v>0</v>
      </c>
      <c r="CS47" s="1144">
        <f t="shared" ca="1" si="172"/>
        <v>0</v>
      </c>
      <c r="CT47" s="921"/>
      <c r="CU47" s="918">
        <f t="shared" ca="1" si="173"/>
        <v>0</v>
      </c>
      <c r="CV47" s="918">
        <f t="shared" ca="1" si="173"/>
        <v>0</v>
      </c>
      <c r="CW47" s="918">
        <f t="shared" ca="1" si="173"/>
        <v>0</v>
      </c>
      <c r="CX47" s="918">
        <f t="shared" ca="1" si="173"/>
        <v>0</v>
      </c>
      <c r="CY47" s="918">
        <f t="shared" ca="1" si="173"/>
        <v>0</v>
      </c>
      <c r="CZ47" s="1144" t="e">
        <f t="shared" ca="1" si="173"/>
        <v>#N/A</v>
      </c>
      <c r="DA47" s="1144" t="e">
        <f t="shared" ca="1" si="173"/>
        <v>#N/A</v>
      </c>
      <c r="DB47" s="918">
        <f t="shared" ca="1" si="173"/>
        <v>0</v>
      </c>
      <c r="DC47" s="938">
        <f t="shared" ca="1" si="173"/>
        <v>0</v>
      </c>
      <c r="DD47" s="918">
        <f t="shared" ca="1" si="173"/>
        <v>0</v>
      </c>
      <c r="DE47" s="918">
        <f t="shared" ca="1" si="173"/>
        <v>0</v>
      </c>
      <c r="DF47" s="918">
        <f t="shared" ca="1" si="173"/>
        <v>0</v>
      </c>
      <c r="DG47" s="918">
        <f t="shared" ca="1" si="173"/>
        <v>0</v>
      </c>
      <c r="DH47" s="918">
        <f t="shared" ca="1" si="173"/>
        <v>0</v>
      </c>
      <c r="DI47" s="921"/>
      <c r="DJ47" s="1144">
        <f t="shared" ca="1" si="163"/>
        <v>0</v>
      </c>
      <c r="DK47" s="1144">
        <f t="shared" ca="1" si="163"/>
        <v>0</v>
      </c>
      <c r="DL47" s="1144">
        <f t="shared" ca="1" si="163"/>
        <v>0</v>
      </c>
      <c r="DM47" s="1144">
        <f t="shared" ca="1" si="163"/>
        <v>0</v>
      </c>
      <c r="DN47" s="1144" t="e">
        <f t="shared" ca="1" si="163"/>
        <v>#N/A</v>
      </c>
      <c r="DO47" s="1144">
        <f t="shared" ca="1" si="163"/>
        <v>0</v>
      </c>
      <c r="DP47" s="1144" t="e">
        <f t="shared" ca="1" si="163"/>
        <v>#N/A</v>
      </c>
      <c r="DQ47" s="921"/>
      <c r="DR47" s="1144">
        <f t="shared" ca="1" si="174"/>
        <v>0</v>
      </c>
      <c r="DS47" s="1144">
        <f t="shared" ca="1" si="174"/>
        <v>0</v>
      </c>
      <c r="DT47" s="1144">
        <f t="shared" ca="1" si="174"/>
        <v>0</v>
      </c>
      <c r="DU47" s="1144" t="e">
        <f t="shared" ca="1" si="174"/>
        <v>#N/A</v>
      </c>
      <c r="DV47" s="920"/>
      <c r="DW47" s="921"/>
      <c r="DX47" s="918">
        <f t="shared" ca="1" si="175"/>
        <v>0</v>
      </c>
      <c r="DY47" s="918">
        <f t="shared" ca="1" si="175"/>
        <v>0</v>
      </c>
      <c r="DZ47" s="918">
        <f t="shared" ca="1" si="175"/>
        <v>0</v>
      </c>
      <c r="EA47" s="918" t="e">
        <f t="shared" ca="1" si="175"/>
        <v>#N/A</v>
      </c>
      <c r="EB47" s="920"/>
      <c r="EC47" s="921"/>
      <c r="ED47" s="1144">
        <f t="shared" ca="1" si="176"/>
        <v>0</v>
      </c>
      <c r="EE47" s="1144">
        <f t="shared" ca="1" si="176"/>
        <v>0</v>
      </c>
      <c r="EF47" s="1144" t="e">
        <f t="shared" ca="1" si="176"/>
        <v>#N/A</v>
      </c>
      <c r="EG47" s="1144" t="e">
        <f t="shared" ca="1" si="176"/>
        <v>#N/A</v>
      </c>
      <c r="EH47" s="920"/>
      <c r="EI47" s="921"/>
      <c r="EJ47" s="918">
        <f t="shared" ca="1" si="177"/>
        <v>0</v>
      </c>
      <c r="EK47" s="918">
        <f t="shared" ca="1" si="177"/>
        <v>0</v>
      </c>
      <c r="EL47" s="918">
        <f t="shared" ca="1" si="177"/>
        <v>0</v>
      </c>
      <c r="EM47" s="918">
        <f t="shared" ca="1" si="177"/>
        <v>0</v>
      </c>
      <c r="EN47" s="920"/>
      <c r="EO47" s="921"/>
      <c r="EP47" s="1144">
        <f t="shared" ca="1" si="178"/>
        <v>0</v>
      </c>
      <c r="EQ47" s="1144">
        <f t="shared" ca="1" si="178"/>
        <v>0</v>
      </c>
      <c r="ER47" s="1144">
        <f t="shared" ca="1" si="178"/>
        <v>0</v>
      </c>
      <c r="ES47" s="1144">
        <f t="shared" ca="1" si="178"/>
        <v>0</v>
      </c>
      <c r="ET47" s="920"/>
      <c r="EU47" s="921"/>
      <c r="EV47" s="1144">
        <f t="shared" ca="1" si="164"/>
        <v>0</v>
      </c>
      <c r="EW47" s="1144">
        <f t="shared" ca="1" si="164"/>
        <v>0</v>
      </c>
      <c r="EX47" s="921"/>
      <c r="EY47" s="1144">
        <f t="shared" ca="1" si="164"/>
        <v>0</v>
      </c>
      <c r="EZ47" s="1144">
        <f t="shared" ca="1" si="164"/>
        <v>0</v>
      </c>
      <c r="FA47" s="1144" t="e">
        <f t="shared" ca="1" si="164"/>
        <v>#N/A</v>
      </c>
      <c r="FB47" s="921"/>
      <c r="FC47" s="918">
        <f t="shared" ca="1" si="179"/>
        <v>0</v>
      </c>
      <c r="FD47" s="918">
        <f t="shared" ca="1" si="179"/>
        <v>0</v>
      </c>
      <c r="FE47" s="918">
        <f t="shared" ca="1" si="179"/>
        <v>0</v>
      </c>
      <c r="FF47" s="918">
        <f t="shared" ca="1" si="179"/>
        <v>0</v>
      </c>
      <c r="FG47" s="918">
        <f t="shared" ca="1" si="179"/>
        <v>0</v>
      </c>
      <c r="FH47" s="918">
        <f t="shared" ca="1" si="179"/>
        <v>0</v>
      </c>
      <c r="FI47" s="918">
        <f t="shared" ca="1" si="179"/>
        <v>0</v>
      </c>
      <c r="FJ47" s="918">
        <f t="shared" ca="1" si="179"/>
        <v>0</v>
      </c>
      <c r="FK47" s="918">
        <f t="shared" ca="1" si="179"/>
        <v>0</v>
      </c>
      <c r="FL47" s="918">
        <f t="shared" ca="1" si="179"/>
        <v>0</v>
      </c>
      <c r="FM47" s="918" t="e">
        <f t="shared" ca="1" si="180"/>
        <v>#N/A</v>
      </c>
      <c r="FN47" s="1144">
        <f t="shared" ca="1" si="180"/>
        <v>0</v>
      </c>
      <c r="FO47" s="1144">
        <f t="shared" ca="1" si="180"/>
        <v>0</v>
      </c>
      <c r="FP47" s="918">
        <f t="shared" ca="1" si="180"/>
        <v>0</v>
      </c>
      <c r="FQ47" s="918">
        <f t="shared" ca="1" si="180"/>
        <v>0</v>
      </c>
      <c r="FR47" s="918">
        <f t="shared" ca="1" si="180"/>
        <v>0</v>
      </c>
      <c r="FS47" s="918">
        <f t="shared" ca="1" si="180"/>
        <v>0</v>
      </c>
      <c r="FT47" s="918">
        <f t="shared" ca="1" si="180"/>
        <v>0</v>
      </c>
      <c r="FU47" s="918" t="e">
        <f t="shared" ca="1" si="180"/>
        <v>#N/A</v>
      </c>
      <c r="FV47" s="1144" t="e">
        <f t="shared" ca="1" si="180"/>
        <v>#N/A</v>
      </c>
      <c r="FW47" s="918">
        <f t="shared" ca="1" si="180"/>
        <v>0</v>
      </c>
      <c r="FX47" s="918">
        <f t="shared" ca="1" si="180"/>
        <v>0</v>
      </c>
      <c r="FY47" s="918">
        <f t="shared" ca="1" si="180"/>
        <v>0</v>
      </c>
      <c r="FZ47" s="918">
        <f t="shared" ca="1" si="180"/>
        <v>0</v>
      </c>
      <c r="GA47" s="1144" t="e">
        <f t="shared" ca="1" si="180"/>
        <v>#N/A</v>
      </c>
      <c r="GB47" s="918">
        <f t="shared" ca="1" si="180"/>
        <v>0</v>
      </c>
      <c r="GC47" s="920"/>
      <c r="GD47" s="918">
        <f t="shared" ca="1" si="181"/>
        <v>0</v>
      </c>
      <c r="GE47" s="918">
        <f t="shared" ca="1" si="181"/>
        <v>0</v>
      </c>
      <c r="GF47" s="918">
        <f t="shared" ca="1" si="181"/>
        <v>0</v>
      </c>
      <c r="GG47" s="918">
        <f t="shared" ca="1" si="181"/>
        <v>0</v>
      </c>
      <c r="GH47" s="918" t="e">
        <f t="shared" ca="1" si="181"/>
        <v>#N/A</v>
      </c>
      <c r="GI47" s="1144" t="e">
        <f t="shared" ca="1" si="181"/>
        <v>#N/A</v>
      </c>
      <c r="GJ47" s="918">
        <f t="shared" ca="1" si="181"/>
        <v>0</v>
      </c>
      <c r="GK47" s="918">
        <f t="shared" ca="1" si="181"/>
        <v>0</v>
      </c>
      <c r="GL47" s="918">
        <f t="shared" ca="1" si="181"/>
        <v>0</v>
      </c>
      <c r="GM47" s="918">
        <f t="shared" ca="1" si="181"/>
        <v>0</v>
      </c>
      <c r="GN47" s="918">
        <f t="shared" ca="1" si="181"/>
        <v>0</v>
      </c>
      <c r="GO47" s="918" t="e">
        <f t="shared" ca="1" si="181"/>
        <v>#N/A</v>
      </c>
      <c r="GP47" s="915"/>
      <c r="GR47" s="946"/>
      <c r="GS47" s="946"/>
      <c r="GU47" s="946"/>
      <c r="GV47" s="946"/>
      <c r="GW47" s="946"/>
      <c r="GX47" s="1143"/>
      <c r="GY47" s="946"/>
    </row>
    <row r="48" spans="1:207" s="914" customFormat="1" x14ac:dyDescent="0.3">
      <c r="A48" s="975" t="s">
        <v>1526</v>
      </c>
      <c r="B48" s="977">
        <v>45</v>
      </c>
      <c r="C48" s="973">
        <v>16.042760000000001</v>
      </c>
      <c r="D48" s="914">
        <v>-0.19170201586000002</v>
      </c>
      <c r="E48" s="979" t="s">
        <v>982</v>
      </c>
      <c r="F48" s="936">
        <f t="shared" ca="1" si="165"/>
        <v>0</v>
      </c>
      <c r="G48" s="918">
        <f t="shared" ca="1" si="165"/>
        <v>0</v>
      </c>
      <c r="H48" s="918">
        <f t="shared" ca="1" si="165"/>
        <v>0</v>
      </c>
      <c r="I48" s="918">
        <f t="shared" ca="1" si="165"/>
        <v>0</v>
      </c>
      <c r="J48" s="918">
        <f t="shared" ca="1" si="165"/>
        <v>0</v>
      </c>
      <c r="K48" s="1144">
        <f t="shared" ca="1" si="165"/>
        <v>0</v>
      </c>
      <c r="L48" s="918">
        <f t="shared" ca="1" si="165"/>
        <v>0</v>
      </c>
      <c r="M48" s="918">
        <f t="shared" ca="1" si="165"/>
        <v>0</v>
      </c>
      <c r="N48" s="938">
        <f t="shared" ca="1" si="165"/>
        <v>0</v>
      </c>
      <c r="O48" s="918">
        <f t="shared" ca="1" si="165"/>
        <v>0</v>
      </c>
      <c r="P48" s="939">
        <f t="shared" ca="1" si="165"/>
        <v>0</v>
      </c>
      <c r="Q48" s="921"/>
      <c r="R48" s="918">
        <f t="shared" ca="1" si="166"/>
        <v>0</v>
      </c>
      <c r="S48" s="918">
        <f t="shared" ca="1" si="166"/>
        <v>0</v>
      </c>
      <c r="T48" s="918">
        <f t="shared" ca="1" si="166"/>
        <v>0</v>
      </c>
      <c r="U48" s="918">
        <f t="shared" ca="1" si="166"/>
        <v>0</v>
      </c>
      <c r="V48" s="918">
        <f t="shared" ca="1" si="166"/>
        <v>0</v>
      </c>
      <c r="W48" s="918">
        <f t="shared" ca="1" si="166"/>
        <v>0</v>
      </c>
      <c r="X48" s="938">
        <f t="shared" ca="1" si="166"/>
        <v>0</v>
      </c>
      <c r="Y48" s="918">
        <f t="shared" ca="1" si="166"/>
        <v>0</v>
      </c>
      <c r="Z48" s="918">
        <f t="shared" ca="1" si="166"/>
        <v>0</v>
      </c>
      <c r="AA48" s="918">
        <f t="shared" ca="1" si="166"/>
        <v>0</v>
      </c>
      <c r="AB48" s="921"/>
      <c r="AC48" s="918">
        <f t="shared" ca="1" si="167"/>
        <v>0</v>
      </c>
      <c r="AD48" s="918">
        <f t="shared" ca="1" si="167"/>
        <v>0</v>
      </c>
      <c r="AE48" s="918">
        <f t="shared" ca="1" si="167"/>
        <v>0</v>
      </c>
      <c r="AF48" s="918">
        <f t="shared" ca="1" si="167"/>
        <v>0</v>
      </c>
      <c r="AG48" s="918">
        <f t="shared" ca="1" si="167"/>
        <v>0</v>
      </c>
      <c r="AH48" s="918">
        <f t="shared" ca="1" si="167"/>
        <v>0</v>
      </c>
      <c r="AI48" s="918">
        <f t="shared" ca="1" si="167"/>
        <v>0</v>
      </c>
      <c r="AJ48" s="918">
        <f t="shared" ca="1" si="167"/>
        <v>0</v>
      </c>
      <c r="AK48" s="938">
        <f t="shared" ca="1" si="167"/>
        <v>0</v>
      </c>
      <c r="AL48" s="918">
        <f t="shared" ca="1" si="167"/>
        <v>0</v>
      </c>
      <c r="AM48" s="918">
        <f t="shared" ca="1" si="167"/>
        <v>0</v>
      </c>
      <c r="AN48" s="918">
        <f t="shared" ca="1" si="167"/>
        <v>0</v>
      </c>
      <c r="AO48" s="921"/>
      <c r="AP48" s="1144">
        <f t="shared" ca="1" si="162"/>
        <v>0</v>
      </c>
      <c r="AQ48" s="1144">
        <f t="shared" ca="1" si="162"/>
        <v>0</v>
      </c>
      <c r="AR48" s="1144">
        <f t="shared" ca="1" si="162"/>
        <v>0</v>
      </c>
      <c r="AS48" s="1144">
        <f t="shared" ca="1" si="162"/>
        <v>0</v>
      </c>
      <c r="AT48" s="938">
        <f t="shared" ca="1" si="162"/>
        <v>0</v>
      </c>
      <c r="AU48" s="938">
        <f t="shared" ca="1" si="162"/>
        <v>0</v>
      </c>
      <c r="AV48" s="1144">
        <f t="shared" ca="1" si="162"/>
        <v>0</v>
      </c>
      <c r="AW48" s="1144">
        <f t="shared" ca="1" si="162"/>
        <v>0</v>
      </c>
      <c r="AX48" s="1144">
        <f t="shared" ca="1" si="162"/>
        <v>0</v>
      </c>
      <c r="AY48" s="1144">
        <f t="shared" ca="1" si="162"/>
        <v>0</v>
      </c>
      <c r="AZ48" s="1144">
        <f t="shared" ca="1" si="162"/>
        <v>0</v>
      </c>
      <c r="BA48" s="1144">
        <f t="shared" ca="1" si="162"/>
        <v>0</v>
      </c>
      <c r="BB48" s="1144">
        <f t="shared" ca="1" si="162"/>
        <v>0</v>
      </c>
      <c r="BC48" s="1144">
        <f t="shared" ref="BB48:BC56" ca="1" si="182">VLOOKUP(BC$8,INDIRECT(LU_MAT),$B48,FALSE)*$D48/$C48</f>
        <v>0</v>
      </c>
      <c r="BD48" s="921"/>
      <c r="BE48" s="918">
        <f t="shared" ca="1" si="168"/>
        <v>0</v>
      </c>
      <c r="BF48" s="918">
        <f t="shared" ca="1" si="168"/>
        <v>0</v>
      </c>
      <c r="BG48" s="918">
        <f t="shared" ca="1" si="168"/>
        <v>0</v>
      </c>
      <c r="BH48" s="918">
        <f t="shared" ca="1" si="168"/>
        <v>0</v>
      </c>
      <c r="BI48" s="938">
        <f t="shared" ca="1" si="168"/>
        <v>0</v>
      </c>
      <c r="BJ48" s="918">
        <f t="shared" ca="1" si="168"/>
        <v>0</v>
      </c>
      <c r="BK48" s="918">
        <f t="shared" ca="1" si="168"/>
        <v>0</v>
      </c>
      <c r="BL48" s="918">
        <f t="shared" ca="1" si="168"/>
        <v>0</v>
      </c>
      <c r="BM48" s="918">
        <f t="shared" ca="1" si="168"/>
        <v>0</v>
      </c>
      <c r="BN48" s="1144">
        <f t="shared" ca="1" si="168"/>
        <v>0</v>
      </c>
      <c r="BO48" s="918">
        <f t="shared" ca="1" si="168"/>
        <v>0</v>
      </c>
      <c r="BP48" s="921"/>
      <c r="BQ48" s="918">
        <f t="shared" ca="1" si="169"/>
        <v>0</v>
      </c>
      <c r="BR48" s="918">
        <f t="shared" ca="1" si="169"/>
        <v>0</v>
      </c>
      <c r="BS48" s="1144">
        <f t="shared" ca="1" si="169"/>
        <v>0</v>
      </c>
      <c r="BT48" s="918">
        <f t="shared" ca="1" si="169"/>
        <v>0</v>
      </c>
      <c r="BU48" s="918">
        <f t="shared" ca="1" si="169"/>
        <v>0</v>
      </c>
      <c r="BV48" s="918">
        <f t="shared" ca="1" si="169"/>
        <v>0</v>
      </c>
      <c r="BW48" s="1144">
        <f t="shared" ca="1" si="169"/>
        <v>0</v>
      </c>
      <c r="BX48" s="921"/>
      <c r="BY48" s="918">
        <f t="shared" ca="1" si="170"/>
        <v>0</v>
      </c>
      <c r="BZ48" s="918">
        <f t="shared" ca="1" si="170"/>
        <v>0</v>
      </c>
      <c r="CA48" s="918">
        <f t="shared" ca="1" si="170"/>
        <v>0</v>
      </c>
      <c r="CB48" s="918">
        <f t="shared" ca="1" si="170"/>
        <v>-1.8671902244075535E-4</v>
      </c>
      <c r="CC48" s="918">
        <f t="shared" ca="1" si="170"/>
        <v>-64.268841801908223</v>
      </c>
      <c r="CD48" s="918">
        <f t="shared" ca="1" si="170"/>
        <v>0</v>
      </c>
      <c r="CE48" s="918">
        <f t="shared" ca="1" si="170"/>
        <v>0</v>
      </c>
      <c r="CF48" s="918">
        <f t="shared" ca="1" si="170"/>
        <v>0</v>
      </c>
      <c r="CG48" s="921"/>
      <c r="CH48" s="918">
        <f t="shared" ca="1" si="171"/>
        <v>-64.268841801908223</v>
      </c>
      <c r="CI48" s="918">
        <f t="shared" ca="1" si="171"/>
        <v>-1.8672021738486635E-4</v>
      </c>
      <c r="CJ48" s="918">
        <f t="shared" ca="1" si="171"/>
        <v>0</v>
      </c>
      <c r="CK48" s="918" t="e">
        <f t="shared" ca="1" si="171"/>
        <v>#N/A</v>
      </c>
      <c r="CL48" s="918" t="e">
        <f t="shared" ca="1" si="171"/>
        <v>#N/A</v>
      </c>
      <c r="CM48" s="921"/>
      <c r="CN48" s="918">
        <f t="shared" ca="1" si="172"/>
        <v>0</v>
      </c>
      <c r="CO48" s="918" t="e">
        <f t="shared" ca="1" si="172"/>
        <v>#N/A</v>
      </c>
      <c r="CP48" s="918">
        <f t="shared" ca="1" si="172"/>
        <v>0</v>
      </c>
      <c r="CQ48" s="918">
        <f t="shared" ca="1" si="172"/>
        <v>0</v>
      </c>
      <c r="CR48" s="918">
        <f t="shared" ca="1" si="172"/>
        <v>0</v>
      </c>
      <c r="CS48" s="1144">
        <f t="shared" ca="1" si="172"/>
        <v>0</v>
      </c>
      <c r="CT48" s="921"/>
      <c r="CU48" s="918">
        <f t="shared" ca="1" si="173"/>
        <v>0</v>
      </c>
      <c r="CV48" s="918">
        <f t="shared" ca="1" si="173"/>
        <v>0</v>
      </c>
      <c r="CW48" s="918">
        <f t="shared" ca="1" si="173"/>
        <v>0</v>
      </c>
      <c r="CX48" s="918">
        <f t="shared" ca="1" si="173"/>
        <v>0</v>
      </c>
      <c r="CY48" s="918">
        <f t="shared" ca="1" si="173"/>
        <v>0</v>
      </c>
      <c r="CZ48" s="1144" t="e">
        <f t="shared" ca="1" si="173"/>
        <v>#N/A</v>
      </c>
      <c r="DA48" s="1144" t="e">
        <f t="shared" ca="1" si="173"/>
        <v>#N/A</v>
      </c>
      <c r="DB48" s="918">
        <f t="shared" ca="1" si="173"/>
        <v>0</v>
      </c>
      <c r="DC48" s="938">
        <f t="shared" ca="1" si="173"/>
        <v>0</v>
      </c>
      <c r="DD48" s="918">
        <f t="shared" ca="1" si="173"/>
        <v>-64.268841801908223</v>
      </c>
      <c r="DE48" s="918">
        <f t="shared" ca="1" si="173"/>
        <v>-3.941150231937026E-2</v>
      </c>
      <c r="DF48" s="918">
        <f t="shared" ca="1" si="173"/>
        <v>0</v>
      </c>
      <c r="DG48" s="918">
        <f t="shared" ca="1" si="173"/>
        <v>-1.7915843897857986E-7</v>
      </c>
      <c r="DH48" s="918">
        <f t="shared" ca="1" si="173"/>
        <v>-1.8671902244075535E-4</v>
      </c>
      <c r="DI48" s="921"/>
      <c r="DJ48" s="1144">
        <f t="shared" ca="1" si="163"/>
        <v>-1.5207754367049355E-5</v>
      </c>
      <c r="DK48" s="1144">
        <f t="shared" ca="1" si="163"/>
        <v>-3.9414869074402968E-2</v>
      </c>
      <c r="DL48" s="1144">
        <f t="shared" ca="1" si="163"/>
        <v>0</v>
      </c>
      <c r="DM48" s="1144">
        <f t="shared" ca="1" si="163"/>
        <v>0</v>
      </c>
      <c r="DN48" s="1144" t="e">
        <f t="shared" ca="1" si="163"/>
        <v>#N/A</v>
      </c>
      <c r="DO48" s="1144">
        <f t="shared" ca="1" si="163"/>
        <v>-3.9430076889114693E-2</v>
      </c>
      <c r="DP48" s="1144" t="e">
        <f t="shared" ca="1" si="163"/>
        <v>#N/A</v>
      </c>
      <c r="DQ48" s="921"/>
      <c r="DR48" s="1144">
        <f t="shared" ca="1" si="174"/>
        <v>0</v>
      </c>
      <c r="DS48" s="1144">
        <f t="shared" ca="1" si="174"/>
        <v>0</v>
      </c>
      <c r="DT48" s="1144">
        <f t="shared" ca="1" si="174"/>
        <v>-64.308440218341389</v>
      </c>
      <c r="DU48" s="1144" t="e">
        <f t="shared" ca="1" si="174"/>
        <v>#N/A</v>
      </c>
      <c r="DV48" s="920"/>
      <c r="DW48" s="921"/>
      <c r="DX48" s="918">
        <f t="shared" ca="1" si="175"/>
        <v>0</v>
      </c>
      <c r="DY48" s="918">
        <f t="shared" ca="1" si="175"/>
        <v>0</v>
      </c>
      <c r="DZ48" s="918">
        <f t="shared" ca="1" si="175"/>
        <v>-64.308440218341389</v>
      </c>
      <c r="EA48" s="918" t="e">
        <f t="shared" ca="1" si="175"/>
        <v>#N/A</v>
      </c>
      <c r="EB48" s="920"/>
      <c r="EC48" s="921"/>
      <c r="ED48" s="1144">
        <f t="shared" ca="1" si="176"/>
        <v>0</v>
      </c>
      <c r="EE48" s="1144">
        <f t="shared" ca="1" si="176"/>
        <v>0</v>
      </c>
      <c r="EF48" s="1144" t="e">
        <f t="shared" ca="1" si="176"/>
        <v>#N/A</v>
      </c>
      <c r="EG48" s="1144" t="e">
        <f t="shared" ca="1" si="176"/>
        <v>#N/A</v>
      </c>
      <c r="EH48" s="920"/>
      <c r="EI48" s="921"/>
      <c r="EJ48" s="918">
        <f t="shared" ca="1" si="177"/>
        <v>0</v>
      </c>
      <c r="EK48" s="918">
        <f t="shared" ca="1" si="177"/>
        <v>0</v>
      </c>
      <c r="EL48" s="918">
        <f t="shared" ca="1" si="177"/>
        <v>0</v>
      </c>
      <c r="EM48" s="918">
        <f t="shared" ca="1" si="177"/>
        <v>0</v>
      </c>
      <c r="EN48" s="920"/>
      <c r="EO48" s="921"/>
      <c r="EP48" s="1144">
        <f t="shared" ca="1" si="178"/>
        <v>-2.7331745265024066E-6</v>
      </c>
      <c r="EQ48" s="1144">
        <f t="shared" ca="1" si="178"/>
        <v>-1.7915843897857986E-7</v>
      </c>
      <c r="ER48" s="1144">
        <f t="shared" ca="1" si="178"/>
        <v>0</v>
      </c>
      <c r="ES48" s="1144">
        <f t="shared" ca="1" si="178"/>
        <v>-2.5540160779642735E-6</v>
      </c>
      <c r="ET48" s="920"/>
      <c r="EU48" s="921"/>
      <c r="EV48" s="1144">
        <f t="shared" ca="1" si="164"/>
        <v>0</v>
      </c>
      <c r="EW48" s="1144">
        <f t="shared" ca="1" si="164"/>
        <v>0</v>
      </c>
      <c r="EX48" s="921"/>
      <c r="EY48" s="1144">
        <f t="shared" ca="1" si="164"/>
        <v>0</v>
      </c>
      <c r="EZ48" s="1144">
        <f t="shared" ca="1" si="164"/>
        <v>0</v>
      </c>
      <c r="FA48" s="1144" t="e">
        <f t="shared" ca="1" si="164"/>
        <v>#N/A</v>
      </c>
      <c r="FB48" s="921"/>
      <c r="FC48" s="918">
        <f t="shared" ca="1" si="179"/>
        <v>0</v>
      </c>
      <c r="FD48" s="918">
        <f t="shared" ca="1" si="179"/>
        <v>0</v>
      </c>
      <c r="FE48" s="918">
        <f t="shared" ca="1" si="179"/>
        <v>0</v>
      </c>
      <c r="FF48" s="918">
        <f t="shared" ca="1" si="179"/>
        <v>0</v>
      </c>
      <c r="FG48" s="918">
        <f t="shared" ca="1" si="179"/>
        <v>0</v>
      </c>
      <c r="FH48" s="918">
        <f t="shared" ca="1" si="179"/>
        <v>0</v>
      </c>
      <c r="FI48" s="918">
        <f t="shared" ca="1" si="179"/>
        <v>0</v>
      </c>
      <c r="FJ48" s="918">
        <f t="shared" ca="1" si="179"/>
        <v>0</v>
      </c>
      <c r="FK48" s="918">
        <f t="shared" ca="1" si="179"/>
        <v>0</v>
      </c>
      <c r="FL48" s="918">
        <f t="shared" ca="1" si="179"/>
        <v>0</v>
      </c>
      <c r="FM48" s="918" t="e">
        <f t="shared" ca="1" si="180"/>
        <v>#N/A</v>
      </c>
      <c r="FN48" s="1144">
        <f t="shared" ca="1" si="180"/>
        <v>0</v>
      </c>
      <c r="FO48" s="1144">
        <f t="shared" ca="1" si="180"/>
        <v>0</v>
      </c>
      <c r="FP48" s="918">
        <f t="shared" ca="1" si="180"/>
        <v>0</v>
      </c>
      <c r="FQ48" s="918">
        <f t="shared" ca="1" si="180"/>
        <v>0</v>
      </c>
      <c r="FR48" s="918">
        <f t="shared" ca="1" si="180"/>
        <v>0</v>
      </c>
      <c r="FS48" s="918">
        <f t="shared" ca="1" si="180"/>
        <v>0</v>
      </c>
      <c r="FT48" s="918">
        <f t="shared" ca="1" si="180"/>
        <v>0</v>
      </c>
      <c r="FU48" s="918" t="e">
        <f t="shared" ca="1" si="180"/>
        <v>#N/A</v>
      </c>
      <c r="FV48" s="1144" t="e">
        <f t="shared" ca="1" si="180"/>
        <v>#N/A</v>
      </c>
      <c r="FW48" s="918">
        <f t="shared" ca="1" si="180"/>
        <v>0</v>
      </c>
      <c r="FX48" s="918">
        <f t="shared" ca="1" si="180"/>
        <v>0</v>
      </c>
      <c r="FY48" s="918">
        <f t="shared" ca="1" si="180"/>
        <v>0</v>
      </c>
      <c r="FZ48" s="918">
        <f t="shared" ca="1" si="180"/>
        <v>0</v>
      </c>
      <c r="GA48" s="1144" t="e">
        <f t="shared" ca="1" si="180"/>
        <v>#N/A</v>
      </c>
      <c r="GB48" s="918">
        <f t="shared" ca="1" si="180"/>
        <v>0</v>
      </c>
      <c r="GC48" s="920"/>
      <c r="GD48" s="918">
        <f t="shared" ca="1" si="181"/>
        <v>0</v>
      </c>
      <c r="GE48" s="918">
        <f t="shared" ca="1" si="181"/>
        <v>0</v>
      </c>
      <c r="GF48" s="918">
        <f t="shared" ca="1" si="181"/>
        <v>0</v>
      </c>
      <c r="GG48" s="918">
        <f t="shared" ca="1" si="181"/>
        <v>0</v>
      </c>
      <c r="GH48" s="918" t="e">
        <f t="shared" ca="1" si="181"/>
        <v>#N/A</v>
      </c>
      <c r="GI48" s="1144" t="e">
        <f t="shared" ca="1" si="181"/>
        <v>#N/A</v>
      </c>
      <c r="GJ48" s="918">
        <f t="shared" ca="1" si="181"/>
        <v>-3.941150231937026E-2</v>
      </c>
      <c r="GK48" s="918">
        <f t="shared" ca="1" si="181"/>
        <v>-1.7915843897857986E-7</v>
      </c>
      <c r="GL48" s="918">
        <f t="shared" ca="1" si="181"/>
        <v>0</v>
      </c>
      <c r="GM48" s="918">
        <f t="shared" ca="1" si="181"/>
        <v>0</v>
      </c>
      <c r="GN48" s="918">
        <f t="shared" ca="1" si="181"/>
        <v>0</v>
      </c>
      <c r="GO48" s="918" t="e">
        <f t="shared" ca="1" si="181"/>
        <v>#N/A</v>
      </c>
      <c r="GP48" s="915"/>
      <c r="GR48" s="946"/>
      <c r="GS48" s="946"/>
      <c r="GU48" s="946"/>
      <c r="GV48" s="946"/>
      <c r="GW48" s="946"/>
      <c r="GX48" s="1143"/>
      <c r="GY48" s="946"/>
    </row>
    <row r="49" spans="1:207" s="914" customFormat="1" x14ac:dyDescent="0.3">
      <c r="A49" s="975" t="s">
        <v>1527</v>
      </c>
      <c r="B49" s="977">
        <v>41</v>
      </c>
      <c r="C49" s="973">
        <v>30.006139999999998</v>
      </c>
      <c r="D49" s="914">
        <v>-1.3630935320000001E-2</v>
      </c>
      <c r="E49" s="979" t="s">
        <v>982</v>
      </c>
      <c r="F49" s="936">
        <f t="shared" ca="1" si="165"/>
        <v>0</v>
      </c>
      <c r="G49" s="918">
        <f t="shared" ca="1" si="165"/>
        <v>0</v>
      </c>
      <c r="H49" s="918">
        <f t="shared" ca="1" si="165"/>
        <v>0</v>
      </c>
      <c r="I49" s="918">
        <f t="shared" ca="1" si="165"/>
        <v>0</v>
      </c>
      <c r="J49" s="918">
        <f t="shared" ca="1" si="165"/>
        <v>0</v>
      </c>
      <c r="K49" s="1144">
        <f t="shared" ca="1" si="165"/>
        <v>0</v>
      </c>
      <c r="L49" s="918">
        <f t="shared" ca="1" si="165"/>
        <v>0</v>
      </c>
      <c r="M49" s="918">
        <f t="shared" ca="1" si="165"/>
        <v>0</v>
      </c>
      <c r="N49" s="938">
        <f t="shared" ca="1" si="165"/>
        <v>0</v>
      </c>
      <c r="O49" s="918">
        <f t="shared" ca="1" si="165"/>
        <v>0</v>
      </c>
      <c r="P49" s="939">
        <f t="shared" ca="1" si="165"/>
        <v>0</v>
      </c>
      <c r="Q49" s="921"/>
      <c r="R49" s="918">
        <f t="shared" ca="1" si="166"/>
        <v>0</v>
      </c>
      <c r="S49" s="918">
        <f t="shared" ca="1" si="166"/>
        <v>0</v>
      </c>
      <c r="T49" s="918">
        <f t="shared" ca="1" si="166"/>
        <v>0</v>
      </c>
      <c r="U49" s="918">
        <f t="shared" ca="1" si="166"/>
        <v>0</v>
      </c>
      <c r="V49" s="918">
        <f t="shared" ca="1" si="166"/>
        <v>0</v>
      </c>
      <c r="W49" s="918">
        <f t="shared" ca="1" si="166"/>
        <v>0</v>
      </c>
      <c r="X49" s="938">
        <f t="shared" ca="1" si="166"/>
        <v>0</v>
      </c>
      <c r="Y49" s="918">
        <f t="shared" ca="1" si="166"/>
        <v>0</v>
      </c>
      <c r="Z49" s="918">
        <f t="shared" ca="1" si="166"/>
        <v>0</v>
      </c>
      <c r="AA49" s="918">
        <f t="shared" ca="1" si="166"/>
        <v>0</v>
      </c>
      <c r="AB49" s="921"/>
      <c r="AC49" s="918">
        <f t="shared" ca="1" si="167"/>
        <v>0</v>
      </c>
      <c r="AD49" s="918">
        <f t="shared" ca="1" si="167"/>
        <v>0</v>
      </c>
      <c r="AE49" s="918">
        <f t="shared" ca="1" si="167"/>
        <v>0</v>
      </c>
      <c r="AF49" s="918">
        <f t="shared" ca="1" si="167"/>
        <v>0</v>
      </c>
      <c r="AG49" s="918">
        <f t="shared" ca="1" si="167"/>
        <v>0</v>
      </c>
      <c r="AH49" s="918">
        <f t="shared" ca="1" si="167"/>
        <v>0</v>
      </c>
      <c r="AI49" s="918">
        <f t="shared" ca="1" si="167"/>
        <v>0</v>
      </c>
      <c r="AJ49" s="918">
        <f t="shared" ca="1" si="167"/>
        <v>0</v>
      </c>
      <c r="AK49" s="938">
        <f t="shared" ca="1" si="167"/>
        <v>0</v>
      </c>
      <c r="AL49" s="918">
        <f t="shared" ca="1" si="167"/>
        <v>0</v>
      </c>
      <c r="AM49" s="918">
        <f t="shared" ca="1" si="167"/>
        <v>0</v>
      </c>
      <c r="AN49" s="918">
        <f t="shared" ca="1" si="167"/>
        <v>0</v>
      </c>
      <c r="AO49" s="921"/>
      <c r="AP49" s="1144">
        <f t="shared" ca="1" si="162"/>
        <v>0</v>
      </c>
      <c r="AQ49" s="1144">
        <f t="shared" ca="1" si="162"/>
        <v>0</v>
      </c>
      <c r="AR49" s="1144">
        <f t="shared" ca="1" si="162"/>
        <v>0</v>
      </c>
      <c r="AS49" s="1144">
        <f t="shared" ca="1" si="162"/>
        <v>0</v>
      </c>
      <c r="AT49" s="938">
        <f t="shared" ca="1" si="162"/>
        <v>0</v>
      </c>
      <c r="AU49" s="938">
        <f t="shared" ca="1" si="162"/>
        <v>0</v>
      </c>
      <c r="AV49" s="1144">
        <f t="shared" ca="1" si="162"/>
        <v>0</v>
      </c>
      <c r="AW49" s="1144">
        <f t="shared" ca="1" si="162"/>
        <v>0</v>
      </c>
      <c r="AX49" s="1144">
        <f t="shared" ca="1" si="162"/>
        <v>0</v>
      </c>
      <c r="AY49" s="1144">
        <f t="shared" ca="1" si="162"/>
        <v>0</v>
      </c>
      <c r="AZ49" s="1144">
        <f t="shared" ca="1" si="162"/>
        <v>0</v>
      </c>
      <c r="BA49" s="1144">
        <f t="shared" ca="1" si="162"/>
        <v>0</v>
      </c>
      <c r="BB49" s="1144">
        <f t="shared" ca="1" si="182"/>
        <v>0</v>
      </c>
      <c r="BC49" s="1144">
        <f t="shared" ca="1" si="182"/>
        <v>0</v>
      </c>
      <c r="BD49" s="921"/>
      <c r="BE49" s="918">
        <f t="shared" ca="1" si="168"/>
        <v>0</v>
      </c>
      <c r="BF49" s="918">
        <f t="shared" ca="1" si="168"/>
        <v>0</v>
      </c>
      <c r="BG49" s="918">
        <f t="shared" ca="1" si="168"/>
        <v>0</v>
      </c>
      <c r="BH49" s="918">
        <f t="shared" ca="1" si="168"/>
        <v>0</v>
      </c>
      <c r="BI49" s="938">
        <f t="shared" ca="1" si="168"/>
        <v>0</v>
      </c>
      <c r="BJ49" s="918">
        <f t="shared" ca="1" si="168"/>
        <v>0</v>
      </c>
      <c r="BK49" s="918">
        <f t="shared" ca="1" si="168"/>
        <v>0</v>
      </c>
      <c r="BL49" s="918">
        <f t="shared" ca="1" si="168"/>
        <v>0</v>
      </c>
      <c r="BM49" s="918">
        <f t="shared" ca="1" si="168"/>
        <v>0</v>
      </c>
      <c r="BN49" s="1144">
        <f t="shared" ca="1" si="168"/>
        <v>0</v>
      </c>
      <c r="BO49" s="918">
        <f t="shared" ca="1" si="168"/>
        <v>0</v>
      </c>
      <c r="BP49" s="921"/>
      <c r="BQ49" s="918">
        <f t="shared" ca="1" si="169"/>
        <v>0</v>
      </c>
      <c r="BR49" s="918">
        <f t="shared" ca="1" si="169"/>
        <v>0</v>
      </c>
      <c r="BS49" s="1144">
        <f t="shared" ca="1" si="169"/>
        <v>0</v>
      </c>
      <c r="BT49" s="918">
        <f t="shared" ca="1" si="169"/>
        <v>0</v>
      </c>
      <c r="BU49" s="918">
        <f t="shared" ca="1" si="169"/>
        <v>0</v>
      </c>
      <c r="BV49" s="918">
        <f t="shared" ca="1" si="169"/>
        <v>0</v>
      </c>
      <c r="BW49" s="1144">
        <f t="shared" ca="1" si="169"/>
        <v>0</v>
      </c>
      <c r="BX49" s="921"/>
      <c r="BY49" s="918">
        <f t="shared" ca="1" si="170"/>
        <v>0</v>
      </c>
      <c r="BZ49" s="918">
        <f t="shared" ca="1" si="170"/>
        <v>0</v>
      </c>
      <c r="CA49" s="918">
        <f t="shared" ca="1" si="170"/>
        <v>0</v>
      </c>
      <c r="CB49" s="918">
        <f t="shared" ca="1" si="170"/>
        <v>0</v>
      </c>
      <c r="CC49" s="918">
        <f t="shared" ca="1" si="170"/>
        <v>0</v>
      </c>
      <c r="CD49" s="918">
        <f t="shared" ca="1" si="170"/>
        <v>0</v>
      </c>
      <c r="CE49" s="918">
        <f t="shared" ca="1" si="170"/>
        <v>0</v>
      </c>
      <c r="CF49" s="918">
        <f t="shared" ca="1" si="170"/>
        <v>0</v>
      </c>
      <c r="CG49" s="921"/>
      <c r="CH49" s="918">
        <f t="shared" ca="1" si="171"/>
        <v>0</v>
      </c>
      <c r="CI49" s="918">
        <f t="shared" ca="1" si="171"/>
        <v>0</v>
      </c>
      <c r="CJ49" s="918">
        <f t="shared" ca="1" si="171"/>
        <v>0</v>
      </c>
      <c r="CK49" s="918" t="e">
        <f t="shared" ca="1" si="171"/>
        <v>#N/A</v>
      </c>
      <c r="CL49" s="918" t="e">
        <f t="shared" ca="1" si="171"/>
        <v>#N/A</v>
      </c>
      <c r="CM49" s="921"/>
      <c r="CN49" s="918">
        <f t="shared" ca="1" si="172"/>
        <v>0</v>
      </c>
      <c r="CO49" s="918" t="e">
        <f t="shared" ca="1" si="172"/>
        <v>#N/A</v>
      </c>
      <c r="CP49" s="918">
        <f t="shared" ca="1" si="172"/>
        <v>0</v>
      </c>
      <c r="CQ49" s="918">
        <f t="shared" ca="1" si="172"/>
        <v>0</v>
      </c>
      <c r="CR49" s="918">
        <f t="shared" ca="1" si="172"/>
        <v>0</v>
      </c>
      <c r="CS49" s="1144">
        <f t="shared" ca="1" si="172"/>
        <v>0</v>
      </c>
      <c r="CT49" s="921"/>
      <c r="CU49" s="918">
        <f t="shared" ca="1" si="173"/>
        <v>0</v>
      </c>
      <c r="CV49" s="918">
        <f t="shared" ca="1" si="173"/>
        <v>0</v>
      </c>
      <c r="CW49" s="918">
        <f t="shared" ca="1" si="173"/>
        <v>0</v>
      </c>
      <c r="CX49" s="918">
        <f t="shared" ca="1" si="173"/>
        <v>0</v>
      </c>
      <c r="CY49" s="918">
        <f t="shared" ca="1" si="173"/>
        <v>0</v>
      </c>
      <c r="CZ49" s="1144" t="e">
        <f t="shared" ca="1" si="173"/>
        <v>#N/A</v>
      </c>
      <c r="DA49" s="1144" t="e">
        <f t="shared" ca="1" si="173"/>
        <v>#N/A</v>
      </c>
      <c r="DB49" s="918">
        <f t="shared" ca="1" si="173"/>
        <v>0</v>
      </c>
      <c r="DC49" s="938">
        <f t="shared" ca="1" si="173"/>
        <v>0</v>
      </c>
      <c r="DD49" s="918">
        <f t="shared" ca="1" si="173"/>
        <v>0</v>
      </c>
      <c r="DE49" s="918">
        <f t="shared" ca="1" si="173"/>
        <v>0</v>
      </c>
      <c r="DF49" s="918">
        <f t="shared" ca="1" si="173"/>
        <v>0</v>
      </c>
      <c r="DG49" s="918">
        <f t="shared" ca="1" si="173"/>
        <v>0</v>
      </c>
      <c r="DH49" s="918">
        <f t="shared" ca="1" si="173"/>
        <v>0</v>
      </c>
      <c r="DI49" s="921"/>
      <c r="DJ49" s="1144">
        <f t="shared" ca="1" si="163"/>
        <v>0</v>
      </c>
      <c r="DK49" s="1144">
        <f t="shared" ca="1" si="163"/>
        <v>0</v>
      </c>
      <c r="DL49" s="1144">
        <f t="shared" ca="1" si="163"/>
        <v>0</v>
      </c>
      <c r="DM49" s="1144">
        <f t="shared" ca="1" si="163"/>
        <v>0</v>
      </c>
      <c r="DN49" s="1144" t="e">
        <f t="shared" ca="1" si="163"/>
        <v>#N/A</v>
      </c>
      <c r="DO49" s="1144">
        <f t="shared" ca="1" si="163"/>
        <v>0</v>
      </c>
      <c r="DP49" s="1144" t="e">
        <f t="shared" ca="1" si="163"/>
        <v>#N/A</v>
      </c>
      <c r="DQ49" s="921"/>
      <c r="DR49" s="1144">
        <f t="shared" ca="1" si="174"/>
        <v>0</v>
      </c>
      <c r="DS49" s="1144">
        <f t="shared" ca="1" si="174"/>
        <v>0</v>
      </c>
      <c r="DT49" s="1144">
        <f t="shared" ca="1" si="174"/>
        <v>0</v>
      </c>
      <c r="DU49" s="1144" t="e">
        <f t="shared" ca="1" si="174"/>
        <v>#N/A</v>
      </c>
      <c r="DV49" s="920"/>
      <c r="DW49" s="921"/>
      <c r="DX49" s="918">
        <f t="shared" ca="1" si="175"/>
        <v>0</v>
      </c>
      <c r="DY49" s="918">
        <f t="shared" ca="1" si="175"/>
        <v>0</v>
      </c>
      <c r="DZ49" s="918">
        <f t="shared" ca="1" si="175"/>
        <v>0</v>
      </c>
      <c r="EA49" s="918" t="e">
        <f t="shared" ca="1" si="175"/>
        <v>#N/A</v>
      </c>
      <c r="EB49" s="920"/>
      <c r="EC49" s="921"/>
      <c r="ED49" s="1144">
        <f t="shared" ca="1" si="176"/>
        <v>0</v>
      </c>
      <c r="EE49" s="1144">
        <f t="shared" ca="1" si="176"/>
        <v>0</v>
      </c>
      <c r="EF49" s="1144" t="e">
        <f t="shared" ca="1" si="176"/>
        <v>#N/A</v>
      </c>
      <c r="EG49" s="1144" t="e">
        <f t="shared" ca="1" si="176"/>
        <v>#N/A</v>
      </c>
      <c r="EH49" s="920"/>
      <c r="EI49" s="921"/>
      <c r="EJ49" s="918">
        <f t="shared" ca="1" si="177"/>
        <v>0</v>
      </c>
      <c r="EK49" s="918">
        <f t="shared" ca="1" si="177"/>
        <v>0</v>
      </c>
      <c r="EL49" s="918">
        <f t="shared" ca="1" si="177"/>
        <v>0</v>
      </c>
      <c r="EM49" s="918">
        <f t="shared" ca="1" si="177"/>
        <v>0</v>
      </c>
      <c r="EN49" s="920"/>
      <c r="EO49" s="921"/>
      <c r="EP49" s="1144">
        <f t="shared" ca="1" si="178"/>
        <v>0</v>
      </c>
      <c r="EQ49" s="1144">
        <f t="shared" ca="1" si="178"/>
        <v>0</v>
      </c>
      <c r="ER49" s="1144">
        <f t="shared" ca="1" si="178"/>
        <v>0</v>
      </c>
      <c r="ES49" s="1144">
        <f t="shared" ca="1" si="178"/>
        <v>0</v>
      </c>
      <c r="ET49" s="920"/>
      <c r="EU49" s="921"/>
      <c r="EV49" s="1144">
        <f t="shared" ca="1" si="164"/>
        <v>0</v>
      </c>
      <c r="EW49" s="1144">
        <f t="shared" ca="1" si="164"/>
        <v>0</v>
      </c>
      <c r="EX49" s="921"/>
      <c r="EY49" s="1144">
        <f t="shared" ca="1" si="164"/>
        <v>0</v>
      </c>
      <c r="EZ49" s="1144">
        <f t="shared" ca="1" si="164"/>
        <v>0</v>
      </c>
      <c r="FA49" s="1144" t="e">
        <f t="shared" ca="1" si="164"/>
        <v>#N/A</v>
      </c>
      <c r="FB49" s="921"/>
      <c r="FC49" s="918">
        <f t="shared" ca="1" si="179"/>
        <v>0</v>
      </c>
      <c r="FD49" s="918">
        <f t="shared" ca="1" si="179"/>
        <v>0</v>
      </c>
      <c r="FE49" s="918">
        <f t="shared" ca="1" si="179"/>
        <v>0</v>
      </c>
      <c r="FF49" s="918">
        <f t="shared" ca="1" si="179"/>
        <v>0</v>
      </c>
      <c r="FG49" s="918">
        <f t="shared" ca="1" si="179"/>
        <v>0</v>
      </c>
      <c r="FH49" s="918">
        <f t="shared" ca="1" si="179"/>
        <v>0</v>
      </c>
      <c r="FI49" s="918">
        <f t="shared" ca="1" si="179"/>
        <v>0</v>
      </c>
      <c r="FJ49" s="918">
        <f t="shared" ca="1" si="179"/>
        <v>0</v>
      </c>
      <c r="FK49" s="918">
        <f t="shared" ca="1" si="179"/>
        <v>0</v>
      </c>
      <c r="FL49" s="918">
        <f t="shared" ca="1" si="179"/>
        <v>0</v>
      </c>
      <c r="FM49" s="918" t="e">
        <f t="shared" ca="1" si="180"/>
        <v>#N/A</v>
      </c>
      <c r="FN49" s="1144">
        <f t="shared" ca="1" si="180"/>
        <v>0</v>
      </c>
      <c r="FO49" s="1144">
        <f t="shared" ca="1" si="180"/>
        <v>0</v>
      </c>
      <c r="FP49" s="918">
        <f t="shared" ca="1" si="180"/>
        <v>0</v>
      </c>
      <c r="FQ49" s="918">
        <f t="shared" ca="1" si="180"/>
        <v>0</v>
      </c>
      <c r="FR49" s="918">
        <f t="shared" ca="1" si="180"/>
        <v>0</v>
      </c>
      <c r="FS49" s="918">
        <f t="shared" ca="1" si="180"/>
        <v>0</v>
      </c>
      <c r="FT49" s="918">
        <f t="shared" ca="1" si="180"/>
        <v>0</v>
      </c>
      <c r="FU49" s="918" t="e">
        <f t="shared" ca="1" si="180"/>
        <v>#N/A</v>
      </c>
      <c r="FV49" s="1144" t="e">
        <f t="shared" ca="1" si="180"/>
        <v>#N/A</v>
      </c>
      <c r="FW49" s="918">
        <f t="shared" ca="1" si="180"/>
        <v>0</v>
      </c>
      <c r="FX49" s="918">
        <f t="shared" ca="1" si="180"/>
        <v>0</v>
      </c>
      <c r="FY49" s="918">
        <f t="shared" ca="1" si="180"/>
        <v>0</v>
      </c>
      <c r="FZ49" s="918">
        <f t="shared" ca="1" si="180"/>
        <v>0</v>
      </c>
      <c r="GA49" s="1144" t="e">
        <f t="shared" ca="1" si="180"/>
        <v>#N/A</v>
      </c>
      <c r="GB49" s="918">
        <f t="shared" ca="1" si="180"/>
        <v>0</v>
      </c>
      <c r="GC49" s="920"/>
      <c r="GD49" s="918">
        <f t="shared" ca="1" si="181"/>
        <v>0</v>
      </c>
      <c r="GE49" s="918">
        <f t="shared" ca="1" si="181"/>
        <v>0</v>
      </c>
      <c r="GF49" s="918">
        <f t="shared" ca="1" si="181"/>
        <v>0</v>
      </c>
      <c r="GG49" s="918">
        <f t="shared" ca="1" si="181"/>
        <v>0</v>
      </c>
      <c r="GH49" s="918" t="e">
        <f t="shared" ca="1" si="181"/>
        <v>#N/A</v>
      </c>
      <c r="GI49" s="1144" t="e">
        <f t="shared" ca="1" si="181"/>
        <v>#N/A</v>
      </c>
      <c r="GJ49" s="918">
        <f t="shared" ca="1" si="181"/>
        <v>0</v>
      </c>
      <c r="GK49" s="918">
        <f t="shared" ca="1" si="181"/>
        <v>0</v>
      </c>
      <c r="GL49" s="918">
        <f t="shared" ca="1" si="181"/>
        <v>0</v>
      </c>
      <c r="GM49" s="918">
        <f t="shared" ca="1" si="181"/>
        <v>0</v>
      </c>
      <c r="GN49" s="918">
        <f t="shared" ca="1" si="181"/>
        <v>0</v>
      </c>
      <c r="GO49" s="918" t="e">
        <f t="shared" ca="1" si="181"/>
        <v>#N/A</v>
      </c>
      <c r="GP49" s="915"/>
      <c r="GQ49" s="1143" t="s">
        <v>1156</v>
      </c>
      <c r="GR49" s="1180">
        <f ca="1">H17</f>
        <v>1.224578636430133</v>
      </c>
      <c r="GS49" s="946"/>
      <c r="GU49" s="946"/>
      <c r="GV49" s="946"/>
      <c r="GW49" s="946"/>
      <c r="GX49" s="1143"/>
      <c r="GY49" s="946"/>
    </row>
    <row r="50" spans="1:207" s="914" customFormat="1" x14ac:dyDescent="0.3">
      <c r="A50" s="975" t="s">
        <v>1528</v>
      </c>
      <c r="B50" s="977">
        <v>42</v>
      </c>
      <c r="C50" s="973">
        <v>46.005540000000003</v>
      </c>
      <c r="D50" s="914">
        <v>0</v>
      </c>
      <c r="E50" s="979" t="s">
        <v>982</v>
      </c>
      <c r="F50" s="936">
        <f t="shared" ca="1" si="165"/>
        <v>0</v>
      </c>
      <c r="G50" s="918">
        <f t="shared" ca="1" si="165"/>
        <v>0</v>
      </c>
      <c r="H50" s="918">
        <f t="shared" ca="1" si="165"/>
        <v>0</v>
      </c>
      <c r="I50" s="918">
        <f t="shared" ca="1" si="165"/>
        <v>0</v>
      </c>
      <c r="J50" s="918">
        <f t="shared" ca="1" si="165"/>
        <v>0</v>
      </c>
      <c r="K50" s="1144">
        <f t="shared" ca="1" si="165"/>
        <v>0</v>
      </c>
      <c r="L50" s="918">
        <f t="shared" ca="1" si="165"/>
        <v>0</v>
      </c>
      <c r="M50" s="918">
        <f t="shared" ca="1" si="165"/>
        <v>0</v>
      </c>
      <c r="N50" s="938">
        <f t="shared" ca="1" si="165"/>
        <v>0</v>
      </c>
      <c r="O50" s="918">
        <f t="shared" ca="1" si="165"/>
        <v>0</v>
      </c>
      <c r="P50" s="939">
        <f t="shared" ca="1" si="165"/>
        <v>0</v>
      </c>
      <c r="Q50" s="921"/>
      <c r="R50" s="918">
        <f t="shared" ca="1" si="166"/>
        <v>0</v>
      </c>
      <c r="S50" s="918">
        <f t="shared" ca="1" si="166"/>
        <v>0</v>
      </c>
      <c r="T50" s="918">
        <f t="shared" ca="1" si="166"/>
        <v>0</v>
      </c>
      <c r="U50" s="918">
        <f t="shared" ca="1" si="166"/>
        <v>0</v>
      </c>
      <c r="V50" s="918">
        <f t="shared" ca="1" si="166"/>
        <v>0</v>
      </c>
      <c r="W50" s="918">
        <f t="shared" ca="1" si="166"/>
        <v>0</v>
      </c>
      <c r="X50" s="938">
        <f t="shared" ca="1" si="166"/>
        <v>0</v>
      </c>
      <c r="Y50" s="918">
        <f t="shared" ca="1" si="166"/>
        <v>0</v>
      </c>
      <c r="Z50" s="918">
        <f t="shared" ca="1" si="166"/>
        <v>0</v>
      </c>
      <c r="AA50" s="918">
        <f t="shared" ca="1" si="166"/>
        <v>0</v>
      </c>
      <c r="AB50" s="921"/>
      <c r="AC50" s="918">
        <f t="shared" ca="1" si="167"/>
        <v>0</v>
      </c>
      <c r="AD50" s="918">
        <f t="shared" ca="1" si="167"/>
        <v>0</v>
      </c>
      <c r="AE50" s="918">
        <f t="shared" ca="1" si="167"/>
        <v>0</v>
      </c>
      <c r="AF50" s="918">
        <f t="shared" ca="1" si="167"/>
        <v>0</v>
      </c>
      <c r="AG50" s="918">
        <f t="shared" ca="1" si="167"/>
        <v>0</v>
      </c>
      <c r="AH50" s="918">
        <f t="shared" ca="1" si="167"/>
        <v>0</v>
      </c>
      <c r="AI50" s="918">
        <f t="shared" ca="1" si="167"/>
        <v>0</v>
      </c>
      <c r="AJ50" s="918">
        <f t="shared" ca="1" si="167"/>
        <v>0</v>
      </c>
      <c r="AK50" s="938">
        <f t="shared" ca="1" si="167"/>
        <v>0</v>
      </c>
      <c r="AL50" s="918">
        <f t="shared" ca="1" si="167"/>
        <v>0</v>
      </c>
      <c r="AM50" s="918">
        <f t="shared" ca="1" si="167"/>
        <v>0</v>
      </c>
      <c r="AN50" s="918">
        <f t="shared" ca="1" si="167"/>
        <v>0</v>
      </c>
      <c r="AO50" s="921"/>
      <c r="AP50" s="1144">
        <f t="shared" ca="1" si="162"/>
        <v>0</v>
      </c>
      <c r="AQ50" s="1144">
        <f t="shared" ca="1" si="162"/>
        <v>0</v>
      </c>
      <c r="AR50" s="1144">
        <f t="shared" ca="1" si="162"/>
        <v>0</v>
      </c>
      <c r="AS50" s="1144">
        <f t="shared" ca="1" si="162"/>
        <v>0</v>
      </c>
      <c r="AT50" s="938">
        <f t="shared" ca="1" si="162"/>
        <v>0</v>
      </c>
      <c r="AU50" s="938">
        <f t="shared" ca="1" si="162"/>
        <v>0</v>
      </c>
      <c r="AV50" s="1144">
        <f t="shared" ca="1" si="162"/>
        <v>0</v>
      </c>
      <c r="AW50" s="1144">
        <f t="shared" ca="1" si="162"/>
        <v>0</v>
      </c>
      <c r="AX50" s="1144">
        <f t="shared" ca="1" si="162"/>
        <v>0</v>
      </c>
      <c r="AY50" s="1144">
        <f t="shared" ca="1" si="162"/>
        <v>0</v>
      </c>
      <c r="AZ50" s="1144">
        <f t="shared" ca="1" si="162"/>
        <v>0</v>
      </c>
      <c r="BA50" s="1144">
        <f t="shared" ca="1" si="162"/>
        <v>0</v>
      </c>
      <c r="BB50" s="1144">
        <f t="shared" ca="1" si="182"/>
        <v>0</v>
      </c>
      <c r="BC50" s="1144">
        <f t="shared" ca="1" si="182"/>
        <v>0</v>
      </c>
      <c r="BD50" s="921"/>
      <c r="BE50" s="918">
        <f t="shared" ca="1" si="168"/>
        <v>0</v>
      </c>
      <c r="BF50" s="918">
        <f t="shared" ca="1" si="168"/>
        <v>0</v>
      </c>
      <c r="BG50" s="918">
        <f t="shared" ca="1" si="168"/>
        <v>0</v>
      </c>
      <c r="BH50" s="918">
        <f t="shared" ca="1" si="168"/>
        <v>0</v>
      </c>
      <c r="BI50" s="938">
        <f t="shared" ca="1" si="168"/>
        <v>0</v>
      </c>
      <c r="BJ50" s="918">
        <f t="shared" ca="1" si="168"/>
        <v>0</v>
      </c>
      <c r="BK50" s="918">
        <f t="shared" ca="1" si="168"/>
        <v>0</v>
      </c>
      <c r="BL50" s="918">
        <f t="shared" ca="1" si="168"/>
        <v>0</v>
      </c>
      <c r="BM50" s="918">
        <f t="shared" ca="1" si="168"/>
        <v>0</v>
      </c>
      <c r="BN50" s="1144">
        <f t="shared" ca="1" si="168"/>
        <v>0</v>
      </c>
      <c r="BO50" s="918">
        <f t="shared" ca="1" si="168"/>
        <v>0</v>
      </c>
      <c r="BP50" s="921"/>
      <c r="BQ50" s="918">
        <f t="shared" ca="1" si="169"/>
        <v>0</v>
      </c>
      <c r="BR50" s="918">
        <f t="shared" ca="1" si="169"/>
        <v>0</v>
      </c>
      <c r="BS50" s="1144">
        <f t="shared" ca="1" si="169"/>
        <v>0</v>
      </c>
      <c r="BT50" s="918">
        <f t="shared" ca="1" si="169"/>
        <v>0</v>
      </c>
      <c r="BU50" s="918">
        <f t="shared" ca="1" si="169"/>
        <v>0</v>
      </c>
      <c r="BV50" s="918">
        <f t="shared" ca="1" si="169"/>
        <v>0</v>
      </c>
      <c r="BW50" s="1144">
        <f t="shared" ca="1" si="169"/>
        <v>0</v>
      </c>
      <c r="BX50" s="921"/>
      <c r="BY50" s="918">
        <f t="shared" ca="1" si="170"/>
        <v>0</v>
      </c>
      <c r="BZ50" s="918">
        <f t="shared" ca="1" si="170"/>
        <v>0</v>
      </c>
      <c r="CA50" s="918">
        <f t="shared" ca="1" si="170"/>
        <v>0</v>
      </c>
      <c r="CB50" s="918">
        <f t="shared" ca="1" si="170"/>
        <v>0</v>
      </c>
      <c r="CC50" s="918">
        <f t="shared" ca="1" si="170"/>
        <v>0</v>
      </c>
      <c r="CD50" s="918">
        <f t="shared" ca="1" si="170"/>
        <v>0</v>
      </c>
      <c r="CE50" s="918">
        <f t="shared" ca="1" si="170"/>
        <v>0</v>
      </c>
      <c r="CF50" s="918">
        <f t="shared" ca="1" si="170"/>
        <v>0</v>
      </c>
      <c r="CG50" s="921"/>
      <c r="CH50" s="918">
        <f t="shared" ca="1" si="171"/>
        <v>0</v>
      </c>
      <c r="CI50" s="918">
        <f t="shared" ca="1" si="171"/>
        <v>0</v>
      </c>
      <c r="CJ50" s="918">
        <f t="shared" ca="1" si="171"/>
        <v>0</v>
      </c>
      <c r="CK50" s="918" t="e">
        <f t="shared" ca="1" si="171"/>
        <v>#N/A</v>
      </c>
      <c r="CL50" s="918" t="e">
        <f t="shared" ca="1" si="171"/>
        <v>#N/A</v>
      </c>
      <c r="CM50" s="921"/>
      <c r="CN50" s="918">
        <f t="shared" ca="1" si="172"/>
        <v>0</v>
      </c>
      <c r="CO50" s="918" t="e">
        <f t="shared" ca="1" si="172"/>
        <v>#N/A</v>
      </c>
      <c r="CP50" s="918">
        <f t="shared" ca="1" si="172"/>
        <v>0</v>
      </c>
      <c r="CQ50" s="918">
        <f t="shared" ca="1" si="172"/>
        <v>0</v>
      </c>
      <c r="CR50" s="918">
        <f t="shared" ca="1" si="172"/>
        <v>0</v>
      </c>
      <c r="CS50" s="1144">
        <f t="shared" ca="1" si="172"/>
        <v>0</v>
      </c>
      <c r="CT50" s="921"/>
      <c r="CU50" s="918">
        <f t="shared" ca="1" si="173"/>
        <v>0</v>
      </c>
      <c r="CV50" s="918">
        <f t="shared" ca="1" si="173"/>
        <v>0</v>
      </c>
      <c r="CW50" s="918">
        <f t="shared" ca="1" si="173"/>
        <v>0</v>
      </c>
      <c r="CX50" s="918">
        <f t="shared" ca="1" si="173"/>
        <v>0</v>
      </c>
      <c r="CY50" s="918">
        <f t="shared" ca="1" si="173"/>
        <v>0</v>
      </c>
      <c r="CZ50" s="1144" t="e">
        <f t="shared" ca="1" si="173"/>
        <v>#N/A</v>
      </c>
      <c r="DA50" s="1144" t="e">
        <f t="shared" ca="1" si="173"/>
        <v>#N/A</v>
      </c>
      <c r="DB50" s="918">
        <f t="shared" ca="1" si="173"/>
        <v>0</v>
      </c>
      <c r="DC50" s="938">
        <f t="shared" ca="1" si="173"/>
        <v>0</v>
      </c>
      <c r="DD50" s="918">
        <f t="shared" ca="1" si="173"/>
        <v>0</v>
      </c>
      <c r="DE50" s="918">
        <f t="shared" ca="1" si="173"/>
        <v>0</v>
      </c>
      <c r="DF50" s="918">
        <f t="shared" ca="1" si="173"/>
        <v>0</v>
      </c>
      <c r="DG50" s="918">
        <f t="shared" ca="1" si="173"/>
        <v>0</v>
      </c>
      <c r="DH50" s="918">
        <f t="shared" ca="1" si="173"/>
        <v>0</v>
      </c>
      <c r="DI50" s="921"/>
      <c r="DJ50" s="1144">
        <f t="shared" ca="1" si="163"/>
        <v>0</v>
      </c>
      <c r="DK50" s="1144">
        <f t="shared" ca="1" si="163"/>
        <v>0</v>
      </c>
      <c r="DL50" s="1144">
        <f t="shared" ca="1" si="163"/>
        <v>0</v>
      </c>
      <c r="DM50" s="1144">
        <f t="shared" ca="1" si="163"/>
        <v>0</v>
      </c>
      <c r="DN50" s="1144" t="e">
        <f t="shared" ca="1" si="163"/>
        <v>#N/A</v>
      </c>
      <c r="DO50" s="1144">
        <f t="shared" ca="1" si="163"/>
        <v>0</v>
      </c>
      <c r="DP50" s="1144" t="e">
        <f t="shared" ca="1" si="163"/>
        <v>#N/A</v>
      </c>
      <c r="DQ50" s="921"/>
      <c r="DR50" s="1144">
        <f t="shared" ca="1" si="174"/>
        <v>0</v>
      </c>
      <c r="DS50" s="1144">
        <f t="shared" ca="1" si="174"/>
        <v>0</v>
      </c>
      <c r="DT50" s="1144">
        <f t="shared" ca="1" si="174"/>
        <v>0</v>
      </c>
      <c r="DU50" s="1144" t="e">
        <f t="shared" ca="1" si="174"/>
        <v>#N/A</v>
      </c>
      <c r="DV50" s="920"/>
      <c r="DW50" s="921"/>
      <c r="DX50" s="918">
        <f t="shared" ca="1" si="175"/>
        <v>0</v>
      </c>
      <c r="DY50" s="918">
        <f t="shared" ca="1" si="175"/>
        <v>0</v>
      </c>
      <c r="DZ50" s="918">
        <f t="shared" ca="1" si="175"/>
        <v>0</v>
      </c>
      <c r="EA50" s="918" t="e">
        <f t="shared" ca="1" si="175"/>
        <v>#N/A</v>
      </c>
      <c r="EB50" s="920"/>
      <c r="EC50" s="921"/>
      <c r="ED50" s="1144">
        <f t="shared" ca="1" si="176"/>
        <v>0</v>
      </c>
      <c r="EE50" s="1144">
        <f t="shared" ca="1" si="176"/>
        <v>0</v>
      </c>
      <c r="EF50" s="1144" t="e">
        <f t="shared" ca="1" si="176"/>
        <v>#N/A</v>
      </c>
      <c r="EG50" s="1144" t="e">
        <f t="shared" ca="1" si="176"/>
        <v>#N/A</v>
      </c>
      <c r="EH50" s="920"/>
      <c r="EI50" s="921"/>
      <c r="EJ50" s="918">
        <f t="shared" ca="1" si="177"/>
        <v>0</v>
      </c>
      <c r="EK50" s="918">
        <f t="shared" ca="1" si="177"/>
        <v>0</v>
      </c>
      <c r="EL50" s="918">
        <f t="shared" ca="1" si="177"/>
        <v>0</v>
      </c>
      <c r="EM50" s="918">
        <f t="shared" ca="1" si="177"/>
        <v>0</v>
      </c>
      <c r="EN50" s="920"/>
      <c r="EO50" s="921"/>
      <c r="EP50" s="1144">
        <f t="shared" ca="1" si="178"/>
        <v>0</v>
      </c>
      <c r="EQ50" s="1144">
        <f t="shared" ca="1" si="178"/>
        <v>0</v>
      </c>
      <c r="ER50" s="1144">
        <f t="shared" ca="1" si="178"/>
        <v>0</v>
      </c>
      <c r="ES50" s="1144">
        <f t="shared" ca="1" si="178"/>
        <v>0</v>
      </c>
      <c r="ET50" s="920"/>
      <c r="EU50" s="921"/>
      <c r="EV50" s="1144">
        <f t="shared" ca="1" si="164"/>
        <v>0</v>
      </c>
      <c r="EW50" s="1144">
        <f t="shared" ca="1" si="164"/>
        <v>0</v>
      </c>
      <c r="EX50" s="921"/>
      <c r="EY50" s="1144">
        <f t="shared" ca="1" si="164"/>
        <v>0</v>
      </c>
      <c r="EZ50" s="1144">
        <f t="shared" ca="1" si="164"/>
        <v>0</v>
      </c>
      <c r="FA50" s="1144" t="e">
        <f t="shared" ca="1" si="164"/>
        <v>#N/A</v>
      </c>
      <c r="FB50" s="921"/>
      <c r="FC50" s="918">
        <f t="shared" ca="1" si="179"/>
        <v>0</v>
      </c>
      <c r="FD50" s="918">
        <f t="shared" ca="1" si="179"/>
        <v>0</v>
      </c>
      <c r="FE50" s="918">
        <f t="shared" ca="1" si="179"/>
        <v>0</v>
      </c>
      <c r="FF50" s="918">
        <f t="shared" ca="1" si="179"/>
        <v>0</v>
      </c>
      <c r="FG50" s="918">
        <f t="shared" ca="1" si="179"/>
        <v>0</v>
      </c>
      <c r="FH50" s="918">
        <f t="shared" ca="1" si="179"/>
        <v>0</v>
      </c>
      <c r="FI50" s="918">
        <f t="shared" ca="1" si="179"/>
        <v>0</v>
      </c>
      <c r="FJ50" s="918">
        <f t="shared" ca="1" si="179"/>
        <v>0</v>
      </c>
      <c r="FK50" s="918">
        <f t="shared" ca="1" si="179"/>
        <v>0</v>
      </c>
      <c r="FL50" s="918">
        <f t="shared" ca="1" si="179"/>
        <v>0</v>
      </c>
      <c r="FM50" s="918" t="e">
        <f t="shared" ca="1" si="180"/>
        <v>#N/A</v>
      </c>
      <c r="FN50" s="1144">
        <f t="shared" ca="1" si="180"/>
        <v>0</v>
      </c>
      <c r="FO50" s="1144">
        <f t="shared" ca="1" si="180"/>
        <v>0</v>
      </c>
      <c r="FP50" s="918">
        <f t="shared" ca="1" si="180"/>
        <v>0</v>
      </c>
      <c r="FQ50" s="918">
        <f t="shared" ca="1" si="180"/>
        <v>0</v>
      </c>
      <c r="FR50" s="918">
        <f t="shared" ca="1" si="180"/>
        <v>0</v>
      </c>
      <c r="FS50" s="918">
        <f t="shared" ca="1" si="180"/>
        <v>0</v>
      </c>
      <c r="FT50" s="918">
        <f t="shared" ca="1" si="180"/>
        <v>0</v>
      </c>
      <c r="FU50" s="918" t="e">
        <f t="shared" ca="1" si="180"/>
        <v>#N/A</v>
      </c>
      <c r="FV50" s="1144" t="e">
        <f t="shared" ca="1" si="180"/>
        <v>#N/A</v>
      </c>
      <c r="FW50" s="918">
        <f t="shared" ca="1" si="180"/>
        <v>0</v>
      </c>
      <c r="FX50" s="918">
        <f t="shared" ca="1" si="180"/>
        <v>0</v>
      </c>
      <c r="FY50" s="918">
        <f t="shared" ca="1" si="180"/>
        <v>0</v>
      </c>
      <c r="FZ50" s="918">
        <f t="shared" ca="1" si="180"/>
        <v>0</v>
      </c>
      <c r="GA50" s="1144" t="e">
        <f t="shared" ca="1" si="180"/>
        <v>#N/A</v>
      </c>
      <c r="GB50" s="918">
        <f t="shared" ca="1" si="180"/>
        <v>0</v>
      </c>
      <c r="GC50" s="920"/>
      <c r="GD50" s="918">
        <f t="shared" ca="1" si="181"/>
        <v>0</v>
      </c>
      <c r="GE50" s="918">
        <f t="shared" ca="1" si="181"/>
        <v>0</v>
      </c>
      <c r="GF50" s="918">
        <f t="shared" ca="1" si="181"/>
        <v>0</v>
      </c>
      <c r="GG50" s="918">
        <f t="shared" ca="1" si="181"/>
        <v>0</v>
      </c>
      <c r="GH50" s="918" t="e">
        <f t="shared" ca="1" si="181"/>
        <v>#N/A</v>
      </c>
      <c r="GI50" s="1144" t="e">
        <f t="shared" ca="1" si="181"/>
        <v>#N/A</v>
      </c>
      <c r="GJ50" s="918">
        <f t="shared" ca="1" si="181"/>
        <v>0</v>
      </c>
      <c r="GK50" s="918">
        <f t="shared" ca="1" si="181"/>
        <v>0</v>
      </c>
      <c r="GL50" s="918">
        <f t="shared" ca="1" si="181"/>
        <v>0</v>
      </c>
      <c r="GM50" s="918">
        <f t="shared" ca="1" si="181"/>
        <v>0</v>
      </c>
      <c r="GN50" s="918">
        <f t="shared" ca="1" si="181"/>
        <v>0</v>
      </c>
      <c r="GO50" s="918" t="e">
        <f t="shared" ca="1" si="181"/>
        <v>#N/A</v>
      </c>
      <c r="GP50" s="915"/>
      <c r="GQ50" s="1143" t="s">
        <v>431</v>
      </c>
      <c r="GR50" s="1180">
        <f ca="1">L17</f>
        <v>-4.368626386199252</v>
      </c>
      <c r="GS50" s="946"/>
      <c r="GU50" s="946"/>
      <c r="GV50" s="946"/>
      <c r="GW50" s="946"/>
      <c r="GX50" s="1143"/>
      <c r="GY50" s="946"/>
    </row>
    <row r="51" spans="1:207" s="914" customFormat="1" x14ac:dyDescent="0.3">
      <c r="A51" s="975" t="s">
        <v>1529</v>
      </c>
      <c r="B51" s="977">
        <v>27</v>
      </c>
      <c r="C51" s="973">
        <v>17.030560000000001</v>
      </c>
      <c r="D51" s="914">
        <v>-7.5671873515000002E-2</v>
      </c>
      <c r="E51" s="972" t="s">
        <v>982</v>
      </c>
      <c r="F51" s="936">
        <f t="shared" ca="1" si="165"/>
        <v>0</v>
      </c>
      <c r="G51" s="918">
        <f t="shared" ca="1" si="165"/>
        <v>-8.8605148879957484E-11</v>
      </c>
      <c r="H51" s="918">
        <f t="shared" ca="1" si="165"/>
        <v>0</v>
      </c>
      <c r="I51" s="918">
        <f t="shared" ca="1" si="165"/>
        <v>0</v>
      </c>
      <c r="J51" s="918">
        <f t="shared" ca="1" si="165"/>
        <v>0</v>
      </c>
      <c r="K51" s="1144">
        <f t="shared" ca="1" si="165"/>
        <v>0</v>
      </c>
      <c r="L51" s="918">
        <f t="shared" ca="1" si="165"/>
        <v>-4.6690964615321535</v>
      </c>
      <c r="M51" s="918">
        <f t="shared" ca="1" si="165"/>
        <v>0</v>
      </c>
      <c r="N51" s="938">
        <f t="shared" ca="1" si="165"/>
        <v>0</v>
      </c>
      <c r="O51" s="918">
        <f t="shared" ca="1" si="165"/>
        <v>-5.647275315812371E-11</v>
      </c>
      <c r="P51" s="939">
        <f t="shared" ca="1" si="165"/>
        <v>0</v>
      </c>
      <c r="Q51" s="921"/>
      <c r="R51" s="918">
        <f t="shared" ca="1" si="166"/>
        <v>0</v>
      </c>
      <c r="S51" s="918">
        <f t="shared" ca="1" si="166"/>
        <v>-8.9426688241063784E-4</v>
      </c>
      <c r="T51" s="918">
        <f t="shared" ca="1" si="166"/>
        <v>0</v>
      </c>
      <c r="U51" s="918">
        <f t="shared" ca="1" si="166"/>
        <v>0</v>
      </c>
      <c r="V51" s="918">
        <f t="shared" ca="1" si="166"/>
        <v>0</v>
      </c>
      <c r="W51" s="918">
        <f t="shared" ca="1" si="166"/>
        <v>0</v>
      </c>
      <c r="X51" s="938">
        <f t="shared" ca="1" si="166"/>
        <v>-2.6584939611169132E-5</v>
      </c>
      <c r="Y51" s="918">
        <f t="shared" ca="1" si="166"/>
        <v>-9.0156591665580259E-4</v>
      </c>
      <c r="Z51" s="918">
        <f t="shared" ca="1" si="166"/>
        <v>-1.7496030480187574E-5</v>
      </c>
      <c r="AA51" s="918">
        <f t="shared" ca="1" si="166"/>
        <v>-1.8029815076132865E-6</v>
      </c>
      <c r="AB51" s="921"/>
      <c r="AC51" s="918">
        <f t="shared" ca="1" si="167"/>
        <v>-2.5415921900749518E-2</v>
      </c>
      <c r="AD51" s="918">
        <f t="shared" ca="1" si="167"/>
        <v>0</v>
      </c>
      <c r="AE51" s="918">
        <f t="shared" ca="1" si="167"/>
        <v>0</v>
      </c>
      <c r="AF51" s="918">
        <f t="shared" ca="1" si="167"/>
        <v>0</v>
      </c>
      <c r="AG51" s="918">
        <f t="shared" ca="1" si="167"/>
        <v>-0.48544410893526435</v>
      </c>
      <c r="AH51" s="918">
        <f t="shared" ca="1" si="167"/>
        <v>0</v>
      </c>
      <c r="AI51" s="918">
        <f t="shared" ca="1" si="167"/>
        <v>0</v>
      </c>
      <c r="AJ51" s="918">
        <f t="shared" ca="1" si="167"/>
        <v>0</v>
      </c>
      <c r="AK51" s="938">
        <f t="shared" ca="1" si="167"/>
        <v>0</v>
      </c>
      <c r="AL51" s="918">
        <f t="shared" ca="1" si="167"/>
        <v>-8.9426688241063784E-4</v>
      </c>
      <c r="AM51" s="918">
        <f t="shared" ca="1" si="167"/>
        <v>-1.2429655394144905E-3</v>
      </c>
      <c r="AN51" s="918">
        <f t="shared" ca="1" si="167"/>
        <v>-9.1217272943926848E-4</v>
      </c>
      <c r="AO51" s="921"/>
      <c r="AP51" s="1144">
        <f t="shared" ca="1" si="162"/>
        <v>-9.0156591665580259E-4</v>
      </c>
      <c r="AQ51" s="1144">
        <f t="shared" ca="1" si="162"/>
        <v>-1.8029815076132865E-6</v>
      </c>
      <c r="AR51" s="1144">
        <f t="shared" ca="1" si="162"/>
        <v>-1.7496030480187574E-5</v>
      </c>
      <c r="AS51" s="1144">
        <f t="shared" ca="1" si="162"/>
        <v>0</v>
      </c>
      <c r="AT51" s="938">
        <f t="shared" ca="1" si="162"/>
        <v>0</v>
      </c>
      <c r="AU51" s="938">
        <f t="shared" ca="1" si="162"/>
        <v>0</v>
      </c>
      <c r="AV51" s="1144">
        <f t="shared" ca="1" si="162"/>
        <v>-4.2735949611939237E-7</v>
      </c>
      <c r="AW51" s="1144">
        <f t="shared" ca="1" si="162"/>
        <v>-2.6584939611169132E-5</v>
      </c>
      <c r="AX51" s="1144">
        <f t="shared" ca="1" si="162"/>
        <v>-8.9055099128470118E-4</v>
      </c>
      <c r="AY51" s="1144">
        <f t="shared" ca="1" si="162"/>
        <v>-8.8605148879957484E-11</v>
      </c>
      <c r="AZ51" s="1144">
        <f t="shared" ca="1" si="162"/>
        <v>0</v>
      </c>
      <c r="BA51" s="1144">
        <f t="shared" ca="1" si="162"/>
        <v>-3.1787081436959733E-6</v>
      </c>
      <c r="BB51" s="1144">
        <f t="shared" ca="1" si="182"/>
        <v>-9.8020092420715034E-8</v>
      </c>
      <c r="BC51" s="1144">
        <f t="shared" ca="1" si="182"/>
        <v>-2.4904916144718309E-8</v>
      </c>
      <c r="BD51" s="921"/>
      <c r="BE51" s="918">
        <f t="shared" ca="1" si="168"/>
        <v>-9.0156591665580259E-4</v>
      </c>
      <c r="BF51" s="918">
        <f t="shared" ca="1" si="168"/>
        <v>-1.8029815076132865E-6</v>
      </c>
      <c r="BG51" s="918">
        <f t="shared" ca="1" si="168"/>
        <v>-1.7496030480187574E-5</v>
      </c>
      <c r="BH51" s="918">
        <f t="shared" ca="1" si="168"/>
        <v>0</v>
      </c>
      <c r="BI51" s="938">
        <f t="shared" ca="1" si="168"/>
        <v>0</v>
      </c>
      <c r="BJ51" s="918">
        <f t="shared" ca="1" si="168"/>
        <v>-4.2735949611939237E-7</v>
      </c>
      <c r="BK51" s="918">
        <f t="shared" ca="1" si="168"/>
        <v>-2.6584939611169132E-5</v>
      </c>
      <c r="BL51" s="918">
        <f t="shared" ca="1" si="168"/>
        <v>-8.9055099128470118E-4</v>
      </c>
      <c r="BM51" s="918">
        <f t="shared" ca="1" si="168"/>
        <v>-3.3016331533722305E-6</v>
      </c>
      <c r="BN51" s="1144">
        <f t="shared" ca="1" si="168"/>
        <v>0</v>
      </c>
      <c r="BO51" s="918">
        <f t="shared" ca="1" si="168"/>
        <v>-8.8605148879957484E-11</v>
      </c>
      <c r="BP51" s="921"/>
      <c r="BQ51" s="918">
        <f t="shared" ca="1" si="169"/>
        <v>0</v>
      </c>
      <c r="BR51" s="918">
        <f t="shared" ca="1" si="169"/>
        <v>-3.3016331533722305E-6</v>
      </c>
      <c r="BS51" s="1144">
        <f t="shared" ca="1" si="169"/>
        <v>0</v>
      </c>
      <c r="BT51" s="918">
        <f t="shared" ca="1" si="169"/>
        <v>-3.1787081436959733E-6</v>
      </c>
      <c r="BU51" s="918">
        <f t="shared" ca="1" si="169"/>
        <v>-2.4904916144718309E-8</v>
      </c>
      <c r="BV51" s="918">
        <f t="shared" ca="1" si="169"/>
        <v>-9.8020092420715034E-8</v>
      </c>
      <c r="BW51" s="1144">
        <f t="shared" ca="1" si="169"/>
        <v>0</v>
      </c>
      <c r="BX51" s="921"/>
      <c r="BY51" s="918">
        <f t="shared" ca="1" si="170"/>
        <v>-9.8020092420715034E-8</v>
      </c>
      <c r="BZ51" s="918">
        <f t="shared" ca="1" si="170"/>
        <v>-2.4904916144718309E-8</v>
      </c>
      <c r="CA51" s="918">
        <f t="shared" ca="1" si="170"/>
        <v>0</v>
      </c>
      <c r="CB51" s="918">
        <f t="shared" ca="1" si="170"/>
        <v>-1.4467954960145456E-2</v>
      </c>
      <c r="CC51" s="918">
        <f t="shared" ca="1" si="170"/>
        <v>-0.12067023172931726</v>
      </c>
      <c r="CD51" s="918">
        <f t="shared" ca="1" si="170"/>
        <v>0</v>
      </c>
      <c r="CE51" s="918">
        <f t="shared" ca="1" si="170"/>
        <v>0</v>
      </c>
      <c r="CF51" s="918">
        <f t="shared" ca="1" si="170"/>
        <v>-0.13513830972441743</v>
      </c>
      <c r="CG51" s="921"/>
      <c r="CH51" s="918">
        <f t="shared" ca="1" si="171"/>
        <v>-0.12067025661179276</v>
      </c>
      <c r="CI51" s="918">
        <f t="shared" ca="1" si="171"/>
        <v>-1.446805297932567E-2</v>
      </c>
      <c r="CJ51" s="918">
        <f t="shared" ca="1" si="171"/>
        <v>-0.13513830972441743</v>
      </c>
      <c r="CK51" s="918" t="e">
        <f t="shared" ca="1" si="171"/>
        <v>#N/A</v>
      </c>
      <c r="CL51" s="918" t="e">
        <f t="shared" ca="1" si="171"/>
        <v>#N/A</v>
      </c>
      <c r="CM51" s="921"/>
      <c r="CN51" s="918">
        <f t="shared" ca="1" si="172"/>
        <v>0</v>
      </c>
      <c r="CO51" s="918" t="e">
        <f t="shared" ca="1" si="172"/>
        <v>#N/A</v>
      </c>
      <c r="CP51" s="918">
        <f t="shared" ca="1" si="172"/>
        <v>0</v>
      </c>
      <c r="CQ51" s="918">
        <f t="shared" ca="1" si="172"/>
        <v>0</v>
      </c>
      <c r="CR51" s="918">
        <f t="shared" ca="1" si="172"/>
        <v>0</v>
      </c>
      <c r="CS51" s="1144">
        <f t="shared" ca="1" si="172"/>
        <v>0</v>
      </c>
      <c r="CT51" s="921"/>
      <c r="CU51" s="918">
        <f t="shared" ca="1" si="173"/>
        <v>-5.647275315812371E-11</v>
      </c>
      <c r="CV51" s="918">
        <f t="shared" ca="1" si="173"/>
        <v>0</v>
      </c>
      <c r="CW51" s="918">
        <f t="shared" ca="1" si="173"/>
        <v>0</v>
      </c>
      <c r="CX51" s="918">
        <f t="shared" ca="1" si="173"/>
        <v>-3.1787081436959733E-6</v>
      </c>
      <c r="CY51" s="918">
        <f t="shared" ca="1" si="173"/>
        <v>0</v>
      </c>
      <c r="CZ51" s="1144" t="e">
        <f t="shared" ca="1" si="173"/>
        <v>#N/A</v>
      </c>
      <c r="DA51" s="1144" t="e">
        <f t="shared" ca="1" si="173"/>
        <v>#N/A</v>
      </c>
      <c r="DB51" s="918">
        <f t="shared" ca="1" si="173"/>
        <v>0</v>
      </c>
      <c r="DC51" s="938">
        <f t="shared" ca="1" si="173"/>
        <v>0</v>
      </c>
      <c r="DD51" s="918">
        <f t="shared" ca="1" si="173"/>
        <v>-0.12067023172931726</v>
      </c>
      <c r="DE51" s="918">
        <f t="shared" ca="1" si="173"/>
        <v>-2.3946319665345264E-3</v>
      </c>
      <c r="DF51" s="918">
        <f t="shared" ca="1" si="173"/>
        <v>0</v>
      </c>
      <c r="DG51" s="918">
        <f t="shared" ca="1" si="173"/>
        <v>-1.2415561915597603E-2</v>
      </c>
      <c r="DH51" s="918">
        <f t="shared" ca="1" si="173"/>
        <v>-1.4467954960145456E-2</v>
      </c>
      <c r="DI51" s="921"/>
      <c r="DJ51" s="1144">
        <f t="shared" ca="1" si="163"/>
        <v>-6.9229744626543382E-2</v>
      </c>
      <c r="DK51" s="1144">
        <f t="shared" ca="1" si="163"/>
        <v>-3.0167806090589284</v>
      </c>
      <c r="DL51" s="1144">
        <f t="shared" ca="1" si="163"/>
        <v>0</v>
      </c>
      <c r="DM51" s="1144">
        <f t="shared" ca="1" si="163"/>
        <v>0</v>
      </c>
      <c r="DN51" s="1144" t="e">
        <f t="shared" ca="1" si="163"/>
        <v>#N/A</v>
      </c>
      <c r="DO51" s="1144">
        <f t="shared" ca="1" si="163"/>
        <v>-8.6951128533480596E-2</v>
      </c>
      <c r="DP51" s="1144" t="e">
        <f t="shared" ca="1" si="163"/>
        <v>#N/A</v>
      </c>
      <c r="DQ51" s="921"/>
      <c r="DR51" s="1144">
        <f t="shared" ca="1" si="174"/>
        <v>-2.7442815339988068E-6</v>
      </c>
      <c r="DS51" s="1144">
        <f t="shared" ca="1" si="174"/>
        <v>0</v>
      </c>
      <c r="DT51" s="1144">
        <f t="shared" ca="1" si="174"/>
        <v>-3.1490073101331069</v>
      </c>
      <c r="DU51" s="1144" t="e">
        <f t="shared" ca="1" si="174"/>
        <v>#N/A</v>
      </c>
      <c r="DV51" s="920"/>
      <c r="DW51" s="921"/>
      <c r="DX51" s="918">
        <f t="shared" ca="1" si="175"/>
        <v>-2.7442815339988068E-6</v>
      </c>
      <c r="DY51" s="918">
        <f t="shared" ca="1" si="175"/>
        <v>0</v>
      </c>
      <c r="DZ51" s="918">
        <f t="shared" ca="1" si="175"/>
        <v>-3.1490073101331069</v>
      </c>
      <c r="EA51" s="918" t="e">
        <f t="shared" ca="1" si="175"/>
        <v>#N/A</v>
      </c>
      <c r="EB51" s="920"/>
      <c r="EC51" s="921"/>
      <c r="ED51" s="1144">
        <f t="shared" ca="1" si="176"/>
        <v>-1.4839426858506399E-7</v>
      </c>
      <c r="EE51" s="1144">
        <f t="shared" ca="1" si="176"/>
        <v>0</v>
      </c>
      <c r="EF51" s="1144" t="e">
        <f t="shared" ca="1" si="176"/>
        <v>#N/A</v>
      </c>
      <c r="EG51" s="1144" t="e">
        <f t="shared" ca="1" si="176"/>
        <v>#N/A</v>
      </c>
      <c r="EH51" s="920"/>
      <c r="EI51" s="921"/>
      <c r="EJ51" s="918">
        <f t="shared" ca="1" si="177"/>
        <v>0</v>
      </c>
      <c r="EK51" s="918">
        <f t="shared" ca="1" si="177"/>
        <v>0</v>
      </c>
      <c r="EL51" s="918">
        <f t="shared" ca="1" si="177"/>
        <v>0</v>
      </c>
      <c r="EM51" s="918">
        <f t="shared" ca="1" si="177"/>
        <v>0</v>
      </c>
      <c r="EN51" s="920"/>
      <c r="EO51" s="921"/>
      <c r="EP51" s="1144">
        <f t="shared" ca="1" si="178"/>
        <v>-1.2442187141891633E-2</v>
      </c>
      <c r="EQ51" s="1144">
        <f t="shared" ca="1" si="178"/>
        <v>-1.2415561915597603E-2</v>
      </c>
      <c r="ER51" s="1144">
        <f t="shared" ca="1" si="178"/>
        <v>0</v>
      </c>
      <c r="ES51" s="1144">
        <f t="shared" ca="1" si="178"/>
        <v>-2.6625223361452401E-5</v>
      </c>
      <c r="ET51" s="920"/>
      <c r="EU51" s="921"/>
      <c r="EV51" s="1144">
        <f t="shared" ca="1" si="164"/>
        <v>0</v>
      </c>
      <c r="EW51" s="1144">
        <f t="shared" ca="1" si="164"/>
        <v>0</v>
      </c>
      <c r="EX51" s="921"/>
      <c r="EY51" s="1144">
        <f t="shared" ca="1" si="164"/>
        <v>0</v>
      </c>
      <c r="EZ51" s="1144">
        <f t="shared" ca="1" si="164"/>
        <v>0</v>
      </c>
      <c r="FA51" s="1144" t="e">
        <f t="shared" ca="1" si="164"/>
        <v>#N/A</v>
      </c>
      <c r="FB51" s="921"/>
      <c r="FC51" s="918">
        <f t="shared" ca="1" si="179"/>
        <v>0</v>
      </c>
      <c r="FD51" s="918">
        <f t="shared" ca="1" si="179"/>
        <v>0</v>
      </c>
      <c r="FE51" s="918">
        <f t="shared" ca="1" si="179"/>
        <v>-4.6690964615321535</v>
      </c>
      <c r="FF51" s="918">
        <f t="shared" ca="1" si="179"/>
        <v>0</v>
      </c>
      <c r="FG51" s="918">
        <f t="shared" ca="1" si="179"/>
        <v>0</v>
      </c>
      <c r="FH51" s="918">
        <f t="shared" ca="1" si="179"/>
        <v>0</v>
      </c>
      <c r="FI51" s="918">
        <f t="shared" ca="1" si="179"/>
        <v>0</v>
      </c>
      <c r="FJ51" s="918">
        <f t="shared" ca="1" si="179"/>
        <v>0</v>
      </c>
      <c r="FK51" s="918">
        <f t="shared" ca="1" si="179"/>
        <v>0</v>
      </c>
      <c r="FL51" s="918">
        <f t="shared" ca="1" si="179"/>
        <v>-2.5415921900749518E-2</v>
      </c>
      <c r="FM51" s="918" t="e">
        <f t="shared" ca="1" si="180"/>
        <v>#N/A</v>
      </c>
      <c r="FN51" s="1144">
        <f t="shared" ca="1" si="180"/>
        <v>0</v>
      </c>
      <c r="FO51" s="1144">
        <f t="shared" ca="1" si="180"/>
        <v>-0.48544410893526435</v>
      </c>
      <c r="FP51" s="918">
        <f t="shared" ca="1" si="180"/>
        <v>0</v>
      </c>
      <c r="FQ51" s="918">
        <f t="shared" ca="1" si="180"/>
        <v>0</v>
      </c>
      <c r="FR51" s="918">
        <f t="shared" ca="1" si="180"/>
        <v>0</v>
      </c>
      <c r="FS51" s="918">
        <f t="shared" ca="1" si="180"/>
        <v>0</v>
      </c>
      <c r="FT51" s="918">
        <f t="shared" ca="1" si="180"/>
        <v>0</v>
      </c>
      <c r="FU51" s="918" t="e">
        <f t="shared" ca="1" si="180"/>
        <v>#N/A</v>
      </c>
      <c r="FV51" s="1144" t="e">
        <f t="shared" ca="1" si="180"/>
        <v>#N/A</v>
      </c>
      <c r="FW51" s="918">
        <f t="shared" ca="1" si="180"/>
        <v>0</v>
      </c>
      <c r="FX51" s="918">
        <f t="shared" ca="1" si="180"/>
        <v>0</v>
      </c>
      <c r="FY51" s="918">
        <f t="shared" ca="1" si="180"/>
        <v>0</v>
      </c>
      <c r="FZ51" s="918">
        <f t="shared" ca="1" si="180"/>
        <v>0</v>
      </c>
      <c r="GA51" s="1144" t="e">
        <f t="shared" ca="1" si="180"/>
        <v>#N/A</v>
      </c>
      <c r="GB51" s="918">
        <f t="shared" ca="1" si="180"/>
        <v>0</v>
      </c>
      <c r="GC51" s="920"/>
      <c r="GD51" s="918">
        <f t="shared" ca="1" si="181"/>
        <v>-9.1217272943926848E-4</v>
      </c>
      <c r="GE51" s="918">
        <f t="shared" ca="1" si="181"/>
        <v>-1.2429655394144905E-3</v>
      </c>
      <c r="GF51" s="918">
        <f t="shared" ca="1" si="181"/>
        <v>-8.9055099128470118E-4</v>
      </c>
      <c r="GG51" s="918">
        <f t="shared" ca="1" si="181"/>
        <v>-4.2735949611939237E-7</v>
      </c>
      <c r="GH51" s="918" t="e">
        <f t="shared" ca="1" si="181"/>
        <v>#N/A</v>
      </c>
      <c r="GI51" s="1144" t="e">
        <f t="shared" ca="1" si="181"/>
        <v>#N/A</v>
      </c>
      <c r="GJ51" s="918">
        <f t="shared" ca="1" si="181"/>
        <v>-2.3946319665345264E-3</v>
      </c>
      <c r="GK51" s="918">
        <f t="shared" ca="1" si="181"/>
        <v>-1.2415561915597603E-2</v>
      </c>
      <c r="GL51" s="918">
        <f t="shared" ca="1" si="181"/>
        <v>0</v>
      </c>
      <c r="GM51" s="918">
        <f t="shared" ca="1" si="181"/>
        <v>-0.13513830972441743</v>
      </c>
      <c r="GN51" s="918">
        <f t="shared" ca="1" si="181"/>
        <v>0</v>
      </c>
      <c r="GO51" s="918" t="e">
        <f t="shared" ca="1" si="181"/>
        <v>#N/A</v>
      </c>
      <c r="GP51" s="915"/>
      <c r="GQ51" s="1143" t="s">
        <v>3111</v>
      </c>
      <c r="GR51" s="1180">
        <f ca="1">GR4+GR22+GR30+GR36</f>
        <v>0.2854192167351452</v>
      </c>
      <c r="GS51" s="946"/>
      <c r="GU51" s="946"/>
      <c r="GV51" s="946"/>
      <c r="GW51" s="946"/>
      <c r="GX51" s="1143"/>
      <c r="GY51" s="946"/>
    </row>
    <row r="52" spans="1:207" s="914" customFormat="1" x14ac:dyDescent="0.3">
      <c r="A52" s="975" t="s">
        <v>1530</v>
      </c>
      <c r="B52" s="977">
        <v>23</v>
      </c>
      <c r="C52" s="973">
        <v>90.07884</v>
      </c>
      <c r="D52" s="914">
        <v>-0.29211150128999991</v>
      </c>
      <c r="E52" s="972" t="s">
        <v>982</v>
      </c>
      <c r="F52" s="936">
        <f t="shared" ca="1" si="165"/>
        <v>0</v>
      </c>
      <c r="G52" s="918">
        <f t="shared" ca="1" si="165"/>
        <v>-3.412417635545614E-3</v>
      </c>
      <c r="H52" s="918">
        <f t="shared" ca="1" si="165"/>
        <v>0</v>
      </c>
      <c r="I52" s="918">
        <f t="shared" ca="1" si="165"/>
        <v>0</v>
      </c>
      <c r="J52" s="918">
        <f t="shared" ca="1" si="165"/>
        <v>0</v>
      </c>
      <c r="K52" s="1144">
        <f t="shared" ca="1" si="165"/>
        <v>0</v>
      </c>
      <c r="L52" s="918">
        <f t="shared" ca="1" si="165"/>
        <v>0</v>
      </c>
      <c r="M52" s="918">
        <f t="shared" ca="1" si="165"/>
        <v>0</v>
      </c>
      <c r="N52" s="938">
        <f t="shared" ca="1" si="165"/>
        <v>0</v>
      </c>
      <c r="O52" s="918">
        <f t="shared" ca="1" si="165"/>
        <v>-4.3669654173688287E-6</v>
      </c>
      <c r="P52" s="939">
        <f t="shared" ca="1" si="165"/>
        <v>-3.4080506615347126E-3</v>
      </c>
      <c r="Q52" s="921"/>
      <c r="R52" s="918">
        <f t="shared" ca="1" si="166"/>
        <v>-3.4080506615347126E-3</v>
      </c>
      <c r="S52" s="918">
        <f t="shared" ca="1" si="166"/>
        <v>-0.13202151872562851</v>
      </c>
      <c r="T52" s="918">
        <f t="shared" ca="1" si="166"/>
        <v>0</v>
      </c>
      <c r="U52" s="918">
        <f t="shared" ca="1" si="166"/>
        <v>-0.16917661923069957</v>
      </c>
      <c r="V52" s="918">
        <f t="shared" ca="1" si="166"/>
        <v>0</v>
      </c>
      <c r="W52" s="918">
        <f t="shared" ca="1" si="166"/>
        <v>-0.76129478848385368</v>
      </c>
      <c r="X52" s="938">
        <f t="shared" ca="1" si="166"/>
        <v>-1.2347383536808069E-6</v>
      </c>
      <c r="Y52" s="918">
        <f t="shared" ca="1" si="166"/>
        <v>-5.4969610376127314</v>
      </c>
      <c r="Z52" s="918">
        <f t="shared" ca="1" si="166"/>
        <v>-1.19271966149071E-6</v>
      </c>
      <c r="AA52" s="918">
        <f t="shared" ca="1" si="166"/>
        <v>-4.0902406530157817E-8</v>
      </c>
      <c r="AB52" s="921"/>
      <c r="AC52" s="918">
        <f t="shared" ca="1" si="167"/>
        <v>-6.3086371835286764E-3</v>
      </c>
      <c r="AD52" s="918">
        <f t="shared" ca="1" si="167"/>
        <v>0</v>
      </c>
      <c r="AE52" s="918">
        <f t="shared" ca="1" si="167"/>
        <v>0</v>
      </c>
      <c r="AF52" s="918">
        <f t="shared" ca="1" si="167"/>
        <v>-0.12571392878569473</v>
      </c>
      <c r="AG52" s="918">
        <f t="shared" ca="1" si="167"/>
        <v>0</v>
      </c>
      <c r="AH52" s="918">
        <f t="shared" ca="1" si="167"/>
        <v>0</v>
      </c>
      <c r="AI52" s="918">
        <f t="shared" ca="1" si="167"/>
        <v>0</v>
      </c>
      <c r="AJ52" s="918">
        <f t="shared" ca="1" si="167"/>
        <v>0</v>
      </c>
      <c r="AK52" s="938">
        <f t="shared" ca="1" si="167"/>
        <v>0</v>
      </c>
      <c r="AL52" s="918">
        <f t="shared" ca="1" si="167"/>
        <v>-0.13202151872562851</v>
      </c>
      <c r="AM52" s="918">
        <f t="shared" ca="1" si="167"/>
        <v>-6.5229953716623329E-8</v>
      </c>
      <c r="AN52" s="918">
        <f t="shared" ca="1" si="167"/>
        <v>-1.3384299196832377E-6</v>
      </c>
      <c r="AO52" s="921"/>
      <c r="AP52" s="1144">
        <f t="shared" ca="1" si="162"/>
        <v>-5.4969610376127314</v>
      </c>
      <c r="AQ52" s="1144">
        <f t="shared" ca="1" si="162"/>
        <v>-4.0902406530157817E-8</v>
      </c>
      <c r="AR52" s="1144">
        <f t="shared" ca="1" si="162"/>
        <v>-1.19271966149071E-6</v>
      </c>
      <c r="AS52" s="1144">
        <f t="shared" ca="1" si="162"/>
        <v>0</v>
      </c>
      <c r="AT52" s="938">
        <f t="shared" ca="1" si="162"/>
        <v>0</v>
      </c>
      <c r="AU52" s="938">
        <f t="shared" ca="1" si="162"/>
        <v>0</v>
      </c>
      <c r="AV52" s="1144">
        <f t="shared" ca="1" si="162"/>
        <v>-8.4117848709778632E-28</v>
      </c>
      <c r="AW52" s="1144">
        <f t="shared" ca="1" si="162"/>
        <v>-1.2347383536808069E-6</v>
      </c>
      <c r="AX52" s="1144">
        <f t="shared" ca="1" si="162"/>
        <v>0</v>
      </c>
      <c r="AY52" s="1144">
        <f t="shared" ca="1" si="162"/>
        <v>-3.412417635545614E-3</v>
      </c>
      <c r="AZ52" s="1144">
        <f t="shared" ca="1" si="162"/>
        <v>0</v>
      </c>
      <c r="BA52" s="1144">
        <f t="shared" ca="1" si="162"/>
        <v>-5.2890151491857083</v>
      </c>
      <c r="BB52" s="1144">
        <f t="shared" ca="1" si="182"/>
        <v>-0.20453120012064854</v>
      </c>
      <c r="BC52" s="1144">
        <f t="shared" ca="1" si="182"/>
        <v>-2.2776963958686814E-6</v>
      </c>
      <c r="BD52" s="921"/>
      <c r="BE52" s="918">
        <f t="shared" ca="1" si="168"/>
        <v>-5.4969610376127314</v>
      </c>
      <c r="BF52" s="918">
        <f t="shared" ca="1" si="168"/>
        <v>-4.0902406530157817E-8</v>
      </c>
      <c r="BG52" s="918">
        <f t="shared" ca="1" si="168"/>
        <v>-1.19271966149071E-6</v>
      </c>
      <c r="BH52" s="918">
        <f t="shared" ca="1" si="168"/>
        <v>0</v>
      </c>
      <c r="BI52" s="938">
        <f t="shared" ca="1" si="168"/>
        <v>0</v>
      </c>
      <c r="BJ52" s="918">
        <f t="shared" ca="1" si="168"/>
        <v>-8.4117848709778632E-28</v>
      </c>
      <c r="BK52" s="918">
        <f t="shared" ca="1" si="168"/>
        <v>-1.2347383536808069E-6</v>
      </c>
      <c r="BL52" s="918">
        <f t="shared" ca="1" si="168"/>
        <v>0</v>
      </c>
      <c r="BM52" s="918">
        <f t="shared" ca="1" si="168"/>
        <v>-5.4935486267547269</v>
      </c>
      <c r="BN52" s="1144">
        <f t="shared" ca="1" si="168"/>
        <v>0</v>
      </c>
      <c r="BO52" s="918">
        <f t="shared" ca="1" si="168"/>
        <v>-3.412417635545614E-3</v>
      </c>
      <c r="BP52" s="921"/>
      <c r="BQ52" s="918">
        <f t="shared" ca="1" si="169"/>
        <v>0</v>
      </c>
      <c r="BR52" s="918">
        <f t="shared" ca="1" si="169"/>
        <v>-5.4935486267547269</v>
      </c>
      <c r="BS52" s="1144">
        <f t="shared" ca="1" si="169"/>
        <v>0</v>
      </c>
      <c r="BT52" s="918">
        <f t="shared" ca="1" si="169"/>
        <v>-5.2890151491857083</v>
      </c>
      <c r="BU52" s="918">
        <f t="shared" ca="1" si="169"/>
        <v>-2.2776963958686814E-6</v>
      </c>
      <c r="BV52" s="918">
        <f t="shared" ca="1" si="169"/>
        <v>-0.20453120012064854</v>
      </c>
      <c r="BW52" s="1144">
        <f t="shared" ca="1" si="169"/>
        <v>0</v>
      </c>
      <c r="BX52" s="921"/>
      <c r="BY52" s="918">
        <f t="shared" ca="1" si="170"/>
        <v>-0.20453120012064854</v>
      </c>
      <c r="BZ52" s="918">
        <f t="shared" ca="1" si="170"/>
        <v>-2.2776963958686814E-6</v>
      </c>
      <c r="CA52" s="918">
        <f t="shared" ca="1" si="170"/>
        <v>0</v>
      </c>
      <c r="CB52" s="918">
        <f t="shared" ca="1" si="170"/>
        <v>-2.2885342515381012E-3</v>
      </c>
      <c r="CC52" s="918">
        <f t="shared" ca="1" si="170"/>
        <v>-2.50001044436649E-7</v>
      </c>
      <c r="CD52" s="918">
        <f t="shared" ca="1" si="170"/>
        <v>0</v>
      </c>
      <c r="CE52" s="918">
        <f t="shared" ca="1" si="170"/>
        <v>0</v>
      </c>
      <c r="CF52" s="918">
        <f t="shared" ca="1" si="170"/>
        <v>0</v>
      </c>
      <c r="CG52" s="921"/>
      <c r="CH52" s="918">
        <f t="shared" ca="1" si="171"/>
        <v>-2.5276974390081934E-6</v>
      </c>
      <c r="CI52" s="918">
        <f t="shared" ca="1" si="171"/>
        <v>-0.20681973414843052</v>
      </c>
      <c r="CJ52" s="918">
        <f t="shared" ca="1" si="171"/>
        <v>0</v>
      </c>
      <c r="CK52" s="918" t="e">
        <f t="shared" ca="1" si="171"/>
        <v>#N/A</v>
      </c>
      <c r="CL52" s="918" t="e">
        <f t="shared" ca="1" si="171"/>
        <v>#N/A</v>
      </c>
      <c r="CM52" s="921"/>
      <c r="CN52" s="918">
        <f t="shared" ca="1" si="172"/>
        <v>0</v>
      </c>
      <c r="CO52" s="918" t="e">
        <f t="shared" ca="1" si="172"/>
        <v>#N/A</v>
      </c>
      <c r="CP52" s="918">
        <f t="shared" ca="1" si="172"/>
        <v>0</v>
      </c>
      <c r="CQ52" s="918">
        <f t="shared" ca="1" si="172"/>
        <v>0</v>
      </c>
      <c r="CR52" s="918">
        <f t="shared" ca="1" si="172"/>
        <v>0</v>
      </c>
      <c r="CS52" s="1144">
        <f t="shared" ca="1" si="172"/>
        <v>0</v>
      </c>
      <c r="CT52" s="921"/>
      <c r="CU52" s="918">
        <f t="shared" ca="1" si="173"/>
        <v>-4.3669654173688287E-6</v>
      </c>
      <c r="CV52" s="918">
        <f t="shared" ca="1" si="173"/>
        <v>0</v>
      </c>
      <c r="CW52" s="918">
        <f t="shared" ca="1" si="173"/>
        <v>0</v>
      </c>
      <c r="CX52" s="918">
        <f t="shared" ca="1" si="173"/>
        <v>-5.2890151491857083</v>
      </c>
      <c r="CY52" s="918">
        <f t="shared" ca="1" si="173"/>
        <v>0</v>
      </c>
      <c r="CZ52" s="1144" t="e">
        <f t="shared" ca="1" si="173"/>
        <v>#N/A</v>
      </c>
      <c r="DA52" s="1144" t="e">
        <f t="shared" ca="1" si="173"/>
        <v>#N/A</v>
      </c>
      <c r="DB52" s="918">
        <f t="shared" ca="1" si="173"/>
        <v>0</v>
      </c>
      <c r="DC52" s="938">
        <f t="shared" ca="1" si="173"/>
        <v>0</v>
      </c>
      <c r="DD52" s="918">
        <f t="shared" ca="1" si="173"/>
        <v>-2.50001044436649E-7</v>
      </c>
      <c r="DE52" s="918">
        <f t="shared" ca="1" si="173"/>
        <v>-4.9049377662573688E-9</v>
      </c>
      <c r="DF52" s="918">
        <f t="shared" ca="1" si="173"/>
        <v>0</v>
      </c>
      <c r="DG52" s="918">
        <f t="shared" ca="1" si="173"/>
        <v>-2.8867429792733155E-3</v>
      </c>
      <c r="DH52" s="918">
        <f t="shared" ca="1" si="173"/>
        <v>-2.2885342515381012E-3</v>
      </c>
      <c r="DI52" s="921"/>
      <c r="DJ52" s="1144">
        <f t="shared" ca="1" si="163"/>
        <v>-1.6062170044270352E-2</v>
      </c>
      <c r="DK52" s="1144">
        <f t="shared" ca="1" si="163"/>
        <v>-0.47439222961912925</v>
      </c>
      <c r="DL52" s="1144">
        <f t="shared" ca="1" si="163"/>
        <v>0</v>
      </c>
      <c r="DM52" s="1144">
        <f t="shared" ca="1" si="163"/>
        <v>0</v>
      </c>
      <c r="DN52" s="1144" t="e">
        <f t="shared" ca="1" si="163"/>
        <v>#N/A</v>
      </c>
      <c r="DO52" s="1144">
        <f t="shared" ca="1" si="163"/>
        <v>-1.9618176016370135E-2</v>
      </c>
      <c r="DP52" s="1144" t="e">
        <f t="shared" ca="1" si="163"/>
        <v>#N/A</v>
      </c>
      <c r="DQ52" s="921"/>
      <c r="DR52" s="1144">
        <f t="shared" ca="1" si="174"/>
        <v>-4.5661004699755869</v>
      </c>
      <c r="DS52" s="1144">
        <f t="shared" ca="1" si="174"/>
        <v>0</v>
      </c>
      <c r="DT52" s="1144">
        <f t="shared" ca="1" si="174"/>
        <v>0</v>
      </c>
      <c r="DU52" s="1144" t="e">
        <f t="shared" ca="1" si="174"/>
        <v>#N/A</v>
      </c>
      <c r="DV52" s="920"/>
      <c r="DW52" s="921"/>
      <c r="DX52" s="918">
        <f t="shared" ca="1" si="175"/>
        <v>-4.5661004699755869</v>
      </c>
      <c r="DY52" s="918">
        <f t="shared" ca="1" si="175"/>
        <v>0</v>
      </c>
      <c r="DZ52" s="918">
        <f t="shared" ca="1" si="175"/>
        <v>0</v>
      </c>
      <c r="EA52" s="918" t="e">
        <f t="shared" ca="1" si="175"/>
        <v>#N/A</v>
      </c>
      <c r="EB52" s="920"/>
      <c r="EC52" s="921"/>
      <c r="ED52" s="1144">
        <f t="shared" ca="1" si="176"/>
        <v>-0.24690729799414163</v>
      </c>
      <c r="EE52" s="1144">
        <f t="shared" ca="1" si="176"/>
        <v>0</v>
      </c>
      <c r="EF52" s="1144" t="e">
        <f t="shared" ca="1" si="176"/>
        <v>#N/A</v>
      </c>
      <c r="EG52" s="1144" t="e">
        <f t="shared" ca="1" si="176"/>
        <v>#N/A</v>
      </c>
      <c r="EH52" s="920"/>
      <c r="EI52" s="921"/>
      <c r="EJ52" s="918">
        <f t="shared" ca="1" si="177"/>
        <v>0</v>
      </c>
      <c r="EK52" s="918">
        <f t="shared" ca="1" si="177"/>
        <v>0</v>
      </c>
      <c r="EL52" s="918">
        <f t="shared" ca="1" si="177"/>
        <v>0</v>
      </c>
      <c r="EM52" s="918">
        <f t="shared" ca="1" si="177"/>
        <v>0</v>
      </c>
      <c r="EN52" s="920"/>
      <c r="EO52" s="921"/>
      <c r="EP52" s="1144">
        <f t="shared" ca="1" si="178"/>
        <v>-2.8867439650974709E-3</v>
      </c>
      <c r="EQ52" s="1144">
        <f t="shared" ca="1" si="178"/>
        <v>-2.8867429792733155E-3</v>
      </c>
      <c r="ER52" s="1144">
        <f t="shared" ca="1" si="178"/>
        <v>0</v>
      </c>
      <c r="ES52" s="1144">
        <f t="shared" ca="1" si="178"/>
        <v>-9.8625373833463385E-10</v>
      </c>
      <c r="ET52" s="920"/>
      <c r="EU52" s="921"/>
      <c r="EV52" s="1144">
        <f t="shared" ca="1" si="164"/>
        <v>0</v>
      </c>
      <c r="EW52" s="1144">
        <f t="shared" ca="1" si="164"/>
        <v>0</v>
      </c>
      <c r="EX52" s="921"/>
      <c r="EY52" s="1144">
        <f t="shared" ca="1" si="164"/>
        <v>0</v>
      </c>
      <c r="EZ52" s="1144">
        <f t="shared" ca="1" si="164"/>
        <v>0</v>
      </c>
      <c r="FA52" s="1144" t="e">
        <f t="shared" ca="1" si="164"/>
        <v>#N/A</v>
      </c>
      <c r="FB52" s="921"/>
      <c r="FC52" s="918">
        <f t="shared" ca="1" si="179"/>
        <v>0</v>
      </c>
      <c r="FD52" s="918">
        <f t="shared" ca="1" si="179"/>
        <v>0</v>
      </c>
      <c r="FE52" s="918">
        <f t="shared" ca="1" si="179"/>
        <v>0</v>
      </c>
      <c r="FF52" s="918">
        <f t="shared" ca="1" si="179"/>
        <v>0</v>
      </c>
      <c r="FG52" s="918">
        <f t="shared" ca="1" si="179"/>
        <v>0</v>
      </c>
      <c r="FH52" s="918">
        <f t="shared" ca="1" si="179"/>
        <v>0</v>
      </c>
      <c r="FI52" s="918">
        <f t="shared" ca="1" si="179"/>
        <v>-0.16917661923069957</v>
      </c>
      <c r="FJ52" s="918">
        <f t="shared" ca="1" si="179"/>
        <v>-0.76129478848385368</v>
      </c>
      <c r="FK52" s="918">
        <f t="shared" ca="1" si="179"/>
        <v>0</v>
      </c>
      <c r="FL52" s="918">
        <f t="shared" ca="1" si="179"/>
        <v>-6.3086371835286764E-3</v>
      </c>
      <c r="FM52" s="918" t="e">
        <f t="shared" ca="1" si="180"/>
        <v>#N/A</v>
      </c>
      <c r="FN52" s="1144">
        <f t="shared" ca="1" si="180"/>
        <v>0</v>
      </c>
      <c r="FO52" s="1144">
        <f t="shared" ca="1" si="180"/>
        <v>0</v>
      </c>
      <c r="FP52" s="918">
        <f t="shared" ca="1" si="180"/>
        <v>0</v>
      </c>
      <c r="FQ52" s="918">
        <f t="shared" ca="1" si="180"/>
        <v>-0.12571392878569473</v>
      </c>
      <c r="FR52" s="918">
        <f t="shared" ca="1" si="180"/>
        <v>0</v>
      </c>
      <c r="FS52" s="918">
        <f t="shared" ca="1" si="180"/>
        <v>0</v>
      </c>
      <c r="FT52" s="918">
        <f t="shared" ca="1" si="180"/>
        <v>0</v>
      </c>
      <c r="FU52" s="918" t="e">
        <f t="shared" ca="1" si="180"/>
        <v>#N/A</v>
      </c>
      <c r="FV52" s="1144" t="e">
        <f t="shared" ca="1" si="180"/>
        <v>#N/A</v>
      </c>
      <c r="FW52" s="918">
        <f t="shared" ca="1" si="180"/>
        <v>0</v>
      </c>
      <c r="FX52" s="918">
        <f t="shared" ca="1" si="180"/>
        <v>0</v>
      </c>
      <c r="FY52" s="918">
        <f t="shared" ca="1" si="180"/>
        <v>0</v>
      </c>
      <c r="FZ52" s="918">
        <f t="shared" ca="1" si="180"/>
        <v>0</v>
      </c>
      <c r="GA52" s="1144" t="e">
        <f t="shared" ca="1" si="180"/>
        <v>#N/A</v>
      </c>
      <c r="GB52" s="918">
        <f t="shared" ca="1" si="180"/>
        <v>0</v>
      </c>
      <c r="GC52" s="920"/>
      <c r="GD52" s="918">
        <f t="shared" ca="1" si="181"/>
        <v>-1.3384299196832377E-6</v>
      </c>
      <c r="GE52" s="918">
        <f t="shared" ca="1" si="181"/>
        <v>-6.5229953716623329E-8</v>
      </c>
      <c r="GF52" s="918">
        <f t="shared" ca="1" si="181"/>
        <v>0</v>
      </c>
      <c r="GG52" s="918">
        <f t="shared" ca="1" si="181"/>
        <v>-8.4117848709778632E-28</v>
      </c>
      <c r="GH52" s="918" t="e">
        <f t="shared" ca="1" si="181"/>
        <v>#N/A</v>
      </c>
      <c r="GI52" s="1144" t="e">
        <f t="shared" ca="1" si="181"/>
        <v>#N/A</v>
      </c>
      <c r="GJ52" s="918">
        <f t="shared" ca="1" si="181"/>
        <v>-4.9049377662573688E-9</v>
      </c>
      <c r="GK52" s="918">
        <f t="shared" ca="1" si="181"/>
        <v>-2.8867429792733155E-3</v>
      </c>
      <c r="GL52" s="918">
        <f t="shared" ca="1" si="181"/>
        <v>0</v>
      </c>
      <c r="GM52" s="918">
        <f t="shared" ca="1" si="181"/>
        <v>0</v>
      </c>
      <c r="GN52" s="918">
        <f t="shared" ca="1" si="181"/>
        <v>0</v>
      </c>
      <c r="GO52" s="918" t="e">
        <f t="shared" ca="1" si="181"/>
        <v>#N/A</v>
      </c>
      <c r="GP52" s="915"/>
      <c r="GQ52" s="1143"/>
      <c r="GR52" s="946"/>
      <c r="GS52" s="946"/>
      <c r="GT52" s="1143" t="s">
        <v>3112</v>
      </c>
      <c r="GU52" s="946">
        <f ca="1">GU10+GU18+GU24+GU26+GU4+GU14</f>
        <v>-63.019400805495152</v>
      </c>
      <c r="GV52" s="946"/>
      <c r="GW52" s="946"/>
      <c r="GX52" s="1143"/>
      <c r="GY52" s="946"/>
    </row>
    <row r="53" spans="1:207" s="914" customFormat="1" x14ac:dyDescent="0.3">
      <c r="A53" s="975" t="s">
        <v>1531</v>
      </c>
      <c r="B53" s="977">
        <v>22</v>
      </c>
      <c r="C53" s="973">
        <v>60.05256</v>
      </c>
      <c r="D53" s="914">
        <v>-0.19452268085999996</v>
      </c>
      <c r="E53" s="972" t="s">
        <v>982</v>
      </c>
      <c r="F53" s="936">
        <f t="shared" ca="1" si="165"/>
        <v>0</v>
      </c>
      <c r="G53" s="918">
        <f t="shared" ca="1" si="165"/>
        <v>0</v>
      </c>
      <c r="H53" s="918">
        <f t="shared" ca="1" si="165"/>
        <v>0</v>
      </c>
      <c r="I53" s="918">
        <f t="shared" ca="1" si="165"/>
        <v>0</v>
      </c>
      <c r="J53" s="918">
        <f t="shared" ca="1" si="165"/>
        <v>0</v>
      </c>
      <c r="K53" s="1144">
        <f t="shared" ca="1" si="165"/>
        <v>0</v>
      </c>
      <c r="L53" s="918">
        <f t="shared" ca="1" si="165"/>
        <v>0</v>
      </c>
      <c r="M53" s="918">
        <f t="shared" ca="1" si="165"/>
        <v>0</v>
      </c>
      <c r="N53" s="938">
        <f t="shared" ca="1" si="165"/>
        <v>0</v>
      </c>
      <c r="O53" s="918">
        <f t="shared" ca="1" si="165"/>
        <v>-0.18895941483901324</v>
      </c>
      <c r="P53" s="939">
        <f t="shared" ca="1" si="165"/>
        <v>0</v>
      </c>
      <c r="Q53" s="921"/>
      <c r="R53" s="918">
        <f t="shared" ca="1" si="166"/>
        <v>0</v>
      </c>
      <c r="S53" s="918">
        <f t="shared" ca="1" si="166"/>
        <v>0</v>
      </c>
      <c r="T53" s="918">
        <f t="shared" ca="1" si="166"/>
        <v>0</v>
      </c>
      <c r="U53" s="918">
        <f t="shared" ca="1" si="166"/>
        <v>0</v>
      </c>
      <c r="V53" s="918">
        <f t="shared" ca="1" si="166"/>
        <v>0</v>
      </c>
      <c r="W53" s="918">
        <f t="shared" ca="1" si="166"/>
        <v>0</v>
      </c>
      <c r="X53" s="938">
        <f t="shared" ca="1" si="166"/>
        <v>0</v>
      </c>
      <c r="Y53" s="918">
        <f t="shared" ca="1" si="166"/>
        <v>0</v>
      </c>
      <c r="Z53" s="918">
        <f t="shared" ca="1" si="166"/>
        <v>0</v>
      </c>
      <c r="AA53" s="918">
        <f t="shared" ca="1" si="166"/>
        <v>0</v>
      </c>
      <c r="AB53" s="921"/>
      <c r="AC53" s="918">
        <f t="shared" ca="1" si="167"/>
        <v>0</v>
      </c>
      <c r="AD53" s="918">
        <f t="shared" ca="1" si="167"/>
        <v>0</v>
      </c>
      <c r="AE53" s="918">
        <f t="shared" ca="1" si="167"/>
        <v>0</v>
      </c>
      <c r="AF53" s="918">
        <f t="shared" ca="1" si="167"/>
        <v>0</v>
      </c>
      <c r="AG53" s="918">
        <f t="shared" ca="1" si="167"/>
        <v>0</v>
      </c>
      <c r="AH53" s="918">
        <f t="shared" ca="1" si="167"/>
        <v>0</v>
      </c>
      <c r="AI53" s="918">
        <f t="shared" ca="1" si="167"/>
        <v>0</v>
      </c>
      <c r="AJ53" s="918">
        <f t="shared" ca="1" si="167"/>
        <v>0</v>
      </c>
      <c r="AK53" s="938">
        <f t="shared" ca="1" si="167"/>
        <v>0</v>
      </c>
      <c r="AL53" s="918">
        <f t="shared" ca="1" si="167"/>
        <v>0</v>
      </c>
      <c r="AM53" s="918">
        <f t="shared" ca="1" si="167"/>
        <v>0</v>
      </c>
      <c r="AN53" s="918">
        <f t="shared" ca="1" si="167"/>
        <v>0</v>
      </c>
      <c r="AO53" s="921"/>
      <c r="AP53" s="1144">
        <f t="shared" ca="1" si="162"/>
        <v>0</v>
      </c>
      <c r="AQ53" s="1144">
        <f t="shared" ca="1" si="162"/>
        <v>0</v>
      </c>
      <c r="AR53" s="1144">
        <f t="shared" ca="1" si="162"/>
        <v>0</v>
      </c>
      <c r="AS53" s="1144">
        <f t="shared" ca="1" si="162"/>
        <v>0</v>
      </c>
      <c r="AT53" s="938">
        <f t="shared" ca="1" si="162"/>
        <v>0</v>
      </c>
      <c r="AU53" s="938">
        <f t="shared" ca="1" si="162"/>
        <v>0</v>
      </c>
      <c r="AV53" s="1144">
        <f t="shared" ca="1" si="162"/>
        <v>0</v>
      </c>
      <c r="AW53" s="1144">
        <f t="shared" ca="1" si="162"/>
        <v>0</v>
      </c>
      <c r="AX53" s="1144">
        <f t="shared" ca="1" si="162"/>
        <v>0</v>
      </c>
      <c r="AY53" s="1144">
        <f t="shared" ca="1" si="162"/>
        <v>0</v>
      </c>
      <c r="AZ53" s="1144">
        <f t="shared" ca="1" si="162"/>
        <v>0</v>
      </c>
      <c r="BA53" s="1144">
        <f t="shared" ca="1" si="162"/>
        <v>0</v>
      </c>
      <c r="BB53" s="1144">
        <f t="shared" ca="1" si="182"/>
        <v>0</v>
      </c>
      <c r="BC53" s="1144">
        <f t="shared" ca="1" si="182"/>
        <v>0</v>
      </c>
      <c r="BD53" s="921"/>
      <c r="BE53" s="918">
        <f t="shared" ca="1" si="168"/>
        <v>0</v>
      </c>
      <c r="BF53" s="918">
        <f t="shared" ca="1" si="168"/>
        <v>0</v>
      </c>
      <c r="BG53" s="918">
        <f t="shared" ca="1" si="168"/>
        <v>0</v>
      </c>
      <c r="BH53" s="918">
        <f t="shared" ca="1" si="168"/>
        <v>0</v>
      </c>
      <c r="BI53" s="938">
        <f t="shared" ca="1" si="168"/>
        <v>0</v>
      </c>
      <c r="BJ53" s="918">
        <f t="shared" ca="1" si="168"/>
        <v>0</v>
      </c>
      <c r="BK53" s="918">
        <f t="shared" ca="1" si="168"/>
        <v>0</v>
      </c>
      <c r="BL53" s="918">
        <f t="shared" ca="1" si="168"/>
        <v>0</v>
      </c>
      <c r="BM53" s="918">
        <f t="shared" ca="1" si="168"/>
        <v>0</v>
      </c>
      <c r="BN53" s="1144">
        <f t="shared" ca="1" si="168"/>
        <v>0</v>
      </c>
      <c r="BO53" s="918">
        <f t="shared" ca="1" si="168"/>
        <v>0</v>
      </c>
      <c r="BP53" s="921"/>
      <c r="BQ53" s="918">
        <f t="shared" ca="1" si="169"/>
        <v>0</v>
      </c>
      <c r="BR53" s="918">
        <f t="shared" ca="1" si="169"/>
        <v>0</v>
      </c>
      <c r="BS53" s="1144">
        <f t="shared" ca="1" si="169"/>
        <v>0</v>
      </c>
      <c r="BT53" s="918">
        <f t="shared" ca="1" si="169"/>
        <v>0</v>
      </c>
      <c r="BU53" s="918">
        <f t="shared" ca="1" si="169"/>
        <v>0</v>
      </c>
      <c r="BV53" s="918">
        <f t="shared" ca="1" si="169"/>
        <v>0</v>
      </c>
      <c r="BW53" s="1144">
        <f t="shared" ca="1" si="169"/>
        <v>0</v>
      </c>
      <c r="BX53" s="921"/>
      <c r="BY53" s="918">
        <f t="shared" ca="1" si="170"/>
        <v>0</v>
      </c>
      <c r="BZ53" s="918">
        <f t="shared" ca="1" si="170"/>
        <v>0</v>
      </c>
      <c r="CA53" s="918">
        <f t="shared" ca="1" si="170"/>
        <v>0</v>
      </c>
      <c r="CB53" s="918">
        <f t="shared" ca="1" si="170"/>
        <v>-8.1659312500294995E-5</v>
      </c>
      <c r="CC53" s="918">
        <f t="shared" ca="1" si="170"/>
        <v>-2.0970605551994661E-5</v>
      </c>
      <c r="CD53" s="918">
        <f t="shared" ca="1" si="170"/>
        <v>0</v>
      </c>
      <c r="CE53" s="918">
        <f t="shared" ca="1" si="170"/>
        <v>0</v>
      </c>
      <c r="CF53" s="918">
        <f t="shared" ca="1" si="170"/>
        <v>0</v>
      </c>
      <c r="CG53" s="921"/>
      <c r="CH53" s="918">
        <f t="shared" ca="1" si="171"/>
        <v>-2.0970605551994661E-5</v>
      </c>
      <c r="CI53" s="918">
        <f t="shared" ca="1" si="171"/>
        <v>-8.1659312500294995E-5</v>
      </c>
      <c r="CJ53" s="918">
        <f t="shared" ca="1" si="171"/>
        <v>0</v>
      </c>
      <c r="CK53" s="918" t="e">
        <f t="shared" ca="1" si="171"/>
        <v>#N/A</v>
      </c>
      <c r="CL53" s="918" t="e">
        <f t="shared" ca="1" si="171"/>
        <v>#N/A</v>
      </c>
      <c r="CM53" s="921"/>
      <c r="CN53" s="918">
        <f t="shared" ca="1" si="172"/>
        <v>0</v>
      </c>
      <c r="CO53" s="918" t="e">
        <f t="shared" ca="1" si="172"/>
        <v>#N/A</v>
      </c>
      <c r="CP53" s="918">
        <f t="shared" ca="1" si="172"/>
        <v>0</v>
      </c>
      <c r="CQ53" s="918">
        <f t="shared" ca="1" si="172"/>
        <v>0</v>
      </c>
      <c r="CR53" s="918">
        <f t="shared" ca="1" si="172"/>
        <v>0</v>
      </c>
      <c r="CS53" s="1144">
        <f t="shared" ca="1" si="172"/>
        <v>0</v>
      </c>
      <c r="CT53" s="921"/>
      <c r="CU53" s="918">
        <f t="shared" ca="1" si="173"/>
        <v>-0.18895941483901324</v>
      </c>
      <c r="CV53" s="918">
        <f t="shared" ca="1" si="173"/>
        <v>0</v>
      </c>
      <c r="CW53" s="918">
        <f t="shared" ca="1" si="173"/>
        <v>0</v>
      </c>
      <c r="CX53" s="918">
        <f t="shared" ca="1" si="173"/>
        <v>0</v>
      </c>
      <c r="CY53" s="918">
        <f t="shared" ca="1" si="173"/>
        <v>0</v>
      </c>
      <c r="CZ53" s="1144" t="e">
        <f t="shared" ca="1" si="173"/>
        <v>#N/A</v>
      </c>
      <c r="DA53" s="1144" t="e">
        <f t="shared" ca="1" si="173"/>
        <v>#N/A</v>
      </c>
      <c r="DB53" s="918">
        <f t="shared" ca="1" si="173"/>
        <v>0</v>
      </c>
      <c r="DC53" s="938">
        <f t="shared" ca="1" si="173"/>
        <v>0</v>
      </c>
      <c r="DD53" s="918">
        <f t="shared" ca="1" si="173"/>
        <v>-2.0970605551994661E-5</v>
      </c>
      <c r="DE53" s="918">
        <f t="shared" ca="1" si="173"/>
        <v>-7.6770782071502441E-7</v>
      </c>
      <c r="DF53" s="918">
        <f t="shared" ca="1" si="173"/>
        <v>0</v>
      </c>
      <c r="DG53" s="918">
        <f t="shared" ca="1" si="173"/>
        <v>-1.0288266761928786E-4</v>
      </c>
      <c r="DH53" s="918">
        <f t="shared" ca="1" si="173"/>
        <v>-8.1659312500294995E-5</v>
      </c>
      <c r="DI53" s="921"/>
      <c r="DJ53" s="1144">
        <f t="shared" ca="1" si="163"/>
        <v>-5.7249133083945398E-4</v>
      </c>
      <c r="DK53" s="1144">
        <f t="shared" ca="1" si="163"/>
        <v>-1.6927578508767378E-2</v>
      </c>
      <c r="DL53" s="1144">
        <f t="shared" ca="1" si="163"/>
        <v>0</v>
      </c>
      <c r="DM53" s="1144">
        <f t="shared" ca="1" si="163"/>
        <v>0</v>
      </c>
      <c r="DN53" s="1144" t="e">
        <f t="shared" ca="1" si="163"/>
        <v>#N/A</v>
      </c>
      <c r="DO53" s="1144">
        <f t="shared" ca="1" si="163"/>
        <v>-7.0000279423211478E-4</v>
      </c>
      <c r="DP53" s="1144" t="e">
        <f t="shared" ca="1" si="163"/>
        <v>#N/A</v>
      </c>
      <c r="DQ53" s="921"/>
      <c r="DR53" s="1144">
        <f t="shared" ca="1" si="174"/>
        <v>-0.16313187499160417</v>
      </c>
      <c r="DS53" s="1144">
        <f t="shared" ca="1" si="174"/>
        <v>0</v>
      </c>
      <c r="DT53" s="1144">
        <f t="shared" ca="1" si="174"/>
        <v>0</v>
      </c>
      <c r="DU53" s="1144" t="e">
        <f t="shared" ca="1" si="174"/>
        <v>#N/A</v>
      </c>
      <c r="DV53" s="920"/>
      <c r="DW53" s="921"/>
      <c r="DX53" s="918">
        <f t="shared" ca="1" si="175"/>
        <v>-0.16313187499160417</v>
      </c>
      <c r="DY53" s="918">
        <f t="shared" ca="1" si="175"/>
        <v>0</v>
      </c>
      <c r="DZ53" s="918">
        <f t="shared" ca="1" si="175"/>
        <v>0</v>
      </c>
      <c r="EA53" s="918" t="e">
        <f t="shared" ca="1" si="175"/>
        <v>#N/A</v>
      </c>
      <c r="EB53" s="920"/>
      <c r="EC53" s="921"/>
      <c r="ED53" s="1144">
        <f t="shared" ca="1" si="176"/>
        <v>-8.8211923402198959E-3</v>
      </c>
      <c r="EE53" s="1144">
        <f t="shared" ca="1" si="176"/>
        <v>0</v>
      </c>
      <c r="EF53" s="1144" t="e">
        <f t="shared" ca="1" si="176"/>
        <v>#N/A</v>
      </c>
      <c r="EG53" s="1144" t="e">
        <f t="shared" ca="1" si="176"/>
        <v>#N/A</v>
      </c>
      <c r="EH53" s="920"/>
      <c r="EI53" s="921"/>
      <c r="EJ53" s="918">
        <f t="shared" ca="1" si="177"/>
        <v>0</v>
      </c>
      <c r="EK53" s="918">
        <f t="shared" ca="1" si="177"/>
        <v>0</v>
      </c>
      <c r="EL53" s="918">
        <f t="shared" ca="1" si="177"/>
        <v>0</v>
      </c>
      <c r="EM53" s="918">
        <f t="shared" ca="1" si="177"/>
        <v>0</v>
      </c>
      <c r="EN53" s="920"/>
      <c r="EO53" s="921"/>
      <c r="EP53" s="1144">
        <f t="shared" ca="1" si="178"/>
        <v>-1.0288995097653214E-4</v>
      </c>
      <c r="EQ53" s="1144">
        <f t="shared" ca="1" si="178"/>
        <v>-1.0288266761928786E-4</v>
      </c>
      <c r="ER53" s="1144">
        <f t="shared" ca="1" si="178"/>
        <v>0</v>
      </c>
      <c r="ES53" s="1144">
        <f t="shared" ca="1" si="178"/>
        <v>-7.2832697209057051E-9</v>
      </c>
      <c r="ET53" s="920"/>
      <c r="EU53" s="921"/>
      <c r="EV53" s="1144">
        <f t="shared" ca="1" si="164"/>
        <v>0</v>
      </c>
      <c r="EW53" s="1144">
        <f t="shared" ca="1" si="164"/>
        <v>0</v>
      </c>
      <c r="EX53" s="921"/>
      <c r="EY53" s="1144">
        <f t="shared" ca="1" si="164"/>
        <v>0</v>
      </c>
      <c r="EZ53" s="1144">
        <f t="shared" ca="1" si="164"/>
        <v>0</v>
      </c>
      <c r="FA53" s="1144" t="e">
        <f t="shared" ca="1" si="164"/>
        <v>#N/A</v>
      </c>
      <c r="FB53" s="921"/>
      <c r="FC53" s="918">
        <f t="shared" ca="1" si="179"/>
        <v>0</v>
      </c>
      <c r="FD53" s="918">
        <f t="shared" ca="1" si="179"/>
        <v>0</v>
      </c>
      <c r="FE53" s="918">
        <f t="shared" ca="1" si="179"/>
        <v>0</v>
      </c>
      <c r="FF53" s="918">
        <f t="shared" ca="1" si="179"/>
        <v>0</v>
      </c>
      <c r="FG53" s="918">
        <f t="shared" ca="1" si="179"/>
        <v>0</v>
      </c>
      <c r="FH53" s="918">
        <f t="shared" ca="1" si="179"/>
        <v>0</v>
      </c>
      <c r="FI53" s="918">
        <f t="shared" ca="1" si="179"/>
        <v>0</v>
      </c>
      <c r="FJ53" s="918">
        <f t="shared" ca="1" si="179"/>
        <v>0</v>
      </c>
      <c r="FK53" s="918">
        <f t="shared" ca="1" si="179"/>
        <v>0</v>
      </c>
      <c r="FL53" s="918">
        <f t="shared" ca="1" si="179"/>
        <v>0</v>
      </c>
      <c r="FM53" s="918" t="e">
        <f t="shared" ca="1" si="180"/>
        <v>#N/A</v>
      </c>
      <c r="FN53" s="1144">
        <f t="shared" ca="1" si="180"/>
        <v>0</v>
      </c>
      <c r="FO53" s="1144">
        <f t="shared" ca="1" si="180"/>
        <v>0</v>
      </c>
      <c r="FP53" s="918">
        <f t="shared" ca="1" si="180"/>
        <v>0</v>
      </c>
      <c r="FQ53" s="918">
        <f t="shared" ca="1" si="180"/>
        <v>0</v>
      </c>
      <c r="FR53" s="918">
        <f t="shared" ca="1" si="180"/>
        <v>0</v>
      </c>
      <c r="FS53" s="918">
        <f t="shared" ca="1" si="180"/>
        <v>0</v>
      </c>
      <c r="FT53" s="918">
        <f t="shared" ca="1" si="180"/>
        <v>0</v>
      </c>
      <c r="FU53" s="918" t="e">
        <f t="shared" ca="1" si="180"/>
        <v>#N/A</v>
      </c>
      <c r="FV53" s="1144" t="e">
        <f t="shared" ca="1" si="180"/>
        <v>#N/A</v>
      </c>
      <c r="FW53" s="918">
        <f t="shared" ca="1" si="180"/>
        <v>0</v>
      </c>
      <c r="FX53" s="918">
        <f t="shared" ca="1" si="180"/>
        <v>0</v>
      </c>
      <c r="FY53" s="918">
        <f t="shared" ca="1" si="180"/>
        <v>0</v>
      </c>
      <c r="FZ53" s="918">
        <f t="shared" ca="1" si="180"/>
        <v>0</v>
      </c>
      <c r="GA53" s="1144" t="e">
        <f t="shared" ca="1" si="180"/>
        <v>#N/A</v>
      </c>
      <c r="GB53" s="918">
        <f t="shared" ca="1" si="180"/>
        <v>0</v>
      </c>
      <c r="GC53" s="920"/>
      <c r="GD53" s="918">
        <f t="shared" ca="1" si="181"/>
        <v>0</v>
      </c>
      <c r="GE53" s="918">
        <f t="shared" ca="1" si="181"/>
        <v>0</v>
      </c>
      <c r="GF53" s="918">
        <f t="shared" ca="1" si="181"/>
        <v>0</v>
      </c>
      <c r="GG53" s="918">
        <f t="shared" ca="1" si="181"/>
        <v>0</v>
      </c>
      <c r="GH53" s="918" t="e">
        <f t="shared" ca="1" si="181"/>
        <v>#N/A</v>
      </c>
      <c r="GI53" s="1144" t="e">
        <f t="shared" ca="1" si="181"/>
        <v>#N/A</v>
      </c>
      <c r="GJ53" s="918">
        <f t="shared" ca="1" si="181"/>
        <v>-7.6770782071502441E-7</v>
      </c>
      <c r="GK53" s="918">
        <f t="shared" ca="1" si="181"/>
        <v>-1.0288266761928786E-4</v>
      </c>
      <c r="GL53" s="918">
        <f t="shared" ca="1" si="181"/>
        <v>0</v>
      </c>
      <c r="GM53" s="918">
        <f t="shared" ca="1" si="181"/>
        <v>0</v>
      </c>
      <c r="GN53" s="918">
        <f t="shared" ca="1" si="181"/>
        <v>0</v>
      </c>
      <c r="GO53" s="918" t="e">
        <f t="shared" ca="1" si="181"/>
        <v>#N/A</v>
      </c>
      <c r="GP53" s="915"/>
      <c r="GQ53" s="1143"/>
      <c r="GR53" s="946"/>
      <c r="GS53" s="946"/>
      <c r="GT53" s="1143"/>
      <c r="GU53" s="946"/>
      <c r="GV53" s="946"/>
      <c r="GW53" s="946"/>
      <c r="GX53" s="1143"/>
      <c r="GY53" s="946"/>
    </row>
    <row r="54" spans="1:207" s="914" customFormat="1" x14ac:dyDescent="0.3">
      <c r="A54" s="975" t="s">
        <v>1532</v>
      </c>
      <c r="B54" s="977">
        <v>29</v>
      </c>
      <c r="C54" s="973">
        <v>132.14060000000001</v>
      </c>
      <c r="D54" s="914">
        <v>-1.2930312549999974E-2</v>
      </c>
      <c r="E54" s="972" t="s">
        <v>982</v>
      </c>
      <c r="F54" s="936">
        <f t="shared" ref="F54:P63" ca="1" si="183">VLOOKUP(F$8,INDIRECT(LU_MAT),$B54,FALSE)*$D54/$C54</f>
        <v>0</v>
      </c>
      <c r="G54" s="918">
        <f t="shared" ca="1" si="183"/>
        <v>0</v>
      </c>
      <c r="H54" s="918">
        <f t="shared" ca="1" si="183"/>
        <v>0</v>
      </c>
      <c r="I54" s="918">
        <f t="shared" ca="1" si="183"/>
        <v>0</v>
      </c>
      <c r="J54" s="918">
        <f t="shared" ca="1" si="183"/>
        <v>0</v>
      </c>
      <c r="K54" s="1144">
        <f t="shared" ca="1" si="183"/>
        <v>0</v>
      </c>
      <c r="L54" s="918">
        <f t="shared" ca="1" si="183"/>
        <v>0</v>
      </c>
      <c r="M54" s="918">
        <f t="shared" ca="1" si="183"/>
        <v>0</v>
      </c>
      <c r="N54" s="938">
        <f t="shared" ca="1" si="183"/>
        <v>0</v>
      </c>
      <c r="O54" s="918">
        <f t="shared" ca="1" si="183"/>
        <v>0</v>
      </c>
      <c r="P54" s="939">
        <f t="shared" ca="1" si="183"/>
        <v>-0.24282711897379353</v>
      </c>
      <c r="Q54" s="921"/>
      <c r="R54" s="918">
        <f t="shared" ref="R54:AA63" ca="1" si="184">VLOOKUP(R$8,INDIRECT(LU_MAT),$B54,FALSE)*$D54/$C54</f>
        <v>-0.24282711897379353</v>
      </c>
      <c r="S54" s="918">
        <f t="shared" ca="1" si="184"/>
        <v>0</v>
      </c>
      <c r="T54" s="918">
        <f t="shared" ca="1" si="184"/>
        <v>0</v>
      </c>
      <c r="U54" s="918">
        <f t="shared" ca="1" si="184"/>
        <v>0</v>
      </c>
      <c r="V54" s="918">
        <f t="shared" ca="1" si="184"/>
        <v>0</v>
      </c>
      <c r="W54" s="918">
        <f t="shared" ca="1" si="184"/>
        <v>0</v>
      </c>
      <c r="X54" s="938">
        <f t="shared" ca="1" si="184"/>
        <v>0</v>
      </c>
      <c r="Y54" s="918">
        <f t="shared" ca="1" si="184"/>
        <v>-0.24282711897379353</v>
      </c>
      <c r="Z54" s="918">
        <f t="shared" ca="1" si="184"/>
        <v>0</v>
      </c>
      <c r="AA54" s="918">
        <f t="shared" ca="1" si="184"/>
        <v>0</v>
      </c>
      <c r="AB54" s="921"/>
      <c r="AC54" s="918">
        <f t="shared" ref="AC54:AN63" ca="1" si="185">VLOOKUP(AC$8,INDIRECT(LU_MAT),$B54,FALSE)*$D54/$C54</f>
        <v>0</v>
      </c>
      <c r="AD54" s="918">
        <f t="shared" ca="1" si="185"/>
        <v>0</v>
      </c>
      <c r="AE54" s="918">
        <f t="shared" ca="1" si="185"/>
        <v>0</v>
      </c>
      <c r="AF54" s="918">
        <f t="shared" ca="1" si="185"/>
        <v>0</v>
      </c>
      <c r="AG54" s="918">
        <f t="shared" ca="1" si="185"/>
        <v>0</v>
      </c>
      <c r="AH54" s="918">
        <f t="shared" ca="1" si="185"/>
        <v>0</v>
      </c>
      <c r="AI54" s="918">
        <f t="shared" ca="1" si="185"/>
        <v>0</v>
      </c>
      <c r="AJ54" s="918">
        <f t="shared" ca="1" si="185"/>
        <v>0</v>
      </c>
      <c r="AK54" s="938">
        <f t="shared" ca="1" si="185"/>
        <v>0</v>
      </c>
      <c r="AL54" s="918">
        <f t="shared" ca="1" si="185"/>
        <v>0</v>
      </c>
      <c r="AM54" s="918">
        <f t="shared" ca="1" si="185"/>
        <v>0</v>
      </c>
      <c r="AN54" s="918">
        <f t="shared" ca="1" si="185"/>
        <v>0</v>
      </c>
      <c r="AO54" s="921"/>
      <c r="AP54" s="1144">
        <f t="shared" ca="1" si="162"/>
        <v>-0.24282711897379353</v>
      </c>
      <c r="AQ54" s="1144">
        <f t="shared" ca="1" si="162"/>
        <v>0</v>
      </c>
      <c r="AR54" s="1144">
        <f t="shared" ca="1" si="162"/>
        <v>0</v>
      </c>
      <c r="AS54" s="1144">
        <f t="shared" ca="1" si="162"/>
        <v>0</v>
      </c>
      <c r="AT54" s="938">
        <f t="shared" ca="1" si="162"/>
        <v>0</v>
      </c>
      <c r="AU54" s="938">
        <f t="shared" ca="1" si="162"/>
        <v>0</v>
      </c>
      <c r="AV54" s="1144">
        <f t="shared" ca="1" si="162"/>
        <v>0</v>
      </c>
      <c r="AW54" s="1144">
        <f t="shared" ca="1" si="162"/>
        <v>0</v>
      </c>
      <c r="AX54" s="1144">
        <f t="shared" ca="1" si="162"/>
        <v>0</v>
      </c>
      <c r="AY54" s="1144">
        <f t="shared" ca="1" si="162"/>
        <v>0</v>
      </c>
      <c r="AZ54" s="1144">
        <f t="shared" ca="1" si="162"/>
        <v>0</v>
      </c>
      <c r="BA54" s="1144">
        <f t="shared" ca="1" si="162"/>
        <v>-0.23378628235870616</v>
      </c>
      <c r="BB54" s="1144">
        <f t="shared" ca="1" si="182"/>
        <v>-9.0408365368052166E-3</v>
      </c>
      <c r="BC54" s="1144">
        <f t="shared" ca="1" si="182"/>
        <v>0</v>
      </c>
      <c r="BD54" s="921"/>
      <c r="BE54" s="918">
        <f t="shared" ref="BE54:BO63" ca="1" si="186">VLOOKUP(BE$8,INDIRECT(LU_MAT),$B54,FALSE)*$D54/$C54</f>
        <v>-0.24282711897379353</v>
      </c>
      <c r="BF54" s="918">
        <f t="shared" ca="1" si="186"/>
        <v>0</v>
      </c>
      <c r="BG54" s="918">
        <f t="shared" ca="1" si="186"/>
        <v>0</v>
      </c>
      <c r="BH54" s="918">
        <f t="shared" ca="1" si="186"/>
        <v>0</v>
      </c>
      <c r="BI54" s="938">
        <f t="shared" ca="1" si="186"/>
        <v>0</v>
      </c>
      <c r="BJ54" s="918">
        <f t="shared" ca="1" si="186"/>
        <v>0</v>
      </c>
      <c r="BK54" s="918">
        <f t="shared" ca="1" si="186"/>
        <v>0</v>
      </c>
      <c r="BL54" s="918">
        <f t="shared" ca="1" si="186"/>
        <v>0</v>
      </c>
      <c r="BM54" s="918">
        <f t="shared" ca="1" si="186"/>
        <v>-0.24282711897379353</v>
      </c>
      <c r="BN54" s="1144">
        <f t="shared" ca="1" si="186"/>
        <v>0</v>
      </c>
      <c r="BO54" s="918">
        <f t="shared" ca="1" si="186"/>
        <v>0</v>
      </c>
      <c r="BP54" s="921"/>
      <c r="BQ54" s="918">
        <f t="shared" ref="BQ54:BW63" ca="1" si="187">VLOOKUP(BQ$8,INDIRECT(LU_MAT),$B54,FALSE)*$D54/$C54</f>
        <v>0</v>
      </c>
      <c r="BR54" s="918">
        <f t="shared" ca="1" si="187"/>
        <v>-0.24282711897379353</v>
      </c>
      <c r="BS54" s="1144">
        <f t="shared" ca="1" si="187"/>
        <v>0</v>
      </c>
      <c r="BT54" s="918">
        <f t="shared" ca="1" si="187"/>
        <v>-0.23378628235870616</v>
      </c>
      <c r="BU54" s="918">
        <f t="shared" ca="1" si="187"/>
        <v>0</v>
      </c>
      <c r="BV54" s="918">
        <f t="shared" ca="1" si="187"/>
        <v>-9.0408365368052166E-3</v>
      </c>
      <c r="BW54" s="1144">
        <f t="shared" ca="1" si="187"/>
        <v>0</v>
      </c>
      <c r="BX54" s="921"/>
      <c r="BY54" s="918">
        <f t="shared" ref="BY54:CF63" ca="1" si="188">VLOOKUP(BY$8,INDIRECT(LU_MAT),$B54,FALSE)*$D54/$C54</f>
        <v>-9.0408365368052166E-3</v>
      </c>
      <c r="BZ54" s="918">
        <f t="shared" ca="1" si="188"/>
        <v>0</v>
      </c>
      <c r="CA54" s="918">
        <f t="shared" ca="1" si="188"/>
        <v>0</v>
      </c>
      <c r="CB54" s="918">
        <f t="shared" ca="1" si="188"/>
        <v>0</v>
      </c>
      <c r="CC54" s="918">
        <f t="shared" ca="1" si="188"/>
        <v>0</v>
      </c>
      <c r="CD54" s="918">
        <f t="shared" ca="1" si="188"/>
        <v>0</v>
      </c>
      <c r="CE54" s="918">
        <f t="shared" ca="1" si="188"/>
        <v>0</v>
      </c>
      <c r="CF54" s="918">
        <f t="shared" ca="1" si="188"/>
        <v>0</v>
      </c>
      <c r="CG54" s="921"/>
      <c r="CH54" s="918">
        <f t="shared" ref="CH54:CL63" ca="1" si="189">VLOOKUP(CH$8,INDIRECT(LU_MAT),$B54,FALSE)*$D54/$C54</f>
        <v>0</v>
      </c>
      <c r="CI54" s="918">
        <f t="shared" ca="1" si="189"/>
        <v>-9.0408365368052166E-3</v>
      </c>
      <c r="CJ54" s="918">
        <f t="shared" ca="1" si="189"/>
        <v>0</v>
      </c>
      <c r="CK54" s="918" t="e">
        <f t="shared" ca="1" si="189"/>
        <v>#N/A</v>
      </c>
      <c r="CL54" s="918" t="e">
        <f t="shared" ca="1" si="189"/>
        <v>#N/A</v>
      </c>
      <c r="CM54" s="921"/>
      <c r="CN54" s="918">
        <f t="shared" ref="CN54:CS63" ca="1" si="190">VLOOKUP(CN$8,INDIRECT(LU_MAT),$B54,FALSE)*$D54/$C54</f>
        <v>0</v>
      </c>
      <c r="CO54" s="918" t="e">
        <f t="shared" ca="1" si="190"/>
        <v>#N/A</v>
      </c>
      <c r="CP54" s="918">
        <f t="shared" ca="1" si="190"/>
        <v>0</v>
      </c>
      <c r="CQ54" s="918">
        <f t="shared" ca="1" si="190"/>
        <v>0</v>
      </c>
      <c r="CR54" s="918">
        <f t="shared" ca="1" si="190"/>
        <v>0</v>
      </c>
      <c r="CS54" s="1144">
        <f t="shared" ca="1" si="190"/>
        <v>0</v>
      </c>
      <c r="CT54" s="921"/>
      <c r="CU54" s="918">
        <f t="shared" ref="CU54:DL63" ca="1" si="191">VLOOKUP(CU$8,INDIRECT(LU_MAT),$B54,FALSE)*$D54/$C54</f>
        <v>0</v>
      </c>
      <c r="CV54" s="918">
        <f t="shared" ca="1" si="191"/>
        <v>0</v>
      </c>
      <c r="CW54" s="918">
        <f t="shared" ca="1" si="191"/>
        <v>0</v>
      </c>
      <c r="CX54" s="918">
        <f t="shared" ca="1" si="191"/>
        <v>-0.23378628235870616</v>
      </c>
      <c r="CY54" s="918">
        <f t="shared" ca="1" si="191"/>
        <v>0</v>
      </c>
      <c r="CZ54" s="1144" t="e">
        <f t="shared" ca="1" si="191"/>
        <v>#N/A</v>
      </c>
      <c r="DA54" s="1144" t="e">
        <f t="shared" ca="1" si="191"/>
        <v>#N/A</v>
      </c>
      <c r="DB54" s="918">
        <f t="shared" ca="1" si="191"/>
        <v>0</v>
      </c>
      <c r="DC54" s="938">
        <f t="shared" ca="1" si="191"/>
        <v>0</v>
      </c>
      <c r="DD54" s="918">
        <f t="shared" ca="1" si="191"/>
        <v>0</v>
      </c>
      <c r="DE54" s="918">
        <f t="shared" ca="1" si="191"/>
        <v>0</v>
      </c>
      <c r="DF54" s="918">
        <f t="shared" ca="1" si="191"/>
        <v>0</v>
      </c>
      <c r="DG54" s="918">
        <f t="shared" ca="1" si="191"/>
        <v>0</v>
      </c>
      <c r="DH54" s="918">
        <f t="shared" ca="1" si="191"/>
        <v>0</v>
      </c>
      <c r="DI54" s="921"/>
      <c r="DJ54" s="1144">
        <f t="shared" ca="1" si="191"/>
        <v>0</v>
      </c>
      <c r="DK54" s="1144">
        <f t="shared" ca="1" si="191"/>
        <v>0</v>
      </c>
      <c r="DL54" s="1144">
        <f t="shared" ca="1" si="191"/>
        <v>0</v>
      </c>
      <c r="DM54" s="1144">
        <f t="shared" ca="1" si="163"/>
        <v>0</v>
      </c>
      <c r="DN54" s="1144" t="e">
        <f t="shared" ca="1" si="163"/>
        <v>#N/A</v>
      </c>
      <c r="DO54" s="1144">
        <f t="shared" ca="1" si="163"/>
        <v>0</v>
      </c>
      <c r="DP54" s="1144" t="e">
        <f t="shared" ca="1" si="163"/>
        <v>#N/A</v>
      </c>
      <c r="DQ54" s="921"/>
      <c r="DR54" s="1144">
        <f t="shared" ca="1" si="174"/>
        <v>-5.9884122481607967E-2</v>
      </c>
      <c r="DS54" s="1144">
        <f t="shared" ca="1" si="174"/>
        <v>-0.1706639858380827</v>
      </c>
      <c r="DT54" s="1144">
        <f t="shared" ca="1" si="174"/>
        <v>0</v>
      </c>
      <c r="DU54" s="1144" t="e">
        <f t="shared" ca="1" si="174"/>
        <v>#N/A</v>
      </c>
      <c r="DV54" s="920"/>
      <c r="DW54" s="921"/>
      <c r="DX54" s="918">
        <f t="shared" ca="1" si="175"/>
        <v>-5.9884122481607967E-2</v>
      </c>
      <c r="DY54" s="918">
        <f t="shared" ca="1" si="175"/>
        <v>-0.1706639858380827</v>
      </c>
      <c r="DZ54" s="918">
        <f t="shared" ca="1" si="175"/>
        <v>0</v>
      </c>
      <c r="EA54" s="918" t="e">
        <f t="shared" ca="1" si="175"/>
        <v>#N/A</v>
      </c>
      <c r="EB54" s="920"/>
      <c r="EC54" s="921"/>
      <c r="ED54" s="1144">
        <f t="shared" ca="1" si="176"/>
        <v>-3.2381737943837632E-3</v>
      </c>
      <c r="EE54" s="1144">
        <f t="shared" ca="1" si="176"/>
        <v>0</v>
      </c>
      <c r="EF54" s="1144" t="e">
        <f t="shared" ca="1" si="176"/>
        <v>#N/A</v>
      </c>
      <c r="EG54" s="1144" t="e">
        <f t="shared" ca="1" si="176"/>
        <v>#N/A</v>
      </c>
      <c r="EH54" s="920"/>
      <c r="EI54" s="921"/>
      <c r="EJ54" s="918">
        <f t="shared" ca="1" si="177"/>
        <v>0</v>
      </c>
      <c r="EK54" s="918">
        <f t="shared" ca="1" si="177"/>
        <v>0</v>
      </c>
      <c r="EL54" s="918">
        <f t="shared" ca="1" si="177"/>
        <v>0</v>
      </c>
      <c r="EM54" s="918">
        <f t="shared" ca="1" si="177"/>
        <v>0</v>
      </c>
      <c r="EN54" s="920"/>
      <c r="EO54" s="921"/>
      <c r="EP54" s="1144">
        <f t="shared" ca="1" si="178"/>
        <v>0</v>
      </c>
      <c r="EQ54" s="1144">
        <f t="shared" ca="1" si="178"/>
        <v>0</v>
      </c>
      <c r="ER54" s="1144">
        <f t="shared" ca="1" si="178"/>
        <v>0</v>
      </c>
      <c r="ES54" s="1144">
        <f t="shared" ca="1" si="178"/>
        <v>0</v>
      </c>
      <c r="ET54" s="920"/>
      <c r="EU54" s="921"/>
      <c r="EV54" s="1144">
        <f t="shared" ca="1" si="164"/>
        <v>0</v>
      </c>
      <c r="EW54" s="1144">
        <f t="shared" ca="1" si="164"/>
        <v>0</v>
      </c>
      <c r="EX54" s="921"/>
      <c r="EY54" s="1144">
        <f t="shared" ca="1" si="164"/>
        <v>0</v>
      </c>
      <c r="EZ54" s="1144">
        <f t="shared" ca="1" si="164"/>
        <v>0</v>
      </c>
      <c r="FA54" s="1144" t="e">
        <f t="shared" ca="1" si="164"/>
        <v>#N/A</v>
      </c>
      <c r="FB54" s="921"/>
      <c r="FC54" s="918">
        <f t="shared" ref="FC54:FL63" ca="1" si="192">VLOOKUP(FC$8,INDIRECT(LU_MAT),$B54,FALSE)*$D54/$C54</f>
        <v>0</v>
      </c>
      <c r="FD54" s="918">
        <f t="shared" ca="1" si="192"/>
        <v>0</v>
      </c>
      <c r="FE54" s="918">
        <f t="shared" ca="1" si="192"/>
        <v>0</v>
      </c>
      <c r="FF54" s="918">
        <f t="shared" ca="1" si="192"/>
        <v>0</v>
      </c>
      <c r="FG54" s="918">
        <f t="shared" ca="1" si="192"/>
        <v>0</v>
      </c>
      <c r="FH54" s="918">
        <f t="shared" ca="1" si="192"/>
        <v>0</v>
      </c>
      <c r="FI54" s="918">
        <f t="shared" ca="1" si="192"/>
        <v>0</v>
      </c>
      <c r="FJ54" s="918">
        <f t="shared" ca="1" si="192"/>
        <v>0</v>
      </c>
      <c r="FK54" s="918">
        <f t="shared" ca="1" si="192"/>
        <v>0</v>
      </c>
      <c r="FL54" s="918">
        <f t="shared" ca="1" si="192"/>
        <v>0</v>
      </c>
      <c r="FM54" s="918" t="e">
        <f t="shared" ref="FM54:GB63" ca="1" si="193">VLOOKUP(FM$8,INDIRECT(LU_MAT),$B54,FALSE)*$D54/$C54</f>
        <v>#N/A</v>
      </c>
      <c r="FN54" s="1144">
        <f t="shared" ca="1" si="193"/>
        <v>0</v>
      </c>
      <c r="FO54" s="1144">
        <f t="shared" ca="1" si="193"/>
        <v>0</v>
      </c>
      <c r="FP54" s="918">
        <f t="shared" ca="1" si="193"/>
        <v>0</v>
      </c>
      <c r="FQ54" s="918">
        <f t="shared" ca="1" si="193"/>
        <v>0</v>
      </c>
      <c r="FR54" s="918">
        <f t="shared" ca="1" si="193"/>
        <v>0</v>
      </c>
      <c r="FS54" s="918">
        <f t="shared" ca="1" si="193"/>
        <v>0</v>
      </c>
      <c r="FT54" s="918">
        <f t="shared" ca="1" si="193"/>
        <v>0</v>
      </c>
      <c r="FU54" s="918" t="e">
        <f t="shared" ca="1" si="193"/>
        <v>#N/A</v>
      </c>
      <c r="FV54" s="1144" t="e">
        <f t="shared" ca="1" si="193"/>
        <v>#N/A</v>
      </c>
      <c r="FW54" s="918">
        <f t="shared" ca="1" si="193"/>
        <v>0</v>
      </c>
      <c r="FX54" s="918">
        <f t="shared" ca="1" si="193"/>
        <v>0</v>
      </c>
      <c r="FY54" s="918">
        <f t="shared" ca="1" si="193"/>
        <v>0</v>
      </c>
      <c r="FZ54" s="918">
        <f t="shared" ca="1" si="193"/>
        <v>0</v>
      </c>
      <c r="GA54" s="1144" t="e">
        <f t="shared" ca="1" si="193"/>
        <v>#N/A</v>
      </c>
      <c r="GB54" s="918">
        <f t="shared" ca="1" si="193"/>
        <v>0</v>
      </c>
      <c r="GC54" s="920"/>
      <c r="GD54" s="918">
        <f t="shared" ref="GD54:GO63" ca="1" si="194">VLOOKUP(GD$8,INDIRECT(LU_MAT),$B54,FALSE)*$D54/$C54</f>
        <v>0</v>
      </c>
      <c r="GE54" s="918">
        <f t="shared" ca="1" si="194"/>
        <v>0</v>
      </c>
      <c r="GF54" s="918">
        <f t="shared" ca="1" si="194"/>
        <v>0</v>
      </c>
      <c r="GG54" s="918">
        <f t="shared" ca="1" si="194"/>
        <v>0</v>
      </c>
      <c r="GH54" s="918" t="e">
        <f t="shared" ca="1" si="194"/>
        <v>#N/A</v>
      </c>
      <c r="GI54" s="1144" t="e">
        <f t="shared" ca="1" si="194"/>
        <v>#N/A</v>
      </c>
      <c r="GJ54" s="918">
        <f t="shared" ca="1" si="194"/>
        <v>0</v>
      </c>
      <c r="GK54" s="918">
        <f t="shared" ca="1" si="194"/>
        <v>0</v>
      </c>
      <c r="GL54" s="918">
        <f t="shared" ca="1" si="194"/>
        <v>0</v>
      </c>
      <c r="GM54" s="918">
        <f t="shared" ca="1" si="194"/>
        <v>0</v>
      </c>
      <c r="GN54" s="918">
        <f t="shared" ca="1" si="194"/>
        <v>0</v>
      </c>
      <c r="GO54" s="918" t="e">
        <f t="shared" ca="1" si="194"/>
        <v>#N/A</v>
      </c>
      <c r="GP54" s="915"/>
      <c r="GQ54" s="1143"/>
      <c r="GR54" s="946"/>
      <c r="GS54" s="946"/>
      <c r="GT54" s="1143"/>
      <c r="GU54" s="946"/>
      <c r="GV54" s="946"/>
      <c r="GW54" s="946"/>
      <c r="GX54" s="1143"/>
      <c r="GY54" s="946"/>
    </row>
    <row r="55" spans="1:207" s="914" customFormat="1" x14ac:dyDescent="0.3">
      <c r="A55" s="975" t="s">
        <v>1533</v>
      </c>
      <c r="B55" s="977">
        <v>30</v>
      </c>
      <c r="C55" s="973">
        <v>77.08</v>
      </c>
      <c r="D55" s="914">
        <v>-0.235422083335</v>
      </c>
      <c r="E55" s="972" t="s">
        <v>982</v>
      </c>
      <c r="F55" s="936">
        <f t="shared" ca="1" si="183"/>
        <v>0</v>
      </c>
      <c r="G55" s="918">
        <f t="shared" ca="1" si="183"/>
        <v>0</v>
      </c>
      <c r="H55" s="918">
        <f t="shared" ca="1" si="183"/>
        <v>0</v>
      </c>
      <c r="I55" s="918">
        <f t="shared" ca="1" si="183"/>
        <v>0</v>
      </c>
      <c r="J55" s="918">
        <f t="shared" ca="1" si="183"/>
        <v>0</v>
      </c>
      <c r="K55" s="1144">
        <f t="shared" ca="1" si="183"/>
        <v>0</v>
      </c>
      <c r="L55" s="918">
        <f t="shared" ca="1" si="183"/>
        <v>0</v>
      </c>
      <c r="M55" s="918">
        <f t="shared" ca="1" si="183"/>
        <v>0</v>
      </c>
      <c r="N55" s="938">
        <f t="shared" ca="1" si="183"/>
        <v>0</v>
      </c>
      <c r="O55" s="918">
        <f t="shared" ca="1" si="183"/>
        <v>0</v>
      </c>
      <c r="P55" s="939">
        <f t="shared" ca="1" si="183"/>
        <v>-5.683911664040628</v>
      </c>
      <c r="Q55" s="921"/>
      <c r="R55" s="918">
        <f t="shared" ca="1" si="184"/>
        <v>-5.683911664040628</v>
      </c>
      <c r="S55" s="918">
        <f t="shared" ca="1" si="184"/>
        <v>0</v>
      </c>
      <c r="T55" s="918">
        <f t="shared" ca="1" si="184"/>
        <v>0</v>
      </c>
      <c r="U55" s="918">
        <f t="shared" ca="1" si="184"/>
        <v>0</v>
      </c>
      <c r="V55" s="918">
        <f t="shared" ca="1" si="184"/>
        <v>0</v>
      </c>
      <c r="W55" s="918">
        <f t="shared" ca="1" si="184"/>
        <v>0</v>
      </c>
      <c r="X55" s="938">
        <f t="shared" ca="1" si="184"/>
        <v>0</v>
      </c>
      <c r="Y55" s="918">
        <f t="shared" ca="1" si="184"/>
        <v>-5.6839117556683219</v>
      </c>
      <c r="Z55" s="918">
        <f t="shared" ca="1" si="184"/>
        <v>0</v>
      </c>
      <c r="AA55" s="918">
        <f t="shared" ca="1" si="184"/>
        <v>0</v>
      </c>
      <c r="AB55" s="921"/>
      <c r="AC55" s="918">
        <f t="shared" ca="1" si="185"/>
        <v>0</v>
      </c>
      <c r="AD55" s="918">
        <f t="shared" ca="1" si="185"/>
        <v>0</v>
      </c>
      <c r="AE55" s="918">
        <f t="shared" ca="1" si="185"/>
        <v>0</v>
      </c>
      <c r="AF55" s="918">
        <f t="shared" ca="1" si="185"/>
        <v>0</v>
      </c>
      <c r="AG55" s="918">
        <f t="shared" ca="1" si="185"/>
        <v>0</v>
      </c>
      <c r="AH55" s="918">
        <f t="shared" ca="1" si="185"/>
        <v>0</v>
      </c>
      <c r="AI55" s="918">
        <f t="shared" ca="1" si="185"/>
        <v>0</v>
      </c>
      <c r="AJ55" s="918">
        <f t="shared" ca="1" si="185"/>
        <v>0</v>
      </c>
      <c r="AK55" s="938">
        <f t="shared" ca="1" si="185"/>
        <v>0</v>
      </c>
      <c r="AL55" s="918">
        <f t="shared" ca="1" si="185"/>
        <v>0</v>
      </c>
      <c r="AM55" s="918">
        <f t="shared" ca="1" si="185"/>
        <v>0</v>
      </c>
      <c r="AN55" s="918">
        <f t="shared" ca="1" si="185"/>
        <v>0</v>
      </c>
      <c r="AO55" s="921"/>
      <c r="AP55" s="1144">
        <f t="shared" ca="1" si="162"/>
        <v>-5.6839117556683219</v>
      </c>
      <c r="AQ55" s="1144">
        <f t="shared" ca="1" si="162"/>
        <v>0</v>
      </c>
      <c r="AR55" s="1144">
        <f t="shared" ca="1" si="162"/>
        <v>0</v>
      </c>
      <c r="AS55" s="1144">
        <f t="shared" ca="1" si="162"/>
        <v>0</v>
      </c>
      <c r="AT55" s="938">
        <f t="shared" ca="1" si="162"/>
        <v>0</v>
      </c>
      <c r="AU55" s="938">
        <f t="shared" ca="1" si="162"/>
        <v>0</v>
      </c>
      <c r="AV55" s="1144">
        <f t="shared" ca="1" si="162"/>
        <v>0</v>
      </c>
      <c r="AW55" s="1144">
        <f t="shared" ca="1" si="162"/>
        <v>0</v>
      </c>
      <c r="AX55" s="1144">
        <f t="shared" ca="1" si="162"/>
        <v>0</v>
      </c>
      <c r="AY55" s="1144">
        <f t="shared" ca="1" si="162"/>
        <v>0</v>
      </c>
      <c r="AZ55" s="1144">
        <f t="shared" ca="1" si="162"/>
        <v>0</v>
      </c>
      <c r="BA55" s="1144">
        <f t="shared" ca="1" si="162"/>
        <v>-5.4722907594393098</v>
      </c>
      <c r="BB55" s="1144">
        <f t="shared" ca="1" si="182"/>
        <v>-0.21162099683986199</v>
      </c>
      <c r="BC55" s="1144">
        <f t="shared" ca="1" si="182"/>
        <v>0</v>
      </c>
      <c r="BD55" s="921"/>
      <c r="BE55" s="918">
        <f t="shared" ca="1" si="186"/>
        <v>-5.6839117556683219</v>
      </c>
      <c r="BF55" s="918">
        <f t="shared" ca="1" si="186"/>
        <v>0</v>
      </c>
      <c r="BG55" s="918">
        <f t="shared" ca="1" si="186"/>
        <v>0</v>
      </c>
      <c r="BH55" s="918">
        <f t="shared" ca="1" si="186"/>
        <v>0</v>
      </c>
      <c r="BI55" s="938">
        <f t="shared" ca="1" si="186"/>
        <v>0</v>
      </c>
      <c r="BJ55" s="918">
        <f t="shared" ca="1" si="186"/>
        <v>0</v>
      </c>
      <c r="BK55" s="918">
        <f t="shared" ca="1" si="186"/>
        <v>0</v>
      </c>
      <c r="BL55" s="918">
        <f t="shared" ca="1" si="186"/>
        <v>0</v>
      </c>
      <c r="BM55" s="918">
        <f t="shared" ca="1" si="186"/>
        <v>-5.6839117556683219</v>
      </c>
      <c r="BN55" s="1144">
        <f t="shared" ca="1" si="186"/>
        <v>0</v>
      </c>
      <c r="BO55" s="918">
        <f t="shared" ca="1" si="186"/>
        <v>0</v>
      </c>
      <c r="BP55" s="921"/>
      <c r="BQ55" s="918">
        <f t="shared" ca="1" si="187"/>
        <v>0</v>
      </c>
      <c r="BR55" s="918">
        <f t="shared" ca="1" si="187"/>
        <v>-5.6839117556683219</v>
      </c>
      <c r="BS55" s="1144">
        <f t="shared" ca="1" si="187"/>
        <v>0</v>
      </c>
      <c r="BT55" s="918">
        <f t="shared" ca="1" si="187"/>
        <v>-5.4722907594393098</v>
      </c>
      <c r="BU55" s="918">
        <f t="shared" ca="1" si="187"/>
        <v>0</v>
      </c>
      <c r="BV55" s="918">
        <f t="shared" ca="1" si="187"/>
        <v>-0.21162099683986199</v>
      </c>
      <c r="BW55" s="1144">
        <f t="shared" ca="1" si="187"/>
        <v>0</v>
      </c>
      <c r="BX55" s="921"/>
      <c r="BY55" s="918">
        <f t="shared" ca="1" si="188"/>
        <v>-0.21162099683986199</v>
      </c>
      <c r="BZ55" s="918">
        <f t="shared" ca="1" si="188"/>
        <v>0</v>
      </c>
      <c r="CA55" s="918">
        <f t="shared" ca="1" si="188"/>
        <v>0</v>
      </c>
      <c r="CB55" s="918">
        <f t="shared" ca="1" si="188"/>
        <v>-1.9607777881434384E-2</v>
      </c>
      <c r="CC55" s="918">
        <f t="shared" ca="1" si="188"/>
        <v>0</v>
      </c>
      <c r="CD55" s="918">
        <f t="shared" ca="1" si="188"/>
        <v>0</v>
      </c>
      <c r="CE55" s="918">
        <f t="shared" ca="1" si="188"/>
        <v>0</v>
      </c>
      <c r="CF55" s="918">
        <f t="shared" ca="1" si="188"/>
        <v>0</v>
      </c>
      <c r="CG55" s="921"/>
      <c r="CH55" s="918">
        <f t="shared" ca="1" si="189"/>
        <v>0</v>
      </c>
      <c r="CI55" s="918">
        <f t="shared" ca="1" si="189"/>
        <v>-0.23122877469075381</v>
      </c>
      <c r="CJ55" s="918">
        <f t="shared" ca="1" si="189"/>
        <v>0</v>
      </c>
      <c r="CK55" s="918" t="e">
        <f t="shared" ca="1" si="189"/>
        <v>#N/A</v>
      </c>
      <c r="CL55" s="918" t="e">
        <f t="shared" ca="1" si="189"/>
        <v>#N/A</v>
      </c>
      <c r="CM55" s="921"/>
      <c r="CN55" s="918">
        <f t="shared" ca="1" si="190"/>
        <v>0</v>
      </c>
      <c r="CO55" s="918" t="e">
        <f t="shared" ca="1" si="190"/>
        <v>#N/A</v>
      </c>
      <c r="CP55" s="918">
        <f t="shared" ca="1" si="190"/>
        <v>0</v>
      </c>
      <c r="CQ55" s="918">
        <f t="shared" ca="1" si="190"/>
        <v>0</v>
      </c>
      <c r="CR55" s="918">
        <f t="shared" ca="1" si="190"/>
        <v>0</v>
      </c>
      <c r="CS55" s="1144">
        <f t="shared" ca="1" si="190"/>
        <v>0</v>
      </c>
      <c r="CT55" s="921"/>
      <c r="CU55" s="918">
        <f t="shared" ca="1" si="191"/>
        <v>0</v>
      </c>
      <c r="CV55" s="918">
        <f t="shared" ca="1" si="191"/>
        <v>0</v>
      </c>
      <c r="CW55" s="918">
        <f t="shared" ca="1" si="191"/>
        <v>0</v>
      </c>
      <c r="CX55" s="918">
        <f t="shared" ca="1" si="191"/>
        <v>-5.4722907594393098</v>
      </c>
      <c r="CY55" s="918">
        <f t="shared" ca="1" si="191"/>
        <v>0</v>
      </c>
      <c r="CZ55" s="1144" t="e">
        <f t="shared" ca="1" si="191"/>
        <v>#N/A</v>
      </c>
      <c r="DA55" s="1144" t="e">
        <f t="shared" ca="1" si="191"/>
        <v>#N/A</v>
      </c>
      <c r="DB55" s="918">
        <f t="shared" ca="1" si="191"/>
        <v>0</v>
      </c>
      <c r="DC55" s="938">
        <f t="shared" ca="1" si="191"/>
        <v>0</v>
      </c>
      <c r="DD55" s="918">
        <f t="shared" ca="1" si="191"/>
        <v>0</v>
      </c>
      <c r="DE55" s="918">
        <f t="shared" ca="1" si="191"/>
        <v>0</v>
      </c>
      <c r="DF55" s="918">
        <f t="shared" ca="1" si="191"/>
        <v>0</v>
      </c>
      <c r="DG55" s="918">
        <f t="shared" ca="1" si="191"/>
        <v>-5.0220995356332551E-2</v>
      </c>
      <c r="DH55" s="918">
        <f t="shared" ca="1" si="191"/>
        <v>-1.9607777881434384E-2</v>
      </c>
      <c r="DI55" s="921"/>
      <c r="DJ55" s="1144">
        <f t="shared" ca="1" si="163"/>
        <v>-0.27943529980889531</v>
      </c>
      <c r="DK55" s="1144">
        <f t="shared" ca="1" si="163"/>
        <v>-3.986807620191259</v>
      </c>
      <c r="DL55" s="1144">
        <f t="shared" ca="1" si="163"/>
        <v>0</v>
      </c>
      <c r="DM55" s="1144">
        <f t="shared" ca="1" si="163"/>
        <v>0</v>
      </c>
      <c r="DN55" s="1144" t="e">
        <f t="shared" ca="1" si="163"/>
        <v>#N/A</v>
      </c>
      <c r="DO55" s="1144">
        <f t="shared" ca="1" si="163"/>
        <v>-0.34129943301359511</v>
      </c>
      <c r="DP55" s="1144" t="e">
        <f t="shared" ca="1" si="163"/>
        <v>#N/A</v>
      </c>
      <c r="DQ55" s="921"/>
      <c r="DR55" s="1144">
        <f t="shared" ca="1" si="174"/>
        <v>-1.4017218037140673</v>
      </c>
      <c r="DS55" s="1144">
        <f t="shared" ca="1" si="174"/>
        <v>0</v>
      </c>
      <c r="DT55" s="1144">
        <f t="shared" ca="1" si="174"/>
        <v>0</v>
      </c>
      <c r="DU55" s="1144" t="e">
        <f t="shared" ca="1" si="174"/>
        <v>#N/A</v>
      </c>
      <c r="DV55" s="920"/>
      <c r="DW55" s="921"/>
      <c r="DX55" s="918">
        <f t="shared" ca="1" si="175"/>
        <v>-1.4017218037140673</v>
      </c>
      <c r="DY55" s="918">
        <f t="shared" ca="1" si="175"/>
        <v>0</v>
      </c>
      <c r="DZ55" s="918">
        <f t="shared" ca="1" si="175"/>
        <v>0</v>
      </c>
      <c r="EA55" s="918" t="e">
        <f t="shared" ca="1" si="175"/>
        <v>#N/A</v>
      </c>
      <c r="EB55" s="920"/>
      <c r="EC55" s="921"/>
      <c r="ED55" s="1144">
        <f t="shared" ca="1" si="176"/>
        <v>-7.5796699196566703E-2</v>
      </c>
      <c r="EE55" s="1144">
        <f t="shared" ca="1" si="176"/>
        <v>0</v>
      </c>
      <c r="EF55" s="1144" t="e">
        <f t="shared" ca="1" si="176"/>
        <v>#N/A</v>
      </c>
      <c r="EG55" s="1144" t="e">
        <f t="shared" ca="1" si="176"/>
        <v>#N/A</v>
      </c>
      <c r="EH55" s="920"/>
      <c r="EI55" s="921"/>
      <c r="EJ55" s="918">
        <f t="shared" ca="1" si="177"/>
        <v>0</v>
      </c>
      <c r="EK55" s="918">
        <f t="shared" ca="1" si="177"/>
        <v>0</v>
      </c>
      <c r="EL55" s="918">
        <f t="shared" ca="1" si="177"/>
        <v>0</v>
      </c>
      <c r="EM55" s="918">
        <f t="shared" ca="1" si="177"/>
        <v>0</v>
      </c>
      <c r="EN55" s="920"/>
      <c r="EO55" s="921"/>
      <c r="EP55" s="1144">
        <f t="shared" ca="1" si="178"/>
        <v>-5.0220995356332551E-2</v>
      </c>
      <c r="EQ55" s="1144">
        <f t="shared" ca="1" si="178"/>
        <v>-5.0220995356332551E-2</v>
      </c>
      <c r="ER55" s="1144">
        <f t="shared" ca="1" si="178"/>
        <v>0</v>
      </c>
      <c r="ES55" s="1144">
        <f t="shared" ca="1" si="178"/>
        <v>0</v>
      </c>
      <c r="ET55" s="920"/>
      <c r="EU55" s="921"/>
      <c r="EV55" s="1144">
        <f t="shared" ca="1" si="164"/>
        <v>0</v>
      </c>
      <c r="EW55" s="1144">
        <f t="shared" ca="1" si="164"/>
        <v>0</v>
      </c>
      <c r="EX55" s="921"/>
      <c r="EY55" s="1144">
        <f t="shared" ca="1" si="164"/>
        <v>0</v>
      </c>
      <c r="EZ55" s="1144">
        <f t="shared" ca="1" si="164"/>
        <v>0</v>
      </c>
      <c r="FA55" s="1144" t="e">
        <f t="shared" ca="1" si="164"/>
        <v>#N/A</v>
      </c>
      <c r="FB55" s="921"/>
      <c r="FC55" s="918">
        <f t="shared" ca="1" si="192"/>
        <v>0</v>
      </c>
      <c r="FD55" s="918">
        <f t="shared" ca="1" si="192"/>
        <v>0</v>
      </c>
      <c r="FE55" s="918">
        <f t="shared" ca="1" si="192"/>
        <v>0</v>
      </c>
      <c r="FF55" s="918">
        <f t="shared" ca="1" si="192"/>
        <v>0</v>
      </c>
      <c r="FG55" s="918">
        <f t="shared" ca="1" si="192"/>
        <v>0</v>
      </c>
      <c r="FH55" s="918">
        <f t="shared" ca="1" si="192"/>
        <v>0</v>
      </c>
      <c r="FI55" s="918">
        <f t="shared" ca="1" si="192"/>
        <v>0</v>
      </c>
      <c r="FJ55" s="918">
        <f t="shared" ca="1" si="192"/>
        <v>0</v>
      </c>
      <c r="FK55" s="918">
        <f t="shared" ca="1" si="192"/>
        <v>0</v>
      </c>
      <c r="FL55" s="918">
        <f t="shared" ca="1" si="192"/>
        <v>0</v>
      </c>
      <c r="FM55" s="918" t="e">
        <f t="shared" ca="1" si="193"/>
        <v>#N/A</v>
      </c>
      <c r="FN55" s="1144">
        <f t="shared" ca="1" si="193"/>
        <v>0</v>
      </c>
      <c r="FO55" s="1144">
        <f t="shared" ca="1" si="193"/>
        <v>0</v>
      </c>
      <c r="FP55" s="918">
        <f t="shared" ca="1" si="193"/>
        <v>0</v>
      </c>
      <c r="FQ55" s="918">
        <f t="shared" ca="1" si="193"/>
        <v>0</v>
      </c>
      <c r="FR55" s="918">
        <f t="shared" ca="1" si="193"/>
        <v>0</v>
      </c>
      <c r="FS55" s="918">
        <f t="shared" ca="1" si="193"/>
        <v>0</v>
      </c>
      <c r="FT55" s="918">
        <f t="shared" ca="1" si="193"/>
        <v>0</v>
      </c>
      <c r="FU55" s="918" t="e">
        <f t="shared" ca="1" si="193"/>
        <v>#N/A</v>
      </c>
      <c r="FV55" s="1144" t="e">
        <f t="shared" ca="1" si="193"/>
        <v>#N/A</v>
      </c>
      <c r="FW55" s="918">
        <f t="shared" ca="1" si="193"/>
        <v>0</v>
      </c>
      <c r="FX55" s="918">
        <f t="shared" ca="1" si="193"/>
        <v>0</v>
      </c>
      <c r="FY55" s="918">
        <f t="shared" ca="1" si="193"/>
        <v>0</v>
      </c>
      <c r="FZ55" s="918">
        <f t="shared" ca="1" si="193"/>
        <v>0</v>
      </c>
      <c r="GA55" s="1144" t="e">
        <f t="shared" ca="1" si="193"/>
        <v>#N/A</v>
      </c>
      <c r="GB55" s="918">
        <f t="shared" ca="1" si="193"/>
        <v>0</v>
      </c>
      <c r="GC55" s="920"/>
      <c r="GD55" s="918">
        <f t="shared" ca="1" si="194"/>
        <v>0</v>
      </c>
      <c r="GE55" s="918">
        <f t="shared" ca="1" si="194"/>
        <v>0</v>
      </c>
      <c r="GF55" s="918">
        <f t="shared" ca="1" si="194"/>
        <v>0</v>
      </c>
      <c r="GG55" s="918">
        <f t="shared" ca="1" si="194"/>
        <v>0</v>
      </c>
      <c r="GH55" s="918" t="e">
        <f t="shared" ca="1" si="194"/>
        <v>#N/A</v>
      </c>
      <c r="GI55" s="1144" t="e">
        <f t="shared" ca="1" si="194"/>
        <v>#N/A</v>
      </c>
      <c r="GJ55" s="918">
        <f t="shared" ca="1" si="194"/>
        <v>0</v>
      </c>
      <c r="GK55" s="918">
        <f t="shared" ca="1" si="194"/>
        <v>-5.0220995356332551E-2</v>
      </c>
      <c r="GL55" s="918">
        <f t="shared" ca="1" si="194"/>
        <v>0</v>
      </c>
      <c r="GM55" s="918">
        <f t="shared" ca="1" si="194"/>
        <v>0</v>
      </c>
      <c r="GN55" s="918">
        <f t="shared" ca="1" si="194"/>
        <v>0</v>
      </c>
      <c r="GO55" s="918" t="e">
        <f t="shared" ca="1" si="194"/>
        <v>#N/A</v>
      </c>
      <c r="GP55" s="915"/>
      <c r="GR55" s="946"/>
      <c r="GS55" s="946"/>
      <c r="GU55" s="946"/>
      <c r="GV55" s="946"/>
      <c r="GW55" s="946"/>
      <c r="GX55" s="1143"/>
      <c r="GY55" s="946"/>
    </row>
    <row r="56" spans="1:207" s="914" customFormat="1" x14ac:dyDescent="0.3">
      <c r="A56" s="975" t="s">
        <v>1534</v>
      </c>
      <c r="B56" s="977">
        <v>25</v>
      </c>
      <c r="C56" s="973">
        <v>92.094719999999995</v>
      </c>
      <c r="D56" s="914">
        <v>-0.35350712293999992</v>
      </c>
      <c r="E56" s="972" t="s">
        <v>982</v>
      </c>
      <c r="F56" s="936">
        <f t="shared" ca="1" si="183"/>
        <v>0</v>
      </c>
      <c r="G56" s="918">
        <f t="shared" ca="1" si="183"/>
        <v>-1.1792940891072026E-5</v>
      </c>
      <c r="H56" s="918">
        <f t="shared" ca="1" si="183"/>
        <v>0</v>
      </c>
      <c r="I56" s="918">
        <f t="shared" ca="1" si="183"/>
        <v>0</v>
      </c>
      <c r="J56" s="918">
        <f t="shared" ca="1" si="183"/>
        <v>0</v>
      </c>
      <c r="K56" s="1144">
        <f t="shared" ca="1" si="183"/>
        <v>0</v>
      </c>
      <c r="L56" s="918">
        <f t="shared" ca="1" si="183"/>
        <v>0</v>
      </c>
      <c r="M56" s="918">
        <f t="shared" ca="1" si="183"/>
        <v>0</v>
      </c>
      <c r="N56" s="938">
        <f t="shared" ca="1" si="183"/>
        <v>0</v>
      </c>
      <c r="O56" s="918">
        <f t="shared" ca="1" si="183"/>
        <v>-4.313185975097758E-10</v>
      </c>
      <c r="P56" s="939">
        <f t="shared" ca="1" si="183"/>
        <v>-1.1792509556947716E-5</v>
      </c>
      <c r="Q56" s="921"/>
      <c r="R56" s="918">
        <f t="shared" ca="1" si="184"/>
        <v>-1.1792509556947716E-5</v>
      </c>
      <c r="S56" s="918">
        <f t="shared" ca="1" si="184"/>
        <v>0</v>
      </c>
      <c r="T56" s="918">
        <f t="shared" ca="1" si="184"/>
        <v>0</v>
      </c>
      <c r="U56" s="918">
        <f t="shared" ca="1" si="184"/>
        <v>0</v>
      </c>
      <c r="V56" s="918">
        <f t="shared" ca="1" si="184"/>
        <v>0</v>
      </c>
      <c r="W56" s="918">
        <f t="shared" ca="1" si="184"/>
        <v>0</v>
      </c>
      <c r="X56" s="938">
        <f t="shared" ca="1" si="184"/>
        <v>-4.7410159174900683E-9</v>
      </c>
      <c r="Y56" s="918">
        <f t="shared" ca="1" si="184"/>
        <v>-0.66931929768323395</v>
      </c>
      <c r="Z56" s="918">
        <f t="shared" ca="1" si="184"/>
        <v>-4.3048465288180389E-9</v>
      </c>
      <c r="AA56" s="918">
        <f t="shared" ca="1" si="184"/>
        <v>-4.360227726872268E-10</v>
      </c>
      <c r="AB56" s="921"/>
      <c r="AC56" s="918">
        <f t="shared" ca="1" si="185"/>
        <v>0</v>
      </c>
      <c r="AD56" s="918">
        <f t="shared" ca="1" si="185"/>
        <v>0</v>
      </c>
      <c r="AE56" s="918">
        <f t="shared" ca="1" si="185"/>
        <v>0</v>
      </c>
      <c r="AF56" s="918">
        <f t="shared" ca="1" si="185"/>
        <v>0</v>
      </c>
      <c r="AG56" s="918">
        <f t="shared" ca="1" si="185"/>
        <v>0</v>
      </c>
      <c r="AH56" s="918">
        <f t="shared" ca="1" si="185"/>
        <v>0</v>
      </c>
      <c r="AI56" s="918">
        <f t="shared" ca="1" si="185"/>
        <v>0</v>
      </c>
      <c r="AJ56" s="918">
        <f t="shared" ca="1" si="185"/>
        <v>0</v>
      </c>
      <c r="AK56" s="938">
        <f t="shared" ca="1" si="185"/>
        <v>0</v>
      </c>
      <c r="AL56" s="918">
        <f t="shared" ca="1" si="185"/>
        <v>0</v>
      </c>
      <c r="AM56" s="918">
        <f t="shared" ca="1" si="185"/>
        <v>0</v>
      </c>
      <c r="AN56" s="918">
        <f t="shared" ca="1" si="185"/>
        <v>0</v>
      </c>
      <c r="AO56" s="921"/>
      <c r="AP56" s="1144">
        <f t="shared" ca="1" si="162"/>
        <v>-0.66931929768323395</v>
      </c>
      <c r="AQ56" s="1144">
        <f t="shared" ca="1" si="162"/>
        <v>-4.360227726872268E-10</v>
      </c>
      <c r="AR56" s="1144">
        <f t="shared" ca="1" si="162"/>
        <v>-4.3048465288180389E-9</v>
      </c>
      <c r="AS56" s="1144">
        <f t="shared" ca="1" si="162"/>
        <v>0</v>
      </c>
      <c r="AT56" s="938">
        <f t="shared" ca="1" si="162"/>
        <v>0</v>
      </c>
      <c r="AU56" s="938">
        <f t="shared" ca="1" si="162"/>
        <v>0</v>
      </c>
      <c r="AV56" s="1144">
        <f t="shared" ca="1" si="162"/>
        <v>-1.8216141430105359E-36</v>
      </c>
      <c r="AW56" s="1144">
        <f t="shared" ca="1" si="162"/>
        <v>-4.7410159174900683E-9</v>
      </c>
      <c r="AX56" s="1144">
        <f t="shared" ca="1" si="162"/>
        <v>0</v>
      </c>
      <c r="AY56" s="1144">
        <f t="shared" ca="1" si="162"/>
        <v>-1.1792940891072026E-5</v>
      </c>
      <c r="AZ56" s="1144">
        <f t="shared" ca="1" si="162"/>
        <v>0</v>
      </c>
      <c r="BA56" s="1144">
        <f t="shared" ca="1" si="162"/>
        <v>-0.64438813155888608</v>
      </c>
      <c r="BB56" s="1144">
        <f t="shared" ca="1" si="182"/>
        <v>-2.4919366600707669E-2</v>
      </c>
      <c r="BC56" s="1144">
        <f t="shared" ca="1" si="182"/>
        <v>-7.2475732113904998E-9</v>
      </c>
      <c r="BD56" s="921"/>
      <c r="BE56" s="918">
        <f t="shared" ca="1" si="186"/>
        <v>-0.66931929768323395</v>
      </c>
      <c r="BF56" s="918">
        <f t="shared" ca="1" si="186"/>
        <v>-4.360227726872268E-10</v>
      </c>
      <c r="BG56" s="918">
        <f t="shared" ca="1" si="186"/>
        <v>-4.3048465288180389E-9</v>
      </c>
      <c r="BH56" s="918">
        <f t="shared" ca="1" si="186"/>
        <v>0</v>
      </c>
      <c r="BI56" s="938">
        <f t="shared" ca="1" si="186"/>
        <v>0</v>
      </c>
      <c r="BJ56" s="918">
        <f t="shared" ca="1" si="186"/>
        <v>-1.8216141430105359E-36</v>
      </c>
      <c r="BK56" s="918">
        <f t="shared" ca="1" si="186"/>
        <v>-4.7410159174900683E-9</v>
      </c>
      <c r="BL56" s="918">
        <f t="shared" ca="1" si="186"/>
        <v>0</v>
      </c>
      <c r="BM56" s="918">
        <f t="shared" ca="1" si="186"/>
        <v>-0.66930750575985687</v>
      </c>
      <c r="BN56" s="1144">
        <f t="shared" ca="1" si="186"/>
        <v>0</v>
      </c>
      <c r="BO56" s="918">
        <f t="shared" ca="1" si="186"/>
        <v>-1.1792940891072026E-5</v>
      </c>
      <c r="BP56" s="921"/>
      <c r="BQ56" s="918">
        <f t="shared" ca="1" si="187"/>
        <v>0</v>
      </c>
      <c r="BR56" s="918">
        <f t="shared" ca="1" si="187"/>
        <v>-0.66930750575985687</v>
      </c>
      <c r="BS56" s="1144">
        <f t="shared" ca="1" si="187"/>
        <v>0</v>
      </c>
      <c r="BT56" s="918">
        <f t="shared" ca="1" si="187"/>
        <v>-0.64438813155888608</v>
      </c>
      <c r="BU56" s="918">
        <f t="shared" ca="1" si="187"/>
        <v>-7.2475732113904998E-9</v>
      </c>
      <c r="BV56" s="918">
        <f t="shared" ca="1" si="187"/>
        <v>-2.4919366600707669E-2</v>
      </c>
      <c r="BW56" s="1144">
        <f t="shared" ca="1" si="187"/>
        <v>0</v>
      </c>
      <c r="BX56" s="921"/>
      <c r="BY56" s="918">
        <f t="shared" ca="1" si="188"/>
        <v>-2.4919366600707669E-2</v>
      </c>
      <c r="BZ56" s="918">
        <f t="shared" ca="1" si="188"/>
        <v>-7.2475732113904998E-9</v>
      </c>
      <c r="CA56" s="918">
        <f t="shared" ca="1" si="188"/>
        <v>0</v>
      </c>
      <c r="CB56" s="918">
        <f t="shared" ca="1" si="188"/>
        <v>-2.7882390438474232E-4</v>
      </c>
      <c r="CC56" s="918">
        <f t="shared" ca="1" si="188"/>
        <v>-8.2715924357317446E-10</v>
      </c>
      <c r="CD56" s="918">
        <f t="shared" ca="1" si="188"/>
        <v>0</v>
      </c>
      <c r="CE56" s="918">
        <f t="shared" ca="1" si="188"/>
        <v>0</v>
      </c>
      <c r="CF56" s="918">
        <f t="shared" ca="1" si="188"/>
        <v>0</v>
      </c>
      <c r="CG56" s="921"/>
      <c r="CH56" s="918">
        <f t="shared" ca="1" si="189"/>
        <v>-8.0747324549636754E-9</v>
      </c>
      <c r="CI56" s="918">
        <f t="shared" ca="1" si="189"/>
        <v>-2.519819050586011E-2</v>
      </c>
      <c r="CJ56" s="918">
        <f t="shared" ca="1" si="189"/>
        <v>0</v>
      </c>
      <c r="CK56" s="918" t="e">
        <f t="shared" ca="1" si="189"/>
        <v>#N/A</v>
      </c>
      <c r="CL56" s="918" t="e">
        <f t="shared" ca="1" si="189"/>
        <v>#N/A</v>
      </c>
      <c r="CM56" s="921"/>
      <c r="CN56" s="918">
        <f t="shared" ca="1" si="190"/>
        <v>0</v>
      </c>
      <c r="CO56" s="918" t="e">
        <f t="shared" ca="1" si="190"/>
        <v>#N/A</v>
      </c>
      <c r="CP56" s="918">
        <f t="shared" ca="1" si="190"/>
        <v>0</v>
      </c>
      <c r="CQ56" s="918">
        <f t="shared" ca="1" si="190"/>
        <v>0</v>
      </c>
      <c r="CR56" s="918">
        <f t="shared" ca="1" si="190"/>
        <v>0</v>
      </c>
      <c r="CS56" s="1144">
        <f t="shared" ca="1" si="190"/>
        <v>0</v>
      </c>
      <c r="CT56" s="921"/>
      <c r="CU56" s="918">
        <f t="shared" ca="1" si="191"/>
        <v>-4.313185975097758E-10</v>
      </c>
      <c r="CV56" s="918">
        <f t="shared" ca="1" si="191"/>
        <v>0</v>
      </c>
      <c r="CW56" s="918">
        <f t="shared" ca="1" si="191"/>
        <v>0</v>
      </c>
      <c r="CX56" s="918">
        <f t="shared" ca="1" si="191"/>
        <v>-0.64438813155888608</v>
      </c>
      <c r="CY56" s="918">
        <f t="shared" ca="1" si="191"/>
        <v>0</v>
      </c>
      <c r="CZ56" s="1144" t="e">
        <f t="shared" ca="1" si="191"/>
        <v>#N/A</v>
      </c>
      <c r="DA56" s="1144" t="e">
        <f t="shared" ca="1" si="191"/>
        <v>#N/A</v>
      </c>
      <c r="DB56" s="918">
        <f t="shared" ca="1" si="191"/>
        <v>0</v>
      </c>
      <c r="DC56" s="938">
        <f t="shared" ca="1" si="191"/>
        <v>0</v>
      </c>
      <c r="DD56" s="918">
        <f t="shared" ca="1" si="191"/>
        <v>-8.2715924357317446E-10</v>
      </c>
      <c r="DE56" s="918">
        <f t="shared" ca="1" si="191"/>
        <v>-1.7034327116780614E-11</v>
      </c>
      <c r="DF56" s="918">
        <f t="shared" ca="1" si="191"/>
        <v>0</v>
      </c>
      <c r="DG56" s="918">
        <f t="shared" ca="1" si="191"/>
        <v>-3.5170695571077497E-4</v>
      </c>
      <c r="DH56" s="918">
        <f t="shared" ca="1" si="191"/>
        <v>-2.7882390438474232E-4</v>
      </c>
      <c r="DI56" s="921"/>
      <c r="DJ56" s="1144">
        <f t="shared" ca="1" si="163"/>
        <v>-1.9569373114105481E-3</v>
      </c>
      <c r="DK56" s="1144">
        <f t="shared" ca="1" si="163"/>
        <v>-5.7797646436723124E-2</v>
      </c>
      <c r="DL56" s="1144">
        <f t="shared" ca="1" si="163"/>
        <v>0</v>
      </c>
      <c r="DM56" s="1144">
        <f t="shared" ca="1" si="163"/>
        <v>0</v>
      </c>
      <c r="DN56" s="1144" t="e">
        <f t="shared" ca="1" si="163"/>
        <v>#N/A</v>
      </c>
      <c r="DO56" s="1144">
        <f t="shared" ca="1" si="163"/>
        <v>-2.390183343323098E-3</v>
      </c>
      <c r="DP56" s="1144" t="e">
        <f t="shared" ca="1" si="163"/>
        <v>#N/A</v>
      </c>
      <c r="DQ56" s="921"/>
      <c r="DR56" s="1144">
        <f t="shared" ca="1" si="174"/>
        <v>-0.55631123110445557</v>
      </c>
      <c r="DS56" s="1144">
        <f t="shared" ca="1" si="174"/>
        <v>0</v>
      </c>
      <c r="DT56" s="1144">
        <f t="shared" ca="1" si="174"/>
        <v>0</v>
      </c>
      <c r="DU56" s="1144" t="e">
        <f t="shared" ca="1" si="174"/>
        <v>#N/A</v>
      </c>
      <c r="DV56" s="920"/>
      <c r="DW56" s="921"/>
      <c r="DX56" s="918">
        <f t="shared" ca="1" si="175"/>
        <v>-0.55631123110445557</v>
      </c>
      <c r="DY56" s="918">
        <f t="shared" ca="1" si="175"/>
        <v>0</v>
      </c>
      <c r="DZ56" s="918">
        <f t="shared" ca="1" si="175"/>
        <v>0</v>
      </c>
      <c r="EA56" s="918" t="e">
        <f t="shared" ca="1" si="175"/>
        <v>#N/A</v>
      </c>
      <c r="EB56" s="920"/>
      <c r="EC56" s="921"/>
      <c r="ED56" s="1144">
        <f t="shared" ca="1" si="176"/>
        <v>-3.0081971185936994E-2</v>
      </c>
      <c r="EE56" s="1144">
        <f t="shared" ca="1" si="176"/>
        <v>0</v>
      </c>
      <c r="EF56" s="1144" t="e">
        <f t="shared" ca="1" si="176"/>
        <v>#N/A</v>
      </c>
      <c r="EG56" s="1144" t="e">
        <f t="shared" ca="1" si="176"/>
        <v>#N/A</v>
      </c>
      <c r="EH56" s="920"/>
      <c r="EI56" s="921"/>
      <c r="EJ56" s="918">
        <f t="shared" ca="1" si="177"/>
        <v>0</v>
      </c>
      <c r="EK56" s="918">
        <f t="shared" ca="1" si="177"/>
        <v>0</v>
      </c>
      <c r="EL56" s="918">
        <f t="shared" ca="1" si="177"/>
        <v>0</v>
      </c>
      <c r="EM56" s="918">
        <f t="shared" ca="1" si="177"/>
        <v>0</v>
      </c>
      <c r="EN56" s="920"/>
      <c r="EO56" s="921"/>
      <c r="EP56" s="1144">
        <f t="shared" ca="1" si="178"/>
        <v>-3.5170695878158833E-4</v>
      </c>
      <c r="EQ56" s="1144">
        <f t="shared" ca="1" si="178"/>
        <v>-3.5170695571077497E-4</v>
      </c>
      <c r="ER56" s="1144">
        <f t="shared" ca="1" si="178"/>
        <v>0</v>
      </c>
      <c r="ES56" s="1144">
        <f t="shared" ca="1" si="178"/>
        <v>-3.0665218755209275E-12</v>
      </c>
      <c r="ET56" s="920"/>
      <c r="EU56" s="921"/>
      <c r="EV56" s="1144">
        <f t="shared" ca="1" si="164"/>
        <v>0</v>
      </c>
      <c r="EW56" s="1144">
        <f t="shared" ca="1" si="164"/>
        <v>0</v>
      </c>
      <c r="EX56" s="921"/>
      <c r="EY56" s="1144">
        <f t="shared" ca="1" si="164"/>
        <v>0</v>
      </c>
      <c r="EZ56" s="1144">
        <f t="shared" ca="1" si="164"/>
        <v>0</v>
      </c>
      <c r="FA56" s="1144" t="e">
        <f t="shared" ca="1" si="164"/>
        <v>#N/A</v>
      </c>
      <c r="FB56" s="921"/>
      <c r="FC56" s="918">
        <f t="shared" ca="1" si="192"/>
        <v>0</v>
      </c>
      <c r="FD56" s="918">
        <f t="shared" ca="1" si="192"/>
        <v>0</v>
      </c>
      <c r="FE56" s="918">
        <f t="shared" ca="1" si="192"/>
        <v>0</v>
      </c>
      <c r="FF56" s="918">
        <f t="shared" ca="1" si="192"/>
        <v>0</v>
      </c>
      <c r="FG56" s="918">
        <f t="shared" ca="1" si="192"/>
        <v>0</v>
      </c>
      <c r="FH56" s="918">
        <f t="shared" ca="1" si="192"/>
        <v>0</v>
      </c>
      <c r="FI56" s="918">
        <f t="shared" ca="1" si="192"/>
        <v>0</v>
      </c>
      <c r="FJ56" s="918">
        <f t="shared" ca="1" si="192"/>
        <v>0</v>
      </c>
      <c r="FK56" s="918">
        <f t="shared" ca="1" si="192"/>
        <v>0</v>
      </c>
      <c r="FL56" s="918">
        <f t="shared" ca="1" si="192"/>
        <v>0</v>
      </c>
      <c r="FM56" s="918" t="e">
        <f t="shared" ca="1" si="193"/>
        <v>#N/A</v>
      </c>
      <c r="FN56" s="1144">
        <f t="shared" ca="1" si="193"/>
        <v>0</v>
      </c>
      <c r="FO56" s="1144">
        <f t="shared" ca="1" si="193"/>
        <v>0</v>
      </c>
      <c r="FP56" s="918">
        <f t="shared" ca="1" si="193"/>
        <v>0</v>
      </c>
      <c r="FQ56" s="918">
        <f t="shared" ca="1" si="193"/>
        <v>0</v>
      </c>
      <c r="FR56" s="918">
        <f t="shared" ca="1" si="193"/>
        <v>0</v>
      </c>
      <c r="FS56" s="918">
        <f t="shared" ca="1" si="193"/>
        <v>0</v>
      </c>
      <c r="FT56" s="918">
        <f t="shared" ca="1" si="193"/>
        <v>0</v>
      </c>
      <c r="FU56" s="918" t="e">
        <f t="shared" ca="1" si="193"/>
        <v>#N/A</v>
      </c>
      <c r="FV56" s="1144" t="e">
        <f t="shared" ca="1" si="193"/>
        <v>#N/A</v>
      </c>
      <c r="FW56" s="918">
        <f t="shared" ca="1" si="193"/>
        <v>0</v>
      </c>
      <c r="FX56" s="918">
        <f t="shared" ca="1" si="193"/>
        <v>0</v>
      </c>
      <c r="FY56" s="918">
        <f t="shared" ca="1" si="193"/>
        <v>0</v>
      </c>
      <c r="FZ56" s="918">
        <f t="shared" ca="1" si="193"/>
        <v>0</v>
      </c>
      <c r="GA56" s="1144" t="e">
        <f t="shared" ca="1" si="193"/>
        <v>#N/A</v>
      </c>
      <c r="GB56" s="918">
        <f t="shared" ca="1" si="193"/>
        <v>0</v>
      </c>
      <c r="GC56" s="920"/>
      <c r="GD56" s="918">
        <f t="shared" ca="1" si="194"/>
        <v>0</v>
      </c>
      <c r="GE56" s="918">
        <f t="shared" ca="1" si="194"/>
        <v>0</v>
      </c>
      <c r="GF56" s="918">
        <f t="shared" ca="1" si="194"/>
        <v>0</v>
      </c>
      <c r="GG56" s="918">
        <f t="shared" ca="1" si="194"/>
        <v>-1.8216141430105359E-36</v>
      </c>
      <c r="GH56" s="918" t="e">
        <f t="shared" ca="1" si="194"/>
        <v>#N/A</v>
      </c>
      <c r="GI56" s="1144" t="e">
        <f t="shared" ca="1" si="194"/>
        <v>#N/A</v>
      </c>
      <c r="GJ56" s="918">
        <f t="shared" ca="1" si="194"/>
        <v>-1.7034327116780614E-11</v>
      </c>
      <c r="GK56" s="918">
        <f t="shared" ca="1" si="194"/>
        <v>-3.5170695571077497E-4</v>
      </c>
      <c r="GL56" s="918">
        <f t="shared" ca="1" si="194"/>
        <v>0</v>
      </c>
      <c r="GM56" s="918">
        <f t="shared" ca="1" si="194"/>
        <v>0</v>
      </c>
      <c r="GN56" s="918">
        <f t="shared" ca="1" si="194"/>
        <v>0</v>
      </c>
      <c r="GO56" s="918" t="e">
        <f t="shared" ca="1" si="194"/>
        <v>#N/A</v>
      </c>
      <c r="GP56" s="915"/>
      <c r="GR56" s="946"/>
      <c r="GS56" s="946"/>
      <c r="GU56" s="946"/>
      <c r="GV56" s="946"/>
      <c r="GW56" s="946"/>
      <c r="GX56" s="1143"/>
      <c r="GY56" s="946"/>
    </row>
    <row r="57" spans="1:207" s="914" customFormat="1" x14ac:dyDescent="0.3">
      <c r="A57" s="975" t="s">
        <v>1535</v>
      </c>
      <c r="B57" s="977">
        <v>26</v>
      </c>
      <c r="C57" s="973">
        <v>118.08924</v>
      </c>
      <c r="D57" s="914">
        <v>-0.3280618200699999</v>
      </c>
      <c r="E57" s="972" t="s">
        <v>982</v>
      </c>
      <c r="F57" s="936">
        <f t="shared" ca="1" si="183"/>
        <v>0</v>
      </c>
      <c r="G57" s="918">
        <f t="shared" ca="1" si="183"/>
        <v>-8.3578422261210473E-6</v>
      </c>
      <c r="H57" s="918">
        <f t="shared" ca="1" si="183"/>
        <v>0</v>
      </c>
      <c r="I57" s="918">
        <f t="shared" ca="1" si="183"/>
        <v>0</v>
      </c>
      <c r="J57" s="918">
        <f t="shared" ca="1" si="183"/>
        <v>0</v>
      </c>
      <c r="K57" s="1144">
        <f t="shared" ca="1" si="183"/>
        <v>0</v>
      </c>
      <c r="L57" s="918">
        <f t="shared" ca="1" si="183"/>
        <v>0</v>
      </c>
      <c r="M57" s="918">
        <f t="shared" ca="1" si="183"/>
        <v>0</v>
      </c>
      <c r="N57" s="938">
        <f t="shared" ca="1" si="183"/>
        <v>0</v>
      </c>
      <c r="O57" s="918">
        <f t="shared" ca="1" si="183"/>
        <v>-1.2372696730768057E-10</v>
      </c>
      <c r="P57" s="939">
        <f t="shared" ca="1" si="183"/>
        <v>-8.3577184902627585E-6</v>
      </c>
      <c r="Q57" s="921"/>
      <c r="R57" s="918">
        <f t="shared" ca="1" si="184"/>
        <v>-8.3577184902627585E-6</v>
      </c>
      <c r="S57" s="918">
        <f t="shared" ca="1" si="184"/>
        <v>0</v>
      </c>
      <c r="T57" s="918">
        <f t="shared" ca="1" si="184"/>
        <v>0</v>
      </c>
      <c r="U57" s="918">
        <f t="shared" ca="1" si="184"/>
        <v>0</v>
      </c>
      <c r="V57" s="918">
        <f t="shared" ca="1" si="184"/>
        <v>0</v>
      </c>
      <c r="W57" s="918">
        <f t="shared" ca="1" si="184"/>
        <v>0</v>
      </c>
      <c r="X57" s="938">
        <f t="shared" ca="1" si="184"/>
        <v>-1.9397837700296918E-9</v>
      </c>
      <c r="Y57" s="918">
        <f t="shared" ca="1" si="184"/>
        <v>-1.2715823738845049</v>
      </c>
      <c r="Z57" s="918">
        <f t="shared" ca="1" si="184"/>
        <v>-1.7691292939465989E-9</v>
      </c>
      <c r="AA57" s="918">
        <f t="shared" ca="1" si="184"/>
        <v>-1.7063698582228014E-10</v>
      </c>
      <c r="AB57" s="921"/>
      <c r="AC57" s="918">
        <f t="shared" ca="1" si="185"/>
        <v>0</v>
      </c>
      <c r="AD57" s="918">
        <f t="shared" ca="1" si="185"/>
        <v>0</v>
      </c>
      <c r="AE57" s="918">
        <f t="shared" ca="1" si="185"/>
        <v>0</v>
      </c>
      <c r="AF57" s="918">
        <f t="shared" ca="1" si="185"/>
        <v>0</v>
      </c>
      <c r="AG57" s="918">
        <f t="shared" ca="1" si="185"/>
        <v>0</v>
      </c>
      <c r="AH57" s="918">
        <f t="shared" ca="1" si="185"/>
        <v>0</v>
      </c>
      <c r="AI57" s="918">
        <f t="shared" ca="1" si="185"/>
        <v>0</v>
      </c>
      <c r="AJ57" s="918">
        <f t="shared" ca="1" si="185"/>
        <v>0</v>
      </c>
      <c r="AK57" s="938">
        <f t="shared" ca="1" si="185"/>
        <v>0</v>
      </c>
      <c r="AL57" s="918">
        <f t="shared" ca="1" si="185"/>
        <v>0</v>
      </c>
      <c r="AM57" s="918">
        <f t="shared" ca="1" si="185"/>
        <v>0</v>
      </c>
      <c r="AN57" s="918">
        <f t="shared" ca="1" si="185"/>
        <v>0</v>
      </c>
      <c r="AO57" s="921"/>
      <c r="AP57" s="1144">
        <f t="shared" ref="AP57:BC72" ca="1" si="195">VLOOKUP(AP$8,INDIRECT(LU_MAT),$B57,FALSE)*$D57/$C57</f>
        <v>-1.2715823738845049</v>
      </c>
      <c r="AQ57" s="1144">
        <f t="shared" ca="1" si="195"/>
        <v>-1.7063698582228014E-10</v>
      </c>
      <c r="AR57" s="1144">
        <f t="shared" ca="1" si="195"/>
        <v>-1.7691292939465989E-9</v>
      </c>
      <c r="AS57" s="1144">
        <f t="shared" ca="1" si="195"/>
        <v>0</v>
      </c>
      <c r="AT57" s="938">
        <f t="shared" ca="1" si="195"/>
        <v>0</v>
      </c>
      <c r="AU57" s="938">
        <f t="shared" ca="1" si="195"/>
        <v>0</v>
      </c>
      <c r="AV57" s="1144">
        <f t="shared" ca="1" si="195"/>
        <v>0</v>
      </c>
      <c r="AW57" s="1144">
        <f t="shared" ca="1" si="195"/>
        <v>-1.9397837700296918E-9</v>
      </c>
      <c r="AX57" s="1144">
        <f t="shared" ca="1" si="195"/>
        <v>0</v>
      </c>
      <c r="AY57" s="1144">
        <f t="shared" ca="1" si="195"/>
        <v>-8.3578422261210473E-6</v>
      </c>
      <c r="AZ57" s="1144">
        <f t="shared" ca="1" si="195"/>
        <v>0</v>
      </c>
      <c r="BA57" s="1144">
        <f t="shared" ca="1" si="195"/>
        <v>-1.2242313112099514</v>
      </c>
      <c r="BB57" s="1144">
        <f t="shared" ca="1" si="195"/>
        <v>-4.7342702030963128E-2</v>
      </c>
      <c r="BC57" s="1144">
        <f t="shared" ca="1" si="195"/>
        <v>-3.6124001807428628E-9</v>
      </c>
      <c r="BD57" s="921"/>
      <c r="BE57" s="918">
        <f t="shared" ca="1" si="186"/>
        <v>-1.2715823738845049</v>
      </c>
      <c r="BF57" s="918">
        <f t="shared" ca="1" si="186"/>
        <v>-1.7063698582228014E-10</v>
      </c>
      <c r="BG57" s="918">
        <f t="shared" ca="1" si="186"/>
        <v>-1.7691292939465989E-9</v>
      </c>
      <c r="BH57" s="918">
        <f t="shared" ca="1" si="186"/>
        <v>0</v>
      </c>
      <c r="BI57" s="938">
        <f t="shared" ca="1" si="186"/>
        <v>0</v>
      </c>
      <c r="BJ57" s="918">
        <f t="shared" ca="1" si="186"/>
        <v>0</v>
      </c>
      <c r="BK57" s="918">
        <f t="shared" ca="1" si="186"/>
        <v>-1.9397837700296918E-9</v>
      </c>
      <c r="BL57" s="918">
        <f t="shared" ca="1" si="186"/>
        <v>0</v>
      </c>
      <c r="BM57" s="918">
        <f t="shared" ca="1" si="186"/>
        <v>-1.2715740174080405</v>
      </c>
      <c r="BN57" s="1144">
        <f t="shared" ca="1" si="186"/>
        <v>0</v>
      </c>
      <c r="BO57" s="918">
        <f t="shared" ca="1" si="186"/>
        <v>-8.3578422261210473E-6</v>
      </c>
      <c r="BP57" s="921"/>
      <c r="BQ57" s="918">
        <f t="shared" ca="1" si="187"/>
        <v>0</v>
      </c>
      <c r="BR57" s="918">
        <f t="shared" ca="1" si="187"/>
        <v>-1.2715740174080405</v>
      </c>
      <c r="BS57" s="1144">
        <f t="shared" ca="1" si="187"/>
        <v>0</v>
      </c>
      <c r="BT57" s="918">
        <f t="shared" ca="1" si="187"/>
        <v>-1.2242313112099514</v>
      </c>
      <c r="BU57" s="918">
        <f t="shared" ca="1" si="187"/>
        <v>-3.6124001807428628E-9</v>
      </c>
      <c r="BV57" s="918">
        <f t="shared" ca="1" si="187"/>
        <v>-4.7342702030963128E-2</v>
      </c>
      <c r="BW57" s="1144">
        <f t="shared" ca="1" si="187"/>
        <v>0</v>
      </c>
      <c r="BX57" s="921"/>
      <c r="BY57" s="918">
        <f t="shared" ca="1" si="188"/>
        <v>-4.7342702030963128E-2</v>
      </c>
      <c r="BZ57" s="918">
        <f t="shared" ca="1" si="188"/>
        <v>-3.6124001807428628E-9</v>
      </c>
      <c r="CA57" s="918">
        <f t="shared" ca="1" si="188"/>
        <v>0</v>
      </c>
      <c r="CB57" s="918">
        <f t="shared" ca="1" si="188"/>
        <v>-5.2971949613269515E-4</v>
      </c>
      <c r="CC57" s="918">
        <f t="shared" ca="1" si="188"/>
        <v>-3.7088467538909413E-10</v>
      </c>
      <c r="CD57" s="918">
        <f t="shared" ca="1" si="188"/>
        <v>0</v>
      </c>
      <c r="CE57" s="918">
        <f t="shared" ca="1" si="188"/>
        <v>0</v>
      </c>
      <c r="CF57" s="918">
        <f t="shared" ca="1" si="188"/>
        <v>0</v>
      </c>
      <c r="CG57" s="921"/>
      <c r="CH57" s="918">
        <f t="shared" ca="1" si="189"/>
        <v>-3.9832848589100411E-9</v>
      </c>
      <c r="CI57" s="918">
        <f t="shared" ca="1" si="189"/>
        <v>-4.7872421518761581E-2</v>
      </c>
      <c r="CJ57" s="918">
        <f t="shared" ca="1" si="189"/>
        <v>0</v>
      </c>
      <c r="CK57" s="918" t="e">
        <f t="shared" ca="1" si="189"/>
        <v>#N/A</v>
      </c>
      <c r="CL57" s="918" t="e">
        <f t="shared" ca="1" si="189"/>
        <v>#N/A</v>
      </c>
      <c r="CM57" s="921"/>
      <c r="CN57" s="918">
        <f t="shared" ca="1" si="190"/>
        <v>0</v>
      </c>
      <c r="CO57" s="918" t="e">
        <f t="shared" ca="1" si="190"/>
        <v>#N/A</v>
      </c>
      <c r="CP57" s="918">
        <f t="shared" ca="1" si="190"/>
        <v>0</v>
      </c>
      <c r="CQ57" s="918">
        <f t="shared" ca="1" si="190"/>
        <v>0</v>
      </c>
      <c r="CR57" s="918">
        <f t="shared" ca="1" si="190"/>
        <v>0</v>
      </c>
      <c r="CS57" s="1144">
        <f t="shared" ca="1" si="190"/>
        <v>0</v>
      </c>
      <c r="CT57" s="921"/>
      <c r="CU57" s="918">
        <f t="shared" ca="1" si="191"/>
        <v>-1.2372696730768057E-10</v>
      </c>
      <c r="CV57" s="918">
        <f t="shared" ca="1" si="191"/>
        <v>0</v>
      </c>
      <c r="CW57" s="918">
        <f t="shared" ca="1" si="191"/>
        <v>0</v>
      </c>
      <c r="CX57" s="918">
        <f t="shared" ca="1" si="191"/>
        <v>-1.2242313112099514</v>
      </c>
      <c r="CY57" s="918">
        <f t="shared" ca="1" si="191"/>
        <v>0</v>
      </c>
      <c r="CZ57" s="1144" t="e">
        <f t="shared" ca="1" si="191"/>
        <v>#N/A</v>
      </c>
      <c r="DA57" s="1144" t="e">
        <f t="shared" ca="1" si="191"/>
        <v>#N/A</v>
      </c>
      <c r="DB57" s="918">
        <f t="shared" ca="1" si="191"/>
        <v>0</v>
      </c>
      <c r="DC57" s="938">
        <f t="shared" ca="1" si="191"/>
        <v>0</v>
      </c>
      <c r="DD57" s="918">
        <f t="shared" ca="1" si="191"/>
        <v>-3.7088467538909413E-10</v>
      </c>
      <c r="DE57" s="918">
        <f t="shared" ca="1" si="191"/>
        <v>-7.366645993302731E-12</v>
      </c>
      <c r="DF57" s="918">
        <f t="shared" ca="1" si="191"/>
        <v>0</v>
      </c>
      <c r="DG57" s="918">
        <f t="shared" ca="1" si="191"/>
        <v>-6.6818529992689047E-4</v>
      </c>
      <c r="DH57" s="918">
        <f t="shared" ca="1" si="191"/>
        <v>-5.2971949613269515E-4</v>
      </c>
      <c r="DI57" s="921"/>
      <c r="DJ57" s="1144">
        <f t="shared" ref="DJ57:DP72" ca="1" si="196">VLOOKUP(DJ$8,INDIRECT(LU_MAT),$B57,FALSE)*$D57/$C57</f>
        <v>-3.7178586081356062E-3</v>
      </c>
      <c r="DK57" s="1144">
        <f t="shared" ca="1" si="196"/>
        <v>-0.10980600900936749</v>
      </c>
      <c r="DL57" s="1144">
        <f t="shared" ca="1" si="196"/>
        <v>0</v>
      </c>
      <c r="DM57" s="1144">
        <f t="shared" ca="1" si="196"/>
        <v>0</v>
      </c>
      <c r="DN57" s="1144" t="e">
        <f t="shared" ca="1" si="196"/>
        <v>#N/A</v>
      </c>
      <c r="DO57" s="1144">
        <f t="shared" ca="1" si="196"/>
        <v>-4.5409547047001245E-3</v>
      </c>
      <c r="DP57" s="1144" t="e">
        <f t="shared" ca="1" si="196"/>
        <v>#N/A</v>
      </c>
      <c r="DQ57" s="921"/>
      <c r="DR57" s="1144">
        <f t="shared" ca="1" si="174"/>
        <v>-1.0568997040948316</v>
      </c>
      <c r="DS57" s="1144">
        <f t="shared" ca="1" si="174"/>
        <v>0</v>
      </c>
      <c r="DT57" s="1144">
        <f t="shared" ca="1" si="174"/>
        <v>0</v>
      </c>
      <c r="DU57" s="1144" t="e">
        <f t="shared" ca="1" si="174"/>
        <v>#N/A</v>
      </c>
      <c r="DV57" s="920"/>
      <c r="DW57" s="921"/>
      <c r="DX57" s="918">
        <f t="shared" ca="1" si="175"/>
        <v>-1.0568997040948316</v>
      </c>
      <c r="DY57" s="918">
        <f t="shared" ca="1" si="175"/>
        <v>0</v>
      </c>
      <c r="DZ57" s="918">
        <f t="shared" ca="1" si="175"/>
        <v>0</v>
      </c>
      <c r="EA57" s="918" t="e">
        <f t="shared" ca="1" si="175"/>
        <v>#N/A</v>
      </c>
      <c r="EB57" s="920"/>
      <c r="EC57" s="921"/>
      <c r="ED57" s="1144">
        <f t="shared" ca="1" si="176"/>
        <v>-5.7150790411923585E-2</v>
      </c>
      <c r="EE57" s="1144">
        <f t="shared" ca="1" si="176"/>
        <v>0</v>
      </c>
      <c r="EF57" s="1144" t="e">
        <f t="shared" ca="1" si="176"/>
        <v>#N/A</v>
      </c>
      <c r="EG57" s="1144" t="e">
        <f t="shared" ca="1" si="176"/>
        <v>#N/A</v>
      </c>
      <c r="EH57" s="920"/>
      <c r="EI57" s="921"/>
      <c r="EJ57" s="918">
        <f t="shared" ca="1" si="177"/>
        <v>0</v>
      </c>
      <c r="EK57" s="918">
        <f t="shared" ca="1" si="177"/>
        <v>0</v>
      </c>
      <c r="EL57" s="918">
        <f t="shared" ca="1" si="177"/>
        <v>0</v>
      </c>
      <c r="EM57" s="918">
        <f t="shared" ca="1" si="177"/>
        <v>0</v>
      </c>
      <c r="EN57" s="920"/>
      <c r="EO57" s="921"/>
      <c r="EP57" s="1144">
        <f t="shared" ca="1" si="178"/>
        <v>-6.6818529992689047E-4</v>
      </c>
      <c r="EQ57" s="1144">
        <f t="shared" ca="1" si="178"/>
        <v>-6.6818529992689047E-4</v>
      </c>
      <c r="ER57" s="1144">
        <f t="shared" ca="1" si="178"/>
        <v>0</v>
      </c>
      <c r="ES57" s="1144">
        <f t="shared" ca="1" si="178"/>
        <v>-1.8335490626441042E-12</v>
      </c>
      <c r="ET57" s="920"/>
      <c r="EU57" s="921"/>
      <c r="EV57" s="1144">
        <f t="shared" ref="EV57:FA72" ca="1" si="197">VLOOKUP(EV$8,INDIRECT(LU_MAT),$B57,FALSE)*$D57/$C57</f>
        <v>0</v>
      </c>
      <c r="EW57" s="1144">
        <f t="shared" ca="1" si="197"/>
        <v>0</v>
      </c>
      <c r="EX57" s="921"/>
      <c r="EY57" s="1144">
        <f t="shared" ca="1" si="197"/>
        <v>0</v>
      </c>
      <c r="EZ57" s="1144">
        <f t="shared" ca="1" si="197"/>
        <v>0</v>
      </c>
      <c r="FA57" s="1144" t="e">
        <f t="shared" ca="1" si="197"/>
        <v>#N/A</v>
      </c>
      <c r="FB57" s="921"/>
      <c r="FC57" s="918">
        <f t="shared" ca="1" si="192"/>
        <v>0</v>
      </c>
      <c r="FD57" s="918">
        <f t="shared" ca="1" si="192"/>
        <v>0</v>
      </c>
      <c r="FE57" s="918">
        <f t="shared" ca="1" si="192"/>
        <v>0</v>
      </c>
      <c r="FF57" s="918">
        <f t="shared" ca="1" si="192"/>
        <v>0</v>
      </c>
      <c r="FG57" s="918">
        <f t="shared" ca="1" si="192"/>
        <v>0</v>
      </c>
      <c r="FH57" s="918">
        <f t="shared" ca="1" si="192"/>
        <v>0</v>
      </c>
      <c r="FI57" s="918">
        <f t="shared" ca="1" si="192"/>
        <v>0</v>
      </c>
      <c r="FJ57" s="918">
        <f t="shared" ca="1" si="192"/>
        <v>0</v>
      </c>
      <c r="FK57" s="918">
        <f t="shared" ca="1" si="192"/>
        <v>0</v>
      </c>
      <c r="FL57" s="918">
        <f t="shared" ca="1" si="192"/>
        <v>0</v>
      </c>
      <c r="FM57" s="918" t="e">
        <f t="shared" ca="1" si="193"/>
        <v>#N/A</v>
      </c>
      <c r="FN57" s="1144">
        <f t="shared" ca="1" si="193"/>
        <v>0</v>
      </c>
      <c r="FO57" s="1144">
        <f t="shared" ca="1" si="193"/>
        <v>0</v>
      </c>
      <c r="FP57" s="918">
        <f t="shared" ca="1" si="193"/>
        <v>0</v>
      </c>
      <c r="FQ57" s="918">
        <f t="shared" ca="1" si="193"/>
        <v>0</v>
      </c>
      <c r="FR57" s="918">
        <f t="shared" ca="1" si="193"/>
        <v>0</v>
      </c>
      <c r="FS57" s="918">
        <f t="shared" ca="1" si="193"/>
        <v>0</v>
      </c>
      <c r="FT57" s="918">
        <f t="shared" ca="1" si="193"/>
        <v>0</v>
      </c>
      <c r="FU57" s="918" t="e">
        <f t="shared" ca="1" si="193"/>
        <v>#N/A</v>
      </c>
      <c r="FV57" s="1144" t="e">
        <f t="shared" ca="1" si="193"/>
        <v>#N/A</v>
      </c>
      <c r="FW57" s="918">
        <f t="shared" ca="1" si="193"/>
        <v>0</v>
      </c>
      <c r="FX57" s="918">
        <f t="shared" ca="1" si="193"/>
        <v>0</v>
      </c>
      <c r="FY57" s="918">
        <f t="shared" ca="1" si="193"/>
        <v>0</v>
      </c>
      <c r="FZ57" s="918">
        <f t="shared" ca="1" si="193"/>
        <v>0</v>
      </c>
      <c r="GA57" s="1144" t="e">
        <f t="shared" ca="1" si="193"/>
        <v>#N/A</v>
      </c>
      <c r="GB57" s="918">
        <f t="shared" ca="1" si="193"/>
        <v>0</v>
      </c>
      <c r="GC57" s="920"/>
      <c r="GD57" s="918">
        <f t="shared" ca="1" si="194"/>
        <v>0</v>
      </c>
      <c r="GE57" s="918">
        <f t="shared" ca="1" si="194"/>
        <v>0</v>
      </c>
      <c r="GF57" s="918">
        <f t="shared" ca="1" si="194"/>
        <v>0</v>
      </c>
      <c r="GG57" s="918">
        <f t="shared" ca="1" si="194"/>
        <v>0</v>
      </c>
      <c r="GH57" s="918" t="e">
        <f t="shared" ca="1" si="194"/>
        <v>#N/A</v>
      </c>
      <c r="GI57" s="1144" t="e">
        <f t="shared" ca="1" si="194"/>
        <v>#N/A</v>
      </c>
      <c r="GJ57" s="918">
        <f t="shared" ca="1" si="194"/>
        <v>-7.366645993302731E-12</v>
      </c>
      <c r="GK57" s="918">
        <f t="shared" ca="1" si="194"/>
        <v>-6.6818529992689047E-4</v>
      </c>
      <c r="GL57" s="918">
        <f t="shared" ca="1" si="194"/>
        <v>0</v>
      </c>
      <c r="GM57" s="918">
        <f t="shared" ca="1" si="194"/>
        <v>0</v>
      </c>
      <c r="GN57" s="918">
        <f t="shared" ca="1" si="194"/>
        <v>0</v>
      </c>
      <c r="GO57" s="918" t="e">
        <f t="shared" ca="1" si="194"/>
        <v>#N/A</v>
      </c>
      <c r="GP57" s="915"/>
      <c r="GR57" s="946"/>
      <c r="GS57" s="946"/>
      <c r="GU57" s="946"/>
      <c r="GV57" s="946"/>
      <c r="GW57" s="946"/>
      <c r="GX57" s="1143"/>
      <c r="GY57" s="946"/>
    </row>
    <row r="58" spans="1:207" s="914" customFormat="1" x14ac:dyDescent="0.3">
      <c r="A58" s="975" t="s">
        <v>1536</v>
      </c>
      <c r="B58" s="977">
        <v>31</v>
      </c>
      <c r="C58" s="973">
        <v>132.05629999999999</v>
      </c>
      <c r="D58" s="914">
        <v>0</v>
      </c>
      <c r="E58" s="972" t="s">
        <v>982</v>
      </c>
      <c r="F58" s="936">
        <f t="shared" ca="1" si="183"/>
        <v>0</v>
      </c>
      <c r="G58" s="918">
        <f t="shared" ca="1" si="183"/>
        <v>0</v>
      </c>
      <c r="H58" s="918">
        <f t="shared" ca="1" si="183"/>
        <v>0</v>
      </c>
      <c r="I58" s="918">
        <f t="shared" ca="1" si="183"/>
        <v>0</v>
      </c>
      <c r="J58" s="918">
        <f t="shared" ca="1" si="183"/>
        <v>0</v>
      </c>
      <c r="K58" s="1144">
        <f t="shared" ca="1" si="183"/>
        <v>0</v>
      </c>
      <c r="L58" s="918">
        <f t="shared" ca="1" si="183"/>
        <v>0</v>
      </c>
      <c r="M58" s="918">
        <f t="shared" ca="1" si="183"/>
        <v>0</v>
      </c>
      <c r="N58" s="938">
        <f t="shared" ca="1" si="183"/>
        <v>0</v>
      </c>
      <c r="O58" s="918">
        <f t="shared" ca="1" si="183"/>
        <v>0</v>
      </c>
      <c r="P58" s="939">
        <f t="shared" ca="1" si="183"/>
        <v>0</v>
      </c>
      <c r="Q58" s="921"/>
      <c r="R58" s="918">
        <f t="shared" ca="1" si="184"/>
        <v>0</v>
      </c>
      <c r="S58" s="918">
        <f t="shared" ca="1" si="184"/>
        <v>0</v>
      </c>
      <c r="T58" s="918">
        <f t="shared" ca="1" si="184"/>
        <v>0</v>
      </c>
      <c r="U58" s="918">
        <f t="shared" ca="1" si="184"/>
        <v>0</v>
      </c>
      <c r="V58" s="918">
        <f t="shared" ca="1" si="184"/>
        <v>0</v>
      </c>
      <c r="W58" s="918">
        <f t="shared" ca="1" si="184"/>
        <v>0</v>
      </c>
      <c r="X58" s="938">
        <f t="shared" ca="1" si="184"/>
        <v>0</v>
      </c>
      <c r="Y58" s="918">
        <f t="shared" ca="1" si="184"/>
        <v>0</v>
      </c>
      <c r="Z58" s="918">
        <f t="shared" ca="1" si="184"/>
        <v>0</v>
      </c>
      <c r="AA58" s="918">
        <f t="shared" ca="1" si="184"/>
        <v>0</v>
      </c>
      <c r="AB58" s="921"/>
      <c r="AC58" s="918">
        <f t="shared" ca="1" si="185"/>
        <v>0</v>
      </c>
      <c r="AD58" s="918">
        <f t="shared" ca="1" si="185"/>
        <v>0</v>
      </c>
      <c r="AE58" s="918">
        <f t="shared" ca="1" si="185"/>
        <v>0</v>
      </c>
      <c r="AF58" s="918">
        <f t="shared" ca="1" si="185"/>
        <v>0</v>
      </c>
      <c r="AG58" s="918">
        <f t="shared" ca="1" si="185"/>
        <v>0</v>
      </c>
      <c r="AH58" s="918">
        <f t="shared" ca="1" si="185"/>
        <v>0</v>
      </c>
      <c r="AI58" s="918">
        <f t="shared" ca="1" si="185"/>
        <v>0</v>
      </c>
      <c r="AJ58" s="918">
        <f t="shared" ca="1" si="185"/>
        <v>0</v>
      </c>
      <c r="AK58" s="938">
        <f t="shared" ca="1" si="185"/>
        <v>0</v>
      </c>
      <c r="AL58" s="918">
        <f t="shared" ca="1" si="185"/>
        <v>0</v>
      </c>
      <c r="AM58" s="918">
        <f t="shared" ca="1" si="185"/>
        <v>0</v>
      </c>
      <c r="AN58" s="918">
        <f t="shared" ca="1" si="185"/>
        <v>0</v>
      </c>
      <c r="AO58" s="921"/>
      <c r="AP58" s="1144">
        <f t="shared" ca="1" si="195"/>
        <v>0</v>
      </c>
      <c r="AQ58" s="1144">
        <f t="shared" ca="1" si="195"/>
        <v>0</v>
      </c>
      <c r="AR58" s="1144">
        <f t="shared" ca="1" si="195"/>
        <v>0</v>
      </c>
      <c r="AS58" s="1144">
        <f t="shared" ca="1" si="195"/>
        <v>0</v>
      </c>
      <c r="AT58" s="938">
        <f t="shared" ca="1" si="195"/>
        <v>0</v>
      </c>
      <c r="AU58" s="938">
        <f t="shared" ca="1" si="195"/>
        <v>0</v>
      </c>
      <c r="AV58" s="1144">
        <f t="shared" ca="1" si="195"/>
        <v>0</v>
      </c>
      <c r="AW58" s="1144">
        <f t="shared" ca="1" si="195"/>
        <v>0</v>
      </c>
      <c r="AX58" s="1144">
        <f t="shared" ca="1" si="195"/>
        <v>0</v>
      </c>
      <c r="AY58" s="1144">
        <f t="shared" ca="1" si="195"/>
        <v>0</v>
      </c>
      <c r="AZ58" s="1144">
        <f t="shared" ca="1" si="195"/>
        <v>0</v>
      </c>
      <c r="BA58" s="1144">
        <f t="shared" ca="1" si="195"/>
        <v>0</v>
      </c>
      <c r="BB58" s="1144">
        <f t="shared" ca="1" si="195"/>
        <v>0</v>
      </c>
      <c r="BC58" s="1144">
        <f t="shared" ca="1" si="195"/>
        <v>0</v>
      </c>
      <c r="BD58" s="921"/>
      <c r="BE58" s="918">
        <f t="shared" ca="1" si="186"/>
        <v>0</v>
      </c>
      <c r="BF58" s="918">
        <f t="shared" ca="1" si="186"/>
        <v>0</v>
      </c>
      <c r="BG58" s="918">
        <f t="shared" ca="1" si="186"/>
        <v>0</v>
      </c>
      <c r="BH58" s="918">
        <f t="shared" ca="1" si="186"/>
        <v>0</v>
      </c>
      <c r="BI58" s="938">
        <f t="shared" ca="1" si="186"/>
        <v>0</v>
      </c>
      <c r="BJ58" s="918">
        <f t="shared" ca="1" si="186"/>
        <v>0</v>
      </c>
      <c r="BK58" s="918">
        <f t="shared" ca="1" si="186"/>
        <v>0</v>
      </c>
      <c r="BL58" s="918">
        <f t="shared" ca="1" si="186"/>
        <v>0</v>
      </c>
      <c r="BM58" s="918">
        <f t="shared" ca="1" si="186"/>
        <v>0</v>
      </c>
      <c r="BN58" s="1144">
        <f t="shared" ca="1" si="186"/>
        <v>0</v>
      </c>
      <c r="BO58" s="918">
        <f t="shared" ca="1" si="186"/>
        <v>0</v>
      </c>
      <c r="BP58" s="921"/>
      <c r="BQ58" s="918">
        <f t="shared" ca="1" si="187"/>
        <v>0</v>
      </c>
      <c r="BR58" s="918">
        <f t="shared" ca="1" si="187"/>
        <v>0</v>
      </c>
      <c r="BS58" s="1144">
        <f t="shared" ca="1" si="187"/>
        <v>0</v>
      </c>
      <c r="BT58" s="918">
        <f t="shared" ca="1" si="187"/>
        <v>0</v>
      </c>
      <c r="BU58" s="918">
        <f t="shared" ca="1" si="187"/>
        <v>0</v>
      </c>
      <c r="BV58" s="918">
        <f t="shared" ca="1" si="187"/>
        <v>0</v>
      </c>
      <c r="BW58" s="1144">
        <f t="shared" ca="1" si="187"/>
        <v>0</v>
      </c>
      <c r="BX58" s="921"/>
      <c r="BY58" s="918">
        <f t="shared" ca="1" si="188"/>
        <v>0</v>
      </c>
      <c r="BZ58" s="918">
        <f t="shared" ca="1" si="188"/>
        <v>0</v>
      </c>
      <c r="CA58" s="918">
        <f t="shared" ca="1" si="188"/>
        <v>0</v>
      </c>
      <c r="CB58" s="918">
        <f t="shared" ca="1" si="188"/>
        <v>0</v>
      </c>
      <c r="CC58" s="918">
        <f t="shared" ca="1" si="188"/>
        <v>0</v>
      </c>
      <c r="CD58" s="918">
        <f t="shared" ca="1" si="188"/>
        <v>0</v>
      </c>
      <c r="CE58" s="918">
        <f t="shared" ca="1" si="188"/>
        <v>0</v>
      </c>
      <c r="CF58" s="918">
        <f t="shared" ca="1" si="188"/>
        <v>0</v>
      </c>
      <c r="CG58" s="921"/>
      <c r="CH58" s="918">
        <f t="shared" ca="1" si="189"/>
        <v>0</v>
      </c>
      <c r="CI58" s="918">
        <f t="shared" ca="1" si="189"/>
        <v>0</v>
      </c>
      <c r="CJ58" s="918">
        <f t="shared" ca="1" si="189"/>
        <v>0</v>
      </c>
      <c r="CK58" s="918" t="e">
        <f t="shared" ca="1" si="189"/>
        <v>#N/A</v>
      </c>
      <c r="CL58" s="918" t="e">
        <f t="shared" ca="1" si="189"/>
        <v>#N/A</v>
      </c>
      <c r="CM58" s="921"/>
      <c r="CN58" s="918">
        <f t="shared" ca="1" si="190"/>
        <v>0</v>
      </c>
      <c r="CO58" s="918" t="e">
        <f t="shared" ca="1" si="190"/>
        <v>#N/A</v>
      </c>
      <c r="CP58" s="918">
        <f t="shared" ca="1" si="190"/>
        <v>0</v>
      </c>
      <c r="CQ58" s="918">
        <f t="shared" ca="1" si="190"/>
        <v>0</v>
      </c>
      <c r="CR58" s="918">
        <f t="shared" ca="1" si="190"/>
        <v>0</v>
      </c>
      <c r="CS58" s="1144">
        <f t="shared" ca="1" si="190"/>
        <v>0</v>
      </c>
      <c r="CT58" s="921"/>
      <c r="CU58" s="918">
        <f t="shared" ca="1" si="191"/>
        <v>0</v>
      </c>
      <c r="CV58" s="918">
        <f t="shared" ca="1" si="191"/>
        <v>0</v>
      </c>
      <c r="CW58" s="918">
        <f t="shared" ca="1" si="191"/>
        <v>0</v>
      </c>
      <c r="CX58" s="918">
        <f t="shared" ca="1" si="191"/>
        <v>0</v>
      </c>
      <c r="CY58" s="918">
        <f t="shared" ca="1" si="191"/>
        <v>0</v>
      </c>
      <c r="CZ58" s="1144" t="e">
        <f t="shared" ca="1" si="191"/>
        <v>#N/A</v>
      </c>
      <c r="DA58" s="1144" t="e">
        <f t="shared" ca="1" si="191"/>
        <v>#N/A</v>
      </c>
      <c r="DB58" s="918">
        <f t="shared" ca="1" si="191"/>
        <v>0</v>
      </c>
      <c r="DC58" s="938">
        <f t="shared" ca="1" si="191"/>
        <v>0</v>
      </c>
      <c r="DD58" s="918">
        <f t="shared" ca="1" si="191"/>
        <v>0</v>
      </c>
      <c r="DE58" s="918">
        <f t="shared" ca="1" si="191"/>
        <v>0</v>
      </c>
      <c r="DF58" s="918">
        <f t="shared" ca="1" si="191"/>
        <v>0</v>
      </c>
      <c r="DG58" s="918">
        <f t="shared" ca="1" si="191"/>
        <v>0</v>
      </c>
      <c r="DH58" s="918">
        <f t="shared" ca="1" si="191"/>
        <v>0</v>
      </c>
      <c r="DI58" s="921"/>
      <c r="DJ58" s="1144">
        <f t="shared" ca="1" si="196"/>
        <v>0</v>
      </c>
      <c r="DK58" s="1144">
        <f t="shared" ca="1" si="196"/>
        <v>0</v>
      </c>
      <c r="DL58" s="1144">
        <f t="shared" ca="1" si="196"/>
        <v>0</v>
      </c>
      <c r="DM58" s="1144">
        <f t="shared" ca="1" si="196"/>
        <v>0</v>
      </c>
      <c r="DN58" s="1144" t="e">
        <f t="shared" ca="1" si="196"/>
        <v>#N/A</v>
      </c>
      <c r="DO58" s="1144">
        <f t="shared" ca="1" si="196"/>
        <v>0</v>
      </c>
      <c r="DP58" s="1144" t="e">
        <f t="shared" ca="1" si="196"/>
        <v>#N/A</v>
      </c>
      <c r="DQ58" s="921"/>
      <c r="DR58" s="1144">
        <f t="shared" ca="1" si="174"/>
        <v>0</v>
      </c>
      <c r="DS58" s="1144">
        <f t="shared" ca="1" si="174"/>
        <v>0</v>
      </c>
      <c r="DT58" s="1144">
        <f t="shared" ca="1" si="174"/>
        <v>0</v>
      </c>
      <c r="DU58" s="1144" t="e">
        <f t="shared" ca="1" si="174"/>
        <v>#N/A</v>
      </c>
      <c r="DV58" s="920"/>
      <c r="DW58" s="921"/>
      <c r="DX58" s="918">
        <f t="shared" ca="1" si="175"/>
        <v>0</v>
      </c>
      <c r="DY58" s="918">
        <f t="shared" ca="1" si="175"/>
        <v>0</v>
      </c>
      <c r="DZ58" s="918">
        <f t="shared" ca="1" si="175"/>
        <v>0</v>
      </c>
      <c r="EA58" s="918" t="e">
        <f t="shared" ca="1" si="175"/>
        <v>#N/A</v>
      </c>
      <c r="EB58" s="920"/>
      <c r="EC58" s="921"/>
      <c r="ED58" s="1144">
        <f t="shared" ca="1" si="176"/>
        <v>0</v>
      </c>
      <c r="EE58" s="1144">
        <f t="shared" ca="1" si="176"/>
        <v>0</v>
      </c>
      <c r="EF58" s="1144" t="e">
        <f t="shared" ca="1" si="176"/>
        <v>#N/A</v>
      </c>
      <c r="EG58" s="1144" t="e">
        <f t="shared" ca="1" si="176"/>
        <v>#N/A</v>
      </c>
      <c r="EH58" s="920"/>
      <c r="EI58" s="921"/>
      <c r="EJ58" s="918">
        <f t="shared" ca="1" si="177"/>
        <v>0</v>
      </c>
      <c r="EK58" s="918">
        <f t="shared" ca="1" si="177"/>
        <v>0</v>
      </c>
      <c r="EL58" s="918">
        <f t="shared" ca="1" si="177"/>
        <v>0</v>
      </c>
      <c r="EM58" s="918">
        <f t="shared" ca="1" si="177"/>
        <v>0</v>
      </c>
      <c r="EN58" s="920"/>
      <c r="EO58" s="921"/>
      <c r="EP58" s="1144">
        <f t="shared" ca="1" si="178"/>
        <v>0</v>
      </c>
      <c r="EQ58" s="1144">
        <f t="shared" ca="1" si="178"/>
        <v>0</v>
      </c>
      <c r="ER58" s="1144">
        <f t="shared" ca="1" si="178"/>
        <v>0</v>
      </c>
      <c r="ES58" s="1144">
        <f t="shared" ca="1" si="178"/>
        <v>0</v>
      </c>
      <c r="ET58" s="920"/>
      <c r="EU58" s="921"/>
      <c r="EV58" s="1144">
        <f t="shared" ca="1" si="197"/>
        <v>0</v>
      </c>
      <c r="EW58" s="1144">
        <f t="shared" ca="1" si="197"/>
        <v>0</v>
      </c>
      <c r="EX58" s="921"/>
      <c r="EY58" s="1144">
        <f t="shared" ca="1" si="197"/>
        <v>0</v>
      </c>
      <c r="EZ58" s="1144">
        <f t="shared" ca="1" si="197"/>
        <v>0</v>
      </c>
      <c r="FA58" s="1144" t="e">
        <f t="shared" ca="1" si="197"/>
        <v>#N/A</v>
      </c>
      <c r="FB58" s="921"/>
      <c r="FC58" s="918">
        <f t="shared" ca="1" si="192"/>
        <v>0</v>
      </c>
      <c r="FD58" s="918">
        <f t="shared" ca="1" si="192"/>
        <v>0</v>
      </c>
      <c r="FE58" s="918">
        <f t="shared" ca="1" si="192"/>
        <v>0</v>
      </c>
      <c r="FF58" s="918">
        <f t="shared" ca="1" si="192"/>
        <v>0</v>
      </c>
      <c r="FG58" s="918">
        <f t="shared" ca="1" si="192"/>
        <v>0</v>
      </c>
      <c r="FH58" s="918">
        <f t="shared" ca="1" si="192"/>
        <v>0</v>
      </c>
      <c r="FI58" s="918">
        <f t="shared" ca="1" si="192"/>
        <v>0</v>
      </c>
      <c r="FJ58" s="918">
        <f t="shared" ca="1" si="192"/>
        <v>0</v>
      </c>
      <c r="FK58" s="918">
        <f t="shared" ca="1" si="192"/>
        <v>0</v>
      </c>
      <c r="FL58" s="918">
        <f t="shared" ca="1" si="192"/>
        <v>0</v>
      </c>
      <c r="FM58" s="918" t="e">
        <f t="shared" ca="1" si="193"/>
        <v>#N/A</v>
      </c>
      <c r="FN58" s="1144">
        <f t="shared" ca="1" si="193"/>
        <v>0</v>
      </c>
      <c r="FO58" s="1144">
        <f t="shared" ca="1" si="193"/>
        <v>0</v>
      </c>
      <c r="FP58" s="918">
        <f t="shared" ca="1" si="193"/>
        <v>0</v>
      </c>
      <c r="FQ58" s="918">
        <f t="shared" ca="1" si="193"/>
        <v>0</v>
      </c>
      <c r="FR58" s="918">
        <f t="shared" ca="1" si="193"/>
        <v>0</v>
      </c>
      <c r="FS58" s="918">
        <f t="shared" ca="1" si="193"/>
        <v>0</v>
      </c>
      <c r="FT58" s="918">
        <f t="shared" ca="1" si="193"/>
        <v>0</v>
      </c>
      <c r="FU58" s="918" t="e">
        <f t="shared" ca="1" si="193"/>
        <v>#N/A</v>
      </c>
      <c r="FV58" s="1144" t="e">
        <f t="shared" ca="1" si="193"/>
        <v>#N/A</v>
      </c>
      <c r="FW58" s="918">
        <f t="shared" ca="1" si="193"/>
        <v>0</v>
      </c>
      <c r="FX58" s="918">
        <f t="shared" ca="1" si="193"/>
        <v>0</v>
      </c>
      <c r="FY58" s="918">
        <f t="shared" ca="1" si="193"/>
        <v>0</v>
      </c>
      <c r="FZ58" s="918">
        <f t="shared" ca="1" si="193"/>
        <v>0</v>
      </c>
      <c r="GA58" s="1144" t="e">
        <f t="shared" ca="1" si="193"/>
        <v>#N/A</v>
      </c>
      <c r="GB58" s="918">
        <f t="shared" ca="1" si="193"/>
        <v>0</v>
      </c>
      <c r="GC58" s="920"/>
      <c r="GD58" s="918">
        <f t="shared" ca="1" si="194"/>
        <v>0</v>
      </c>
      <c r="GE58" s="918">
        <f t="shared" ca="1" si="194"/>
        <v>0</v>
      </c>
      <c r="GF58" s="918">
        <f t="shared" ca="1" si="194"/>
        <v>0</v>
      </c>
      <c r="GG58" s="918">
        <f t="shared" ca="1" si="194"/>
        <v>0</v>
      </c>
      <c r="GH58" s="918" t="e">
        <f t="shared" ca="1" si="194"/>
        <v>#N/A</v>
      </c>
      <c r="GI58" s="1144" t="e">
        <f t="shared" ca="1" si="194"/>
        <v>#N/A</v>
      </c>
      <c r="GJ58" s="918">
        <f t="shared" ca="1" si="194"/>
        <v>0</v>
      </c>
      <c r="GK58" s="918">
        <f t="shared" ca="1" si="194"/>
        <v>0</v>
      </c>
      <c r="GL58" s="918">
        <f t="shared" ca="1" si="194"/>
        <v>0</v>
      </c>
      <c r="GM58" s="918">
        <f t="shared" ca="1" si="194"/>
        <v>0</v>
      </c>
      <c r="GN58" s="918">
        <f t="shared" ca="1" si="194"/>
        <v>0</v>
      </c>
      <c r="GO58" s="918" t="e">
        <f t="shared" ca="1" si="194"/>
        <v>#N/A</v>
      </c>
      <c r="GP58" s="915"/>
      <c r="GR58" s="946"/>
      <c r="GS58" s="946"/>
      <c r="GU58" s="946"/>
      <c r="GV58" s="946"/>
      <c r="GW58" s="946"/>
      <c r="GX58" s="1143"/>
      <c r="GY58" s="946"/>
    </row>
    <row r="59" spans="1:207" s="914" customFormat="1" x14ac:dyDescent="0.3">
      <c r="A59" s="975" t="s">
        <v>1537</v>
      </c>
      <c r="B59" s="977">
        <v>37</v>
      </c>
      <c r="C59" s="973">
        <v>100.20403999999999</v>
      </c>
      <c r="D59" s="914">
        <v>-1.0663997156599998</v>
      </c>
      <c r="E59" s="972" t="s">
        <v>982</v>
      </c>
      <c r="F59" s="936">
        <f t="shared" ca="1" si="183"/>
        <v>0</v>
      </c>
      <c r="G59" s="918">
        <f t="shared" ca="1" si="183"/>
        <v>0</v>
      </c>
      <c r="H59" s="918">
        <f t="shared" ca="1" si="183"/>
        <v>0</v>
      </c>
      <c r="I59" s="918">
        <f t="shared" ca="1" si="183"/>
        <v>0</v>
      </c>
      <c r="J59" s="918">
        <f t="shared" ca="1" si="183"/>
        <v>0</v>
      </c>
      <c r="K59" s="1144">
        <f t="shared" ca="1" si="183"/>
        <v>0</v>
      </c>
      <c r="L59" s="918">
        <f t="shared" ca="1" si="183"/>
        <v>0</v>
      </c>
      <c r="M59" s="918">
        <f t="shared" ca="1" si="183"/>
        <v>0</v>
      </c>
      <c r="N59" s="938">
        <f t="shared" ca="1" si="183"/>
        <v>0</v>
      </c>
      <c r="O59" s="918">
        <f t="shared" ca="1" si="183"/>
        <v>0</v>
      </c>
      <c r="P59" s="939">
        <f t="shared" ca="1" si="183"/>
        <v>0</v>
      </c>
      <c r="Q59" s="921"/>
      <c r="R59" s="918">
        <f t="shared" ca="1" si="184"/>
        <v>0</v>
      </c>
      <c r="S59" s="918">
        <f t="shared" ca="1" si="184"/>
        <v>0</v>
      </c>
      <c r="T59" s="918">
        <f t="shared" ca="1" si="184"/>
        <v>0</v>
      </c>
      <c r="U59" s="918">
        <f t="shared" ca="1" si="184"/>
        <v>0</v>
      </c>
      <c r="V59" s="918">
        <f t="shared" ca="1" si="184"/>
        <v>0</v>
      </c>
      <c r="W59" s="918">
        <f t="shared" ca="1" si="184"/>
        <v>0</v>
      </c>
      <c r="X59" s="938">
        <f t="shared" ca="1" si="184"/>
        <v>0</v>
      </c>
      <c r="Y59" s="918">
        <f t="shared" ca="1" si="184"/>
        <v>0</v>
      </c>
      <c r="Z59" s="918">
        <f t="shared" ca="1" si="184"/>
        <v>0</v>
      </c>
      <c r="AA59" s="918">
        <f t="shared" ca="1" si="184"/>
        <v>0</v>
      </c>
      <c r="AB59" s="921"/>
      <c r="AC59" s="918">
        <f t="shared" ca="1" si="185"/>
        <v>0</v>
      </c>
      <c r="AD59" s="918">
        <f t="shared" ca="1" si="185"/>
        <v>0</v>
      </c>
      <c r="AE59" s="918">
        <f t="shared" ca="1" si="185"/>
        <v>0</v>
      </c>
      <c r="AF59" s="918">
        <f t="shared" ca="1" si="185"/>
        <v>0</v>
      </c>
      <c r="AG59" s="918">
        <f t="shared" ca="1" si="185"/>
        <v>0</v>
      </c>
      <c r="AH59" s="918">
        <f t="shared" ca="1" si="185"/>
        <v>0</v>
      </c>
      <c r="AI59" s="918">
        <f t="shared" ca="1" si="185"/>
        <v>0</v>
      </c>
      <c r="AJ59" s="918">
        <f t="shared" ca="1" si="185"/>
        <v>0</v>
      </c>
      <c r="AK59" s="938">
        <f t="shared" ca="1" si="185"/>
        <v>0</v>
      </c>
      <c r="AL59" s="918">
        <f t="shared" ca="1" si="185"/>
        <v>0</v>
      </c>
      <c r="AM59" s="918">
        <f t="shared" ca="1" si="185"/>
        <v>0</v>
      </c>
      <c r="AN59" s="918">
        <f t="shared" ca="1" si="185"/>
        <v>0</v>
      </c>
      <c r="AO59" s="921"/>
      <c r="AP59" s="1144">
        <f t="shared" ca="1" si="195"/>
        <v>0</v>
      </c>
      <c r="AQ59" s="1144">
        <f t="shared" ca="1" si="195"/>
        <v>0</v>
      </c>
      <c r="AR59" s="1144">
        <f t="shared" ca="1" si="195"/>
        <v>0</v>
      </c>
      <c r="AS59" s="1144">
        <f t="shared" ca="1" si="195"/>
        <v>0</v>
      </c>
      <c r="AT59" s="938">
        <f t="shared" ca="1" si="195"/>
        <v>0</v>
      </c>
      <c r="AU59" s="938">
        <f t="shared" ca="1" si="195"/>
        <v>0</v>
      </c>
      <c r="AV59" s="1144">
        <f t="shared" ca="1" si="195"/>
        <v>0</v>
      </c>
      <c r="AW59" s="1144">
        <f t="shared" ca="1" si="195"/>
        <v>0</v>
      </c>
      <c r="AX59" s="1144">
        <f t="shared" ca="1" si="195"/>
        <v>0</v>
      </c>
      <c r="AY59" s="1144">
        <f t="shared" ca="1" si="195"/>
        <v>0</v>
      </c>
      <c r="AZ59" s="1144">
        <f t="shared" ca="1" si="195"/>
        <v>0</v>
      </c>
      <c r="BA59" s="1144">
        <f t="shared" ca="1" si="195"/>
        <v>0</v>
      </c>
      <c r="BB59" s="1144">
        <f t="shared" ca="1" si="195"/>
        <v>0</v>
      </c>
      <c r="BC59" s="1144">
        <f t="shared" ca="1" si="195"/>
        <v>0</v>
      </c>
      <c r="BD59" s="921"/>
      <c r="BE59" s="918">
        <f t="shared" ca="1" si="186"/>
        <v>0</v>
      </c>
      <c r="BF59" s="918">
        <f t="shared" ca="1" si="186"/>
        <v>0</v>
      </c>
      <c r="BG59" s="918">
        <f t="shared" ca="1" si="186"/>
        <v>0</v>
      </c>
      <c r="BH59" s="918">
        <f t="shared" ca="1" si="186"/>
        <v>0</v>
      </c>
      <c r="BI59" s="938">
        <f t="shared" ca="1" si="186"/>
        <v>0</v>
      </c>
      <c r="BJ59" s="918">
        <f t="shared" ca="1" si="186"/>
        <v>0</v>
      </c>
      <c r="BK59" s="918">
        <f t="shared" ca="1" si="186"/>
        <v>0</v>
      </c>
      <c r="BL59" s="918">
        <f t="shared" ca="1" si="186"/>
        <v>0</v>
      </c>
      <c r="BM59" s="918">
        <f t="shared" ca="1" si="186"/>
        <v>0</v>
      </c>
      <c r="BN59" s="1144">
        <f t="shared" ca="1" si="186"/>
        <v>0</v>
      </c>
      <c r="BO59" s="918">
        <f t="shared" ca="1" si="186"/>
        <v>0</v>
      </c>
      <c r="BP59" s="921"/>
      <c r="BQ59" s="918">
        <f t="shared" ca="1" si="187"/>
        <v>0</v>
      </c>
      <c r="BR59" s="918">
        <f t="shared" ca="1" si="187"/>
        <v>0</v>
      </c>
      <c r="BS59" s="1144">
        <f t="shared" ca="1" si="187"/>
        <v>0</v>
      </c>
      <c r="BT59" s="918">
        <f t="shared" ca="1" si="187"/>
        <v>0</v>
      </c>
      <c r="BU59" s="918">
        <f t="shared" ca="1" si="187"/>
        <v>0</v>
      </c>
      <c r="BV59" s="918">
        <f t="shared" ca="1" si="187"/>
        <v>0</v>
      </c>
      <c r="BW59" s="1144">
        <f t="shared" ca="1" si="187"/>
        <v>0</v>
      </c>
      <c r="BX59" s="921"/>
      <c r="BY59" s="918">
        <f t="shared" ca="1" si="188"/>
        <v>0</v>
      </c>
      <c r="BZ59" s="918">
        <f t="shared" ca="1" si="188"/>
        <v>0</v>
      </c>
      <c r="CA59" s="918">
        <f t="shared" ca="1" si="188"/>
        <v>0</v>
      </c>
      <c r="CB59" s="918">
        <f t="shared" ca="1" si="188"/>
        <v>0</v>
      </c>
      <c r="CC59" s="918">
        <f t="shared" ca="1" si="188"/>
        <v>0</v>
      </c>
      <c r="CD59" s="918">
        <f t="shared" ca="1" si="188"/>
        <v>0</v>
      </c>
      <c r="CE59" s="918">
        <f t="shared" ca="1" si="188"/>
        <v>0</v>
      </c>
      <c r="CF59" s="918">
        <f t="shared" ca="1" si="188"/>
        <v>0</v>
      </c>
      <c r="CG59" s="921"/>
      <c r="CH59" s="918">
        <f t="shared" ca="1" si="189"/>
        <v>0</v>
      </c>
      <c r="CI59" s="918">
        <f t="shared" ca="1" si="189"/>
        <v>0</v>
      </c>
      <c r="CJ59" s="918">
        <f t="shared" ca="1" si="189"/>
        <v>0</v>
      </c>
      <c r="CK59" s="918" t="e">
        <f t="shared" ca="1" si="189"/>
        <v>#N/A</v>
      </c>
      <c r="CL59" s="918" t="e">
        <f t="shared" ca="1" si="189"/>
        <v>#N/A</v>
      </c>
      <c r="CM59" s="921"/>
      <c r="CN59" s="918">
        <f t="shared" ca="1" si="190"/>
        <v>0</v>
      </c>
      <c r="CO59" s="918" t="e">
        <f t="shared" ca="1" si="190"/>
        <v>#N/A</v>
      </c>
      <c r="CP59" s="918">
        <f t="shared" ca="1" si="190"/>
        <v>0</v>
      </c>
      <c r="CQ59" s="918">
        <f t="shared" ca="1" si="190"/>
        <v>0</v>
      </c>
      <c r="CR59" s="918">
        <f t="shared" ca="1" si="190"/>
        <v>0</v>
      </c>
      <c r="CS59" s="1144">
        <f t="shared" ca="1" si="190"/>
        <v>0</v>
      </c>
      <c r="CT59" s="921"/>
      <c r="CU59" s="918">
        <f t="shared" ca="1" si="191"/>
        <v>0</v>
      </c>
      <c r="CV59" s="918">
        <f t="shared" ca="1" si="191"/>
        <v>0</v>
      </c>
      <c r="CW59" s="918">
        <f t="shared" ca="1" si="191"/>
        <v>0</v>
      </c>
      <c r="CX59" s="918">
        <f t="shared" ca="1" si="191"/>
        <v>0</v>
      </c>
      <c r="CY59" s="918">
        <f t="shared" ca="1" si="191"/>
        <v>0</v>
      </c>
      <c r="CZ59" s="1144" t="e">
        <f t="shared" ca="1" si="191"/>
        <v>#N/A</v>
      </c>
      <c r="DA59" s="1144" t="e">
        <f t="shared" ca="1" si="191"/>
        <v>#N/A</v>
      </c>
      <c r="DB59" s="918">
        <f t="shared" ca="1" si="191"/>
        <v>0</v>
      </c>
      <c r="DC59" s="938">
        <f t="shared" ca="1" si="191"/>
        <v>0</v>
      </c>
      <c r="DD59" s="918">
        <f t="shared" ca="1" si="191"/>
        <v>0</v>
      </c>
      <c r="DE59" s="918">
        <f t="shared" ca="1" si="191"/>
        <v>0</v>
      </c>
      <c r="DF59" s="918">
        <f t="shared" ca="1" si="191"/>
        <v>0</v>
      </c>
      <c r="DG59" s="918">
        <f t="shared" ca="1" si="191"/>
        <v>0</v>
      </c>
      <c r="DH59" s="918">
        <f t="shared" ca="1" si="191"/>
        <v>0</v>
      </c>
      <c r="DI59" s="921"/>
      <c r="DJ59" s="1144">
        <f t="shared" ca="1" si="196"/>
        <v>0</v>
      </c>
      <c r="DK59" s="1144">
        <f t="shared" ca="1" si="196"/>
        <v>0</v>
      </c>
      <c r="DL59" s="1144">
        <f t="shared" ca="1" si="196"/>
        <v>0</v>
      </c>
      <c r="DM59" s="1144">
        <f t="shared" ca="1" si="196"/>
        <v>0</v>
      </c>
      <c r="DN59" s="1144" t="e">
        <f t="shared" ca="1" si="196"/>
        <v>#N/A</v>
      </c>
      <c r="DO59" s="1144">
        <f t="shared" ca="1" si="196"/>
        <v>0</v>
      </c>
      <c r="DP59" s="1144" t="e">
        <f t="shared" ca="1" si="196"/>
        <v>#N/A</v>
      </c>
      <c r="DQ59" s="921"/>
      <c r="DR59" s="1144">
        <f t="shared" ca="1" si="174"/>
        <v>0</v>
      </c>
      <c r="DS59" s="1144">
        <f t="shared" ca="1" si="174"/>
        <v>0</v>
      </c>
      <c r="DT59" s="1144">
        <f t="shared" ca="1" si="174"/>
        <v>0</v>
      </c>
      <c r="DU59" s="1144" t="e">
        <f t="shared" ca="1" si="174"/>
        <v>#N/A</v>
      </c>
      <c r="DV59" s="920"/>
      <c r="DW59" s="921"/>
      <c r="DX59" s="918">
        <f t="shared" ca="1" si="175"/>
        <v>0</v>
      </c>
      <c r="DY59" s="918">
        <f t="shared" ca="1" si="175"/>
        <v>0</v>
      </c>
      <c r="DZ59" s="918">
        <f t="shared" ca="1" si="175"/>
        <v>0</v>
      </c>
      <c r="EA59" s="918" t="e">
        <f t="shared" ca="1" si="175"/>
        <v>#N/A</v>
      </c>
      <c r="EB59" s="920"/>
      <c r="EC59" s="921"/>
      <c r="ED59" s="1144">
        <f t="shared" ca="1" si="176"/>
        <v>0</v>
      </c>
      <c r="EE59" s="1144">
        <f t="shared" ca="1" si="176"/>
        <v>0</v>
      </c>
      <c r="EF59" s="1144" t="e">
        <f t="shared" ca="1" si="176"/>
        <v>#N/A</v>
      </c>
      <c r="EG59" s="1144" t="e">
        <f t="shared" ca="1" si="176"/>
        <v>#N/A</v>
      </c>
      <c r="EH59" s="920"/>
      <c r="EI59" s="921"/>
      <c r="EJ59" s="918">
        <f t="shared" ca="1" si="177"/>
        <v>0</v>
      </c>
      <c r="EK59" s="918">
        <f t="shared" ca="1" si="177"/>
        <v>0</v>
      </c>
      <c r="EL59" s="918">
        <f t="shared" ca="1" si="177"/>
        <v>0</v>
      </c>
      <c r="EM59" s="918">
        <f t="shared" ca="1" si="177"/>
        <v>0</v>
      </c>
      <c r="EN59" s="920"/>
      <c r="EO59" s="921"/>
      <c r="EP59" s="1144">
        <f t="shared" ca="1" si="178"/>
        <v>0</v>
      </c>
      <c r="EQ59" s="1144">
        <f t="shared" ca="1" si="178"/>
        <v>0</v>
      </c>
      <c r="ER59" s="1144">
        <f t="shared" ca="1" si="178"/>
        <v>0</v>
      </c>
      <c r="ES59" s="1144">
        <f t="shared" ca="1" si="178"/>
        <v>0</v>
      </c>
      <c r="ET59" s="920"/>
      <c r="EU59" s="921"/>
      <c r="EV59" s="1144">
        <f t="shared" ca="1" si="197"/>
        <v>0</v>
      </c>
      <c r="EW59" s="1144">
        <f t="shared" ca="1" si="197"/>
        <v>0</v>
      </c>
      <c r="EX59" s="921"/>
      <c r="EY59" s="1144">
        <f t="shared" ca="1" si="197"/>
        <v>0</v>
      </c>
      <c r="EZ59" s="1144">
        <f t="shared" ca="1" si="197"/>
        <v>0</v>
      </c>
      <c r="FA59" s="1144" t="e">
        <f t="shared" ca="1" si="197"/>
        <v>#N/A</v>
      </c>
      <c r="FB59" s="921"/>
      <c r="FC59" s="918">
        <f t="shared" ca="1" si="192"/>
        <v>0</v>
      </c>
      <c r="FD59" s="918">
        <f t="shared" ca="1" si="192"/>
        <v>0</v>
      </c>
      <c r="FE59" s="918">
        <f t="shared" ca="1" si="192"/>
        <v>0</v>
      </c>
      <c r="FF59" s="918">
        <f t="shared" ca="1" si="192"/>
        <v>0</v>
      </c>
      <c r="FG59" s="918">
        <f t="shared" ca="1" si="192"/>
        <v>0</v>
      </c>
      <c r="FH59" s="918">
        <f t="shared" ca="1" si="192"/>
        <v>0</v>
      </c>
      <c r="FI59" s="918">
        <f t="shared" ca="1" si="192"/>
        <v>0</v>
      </c>
      <c r="FJ59" s="918">
        <f t="shared" ca="1" si="192"/>
        <v>0</v>
      </c>
      <c r="FK59" s="918">
        <f t="shared" ca="1" si="192"/>
        <v>0</v>
      </c>
      <c r="FL59" s="918">
        <f t="shared" ca="1" si="192"/>
        <v>0</v>
      </c>
      <c r="FM59" s="918" t="e">
        <f t="shared" ca="1" si="193"/>
        <v>#N/A</v>
      </c>
      <c r="FN59" s="1144">
        <f t="shared" ca="1" si="193"/>
        <v>0</v>
      </c>
      <c r="FO59" s="1144">
        <f t="shared" ca="1" si="193"/>
        <v>0</v>
      </c>
      <c r="FP59" s="918">
        <f t="shared" ca="1" si="193"/>
        <v>0</v>
      </c>
      <c r="FQ59" s="918">
        <f t="shared" ca="1" si="193"/>
        <v>0</v>
      </c>
      <c r="FR59" s="918">
        <f t="shared" ca="1" si="193"/>
        <v>0</v>
      </c>
      <c r="FS59" s="918">
        <f t="shared" ca="1" si="193"/>
        <v>0</v>
      </c>
      <c r="FT59" s="918">
        <f t="shared" ca="1" si="193"/>
        <v>0</v>
      </c>
      <c r="FU59" s="918" t="e">
        <f t="shared" ca="1" si="193"/>
        <v>#N/A</v>
      </c>
      <c r="FV59" s="1144" t="e">
        <f t="shared" ca="1" si="193"/>
        <v>#N/A</v>
      </c>
      <c r="FW59" s="918">
        <f t="shared" ca="1" si="193"/>
        <v>0</v>
      </c>
      <c r="FX59" s="918">
        <f t="shared" ca="1" si="193"/>
        <v>0</v>
      </c>
      <c r="FY59" s="918">
        <f t="shared" ca="1" si="193"/>
        <v>0</v>
      </c>
      <c r="FZ59" s="918">
        <f t="shared" ca="1" si="193"/>
        <v>0</v>
      </c>
      <c r="GA59" s="1144" t="e">
        <f t="shared" ca="1" si="193"/>
        <v>#N/A</v>
      </c>
      <c r="GB59" s="918">
        <f t="shared" ca="1" si="193"/>
        <v>0</v>
      </c>
      <c r="GC59" s="920"/>
      <c r="GD59" s="918">
        <f t="shared" ca="1" si="194"/>
        <v>0</v>
      </c>
      <c r="GE59" s="918">
        <f t="shared" ca="1" si="194"/>
        <v>0</v>
      </c>
      <c r="GF59" s="918">
        <f t="shared" ca="1" si="194"/>
        <v>0</v>
      </c>
      <c r="GG59" s="918">
        <f t="shared" ca="1" si="194"/>
        <v>0</v>
      </c>
      <c r="GH59" s="918" t="e">
        <f t="shared" ca="1" si="194"/>
        <v>#N/A</v>
      </c>
      <c r="GI59" s="1144" t="e">
        <f t="shared" ca="1" si="194"/>
        <v>#N/A</v>
      </c>
      <c r="GJ59" s="918">
        <f t="shared" ca="1" si="194"/>
        <v>0</v>
      </c>
      <c r="GK59" s="918">
        <f t="shared" ca="1" si="194"/>
        <v>0</v>
      </c>
      <c r="GL59" s="918">
        <f t="shared" ca="1" si="194"/>
        <v>0</v>
      </c>
      <c r="GM59" s="918">
        <f t="shared" ca="1" si="194"/>
        <v>0</v>
      </c>
      <c r="GN59" s="918">
        <f t="shared" ca="1" si="194"/>
        <v>0</v>
      </c>
      <c r="GO59" s="918" t="e">
        <f t="shared" ca="1" si="194"/>
        <v>#N/A</v>
      </c>
      <c r="GP59" s="915"/>
      <c r="GR59" s="946"/>
      <c r="GS59" s="946"/>
      <c r="GU59" s="946"/>
      <c r="GV59" s="946"/>
      <c r="GW59" s="946"/>
      <c r="GX59" s="1143"/>
      <c r="GY59" s="946"/>
    </row>
    <row r="60" spans="1:207" s="914" customFormat="1" x14ac:dyDescent="0.3">
      <c r="A60" s="975" t="s">
        <v>1538</v>
      </c>
      <c r="B60" s="977">
        <v>38</v>
      </c>
      <c r="C60" s="973">
        <v>282.46676000000002</v>
      </c>
      <c r="D60" s="914">
        <v>-2.4775787360900003</v>
      </c>
      <c r="E60" s="972" t="s">
        <v>982</v>
      </c>
      <c r="F60" s="936">
        <f t="shared" ca="1" si="183"/>
        <v>0</v>
      </c>
      <c r="G60" s="918">
        <f t="shared" ca="1" si="183"/>
        <v>-1.3895961501879339E-7</v>
      </c>
      <c r="H60" s="918">
        <f t="shared" ca="1" si="183"/>
        <v>0</v>
      </c>
      <c r="I60" s="918">
        <f t="shared" ca="1" si="183"/>
        <v>0</v>
      </c>
      <c r="J60" s="918">
        <f t="shared" ca="1" si="183"/>
        <v>0</v>
      </c>
      <c r="K60" s="1144">
        <f t="shared" ca="1" si="183"/>
        <v>0</v>
      </c>
      <c r="L60" s="918">
        <f t="shared" ca="1" si="183"/>
        <v>0</v>
      </c>
      <c r="M60" s="918">
        <f t="shared" ca="1" si="183"/>
        <v>0</v>
      </c>
      <c r="N60" s="938">
        <f t="shared" ca="1" si="183"/>
        <v>0</v>
      </c>
      <c r="O60" s="918">
        <f t="shared" ca="1" si="183"/>
        <v>0</v>
      </c>
      <c r="P60" s="939">
        <f t="shared" ca="1" si="183"/>
        <v>-1.3895920189422442E-7</v>
      </c>
      <c r="Q60" s="921"/>
      <c r="R60" s="918">
        <f t="shared" ca="1" si="184"/>
        <v>-1.3895920189422442E-7</v>
      </c>
      <c r="S60" s="918">
        <f t="shared" ca="1" si="184"/>
        <v>-0.11716203565853063</v>
      </c>
      <c r="T60" s="918">
        <f t="shared" ca="1" si="184"/>
        <v>0</v>
      </c>
      <c r="U60" s="918">
        <f t="shared" ca="1" si="184"/>
        <v>0</v>
      </c>
      <c r="V60" s="918">
        <f t="shared" ca="1" si="184"/>
        <v>0</v>
      </c>
      <c r="W60" s="918">
        <f t="shared" ca="1" si="184"/>
        <v>0</v>
      </c>
      <c r="X60" s="938">
        <f t="shared" ca="1" si="184"/>
        <v>-6.4807103041876305E-12</v>
      </c>
      <c r="Y60" s="918">
        <f t="shared" ca="1" si="184"/>
        <v>-0.11716230054944321</v>
      </c>
      <c r="Z60" s="918">
        <f t="shared" ca="1" si="184"/>
        <v>-5.8738281020409611E-12</v>
      </c>
      <c r="AA60" s="918">
        <f t="shared" ca="1" si="184"/>
        <v>-6.0686256513425033E-13</v>
      </c>
      <c r="AB60" s="921"/>
      <c r="AC60" s="918">
        <f t="shared" ca="1" si="185"/>
        <v>0</v>
      </c>
      <c r="AD60" s="918">
        <f t="shared" ca="1" si="185"/>
        <v>0</v>
      </c>
      <c r="AE60" s="918">
        <f t="shared" ca="1" si="185"/>
        <v>0</v>
      </c>
      <c r="AF60" s="918">
        <f t="shared" ca="1" si="185"/>
        <v>0</v>
      </c>
      <c r="AG60" s="918">
        <f t="shared" ca="1" si="185"/>
        <v>0</v>
      </c>
      <c r="AH60" s="918">
        <f t="shared" ca="1" si="185"/>
        <v>0</v>
      </c>
      <c r="AI60" s="918">
        <f t="shared" ca="1" si="185"/>
        <v>-0.11716175936502911</v>
      </c>
      <c r="AJ60" s="918">
        <f t="shared" ca="1" si="185"/>
        <v>0</v>
      </c>
      <c r="AK60" s="938">
        <f t="shared" ca="1" si="185"/>
        <v>0</v>
      </c>
      <c r="AL60" s="918">
        <f t="shared" ca="1" si="185"/>
        <v>-0.11716203565853063</v>
      </c>
      <c r="AM60" s="918">
        <f t="shared" ca="1" si="185"/>
        <v>-1.2622881742064188E-12</v>
      </c>
      <c r="AN60" s="918">
        <f t="shared" ca="1" si="185"/>
        <v>-2.4867493471957429E-10</v>
      </c>
      <c r="AO60" s="921"/>
      <c r="AP60" s="1144">
        <f t="shared" ca="1" si="195"/>
        <v>-0.11716230054944321</v>
      </c>
      <c r="AQ60" s="1144">
        <f t="shared" ca="1" si="195"/>
        <v>-6.0686256513425033E-13</v>
      </c>
      <c r="AR60" s="1144">
        <f t="shared" ca="1" si="195"/>
        <v>-5.8738281020409611E-12</v>
      </c>
      <c r="AS60" s="1144">
        <f t="shared" ca="1" si="195"/>
        <v>0</v>
      </c>
      <c r="AT60" s="938">
        <f t="shared" ca="1" si="195"/>
        <v>0</v>
      </c>
      <c r="AU60" s="938">
        <f t="shared" ca="1" si="195"/>
        <v>0</v>
      </c>
      <c r="AV60" s="1144">
        <f t="shared" ca="1" si="195"/>
        <v>0</v>
      </c>
      <c r="AW60" s="1144">
        <f t="shared" ca="1" si="195"/>
        <v>-6.4807103041876305E-12</v>
      </c>
      <c r="AX60" s="1144">
        <f t="shared" ca="1" si="195"/>
        <v>0</v>
      </c>
      <c r="AY60" s="1144">
        <f t="shared" ca="1" si="195"/>
        <v>-1.3895961501879339E-7</v>
      </c>
      <c r="AZ60" s="1144">
        <f t="shared" ca="1" si="195"/>
        <v>0</v>
      </c>
      <c r="BA60" s="1144">
        <f t="shared" ca="1" si="195"/>
        <v>-0.11280002963647538</v>
      </c>
      <c r="BB60" s="1144">
        <f t="shared" ca="1" si="195"/>
        <v>-4.3621319943495038E-3</v>
      </c>
      <c r="BC60" s="1144">
        <f t="shared" ca="1" si="195"/>
        <v>-2.4774795335661166E-11</v>
      </c>
      <c r="BD60" s="921"/>
      <c r="BE60" s="918">
        <f t="shared" ca="1" si="186"/>
        <v>-0.11716230054944321</v>
      </c>
      <c r="BF60" s="918">
        <f t="shared" ca="1" si="186"/>
        <v>-6.0686256513425033E-13</v>
      </c>
      <c r="BG60" s="918">
        <f t="shared" ca="1" si="186"/>
        <v>-5.8738281020409611E-12</v>
      </c>
      <c r="BH60" s="918">
        <f t="shared" ca="1" si="186"/>
        <v>0</v>
      </c>
      <c r="BI60" s="938">
        <f t="shared" ca="1" si="186"/>
        <v>0</v>
      </c>
      <c r="BJ60" s="918">
        <f t="shared" ca="1" si="186"/>
        <v>0</v>
      </c>
      <c r="BK60" s="918">
        <f t="shared" ca="1" si="186"/>
        <v>-6.4807103041876305E-12</v>
      </c>
      <c r="BL60" s="918">
        <f t="shared" ca="1" si="186"/>
        <v>0</v>
      </c>
      <c r="BM60" s="918">
        <f t="shared" ca="1" si="186"/>
        <v>-0.11716216196413134</v>
      </c>
      <c r="BN60" s="1144">
        <f t="shared" ca="1" si="186"/>
        <v>0</v>
      </c>
      <c r="BO60" s="918">
        <f t="shared" ca="1" si="186"/>
        <v>-1.3895961501879339E-7</v>
      </c>
      <c r="BP60" s="921"/>
      <c r="BQ60" s="918">
        <f t="shared" ca="1" si="187"/>
        <v>0</v>
      </c>
      <c r="BR60" s="918">
        <f t="shared" ca="1" si="187"/>
        <v>-0.11716216196413134</v>
      </c>
      <c r="BS60" s="1144">
        <f t="shared" ca="1" si="187"/>
        <v>0</v>
      </c>
      <c r="BT60" s="918">
        <f t="shared" ca="1" si="187"/>
        <v>-0.11280002963647538</v>
      </c>
      <c r="BU60" s="918">
        <f t="shared" ca="1" si="187"/>
        <v>-2.4774795335661166E-11</v>
      </c>
      <c r="BV60" s="918">
        <f t="shared" ca="1" si="187"/>
        <v>-4.3621319943495038E-3</v>
      </c>
      <c r="BW60" s="1144">
        <f t="shared" ca="1" si="187"/>
        <v>0</v>
      </c>
      <c r="BX60" s="921"/>
      <c r="BY60" s="918">
        <f t="shared" ca="1" si="188"/>
        <v>-4.3621319943495038E-3</v>
      </c>
      <c r="BZ60" s="918">
        <f t="shared" ca="1" si="188"/>
        <v>-2.4774795335661166E-11</v>
      </c>
      <c r="CA60" s="918">
        <f t="shared" ca="1" si="188"/>
        <v>0</v>
      </c>
      <c r="CB60" s="918">
        <f t="shared" ca="1" si="188"/>
        <v>-1.0114390061051656E-4</v>
      </c>
      <c r="CC60" s="918">
        <f t="shared" ca="1" si="188"/>
        <v>-2.5470976106233911E-12</v>
      </c>
      <c r="CD60" s="918">
        <f t="shared" ca="1" si="188"/>
        <v>0</v>
      </c>
      <c r="CE60" s="918">
        <f t="shared" ca="1" si="188"/>
        <v>0</v>
      </c>
      <c r="CF60" s="918">
        <f t="shared" ca="1" si="188"/>
        <v>0</v>
      </c>
      <c r="CG60" s="921"/>
      <c r="CH60" s="918">
        <f t="shared" ca="1" si="189"/>
        <v>-2.7321892937513335E-11</v>
      </c>
      <c r="CI60" s="918">
        <f t="shared" ca="1" si="189"/>
        <v>-4.4632758967142637E-3</v>
      </c>
      <c r="CJ60" s="918">
        <f t="shared" ca="1" si="189"/>
        <v>0</v>
      </c>
      <c r="CK60" s="918" t="e">
        <f t="shared" ca="1" si="189"/>
        <v>#N/A</v>
      </c>
      <c r="CL60" s="918" t="e">
        <f t="shared" ca="1" si="189"/>
        <v>#N/A</v>
      </c>
      <c r="CM60" s="921"/>
      <c r="CN60" s="918">
        <f t="shared" ca="1" si="190"/>
        <v>0</v>
      </c>
      <c r="CO60" s="918" t="e">
        <f t="shared" ca="1" si="190"/>
        <v>#N/A</v>
      </c>
      <c r="CP60" s="918">
        <f t="shared" ca="1" si="190"/>
        <v>0</v>
      </c>
      <c r="CQ60" s="918">
        <f t="shared" ca="1" si="190"/>
        <v>0</v>
      </c>
      <c r="CR60" s="918">
        <f t="shared" ca="1" si="190"/>
        <v>0</v>
      </c>
      <c r="CS60" s="1144">
        <f t="shared" ca="1" si="190"/>
        <v>0</v>
      </c>
      <c r="CT60" s="921"/>
      <c r="CU60" s="918">
        <f t="shared" ca="1" si="191"/>
        <v>0</v>
      </c>
      <c r="CV60" s="918">
        <f t="shared" ca="1" si="191"/>
        <v>0</v>
      </c>
      <c r="CW60" s="918">
        <f t="shared" ca="1" si="191"/>
        <v>0</v>
      </c>
      <c r="CX60" s="918">
        <f t="shared" ca="1" si="191"/>
        <v>-0.11280002963647538</v>
      </c>
      <c r="CY60" s="918">
        <f t="shared" ca="1" si="191"/>
        <v>0</v>
      </c>
      <c r="CZ60" s="1144" t="e">
        <f t="shared" ca="1" si="191"/>
        <v>#N/A</v>
      </c>
      <c r="DA60" s="1144" t="e">
        <f t="shared" ca="1" si="191"/>
        <v>#N/A</v>
      </c>
      <c r="DB60" s="918">
        <f t="shared" ca="1" si="191"/>
        <v>0</v>
      </c>
      <c r="DC60" s="938">
        <f t="shared" ca="1" si="191"/>
        <v>0</v>
      </c>
      <c r="DD60" s="918">
        <f t="shared" ca="1" si="191"/>
        <v>-2.5470976106233911E-12</v>
      </c>
      <c r="DE60" s="918">
        <f t="shared" ca="1" si="191"/>
        <v>-1.117483881541104E-12</v>
      </c>
      <c r="DF60" s="918">
        <f t="shared" ca="1" si="191"/>
        <v>0</v>
      </c>
      <c r="DG60" s="918">
        <f t="shared" ca="1" si="191"/>
        <v>-3.4458432249810842E-3</v>
      </c>
      <c r="DH60" s="918">
        <f t="shared" ca="1" si="191"/>
        <v>-1.0114390061051656E-4</v>
      </c>
      <c r="DI60" s="921"/>
      <c r="DJ60" s="1144">
        <f t="shared" ca="1" si="196"/>
        <v>-1.9173061600202383E-2</v>
      </c>
      <c r="DK60" s="1144">
        <f t="shared" ca="1" si="196"/>
        <v>-1.0849736356444919E-2</v>
      </c>
      <c r="DL60" s="1144">
        <f t="shared" ca="1" si="196"/>
        <v>0</v>
      </c>
      <c r="DM60" s="1144">
        <f t="shared" ca="1" si="196"/>
        <v>0</v>
      </c>
      <c r="DN60" s="1144" t="e">
        <f t="shared" ca="1" si="196"/>
        <v>#N/A</v>
      </c>
      <c r="DO60" s="1144">
        <f t="shared" ca="1" si="196"/>
        <v>-2.3417782346540583E-2</v>
      </c>
      <c r="DP60" s="1144" t="e">
        <f t="shared" ca="1" si="196"/>
        <v>#N/A</v>
      </c>
      <c r="DQ60" s="921"/>
      <c r="DR60" s="1144">
        <f t="shared" ca="1" si="174"/>
        <v>-9.7382183006723425E-2</v>
      </c>
      <c r="DS60" s="1144">
        <f t="shared" ca="1" si="174"/>
        <v>0</v>
      </c>
      <c r="DT60" s="1144">
        <f t="shared" ca="1" si="174"/>
        <v>0</v>
      </c>
      <c r="DU60" s="1144" t="e">
        <f t="shared" ca="1" si="174"/>
        <v>#N/A</v>
      </c>
      <c r="DV60" s="920"/>
      <c r="DW60" s="921"/>
      <c r="DX60" s="918">
        <f t="shared" ca="1" si="175"/>
        <v>-9.7382183006723425E-2</v>
      </c>
      <c r="DY60" s="918">
        <f t="shared" ca="1" si="175"/>
        <v>0</v>
      </c>
      <c r="DZ60" s="918">
        <f t="shared" ca="1" si="175"/>
        <v>0</v>
      </c>
      <c r="EA60" s="918" t="e">
        <f t="shared" ca="1" si="175"/>
        <v>#N/A</v>
      </c>
      <c r="EB60" s="920"/>
      <c r="EC60" s="921"/>
      <c r="ED60" s="1144">
        <f t="shared" ca="1" si="176"/>
        <v>-5.2658437782735117E-3</v>
      </c>
      <c r="EE60" s="1144">
        <f t="shared" ca="1" si="176"/>
        <v>0</v>
      </c>
      <c r="EF60" s="1144" t="e">
        <f t="shared" ca="1" si="176"/>
        <v>#N/A</v>
      </c>
      <c r="EG60" s="1144" t="e">
        <f t="shared" ca="1" si="176"/>
        <v>#N/A</v>
      </c>
      <c r="EH60" s="920"/>
      <c r="EI60" s="921"/>
      <c r="EJ60" s="918">
        <f t="shared" ca="1" si="177"/>
        <v>0</v>
      </c>
      <c r="EK60" s="918">
        <f t="shared" ca="1" si="177"/>
        <v>0</v>
      </c>
      <c r="EL60" s="918">
        <f t="shared" ca="1" si="177"/>
        <v>0</v>
      </c>
      <c r="EM60" s="918">
        <f t="shared" ca="1" si="177"/>
        <v>0</v>
      </c>
      <c r="EN60" s="920"/>
      <c r="EO60" s="921"/>
      <c r="EP60" s="1144">
        <f t="shared" ca="1" si="178"/>
        <v>-3.4458432249810842E-3</v>
      </c>
      <c r="EQ60" s="1144">
        <f t="shared" ca="1" si="178"/>
        <v>-3.4458432249810842E-3</v>
      </c>
      <c r="ER60" s="1144">
        <f t="shared" ca="1" si="178"/>
        <v>0</v>
      </c>
      <c r="ES60" s="1144">
        <f t="shared" ca="1" si="178"/>
        <v>-1.1770884418036286E-12</v>
      </c>
      <c r="ET60" s="920"/>
      <c r="EU60" s="921"/>
      <c r="EV60" s="1144">
        <f t="shared" ca="1" si="197"/>
        <v>0</v>
      </c>
      <c r="EW60" s="1144">
        <f t="shared" ca="1" si="197"/>
        <v>0</v>
      </c>
      <c r="EX60" s="921"/>
      <c r="EY60" s="1144">
        <f t="shared" ca="1" si="197"/>
        <v>0</v>
      </c>
      <c r="EZ60" s="1144">
        <f t="shared" ca="1" si="197"/>
        <v>0</v>
      </c>
      <c r="FA60" s="1144" t="e">
        <f t="shared" ca="1" si="197"/>
        <v>#N/A</v>
      </c>
      <c r="FB60" s="921"/>
      <c r="FC60" s="918">
        <f t="shared" ca="1" si="192"/>
        <v>0</v>
      </c>
      <c r="FD60" s="918">
        <f t="shared" ca="1" si="192"/>
        <v>0</v>
      </c>
      <c r="FE60" s="918">
        <f t="shared" ca="1" si="192"/>
        <v>0</v>
      </c>
      <c r="FF60" s="918">
        <f t="shared" ca="1" si="192"/>
        <v>0</v>
      </c>
      <c r="FG60" s="918">
        <f t="shared" ca="1" si="192"/>
        <v>0</v>
      </c>
      <c r="FH60" s="918">
        <f t="shared" ca="1" si="192"/>
        <v>0</v>
      </c>
      <c r="FI60" s="918">
        <f t="shared" ca="1" si="192"/>
        <v>0</v>
      </c>
      <c r="FJ60" s="918">
        <f t="shared" ca="1" si="192"/>
        <v>0</v>
      </c>
      <c r="FK60" s="918">
        <f t="shared" ca="1" si="192"/>
        <v>0</v>
      </c>
      <c r="FL60" s="918">
        <f t="shared" ca="1" si="192"/>
        <v>0</v>
      </c>
      <c r="FM60" s="918" t="e">
        <f t="shared" ca="1" si="193"/>
        <v>#N/A</v>
      </c>
      <c r="FN60" s="1144">
        <f t="shared" ca="1" si="193"/>
        <v>0</v>
      </c>
      <c r="FO60" s="1144">
        <f t="shared" ca="1" si="193"/>
        <v>0</v>
      </c>
      <c r="FP60" s="918">
        <f t="shared" ca="1" si="193"/>
        <v>0</v>
      </c>
      <c r="FQ60" s="918">
        <f t="shared" ca="1" si="193"/>
        <v>0</v>
      </c>
      <c r="FR60" s="918">
        <f t="shared" ca="1" si="193"/>
        <v>-0.11716175936502911</v>
      </c>
      <c r="FS60" s="918">
        <f t="shared" ca="1" si="193"/>
        <v>0</v>
      </c>
      <c r="FT60" s="918">
        <f t="shared" ca="1" si="193"/>
        <v>0</v>
      </c>
      <c r="FU60" s="918" t="e">
        <f t="shared" ca="1" si="193"/>
        <v>#N/A</v>
      </c>
      <c r="FV60" s="1144" t="e">
        <f t="shared" ca="1" si="193"/>
        <v>#N/A</v>
      </c>
      <c r="FW60" s="918">
        <f t="shared" ca="1" si="193"/>
        <v>0</v>
      </c>
      <c r="FX60" s="918">
        <f t="shared" ca="1" si="193"/>
        <v>0</v>
      </c>
      <c r="FY60" s="918">
        <f t="shared" ca="1" si="193"/>
        <v>0</v>
      </c>
      <c r="FZ60" s="918">
        <f t="shared" ca="1" si="193"/>
        <v>0</v>
      </c>
      <c r="GA60" s="1144" t="e">
        <f t="shared" ca="1" si="193"/>
        <v>#N/A</v>
      </c>
      <c r="GB60" s="918">
        <f t="shared" ca="1" si="193"/>
        <v>0</v>
      </c>
      <c r="GC60" s="920"/>
      <c r="GD60" s="918">
        <f t="shared" ca="1" si="194"/>
        <v>-2.4867493471957429E-10</v>
      </c>
      <c r="GE60" s="918">
        <f t="shared" ca="1" si="194"/>
        <v>-1.2622881742064188E-12</v>
      </c>
      <c r="GF60" s="918">
        <f t="shared" ca="1" si="194"/>
        <v>0</v>
      </c>
      <c r="GG60" s="918">
        <f t="shared" ca="1" si="194"/>
        <v>0</v>
      </c>
      <c r="GH60" s="918" t="e">
        <f t="shared" ca="1" si="194"/>
        <v>#N/A</v>
      </c>
      <c r="GI60" s="1144" t="e">
        <f t="shared" ca="1" si="194"/>
        <v>#N/A</v>
      </c>
      <c r="GJ60" s="918">
        <f t="shared" ca="1" si="194"/>
        <v>-1.117483881541104E-12</v>
      </c>
      <c r="GK60" s="918">
        <f t="shared" ca="1" si="194"/>
        <v>-3.4458432249810842E-3</v>
      </c>
      <c r="GL60" s="918">
        <f t="shared" ca="1" si="194"/>
        <v>0</v>
      </c>
      <c r="GM60" s="918">
        <f t="shared" ca="1" si="194"/>
        <v>0</v>
      </c>
      <c r="GN60" s="918">
        <f t="shared" ca="1" si="194"/>
        <v>0</v>
      </c>
      <c r="GO60" s="918" t="e">
        <f t="shared" ca="1" si="194"/>
        <v>#N/A</v>
      </c>
      <c r="GP60" s="915"/>
      <c r="GR60" s="946"/>
      <c r="GS60" s="946"/>
      <c r="GU60" s="946"/>
      <c r="GV60" s="946"/>
      <c r="GW60" s="946"/>
      <c r="GX60" s="1143"/>
      <c r="GY60" s="946"/>
    </row>
    <row r="61" spans="1:207" s="914" customFormat="1" x14ac:dyDescent="0.3">
      <c r="A61" s="975" t="s">
        <v>1539</v>
      </c>
      <c r="B61" s="977">
        <v>35</v>
      </c>
      <c r="C61" s="978">
        <v>180.16</v>
      </c>
      <c r="D61" s="914">
        <v>-0.61003928257999984</v>
      </c>
      <c r="E61" s="972" t="s">
        <v>982</v>
      </c>
      <c r="F61" s="936">
        <f t="shared" ca="1" si="183"/>
        <v>0</v>
      </c>
      <c r="G61" s="918">
        <f t="shared" ca="1" si="183"/>
        <v>0</v>
      </c>
      <c r="H61" s="918">
        <f t="shared" ca="1" si="183"/>
        <v>0</v>
      </c>
      <c r="I61" s="918">
        <f t="shared" ca="1" si="183"/>
        <v>0</v>
      </c>
      <c r="J61" s="918">
        <f t="shared" ca="1" si="183"/>
        <v>0</v>
      </c>
      <c r="K61" s="1144">
        <f t="shared" ca="1" si="183"/>
        <v>0</v>
      </c>
      <c r="L61" s="918">
        <f t="shared" ca="1" si="183"/>
        <v>0</v>
      </c>
      <c r="M61" s="918">
        <f t="shared" ca="1" si="183"/>
        <v>0</v>
      </c>
      <c r="N61" s="938">
        <f t="shared" ca="1" si="183"/>
        <v>0</v>
      </c>
      <c r="O61" s="918">
        <f t="shared" ca="1" si="183"/>
        <v>0</v>
      </c>
      <c r="P61" s="939">
        <f t="shared" ca="1" si="183"/>
        <v>0</v>
      </c>
      <c r="Q61" s="921"/>
      <c r="R61" s="918">
        <f t="shared" ca="1" si="184"/>
        <v>0</v>
      </c>
      <c r="S61" s="918">
        <f t="shared" ca="1" si="184"/>
        <v>0</v>
      </c>
      <c r="T61" s="918">
        <f t="shared" ca="1" si="184"/>
        <v>0</v>
      </c>
      <c r="U61" s="918">
        <f t="shared" ca="1" si="184"/>
        <v>0</v>
      </c>
      <c r="V61" s="918">
        <f t="shared" ca="1" si="184"/>
        <v>0</v>
      </c>
      <c r="W61" s="918">
        <f t="shared" ca="1" si="184"/>
        <v>0</v>
      </c>
      <c r="X61" s="938">
        <f t="shared" ca="1" si="184"/>
        <v>0</v>
      </c>
      <c r="Y61" s="918">
        <f t="shared" ca="1" si="184"/>
        <v>0</v>
      </c>
      <c r="Z61" s="918">
        <f t="shared" ca="1" si="184"/>
        <v>0</v>
      </c>
      <c r="AA61" s="918">
        <f t="shared" ca="1" si="184"/>
        <v>0</v>
      </c>
      <c r="AB61" s="921"/>
      <c r="AC61" s="918">
        <f t="shared" ca="1" si="185"/>
        <v>0</v>
      </c>
      <c r="AD61" s="918">
        <f t="shared" ca="1" si="185"/>
        <v>0</v>
      </c>
      <c r="AE61" s="918">
        <f t="shared" ca="1" si="185"/>
        <v>0</v>
      </c>
      <c r="AF61" s="918">
        <f t="shared" ca="1" si="185"/>
        <v>-0.22806057172544733</v>
      </c>
      <c r="AG61" s="918">
        <f t="shared" ca="1" si="185"/>
        <v>0</v>
      </c>
      <c r="AH61" s="918">
        <f t="shared" ca="1" si="185"/>
        <v>0</v>
      </c>
      <c r="AI61" s="918">
        <f t="shared" ca="1" si="185"/>
        <v>0</v>
      </c>
      <c r="AJ61" s="918">
        <f t="shared" ca="1" si="185"/>
        <v>0</v>
      </c>
      <c r="AK61" s="938">
        <f t="shared" ca="1" si="185"/>
        <v>0</v>
      </c>
      <c r="AL61" s="918">
        <f t="shared" ca="1" si="185"/>
        <v>0</v>
      </c>
      <c r="AM61" s="918">
        <f t="shared" ca="1" si="185"/>
        <v>0</v>
      </c>
      <c r="AN61" s="918">
        <f t="shared" ca="1" si="185"/>
        <v>0</v>
      </c>
      <c r="AO61" s="921"/>
      <c r="AP61" s="1144">
        <f t="shared" ca="1" si="195"/>
        <v>0</v>
      </c>
      <c r="AQ61" s="1144">
        <f t="shared" ca="1" si="195"/>
        <v>0</v>
      </c>
      <c r="AR61" s="1144">
        <f t="shared" ca="1" si="195"/>
        <v>0</v>
      </c>
      <c r="AS61" s="1144">
        <f t="shared" ca="1" si="195"/>
        <v>0</v>
      </c>
      <c r="AT61" s="938">
        <f t="shared" ca="1" si="195"/>
        <v>0</v>
      </c>
      <c r="AU61" s="938">
        <f t="shared" ca="1" si="195"/>
        <v>0</v>
      </c>
      <c r="AV61" s="1144">
        <f t="shared" ca="1" si="195"/>
        <v>0</v>
      </c>
      <c r="AW61" s="1144">
        <f t="shared" ca="1" si="195"/>
        <v>0</v>
      </c>
      <c r="AX61" s="1144">
        <f t="shared" ca="1" si="195"/>
        <v>0</v>
      </c>
      <c r="AY61" s="1144">
        <f t="shared" ca="1" si="195"/>
        <v>0</v>
      </c>
      <c r="AZ61" s="1144">
        <f t="shared" ca="1" si="195"/>
        <v>0</v>
      </c>
      <c r="BA61" s="1144">
        <f t="shared" ca="1" si="195"/>
        <v>0</v>
      </c>
      <c r="BB61" s="1144">
        <f t="shared" ca="1" si="195"/>
        <v>0</v>
      </c>
      <c r="BC61" s="1144">
        <f t="shared" ca="1" si="195"/>
        <v>0</v>
      </c>
      <c r="BD61" s="921"/>
      <c r="BE61" s="918">
        <f t="shared" ca="1" si="186"/>
        <v>0</v>
      </c>
      <c r="BF61" s="918">
        <f t="shared" ca="1" si="186"/>
        <v>0</v>
      </c>
      <c r="BG61" s="918">
        <f t="shared" ca="1" si="186"/>
        <v>0</v>
      </c>
      <c r="BH61" s="918">
        <f t="shared" ca="1" si="186"/>
        <v>0</v>
      </c>
      <c r="BI61" s="938">
        <f t="shared" ca="1" si="186"/>
        <v>0</v>
      </c>
      <c r="BJ61" s="918">
        <f t="shared" ca="1" si="186"/>
        <v>0</v>
      </c>
      <c r="BK61" s="918">
        <f t="shared" ca="1" si="186"/>
        <v>0</v>
      </c>
      <c r="BL61" s="918">
        <f t="shared" ca="1" si="186"/>
        <v>0</v>
      </c>
      <c r="BM61" s="918">
        <f t="shared" ca="1" si="186"/>
        <v>0</v>
      </c>
      <c r="BN61" s="1144">
        <f t="shared" ca="1" si="186"/>
        <v>0</v>
      </c>
      <c r="BO61" s="918">
        <f t="shared" ca="1" si="186"/>
        <v>0</v>
      </c>
      <c r="BP61" s="921"/>
      <c r="BQ61" s="918">
        <f t="shared" ca="1" si="187"/>
        <v>0</v>
      </c>
      <c r="BR61" s="918">
        <f t="shared" ca="1" si="187"/>
        <v>0</v>
      </c>
      <c r="BS61" s="1144">
        <f t="shared" ca="1" si="187"/>
        <v>0</v>
      </c>
      <c r="BT61" s="918">
        <f t="shared" ca="1" si="187"/>
        <v>0</v>
      </c>
      <c r="BU61" s="918">
        <f t="shared" ca="1" si="187"/>
        <v>0</v>
      </c>
      <c r="BV61" s="918">
        <f t="shared" ca="1" si="187"/>
        <v>0</v>
      </c>
      <c r="BW61" s="1144">
        <f t="shared" ca="1" si="187"/>
        <v>0</v>
      </c>
      <c r="BX61" s="921"/>
      <c r="BY61" s="918">
        <f t="shared" ca="1" si="188"/>
        <v>0</v>
      </c>
      <c r="BZ61" s="918">
        <f t="shared" ca="1" si="188"/>
        <v>0</v>
      </c>
      <c r="CA61" s="918">
        <f t="shared" ca="1" si="188"/>
        <v>0</v>
      </c>
      <c r="CB61" s="918">
        <f t="shared" ca="1" si="188"/>
        <v>0</v>
      </c>
      <c r="CC61" s="918">
        <f t="shared" ca="1" si="188"/>
        <v>0</v>
      </c>
      <c r="CD61" s="918">
        <f t="shared" ca="1" si="188"/>
        <v>0</v>
      </c>
      <c r="CE61" s="918">
        <f t="shared" ca="1" si="188"/>
        <v>0</v>
      </c>
      <c r="CF61" s="918">
        <f t="shared" ca="1" si="188"/>
        <v>0</v>
      </c>
      <c r="CG61" s="921"/>
      <c r="CH61" s="918">
        <f t="shared" ca="1" si="189"/>
        <v>0</v>
      </c>
      <c r="CI61" s="918">
        <f t="shared" ca="1" si="189"/>
        <v>0</v>
      </c>
      <c r="CJ61" s="918">
        <f t="shared" ca="1" si="189"/>
        <v>0</v>
      </c>
      <c r="CK61" s="918" t="e">
        <f t="shared" ca="1" si="189"/>
        <v>#N/A</v>
      </c>
      <c r="CL61" s="918" t="e">
        <f t="shared" ca="1" si="189"/>
        <v>#N/A</v>
      </c>
      <c r="CM61" s="921"/>
      <c r="CN61" s="918">
        <f t="shared" ca="1" si="190"/>
        <v>0</v>
      </c>
      <c r="CO61" s="918" t="e">
        <f t="shared" ca="1" si="190"/>
        <v>#N/A</v>
      </c>
      <c r="CP61" s="918">
        <f t="shared" ca="1" si="190"/>
        <v>0</v>
      </c>
      <c r="CQ61" s="918">
        <f t="shared" ca="1" si="190"/>
        <v>0</v>
      </c>
      <c r="CR61" s="918">
        <f t="shared" ca="1" si="190"/>
        <v>0</v>
      </c>
      <c r="CS61" s="1144">
        <f t="shared" ca="1" si="190"/>
        <v>0</v>
      </c>
      <c r="CT61" s="921"/>
      <c r="CU61" s="918">
        <f t="shared" ca="1" si="191"/>
        <v>0</v>
      </c>
      <c r="CV61" s="918">
        <f t="shared" ca="1" si="191"/>
        <v>0</v>
      </c>
      <c r="CW61" s="918">
        <f t="shared" ca="1" si="191"/>
        <v>0</v>
      </c>
      <c r="CX61" s="918">
        <f t="shared" ca="1" si="191"/>
        <v>0</v>
      </c>
      <c r="CY61" s="918">
        <f t="shared" ca="1" si="191"/>
        <v>0</v>
      </c>
      <c r="CZ61" s="1144" t="e">
        <f t="shared" ca="1" si="191"/>
        <v>#N/A</v>
      </c>
      <c r="DA61" s="1144" t="e">
        <f t="shared" ca="1" si="191"/>
        <v>#N/A</v>
      </c>
      <c r="DB61" s="918">
        <f t="shared" ca="1" si="191"/>
        <v>0</v>
      </c>
      <c r="DC61" s="938">
        <f t="shared" ca="1" si="191"/>
        <v>0</v>
      </c>
      <c r="DD61" s="918">
        <f t="shared" ca="1" si="191"/>
        <v>0</v>
      </c>
      <c r="DE61" s="918">
        <f t="shared" ca="1" si="191"/>
        <v>0</v>
      </c>
      <c r="DF61" s="918">
        <f t="shared" ca="1" si="191"/>
        <v>0</v>
      </c>
      <c r="DG61" s="918">
        <f t="shared" ca="1" si="191"/>
        <v>0</v>
      </c>
      <c r="DH61" s="918">
        <f t="shared" ca="1" si="191"/>
        <v>0</v>
      </c>
      <c r="DI61" s="921"/>
      <c r="DJ61" s="1144">
        <f t="shared" ca="1" si="196"/>
        <v>0</v>
      </c>
      <c r="DK61" s="1144">
        <f t="shared" ca="1" si="196"/>
        <v>0</v>
      </c>
      <c r="DL61" s="1144">
        <f t="shared" ca="1" si="196"/>
        <v>0</v>
      </c>
      <c r="DM61" s="1144">
        <f t="shared" ca="1" si="196"/>
        <v>0</v>
      </c>
      <c r="DN61" s="1144" t="e">
        <f t="shared" ca="1" si="196"/>
        <v>#N/A</v>
      </c>
      <c r="DO61" s="1144">
        <f t="shared" ca="1" si="196"/>
        <v>0</v>
      </c>
      <c r="DP61" s="1144" t="e">
        <f t="shared" ca="1" si="196"/>
        <v>#N/A</v>
      </c>
      <c r="DQ61" s="921"/>
      <c r="DR61" s="1144">
        <f t="shared" ca="1" si="174"/>
        <v>0</v>
      </c>
      <c r="DS61" s="1144">
        <f t="shared" ca="1" si="174"/>
        <v>0</v>
      </c>
      <c r="DT61" s="1144">
        <f t="shared" ca="1" si="174"/>
        <v>0</v>
      </c>
      <c r="DU61" s="1144" t="e">
        <f t="shared" ca="1" si="174"/>
        <v>#N/A</v>
      </c>
      <c r="DV61" s="920"/>
      <c r="DW61" s="921"/>
      <c r="DX61" s="918">
        <f t="shared" ca="1" si="175"/>
        <v>0</v>
      </c>
      <c r="DY61" s="918">
        <f t="shared" ca="1" si="175"/>
        <v>0</v>
      </c>
      <c r="DZ61" s="918">
        <f t="shared" ca="1" si="175"/>
        <v>0</v>
      </c>
      <c r="EA61" s="918" t="e">
        <f t="shared" ca="1" si="175"/>
        <v>#N/A</v>
      </c>
      <c r="EB61" s="920"/>
      <c r="EC61" s="921"/>
      <c r="ED61" s="1144">
        <f t="shared" ca="1" si="176"/>
        <v>0</v>
      </c>
      <c r="EE61" s="1144">
        <f t="shared" ca="1" si="176"/>
        <v>0</v>
      </c>
      <c r="EF61" s="1144" t="e">
        <f t="shared" ca="1" si="176"/>
        <v>#N/A</v>
      </c>
      <c r="EG61" s="1144" t="e">
        <f t="shared" ca="1" si="176"/>
        <v>#N/A</v>
      </c>
      <c r="EH61" s="920"/>
      <c r="EI61" s="921"/>
      <c r="EJ61" s="918">
        <f t="shared" ca="1" si="177"/>
        <v>0</v>
      </c>
      <c r="EK61" s="918">
        <f t="shared" ca="1" si="177"/>
        <v>0</v>
      </c>
      <c r="EL61" s="918">
        <f t="shared" ca="1" si="177"/>
        <v>0</v>
      </c>
      <c r="EM61" s="918">
        <f t="shared" ca="1" si="177"/>
        <v>0</v>
      </c>
      <c r="EN61" s="920"/>
      <c r="EO61" s="921"/>
      <c r="EP61" s="1144">
        <f t="shared" ca="1" si="178"/>
        <v>0</v>
      </c>
      <c r="EQ61" s="1144">
        <f t="shared" ca="1" si="178"/>
        <v>0</v>
      </c>
      <c r="ER61" s="1144">
        <f t="shared" ca="1" si="178"/>
        <v>0</v>
      </c>
      <c r="ES61" s="1144">
        <f t="shared" ca="1" si="178"/>
        <v>0</v>
      </c>
      <c r="ET61" s="920"/>
      <c r="EU61" s="921"/>
      <c r="EV61" s="1144">
        <f t="shared" ca="1" si="197"/>
        <v>0</v>
      </c>
      <c r="EW61" s="1144">
        <f t="shared" ca="1" si="197"/>
        <v>0</v>
      </c>
      <c r="EX61" s="921"/>
      <c r="EY61" s="1144">
        <f t="shared" ca="1" si="197"/>
        <v>0</v>
      </c>
      <c r="EZ61" s="1144">
        <f t="shared" ca="1" si="197"/>
        <v>0</v>
      </c>
      <c r="FA61" s="1144" t="e">
        <f t="shared" ca="1" si="197"/>
        <v>#N/A</v>
      </c>
      <c r="FB61" s="921"/>
      <c r="FC61" s="918">
        <f t="shared" ca="1" si="192"/>
        <v>0</v>
      </c>
      <c r="FD61" s="918">
        <f t="shared" ca="1" si="192"/>
        <v>0</v>
      </c>
      <c r="FE61" s="918">
        <f t="shared" ca="1" si="192"/>
        <v>0</v>
      </c>
      <c r="FF61" s="918">
        <f t="shared" ca="1" si="192"/>
        <v>0</v>
      </c>
      <c r="FG61" s="918">
        <f t="shared" ca="1" si="192"/>
        <v>0</v>
      </c>
      <c r="FH61" s="918">
        <f t="shared" ca="1" si="192"/>
        <v>0</v>
      </c>
      <c r="FI61" s="918">
        <f t="shared" ca="1" si="192"/>
        <v>0</v>
      </c>
      <c r="FJ61" s="918">
        <f t="shared" ca="1" si="192"/>
        <v>0</v>
      </c>
      <c r="FK61" s="918">
        <f t="shared" ca="1" si="192"/>
        <v>0</v>
      </c>
      <c r="FL61" s="918">
        <f t="shared" ca="1" si="192"/>
        <v>0</v>
      </c>
      <c r="FM61" s="918" t="e">
        <f t="shared" ca="1" si="193"/>
        <v>#N/A</v>
      </c>
      <c r="FN61" s="1144">
        <f t="shared" ca="1" si="193"/>
        <v>-0.22806057172544733</v>
      </c>
      <c r="FO61" s="1144">
        <f t="shared" ca="1" si="193"/>
        <v>0</v>
      </c>
      <c r="FP61" s="918">
        <f t="shared" ca="1" si="193"/>
        <v>0</v>
      </c>
      <c r="FQ61" s="918">
        <f t="shared" ca="1" si="193"/>
        <v>0</v>
      </c>
      <c r="FR61" s="918">
        <f t="shared" ca="1" si="193"/>
        <v>0</v>
      </c>
      <c r="FS61" s="918">
        <f t="shared" ca="1" si="193"/>
        <v>0</v>
      </c>
      <c r="FT61" s="918">
        <f t="shared" ca="1" si="193"/>
        <v>0</v>
      </c>
      <c r="FU61" s="918" t="e">
        <f t="shared" ca="1" si="193"/>
        <v>#N/A</v>
      </c>
      <c r="FV61" s="1144" t="e">
        <f t="shared" ca="1" si="193"/>
        <v>#N/A</v>
      </c>
      <c r="FW61" s="918">
        <f t="shared" ca="1" si="193"/>
        <v>0</v>
      </c>
      <c r="FX61" s="918">
        <f t="shared" ca="1" si="193"/>
        <v>0</v>
      </c>
      <c r="FY61" s="918">
        <f t="shared" ca="1" si="193"/>
        <v>0</v>
      </c>
      <c r="FZ61" s="918">
        <f t="shared" ca="1" si="193"/>
        <v>0</v>
      </c>
      <c r="GA61" s="1144" t="e">
        <f t="shared" ca="1" si="193"/>
        <v>#N/A</v>
      </c>
      <c r="GB61" s="918">
        <f t="shared" ca="1" si="193"/>
        <v>0</v>
      </c>
      <c r="GC61" s="920"/>
      <c r="GD61" s="918">
        <f t="shared" ca="1" si="194"/>
        <v>0</v>
      </c>
      <c r="GE61" s="918">
        <f t="shared" ca="1" si="194"/>
        <v>0</v>
      </c>
      <c r="GF61" s="918">
        <f t="shared" ca="1" si="194"/>
        <v>0</v>
      </c>
      <c r="GG61" s="918">
        <f t="shared" ca="1" si="194"/>
        <v>0</v>
      </c>
      <c r="GH61" s="918" t="e">
        <f t="shared" ca="1" si="194"/>
        <v>#N/A</v>
      </c>
      <c r="GI61" s="1144" t="e">
        <f t="shared" ca="1" si="194"/>
        <v>#N/A</v>
      </c>
      <c r="GJ61" s="918">
        <f t="shared" ca="1" si="194"/>
        <v>0</v>
      </c>
      <c r="GK61" s="918">
        <f t="shared" ca="1" si="194"/>
        <v>0</v>
      </c>
      <c r="GL61" s="918">
        <f t="shared" ca="1" si="194"/>
        <v>0</v>
      </c>
      <c r="GM61" s="918">
        <f t="shared" ca="1" si="194"/>
        <v>0</v>
      </c>
      <c r="GN61" s="918">
        <f t="shared" ca="1" si="194"/>
        <v>0</v>
      </c>
      <c r="GO61" s="918" t="e">
        <f t="shared" ca="1" si="194"/>
        <v>#N/A</v>
      </c>
      <c r="GP61" s="915"/>
      <c r="GR61" s="946"/>
      <c r="GS61" s="946"/>
      <c r="GU61" s="946"/>
      <c r="GV61" s="946"/>
      <c r="GW61" s="946"/>
      <c r="GX61" s="1143"/>
      <c r="GY61" s="946"/>
    </row>
    <row r="62" spans="1:207" s="914" customFormat="1" x14ac:dyDescent="0.3">
      <c r="A62" s="975" t="s">
        <v>1540</v>
      </c>
      <c r="B62" s="977">
        <v>36</v>
      </c>
      <c r="C62" s="973">
        <v>180.16</v>
      </c>
      <c r="D62" s="914">
        <v>-0.61003928257999984</v>
      </c>
      <c r="E62" s="972" t="s">
        <v>982</v>
      </c>
      <c r="F62" s="936">
        <f t="shared" ca="1" si="183"/>
        <v>0</v>
      </c>
      <c r="G62" s="918">
        <f t="shared" ca="1" si="183"/>
        <v>0</v>
      </c>
      <c r="H62" s="918">
        <f t="shared" ca="1" si="183"/>
        <v>0</v>
      </c>
      <c r="I62" s="918">
        <f t="shared" ca="1" si="183"/>
        <v>0</v>
      </c>
      <c r="J62" s="918">
        <f t="shared" ca="1" si="183"/>
        <v>0</v>
      </c>
      <c r="K62" s="1144">
        <f t="shared" ca="1" si="183"/>
        <v>0</v>
      </c>
      <c r="L62" s="918">
        <f t="shared" ca="1" si="183"/>
        <v>0</v>
      </c>
      <c r="M62" s="918">
        <f t="shared" ca="1" si="183"/>
        <v>0</v>
      </c>
      <c r="N62" s="938">
        <f t="shared" ca="1" si="183"/>
        <v>0</v>
      </c>
      <c r="O62" s="918">
        <f t="shared" ca="1" si="183"/>
        <v>0</v>
      </c>
      <c r="P62" s="939">
        <f t="shared" ca="1" si="183"/>
        <v>0</v>
      </c>
      <c r="Q62" s="921"/>
      <c r="R62" s="918">
        <f t="shared" ca="1" si="184"/>
        <v>0</v>
      </c>
      <c r="S62" s="918">
        <f t="shared" ca="1" si="184"/>
        <v>0</v>
      </c>
      <c r="T62" s="918">
        <f t="shared" ca="1" si="184"/>
        <v>0</v>
      </c>
      <c r="U62" s="918">
        <f t="shared" ca="1" si="184"/>
        <v>0</v>
      </c>
      <c r="V62" s="918">
        <f t="shared" ca="1" si="184"/>
        <v>0</v>
      </c>
      <c r="W62" s="918">
        <f t="shared" ca="1" si="184"/>
        <v>0</v>
      </c>
      <c r="X62" s="938">
        <f t="shared" ca="1" si="184"/>
        <v>0</v>
      </c>
      <c r="Y62" s="918">
        <f t="shared" ca="1" si="184"/>
        <v>0</v>
      </c>
      <c r="Z62" s="918">
        <f t="shared" ca="1" si="184"/>
        <v>0</v>
      </c>
      <c r="AA62" s="918">
        <f t="shared" ca="1" si="184"/>
        <v>0</v>
      </c>
      <c r="AB62" s="921"/>
      <c r="AC62" s="918">
        <f t="shared" ca="1" si="185"/>
        <v>0</v>
      </c>
      <c r="AD62" s="918">
        <f t="shared" ca="1" si="185"/>
        <v>0</v>
      </c>
      <c r="AE62" s="918">
        <f t="shared" ca="1" si="185"/>
        <v>0</v>
      </c>
      <c r="AF62" s="918">
        <f t="shared" ca="1" si="185"/>
        <v>0</v>
      </c>
      <c r="AG62" s="918">
        <f t="shared" ca="1" si="185"/>
        <v>0</v>
      </c>
      <c r="AH62" s="918">
        <f t="shared" ca="1" si="185"/>
        <v>0</v>
      </c>
      <c r="AI62" s="918">
        <f t="shared" ca="1" si="185"/>
        <v>0</v>
      </c>
      <c r="AJ62" s="918">
        <f t="shared" ca="1" si="185"/>
        <v>0</v>
      </c>
      <c r="AK62" s="938">
        <f t="shared" ca="1" si="185"/>
        <v>0</v>
      </c>
      <c r="AL62" s="918">
        <f t="shared" ca="1" si="185"/>
        <v>0</v>
      </c>
      <c r="AM62" s="918">
        <f t="shared" ca="1" si="185"/>
        <v>0</v>
      </c>
      <c r="AN62" s="918">
        <f t="shared" ca="1" si="185"/>
        <v>0</v>
      </c>
      <c r="AO62" s="921"/>
      <c r="AP62" s="1144">
        <f t="shared" ca="1" si="195"/>
        <v>0</v>
      </c>
      <c r="AQ62" s="1144">
        <f t="shared" ca="1" si="195"/>
        <v>0</v>
      </c>
      <c r="AR62" s="1144">
        <f t="shared" ca="1" si="195"/>
        <v>0</v>
      </c>
      <c r="AS62" s="1144">
        <f t="shared" ca="1" si="195"/>
        <v>0</v>
      </c>
      <c r="AT62" s="938">
        <f t="shared" ca="1" si="195"/>
        <v>0</v>
      </c>
      <c r="AU62" s="938">
        <f t="shared" ca="1" si="195"/>
        <v>0</v>
      </c>
      <c r="AV62" s="1144">
        <f t="shared" ca="1" si="195"/>
        <v>0</v>
      </c>
      <c r="AW62" s="1144">
        <f t="shared" ca="1" si="195"/>
        <v>0</v>
      </c>
      <c r="AX62" s="1144">
        <f t="shared" ca="1" si="195"/>
        <v>0</v>
      </c>
      <c r="AY62" s="1144">
        <f t="shared" ca="1" si="195"/>
        <v>0</v>
      </c>
      <c r="AZ62" s="1144">
        <f t="shared" ca="1" si="195"/>
        <v>0</v>
      </c>
      <c r="BA62" s="1144">
        <f t="shared" ca="1" si="195"/>
        <v>0</v>
      </c>
      <c r="BB62" s="1144">
        <f t="shared" ca="1" si="195"/>
        <v>0</v>
      </c>
      <c r="BC62" s="1144">
        <f t="shared" ca="1" si="195"/>
        <v>0</v>
      </c>
      <c r="BD62" s="921"/>
      <c r="BE62" s="918">
        <f t="shared" ca="1" si="186"/>
        <v>0</v>
      </c>
      <c r="BF62" s="918">
        <f t="shared" ca="1" si="186"/>
        <v>0</v>
      </c>
      <c r="BG62" s="918">
        <f t="shared" ca="1" si="186"/>
        <v>0</v>
      </c>
      <c r="BH62" s="918">
        <f t="shared" ca="1" si="186"/>
        <v>0</v>
      </c>
      <c r="BI62" s="938">
        <f t="shared" ca="1" si="186"/>
        <v>0</v>
      </c>
      <c r="BJ62" s="918">
        <f t="shared" ca="1" si="186"/>
        <v>0</v>
      </c>
      <c r="BK62" s="918">
        <f t="shared" ca="1" si="186"/>
        <v>0</v>
      </c>
      <c r="BL62" s="918">
        <f t="shared" ca="1" si="186"/>
        <v>0</v>
      </c>
      <c r="BM62" s="918">
        <f t="shared" ca="1" si="186"/>
        <v>0</v>
      </c>
      <c r="BN62" s="1144">
        <f t="shared" ca="1" si="186"/>
        <v>0</v>
      </c>
      <c r="BO62" s="918">
        <f t="shared" ca="1" si="186"/>
        <v>0</v>
      </c>
      <c r="BP62" s="921"/>
      <c r="BQ62" s="918">
        <f t="shared" ca="1" si="187"/>
        <v>0</v>
      </c>
      <c r="BR62" s="918">
        <f t="shared" ca="1" si="187"/>
        <v>0</v>
      </c>
      <c r="BS62" s="1144">
        <f t="shared" ca="1" si="187"/>
        <v>0</v>
      </c>
      <c r="BT62" s="918">
        <f t="shared" ca="1" si="187"/>
        <v>0</v>
      </c>
      <c r="BU62" s="918">
        <f t="shared" ca="1" si="187"/>
        <v>0</v>
      </c>
      <c r="BV62" s="918">
        <f t="shared" ca="1" si="187"/>
        <v>0</v>
      </c>
      <c r="BW62" s="1144">
        <f t="shared" ca="1" si="187"/>
        <v>0</v>
      </c>
      <c r="BX62" s="921"/>
      <c r="BY62" s="918">
        <f t="shared" ca="1" si="188"/>
        <v>0</v>
      </c>
      <c r="BZ62" s="918">
        <f t="shared" ca="1" si="188"/>
        <v>0</v>
      </c>
      <c r="CA62" s="918">
        <f t="shared" ca="1" si="188"/>
        <v>0</v>
      </c>
      <c r="CB62" s="918">
        <f t="shared" ca="1" si="188"/>
        <v>0</v>
      </c>
      <c r="CC62" s="918">
        <f t="shared" ca="1" si="188"/>
        <v>0</v>
      </c>
      <c r="CD62" s="918">
        <f t="shared" ca="1" si="188"/>
        <v>0</v>
      </c>
      <c r="CE62" s="918">
        <f t="shared" ca="1" si="188"/>
        <v>0</v>
      </c>
      <c r="CF62" s="918">
        <f t="shared" ca="1" si="188"/>
        <v>0</v>
      </c>
      <c r="CG62" s="921"/>
      <c r="CH62" s="918">
        <f t="shared" ca="1" si="189"/>
        <v>0</v>
      </c>
      <c r="CI62" s="918">
        <f t="shared" ca="1" si="189"/>
        <v>0</v>
      </c>
      <c r="CJ62" s="918">
        <f t="shared" ca="1" si="189"/>
        <v>0</v>
      </c>
      <c r="CK62" s="918" t="e">
        <f t="shared" ca="1" si="189"/>
        <v>#N/A</v>
      </c>
      <c r="CL62" s="918" t="e">
        <f t="shared" ca="1" si="189"/>
        <v>#N/A</v>
      </c>
      <c r="CM62" s="921"/>
      <c r="CN62" s="918">
        <f t="shared" ca="1" si="190"/>
        <v>0</v>
      </c>
      <c r="CO62" s="918" t="e">
        <f t="shared" ca="1" si="190"/>
        <v>#N/A</v>
      </c>
      <c r="CP62" s="918">
        <f t="shared" ca="1" si="190"/>
        <v>0</v>
      </c>
      <c r="CQ62" s="918">
        <f t="shared" ca="1" si="190"/>
        <v>0</v>
      </c>
      <c r="CR62" s="918">
        <f t="shared" ca="1" si="190"/>
        <v>0</v>
      </c>
      <c r="CS62" s="1144">
        <f t="shared" ca="1" si="190"/>
        <v>0</v>
      </c>
      <c r="CT62" s="921"/>
      <c r="CU62" s="918">
        <f t="shared" ca="1" si="191"/>
        <v>0</v>
      </c>
      <c r="CV62" s="918">
        <f t="shared" ca="1" si="191"/>
        <v>0</v>
      </c>
      <c r="CW62" s="918">
        <f t="shared" ca="1" si="191"/>
        <v>0</v>
      </c>
      <c r="CX62" s="918">
        <f t="shared" ca="1" si="191"/>
        <v>0</v>
      </c>
      <c r="CY62" s="918">
        <f t="shared" ca="1" si="191"/>
        <v>0</v>
      </c>
      <c r="CZ62" s="1144" t="e">
        <f t="shared" ca="1" si="191"/>
        <v>#N/A</v>
      </c>
      <c r="DA62" s="1144" t="e">
        <f t="shared" ca="1" si="191"/>
        <v>#N/A</v>
      </c>
      <c r="DB62" s="918">
        <f t="shared" ca="1" si="191"/>
        <v>0</v>
      </c>
      <c r="DC62" s="938">
        <f t="shared" ca="1" si="191"/>
        <v>0</v>
      </c>
      <c r="DD62" s="918">
        <f t="shared" ca="1" si="191"/>
        <v>0</v>
      </c>
      <c r="DE62" s="918">
        <f t="shared" ca="1" si="191"/>
        <v>0</v>
      </c>
      <c r="DF62" s="918">
        <f t="shared" ca="1" si="191"/>
        <v>0</v>
      </c>
      <c r="DG62" s="918">
        <f t="shared" ca="1" si="191"/>
        <v>0</v>
      </c>
      <c r="DH62" s="918">
        <f t="shared" ca="1" si="191"/>
        <v>0</v>
      </c>
      <c r="DI62" s="921"/>
      <c r="DJ62" s="1144">
        <f t="shared" ca="1" si="196"/>
        <v>0</v>
      </c>
      <c r="DK62" s="1144">
        <f t="shared" ca="1" si="196"/>
        <v>0</v>
      </c>
      <c r="DL62" s="1144">
        <f t="shared" ca="1" si="196"/>
        <v>0</v>
      </c>
      <c r="DM62" s="1144">
        <f t="shared" ca="1" si="196"/>
        <v>0</v>
      </c>
      <c r="DN62" s="1144" t="e">
        <f t="shared" ca="1" si="196"/>
        <v>#N/A</v>
      </c>
      <c r="DO62" s="1144">
        <f t="shared" ca="1" si="196"/>
        <v>0</v>
      </c>
      <c r="DP62" s="1144" t="e">
        <f t="shared" ca="1" si="196"/>
        <v>#N/A</v>
      </c>
      <c r="DQ62" s="921"/>
      <c r="DR62" s="1144">
        <f t="shared" ca="1" si="174"/>
        <v>0</v>
      </c>
      <c r="DS62" s="1144">
        <f t="shared" ca="1" si="174"/>
        <v>0</v>
      </c>
      <c r="DT62" s="1144">
        <f t="shared" ca="1" si="174"/>
        <v>0</v>
      </c>
      <c r="DU62" s="1144" t="e">
        <f t="shared" ca="1" si="174"/>
        <v>#N/A</v>
      </c>
      <c r="DV62" s="920"/>
      <c r="DW62" s="921"/>
      <c r="DX62" s="918">
        <f t="shared" ca="1" si="175"/>
        <v>0</v>
      </c>
      <c r="DY62" s="918">
        <f t="shared" ca="1" si="175"/>
        <v>0</v>
      </c>
      <c r="DZ62" s="918">
        <f t="shared" ca="1" si="175"/>
        <v>0</v>
      </c>
      <c r="EA62" s="918" t="e">
        <f t="shared" ca="1" si="175"/>
        <v>#N/A</v>
      </c>
      <c r="EB62" s="920"/>
      <c r="EC62" s="921"/>
      <c r="ED62" s="1144">
        <f t="shared" ca="1" si="176"/>
        <v>0</v>
      </c>
      <c r="EE62" s="1144">
        <f t="shared" ca="1" si="176"/>
        <v>0</v>
      </c>
      <c r="EF62" s="1144" t="e">
        <f t="shared" ca="1" si="176"/>
        <v>#N/A</v>
      </c>
      <c r="EG62" s="1144" t="e">
        <f t="shared" ca="1" si="176"/>
        <v>#N/A</v>
      </c>
      <c r="EH62" s="920"/>
      <c r="EI62" s="921"/>
      <c r="EJ62" s="918">
        <f t="shared" ca="1" si="177"/>
        <v>0</v>
      </c>
      <c r="EK62" s="918">
        <f t="shared" ca="1" si="177"/>
        <v>0</v>
      </c>
      <c r="EL62" s="918">
        <f t="shared" ca="1" si="177"/>
        <v>0</v>
      </c>
      <c r="EM62" s="918">
        <f t="shared" ca="1" si="177"/>
        <v>0</v>
      </c>
      <c r="EN62" s="920"/>
      <c r="EO62" s="921"/>
      <c r="EP62" s="1144">
        <f t="shared" ca="1" si="178"/>
        <v>0</v>
      </c>
      <c r="EQ62" s="1144">
        <f t="shared" ca="1" si="178"/>
        <v>0</v>
      </c>
      <c r="ER62" s="1144">
        <f t="shared" ca="1" si="178"/>
        <v>0</v>
      </c>
      <c r="ES62" s="1144">
        <f t="shared" ca="1" si="178"/>
        <v>0</v>
      </c>
      <c r="ET62" s="920"/>
      <c r="EU62" s="921"/>
      <c r="EV62" s="1144">
        <f t="shared" ca="1" si="197"/>
        <v>0</v>
      </c>
      <c r="EW62" s="1144">
        <f t="shared" ca="1" si="197"/>
        <v>0</v>
      </c>
      <c r="EX62" s="921"/>
      <c r="EY62" s="1144">
        <f t="shared" ca="1" si="197"/>
        <v>0</v>
      </c>
      <c r="EZ62" s="1144">
        <f t="shared" ca="1" si="197"/>
        <v>0</v>
      </c>
      <c r="FA62" s="1144" t="e">
        <f t="shared" ca="1" si="197"/>
        <v>#N/A</v>
      </c>
      <c r="FB62" s="921"/>
      <c r="FC62" s="918">
        <f t="shared" ca="1" si="192"/>
        <v>0</v>
      </c>
      <c r="FD62" s="918">
        <f t="shared" ca="1" si="192"/>
        <v>0</v>
      </c>
      <c r="FE62" s="918">
        <f t="shared" ca="1" si="192"/>
        <v>0</v>
      </c>
      <c r="FF62" s="918">
        <f t="shared" ca="1" si="192"/>
        <v>0</v>
      </c>
      <c r="FG62" s="918">
        <f t="shared" ca="1" si="192"/>
        <v>0</v>
      </c>
      <c r="FH62" s="918">
        <f t="shared" ca="1" si="192"/>
        <v>0</v>
      </c>
      <c r="FI62" s="918">
        <f t="shared" ca="1" si="192"/>
        <v>0</v>
      </c>
      <c r="FJ62" s="918">
        <f t="shared" ca="1" si="192"/>
        <v>0</v>
      </c>
      <c r="FK62" s="918">
        <f t="shared" ca="1" si="192"/>
        <v>0</v>
      </c>
      <c r="FL62" s="918">
        <f t="shared" ca="1" si="192"/>
        <v>0</v>
      </c>
      <c r="FM62" s="918" t="e">
        <f t="shared" ca="1" si="193"/>
        <v>#N/A</v>
      </c>
      <c r="FN62" s="1144">
        <f t="shared" ca="1" si="193"/>
        <v>0</v>
      </c>
      <c r="FO62" s="1144">
        <f t="shared" ca="1" si="193"/>
        <v>0</v>
      </c>
      <c r="FP62" s="918">
        <f t="shared" ca="1" si="193"/>
        <v>0</v>
      </c>
      <c r="FQ62" s="918">
        <f t="shared" ca="1" si="193"/>
        <v>0</v>
      </c>
      <c r="FR62" s="918">
        <f t="shared" ca="1" si="193"/>
        <v>0</v>
      </c>
      <c r="FS62" s="918">
        <f t="shared" ca="1" si="193"/>
        <v>0</v>
      </c>
      <c r="FT62" s="918">
        <f t="shared" ca="1" si="193"/>
        <v>0</v>
      </c>
      <c r="FU62" s="918" t="e">
        <f t="shared" ca="1" si="193"/>
        <v>#N/A</v>
      </c>
      <c r="FV62" s="1144" t="e">
        <f t="shared" ca="1" si="193"/>
        <v>#N/A</v>
      </c>
      <c r="FW62" s="918">
        <f t="shared" ca="1" si="193"/>
        <v>0</v>
      </c>
      <c r="FX62" s="918">
        <f t="shared" ca="1" si="193"/>
        <v>0</v>
      </c>
      <c r="FY62" s="918">
        <f t="shared" ca="1" si="193"/>
        <v>0</v>
      </c>
      <c r="FZ62" s="918">
        <f t="shared" ca="1" si="193"/>
        <v>0</v>
      </c>
      <c r="GA62" s="1144" t="e">
        <f t="shared" ca="1" si="193"/>
        <v>#N/A</v>
      </c>
      <c r="GB62" s="918">
        <f t="shared" ca="1" si="193"/>
        <v>0</v>
      </c>
      <c r="GC62" s="920"/>
      <c r="GD62" s="918">
        <f t="shared" ca="1" si="194"/>
        <v>0</v>
      </c>
      <c r="GE62" s="918">
        <f t="shared" ca="1" si="194"/>
        <v>0</v>
      </c>
      <c r="GF62" s="918">
        <f t="shared" ca="1" si="194"/>
        <v>0</v>
      </c>
      <c r="GG62" s="918">
        <f t="shared" ca="1" si="194"/>
        <v>0</v>
      </c>
      <c r="GH62" s="918" t="e">
        <f t="shared" ca="1" si="194"/>
        <v>#N/A</v>
      </c>
      <c r="GI62" s="1144" t="e">
        <f t="shared" ca="1" si="194"/>
        <v>#N/A</v>
      </c>
      <c r="GJ62" s="918">
        <f t="shared" ca="1" si="194"/>
        <v>0</v>
      </c>
      <c r="GK62" s="918">
        <f t="shared" ca="1" si="194"/>
        <v>0</v>
      </c>
      <c r="GL62" s="918">
        <f t="shared" ca="1" si="194"/>
        <v>0</v>
      </c>
      <c r="GM62" s="918">
        <f t="shared" ca="1" si="194"/>
        <v>0</v>
      </c>
      <c r="GN62" s="918">
        <f t="shared" ca="1" si="194"/>
        <v>0</v>
      </c>
      <c r="GO62" s="918" t="e">
        <f t="shared" ca="1" si="194"/>
        <v>#N/A</v>
      </c>
      <c r="GP62" s="915"/>
      <c r="GR62" s="946"/>
      <c r="GS62" s="946"/>
      <c r="GU62" s="946"/>
      <c r="GV62" s="946"/>
      <c r="GW62" s="946"/>
      <c r="GX62" s="1143"/>
      <c r="GY62" s="946"/>
    </row>
    <row r="63" spans="1:207" s="914" customFormat="1" x14ac:dyDescent="0.3">
      <c r="A63" s="975" t="s">
        <v>1541</v>
      </c>
      <c r="B63" s="977">
        <v>47</v>
      </c>
      <c r="C63" s="973">
        <v>64.064800000000005</v>
      </c>
      <c r="D63" s="914">
        <v>0</v>
      </c>
      <c r="E63" s="972" t="s">
        <v>982</v>
      </c>
      <c r="F63" s="936">
        <f t="shared" ca="1" si="183"/>
        <v>0</v>
      </c>
      <c r="G63" s="918">
        <f t="shared" ca="1" si="183"/>
        <v>0</v>
      </c>
      <c r="H63" s="918">
        <f t="shared" ca="1" si="183"/>
        <v>0</v>
      </c>
      <c r="I63" s="918">
        <f t="shared" ca="1" si="183"/>
        <v>0</v>
      </c>
      <c r="J63" s="918">
        <f t="shared" ca="1" si="183"/>
        <v>0</v>
      </c>
      <c r="K63" s="1144">
        <f t="shared" ca="1" si="183"/>
        <v>0</v>
      </c>
      <c r="L63" s="918">
        <f t="shared" ca="1" si="183"/>
        <v>0</v>
      </c>
      <c r="M63" s="918">
        <f t="shared" ca="1" si="183"/>
        <v>0</v>
      </c>
      <c r="N63" s="938">
        <f t="shared" ca="1" si="183"/>
        <v>0</v>
      </c>
      <c r="O63" s="918">
        <f t="shared" ca="1" si="183"/>
        <v>0</v>
      </c>
      <c r="P63" s="939">
        <f t="shared" ca="1" si="183"/>
        <v>0</v>
      </c>
      <c r="Q63" s="921"/>
      <c r="R63" s="918">
        <f t="shared" ca="1" si="184"/>
        <v>0</v>
      </c>
      <c r="S63" s="918">
        <f t="shared" ca="1" si="184"/>
        <v>0</v>
      </c>
      <c r="T63" s="918">
        <f t="shared" ca="1" si="184"/>
        <v>0</v>
      </c>
      <c r="U63" s="918">
        <f t="shared" ca="1" si="184"/>
        <v>0</v>
      </c>
      <c r="V63" s="918">
        <f t="shared" ca="1" si="184"/>
        <v>0</v>
      </c>
      <c r="W63" s="918">
        <f t="shared" ca="1" si="184"/>
        <v>0</v>
      </c>
      <c r="X63" s="938">
        <f t="shared" ca="1" si="184"/>
        <v>0</v>
      </c>
      <c r="Y63" s="918">
        <f t="shared" ca="1" si="184"/>
        <v>0</v>
      </c>
      <c r="Z63" s="918">
        <f t="shared" ca="1" si="184"/>
        <v>0</v>
      </c>
      <c r="AA63" s="918">
        <f t="shared" ca="1" si="184"/>
        <v>0</v>
      </c>
      <c r="AB63" s="921"/>
      <c r="AC63" s="918">
        <f t="shared" ca="1" si="185"/>
        <v>0</v>
      </c>
      <c r="AD63" s="918">
        <f t="shared" ca="1" si="185"/>
        <v>0</v>
      </c>
      <c r="AE63" s="918">
        <f t="shared" ca="1" si="185"/>
        <v>0</v>
      </c>
      <c r="AF63" s="918">
        <f t="shared" ca="1" si="185"/>
        <v>0</v>
      </c>
      <c r="AG63" s="918">
        <f t="shared" ca="1" si="185"/>
        <v>0</v>
      </c>
      <c r="AH63" s="918">
        <f t="shared" ca="1" si="185"/>
        <v>0</v>
      </c>
      <c r="AI63" s="918">
        <f t="shared" ca="1" si="185"/>
        <v>0</v>
      </c>
      <c r="AJ63" s="918">
        <f t="shared" ca="1" si="185"/>
        <v>0</v>
      </c>
      <c r="AK63" s="938">
        <f t="shared" ca="1" si="185"/>
        <v>0</v>
      </c>
      <c r="AL63" s="918">
        <f t="shared" ca="1" si="185"/>
        <v>0</v>
      </c>
      <c r="AM63" s="918">
        <f t="shared" ca="1" si="185"/>
        <v>0</v>
      </c>
      <c r="AN63" s="918">
        <f t="shared" ca="1" si="185"/>
        <v>0</v>
      </c>
      <c r="AO63" s="921"/>
      <c r="AP63" s="1144">
        <f t="shared" ca="1" si="195"/>
        <v>0</v>
      </c>
      <c r="AQ63" s="1144">
        <f t="shared" ca="1" si="195"/>
        <v>0</v>
      </c>
      <c r="AR63" s="1144">
        <f t="shared" ca="1" si="195"/>
        <v>0</v>
      </c>
      <c r="AS63" s="1144">
        <f t="shared" ca="1" si="195"/>
        <v>0</v>
      </c>
      <c r="AT63" s="938">
        <f t="shared" ca="1" si="195"/>
        <v>0</v>
      </c>
      <c r="AU63" s="938">
        <f t="shared" ca="1" si="195"/>
        <v>0</v>
      </c>
      <c r="AV63" s="1144">
        <f t="shared" ca="1" si="195"/>
        <v>0</v>
      </c>
      <c r="AW63" s="1144">
        <f t="shared" ca="1" si="195"/>
        <v>0</v>
      </c>
      <c r="AX63" s="1144">
        <f t="shared" ca="1" si="195"/>
        <v>0</v>
      </c>
      <c r="AY63" s="1144">
        <f t="shared" ca="1" si="195"/>
        <v>0</v>
      </c>
      <c r="AZ63" s="1144">
        <f t="shared" ca="1" si="195"/>
        <v>0</v>
      </c>
      <c r="BA63" s="1144">
        <f t="shared" ca="1" si="195"/>
        <v>0</v>
      </c>
      <c r="BB63" s="1144">
        <f t="shared" ca="1" si="195"/>
        <v>0</v>
      </c>
      <c r="BC63" s="1144">
        <f t="shared" ca="1" si="195"/>
        <v>0</v>
      </c>
      <c r="BD63" s="921"/>
      <c r="BE63" s="918">
        <f t="shared" ca="1" si="186"/>
        <v>0</v>
      </c>
      <c r="BF63" s="918">
        <f t="shared" ca="1" si="186"/>
        <v>0</v>
      </c>
      <c r="BG63" s="918">
        <f t="shared" ca="1" si="186"/>
        <v>0</v>
      </c>
      <c r="BH63" s="918">
        <f t="shared" ca="1" si="186"/>
        <v>0</v>
      </c>
      <c r="BI63" s="938">
        <f t="shared" ca="1" si="186"/>
        <v>0</v>
      </c>
      <c r="BJ63" s="918">
        <f t="shared" ca="1" si="186"/>
        <v>0</v>
      </c>
      <c r="BK63" s="918">
        <f t="shared" ca="1" si="186"/>
        <v>0</v>
      </c>
      <c r="BL63" s="918">
        <f t="shared" ca="1" si="186"/>
        <v>0</v>
      </c>
      <c r="BM63" s="918">
        <f t="shared" ca="1" si="186"/>
        <v>0</v>
      </c>
      <c r="BN63" s="1144">
        <f t="shared" ca="1" si="186"/>
        <v>0</v>
      </c>
      <c r="BO63" s="918">
        <f t="shared" ca="1" si="186"/>
        <v>0</v>
      </c>
      <c r="BP63" s="921"/>
      <c r="BQ63" s="918">
        <f t="shared" ca="1" si="187"/>
        <v>0</v>
      </c>
      <c r="BR63" s="918">
        <f t="shared" ca="1" si="187"/>
        <v>0</v>
      </c>
      <c r="BS63" s="1144">
        <f t="shared" ca="1" si="187"/>
        <v>0</v>
      </c>
      <c r="BT63" s="918">
        <f t="shared" ca="1" si="187"/>
        <v>0</v>
      </c>
      <c r="BU63" s="918">
        <f t="shared" ca="1" si="187"/>
        <v>0</v>
      </c>
      <c r="BV63" s="918">
        <f t="shared" ca="1" si="187"/>
        <v>0</v>
      </c>
      <c r="BW63" s="1144">
        <f t="shared" ca="1" si="187"/>
        <v>0</v>
      </c>
      <c r="BX63" s="921"/>
      <c r="BY63" s="918">
        <f t="shared" ca="1" si="188"/>
        <v>0</v>
      </c>
      <c r="BZ63" s="918">
        <f t="shared" ca="1" si="188"/>
        <v>0</v>
      </c>
      <c r="CA63" s="918">
        <f t="shared" ca="1" si="188"/>
        <v>0</v>
      </c>
      <c r="CB63" s="918">
        <f t="shared" ca="1" si="188"/>
        <v>0</v>
      </c>
      <c r="CC63" s="918">
        <f t="shared" ca="1" si="188"/>
        <v>0</v>
      </c>
      <c r="CD63" s="918">
        <f t="shared" ca="1" si="188"/>
        <v>0</v>
      </c>
      <c r="CE63" s="918">
        <f t="shared" ca="1" si="188"/>
        <v>0</v>
      </c>
      <c r="CF63" s="918">
        <f t="shared" ca="1" si="188"/>
        <v>0</v>
      </c>
      <c r="CG63" s="921"/>
      <c r="CH63" s="918">
        <f t="shared" ca="1" si="189"/>
        <v>0</v>
      </c>
      <c r="CI63" s="918">
        <f t="shared" ca="1" si="189"/>
        <v>0</v>
      </c>
      <c r="CJ63" s="918">
        <f t="shared" ca="1" si="189"/>
        <v>0</v>
      </c>
      <c r="CK63" s="918" t="e">
        <f t="shared" ca="1" si="189"/>
        <v>#N/A</v>
      </c>
      <c r="CL63" s="918" t="e">
        <f t="shared" ca="1" si="189"/>
        <v>#N/A</v>
      </c>
      <c r="CM63" s="921"/>
      <c r="CN63" s="918">
        <f t="shared" ca="1" si="190"/>
        <v>0</v>
      </c>
      <c r="CO63" s="918" t="e">
        <f t="shared" ca="1" si="190"/>
        <v>#N/A</v>
      </c>
      <c r="CP63" s="918">
        <f t="shared" ca="1" si="190"/>
        <v>0</v>
      </c>
      <c r="CQ63" s="918">
        <f t="shared" ca="1" si="190"/>
        <v>0</v>
      </c>
      <c r="CR63" s="918">
        <f t="shared" ca="1" si="190"/>
        <v>0</v>
      </c>
      <c r="CS63" s="1144">
        <f t="shared" ca="1" si="190"/>
        <v>0</v>
      </c>
      <c r="CT63" s="921"/>
      <c r="CU63" s="918">
        <f t="shared" ca="1" si="191"/>
        <v>0</v>
      </c>
      <c r="CV63" s="918">
        <f t="shared" ca="1" si="191"/>
        <v>0</v>
      </c>
      <c r="CW63" s="918">
        <f t="shared" ca="1" si="191"/>
        <v>0</v>
      </c>
      <c r="CX63" s="918">
        <f t="shared" ca="1" si="191"/>
        <v>0</v>
      </c>
      <c r="CY63" s="918">
        <f t="shared" ca="1" si="191"/>
        <v>0</v>
      </c>
      <c r="CZ63" s="1144" t="e">
        <f t="shared" ca="1" si="191"/>
        <v>#N/A</v>
      </c>
      <c r="DA63" s="1144" t="e">
        <f t="shared" ca="1" si="191"/>
        <v>#N/A</v>
      </c>
      <c r="DB63" s="918">
        <f t="shared" ca="1" si="191"/>
        <v>0</v>
      </c>
      <c r="DC63" s="938">
        <f t="shared" ca="1" si="191"/>
        <v>0</v>
      </c>
      <c r="DD63" s="918">
        <f t="shared" ca="1" si="191"/>
        <v>0</v>
      </c>
      <c r="DE63" s="918">
        <f t="shared" ca="1" si="191"/>
        <v>0</v>
      </c>
      <c r="DF63" s="918">
        <f t="shared" ca="1" si="191"/>
        <v>0</v>
      </c>
      <c r="DG63" s="918">
        <f t="shared" ca="1" si="191"/>
        <v>0</v>
      </c>
      <c r="DH63" s="918">
        <f t="shared" ca="1" si="191"/>
        <v>0</v>
      </c>
      <c r="DI63" s="921"/>
      <c r="DJ63" s="1144">
        <f t="shared" ca="1" si="196"/>
        <v>0</v>
      </c>
      <c r="DK63" s="1144">
        <f t="shared" ca="1" si="196"/>
        <v>0</v>
      </c>
      <c r="DL63" s="1144">
        <f t="shared" ca="1" si="196"/>
        <v>0</v>
      </c>
      <c r="DM63" s="1144">
        <f t="shared" ca="1" si="196"/>
        <v>0</v>
      </c>
      <c r="DN63" s="1144" t="e">
        <f t="shared" ca="1" si="196"/>
        <v>#N/A</v>
      </c>
      <c r="DO63" s="1144">
        <f t="shared" ca="1" si="196"/>
        <v>0</v>
      </c>
      <c r="DP63" s="1144" t="e">
        <f t="shared" ca="1" si="196"/>
        <v>#N/A</v>
      </c>
      <c r="DQ63" s="921"/>
      <c r="DR63" s="1144">
        <f t="shared" ca="1" si="174"/>
        <v>0</v>
      </c>
      <c r="DS63" s="1144">
        <f t="shared" ca="1" si="174"/>
        <v>0</v>
      </c>
      <c r="DT63" s="1144">
        <f t="shared" ca="1" si="174"/>
        <v>0</v>
      </c>
      <c r="DU63" s="1144" t="e">
        <f t="shared" ca="1" si="174"/>
        <v>#N/A</v>
      </c>
      <c r="DV63" s="920"/>
      <c r="DW63" s="921"/>
      <c r="DX63" s="918">
        <f t="shared" ca="1" si="175"/>
        <v>0</v>
      </c>
      <c r="DY63" s="918">
        <f t="shared" ca="1" si="175"/>
        <v>0</v>
      </c>
      <c r="DZ63" s="918">
        <f t="shared" ca="1" si="175"/>
        <v>0</v>
      </c>
      <c r="EA63" s="918" t="e">
        <f t="shared" ca="1" si="175"/>
        <v>#N/A</v>
      </c>
      <c r="EB63" s="920"/>
      <c r="EC63" s="921"/>
      <c r="ED63" s="1144">
        <f t="shared" ca="1" si="176"/>
        <v>0</v>
      </c>
      <c r="EE63" s="1144">
        <f t="shared" ca="1" si="176"/>
        <v>0</v>
      </c>
      <c r="EF63" s="1144" t="e">
        <f t="shared" ca="1" si="176"/>
        <v>#N/A</v>
      </c>
      <c r="EG63" s="1144" t="e">
        <f t="shared" ca="1" si="176"/>
        <v>#N/A</v>
      </c>
      <c r="EH63" s="920"/>
      <c r="EI63" s="921"/>
      <c r="EJ63" s="918">
        <f t="shared" ca="1" si="177"/>
        <v>0</v>
      </c>
      <c r="EK63" s="918">
        <f t="shared" ca="1" si="177"/>
        <v>0</v>
      </c>
      <c r="EL63" s="918">
        <f t="shared" ca="1" si="177"/>
        <v>0</v>
      </c>
      <c r="EM63" s="918">
        <f t="shared" ca="1" si="177"/>
        <v>0</v>
      </c>
      <c r="EN63" s="920"/>
      <c r="EO63" s="921"/>
      <c r="EP63" s="1144">
        <f t="shared" ca="1" si="178"/>
        <v>0</v>
      </c>
      <c r="EQ63" s="1144">
        <f t="shared" ca="1" si="178"/>
        <v>0</v>
      </c>
      <c r="ER63" s="1144">
        <f t="shared" ca="1" si="178"/>
        <v>0</v>
      </c>
      <c r="ES63" s="1144">
        <f t="shared" ca="1" si="178"/>
        <v>0</v>
      </c>
      <c r="ET63" s="920"/>
      <c r="EU63" s="921"/>
      <c r="EV63" s="1144">
        <f t="shared" ca="1" si="197"/>
        <v>0</v>
      </c>
      <c r="EW63" s="1144">
        <f t="shared" ca="1" si="197"/>
        <v>0</v>
      </c>
      <c r="EX63" s="921"/>
      <c r="EY63" s="1144">
        <f t="shared" ca="1" si="197"/>
        <v>0</v>
      </c>
      <c r="EZ63" s="1144">
        <f t="shared" ca="1" si="197"/>
        <v>0</v>
      </c>
      <c r="FA63" s="1144" t="e">
        <f t="shared" ca="1" si="197"/>
        <v>#N/A</v>
      </c>
      <c r="FB63" s="921"/>
      <c r="FC63" s="918">
        <f t="shared" ca="1" si="192"/>
        <v>0</v>
      </c>
      <c r="FD63" s="918">
        <f t="shared" ca="1" si="192"/>
        <v>0</v>
      </c>
      <c r="FE63" s="918">
        <f t="shared" ca="1" si="192"/>
        <v>0</v>
      </c>
      <c r="FF63" s="918">
        <f t="shared" ca="1" si="192"/>
        <v>0</v>
      </c>
      <c r="FG63" s="918">
        <f t="shared" ca="1" si="192"/>
        <v>0</v>
      </c>
      <c r="FH63" s="918">
        <f t="shared" ca="1" si="192"/>
        <v>0</v>
      </c>
      <c r="FI63" s="918">
        <f t="shared" ca="1" si="192"/>
        <v>0</v>
      </c>
      <c r="FJ63" s="918">
        <f t="shared" ca="1" si="192"/>
        <v>0</v>
      </c>
      <c r="FK63" s="918">
        <f t="shared" ca="1" si="192"/>
        <v>0</v>
      </c>
      <c r="FL63" s="918">
        <f t="shared" ca="1" si="192"/>
        <v>0</v>
      </c>
      <c r="FM63" s="918" t="e">
        <f t="shared" ca="1" si="193"/>
        <v>#N/A</v>
      </c>
      <c r="FN63" s="1144">
        <f t="shared" ca="1" si="193"/>
        <v>0</v>
      </c>
      <c r="FO63" s="1144">
        <f t="shared" ca="1" si="193"/>
        <v>0</v>
      </c>
      <c r="FP63" s="918">
        <f t="shared" ca="1" si="193"/>
        <v>0</v>
      </c>
      <c r="FQ63" s="918">
        <f t="shared" ca="1" si="193"/>
        <v>0</v>
      </c>
      <c r="FR63" s="918">
        <f t="shared" ca="1" si="193"/>
        <v>0</v>
      </c>
      <c r="FS63" s="918">
        <f t="shared" ca="1" si="193"/>
        <v>0</v>
      </c>
      <c r="FT63" s="918">
        <f t="shared" ca="1" si="193"/>
        <v>0</v>
      </c>
      <c r="FU63" s="918" t="e">
        <f t="shared" ca="1" si="193"/>
        <v>#N/A</v>
      </c>
      <c r="FV63" s="1144" t="e">
        <f t="shared" ca="1" si="193"/>
        <v>#N/A</v>
      </c>
      <c r="FW63" s="918">
        <f t="shared" ca="1" si="193"/>
        <v>0</v>
      </c>
      <c r="FX63" s="918">
        <f t="shared" ca="1" si="193"/>
        <v>0</v>
      </c>
      <c r="FY63" s="918">
        <f t="shared" ca="1" si="193"/>
        <v>0</v>
      </c>
      <c r="FZ63" s="918">
        <f t="shared" ca="1" si="193"/>
        <v>0</v>
      </c>
      <c r="GA63" s="1144" t="e">
        <f t="shared" ca="1" si="193"/>
        <v>#N/A</v>
      </c>
      <c r="GB63" s="918">
        <f t="shared" ca="1" si="193"/>
        <v>0</v>
      </c>
      <c r="GC63" s="920"/>
      <c r="GD63" s="918">
        <f t="shared" ca="1" si="194"/>
        <v>0</v>
      </c>
      <c r="GE63" s="918">
        <f t="shared" ca="1" si="194"/>
        <v>0</v>
      </c>
      <c r="GF63" s="918">
        <f t="shared" ca="1" si="194"/>
        <v>0</v>
      </c>
      <c r="GG63" s="918">
        <f t="shared" ca="1" si="194"/>
        <v>0</v>
      </c>
      <c r="GH63" s="918" t="e">
        <f t="shared" ca="1" si="194"/>
        <v>#N/A</v>
      </c>
      <c r="GI63" s="1144" t="e">
        <f t="shared" ca="1" si="194"/>
        <v>#N/A</v>
      </c>
      <c r="GJ63" s="918">
        <f t="shared" ca="1" si="194"/>
        <v>0</v>
      </c>
      <c r="GK63" s="918">
        <f t="shared" ca="1" si="194"/>
        <v>0</v>
      </c>
      <c r="GL63" s="918">
        <f t="shared" ca="1" si="194"/>
        <v>0</v>
      </c>
      <c r="GM63" s="918">
        <f t="shared" ca="1" si="194"/>
        <v>0</v>
      </c>
      <c r="GN63" s="918">
        <f t="shared" ca="1" si="194"/>
        <v>0</v>
      </c>
      <c r="GO63" s="918" t="e">
        <f t="shared" ca="1" si="194"/>
        <v>#N/A</v>
      </c>
      <c r="GP63" s="915"/>
      <c r="GR63" s="946"/>
      <c r="GS63" s="946"/>
      <c r="GU63" s="946"/>
      <c r="GV63" s="946"/>
      <c r="GW63" s="946"/>
      <c r="GX63" s="1143"/>
      <c r="GY63" s="946"/>
    </row>
    <row r="64" spans="1:207" s="914" customFormat="1" x14ac:dyDescent="0.3">
      <c r="A64" s="975" t="s">
        <v>1542</v>
      </c>
      <c r="B64" s="977">
        <v>46</v>
      </c>
      <c r="C64" s="973">
        <v>34.081879999999998</v>
      </c>
      <c r="D64" s="914">
        <v>-0.12372790675299999</v>
      </c>
      <c r="E64" s="972" t="s">
        <v>982</v>
      </c>
      <c r="F64" s="936">
        <f t="shared" ref="F64:P76" ca="1" si="198">VLOOKUP(F$8,INDIRECT(LU_MAT),$B64,FALSE)*$D64/$C64</f>
        <v>0</v>
      </c>
      <c r="G64" s="918">
        <f t="shared" ca="1" si="198"/>
        <v>0</v>
      </c>
      <c r="H64" s="918">
        <f t="shared" ca="1" si="198"/>
        <v>0</v>
      </c>
      <c r="I64" s="918">
        <f t="shared" ca="1" si="198"/>
        <v>0</v>
      </c>
      <c r="J64" s="918">
        <f t="shared" ca="1" si="198"/>
        <v>0</v>
      </c>
      <c r="K64" s="1144">
        <f t="shared" ca="1" si="198"/>
        <v>0</v>
      </c>
      <c r="L64" s="918">
        <f t="shared" ca="1" si="198"/>
        <v>0</v>
      </c>
      <c r="M64" s="918">
        <f t="shared" ca="1" si="198"/>
        <v>0</v>
      </c>
      <c r="N64" s="938">
        <f t="shared" ca="1" si="198"/>
        <v>0</v>
      </c>
      <c r="O64" s="918">
        <f t="shared" ca="1" si="198"/>
        <v>0</v>
      </c>
      <c r="P64" s="939">
        <f t="shared" ca="1" si="198"/>
        <v>0</v>
      </c>
      <c r="Q64" s="921"/>
      <c r="R64" s="918">
        <f t="shared" ref="R64:AA76" ca="1" si="199">VLOOKUP(R$8,INDIRECT(LU_MAT),$B64,FALSE)*$D64/$C64</f>
        <v>0</v>
      </c>
      <c r="S64" s="918">
        <f t="shared" ca="1" si="199"/>
        <v>0</v>
      </c>
      <c r="T64" s="918">
        <f t="shared" ca="1" si="199"/>
        <v>0</v>
      </c>
      <c r="U64" s="918">
        <f t="shared" ca="1" si="199"/>
        <v>0</v>
      </c>
      <c r="V64" s="918">
        <f t="shared" ca="1" si="199"/>
        <v>0</v>
      </c>
      <c r="W64" s="918">
        <f t="shared" ca="1" si="199"/>
        <v>0</v>
      </c>
      <c r="X64" s="938">
        <f t="shared" ca="1" si="199"/>
        <v>0</v>
      </c>
      <c r="Y64" s="918">
        <f t="shared" ca="1" si="199"/>
        <v>0</v>
      </c>
      <c r="Z64" s="918">
        <f t="shared" ca="1" si="199"/>
        <v>0</v>
      </c>
      <c r="AA64" s="918">
        <f t="shared" ca="1" si="199"/>
        <v>0</v>
      </c>
      <c r="AB64" s="921"/>
      <c r="AC64" s="918">
        <f t="shared" ref="AC64:AN76" ca="1" si="200">VLOOKUP(AC$8,INDIRECT(LU_MAT),$B64,FALSE)*$D64/$C64</f>
        <v>0</v>
      </c>
      <c r="AD64" s="918">
        <f t="shared" ca="1" si="200"/>
        <v>0</v>
      </c>
      <c r="AE64" s="918">
        <f t="shared" ca="1" si="200"/>
        <v>0</v>
      </c>
      <c r="AF64" s="918">
        <f t="shared" ca="1" si="200"/>
        <v>0</v>
      </c>
      <c r="AG64" s="918">
        <f t="shared" ca="1" si="200"/>
        <v>0</v>
      </c>
      <c r="AH64" s="918">
        <f t="shared" ca="1" si="200"/>
        <v>0</v>
      </c>
      <c r="AI64" s="918">
        <f t="shared" ca="1" si="200"/>
        <v>0</v>
      </c>
      <c r="AJ64" s="918">
        <f t="shared" ca="1" si="200"/>
        <v>0</v>
      </c>
      <c r="AK64" s="938">
        <f t="shared" ca="1" si="200"/>
        <v>0</v>
      </c>
      <c r="AL64" s="918">
        <f t="shared" ca="1" si="200"/>
        <v>0</v>
      </c>
      <c r="AM64" s="918">
        <f t="shared" ca="1" si="200"/>
        <v>0</v>
      </c>
      <c r="AN64" s="918">
        <f t="shared" ca="1" si="200"/>
        <v>0</v>
      </c>
      <c r="AO64" s="921"/>
      <c r="AP64" s="1144">
        <f t="shared" ca="1" si="195"/>
        <v>0</v>
      </c>
      <c r="AQ64" s="1144">
        <f t="shared" ca="1" si="195"/>
        <v>0</v>
      </c>
      <c r="AR64" s="1144">
        <f t="shared" ca="1" si="195"/>
        <v>0</v>
      </c>
      <c r="AS64" s="1144">
        <f t="shared" ca="1" si="195"/>
        <v>0</v>
      </c>
      <c r="AT64" s="938">
        <f t="shared" ca="1" si="195"/>
        <v>0</v>
      </c>
      <c r="AU64" s="938">
        <f t="shared" ca="1" si="195"/>
        <v>0</v>
      </c>
      <c r="AV64" s="1144">
        <f t="shared" ca="1" si="195"/>
        <v>0</v>
      </c>
      <c r="AW64" s="1144">
        <f t="shared" ca="1" si="195"/>
        <v>0</v>
      </c>
      <c r="AX64" s="1144">
        <f t="shared" ca="1" si="195"/>
        <v>0</v>
      </c>
      <c r="AY64" s="1144">
        <f t="shared" ca="1" si="195"/>
        <v>0</v>
      </c>
      <c r="AZ64" s="1144">
        <f t="shared" ca="1" si="195"/>
        <v>0</v>
      </c>
      <c r="BA64" s="1144">
        <f t="shared" ca="1" si="195"/>
        <v>0</v>
      </c>
      <c r="BB64" s="1144">
        <f t="shared" ca="1" si="195"/>
        <v>0</v>
      </c>
      <c r="BC64" s="1144">
        <f t="shared" ref="BB64:BC72" ca="1" si="201">VLOOKUP(BC$8,INDIRECT(LU_MAT),$B64,FALSE)*$D64/$C64</f>
        <v>0</v>
      </c>
      <c r="BD64" s="921"/>
      <c r="BE64" s="918">
        <f t="shared" ref="BE64:BO76" ca="1" si="202">VLOOKUP(BE$8,INDIRECT(LU_MAT),$B64,FALSE)*$D64/$C64</f>
        <v>0</v>
      </c>
      <c r="BF64" s="918">
        <f t="shared" ca="1" si="202"/>
        <v>0</v>
      </c>
      <c r="BG64" s="918">
        <f t="shared" ca="1" si="202"/>
        <v>0</v>
      </c>
      <c r="BH64" s="918">
        <f t="shared" ca="1" si="202"/>
        <v>0</v>
      </c>
      <c r="BI64" s="938">
        <f t="shared" ca="1" si="202"/>
        <v>0</v>
      </c>
      <c r="BJ64" s="918">
        <f t="shared" ca="1" si="202"/>
        <v>0</v>
      </c>
      <c r="BK64" s="918">
        <f t="shared" ca="1" si="202"/>
        <v>0</v>
      </c>
      <c r="BL64" s="918">
        <f t="shared" ca="1" si="202"/>
        <v>0</v>
      </c>
      <c r="BM64" s="918">
        <f t="shared" ca="1" si="202"/>
        <v>0</v>
      </c>
      <c r="BN64" s="1144">
        <f t="shared" ca="1" si="202"/>
        <v>0</v>
      </c>
      <c r="BO64" s="918">
        <f t="shared" ca="1" si="202"/>
        <v>0</v>
      </c>
      <c r="BP64" s="921"/>
      <c r="BQ64" s="918">
        <f t="shared" ref="BQ64:BW76" ca="1" si="203">VLOOKUP(BQ$8,INDIRECT(LU_MAT),$B64,FALSE)*$D64/$C64</f>
        <v>0</v>
      </c>
      <c r="BR64" s="918">
        <f t="shared" ca="1" si="203"/>
        <v>0</v>
      </c>
      <c r="BS64" s="1144">
        <f t="shared" ca="1" si="203"/>
        <v>0</v>
      </c>
      <c r="BT64" s="918">
        <f t="shared" ca="1" si="203"/>
        <v>0</v>
      </c>
      <c r="BU64" s="918">
        <f t="shared" ca="1" si="203"/>
        <v>0</v>
      </c>
      <c r="BV64" s="918">
        <f t="shared" ca="1" si="203"/>
        <v>0</v>
      </c>
      <c r="BW64" s="1144">
        <f t="shared" ca="1" si="203"/>
        <v>0</v>
      </c>
      <c r="BX64" s="921"/>
      <c r="BY64" s="918">
        <f t="shared" ref="BY64:CF76" ca="1" si="204">VLOOKUP(BY$8,INDIRECT(LU_MAT),$B64,FALSE)*$D64/$C64</f>
        <v>0</v>
      </c>
      <c r="BZ64" s="918">
        <f t="shared" ca="1" si="204"/>
        <v>0</v>
      </c>
      <c r="CA64" s="918">
        <f t="shared" ca="1" si="204"/>
        <v>0</v>
      </c>
      <c r="CB64" s="918">
        <f t="shared" ca="1" si="204"/>
        <v>-7.71138219013891E-3</v>
      </c>
      <c r="CC64" s="918">
        <f t="shared" ca="1" si="204"/>
        <v>-1.0358987673567148</v>
      </c>
      <c r="CD64" s="918">
        <f t="shared" ca="1" si="204"/>
        <v>0</v>
      </c>
      <c r="CE64" s="918">
        <f t="shared" ca="1" si="204"/>
        <v>0</v>
      </c>
      <c r="CF64" s="918">
        <f t="shared" ca="1" si="204"/>
        <v>0</v>
      </c>
      <c r="CG64" s="921"/>
      <c r="CH64" s="918">
        <f t="shared" ref="CH64:CL76" ca="1" si="205">VLOOKUP(CH$8,INDIRECT(LU_MAT),$B64,FALSE)*$D64/$C64</f>
        <v>-1.0358987673567148</v>
      </c>
      <c r="CI64" s="918">
        <f t="shared" ca="1" si="205"/>
        <v>-7.71138219013891E-3</v>
      </c>
      <c r="CJ64" s="918">
        <f t="shared" ca="1" si="205"/>
        <v>0</v>
      </c>
      <c r="CK64" s="918" t="e">
        <f t="shared" ca="1" si="205"/>
        <v>#N/A</v>
      </c>
      <c r="CL64" s="918" t="e">
        <f t="shared" ca="1" si="205"/>
        <v>#N/A</v>
      </c>
      <c r="CM64" s="921"/>
      <c r="CN64" s="918">
        <f t="shared" ref="CN64:CS76" ca="1" si="206">VLOOKUP(CN$8,INDIRECT(LU_MAT),$B64,FALSE)*$D64/$C64</f>
        <v>0</v>
      </c>
      <c r="CO64" s="918" t="e">
        <f t="shared" ca="1" si="206"/>
        <v>#N/A</v>
      </c>
      <c r="CP64" s="918">
        <f t="shared" ca="1" si="206"/>
        <v>0</v>
      </c>
      <c r="CQ64" s="918">
        <f t="shared" ca="1" si="206"/>
        <v>0</v>
      </c>
      <c r="CR64" s="918">
        <f t="shared" ca="1" si="206"/>
        <v>0</v>
      </c>
      <c r="CS64" s="1144">
        <f t="shared" ca="1" si="206"/>
        <v>0</v>
      </c>
      <c r="CT64" s="921"/>
      <c r="CU64" s="918">
        <f t="shared" ref="CU64:DL76" ca="1" si="207">VLOOKUP(CU$8,INDIRECT(LU_MAT),$B64,FALSE)*$D64/$C64</f>
        <v>0</v>
      </c>
      <c r="CV64" s="918">
        <f t="shared" ca="1" si="207"/>
        <v>0</v>
      </c>
      <c r="CW64" s="918">
        <f t="shared" ca="1" si="207"/>
        <v>0</v>
      </c>
      <c r="CX64" s="918">
        <f t="shared" ca="1" si="207"/>
        <v>0</v>
      </c>
      <c r="CY64" s="918">
        <f t="shared" ca="1" si="207"/>
        <v>0</v>
      </c>
      <c r="CZ64" s="1144" t="e">
        <f t="shared" ca="1" si="207"/>
        <v>#N/A</v>
      </c>
      <c r="DA64" s="1144" t="e">
        <f t="shared" ca="1" si="207"/>
        <v>#N/A</v>
      </c>
      <c r="DB64" s="918">
        <f t="shared" ca="1" si="207"/>
        <v>0</v>
      </c>
      <c r="DC64" s="938">
        <f t="shared" ca="1" si="207"/>
        <v>0</v>
      </c>
      <c r="DD64" s="918">
        <f t="shared" ca="1" si="207"/>
        <v>-1.0358987673567148</v>
      </c>
      <c r="DE64" s="918">
        <f t="shared" ca="1" si="207"/>
        <v>-1.0231378816542767</v>
      </c>
      <c r="DF64" s="918">
        <f t="shared" ca="1" si="207"/>
        <v>0</v>
      </c>
      <c r="DG64" s="918">
        <f t="shared" ca="1" si="207"/>
        <v>-0.13932927565653838</v>
      </c>
      <c r="DH64" s="918">
        <f t="shared" ca="1" si="207"/>
        <v>-7.71138219013891E-3</v>
      </c>
      <c r="DI64" s="921"/>
      <c r="DJ64" s="1144">
        <f t="shared" ca="1" si="207"/>
        <v>-0.78643763405650058</v>
      </c>
      <c r="DK64" s="1144">
        <f t="shared" ca="1" si="207"/>
        <v>-1.1972440690199821</v>
      </c>
      <c r="DL64" s="1144">
        <f t="shared" ca="1" si="207"/>
        <v>0</v>
      </c>
      <c r="DM64" s="1144">
        <f t="shared" ca="1" si="196"/>
        <v>0</v>
      </c>
      <c r="DN64" s="1144" t="e">
        <f t="shared" ca="1" si="196"/>
        <v>#N/A</v>
      </c>
      <c r="DO64" s="1144">
        <f t="shared" ca="1" si="196"/>
        <v>-1.9836817030764826</v>
      </c>
      <c r="DP64" s="1144" t="e">
        <f t="shared" ca="1" si="196"/>
        <v>#N/A</v>
      </c>
      <c r="DQ64" s="921"/>
      <c r="DR64" s="1144">
        <f t="shared" ref="DR64:DU83" ca="1" si="208">VLOOKUP(DR$8,INDIRECT(LU_MAT),$B64,FALSE)*$D64/$C64</f>
        <v>0</v>
      </c>
      <c r="DS64" s="1144">
        <f t="shared" ca="1" si="208"/>
        <v>0</v>
      </c>
      <c r="DT64" s="1144">
        <f t="shared" ca="1" si="208"/>
        <v>-2.2060746603591768</v>
      </c>
      <c r="DU64" s="1144" t="e">
        <f t="shared" ca="1" si="208"/>
        <v>#N/A</v>
      </c>
      <c r="DV64" s="920"/>
      <c r="DW64" s="921"/>
      <c r="DX64" s="918">
        <f t="shared" ref="DX64:EA83" ca="1" si="209">VLOOKUP(DX$8,INDIRECT(LU_MAT),$B64,FALSE)*$D64/$C64</f>
        <v>0</v>
      </c>
      <c r="DY64" s="918">
        <f t="shared" ca="1" si="209"/>
        <v>0</v>
      </c>
      <c r="DZ64" s="918">
        <f t="shared" ca="1" si="209"/>
        <v>-2.2060746603591768</v>
      </c>
      <c r="EA64" s="918" t="e">
        <f t="shared" ca="1" si="209"/>
        <v>#N/A</v>
      </c>
      <c r="EB64" s="920"/>
      <c r="EC64" s="921"/>
      <c r="ED64" s="1144">
        <f t="shared" ref="ED64:EG83" ca="1" si="210">VLOOKUP(ED$8,INDIRECT(LU_MAT),$B64,FALSE)*$D64/$C64</f>
        <v>0</v>
      </c>
      <c r="EE64" s="1144">
        <f t="shared" ca="1" si="210"/>
        <v>0</v>
      </c>
      <c r="EF64" s="1144" t="e">
        <f t="shared" ca="1" si="210"/>
        <v>#N/A</v>
      </c>
      <c r="EG64" s="1144" t="e">
        <f t="shared" ca="1" si="210"/>
        <v>#N/A</v>
      </c>
      <c r="EH64" s="920"/>
      <c r="EI64" s="921"/>
      <c r="EJ64" s="918">
        <f t="shared" ref="EJ64:EM83" ca="1" si="211">VLOOKUP(EJ$8,INDIRECT(LU_MAT),$B64,FALSE)*$D64/$C64</f>
        <v>0</v>
      </c>
      <c r="EK64" s="918">
        <f t="shared" ca="1" si="211"/>
        <v>0</v>
      </c>
      <c r="EL64" s="918">
        <f t="shared" ca="1" si="211"/>
        <v>0</v>
      </c>
      <c r="EM64" s="918">
        <f t="shared" ca="1" si="211"/>
        <v>0</v>
      </c>
      <c r="EN64" s="920"/>
      <c r="EO64" s="921"/>
      <c r="EP64" s="1144">
        <f t="shared" ref="EP64:ES83" ca="1" si="212">VLOOKUP(EP$8,INDIRECT(LU_MAT),$B64,FALSE)*$D64/$C64</f>
        <v>-0.14134060035220061</v>
      </c>
      <c r="EQ64" s="1144">
        <f t="shared" ca="1" si="212"/>
        <v>-0.13932927565653838</v>
      </c>
      <c r="ER64" s="1144">
        <f t="shared" ca="1" si="212"/>
        <v>0</v>
      </c>
      <c r="ES64" s="1144">
        <f t="shared" ca="1" si="212"/>
        <v>-2.0113245794921753E-3</v>
      </c>
      <c r="ET64" s="920"/>
      <c r="EU64" s="921"/>
      <c r="EV64" s="1144">
        <f t="shared" ca="1" si="197"/>
        <v>0</v>
      </c>
      <c r="EW64" s="1144">
        <f t="shared" ca="1" si="197"/>
        <v>0</v>
      </c>
      <c r="EX64" s="921"/>
      <c r="EY64" s="1144">
        <f t="shared" ca="1" si="197"/>
        <v>0</v>
      </c>
      <c r="EZ64" s="1144">
        <f t="shared" ca="1" si="197"/>
        <v>0</v>
      </c>
      <c r="FA64" s="1144" t="e">
        <f t="shared" ca="1" si="197"/>
        <v>#N/A</v>
      </c>
      <c r="FB64" s="921"/>
      <c r="FC64" s="918">
        <f t="shared" ref="FC64:FL76" ca="1" si="213">VLOOKUP(FC$8,INDIRECT(LU_MAT),$B64,FALSE)*$D64/$C64</f>
        <v>0</v>
      </c>
      <c r="FD64" s="918">
        <f t="shared" ca="1" si="213"/>
        <v>0</v>
      </c>
      <c r="FE64" s="918">
        <f t="shared" ca="1" si="213"/>
        <v>0</v>
      </c>
      <c r="FF64" s="918">
        <f t="shared" ca="1" si="213"/>
        <v>0</v>
      </c>
      <c r="FG64" s="918">
        <f t="shared" ca="1" si="213"/>
        <v>0</v>
      </c>
      <c r="FH64" s="918">
        <f t="shared" ca="1" si="213"/>
        <v>0</v>
      </c>
      <c r="FI64" s="918">
        <f t="shared" ca="1" si="213"/>
        <v>0</v>
      </c>
      <c r="FJ64" s="918">
        <f t="shared" ca="1" si="213"/>
        <v>0</v>
      </c>
      <c r="FK64" s="918">
        <f t="shared" ca="1" si="213"/>
        <v>0</v>
      </c>
      <c r="FL64" s="918">
        <f t="shared" ca="1" si="213"/>
        <v>0</v>
      </c>
      <c r="FM64" s="918" t="e">
        <f t="shared" ref="FM64:GB76" ca="1" si="214">VLOOKUP(FM$8,INDIRECT(LU_MAT),$B64,FALSE)*$D64/$C64</f>
        <v>#N/A</v>
      </c>
      <c r="FN64" s="1144">
        <f t="shared" ca="1" si="214"/>
        <v>0</v>
      </c>
      <c r="FO64" s="1144">
        <f t="shared" ca="1" si="214"/>
        <v>0</v>
      </c>
      <c r="FP64" s="918">
        <f t="shared" ca="1" si="214"/>
        <v>0</v>
      </c>
      <c r="FQ64" s="918">
        <f t="shared" ca="1" si="214"/>
        <v>0</v>
      </c>
      <c r="FR64" s="918">
        <f t="shared" ca="1" si="214"/>
        <v>0</v>
      </c>
      <c r="FS64" s="918">
        <f t="shared" ca="1" si="214"/>
        <v>0</v>
      </c>
      <c r="FT64" s="918">
        <f t="shared" ca="1" si="214"/>
        <v>0</v>
      </c>
      <c r="FU64" s="918" t="e">
        <f t="shared" ca="1" si="214"/>
        <v>#N/A</v>
      </c>
      <c r="FV64" s="1144" t="e">
        <f t="shared" ca="1" si="214"/>
        <v>#N/A</v>
      </c>
      <c r="FW64" s="918">
        <f t="shared" ca="1" si="214"/>
        <v>0</v>
      </c>
      <c r="FX64" s="918">
        <f t="shared" ca="1" si="214"/>
        <v>0</v>
      </c>
      <c r="FY64" s="918">
        <f t="shared" ca="1" si="214"/>
        <v>0</v>
      </c>
      <c r="FZ64" s="918">
        <f t="shared" ca="1" si="214"/>
        <v>0</v>
      </c>
      <c r="GA64" s="1144" t="e">
        <f t="shared" ca="1" si="214"/>
        <v>#N/A</v>
      </c>
      <c r="GB64" s="918">
        <f t="shared" ca="1" si="214"/>
        <v>0</v>
      </c>
      <c r="GC64" s="920"/>
      <c r="GD64" s="918">
        <f t="shared" ref="GD64:GO76" ca="1" si="215">VLOOKUP(GD$8,INDIRECT(LU_MAT),$B64,FALSE)*$D64/$C64</f>
        <v>0</v>
      </c>
      <c r="GE64" s="918">
        <f t="shared" ca="1" si="215"/>
        <v>0</v>
      </c>
      <c r="GF64" s="918">
        <f t="shared" ca="1" si="215"/>
        <v>0</v>
      </c>
      <c r="GG64" s="918">
        <f t="shared" ca="1" si="215"/>
        <v>0</v>
      </c>
      <c r="GH64" s="918" t="e">
        <f t="shared" ca="1" si="215"/>
        <v>#N/A</v>
      </c>
      <c r="GI64" s="1144" t="e">
        <f t="shared" ca="1" si="215"/>
        <v>#N/A</v>
      </c>
      <c r="GJ64" s="918">
        <f t="shared" ca="1" si="215"/>
        <v>-1.0231378816542767</v>
      </c>
      <c r="GK64" s="918">
        <f t="shared" ca="1" si="215"/>
        <v>-0.13932927565653838</v>
      </c>
      <c r="GL64" s="918">
        <f t="shared" ca="1" si="215"/>
        <v>0</v>
      </c>
      <c r="GM64" s="918">
        <f t="shared" ca="1" si="215"/>
        <v>0</v>
      </c>
      <c r="GN64" s="918">
        <f t="shared" ca="1" si="215"/>
        <v>0</v>
      </c>
      <c r="GO64" s="918" t="e">
        <f t="shared" ca="1" si="215"/>
        <v>#N/A</v>
      </c>
      <c r="GP64" s="915"/>
      <c r="GR64" s="946"/>
      <c r="GS64" s="946"/>
      <c r="GU64" s="946"/>
      <c r="GV64" s="946"/>
      <c r="GW64" s="946"/>
      <c r="GX64" s="1143"/>
      <c r="GY64" s="946"/>
    </row>
    <row r="65" spans="1:207" s="914" customFormat="1" x14ac:dyDescent="0.3">
      <c r="A65" s="975" t="s">
        <v>1543</v>
      </c>
      <c r="B65" s="977">
        <v>43</v>
      </c>
      <c r="C65" s="973">
        <v>28.010400000000001</v>
      </c>
      <c r="D65" s="914">
        <v>-6.7588611829999992E-2</v>
      </c>
      <c r="E65" s="972" t="s">
        <v>982</v>
      </c>
      <c r="F65" s="936">
        <f t="shared" ca="1" si="198"/>
        <v>0</v>
      </c>
      <c r="G65" s="918">
        <f t="shared" ca="1" si="198"/>
        <v>0</v>
      </c>
      <c r="H65" s="918">
        <f t="shared" ca="1" si="198"/>
        <v>0</v>
      </c>
      <c r="I65" s="918">
        <f t="shared" ca="1" si="198"/>
        <v>0</v>
      </c>
      <c r="J65" s="918">
        <f t="shared" ca="1" si="198"/>
        <v>0</v>
      </c>
      <c r="K65" s="1144">
        <f t="shared" ca="1" si="198"/>
        <v>0</v>
      </c>
      <c r="L65" s="918">
        <f t="shared" ca="1" si="198"/>
        <v>0</v>
      </c>
      <c r="M65" s="918">
        <f t="shared" ca="1" si="198"/>
        <v>0</v>
      </c>
      <c r="N65" s="938">
        <f t="shared" ca="1" si="198"/>
        <v>0</v>
      </c>
      <c r="O65" s="918">
        <f t="shared" ca="1" si="198"/>
        <v>0</v>
      </c>
      <c r="P65" s="939">
        <f t="shared" ca="1" si="198"/>
        <v>0</v>
      </c>
      <c r="Q65" s="921"/>
      <c r="R65" s="918">
        <f t="shared" ca="1" si="199"/>
        <v>0</v>
      </c>
      <c r="S65" s="918">
        <f t="shared" ca="1" si="199"/>
        <v>0</v>
      </c>
      <c r="T65" s="918">
        <f t="shared" ca="1" si="199"/>
        <v>0</v>
      </c>
      <c r="U65" s="918">
        <f t="shared" ca="1" si="199"/>
        <v>0</v>
      </c>
      <c r="V65" s="918">
        <f t="shared" ca="1" si="199"/>
        <v>0</v>
      </c>
      <c r="W65" s="918">
        <f t="shared" ca="1" si="199"/>
        <v>0</v>
      </c>
      <c r="X65" s="938">
        <f t="shared" ca="1" si="199"/>
        <v>0</v>
      </c>
      <c r="Y65" s="918">
        <f t="shared" ca="1" si="199"/>
        <v>0</v>
      </c>
      <c r="Z65" s="918">
        <f t="shared" ca="1" si="199"/>
        <v>0</v>
      </c>
      <c r="AA65" s="918">
        <f t="shared" ca="1" si="199"/>
        <v>0</v>
      </c>
      <c r="AB65" s="921"/>
      <c r="AC65" s="918">
        <f t="shared" ca="1" si="200"/>
        <v>0</v>
      </c>
      <c r="AD65" s="918">
        <f t="shared" ca="1" si="200"/>
        <v>0</v>
      </c>
      <c r="AE65" s="918">
        <f t="shared" ca="1" si="200"/>
        <v>0</v>
      </c>
      <c r="AF65" s="918">
        <f t="shared" ca="1" si="200"/>
        <v>0</v>
      </c>
      <c r="AG65" s="918">
        <f t="shared" ca="1" si="200"/>
        <v>0</v>
      </c>
      <c r="AH65" s="918">
        <f t="shared" ca="1" si="200"/>
        <v>0</v>
      </c>
      <c r="AI65" s="918">
        <f t="shared" ca="1" si="200"/>
        <v>0</v>
      </c>
      <c r="AJ65" s="918">
        <f t="shared" ca="1" si="200"/>
        <v>0</v>
      </c>
      <c r="AK65" s="938">
        <f t="shared" ca="1" si="200"/>
        <v>0</v>
      </c>
      <c r="AL65" s="918">
        <f t="shared" ca="1" si="200"/>
        <v>0</v>
      </c>
      <c r="AM65" s="918">
        <f t="shared" ca="1" si="200"/>
        <v>0</v>
      </c>
      <c r="AN65" s="918">
        <f t="shared" ca="1" si="200"/>
        <v>0</v>
      </c>
      <c r="AO65" s="921"/>
      <c r="AP65" s="1144">
        <f t="shared" ca="1" si="195"/>
        <v>0</v>
      </c>
      <c r="AQ65" s="1144">
        <f t="shared" ca="1" si="195"/>
        <v>0</v>
      </c>
      <c r="AR65" s="1144">
        <f t="shared" ca="1" si="195"/>
        <v>0</v>
      </c>
      <c r="AS65" s="1144">
        <f t="shared" ca="1" si="195"/>
        <v>0</v>
      </c>
      <c r="AT65" s="938">
        <f t="shared" ca="1" si="195"/>
        <v>0</v>
      </c>
      <c r="AU65" s="938">
        <f t="shared" ca="1" si="195"/>
        <v>0</v>
      </c>
      <c r="AV65" s="1144">
        <f t="shared" ca="1" si="195"/>
        <v>0</v>
      </c>
      <c r="AW65" s="1144">
        <f t="shared" ca="1" si="195"/>
        <v>0</v>
      </c>
      <c r="AX65" s="1144">
        <f t="shared" ca="1" si="195"/>
        <v>0</v>
      </c>
      <c r="AY65" s="1144">
        <f t="shared" ca="1" si="195"/>
        <v>0</v>
      </c>
      <c r="AZ65" s="1144">
        <f t="shared" ca="1" si="195"/>
        <v>0</v>
      </c>
      <c r="BA65" s="1144">
        <f t="shared" ca="1" si="195"/>
        <v>0</v>
      </c>
      <c r="BB65" s="1144">
        <f t="shared" ca="1" si="201"/>
        <v>0</v>
      </c>
      <c r="BC65" s="1144">
        <f t="shared" ca="1" si="201"/>
        <v>0</v>
      </c>
      <c r="BD65" s="921"/>
      <c r="BE65" s="918">
        <f t="shared" ca="1" si="202"/>
        <v>0</v>
      </c>
      <c r="BF65" s="918">
        <f t="shared" ca="1" si="202"/>
        <v>0</v>
      </c>
      <c r="BG65" s="918">
        <f t="shared" ca="1" si="202"/>
        <v>0</v>
      </c>
      <c r="BH65" s="918">
        <f t="shared" ca="1" si="202"/>
        <v>0</v>
      </c>
      <c r="BI65" s="938">
        <f t="shared" ca="1" si="202"/>
        <v>0</v>
      </c>
      <c r="BJ65" s="918">
        <f t="shared" ca="1" si="202"/>
        <v>0</v>
      </c>
      <c r="BK65" s="918">
        <f t="shared" ca="1" si="202"/>
        <v>0</v>
      </c>
      <c r="BL65" s="918">
        <f t="shared" ca="1" si="202"/>
        <v>0</v>
      </c>
      <c r="BM65" s="918">
        <f t="shared" ca="1" si="202"/>
        <v>0</v>
      </c>
      <c r="BN65" s="1144">
        <f t="shared" ca="1" si="202"/>
        <v>0</v>
      </c>
      <c r="BO65" s="918">
        <f t="shared" ca="1" si="202"/>
        <v>0</v>
      </c>
      <c r="BP65" s="921"/>
      <c r="BQ65" s="918">
        <f t="shared" ca="1" si="203"/>
        <v>0</v>
      </c>
      <c r="BR65" s="918">
        <f t="shared" ca="1" si="203"/>
        <v>0</v>
      </c>
      <c r="BS65" s="1144">
        <f t="shared" ca="1" si="203"/>
        <v>0</v>
      </c>
      <c r="BT65" s="918">
        <f t="shared" ca="1" si="203"/>
        <v>0</v>
      </c>
      <c r="BU65" s="918">
        <f t="shared" ca="1" si="203"/>
        <v>0</v>
      </c>
      <c r="BV65" s="918">
        <f t="shared" ca="1" si="203"/>
        <v>0</v>
      </c>
      <c r="BW65" s="1144">
        <f t="shared" ca="1" si="203"/>
        <v>0</v>
      </c>
      <c r="BX65" s="921"/>
      <c r="BY65" s="918">
        <f t="shared" ca="1" si="204"/>
        <v>0</v>
      </c>
      <c r="BZ65" s="918">
        <f t="shared" ca="1" si="204"/>
        <v>0</v>
      </c>
      <c r="CA65" s="918">
        <f t="shared" ca="1" si="204"/>
        <v>0</v>
      </c>
      <c r="CB65" s="918">
        <f t="shared" ca="1" si="204"/>
        <v>0</v>
      </c>
      <c r="CC65" s="918">
        <f t="shared" ca="1" si="204"/>
        <v>0</v>
      </c>
      <c r="CD65" s="918">
        <f t="shared" ca="1" si="204"/>
        <v>0</v>
      </c>
      <c r="CE65" s="918">
        <f t="shared" ca="1" si="204"/>
        <v>0</v>
      </c>
      <c r="CF65" s="918">
        <f t="shared" ca="1" si="204"/>
        <v>-0.14951331949918048</v>
      </c>
      <c r="CG65" s="921"/>
      <c r="CH65" s="918">
        <f t="shared" ca="1" si="205"/>
        <v>0</v>
      </c>
      <c r="CI65" s="918">
        <f t="shared" ca="1" si="205"/>
        <v>0</v>
      </c>
      <c r="CJ65" s="918">
        <f t="shared" ca="1" si="205"/>
        <v>-0.14951331949918048</v>
      </c>
      <c r="CK65" s="918" t="e">
        <f t="shared" ca="1" si="205"/>
        <v>#N/A</v>
      </c>
      <c r="CL65" s="918" t="e">
        <f t="shared" ca="1" si="205"/>
        <v>#N/A</v>
      </c>
      <c r="CM65" s="921"/>
      <c r="CN65" s="918">
        <f t="shared" ca="1" si="206"/>
        <v>0</v>
      </c>
      <c r="CO65" s="918" t="e">
        <f t="shared" ca="1" si="206"/>
        <v>#N/A</v>
      </c>
      <c r="CP65" s="918">
        <f t="shared" ca="1" si="206"/>
        <v>0</v>
      </c>
      <c r="CQ65" s="918">
        <f t="shared" ca="1" si="206"/>
        <v>0</v>
      </c>
      <c r="CR65" s="918">
        <f t="shared" ca="1" si="206"/>
        <v>0</v>
      </c>
      <c r="CS65" s="1144">
        <f t="shared" ca="1" si="206"/>
        <v>0</v>
      </c>
      <c r="CT65" s="921"/>
      <c r="CU65" s="918">
        <f t="shared" ca="1" si="207"/>
        <v>0</v>
      </c>
      <c r="CV65" s="918">
        <f t="shared" ca="1" si="207"/>
        <v>0</v>
      </c>
      <c r="CW65" s="918">
        <f t="shared" ca="1" si="207"/>
        <v>0</v>
      </c>
      <c r="CX65" s="918">
        <f t="shared" ca="1" si="207"/>
        <v>0</v>
      </c>
      <c r="CY65" s="918">
        <f t="shared" ca="1" si="207"/>
        <v>0</v>
      </c>
      <c r="CZ65" s="1144" t="e">
        <f t="shared" ca="1" si="207"/>
        <v>#N/A</v>
      </c>
      <c r="DA65" s="1144" t="e">
        <f t="shared" ca="1" si="207"/>
        <v>#N/A</v>
      </c>
      <c r="DB65" s="918">
        <f t="shared" ca="1" si="207"/>
        <v>0</v>
      </c>
      <c r="DC65" s="938">
        <f t="shared" ca="1" si="207"/>
        <v>0</v>
      </c>
      <c r="DD65" s="918">
        <f t="shared" ca="1" si="207"/>
        <v>0</v>
      </c>
      <c r="DE65" s="918">
        <f t="shared" ca="1" si="207"/>
        <v>0</v>
      </c>
      <c r="DF65" s="918">
        <f t="shared" ca="1" si="207"/>
        <v>0</v>
      </c>
      <c r="DG65" s="918">
        <f t="shared" ca="1" si="207"/>
        <v>0</v>
      </c>
      <c r="DH65" s="918">
        <f t="shared" ca="1" si="207"/>
        <v>0</v>
      </c>
      <c r="DI65" s="921"/>
      <c r="DJ65" s="1144">
        <f t="shared" ca="1" si="196"/>
        <v>0</v>
      </c>
      <c r="DK65" s="1144">
        <f t="shared" ca="1" si="196"/>
        <v>0</v>
      </c>
      <c r="DL65" s="1144">
        <f t="shared" ca="1" si="196"/>
        <v>0</v>
      </c>
      <c r="DM65" s="1144">
        <f t="shared" ca="1" si="196"/>
        <v>0</v>
      </c>
      <c r="DN65" s="1144" t="e">
        <f t="shared" ca="1" si="196"/>
        <v>#N/A</v>
      </c>
      <c r="DO65" s="1144">
        <f t="shared" ca="1" si="196"/>
        <v>0</v>
      </c>
      <c r="DP65" s="1144" t="e">
        <f t="shared" ca="1" si="196"/>
        <v>#N/A</v>
      </c>
      <c r="DQ65" s="921"/>
      <c r="DR65" s="1144">
        <f t="shared" ca="1" si="208"/>
        <v>0</v>
      </c>
      <c r="DS65" s="1144">
        <f t="shared" ca="1" si="208"/>
        <v>0</v>
      </c>
      <c r="DT65" s="1144">
        <f t="shared" ca="1" si="208"/>
        <v>0</v>
      </c>
      <c r="DU65" s="1144" t="e">
        <f t="shared" ca="1" si="208"/>
        <v>#N/A</v>
      </c>
      <c r="DV65" s="920"/>
      <c r="DW65" s="921"/>
      <c r="DX65" s="918">
        <f t="shared" ca="1" si="209"/>
        <v>0</v>
      </c>
      <c r="DY65" s="918">
        <f t="shared" ca="1" si="209"/>
        <v>0</v>
      </c>
      <c r="DZ65" s="918">
        <f t="shared" ca="1" si="209"/>
        <v>0</v>
      </c>
      <c r="EA65" s="918" t="e">
        <f t="shared" ca="1" si="209"/>
        <v>#N/A</v>
      </c>
      <c r="EB65" s="920"/>
      <c r="EC65" s="921"/>
      <c r="ED65" s="1144">
        <f t="shared" ca="1" si="210"/>
        <v>0</v>
      </c>
      <c r="EE65" s="1144">
        <f t="shared" ca="1" si="210"/>
        <v>0</v>
      </c>
      <c r="EF65" s="1144" t="e">
        <f t="shared" ca="1" si="210"/>
        <v>#N/A</v>
      </c>
      <c r="EG65" s="1144" t="e">
        <f t="shared" ca="1" si="210"/>
        <v>#N/A</v>
      </c>
      <c r="EH65" s="920"/>
      <c r="EI65" s="921"/>
      <c r="EJ65" s="918">
        <f t="shared" ca="1" si="211"/>
        <v>0</v>
      </c>
      <c r="EK65" s="918">
        <f t="shared" ca="1" si="211"/>
        <v>0</v>
      </c>
      <c r="EL65" s="918">
        <f t="shared" ca="1" si="211"/>
        <v>0</v>
      </c>
      <c r="EM65" s="918">
        <f t="shared" ca="1" si="211"/>
        <v>0</v>
      </c>
      <c r="EN65" s="920"/>
      <c r="EO65" s="921"/>
      <c r="EP65" s="1144">
        <f t="shared" ca="1" si="212"/>
        <v>0</v>
      </c>
      <c r="EQ65" s="1144">
        <f t="shared" ca="1" si="212"/>
        <v>0</v>
      </c>
      <c r="ER65" s="1144">
        <f t="shared" ca="1" si="212"/>
        <v>0</v>
      </c>
      <c r="ES65" s="1144">
        <f t="shared" ca="1" si="212"/>
        <v>0</v>
      </c>
      <c r="ET65" s="920"/>
      <c r="EU65" s="921"/>
      <c r="EV65" s="1144">
        <f t="shared" ca="1" si="197"/>
        <v>0</v>
      </c>
      <c r="EW65" s="1144">
        <f t="shared" ca="1" si="197"/>
        <v>0</v>
      </c>
      <c r="EX65" s="921"/>
      <c r="EY65" s="1144">
        <f t="shared" ca="1" si="197"/>
        <v>0</v>
      </c>
      <c r="EZ65" s="1144">
        <f t="shared" ca="1" si="197"/>
        <v>0</v>
      </c>
      <c r="FA65" s="1144" t="e">
        <f t="shared" ca="1" si="197"/>
        <v>#N/A</v>
      </c>
      <c r="FB65" s="921"/>
      <c r="FC65" s="918">
        <f t="shared" ca="1" si="213"/>
        <v>0</v>
      </c>
      <c r="FD65" s="918">
        <f t="shared" ca="1" si="213"/>
        <v>0</v>
      </c>
      <c r="FE65" s="918">
        <f t="shared" ca="1" si="213"/>
        <v>0</v>
      </c>
      <c r="FF65" s="918">
        <f t="shared" ca="1" si="213"/>
        <v>0</v>
      </c>
      <c r="FG65" s="918">
        <f t="shared" ca="1" si="213"/>
        <v>0</v>
      </c>
      <c r="FH65" s="918">
        <f t="shared" ca="1" si="213"/>
        <v>0</v>
      </c>
      <c r="FI65" s="918">
        <f t="shared" ca="1" si="213"/>
        <v>0</v>
      </c>
      <c r="FJ65" s="918">
        <f t="shared" ca="1" si="213"/>
        <v>0</v>
      </c>
      <c r="FK65" s="918">
        <f t="shared" ca="1" si="213"/>
        <v>0</v>
      </c>
      <c r="FL65" s="918">
        <f t="shared" ca="1" si="213"/>
        <v>0</v>
      </c>
      <c r="FM65" s="918" t="e">
        <f t="shared" ca="1" si="214"/>
        <v>#N/A</v>
      </c>
      <c r="FN65" s="1144">
        <f t="shared" ca="1" si="214"/>
        <v>0</v>
      </c>
      <c r="FO65" s="1144">
        <f t="shared" ca="1" si="214"/>
        <v>0</v>
      </c>
      <c r="FP65" s="918">
        <f t="shared" ca="1" si="214"/>
        <v>0</v>
      </c>
      <c r="FQ65" s="918">
        <f t="shared" ca="1" si="214"/>
        <v>0</v>
      </c>
      <c r="FR65" s="918">
        <f t="shared" ca="1" si="214"/>
        <v>0</v>
      </c>
      <c r="FS65" s="918">
        <f t="shared" ca="1" si="214"/>
        <v>0</v>
      </c>
      <c r="FT65" s="918">
        <f t="shared" ca="1" si="214"/>
        <v>0</v>
      </c>
      <c r="FU65" s="918" t="e">
        <f t="shared" ca="1" si="214"/>
        <v>#N/A</v>
      </c>
      <c r="FV65" s="1144" t="e">
        <f t="shared" ca="1" si="214"/>
        <v>#N/A</v>
      </c>
      <c r="FW65" s="918">
        <f t="shared" ca="1" si="214"/>
        <v>0</v>
      </c>
      <c r="FX65" s="918">
        <f t="shared" ca="1" si="214"/>
        <v>0</v>
      </c>
      <c r="FY65" s="918">
        <f t="shared" ca="1" si="214"/>
        <v>0</v>
      </c>
      <c r="FZ65" s="918">
        <f t="shared" ca="1" si="214"/>
        <v>0</v>
      </c>
      <c r="GA65" s="1144" t="e">
        <f t="shared" ca="1" si="214"/>
        <v>#N/A</v>
      </c>
      <c r="GB65" s="918">
        <f t="shared" ca="1" si="214"/>
        <v>0</v>
      </c>
      <c r="GC65" s="920"/>
      <c r="GD65" s="918">
        <f t="shared" ca="1" si="215"/>
        <v>0</v>
      </c>
      <c r="GE65" s="918">
        <f t="shared" ca="1" si="215"/>
        <v>0</v>
      </c>
      <c r="GF65" s="918">
        <f t="shared" ca="1" si="215"/>
        <v>0</v>
      </c>
      <c r="GG65" s="918">
        <f t="shared" ca="1" si="215"/>
        <v>0</v>
      </c>
      <c r="GH65" s="918" t="e">
        <f t="shared" ca="1" si="215"/>
        <v>#N/A</v>
      </c>
      <c r="GI65" s="1144" t="e">
        <f t="shared" ca="1" si="215"/>
        <v>#N/A</v>
      </c>
      <c r="GJ65" s="918">
        <f t="shared" ca="1" si="215"/>
        <v>0</v>
      </c>
      <c r="GK65" s="918">
        <f t="shared" ca="1" si="215"/>
        <v>0</v>
      </c>
      <c r="GL65" s="918">
        <f t="shared" ca="1" si="215"/>
        <v>0</v>
      </c>
      <c r="GM65" s="918">
        <f t="shared" ca="1" si="215"/>
        <v>-0.14951331949918048</v>
      </c>
      <c r="GN65" s="918">
        <f t="shared" ca="1" si="215"/>
        <v>0</v>
      </c>
      <c r="GO65" s="918" t="e">
        <f t="shared" ca="1" si="215"/>
        <v>#N/A</v>
      </c>
      <c r="GP65" s="915"/>
      <c r="GR65" s="946"/>
      <c r="GS65" s="946"/>
      <c r="GU65" s="946"/>
      <c r="GV65" s="946"/>
      <c r="GW65" s="946"/>
      <c r="GX65" s="1143"/>
      <c r="GY65" s="946"/>
    </row>
    <row r="66" spans="1:207" s="914" customFormat="1" x14ac:dyDescent="0.3">
      <c r="A66" s="1139" t="s">
        <v>2647</v>
      </c>
      <c r="B66" s="977">
        <v>34</v>
      </c>
      <c r="C66" s="973">
        <v>39.997109999999999</v>
      </c>
      <c r="D66" s="1006">
        <v>3.4685475225000005E-2</v>
      </c>
      <c r="E66" s="972" t="s">
        <v>982</v>
      </c>
      <c r="F66" s="936">
        <f t="shared" ca="1" si="198"/>
        <v>0</v>
      </c>
      <c r="G66" s="918">
        <f t="shared" ca="1" si="198"/>
        <v>0</v>
      </c>
      <c r="H66" s="918">
        <f t="shared" ca="1" si="198"/>
        <v>0</v>
      </c>
      <c r="I66" s="918">
        <f t="shared" ca="1" si="198"/>
        <v>0</v>
      </c>
      <c r="J66" s="918">
        <f t="shared" ca="1" si="198"/>
        <v>0</v>
      </c>
      <c r="K66" s="1144">
        <f t="shared" ca="1" si="198"/>
        <v>0</v>
      </c>
      <c r="L66" s="918">
        <f t="shared" ca="1" si="198"/>
        <v>0</v>
      </c>
      <c r="M66" s="918">
        <f t="shared" ca="1" si="198"/>
        <v>0</v>
      </c>
      <c r="N66" s="938">
        <f t="shared" ca="1" si="198"/>
        <v>0</v>
      </c>
      <c r="O66" s="918">
        <f t="shared" ca="1" si="198"/>
        <v>0</v>
      </c>
      <c r="P66" s="939">
        <f t="shared" ca="1" si="198"/>
        <v>0</v>
      </c>
      <c r="Q66" s="921"/>
      <c r="R66" s="918">
        <f t="shared" ca="1" si="199"/>
        <v>0</v>
      </c>
      <c r="S66" s="918">
        <f t="shared" ca="1" si="199"/>
        <v>0</v>
      </c>
      <c r="T66" s="918">
        <f t="shared" ca="1" si="199"/>
        <v>0</v>
      </c>
      <c r="U66" s="918">
        <f t="shared" ca="1" si="199"/>
        <v>0</v>
      </c>
      <c r="V66" s="918">
        <f t="shared" ca="1" si="199"/>
        <v>0</v>
      </c>
      <c r="W66" s="918">
        <f t="shared" ca="1" si="199"/>
        <v>0</v>
      </c>
      <c r="X66" s="938">
        <f t="shared" ca="1" si="199"/>
        <v>0</v>
      </c>
      <c r="Y66" s="918">
        <f t="shared" ca="1" si="199"/>
        <v>0</v>
      </c>
      <c r="Z66" s="918">
        <f t="shared" ca="1" si="199"/>
        <v>0</v>
      </c>
      <c r="AA66" s="918">
        <f t="shared" ca="1" si="199"/>
        <v>0</v>
      </c>
      <c r="AB66" s="921"/>
      <c r="AC66" s="918">
        <f t="shared" ca="1" si="200"/>
        <v>0</v>
      </c>
      <c r="AD66" s="918">
        <f t="shared" ca="1" si="200"/>
        <v>0</v>
      </c>
      <c r="AE66" s="918">
        <f t="shared" ca="1" si="200"/>
        <v>0</v>
      </c>
      <c r="AF66" s="918">
        <f t="shared" ca="1" si="200"/>
        <v>0</v>
      </c>
      <c r="AG66" s="918">
        <f t="shared" ca="1" si="200"/>
        <v>0</v>
      </c>
      <c r="AH66" s="918">
        <f t="shared" ca="1" si="200"/>
        <v>0</v>
      </c>
      <c r="AI66" s="918">
        <f t="shared" ca="1" si="200"/>
        <v>0</v>
      </c>
      <c r="AJ66" s="918">
        <f t="shared" ca="1" si="200"/>
        <v>0</v>
      </c>
      <c r="AK66" s="938">
        <f t="shared" ca="1" si="200"/>
        <v>0</v>
      </c>
      <c r="AL66" s="918">
        <f t="shared" ca="1" si="200"/>
        <v>0</v>
      </c>
      <c r="AM66" s="918">
        <f t="shared" ca="1" si="200"/>
        <v>0</v>
      </c>
      <c r="AN66" s="918">
        <f t="shared" ca="1" si="200"/>
        <v>0</v>
      </c>
      <c r="AO66" s="921"/>
      <c r="AP66" s="1144">
        <f t="shared" ca="1" si="195"/>
        <v>0</v>
      </c>
      <c r="AQ66" s="1144">
        <f t="shared" ca="1" si="195"/>
        <v>0</v>
      </c>
      <c r="AR66" s="1144">
        <f t="shared" ca="1" si="195"/>
        <v>0</v>
      </c>
      <c r="AS66" s="1144">
        <f t="shared" ca="1" si="195"/>
        <v>0</v>
      </c>
      <c r="AT66" s="938">
        <f t="shared" ca="1" si="195"/>
        <v>0</v>
      </c>
      <c r="AU66" s="938">
        <f t="shared" ca="1" si="195"/>
        <v>0</v>
      </c>
      <c r="AV66" s="1144">
        <f t="shared" ca="1" si="195"/>
        <v>0</v>
      </c>
      <c r="AW66" s="1144">
        <f t="shared" ca="1" si="195"/>
        <v>0</v>
      </c>
      <c r="AX66" s="1144">
        <f t="shared" ca="1" si="195"/>
        <v>0</v>
      </c>
      <c r="AY66" s="1144">
        <f t="shared" ca="1" si="195"/>
        <v>0</v>
      </c>
      <c r="AZ66" s="1144">
        <f t="shared" ca="1" si="195"/>
        <v>0</v>
      </c>
      <c r="BA66" s="1144">
        <f t="shared" ca="1" si="195"/>
        <v>0</v>
      </c>
      <c r="BB66" s="1144">
        <f t="shared" ca="1" si="201"/>
        <v>0</v>
      </c>
      <c r="BC66" s="1144">
        <f t="shared" ca="1" si="201"/>
        <v>0</v>
      </c>
      <c r="BD66" s="921"/>
      <c r="BE66" s="918">
        <f t="shared" ca="1" si="202"/>
        <v>0</v>
      </c>
      <c r="BF66" s="918">
        <f t="shared" ca="1" si="202"/>
        <v>0</v>
      </c>
      <c r="BG66" s="918">
        <f t="shared" ca="1" si="202"/>
        <v>0</v>
      </c>
      <c r="BH66" s="918">
        <f t="shared" ca="1" si="202"/>
        <v>0</v>
      </c>
      <c r="BI66" s="938">
        <f t="shared" ca="1" si="202"/>
        <v>0</v>
      </c>
      <c r="BJ66" s="918">
        <f t="shared" ca="1" si="202"/>
        <v>0</v>
      </c>
      <c r="BK66" s="918">
        <f t="shared" ca="1" si="202"/>
        <v>0</v>
      </c>
      <c r="BL66" s="918">
        <f t="shared" ca="1" si="202"/>
        <v>0</v>
      </c>
      <c r="BM66" s="918">
        <f t="shared" ca="1" si="202"/>
        <v>0</v>
      </c>
      <c r="BN66" s="1144">
        <f t="shared" ca="1" si="202"/>
        <v>0</v>
      </c>
      <c r="BO66" s="918">
        <f t="shared" ca="1" si="202"/>
        <v>0</v>
      </c>
      <c r="BP66" s="921"/>
      <c r="BQ66" s="918">
        <f t="shared" ca="1" si="203"/>
        <v>0</v>
      </c>
      <c r="BR66" s="918">
        <f t="shared" ca="1" si="203"/>
        <v>0</v>
      </c>
      <c r="BS66" s="1144">
        <f t="shared" ca="1" si="203"/>
        <v>0</v>
      </c>
      <c r="BT66" s="918">
        <f t="shared" ca="1" si="203"/>
        <v>0</v>
      </c>
      <c r="BU66" s="918">
        <f t="shared" ca="1" si="203"/>
        <v>0</v>
      </c>
      <c r="BV66" s="918">
        <f t="shared" ca="1" si="203"/>
        <v>0</v>
      </c>
      <c r="BW66" s="1144">
        <f t="shared" ca="1" si="203"/>
        <v>0</v>
      </c>
      <c r="BX66" s="921"/>
      <c r="BY66" s="918">
        <f t="shared" ca="1" si="204"/>
        <v>0</v>
      </c>
      <c r="BZ66" s="918">
        <f t="shared" ca="1" si="204"/>
        <v>0</v>
      </c>
      <c r="CA66" s="918">
        <f t="shared" ca="1" si="204"/>
        <v>0</v>
      </c>
      <c r="CB66" s="918">
        <f t="shared" ca="1" si="204"/>
        <v>0</v>
      </c>
      <c r="CC66" s="918">
        <f t="shared" ca="1" si="204"/>
        <v>0</v>
      </c>
      <c r="CD66" s="918">
        <f t="shared" ca="1" si="204"/>
        <v>0</v>
      </c>
      <c r="CE66" s="918">
        <f t="shared" ca="1" si="204"/>
        <v>0</v>
      </c>
      <c r="CF66" s="918">
        <f t="shared" ca="1" si="204"/>
        <v>0</v>
      </c>
      <c r="CG66" s="921"/>
      <c r="CH66" s="918">
        <f t="shared" ca="1" si="205"/>
        <v>0</v>
      </c>
      <c r="CI66" s="918">
        <f t="shared" ca="1" si="205"/>
        <v>0</v>
      </c>
      <c r="CJ66" s="918">
        <f t="shared" ca="1" si="205"/>
        <v>0</v>
      </c>
      <c r="CK66" s="918" t="e">
        <f t="shared" ca="1" si="205"/>
        <v>#N/A</v>
      </c>
      <c r="CL66" s="918" t="e">
        <f t="shared" ca="1" si="205"/>
        <v>#N/A</v>
      </c>
      <c r="CM66" s="921"/>
      <c r="CN66" s="918">
        <f t="shared" ca="1" si="206"/>
        <v>0</v>
      </c>
      <c r="CO66" s="918" t="e">
        <f t="shared" ca="1" si="206"/>
        <v>#N/A</v>
      </c>
      <c r="CP66" s="918">
        <f t="shared" ca="1" si="206"/>
        <v>0</v>
      </c>
      <c r="CQ66" s="918">
        <f t="shared" ca="1" si="206"/>
        <v>0</v>
      </c>
      <c r="CR66" s="918">
        <f t="shared" ca="1" si="206"/>
        <v>0</v>
      </c>
      <c r="CS66" s="1144">
        <f t="shared" ca="1" si="206"/>
        <v>0</v>
      </c>
      <c r="CT66" s="921"/>
      <c r="CU66" s="918">
        <f t="shared" ca="1" si="207"/>
        <v>0</v>
      </c>
      <c r="CV66" s="918">
        <f t="shared" ca="1" si="207"/>
        <v>0</v>
      </c>
      <c r="CW66" s="918">
        <f t="shared" ca="1" si="207"/>
        <v>0</v>
      </c>
      <c r="CX66" s="918">
        <f t="shared" ca="1" si="207"/>
        <v>0</v>
      </c>
      <c r="CY66" s="918">
        <f t="shared" ca="1" si="207"/>
        <v>0</v>
      </c>
      <c r="CZ66" s="1144" t="e">
        <f t="shared" ca="1" si="207"/>
        <v>#N/A</v>
      </c>
      <c r="DA66" s="1144" t="e">
        <f t="shared" ca="1" si="207"/>
        <v>#N/A</v>
      </c>
      <c r="DB66" s="918">
        <f t="shared" ca="1" si="207"/>
        <v>1.9529200517614915</v>
      </c>
      <c r="DC66" s="938">
        <f t="shared" ca="1" si="207"/>
        <v>0</v>
      </c>
      <c r="DD66" s="918">
        <f t="shared" ca="1" si="207"/>
        <v>0</v>
      </c>
      <c r="DE66" s="918">
        <f t="shared" ca="1" si="207"/>
        <v>0</v>
      </c>
      <c r="DF66" s="918">
        <f t="shared" ca="1" si="207"/>
        <v>0</v>
      </c>
      <c r="DG66" s="918">
        <f t="shared" ca="1" si="207"/>
        <v>0</v>
      </c>
      <c r="DH66" s="918">
        <f t="shared" ca="1" si="207"/>
        <v>0</v>
      </c>
      <c r="DI66" s="921"/>
      <c r="DJ66" s="1144">
        <f t="shared" ca="1" si="196"/>
        <v>0</v>
      </c>
      <c r="DK66" s="1144">
        <f t="shared" ca="1" si="196"/>
        <v>0</v>
      </c>
      <c r="DL66" s="1144">
        <f t="shared" ca="1" si="196"/>
        <v>0</v>
      </c>
      <c r="DM66" s="1144">
        <f t="shared" ca="1" si="196"/>
        <v>1.9529200517614915</v>
      </c>
      <c r="DN66" s="1144" t="e">
        <f t="shared" ca="1" si="196"/>
        <v>#N/A</v>
      </c>
      <c r="DO66" s="1144">
        <f t="shared" ca="1" si="196"/>
        <v>0</v>
      </c>
      <c r="DP66" s="1144" t="e">
        <f t="shared" ca="1" si="196"/>
        <v>#N/A</v>
      </c>
      <c r="DQ66" s="921"/>
      <c r="DR66" s="1144">
        <f t="shared" ca="1" si="208"/>
        <v>0</v>
      </c>
      <c r="DS66" s="1144">
        <f t="shared" ca="1" si="208"/>
        <v>0</v>
      </c>
      <c r="DT66" s="1144">
        <f t="shared" ca="1" si="208"/>
        <v>0</v>
      </c>
      <c r="DU66" s="1144" t="e">
        <f t="shared" ca="1" si="208"/>
        <v>#N/A</v>
      </c>
      <c r="DV66" s="920"/>
      <c r="DW66" s="921"/>
      <c r="DX66" s="918">
        <f t="shared" ca="1" si="209"/>
        <v>0</v>
      </c>
      <c r="DY66" s="918">
        <f t="shared" ca="1" si="209"/>
        <v>0</v>
      </c>
      <c r="DZ66" s="918">
        <f t="shared" ca="1" si="209"/>
        <v>0</v>
      </c>
      <c r="EA66" s="918" t="e">
        <f t="shared" ca="1" si="209"/>
        <v>#N/A</v>
      </c>
      <c r="EB66" s="920"/>
      <c r="EC66" s="921"/>
      <c r="ED66" s="1144">
        <f t="shared" ca="1" si="210"/>
        <v>0</v>
      </c>
      <c r="EE66" s="1144">
        <f t="shared" ca="1" si="210"/>
        <v>0</v>
      </c>
      <c r="EF66" s="1144" t="e">
        <f t="shared" ca="1" si="210"/>
        <v>#N/A</v>
      </c>
      <c r="EG66" s="1144" t="e">
        <f t="shared" ca="1" si="210"/>
        <v>#N/A</v>
      </c>
      <c r="EH66" s="920"/>
      <c r="EI66" s="921"/>
      <c r="EJ66" s="918">
        <f t="shared" ca="1" si="211"/>
        <v>0</v>
      </c>
      <c r="EK66" s="918">
        <f t="shared" ca="1" si="211"/>
        <v>0</v>
      </c>
      <c r="EL66" s="918">
        <f t="shared" ca="1" si="211"/>
        <v>0</v>
      </c>
      <c r="EM66" s="918">
        <f t="shared" ca="1" si="211"/>
        <v>0</v>
      </c>
      <c r="EN66" s="920"/>
      <c r="EO66" s="921"/>
      <c r="EP66" s="1144">
        <f t="shared" ca="1" si="212"/>
        <v>0</v>
      </c>
      <c r="EQ66" s="1144">
        <f t="shared" ca="1" si="212"/>
        <v>0</v>
      </c>
      <c r="ER66" s="1144">
        <f t="shared" ca="1" si="212"/>
        <v>0</v>
      </c>
      <c r="ES66" s="1144">
        <f t="shared" ca="1" si="212"/>
        <v>0</v>
      </c>
      <c r="ET66" s="920"/>
      <c r="EU66" s="921"/>
      <c r="EV66" s="1144">
        <f t="shared" ca="1" si="197"/>
        <v>0</v>
      </c>
      <c r="EW66" s="1144">
        <f t="shared" ca="1" si="197"/>
        <v>0</v>
      </c>
      <c r="EX66" s="921"/>
      <c r="EY66" s="1144">
        <f t="shared" ca="1" si="197"/>
        <v>0</v>
      </c>
      <c r="EZ66" s="1144">
        <f t="shared" ca="1" si="197"/>
        <v>0</v>
      </c>
      <c r="FA66" s="1144" t="e">
        <f t="shared" ca="1" si="197"/>
        <v>#N/A</v>
      </c>
      <c r="FB66" s="921"/>
      <c r="FC66" s="918">
        <f t="shared" ca="1" si="213"/>
        <v>0</v>
      </c>
      <c r="FD66" s="918">
        <f t="shared" ca="1" si="213"/>
        <v>0</v>
      </c>
      <c r="FE66" s="918">
        <f t="shared" ca="1" si="213"/>
        <v>0</v>
      </c>
      <c r="FF66" s="918">
        <f t="shared" ca="1" si="213"/>
        <v>0</v>
      </c>
      <c r="FG66" s="918">
        <f t="shared" ca="1" si="213"/>
        <v>0</v>
      </c>
      <c r="FH66" s="918">
        <f t="shared" ca="1" si="213"/>
        <v>0</v>
      </c>
      <c r="FI66" s="918">
        <f t="shared" ca="1" si="213"/>
        <v>0</v>
      </c>
      <c r="FJ66" s="918">
        <f t="shared" ca="1" si="213"/>
        <v>0</v>
      </c>
      <c r="FK66" s="918">
        <f t="shared" ca="1" si="213"/>
        <v>0</v>
      </c>
      <c r="FL66" s="918">
        <f t="shared" ca="1" si="213"/>
        <v>0</v>
      </c>
      <c r="FM66" s="918" t="e">
        <f t="shared" ca="1" si="214"/>
        <v>#N/A</v>
      </c>
      <c r="FN66" s="1144">
        <f t="shared" ca="1" si="214"/>
        <v>0</v>
      </c>
      <c r="FO66" s="1144">
        <f t="shared" ca="1" si="214"/>
        <v>0</v>
      </c>
      <c r="FP66" s="918">
        <f t="shared" ca="1" si="214"/>
        <v>0</v>
      </c>
      <c r="FQ66" s="918">
        <f t="shared" ca="1" si="214"/>
        <v>0</v>
      </c>
      <c r="FR66" s="918">
        <f t="shared" ca="1" si="214"/>
        <v>0</v>
      </c>
      <c r="FS66" s="918">
        <f t="shared" ca="1" si="214"/>
        <v>0</v>
      </c>
      <c r="FT66" s="918">
        <f t="shared" ca="1" si="214"/>
        <v>0</v>
      </c>
      <c r="FU66" s="918" t="e">
        <f t="shared" ca="1" si="214"/>
        <v>#N/A</v>
      </c>
      <c r="FV66" s="1144" t="e">
        <f t="shared" ca="1" si="214"/>
        <v>#N/A</v>
      </c>
      <c r="FW66" s="918">
        <f t="shared" ca="1" si="214"/>
        <v>0</v>
      </c>
      <c r="FX66" s="918">
        <f t="shared" ca="1" si="214"/>
        <v>1.9529200517614915</v>
      </c>
      <c r="FY66" s="918">
        <f t="shared" ca="1" si="214"/>
        <v>0</v>
      </c>
      <c r="FZ66" s="918">
        <f t="shared" ca="1" si="214"/>
        <v>0</v>
      </c>
      <c r="GA66" s="1144" t="e">
        <f t="shared" ca="1" si="214"/>
        <v>#N/A</v>
      </c>
      <c r="GB66" s="918">
        <f t="shared" ca="1" si="214"/>
        <v>0</v>
      </c>
      <c r="GC66" s="920"/>
      <c r="GD66" s="918">
        <f t="shared" ca="1" si="215"/>
        <v>0</v>
      </c>
      <c r="GE66" s="918">
        <f t="shared" ca="1" si="215"/>
        <v>0</v>
      </c>
      <c r="GF66" s="918">
        <f t="shared" ca="1" si="215"/>
        <v>0</v>
      </c>
      <c r="GG66" s="918">
        <f t="shared" ca="1" si="215"/>
        <v>0</v>
      </c>
      <c r="GH66" s="918" t="e">
        <f t="shared" ca="1" si="215"/>
        <v>#N/A</v>
      </c>
      <c r="GI66" s="1144" t="e">
        <f t="shared" ca="1" si="215"/>
        <v>#N/A</v>
      </c>
      <c r="GJ66" s="918">
        <f t="shared" ca="1" si="215"/>
        <v>0</v>
      </c>
      <c r="GK66" s="918">
        <f t="shared" ca="1" si="215"/>
        <v>0</v>
      </c>
      <c r="GL66" s="918">
        <f t="shared" ca="1" si="215"/>
        <v>0</v>
      </c>
      <c r="GM66" s="918">
        <f t="shared" ca="1" si="215"/>
        <v>0</v>
      </c>
      <c r="GN66" s="918">
        <f t="shared" ca="1" si="215"/>
        <v>0</v>
      </c>
      <c r="GO66" s="918" t="e">
        <f t="shared" ca="1" si="215"/>
        <v>#N/A</v>
      </c>
      <c r="GP66" s="915"/>
      <c r="GR66" s="946"/>
      <c r="GS66" s="946"/>
      <c r="GU66" s="946"/>
      <c r="GV66" s="946"/>
      <c r="GW66" s="946"/>
      <c r="GX66" s="1143"/>
      <c r="GY66" s="946"/>
    </row>
    <row r="67" spans="1:207" s="914" customFormat="1" x14ac:dyDescent="0.3">
      <c r="A67" s="1139" t="s">
        <v>2648</v>
      </c>
      <c r="B67" s="977">
        <v>33</v>
      </c>
      <c r="C67" s="973">
        <v>84.994709999999998</v>
      </c>
      <c r="D67" s="1006">
        <v>0.11527327405000001</v>
      </c>
      <c r="E67" s="972" t="s">
        <v>982</v>
      </c>
      <c r="F67" s="936">
        <f t="shared" ca="1" si="198"/>
        <v>0</v>
      </c>
      <c r="G67" s="918">
        <f t="shared" ca="1" si="198"/>
        <v>0</v>
      </c>
      <c r="H67" s="918">
        <f t="shared" ca="1" si="198"/>
        <v>0</v>
      </c>
      <c r="I67" s="918">
        <f t="shared" ca="1" si="198"/>
        <v>0</v>
      </c>
      <c r="J67" s="918">
        <f t="shared" ca="1" si="198"/>
        <v>0</v>
      </c>
      <c r="K67" s="1144">
        <f t="shared" ca="1" si="198"/>
        <v>0</v>
      </c>
      <c r="L67" s="918">
        <f t="shared" ca="1" si="198"/>
        <v>0</v>
      </c>
      <c r="M67" s="918">
        <f t="shared" ca="1" si="198"/>
        <v>0</v>
      </c>
      <c r="N67" s="938">
        <f t="shared" ca="1" si="198"/>
        <v>0</v>
      </c>
      <c r="O67" s="918">
        <f t="shared" ca="1" si="198"/>
        <v>0</v>
      </c>
      <c r="P67" s="939">
        <f t="shared" ca="1" si="198"/>
        <v>0</v>
      </c>
      <c r="Q67" s="921"/>
      <c r="R67" s="918">
        <f t="shared" ca="1" si="199"/>
        <v>0</v>
      </c>
      <c r="S67" s="918">
        <f t="shared" ca="1" si="199"/>
        <v>0</v>
      </c>
      <c r="T67" s="918">
        <f t="shared" ca="1" si="199"/>
        <v>0</v>
      </c>
      <c r="U67" s="918">
        <f t="shared" ca="1" si="199"/>
        <v>0</v>
      </c>
      <c r="V67" s="918">
        <f t="shared" ca="1" si="199"/>
        <v>0</v>
      </c>
      <c r="W67" s="918">
        <f t="shared" ca="1" si="199"/>
        <v>0</v>
      </c>
      <c r="X67" s="938">
        <f t="shared" ca="1" si="199"/>
        <v>0</v>
      </c>
      <c r="Y67" s="918">
        <f t="shared" ca="1" si="199"/>
        <v>0</v>
      </c>
      <c r="Z67" s="918">
        <f t="shared" ca="1" si="199"/>
        <v>0</v>
      </c>
      <c r="AA67" s="918">
        <f t="shared" ca="1" si="199"/>
        <v>0</v>
      </c>
      <c r="AB67" s="921"/>
      <c r="AC67" s="918">
        <f t="shared" ca="1" si="200"/>
        <v>0</v>
      </c>
      <c r="AD67" s="918">
        <f t="shared" ca="1" si="200"/>
        <v>0</v>
      </c>
      <c r="AE67" s="918">
        <f t="shared" ca="1" si="200"/>
        <v>0</v>
      </c>
      <c r="AF67" s="918">
        <f t="shared" ca="1" si="200"/>
        <v>0</v>
      </c>
      <c r="AG67" s="918">
        <f t="shared" ca="1" si="200"/>
        <v>0</v>
      </c>
      <c r="AH67" s="918">
        <f t="shared" ca="1" si="200"/>
        <v>0</v>
      </c>
      <c r="AI67" s="918">
        <f t="shared" ca="1" si="200"/>
        <v>0</v>
      </c>
      <c r="AJ67" s="918">
        <f t="shared" ca="1" si="200"/>
        <v>0</v>
      </c>
      <c r="AK67" s="938">
        <f t="shared" ca="1" si="200"/>
        <v>0</v>
      </c>
      <c r="AL67" s="918">
        <f t="shared" ca="1" si="200"/>
        <v>0</v>
      </c>
      <c r="AM67" s="918">
        <f t="shared" ca="1" si="200"/>
        <v>0</v>
      </c>
      <c r="AN67" s="918">
        <f t="shared" ca="1" si="200"/>
        <v>0</v>
      </c>
      <c r="AO67" s="921"/>
      <c r="AP67" s="1144">
        <f t="shared" ca="1" si="195"/>
        <v>0</v>
      </c>
      <c r="AQ67" s="1144">
        <f t="shared" ca="1" si="195"/>
        <v>0</v>
      </c>
      <c r="AR67" s="1144">
        <f t="shared" ca="1" si="195"/>
        <v>0</v>
      </c>
      <c r="AS67" s="1144">
        <f t="shared" ca="1" si="195"/>
        <v>0</v>
      </c>
      <c r="AT67" s="938">
        <f t="shared" ca="1" si="195"/>
        <v>0</v>
      </c>
      <c r="AU67" s="938">
        <f t="shared" ca="1" si="195"/>
        <v>0</v>
      </c>
      <c r="AV67" s="1144">
        <f t="shared" ca="1" si="195"/>
        <v>0</v>
      </c>
      <c r="AW67" s="1144">
        <f t="shared" ca="1" si="195"/>
        <v>0</v>
      </c>
      <c r="AX67" s="1144">
        <f t="shared" ca="1" si="195"/>
        <v>0</v>
      </c>
      <c r="AY67" s="1144">
        <f t="shared" ca="1" si="195"/>
        <v>0</v>
      </c>
      <c r="AZ67" s="1144">
        <f t="shared" ca="1" si="195"/>
        <v>0</v>
      </c>
      <c r="BA67" s="1144">
        <f t="shared" ca="1" si="195"/>
        <v>0</v>
      </c>
      <c r="BB67" s="1144">
        <f t="shared" ca="1" si="201"/>
        <v>0</v>
      </c>
      <c r="BC67" s="1144">
        <f t="shared" ca="1" si="201"/>
        <v>0</v>
      </c>
      <c r="BD67" s="921"/>
      <c r="BE67" s="918">
        <f t="shared" ca="1" si="202"/>
        <v>0</v>
      </c>
      <c r="BF67" s="918">
        <f t="shared" ca="1" si="202"/>
        <v>0</v>
      </c>
      <c r="BG67" s="918">
        <f t="shared" ca="1" si="202"/>
        <v>0</v>
      </c>
      <c r="BH67" s="918">
        <f t="shared" ca="1" si="202"/>
        <v>0</v>
      </c>
      <c r="BI67" s="938">
        <f t="shared" ca="1" si="202"/>
        <v>0</v>
      </c>
      <c r="BJ67" s="918">
        <f t="shared" ca="1" si="202"/>
        <v>0</v>
      </c>
      <c r="BK67" s="918">
        <f t="shared" ca="1" si="202"/>
        <v>0</v>
      </c>
      <c r="BL67" s="918">
        <f t="shared" ca="1" si="202"/>
        <v>0</v>
      </c>
      <c r="BM67" s="918">
        <f t="shared" ca="1" si="202"/>
        <v>0</v>
      </c>
      <c r="BN67" s="1144">
        <f t="shared" ca="1" si="202"/>
        <v>0</v>
      </c>
      <c r="BO67" s="918">
        <f t="shared" ca="1" si="202"/>
        <v>0</v>
      </c>
      <c r="BP67" s="921"/>
      <c r="BQ67" s="918">
        <f t="shared" ca="1" si="203"/>
        <v>0</v>
      </c>
      <c r="BR67" s="918">
        <f t="shared" ca="1" si="203"/>
        <v>0</v>
      </c>
      <c r="BS67" s="1144">
        <f t="shared" ca="1" si="203"/>
        <v>0</v>
      </c>
      <c r="BT67" s="918">
        <f t="shared" ca="1" si="203"/>
        <v>0</v>
      </c>
      <c r="BU67" s="918">
        <f t="shared" ca="1" si="203"/>
        <v>0</v>
      </c>
      <c r="BV67" s="918">
        <f t="shared" ca="1" si="203"/>
        <v>0</v>
      </c>
      <c r="BW67" s="1144">
        <f t="shared" ca="1" si="203"/>
        <v>0</v>
      </c>
      <c r="BX67" s="921"/>
      <c r="BY67" s="918">
        <f t="shared" ca="1" si="204"/>
        <v>0</v>
      </c>
      <c r="BZ67" s="918">
        <f t="shared" ca="1" si="204"/>
        <v>0</v>
      </c>
      <c r="CA67" s="918">
        <f t="shared" ca="1" si="204"/>
        <v>0</v>
      </c>
      <c r="CB67" s="918">
        <f t="shared" ca="1" si="204"/>
        <v>9.8831661285690042E-2</v>
      </c>
      <c r="CC67" s="918">
        <f t="shared" ca="1" si="204"/>
        <v>4.3775921451245393E-6</v>
      </c>
      <c r="CD67" s="918">
        <f t="shared" ca="1" si="204"/>
        <v>0</v>
      </c>
      <c r="CE67" s="918">
        <f t="shared" ca="1" si="204"/>
        <v>0</v>
      </c>
      <c r="CF67" s="918">
        <f t="shared" ca="1" si="204"/>
        <v>9.8836038823382114E-2</v>
      </c>
      <c r="CG67" s="921"/>
      <c r="CH67" s="918">
        <f t="shared" ca="1" si="205"/>
        <v>4.3775921451245393E-6</v>
      </c>
      <c r="CI67" s="918">
        <f t="shared" ca="1" si="205"/>
        <v>9.8831661285690042E-2</v>
      </c>
      <c r="CJ67" s="918">
        <f t="shared" ca="1" si="205"/>
        <v>9.8836038823382114E-2</v>
      </c>
      <c r="CK67" s="918" t="e">
        <f t="shared" ca="1" si="205"/>
        <v>#N/A</v>
      </c>
      <c r="CL67" s="918" t="e">
        <f t="shared" ca="1" si="205"/>
        <v>#N/A</v>
      </c>
      <c r="CM67" s="921"/>
      <c r="CN67" s="918">
        <f t="shared" ca="1" si="206"/>
        <v>0</v>
      </c>
      <c r="CO67" s="918" t="e">
        <f t="shared" ca="1" si="206"/>
        <v>#N/A</v>
      </c>
      <c r="CP67" s="918">
        <f t="shared" ca="1" si="206"/>
        <v>0</v>
      </c>
      <c r="CQ67" s="918">
        <f t="shared" ca="1" si="206"/>
        <v>0</v>
      </c>
      <c r="CR67" s="918">
        <f t="shared" ca="1" si="206"/>
        <v>0</v>
      </c>
      <c r="CS67" s="1144">
        <f t="shared" ca="1" si="206"/>
        <v>0</v>
      </c>
      <c r="CT67" s="921"/>
      <c r="CU67" s="918">
        <f t="shared" ca="1" si="207"/>
        <v>0</v>
      </c>
      <c r="CV67" s="918">
        <f t="shared" ca="1" si="207"/>
        <v>0</v>
      </c>
      <c r="CW67" s="918">
        <f t="shared" ca="1" si="207"/>
        <v>0</v>
      </c>
      <c r="CX67" s="918">
        <f t="shared" ca="1" si="207"/>
        <v>0</v>
      </c>
      <c r="CY67" s="918">
        <f t="shared" ca="1" si="207"/>
        <v>0</v>
      </c>
      <c r="CZ67" s="1144" t="e">
        <f t="shared" ca="1" si="207"/>
        <v>#N/A</v>
      </c>
      <c r="DA67" s="1144" t="e">
        <f t="shared" ca="1" si="207"/>
        <v>#N/A</v>
      </c>
      <c r="DB67" s="918">
        <f t="shared" ca="1" si="207"/>
        <v>0</v>
      </c>
      <c r="DC67" s="938">
        <f t="shared" ca="1" si="207"/>
        <v>0</v>
      </c>
      <c r="DD67" s="918">
        <f t="shared" ca="1" si="207"/>
        <v>4.3775921451245393E-6</v>
      </c>
      <c r="DE67" s="918">
        <f t="shared" ca="1" si="207"/>
        <v>5.6662331429687578E-4</v>
      </c>
      <c r="DF67" s="918">
        <f t="shared" ca="1" si="207"/>
        <v>0</v>
      </c>
      <c r="DG67" s="918">
        <f t="shared" ca="1" si="207"/>
        <v>6.3909087325381613</v>
      </c>
      <c r="DH67" s="918">
        <f t="shared" ca="1" si="207"/>
        <v>9.8831661285690042E-2</v>
      </c>
      <c r="DI67" s="921"/>
      <c r="DJ67" s="1144">
        <f t="shared" ca="1" si="196"/>
        <v>35.559764939889199</v>
      </c>
      <c r="DK67" s="1144">
        <f t="shared" ca="1" si="196"/>
        <v>1.3828252056943149</v>
      </c>
      <c r="DL67" s="1144">
        <f t="shared" ca="1" si="196"/>
        <v>0</v>
      </c>
      <c r="DM67" s="1144">
        <f t="shared" ca="1" si="196"/>
        <v>0</v>
      </c>
      <c r="DN67" s="1144" t="e">
        <f t="shared" ca="1" si="196"/>
        <v>#N/A</v>
      </c>
      <c r="DO67" s="1144">
        <f t="shared" ca="1" si="196"/>
        <v>43.432900272201543</v>
      </c>
      <c r="DP67" s="1144" t="e">
        <f t="shared" ca="1" si="196"/>
        <v>#N/A</v>
      </c>
      <c r="DQ67" s="921"/>
      <c r="DR67" s="1144">
        <f t="shared" ca="1" si="208"/>
        <v>0</v>
      </c>
      <c r="DS67" s="1144">
        <f t="shared" ca="1" si="208"/>
        <v>0</v>
      </c>
      <c r="DT67" s="1144">
        <f t="shared" ca="1" si="208"/>
        <v>0</v>
      </c>
      <c r="DU67" s="1144" t="e">
        <f t="shared" ca="1" si="208"/>
        <v>#N/A</v>
      </c>
      <c r="DV67" s="920"/>
      <c r="DW67" s="921"/>
      <c r="DX67" s="918">
        <f t="shared" ca="1" si="209"/>
        <v>0</v>
      </c>
      <c r="DY67" s="918">
        <f t="shared" ca="1" si="209"/>
        <v>0</v>
      </c>
      <c r="DZ67" s="918">
        <f t="shared" ca="1" si="209"/>
        <v>0</v>
      </c>
      <c r="EA67" s="918" t="e">
        <f t="shared" ca="1" si="209"/>
        <v>#N/A</v>
      </c>
      <c r="EB67" s="920"/>
      <c r="EC67" s="921"/>
      <c r="ED67" s="1144">
        <f t="shared" ca="1" si="210"/>
        <v>0</v>
      </c>
      <c r="EE67" s="1144">
        <f t="shared" ca="1" si="210"/>
        <v>0</v>
      </c>
      <c r="EF67" s="1144" t="e">
        <f t="shared" ca="1" si="210"/>
        <v>#N/A</v>
      </c>
      <c r="EG67" s="1144" t="e">
        <f t="shared" ca="1" si="210"/>
        <v>#N/A</v>
      </c>
      <c r="EH67" s="920"/>
      <c r="EI67" s="921"/>
      <c r="EJ67" s="918">
        <f t="shared" ca="1" si="211"/>
        <v>0</v>
      </c>
      <c r="EK67" s="918">
        <f t="shared" ca="1" si="211"/>
        <v>0</v>
      </c>
      <c r="EL67" s="918">
        <f t="shared" ca="1" si="211"/>
        <v>0</v>
      </c>
      <c r="EM67" s="918">
        <f t="shared" ca="1" si="211"/>
        <v>0</v>
      </c>
      <c r="EN67" s="920"/>
      <c r="EO67" s="921"/>
      <c r="EP67" s="1144">
        <f t="shared" ca="1" si="212"/>
        <v>6.3909131131952046</v>
      </c>
      <c r="EQ67" s="1144">
        <f t="shared" ca="1" si="212"/>
        <v>6.3909087325381613</v>
      </c>
      <c r="ER67" s="1144">
        <f t="shared" ca="1" si="212"/>
        <v>0</v>
      </c>
      <c r="ES67" s="1144">
        <f t="shared" ca="1" si="212"/>
        <v>4.3775921451245393E-6</v>
      </c>
      <c r="ET67" s="920"/>
      <c r="EU67" s="921"/>
      <c r="EV67" s="1144">
        <f t="shared" ca="1" si="197"/>
        <v>0</v>
      </c>
      <c r="EW67" s="1144">
        <f t="shared" ca="1" si="197"/>
        <v>0</v>
      </c>
      <c r="EX67" s="921"/>
      <c r="EY67" s="1144">
        <f t="shared" ca="1" si="197"/>
        <v>0</v>
      </c>
      <c r="EZ67" s="1144">
        <f t="shared" ca="1" si="197"/>
        <v>0</v>
      </c>
      <c r="FA67" s="1144" t="e">
        <f t="shared" ca="1" si="197"/>
        <v>#N/A</v>
      </c>
      <c r="FB67" s="921"/>
      <c r="FC67" s="918">
        <f t="shared" ca="1" si="213"/>
        <v>0</v>
      </c>
      <c r="FD67" s="918">
        <f t="shared" ca="1" si="213"/>
        <v>0</v>
      </c>
      <c r="FE67" s="918">
        <f t="shared" ca="1" si="213"/>
        <v>0</v>
      </c>
      <c r="FF67" s="918">
        <f t="shared" ca="1" si="213"/>
        <v>0</v>
      </c>
      <c r="FG67" s="918">
        <f t="shared" ca="1" si="213"/>
        <v>0</v>
      </c>
      <c r="FH67" s="918">
        <f t="shared" ca="1" si="213"/>
        <v>0</v>
      </c>
      <c r="FI67" s="918">
        <f t="shared" ca="1" si="213"/>
        <v>0</v>
      </c>
      <c r="FJ67" s="918">
        <f t="shared" ca="1" si="213"/>
        <v>0</v>
      </c>
      <c r="FK67" s="918">
        <f t="shared" ca="1" si="213"/>
        <v>0</v>
      </c>
      <c r="FL67" s="918">
        <f t="shared" ca="1" si="213"/>
        <v>0</v>
      </c>
      <c r="FM67" s="918" t="e">
        <f t="shared" ca="1" si="214"/>
        <v>#N/A</v>
      </c>
      <c r="FN67" s="1144">
        <f t="shared" ca="1" si="214"/>
        <v>0</v>
      </c>
      <c r="FO67" s="1144">
        <f t="shared" ca="1" si="214"/>
        <v>0</v>
      </c>
      <c r="FP67" s="918">
        <f t="shared" ca="1" si="214"/>
        <v>0</v>
      </c>
      <c r="FQ67" s="918">
        <f t="shared" ca="1" si="214"/>
        <v>0</v>
      </c>
      <c r="FR67" s="918">
        <f t="shared" ca="1" si="214"/>
        <v>0</v>
      </c>
      <c r="FS67" s="918">
        <f t="shared" ca="1" si="214"/>
        <v>0</v>
      </c>
      <c r="FT67" s="918">
        <f t="shared" ca="1" si="214"/>
        <v>0</v>
      </c>
      <c r="FU67" s="918" t="e">
        <f t="shared" ca="1" si="214"/>
        <v>#N/A</v>
      </c>
      <c r="FV67" s="1144" t="e">
        <f t="shared" ca="1" si="214"/>
        <v>#N/A</v>
      </c>
      <c r="FW67" s="918">
        <f t="shared" ca="1" si="214"/>
        <v>0</v>
      </c>
      <c r="FX67" s="918">
        <f t="shared" ca="1" si="214"/>
        <v>0</v>
      </c>
      <c r="FY67" s="918">
        <f t="shared" ca="1" si="214"/>
        <v>0</v>
      </c>
      <c r="FZ67" s="918">
        <f t="shared" ca="1" si="214"/>
        <v>0</v>
      </c>
      <c r="GA67" s="1144" t="e">
        <f t="shared" ca="1" si="214"/>
        <v>#N/A</v>
      </c>
      <c r="GB67" s="918">
        <f t="shared" ca="1" si="214"/>
        <v>0</v>
      </c>
      <c r="GC67" s="920"/>
      <c r="GD67" s="918">
        <f t="shared" ca="1" si="215"/>
        <v>0</v>
      </c>
      <c r="GE67" s="918">
        <f t="shared" ca="1" si="215"/>
        <v>0</v>
      </c>
      <c r="GF67" s="918">
        <f t="shared" ca="1" si="215"/>
        <v>0</v>
      </c>
      <c r="GG67" s="918">
        <f t="shared" ca="1" si="215"/>
        <v>0</v>
      </c>
      <c r="GH67" s="918" t="e">
        <f t="shared" ca="1" si="215"/>
        <v>#N/A</v>
      </c>
      <c r="GI67" s="1144" t="e">
        <f t="shared" ca="1" si="215"/>
        <v>#N/A</v>
      </c>
      <c r="GJ67" s="918">
        <f t="shared" ca="1" si="215"/>
        <v>5.6662331429687578E-4</v>
      </c>
      <c r="GK67" s="918">
        <f t="shared" ca="1" si="215"/>
        <v>6.3909087325381613</v>
      </c>
      <c r="GL67" s="918">
        <f t="shared" ca="1" si="215"/>
        <v>0</v>
      </c>
      <c r="GM67" s="918">
        <f t="shared" ca="1" si="215"/>
        <v>9.8836038823382114E-2</v>
      </c>
      <c r="GN67" s="918">
        <f t="shared" ca="1" si="215"/>
        <v>0</v>
      </c>
      <c r="GO67" s="918" t="e">
        <f t="shared" ca="1" si="215"/>
        <v>#N/A</v>
      </c>
      <c r="GP67" s="915"/>
      <c r="GR67" s="946"/>
      <c r="GS67" s="946"/>
      <c r="GU67" s="946"/>
      <c r="GV67" s="946"/>
      <c r="GW67" s="946"/>
      <c r="GX67" s="1143"/>
      <c r="GY67" s="946"/>
    </row>
    <row r="68" spans="1:207" s="914" customFormat="1" x14ac:dyDescent="0.3">
      <c r="A68" s="1140" t="s">
        <v>1611</v>
      </c>
      <c r="B68" s="976">
        <v>32</v>
      </c>
      <c r="C68" s="969">
        <v>63.012</v>
      </c>
      <c r="D68" s="1152">
        <v>1.2527803175000005E-2</v>
      </c>
      <c r="E68" s="967" t="s">
        <v>982</v>
      </c>
      <c r="F68" s="931">
        <f t="shared" ca="1" si="198"/>
        <v>0</v>
      </c>
      <c r="G68" s="933">
        <f t="shared" ca="1" si="198"/>
        <v>0</v>
      </c>
      <c r="H68" s="933">
        <f t="shared" ca="1" si="198"/>
        <v>0</v>
      </c>
      <c r="I68" s="933">
        <f t="shared" ca="1" si="198"/>
        <v>0</v>
      </c>
      <c r="J68" s="933">
        <f t="shared" ca="1" si="198"/>
        <v>0</v>
      </c>
      <c r="K68" s="933">
        <f t="shared" ca="1" si="198"/>
        <v>0</v>
      </c>
      <c r="L68" s="933">
        <f t="shared" ca="1" si="198"/>
        <v>0</v>
      </c>
      <c r="M68" s="933">
        <f t="shared" ca="1" si="198"/>
        <v>0</v>
      </c>
      <c r="N68" s="934">
        <f t="shared" ca="1" si="198"/>
        <v>0</v>
      </c>
      <c r="O68" s="933">
        <f t="shared" ca="1" si="198"/>
        <v>0</v>
      </c>
      <c r="P68" s="935">
        <f t="shared" ca="1" si="198"/>
        <v>0</v>
      </c>
      <c r="Q68" s="921"/>
      <c r="R68" s="933">
        <f t="shared" ca="1" si="199"/>
        <v>0</v>
      </c>
      <c r="S68" s="933">
        <f t="shared" ca="1" si="199"/>
        <v>0</v>
      </c>
      <c r="T68" s="933">
        <f t="shared" ca="1" si="199"/>
        <v>0</v>
      </c>
      <c r="U68" s="933">
        <f t="shared" ca="1" si="199"/>
        <v>0</v>
      </c>
      <c r="V68" s="933">
        <f t="shared" ca="1" si="199"/>
        <v>0</v>
      </c>
      <c r="W68" s="933">
        <f t="shared" ca="1" si="199"/>
        <v>0</v>
      </c>
      <c r="X68" s="934">
        <f t="shared" ca="1" si="199"/>
        <v>0</v>
      </c>
      <c r="Y68" s="933">
        <f t="shared" ca="1" si="199"/>
        <v>0</v>
      </c>
      <c r="Z68" s="933">
        <f t="shared" ca="1" si="199"/>
        <v>0</v>
      </c>
      <c r="AA68" s="933">
        <f t="shared" ca="1" si="199"/>
        <v>0</v>
      </c>
      <c r="AB68" s="921"/>
      <c r="AC68" s="933">
        <f t="shared" ca="1" si="200"/>
        <v>0</v>
      </c>
      <c r="AD68" s="933">
        <f t="shared" ca="1" si="200"/>
        <v>0</v>
      </c>
      <c r="AE68" s="933">
        <f t="shared" ca="1" si="200"/>
        <v>0</v>
      </c>
      <c r="AF68" s="933">
        <f t="shared" ca="1" si="200"/>
        <v>0</v>
      </c>
      <c r="AG68" s="933">
        <f t="shared" ca="1" si="200"/>
        <v>0</v>
      </c>
      <c r="AH68" s="933">
        <f t="shared" ca="1" si="200"/>
        <v>0</v>
      </c>
      <c r="AI68" s="933">
        <f t="shared" ca="1" si="200"/>
        <v>0</v>
      </c>
      <c r="AJ68" s="933">
        <f t="shared" ca="1" si="200"/>
        <v>0</v>
      </c>
      <c r="AK68" s="934">
        <f t="shared" ca="1" si="200"/>
        <v>0</v>
      </c>
      <c r="AL68" s="933">
        <f t="shared" ca="1" si="200"/>
        <v>0</v>
      </c>
      <c r="AM68" s="933">
        <f t="shared" ca="1" si="200"/>
        <v>0</v>
      </c>
      <c r="AN68" s="933">
        <f t="shared" ca="1" si="200"/>
        <v>0</v>
      </c>
      <c r="AO68" s="921"/>
      <c r="AP68" s="933">
        <f t="shared" ca="1" si="195"/>
        <v>0</v>
      </c>
      <c r="AQ68" s="933">
        <f t="shared" ca="1" si="195"/>
        <v>0</v>
      </c>
      <c r="AR68" s="933">
        <f t="shared" ca="1" si="195"/>
        <v>0</v>
      </c>
      <c r="AS68" s="933">
        <f t="shared" ca="1" si="195"/>
        <v>0</v>
      </c>
      <c r="AT68" s="934">
        <f t="shared" ca="1" si="195"/>
        <v>0</v>
      </c>
      <c r="AU68" s="934">
        <f t="shared" ca="1" si="195"/>
        <v>0</v>
      </c>
      <c r="AV68" s="933">
        <f t="shared" ca="1" si="195"/>
        <v>0</v>
      </c>
      <c r="AW68" s="933">
        <f t="shared" ca="1" si="195"/>
        <v>0</v>
      </c>
      <c r="AX68" s="933">
        <f t="shared" ca="1" si="195"/>
        <v>0</v>
      </c>
      <c r="AY68" s="933">
        <f t="shared" ca="1" si="195"/>
        <v>0</v>
      </c>
      <c r="AZ68" s="933">
        <f t="shared" ca="1" si="195"/>
        <v>0</v>
      </c>
      <c r="BA68" s="933">
        <f t="shared" ca="1" si="195"/>
        <v>0</v>
      </c>
      <c r="BB68" s="933">
        <f t="shared" ca="1" si="201"/>
        <v>0</v>
      </c>
      <c r="BC68" s="933">
        <f t="shared" ca="1" si="201"/>
        <v>0</v>
      </c>
      <c r="BD68" s="921"/>
      <c r="BE68" s="933">
        <f t="shared" ca="1" si="202"/>
        <v>0</v>
      </c>
      <c r="BF68" s="933">
        <f t="shared" ca="1" si="202"/>
        <v>0</v>
      </c>
      <c r="BG68" s="933">
        <f t="shared" ca="1" si="202"/>
        <v>0</v>
      </c>
      <c r="BH68" s="933">
        <f t="shared" ca="1" si="202"/>
        <v>0</v>
      </c>
      <c r="BI68" s="934">
        <f t="shared" ca="1" si="202"/>
        <v>0</v>
      </c>
      <c r="BJ68" s="933">
        <f t="shared" ca="1" si="202"/>
        <v>0</v>
      </c>
      <c r="BK68" s="933">
        <f t="shared" ca="1" si="202"/>
        <v>0</v>
      </c>
      <c r="BL68" s="933">
        <f t="shared" ca="1" si="202"/>
        <v>0</v>
      </c>
      <c r="BM68" s="933">
        <f t="shared" ca="1" si="202"/>
        <v>0</v>
      </c>
      <c r="BN68" s="933">
        <f t="shared" ca="1" si="202"/>
        <v>0</v>
      </c>
      <c r="BO68" s="933">
        <f t="shared" ca="1" si="202"/>
        <v>0</v>
      </c>
      <c r="BP68" s="921"/>
      <c r="BQ68" s="933">
        <f t="shared" ca="1" si="203"/>
        <v>0</v>
      </c>
      <c r="BR68" s="933">
        <f t="shared" ca="1" si="203"/>
        <v>0</v>
      </c>
      <c r="BS68" s="933">
        <f t="shared" ca="1" si="203"/>
        <v>0</v>
      </c>
      <c r="BT68" s="933">
        <f t="shared" ca="1" si="203"/>
        <v>0</v>
      </c>
      <c r="BU68" s="933">
        <f t="shared" ca="1" si="203"/>
        <v>0</v>
      </c>
      <c r="BV68" s="933">
        <f t="shared" ca="1" si="203"/>
        <v>0</v>
      </c>
      <c r="BW68" s="933">
        <f t="shared" ca="1" si="203"/>
        <v>0</v>
      </c>
      <c r="BX68" s="921"/>
      <c r="BY68" s="933">
        <f t="shared" ca="1" si="204"/>
        <v>0</v>
      </c>
      <c r="BZ68" s="933">
        <f t="shared" ca="1" si="204"/>
        <v>0</v>
      </c>
      <c r="CA68" s="933">
        <f t="shared" ca="1" si="204"/>
        <v>0</v>
      </c>
      <c r="CB68" s="933">
        <f t="shared" ca="1" si="204"/>
        <v>0</v>
      </c>
      <c r="CC68" s="933">
        <f t="shared" ca="1" si="204"/>
        <v>0</v>
      </c>
      <c r="CD68" s="933">
        <f t="shared" ca="1" si="204"/>
        <v>0</v>
      </c>
      <c r="CE68" s="933">
        <f t="shared" ca="1" si="204"/>
        <v>0</v>
      </c>
      <c r="CF68" s="933">
        <f t="shared" ca="1" si="204"/>
        <v>0</v>
      </c>
      <c r="CG68" s="921"/>
      <c r="CH68" s="933">
        <f t="shared" ca="1" si="205"/>
        <v>0</v>
      </c>
      <c r="CI68" s="933">
        <f t="shared" ca="1" si="205"/>
        <v>0</v>
      </c>
      <c r="CJ68" s="933">
        <f t="shared" ca="1" si="205"/>
        <v>0</v>
      </c>
      <c r="CK68" s="933" t="e">
        <f t="shared" ca="1" si="205"/>
        <v>#N/A</v>
      </c>
      <c r="CL68" s="933" t="e">
        <f t="shared" ca="1" si="205"/>
        <v>#N/A</v>
      </c>
      <c r="CM68" s="921"/>
      <c r="CN68" s="933">
        <f t="shared" ca="1" si="206"/>
        <v>0</v>
      </c>
      <c r="CO68" s="933" t="e">
        <f t="shared" ca="1" si="206"/>
        <v>#N/A</v>
      </c>
      <c r="CP68" s="933">
        <f t="shared" ca="1" si="206"/>
        <v>0</v>
      </c>
      <c r="CQ68" s="933">
        <f t="shared" ca="1" si="206"/>
        <v>0</v>
      </c>
      <c r="CR68" s="933">
        <f t="shared" ca="1" si="206"/>
        <v>0</v>
      </c>
      <c r="CS68" s="933">
        <f t="shared" ca="1" si="206"/>
        <v>0</v>
      </c>
      <c r="CT68" s="921"/>
      <c r="CU68" s="933">
        <f t="shared" ca="1" si="207"/>
        <v>0</v>
      </c>
      <c r="CV68" s="933">
        <f t="shared" ca="1" si="207"/>
        <v>0</v>
      </c>
      <c r="CW68" s="933">
        <f t="shared" ca="1" si="207"/>
        <v>0</v>
      </c>
      <c r="CX68" s="933">
        <f t="shared" ca="1" si="207"/>
        <v>0</v>
      </c>
      <c r="CY68" s="933">
        <f t="shared" ca="1" si="207"/>
        <v>0</v>
      </c>
      <c r="CZ68" s="933" t="e">
        <f t="shared" ca="1" si="207"/>
        <v>#N/A</v>
      </c>
      <c r="DA68" s="933" t="e">
        <f t="shared" ca="1" si="207"/>
        <v>#N/A</v>
      </c>
      <c r="DB68" s="933">
        <f t="shared" ca="1" si="207"/>
        <v>0</v>
      </c>
      <c r="DC68" s="934">
        <f t="shared" ca="1" si="207"/>
        <v>0</v>
      </c>
      <c r="DD68" s="933">
        <f t="shared" ca="1" si="207"/>
        <v>0</v>
      </c>
      <c r="DE68" s="933">
        <f t="shared" ca="1" si="207"/>
        <v>0</v>
      </c>
      <c r="DF68" s="933">
        <f t="shared" ca="1" si="207"/>
        <v>0</v>
      </c>
      <c r="DG68" s="933">
        <f t="shared" ca="1" si="207"/>
        <v>0</v>
      </c>
      <c r="DH68" s="933">
        <f t="shared" ca="1" si="207"/>
        <v>0</v>
      </c>
      <c r="DI68" s="921"/>
      <c r="DJ68" s="933">
        <f t="shared" ca="1" si="196"/>
        <v>0</v>
      </c>
      <c r="DK68" s="933">
        <f t="shared" ca="1" si="196"/>
        <v>0</v>
      </c>
      <c r="DL68" s="933">
        <f t="shared" ca="1" si="196"/>
        <v>0</v>
      </c>
      <c r="DM68" s="933">
        <f t="shared" ca="1" si="196"/>
        <v>0</v>
      </c>
      <c r="DN68" s="933" t="e">
        <f t="shared" ca="1" si="196"/>
        <v>#N/A</v>
      </c>
      <c r="DO68" s="933">
        <f t="shared" ca="1" si="196"/>
        <v>0</v>
      </c>
      <c r="DP68" s="933" t="e">
        <f t="shared" ca="1" si="196"/>
        <v>#N/A</v>
      </c>
      <c r="DQ68" s="921"/>
      <c r="DR68" s="933">
        <f t="shared" ca="1" si="208"/>
        <v>0</v>
      </c>
      <c r="DS68" s="933">
        <f t="shared" ca="1" si="208"/>
        <v>0</v>
      </c>
      <c r="DT68" s="933">
        <f t="shared" ca="1" si="208"/>
        <v>0</v>
      </c>
      <c r="DU68" s="933" t="e">
        <f t="shared" ca="1" si="208"/>
        <v>#N/A</v>
      </c>
      <c r="DV68" s="920"/>
      <c r="DW68" s="921"/>
      <c r="DX68" s="933">
        <f t="shared" ca="1" si="209"/>
        <v>0</v>
      </c>
      <c r="DY68" s="933">
        <f t="shared" ca="1" si="209"/>
        <v>0</v>
      </c>
      <c r="DZ68" s="933">
        <f t="shared" ca="1" si="209"/>
        <v>0</v>
      </c>
      <c r="EA68" s="933" t="e">
        <f t="shared" ca="1" si="209"/>
        <v>#N/A</v>
      </c>
      <c r="EB68" s="920"/>
      <c r="EC68" s="921"/>
      <c r="ED68" s="933">
        <f t="shared" ca="1" si="210"/>
        <v>0</v>
      </c>
      <c r="EE68" s="933">
        <f t="shared" ca="1" si="210"/>
        <v>0</v>
      </c>
      <c r="EF68" s="933" t="e">
        <f t="shared" ca="1" si="210"/>
        <v>#N/A</v>
      </c>
      <c r="EG68" s="933" t="e">
        <f t="shared" ca="1" si="210"/>
        <v>#N/A</v>
      </c>
      <c r="EH68" s="920"/>
      <c r="EI68" s="921"/>
      <c r="EJ68" s="933">
        <f t="shared" ca="1" si="211"/>
        <v>0</v>
      </c>
      <c r="EK68" s="933">
        <f t="shared" ca="1" si="211"/>
        <v>0</v>
      </c>
      <c r="EL68" s="933">
        <f t="shared" ca="1" si="211"/>
        <v>0</v>
      </c>
      <c r="EM68" s="933">
        <f t="shared" ca="1" si="211"/>
        <v>0</v>
      </c>
      <c r="EN68" s="920"/>
      <c r="EO68" s="921"/>
      <c r="EP68" s="933">
        <f t="shared" ca="1" si="212"/>
        <v>0</v>
      </c>
      <c r="EQ68" s="933">
        <f t="shared" ca="1" si="212"/>
        <v>0</v>
      </c>
      <c r="ER68" s="933">
        <f t="shared" ca="1" si="212"/>
        <v>0</v>
      </c>
      <c r="ES68" s="933">
        <f t="shared" ca="1" si="212"/>
        <v>0</v>
      </c>
      <c r="ET68" s="920"/>
      <c r="EU68" s="921"/>
      <c r="EV68" s="933">
        <f t="shared" ca="1" si="197"/>
        <v>0</v>
      </c>
      <c r="EW68" s="933">
        <f t="shared" ca="1" si="197"/>
        <v>0</v>
      </c>
      <c r="EX68" s="921"/>
      <c r="EY68" s="933">
        <f t="shared" ca="1" si="197"/>
        <v>0</v>
      </c>
      <c r="EZ68" s="933">
        <f t="shared" ca="1" si="197"/>
        <v>0</v>
      </c>
      <c r="FA68" s="933" t="e">
        <f t="shared" ca="1" si="197"/>
        <v>#N/A</v>
      </c>
      <c r="FB68" s="921"/>
      <c r="FC68" s="933">
        <f t="shared" ca="1" si="213"/>
        <v>0</v>
      </c>
      <c r="FD68" s="933">
        <f t="shared" ca="1" si="213"/>
        <v>0</v>
      </c>
      <c r="FE68" s="933">
        <f t="shared" ca="1" si="213"/>
        <v>0</v>
      </c>
      <c r="FF68" s="933">
        <f t="shared" ca="1" si="213"/>
        <v>0</v>
      </c>
      <c r="FG68" s="933">
        <f t="shared" ca="1" si="213"/>
        <v>0</v>
      </c>
      <c r="FH68" s="933">
        <f t="shared" ca="1" si="213"/>
        <v>0</v>
      </c>
      <c r="FI68" s="933">
        <f t="shared" ca="1" si="213"/>
        <v>0</v>
      </c>
      <c r="FJ68" s="933">
        <f t="shared" ca="1" si="213"/>
        <v>0</v>
      </c>
      <c r="FK68" s="933">
        <f t="shared" ca="1" si="213"/>
        <v>0</v>
      </c>
      <c r="FL68" s="933">
        <f t="shared" ca="1" si="213"/>
        <v>0</v>
      </c>
      <c r="FM68" s="933" t="e">
        <f t="shared" ca="1" si="214"/>
        <v>#N/A</v>
      </c>
      <c r="FN68" s="933">
        <f t="shared" ca="1" si="214"/>
        <v>0</v>
      </c>
      <c r="FO68" s="933">
        <f t="shared" ca="1" si="214"/>
        <v>0</v>
      </c>
      <c r="FP68" s="933">
        <f t="shared" ca="1" si="214"/>
        <v>0</v>
      </c>
      <c r="FQ68" s="933">
        <f t="shared" ca="1" si="214"/>
        <v>0</v>
      </c>
      <c r="FR68" s="933">
        <f t="shared" ca="1" si="214"/>
        <v>0</v>
      </c>
      <c r="FS68" s="933">
        <f t="shared" ca="1" si="214"/>
        <v>0</v>
      </c>
      <c r="FT68" s="933">
        <f t="shared" ca="1" si="214"/>
        <v>0</v>
      </c>
      <c r="FU68" s="933" t="e">
        <f t="shared" ca="1" si="214"/>
        <v>#N/A</v>
      </c>
      <c r="FV68" s="933" t="e">
        <f t="shared" ca="1" si="214"/>
        <v>#N/A</v>
      </c>
      <c r="FW68" s="933">
        <f t="shared" ca="1" si="214"/>
        <v>0</v>
      </c>
      <c r="FX68" s="933">
        <f t="shared" ca="1" si="214"/>
        <v>0</v>
      </c>
      <c r="FY68" s="933">
        <f t="shared" ca="1" si="214"/>
        <v>0</v>
      </c>
      <c r="FZ68" s="933">
        <f t="shared" ca="1" si="214"/>
        <v>0</v>
      </c>
      <c r="GA68" s="933" t="e">
        <f t="shared" ca="1" si="214"/>
        <v>#N/A</v>
      </c>
      <c r="GB68" s="933">
        <f t="shared" ca="1" si="214"/>
        <v>0</v>
      </c>
      <c r="GC68" s="920"/>
      <c r="GD68" s="933">
        <f t="shared" ca="1" si="215"/>
        <v>0</v>
      </c>
      <c r="GE68" s="933">
        <f t="shared" ca="1" si="215"/>
        <v>0</v>
      </c>
      <c r="GF68" s="933">
        <f t="shared" ca="1" si="215"/>
        <v>0</v>
      </c>
      <c r="GG68" s="933">
        <f t="shared" ca="1" si="215"/>
        <v>0</v>
      </c>
      <c r="GH68" s="933" t="e">
        <f t="shared" ca="1" si="215"/>
        <v>#N/A</v>
      </c>
      <c r="GI68" s="933" t="e">
        <f t="shared" ca="1" si="215"/>
        <v>#N/A</v>
      </c>
      <c r="GJ68" s="933">
        <f t="shared" ca="1" si="215"/>
        <v>0</v>
      </c>
      <c r="GK68" s="933">
        <f t="shared" ca="1" si="215"/>
        <v>0</v>
      </c>
      <c r="GL68" s="933">
        <f t="shared" ca="1" si="215"/>
        <v>0</v>
      </c>
      <c r="GM68" s="933">
        <f t="shared" ca="1" si="215"/>
        <v>0</v>
      </c>
      <c r="GN68" s="933">
        <f t="shared" ca="1" si="215"/>
        <v>0</v>
      </c>
      <c r="GO68" s="933" t="e">
        <f t="shared" ca="1" si="215"/>
        <v>#N/A</v>
      </c>
      <c r="GP68" s="915"/>
      <c r="GR68" s="946"/>
      <c r="GS68" s="946"/>
      <c r="GU68" s="946"/>
      <c r="GV68" s="946"/>
      <c r="GW68" s="946"/>
      <c r="GX68" s="1143"/>
      <c r="GY68" s="946"/>
    </row>
    <row r="69" spans="1:207" s="914" customFormat="1" x14ac:dyDescent="0.3">
      <c r="A69" s="1139" t="s">
        <v>1544</v>
      </c>
      <c r="B69" s="974">
        <v>127</v>
      </c>
      <c r="C69" s="973">
        <v>162.14239999999998</v>
      </c>
      <c r="D69" s="1006">
        <v>-0.61951084360746889</v>
      </c>
      <c r="E69" s="972" t="s">
        <v>982</v>
      </c>
      <c r="F69" s="936">
        <f t="shared" ca="1" si="198"/>
        <v>-111.58549579911998</v>
      </c>
      <c r="G69" s="918">
        <f t="shared" ca="1" si="198"/>
        <v>0</v>
      </c>
      <c r="H69" s="918">
        <f t="shared" ca="1" si="198"/>
        <v>0</v>
      </c>
      <c r="I69" s="918">
        <f t="shared" ca="1" si="198"/>
        <v>0</v>
      </c>
      <c r="J69" s="918">
        <f t="shared" ca="1" si="198"/>
        <v>0</v>
      </c>
      <c r="K69" s="1144">
        <f t="shared" ca="1" si="198"/>
        <v>0</v>
      </c>
      <c r="L69" s="918">
        <f t="shared" ca="1" si="198"/>
        <v>0</v>
      </c>
      <c r="M69" s="918">
        <f t="shared" ca="1" si="198"/>
        <v>0</v>
      </c>
      <c r="N69" s="938">
        <f t="shared" ca="1" si="198"/>
        <v>0</v>
      </c>
      <c r="O69" s="918">
        <f t="shared" ca="1" si="198"/>
        <v>0</v>
      </c>
      <c r="P69" s="939">
        <f t="shared" ca="1" si="198"/>
        <v>-99.869018900685262</v>
      </c>
      <c r="Q69" s="921"/>
      <c r="R69" s="918">
        <f t="shared" ca="1" si="199"/>
        <v>-99.869018900685262</v>
      </c>
      <c r="S69" s="918">
        <f t="shared" ca="1" si="199"/>
        <v>0</v>
      </c>
      <c r="T69" s="918">
        <f t="shared" ca="1" si="199"/>
        <v>0</v>
      </c>
      <c r="U69" s="918">
        <f t="shared" ca="1" si="199"/>
        <v>0</v>
      </c>
      <c r="V69" s="918">
        <f t="shared" ca="1" si="199"/>
        <v>0</v>
      </c>
      <c r="W69" s="918">
        <f t="shared" ca="1" si="199"/>
        <v>0</v>
      </c>
      <c r="X69" s="938">
        <f t="shared" ca="1" si="199"/>
        <v>0</v>
      </c>
      <c r="Y69" s="918">
        <f t="shared" ca="1" si="199"/>
        <v>-4.7937128919497631</v>
      </c>
      <c r="Z69" s="918">
        <f t="shared" ca="1" si="199"/>
        <v>0</v>
      </c>
      <c r="AA69" s="918">
        <f t="shared" ca="1" si="199"/>
        <v>0</v>
      </c>
      <c r="AB69" s="921"/>
      <c r="AC69" s="918">
        <f t="shared" ca="1" si="200"/>
        <v>0</v>
      </c>
      <c r="AD69" s="918">
        <f t="shared" ca="1" si="200"/>
        <v>0</v>
      </c>
      <c r="AE69" s="918">
        <f t="shared" ca="1" si="200"/>
        <v>0</v>
      </c>
      <c r="AF69" s="918">
        <f t="shared" ca="1" si="200"/>
        <v>0</v>
      </c>
      <c r="AG69" s="918">
        <f t="shared" ca="1" si="200"/>
        <v>0</v>
      </c>
      <c r="AH69" s="918">
        <f t="shared" ca="1" si="200"/>
        <v>0</v>
      </c>
      <c r="AI69" s="918">
        <f t="shared" ca="1" si="200"/>
        <v>0</v>
      </c>
      <c r="AJ69" s="918">
        <f t="shared" ca="1" si="200"/>
        <v>0</v>
      </c>
      <c r="AK69" s="938">
        <f t="shared" ca="1" si="200"/>
        <v>0</v>
      </c>
      <c r="AL69" s="918">
        <f t="shared" ca="1" si="200"/>
        <v>0</v>
      </c>
      <c r="AM69" s="918">
        <f t="shared" ca="1" si="200"/>
        <v>0</v>
      </c>
      <c r="AN69" s="918">
        <f t="shared" ca="1" si="200"/>
        <v>0</v>
      </c>
      <c r="AO69" s="921"/>
      <c r="AP69" s="1144">
        <f t="shared" ca="1" si="195"/>
        <v>-4.7937128919497631</v>
      </c>
      <c r="AQ69" s="1144">
        <f t="shared" ca="1" si="195"/>
        <v>0</v>
      </c>
      <c r="AR69" s="1144">
        <f t="shared" ca="1" si="195"/>
        <v>0</v>
      </c>
      <c r="AS69" s="1144">
        <f t="shared" ca="1" si="195"/>
        <v>0</v>
      </c>
      <c r="AT69" s="938">
        <f t="shared" ca="1" si="195"/>
        <v>0</v>
      </c>
      <c r="AU69" s="938">
        <f t="shared" ca="1" si="195"/>
        <v>0</v>
      </c>
      <c r="AV69" s="1144">
        <f t="shared" ca="1" si="195"/>
        <v>0</v>
      </c>
      <c r="AW69" s="1144">
        <f t="shared" ca="1" si="195"/>
        <v>0</v>
      </c>
      <c r="AX69" s="1144">
        <f t="shared" ca="1" si="195"/>
        <v>0</v>
      </c>
      <c r="AY69" s="1144">
        <f t="shared" ca="1" si="195"/>
        <v>0</v>
      </c>
      <c r="AZ69" s="1144">
        <f t="shared" ca="1" si="195"/>
        <v>0</v>
      </c>
      <c r="BA69" s="1144">
        <f t="shared" ca="1" si="195"/>
        <v>-9.5874257838995253E-2</v>
      </c>
      <c r="BB69" s="1144">
        <f t="shared" ca="1" si="201"/>
        <v>-4.6978386463372708</v>
      </c>
      <c r="BC69" s="1144">
        <f t="shared" ca="1" si="201"/>
        <v>0</v>
      </c>
      <c r="BD69" s="921"/>
      <c r="BE69" s="918">
        <f t="shared" ca="1" si="202"/>
        <v>-4.7937128919497631</v>
      </c>
      <c r="BF69" s="918">
        <f t="shared" ca="1" si="202"/>
        <v>0</v>
      </c>
      <c r="BG69" s="918">
        <f t="shared" ca="1" si="202"/>
        <v>0</v>
      </c>
      <c r="BH69" s="918">
        <f t="shared" ca="1" si="202"/>
        <v>0</v>
      </c>
      <c r="BI69" s="938">
        <f t="shared" ca="1" si="202"/>
        <v>0</v>
      </c>
      <c r="BJ69" s="918">
        <f t="shared" ca="1" si="202"/>
        <v>0</v>
      </c>
      <c r="BK69" s="918">
        <f t="shared" ca="1" si="202"/>
        <v>0</v>
      </c>
      <c r="BL69" s="918">
        <f t="shared" ca="1" si="202"/>
        <v>0</v>
      </c>
      <c r="BM69" s="918">
        <f t="shared" ca="1" si="202"/>
        <v>-4.7937128919497631</v>
      </c>
      <c r="BN69" s="1144">
        <f t="shared" ca="1" si="202"/>
        <v>0</v>
      </c>
      <c r="BO69" s="918">
        <f t="shared" ca="1" si="202"/>
        <v>0</v>
      </c>
      <c r="BP69" s="921"/>
      <c r="BQ69" s="918">
        <f t="shared" ca="1" si="203"/>
        <v>0</v>
      </c>
      <c r="BR69" s="918">
        <f t="shared" ca="1" si="203"/>
        <v>-4.7937128919497631</v>
      </c>
      <c r="BS69" s="1144">
        <f t="shared" ca="1" si="203"/>
        <v>0</v>
      </c>
      <c r="BT69" s="918">
        <f t="shared" ca="1" si="203"/>
        <v>-9.5874257838995253E-2</v>
      </c>
      <c r="BU69" s="918">
        <f t="shared" ca="1" si="203"/>
        <v>0</v>
      </c>
      <c r="BV69" s="918">
        <f t="shared" ca="1" si="203"/>
        <v>-4.6978386463372708</v>
      </c>
      <c r="BW69" s="1144">
        <f t="shared" ca="1" si="203"/>
        <v>0</v>
      </c>
      <c r="BX69" s="921"/>
      <c r="BY69" s="918">
        <f t="shared" ca="1" si="204"/>
        <v>-4.6978386463372708</v>
      </c>
      <c r="BZ69" s="918">
        <f t="shared" ca="1" si="204"/>
        <v>0</v>
      </c>
      <c r="CA69" s="918">
        <f t="shared" ca="1" si="204"/>
        <v>0</v>
      </c>
      <c r="CB69" s="918">
        <f t="shared" ca="1" si="204"/>
        <v>-9.5874257838995253E-2</v>
      </c>
      <c r="CC69" s="918">
        <f t="shared" ca="1" si="204"/>
        <v>0</v>
      </c>
      <c r="CD69" s="918">
        <f t="shared" ca="1" si="204"/>
        <v>0</v>
      </c>
      <c r="CE69" s="918">
        <f t="shared" ca="1" si="204"/>
        <v>0</v>
      </c>
      <c r="CF69" s="918">
        <f t="shared" ca="1" si="204"/>
        <v>0</v>
      </c>
      <c r="CG69" s="921"/>
      <c r="CH69" s="918">
        <f t="shared" ca="1" si="205"/>
        <v>0</v>
      </c>
      <c r="CI69" s="918">
        <f t="shared" ca="1" si="205"/>
        <v>-4.7937128919497631</v>
      </c>
      <c r="CJ69" s="918">
        <f t="shared" ca="1" si="205"/>
        <v>0</v>
      </c>
      <c r="CK69" s="918" t="e">
        <f t="shared" ca="1" si="205"/>
        <v>#N/A</v>
      </c>
      <c r="CL69" s="918" t="e">
        <f t="shared" ca="1" si="205"/>
        <v>#N/A</v>
      </c>
      <c r="CM69" s="921"/>
      <c r="CN69" s="918">
        <f t="shared" ca="1" si="206"/>
        <v>0</v>
      </c>
      <c r="CO69" s="918" t="e">
        <f t="shared" ca="1" si="206"/>
        <v>#N/A</v>
      </c>
      <c r="CP69" s="918">
        <f t="shared" ca="1" si="206"/>
        <v>0</v>
      </c>
      <c r="CQ69" s="918">
        <f t="shared" ca="1" si="206"/>
        <v>0</v>
      </c>
      <c r="CR69" s="918">
        <f t="shared" ca="1" si="206"/>
        <v>0</v>
      </c>
      <c r="CS69" s="1144">
        <f t="shared" ca="1" si="206"/>
        <v>0</v>
      </c>
      <c r="CT69" s="921"/>
      <c r="CU69" s="918">
        <f t="shared" ca="1" si="207"/>
        <v>0</v>
      </c>
      <c r="CV69" s="918">
        <f t="shared" ca="1" si="207"/>
        <v>0</v>
      </c>
      <c r="CW69" s="918">
        <f t="shared" ca="1" si="207"/>
        <v>0</v>
      </c>
      <c r="CX69" s="918">
        <f t="shared" ca="1" si="207"/>
        <v>-9.5874257838995253E-2</v>
      </c>
      <c r="CY69" s="918">
        <f t="shared" ca="1" si="207"/>
        <v>0</v>
      </c>
      <c r="CZ69" s="1144" t="e">
        <f t="shared" ca="1" si="207"/>
        <v>#N/A</v>
      </c>
      <c r="DA69" s="1144" t="e">
        <f t="shared" ca="1" si="207"/>
        <v>#N/A</v>
      </c>
      <c r="DB69" s="918">
        <f t="shared" ca="1" si="207"/>
        <v>0</v>
      </c>
      <c r="DC69" s="938">
        <f t="shared" ca="1" si="207"/>
        <v>0</v>
      </c>
      <c r="DD69" s="918">
        <f t="shared" ca="1" si="207"/>
        <v>0</v>
      </c>
      <c r="DE69" s="918">
        <f t="shared" ca="1" si="207"/>
        <v>0</v>
      </c>
      <c r="DF69" s="918">
        <f t="shared" ca="1" si="207"/>
        <v>0</v>
      </c>
      <c r="DG69" s="918">
        <f t="shared" ca="1" si="207"/>
        <v>0</v>
      </c>
      <c r="DH69" s="918">
        <f t="shared" ca="1" si="207"/>
        <v>-9.5874257838995253E-2</v>
      </c>
      <c r="DI69" s="921"/>
      <c r="DJ69" s="1144">
        <f t="shared" ca="1" si="196"/>
        <v>-0.71015576761669641</v>
      </c>
      <c r="DK69" s="1144">
        <f t="shared" ca="1" si="196"/>
        <v>-2.958982361248786E-2</v>
      </c>
      <c r="DL69" s="1144">
        <f t="shared" ca="1" si="196"/>
        <v>0</v>
      </c>
      <c r="DM69" s="1144">
        <f t="shared" ca="1" si="196"/>
        <v>0</v>
      </c>
      <c r="DN69" s="1144" t="e">
        <f t="shared" ca="1" si="196"/>
        <v>#N/A</v>
      </c>
      <c r="DO69" s="1144">
        <f t="shared" ca="1" si="196"/>
        <v>-0.73974559222258762</v>
      </c>
      <c r="DP69" s="1144" t="e">
        <f t="shared" ca="1" si="196"/>
        <v>#N/A</v>
      </c>
      <c r="DQ69" s="921"/>
      <c r="DR69" s="1144">
        <f t="shared" ca="1" si="208"/>
        <v>0</v>
      </c>
      <c r="DS69" s="1144">
        <f t="shared" ca="1" si="208"/>
        <v>0</v>
      </c>
      <c r="DT69" s="1144">
        <f t="shared" ca="1" si="208"/>
        <v>0</v>
      </c>
      <c r="DU69" s="1144" t="e">
        <f t="shared" ca="1" si="208"/>
        <v>#N/A</v>
      </c>
      <c r="DV69" s="920"/>
      <c r="DW69" s="921"/>
      <c r="DX69" s="918">
        <f t="shared" ca="1" si="209"/>
        <v>0</v>
      </c>
      <c r="DY69" s="918">
        <f t="shared" ca="1" si="209"/>
        <v>0</v>
      </c>
      <c r="DZ69" s="918">
        <f t="shared" ca="1" si="209"/>
        <v>0</v>
      </c>
      <c r="EA69" s="918" t="e">
        <f t="shared" ca="1" si="209"/>
        <v>#N/A</v>
      </c>
      <c r="EB69" s="920"/>
      <c r="EC69" s="921"/>
      <c r="ED69" s="1144">
        <f t="shared" ca="1" si="210"/>
        <v>0</v>
      </c>
      <c r="EE69" s="1144">
        <f t="shared" ca="1" si="210"/>
        <v>0</v>
      </c>
      <c r="EF69" s="1144" t="e">
        <f t="shared" ca="1" si="210"/>
        <v>#N/A</v>
      </c>
      <c r="EG69" s="1144" t="e">
        <f t="shared" ca="1" si="210"/>
        <v>#N/A</v>
      </c>
      <c r="EH69" s="920"/>
      <c r="EI69" s="921"/>
      <c r="EJ69" s="918">
        <f t="shared" ca="1" si="211"/>
        <v>0</v>
      </c>
      <c r="EK69" s="918">
        <f t="shared" ca="1" si="211"/>
        <v>0</v>
      </c>
      <c r="EL69" s="918">
        <f t="shared" ca="1" si="211"/>
        <v>0</v>
      </c>
      <c r="EM69" s="918">
        <f t="shared" ca="1" si="211"/>
        <v>0</v>
      </c>
      <c r="EN69" s="920"/>
      <c r="EO69" s="921"/>
      <c r="EP69" s="1144">
        <f t="shared" ca="1" si="212"/>
        <v>0</v>
      </c>
      <c r="EQ69" s="1144">
        <f t="shared" ca="1" si="212"/>
        <v>0</v>
      </c>
      <c r="ER69" s="1144">
        <f t="shared" ca="1" si="212"/>
        <v>0</v>
      </c>
      <c r="ES69" s="1144">
        <f t="shared" ca="1" si="212"/>
        <v>0</v>
      </c>
      <c r="ET69" s="920"/>
      <c r="EU69" s="921"/>
      <c r="EV69" s="1144">
        <f t="shared" ca="1" si="197"/>
        <v>0</v>
      </c>
      <c r="EW69" s="1144">
        <f t="shared" ca="1" si="197"/>
        <v>0</v>
      </c>
      <c r="EX69" s="921"/>
      <c r="EY69" s="1144">
        <f t="shared" ca="1" si="197"/>
        <v>0</v>
      </c>
      <c r="EZ69" s="1144">
        <f t="shared" ca="1" si="197"/>
        <v>0</v>
      </c>
      <c r="FA69" s="1144" t="e">
        <f t="shared" ca="1" si="197"/>
        <v>#N/A</v>
      </c>
      <c r="FB69" s="921"/>
      <c r="FC69" s="918">
        <f t="shared" ca="1" si="213"/>
        <v>-111.58549579911998</v>
      </c>
      <c r="FD69" s="918">
        <f t="shared" ca="1" si="213"/>
        <v>0</v>
      </c>
      <c r="FE69" s="918">
        <f t="shared" ca="1" si="213"/>
        <v>0</v>
      </c>
      <c r="FF69" s="918">
        <f t="shared" ca="1" si="213"/>
        <v>0</v>
      </c>
      <c r="FG69" s="918">
        <f t="shared" ca="1" si="213"/>
        <v>0</v>
      </c>
      <c r="FH69" s="918">
        <f t="shared" ca="1" si="213"/>
        <v>0</v>
      </c>
      <c r="FI69" s="918">
        <f t="shared" ca="1" si="213"/>
        <v>0</v>
      </c>
      <c r="FJ69" s="918">
        <f t="shared" ca="1" si="213"/>
        <v>0</v>
      </c>
      <c r="FK69" s="918">
        <f t="shared" ca="1" si="213"/>
        <v>0</v>
      </c>
      <c r="FL69" s="918">
        <f t="shared" ca="1" si="213"/>
        <v>0</v>
      </c>
      <c r="FM69" s="918" t="e">
        <f t="shared" ca="1" si="214"/>
        <v>#N/A</v>
      </c>
      <c r="FN69" s="1144">
        <f t="shared" ca="1" si="214"/>
        <v>0</v>
      </c>
      <c r="FO69" s="1144">
        <f t="shared" ca="1" si="214"/>
        <v>0</v>
      </c>
      <c r="FP69" s="918">
        <f t="shared" ca="1" si="214"/>
        <v>0</v>
      </c>
      <c r="FQ69" s="918">
        <f t="shared" ca="1" si="214"/>
        <v>0</v>
      </c>
      <c r="FR69" s="918">
        <f t="shared" ca="1" si="214"/>
        <v>0</v>
      </c>
      <c r="FS69" s="918">
        <f t="shared" ca="1" si="214"/>
        <v>0</v>
      </c>
      <c r="FT69" s="918">
        <f t="shared" ca="1" si="214"/>
        <v>0</v>
      </c>
      <c r="FU69" s="918" t="e">
        <f t="shared" ca="1" si="214"/>
        <v>#N/A</v>
      </c>
      <c r="FV69" s="1144" t="e">
        <f t="shared" ca="1" si="214"/>
        <v>#N/A</v>
      </c>
      <c r="FW69" s="918">
        <f t="shared" ca="1" si="214"/>
        <v>0</v>
      </c>
      <c r="FX69" s="918">
        <f t="shared" ca="1" si="214"/>
        <v>0</v>
      </c>
      <c r="FY69" s="918">
        <f t="shared" ca="1" si="214"/>
        <v>0</v>
      </c>
      <c r="FZ69" s="918">
        <f t="shared" ca="1" si="214"/>
        <v>0</v>
      </c>
      <c r="GA69" s="1144" t="e">
        <f t="shared" ca="1" si="214"/>
        <v>#N/A</v>
      </c>
      <c r="GB69" s="918">
        <f t="shared" ca="1" si="214"/>
        <v>0</v>
      </c>
      <c r="GC69" s="920"/>
      <c r="GD69" s="918">
        <f t="shared" ca="1" si="215"/>
        <v>0</v>
      </c>
      <c r="GE69" s="918">
        <f t="shared" ca="1" si="215"/>
        <v>0</v>
      </c>
      <c r="GF69" s="918">
        <f t="shared" ca="1" si="215"/>
        <v>0</v>
      </c>
      <c r="GG69" s="918">
        <f t="shared" ca="1" si="215"/>
        <v>0</v>
      </c>
      <c r="GH69" s="918" t="e">
        <f t="shared" ca="1" si="215"/>
        <v>#N/A</v>
      </c>
      <c r="GI69" s="1144" t="e">
        <f t="shared" ca="1" si="215"/>
        <v>#N/A</v>
      </c>
      <c r="GJ69" s="918">
        <f t="shared" ca="1" si="215"/>
        <v>0</v>
      </c>
      <c r="GK69" s="918">
        <f t="shared" ca="1" si="215"/>
        <v>0</v>
      </c>
      <c r="GL69" s="918">
        <f t="shared" ca="1" si="215"/>
        <v>0</v>
      </c>
      <c r="GM69" s="918">
        <f t="shared" ca="1" si="215"/>
        <v>0</v>
      </c>
      <c r="GN69" s="918">
        <f t="shared" ca="1" si="215"/>
        <v>0</v>
      </c>
      <c r="GO69" s="918" t="e">
        <f t="shared" ca="1" si="215"/>
        <v>#N/A</v>
      </c>
      <c r="GP69" s="915"/>
      <c r="GR69" s="946"/>
      <c r="GS69" s="946"/>
      <c r="GU69" s="946"/>
      <c r="GV69" s="946"/>
      <c r="GW69" s="946"/>
      <c r="GX69" s="1143"/>
      <c r="GY69" s="946"/>
    </row>
    <row r="70" spans="1:207" s="914" customFormat="1" x14ac:dyDescent="0.3">
      <c r="A70" s="1139" t="s">
        <v>1545</v>
      </c>
      <c r="B70" s="974">
        <v>130</v>
      </c>
      <c r="C70" s="973">
        <v>132.11612</v>
      </c>
      <c r="D70" s="1006">
        <v>-0.51886643737722915</v>
      </c>
      <c r="E70" s="972" t="s">
        <v>982</v>
      </c>
      <c r="F70" s="936">
        <f t="shared" ca="1" si="198"/>
        <v>-63.910088861895815</v>
      </c>
      <c r="G70" s="918">
        <f t="shared" ca="1" si="198"/>
        <v>0</v>
      </c>
      <c r="H70" s="918">
        <f t="shared" ca="1" si="198"/>
        <v>0</v>
      </c>
      <c r="I70" s="918">
        <f t="shared" ca="1" si="198"/>
        <v>0</v>
      </c>
      <c r="J70" s="918">
        <f t="shared" ca="1" si="198"/>
        <v>0</v>
      </c>
      <c r="K70" s="1144">
        <f t="shared" ca="1" si="198"/>
        <v>0</v>
      </c>
      <c r="L70" s="918">
        <f t="shared" ca="1" si="198"/>
        <v>0</v>
      </c>
      <c r="M70" s="918">
        <f t="shared" ca="1" si="198"/>
        <v>0</v>
      </c>
      <c r="N70" s="938">
        <f t="shared" ca="1" si="198"/>
        <v>0</v>
      </c>
      <c r="O70" s="918">
        <f t="shared" ca="1" si="198"/>
        <v>0</v>
      </c>
      <c r="P70" s="939">
        <f t="shared" ca="1" si="198"/>
        <v>-1.6616623104092914</v>
      </c>
      <c r="Q70" s="921"/>
      <c r="R70" s="918">
        <f t="shared" ca="1" si="199"/>
        <v>-1.6616623104092914</v>
      </c>
      <c r="S70" s="918">
        <f t="shared" ca="1" si="199"/>
        <v>0</v>
      </c>
      <c r="T70" s="918">
        <f t="shared" ca="1" si="199"/>
        <v>0</v>
      </c>
      <c r="U70" s="918">
        <f t="shared" ca="1" si="199"/>
        <v>0</v>
      </c>
      <c r="V70" s="918">
        <f t="shared" ca="1" si="199"/>
        <v>0</v>
      </c>
      <c r="W70" s="918">
        <f t="shared" ca="1" si="199"/>
        <v>0</v>
      </c>
      <c r="X70" s="938">
        <f t="shared" ca="1" si="199"/>
        <v>0</v>
      </c>
      <c r="Y70" s="918">
        <f t="shared" ca="1" si="199"/>
        <v>-1.6616623104092914</v>
      </c>
      <c r="Z70" s="918">
        <f t="shared" ca="1" si="199"/>
        <v>0</v>
      </c>
      <c r="AA70" s="918">
        <f t="shared" ca="1" si="199"/>
        <v>0</v>
      </c>
      <c r="AB70" s="921"/>
      <c r="AC70" s="918">
        <f t="shared" ca="1" si="200"/>
        <v>0</v>
      </c>
      <c r="AD70" s="918">
        <f t="shared" ca="1" si="200"/>
        <v>0</v>
      </c>
      <c r="AE70" s="918">
        <f t="shared" ca="1" si="200"/>
        <v>0</v>
      </c>
      <c r="AF70" s="918">
        <f t="shared" ca="1" si="200"/>
        <v>0</v>
      </c>
      <c r="AG70" s="918">
        <f t="shared" ca="1" si="200"/>
        <v>0</v>
      </c>
      <c r="AH70" s="918">
        <f t="shared" ca="1" si="200"/>
        <v>0</v>
      </c>
      <c r="AI70" s="918">
        <f t="shared" ca="1" si="200"/>
        <v>0</v>
      </c>
      <c r="AJ70" s="918">
        <f t="shared" ca="1" si="200"/>
        <v>0</v>
      </c>
      <c r="AK70" s="938">
        <f t="shared" ca="1" si="200"/>
        <v>0</v>
      </c>
      <c r="AL70" s="918">
        <f t="shared" ca="1" si="200"/>
        <v>0</v>
      </c>
      <c r="AM70" s="918">
        <f t="shared" ca="1" si="200"/>
        <v>0</v>
      </c>
      <c r="AN70" s="918">
        <f t="shared" ca="1" si="200"/>
        <v>0</v>
      </c>
      <c r="AO70" s="921"/>
      <c r="AP70" s="1144">
        <f t="shared" ca="1" si="195"/>
        <v>-1.6616623104092914</v>
      </c>
      <c r="AQ70" s="1144">
        <f t="shared" ca="1" si="195"/>
        <v>0</v>
      </c>
      <c r="AR70" s="1144">
        <f t="shared" ca="1" si="195"/>
        <v>0</v>
      </c>
      <c r="AS70" s="1144">
        <f t="shared" ca="1" si="195"/>
        <v>0</v>
      </c>
      <c r="AT70" s="938">
        <f t="shared" ca="1" si="195"/>
        <v>0</v>
      </c>
      <c r="AU70" s="938">
        <f t="shared" ca="1" si="195"/>
        <v>0</v>
      </c>
      <c r="AV70" s="1144">
        <f t="shared" ca="1" si="195"/>
        <v>0</v>
      </c>
      <c r="AW70" s="1144">
        <f t="shared" ca="1" si="195"/>
        <v>0</v>
      </c>
      <c r="AX70" s="1144">
        <f t="shared" ca="1" si="195"/>
        <v>0</v>
      </c>
      <c r="AY70" s="1144">
        <f t="shared" ca="1" si="195"/>
        <v>0</v>
      </c>
      <c r="AZ70" s="1144">
        <f t="shared" ca="1" si="195"/>
        <v>0</v>
      </c>
      <c r="BA70" s="1144">
        <f t="shared" ca="1" si="195"/>
        <v>-3.3233246247459339E-2</v>
      </c>
      <c r="BB70" s="1144">
        <f t="shared" ca="1" si="201"/>
        <v>-1.6284290662433281</v>
      </c>
      <c r="BC70" s="1144">
        <f t="shared" ca="1" si="201"/>
        <v>0</v>
      </c>
      <c r="BD70" s="921"/>
      <c r="BE70" s="918">
        <f t="shared" ca="1" si="202"/>
        <v>-1.6616623104092914</v>
      </c>
      <c r="BF70" s="918">
        <f t="shared" ca="1" si="202"/>
        <v>0</v>
      </c>
      <c r="BG70" s="918">
        <f t="shared" ca="1" si="202"/>
        <v>0</v>
      </c>
      <c r="BH70" s="918">
        <f t="shared" ca="1" si="202"/>
        <v>0</v>
      </c>
      <c r="BI70" s="938">
        <f t="shared" ca="1" si="202"/>
        <v>0</v>
      </c>
      <c r="BJ70" s="918">
        <f t="shared" ca="1" si="202"/>
        <v>0</v>
      </c>
      <c r="BK70" s="918">
        <f t="shared" ca="1" si="202"/>
        <v>0</v>
      </c>
      <c r="BL70" s="918">
        <f t="shared" ca="1" si="202"/>
        <v>0</v>
      </c>
      <c r="BM70" s="918">
        <f t="shared" ca="1" si="202"/>
        <v>-1.6616623104092914</v>
      </c>
      <c r="BN70" s="1144">
        <f t="shared" ca="1" si="202"/>
        <v>0</v>
      </c>
      <c r="BO70" s="918">
        <f t="shared" ca="1" si="202"/>
        <v>0</v>
      </c>
      <c r="BP70" s="921"/>
      <c r="BQ70" s="918">
        <f t="shared" ca="1" si="203"/>
        <v>0</v>
      </c>
      <c r="BR70" s="918">
        <f t="shared" ca="1" si="203"/>
        <v>-1.6616623104092914</v>
      </c>
      <c r="BS70" s="1144">
        <f t="shared" ca="1" si="203"/>
        <v>0</v>
      </c>
      <c r="BT70" s="918">
        <f t="shared" ca="1" si="203"/>
        <v>-3.3233246247459339E-2</v>
      </c>
      <c r="BU70" s="918">
        <f t="shared" ca="1" si="203"/>
        <v>0</v>
      </c>
      <c r="BV70" s="918">
        <f t="shared" ca="1" si="203"/>
        <v>-1.6284290662433281</v>
      </c>
      <c r="BW70" s="1144">
        <f t="shared" ca="1" si="203"/>
        <v>0</v>
      </c>
      <c r="BX70" s="921"/>
      <c r="BY70" s="918">
        <f t="shared" ca="1" si="204"/>
        <v>-1.6284290662433281</v>
      </c>
      <c r="BZ70" s="918">
        <f t="shared" ca="1" si="204"/>
        <v>0</v>
      </c>
      <c r="CA70" s="918">
        <f t="shared" ca="1" si="204"/>
        <v>0</v>
      </c>
      <c r="CB70" s="918">
        <f t="shared" ca="1" si="204"/>
        <v>-3.3233246247459339E-2</v>
      </c>
      <c r="CC70" s="918">
        <f t="shared" ca="1" si="204"/>
        <v>0</v>
      </c>
      <c r="CD70" s="918">
        <f t="shared" ca="1" si="204"/>
        <v>0</v>
      </c>
      <c r="CE70" s="918">
        <f t="shared" ca="1" si="204"/>
        <v>0</v>
      </c>
      <c r="CF70" s="918">
        <f t="shared" ca="1" si="204"/>
        <v>0</v>
      </c>
      <c r="CG70" s="921"/>
      <c r="CH70" s="918">
        <f t="shared" ca="1" si="205"/>
        <v>0</v>
      </c>
      <c r="CI70" s="918">
        <f t="shared" ca="1" si="205"/>
        <v>-1.6616623104092914</v>
      </c>
      <c r="CJ70" s="918">
        <f t="shared" ca="1" si="205"/>
        <v>0</v>
      </c>
      <c r="CK70" s="918" t="e">
        <f t="shared" ca="1" si="205"/>
        <v>#N/A</v>
      </c>
      <c r="CL70" s="918" t="e">
        <f t="shared" ca="1" si="205"/>
        <v>#N/A</v>
      </c>
      <c r="CM70" s="921"/>
      <c r="CN70" s="918">
        <f t="shared" ca="1" si="206"/>
        <v>0</v>
      </c>
      <c r="CO70" s="918" t="e">
        <f t="shared" ca="1" si="206"/>
        <v>#N/A</v>
      </c>
      <c r="CP70" s="918">
        <f t="shared" ca="1" si="206"/>
        <v>0</v>
      </c>
      <c r="CQ70" s="918">
        <f t="shared" ca="1" si="206"/>
        <v>0</v>
      </c>
      <c r="CR70" s="918">
        <f t="shared" ca="1" si="206"/>
        <v>0</v>
      </c>
      <c r="CS70" s="1144">
        <f t="shared" ca="1" si="206"/>
        <v>0</v>
      </c>
      <c r="CT70" s="921"/>
      <c r="CU70" s="918">
        <f t="shared" ca="1" si="207"/>
        <v>0</v>
      </c>
      <c r="CV70" s="918">
        <f t="shared" ca="1" si="207"/>
        <v>0</v>
      </c>
      <c r="CW70" s="918">
        <f t="shared" ca="1" si="207"/>
        <v>0</v>
      </c>
      <c r="CX70" s="918">
        <f t="shared" ca="1" si="207"/>
        <v>-3.3233246247459339E-2</v>
      </c>
      <c r="CY70" s="918">
        <f t="shared" ca="1" si="207"/>
        <v>0</v>
      </c>
      <c r="CZ70" s="1144" t="e">
        <f t="shared" ca="1" si="207"/>
        <v>#N/A</v>
      </c>
      <c r="DA70" s="1144" t="e">
        <f t="shared" ca="1" si="207"/>
        <v>#N/A</v>
      </c>
      <c r="DB70" s="918">
        <f t="shared" ca="1" si="207"/>
        <v>0</v>
      </c>
      <c r="DC70" s="938">
        <f t="shared" ca="1" si="207"/>
        <v>0</v>
      </c>
      <c r="DD70" s="918">
        <f t="shared" ca="1" si="207"/>
        <v>0</v>
      </c>
      <c r="DE70" s="918">
        <f t="shared" ca="1" si="207"/>
        <v>0</v>
      </c>
      <c r="DF70" s="918">
        <f t="shared" ca="1" si="207"/>
        <v>0</v>
      </c>
      <c r="DG70" s="918">
        <f t="shared" ca="1" si="207"/>
        <v>0</v>
      </c>
      <c r="DH70" s="918">
        <f t="shared" ca="1" si="207"/>
        <v>-3.3233246247459339E-2</v>
      </c>
      <c r="DI70" s="921"/>
      <c r="DJ70" s="1144">
        <f t="shared" ca="1" si="196"/>
        <v>-0.24616390221574239</v>
      </c>
      <c r="DK70" s="1144">
        <f t="shared" ca="1" si="196"/>
        <v>-1.0256829278626024E-2</v>
      </c>
      <c r="DL70" s="1144">
        <f t="shared" ca="1" si="196"/>
        <v>0</v>
      </c>
      <c r="DM70" s="1144">
        <f t="shared" ca="1" si="196"/>
        <v>0</v>
      </c>
      <c r="DN70" s="1144" t="e">
        <f t="shared" ca="1" si="196"/>
        <v>#N/A</v>
      </c>
      <c r="DO70" s="1144">
        <f t="shared" ca="1" si="196"/>
        <v>-0.25642073157291545</v>
      </c>
      <c r="DP70" s="1144" t="e">
        <f t="shared" ca="1" si="196"/>
        <v>#N/A</v>
      </c>
      <c r="DQ70" s="921"/>
      <c r="DR70" s="1144">
        <f t="shared" ca="1" si="208"/>
        <v>0</v>
      </c>
      <c r="DS70" s="1144">
        <f t="shared" ca="1" si="208"/>
        <v>0</v>
      </c>
      <c r="DT70" s="1144">
        <f t="shared" ca="1" si="208"/>
        <v>0</v>
      </c>
      <c r="DU70" s="1144" t="e">
        <f t="shared" ca="1" si="208"/>
        <v>#N/A</v>
      </c>
      <c r="DV70" s="920"/>
      <c r="DW70" s="921"/>
      <c r="DX70" s="918">
        <f t="shared" ca="1" si="209"/>
        <v>0</v>
      </c>
      <c r="DY70" s="918">
        <f t="shared" ca="1" si="209"/>
        <v>0</v>
      </c>
      <c r="DZ70" s="918">
        <f t="shared" ca="1" si="209"/>
        <v>0</v>
      </c>
      <c r="EA70" s="918" t="e">
        <f t="shared" ca="1" si="209"/>
        <v>#N/A</v>
      </c>
      <c r="EB70" s="920"/>
      <c r="EC70" s="921"/>
      <c r="ED70" s="1144">
        <f t="shared" ca="1" si="210"/>
        <v>0</v>
      </c>
      <c r="EE70" s="1144">
        <f t="shared" ca="1" si="210"/>
        <v>0</v>
      </c>
      <c r="EF70" s="1144" t="e">
        <f t="shared" ca="1" si="210"/>
        <v>#N/A</v>
      </c>
      <c r="EG70" s="1144" t="e">
        <f t="shared" ca="1" si="210"/>
        <v>#N/A</v>
      </c>
      <c r="EH70" s="920"/>
      <c r="EI70" s="921"/>
      <c r="EJ70" s="918">
        <f t="shared" ca="1" si="211"/>
        <v>0</v>
      </c>
      <c r="EK70" s="918">
        <f t="shared" ca="1" si="211"/>
        <v>0</v>
      </c>
      <c r="EL70" s="918">
        <f t="shared" ca="1" si="211"/>
        <v>0</v>
      </c>
      <c r="EM70" s="918">
        <f t="shared" ca="1" si="211"/>
        <v>0</v>
      </c>
      <c r="EN70" s="920"/>
      <c r="EO70" s="921"/>
      <c r="EP70" s="1144">
        <f t="shared" ca="1" si="212"/>
        <v>0</v>
      </c>
      <c r="EQ70" s="1144">
        <f t="shared" ca="1" si="212"/>
        <v>0</v>
      </c>
      <c r="ER70" s="1144">
        <f t="shared" ca="1" si="212"/>
        <v>0</v>
      </c>
      <c r="ES70" s="1144">
        <f t="shared" ca="1" si="212"/>
        <v>0</v>
      </c>
      <c r="ET70" s="920"/>
      <c r="EU70" s="921"/>
      <c r="EV70" s="1144">
        <f t="shared" ca="1" si="197"/>
        <v>0</v>
      </c>
      <c r="EW70" s="1144">
        <f t="shared" ca="1" si="197"/>
        <v>0</v>
      </c>
      <c r="EX70" s="921"/>
      <c r="EY70" s="1144">
        <f t="shared" ca="1" si="197"/>
        <v>0</v>
      </c>
      <c r="EZ70" s="1144">
        <f t="shared" ca="1" si="197"/>
        <v>0</v>
      </c>
      <c r="FA70" s="1144" t="e">
        <f t="shared" ca="1" si="197"/>
        <v>#N/A</v>
      </c>
      <c r="FB70" s="921"/>
      <c r="FC70" s="918">
        <f t="shared" ca="1" si="213"/>
        <v>-63.910088861895815</v>
      </c>
      <c r="FD70" s="918">
        <f t="shared" ca="1" si="213"/>
        <v>0</v>
      </c>
      <c r="FE70" s="918">
        <f t="shared" ca="1" si="213"/>
        <v>0</v>
      </c>
      <c r="FF70" s="918">
        <f t="shared" ca="1" si="213"/>
        <v>0</v>
      </c>
      <c r="FG70" s="918">
        <f t="shared" ca="1" si="213"/>
        <v>0</v>
      </c>
      <c r="FH70" s="918">
        <f t="shared" ca="1" si="213"/>
        <v>0</v>
      </c>
      <c r="FI70" s="918">
        <f t="shared" ca="1" si="213"/>
        <v>0</v>
      </c>
      <c r="FJ70" s="918">
        <f t="shared" ca="1" si="213"/>
        <v>0</v>
      </c>
      <c r="FK70" s="918">
        <f t="shared" ca="1" si="213"/>
        <v>0</v>
      </c>
      <c r="FL70" s="918">
        <f t="shared" ca="1" si="213"/>
        <v>0</v>
      </c>
      <c r="FM70" s="918" t="e">
        <f t="shared" ca="1" si="214"/>
        <v>#N/A</v>
      </c>
      <c r="FN70" s="1144">
        <f t="shared" ca="1" si="214"/>
        <v>0</v>
      </c>
      <c r="FO70" s="1144">
        <f t="shared" ca="1" si="214"/>
        <v>0</v>
      </c>
      <c r="FP70" s="918">
        <f t="shared" ca="1" si="214"/>
        <v>0</v>
      </c>
      <c r="FQ70" s="918">
        <f t="shared" ca="1" si="214"/>
        <v>0</v>
      </c>
      <c r="FR70" s="918">
        <f t="shared" ca="1" si="214"/>
        <v>0</v>
      </c>
      <c r="FS70" s="918">
        <f t="shared" ca="1" si="214"/>
        <v>0</v>
      </c>
      <c r="FT70" s="918">
        <f t="shared" ca="1" si="214"/>
        <v>0</v>
      </c>
      <c r="FU70" s="918" t="e">
        <f t="shared" ca="1" si="214"/>
        <v>#N/A</v>
      </c>
      <c r="FV70" s="1144" t="e">
        <f t="shared" ca="1" si="214"/>
        <v>#N/A</v>
      </c>
      <c r="FW70" s="918">
        <f t="shared" ca="1" si="214"/>
        <v>0</v>
      </c>
      <c r="FX70" s="918">
        <f t="shared" ca="1" si="214"/>
        <v>0</v>
      </c>
      <c r="FY70" s="918">
        <f t="shared" ca="1" si="214"/>
        <v>0</v>
      </c>
      <c r="FZ70" s="918">
        <f t="shared" ca="1" si="214"/>
        <v>0</v>
      </c>
      <c r="GA70" s="1144" t="e">
        <f t="shared" ca="1" si="214"/>
        <v>#N/A</v>
      </c>
      <c r="GB70" s="918">
        <f t="shared" ca="1" si="214"/>
        <v>0</v>
      </c>
      <c r="GC70" s="920"/>
      <c r="GD70" s="918">
        <f t="shared" ca="1" si="215"/>
        <v>0</v>
      </c>
      <c r="GE70" s="918">
        <f t="shared" ca="1" si="215"/>
        <v>0</v>
      </c>
      <c r="GF70" s="918">
        <f t="shared" ca="1" si="215"/>
        <v>0</v>
      </c>
      <c r="GG70" s="918">
        <f t="shared" ca="1" si="215"/>
        <v>0</v>
      </c>
      <c r="GH70" s="918" t="e">
        <f t="shared" ca="1" si="215"/>
        <v>#N/A</v>
      </c>
      <c r="GI70" s="1144" t="e">
        <f t="shared" ca="1" si="215"/>
        <v>#N/A</v>
      </c>
      <c r="GJ70" s="918">
        <f t="shared" ca="1" si="215"/>
        <v>0</v>
      </c>
      <c r="GK70" s="918">
        <f t="shared" ca="1" si="215"/>
        <v>0</v>
      </c>
      <c r="GL70" s="918">
        <f t="shared" ca="1" si="215"/>
        <v>0</v>
      </c>
      <c r="GM70" s="918">
        <f t="shared" ca="1" si="215"/>
        <v>0</v>
      </c>
      <c r="GN70" s="918">
        <f t="shared" ca="1" si="215"/>
        <v>0</v>
      </c>
      <c r="GO70" s="918" t="e">
        <f t="shared" ca="1" si="215"/>
        <v>#N/A</v>
      </c>
      <c r="GP70" s="915"/>
      <c r="GR70" s="946"/>
      <c r="GS70" s="946"/>
      <c r="GU70" s="946"/>
      <c r="GV70" s="946"/>
      <c r="GW70" s="946"/>
      <c r="GX70" s="1143"/>
      <c r="GY70" s="946"/>
    </row>
    <row r="71" spans="1:207" s="914" customFormat="1" x14ac:dyDescent="0.3">
      <c r="A71" s="1139" t="s">
        <v>1546</v>
      </c>
      <c r="B71" s="974">
        <v>132</v>
      </c>
      <c r="C71" s="973">
        <v>152.15</v>
      </c>
      <c r="D71" s="1006">
        <v>-0.87468325683999992</v>
      </c>
      <c r="E71" s="972" t="s">
        <v>982</v>
      </c>
      <c r="F71" s="936">
        <f t="shared" ca="1" si="198"/>
        <v>-75.492268884552431</v>
      </c>
      <c r="G71" s="918">
        <f t="shared" ca="1" si="198"/>
        <v>0</v>
      </c>
      <c r="H71" s="918">
        <f t="shared" ca="1" si="198"/>
        <v>0</v>
      </c>
      <c r="I71" s="918">
        <f t="shared" ca="1" si="198"/>
        <v>0</v>
      </c>
      <c r="J71" s="918">
        <f t="shared" ca="1" si="198"/>
        <v>0</v>
      </c>
      <c r="K71" s="1144">
        <f t="shared" ca="1" si="198"/>
        <v>0</v>
      </c>
      <c r="L71" s="918">
        <f t="shared" ca="1" si="198"/>
        <v>0</v>
      </c>
      <c r="M71" s="918">
        <f t="shared" ca="1" si="198"/>
        <v>0</v>
      </c>
      <c r="N71" s="938">
        <f t="shared" ca="1" si="198"/>
        <v>0</v>
      </c>
      <c r="O71" s="918">
        <f t="shared" ca="1" si="198"/>
        <v>0</v>
      </c>
      <c r="P71" s="939">
        <f t="shared" ca="1" si="198"/>
        <v>-71.717655641533582</v>
      </c>
      <c r="Q71" s="921"/>
      <c r="R71" s="918">
        <f t="shared" ca="1" si="199"/>
        <v>-71.717655641533582</v>
      </c>
      <c r="S71" s="918">
        <f t="shared" ca="1" si="199"/>
        <v>0</v>
      </c>
      <c r="T71" s="918">
        <f t="shared" ca="1" si="199"/>
        <v>0</v>
      </c>
      <c r="U71" s="918">
        <f t="shared" ca="1" si="199"/>
        <v>0</v>
      </c>
      <c r="V71" s="918">
        <f t="shared" ca="1" si="199"/>
        <v>0</v>
      </c>
      <c r="W71" s="918">
        <f t="shared" ca="1" si="199"/>
        <v>0</v>
      </c>
      <c r="X71" s="938">
        <f t="shared" ca="1" si="199"/>
        <v>0</v>
      </c>
      <c r="Y71" s="918">
        <f t="shared" ca="1" si="199"/>
        <v>-71.717655641533582</v>
      </c>
      <c r="Z71" s="918">
        <f t="shared" ca="1" si="199"/>
        <v>0</v>
      </c>
      <c r="AA71" s="918">
        <f t="shared" ca="1" si="199"/>
        <v>0</v>
      </c>
      <c r="AB71" s="921"/>
      <c r="AC71" s="918">
        <f t="shared" ca="1" si="200"/>
        <v>0</v>
      </c>
      <c r="AD71" s="918">
        <f t="shared" ca="1" si="200"/>
        <v>0</v>
      </c>
      <c r="AE71" s="918">
        <f t="shared" ca="1" si="200"/>
        <v>0</v>
      </c>
      <c r="AF71" s="918">
        <f t="shared" ca="1" si="200"/>
        <v>0</v>
      </c>
      <c r="AG71" s="918">
        <f t="shared" ca="1" si="200"/>
        <v>0</v>
      </c>
      <c r="AH71" s="918">
        <f t="shared" ca="1" si="200"/>
        <v>0</v>
      </c>
      <c r="AI71" s="918">
        <f t="shared" ca="1" si="200"/>
        <v>0</v>
      </c>
      <c r="AJ71" s="918">
        <f t="shared" ca="1" si="200"/>
        <v>0</v>
      </c>
      <c r="AK71" s="938">
        <f t="shared" ca="1" si="200"/>
        <v>0</v>
      </c>
      <c r="AL71" s="918">
        <f t="shared" ca="1" si="200"/>
        <v>0</v>
      </c>
      <c r="AM71" s="918">
        <f t="shared" ca="1" si="200"/>
        <v>0</v>
      </c>
      <c r="AN71" s="918">
        <f t="shared" ca="1" si="200"/>
        <v>0</v>
      </c>
      <c r="AO71" s="921"/>
      <c r="AP71" s="1144">
        <f t="shared" ca="1" si="195"/>
        <v>-71.717655641533582</v>
      </c>
      <c r="AQ71" s="1144">
        <f t="shared" ca="1" si="195"/>
        <v>0</v>
      </c>
      <c r="AR71" s="1144">
        <f t="shared" ca="1" si="195"/>
        <v>0</v>
      </c>
      <c r="AS71" s="1144">
        <f t="shared" ca="1" si="195"/>
        <v>0</v>
      </c>
      <c r="AT71" s="938">
        <f t="shared" ca="1" si="195"/>
        <v>0</v>
      </c>
      <c r="AU71" s="938">
        <f t="shared" ca="1" si="195"/>
        <v>0</v>
      </c>
      <c r="AV71" s="1144">
        <f t="shared" ca="1" si="195"/>
        <v>0</v>
      </c>
      <c r="AW71" s="1144">
        <f t="shared" ca="1" si="195"/>
        <v>0</v>
      </c>
      <c r="AX71" s="1144">
        <f t="shared" ca="1" si="195"/>
        <v>0</v>
      </c>
      <c r="AY71" s="1144">
        <f t="shared" ca="1" si="195"/>
        <v>0</v>
      </c>
      <c r="AZ71" s="1144">
        <f t="shared" ca="1" si="195"/>
        <v>0</v>
      </c>
      <c r="BA71" s="1144">
        <f t="shared" ca="1" si="195"/>
        <v>-1.4343531128306719</v>
      </c>
      <c r="BB71" s="1144">
        <f t="shared" ca="1" si="201"/>
        <v>-70.283302724162866</v>
      </c>
      <c r="BC71" s="1144">
        <f t="shared" ca="1" si="201"/>
        <v>0</v>
      </c>
      <c r="BD71" s="921"/>
      <c r="BE71" s="918">
        <f t="shared" ca="1" si="202"/>
        <v>-71.717655641533582</v>
      </c>
      <c r="BF71" s="918">
        <f t="shared" ca="1" si="202"/>
        <v>0</v>
      </c>
      <c r="BG71" s="918">
        <f t="shared" ca="1" si="202"/>
        <v>0</v>
      </c>
      <c r="BH71" s="918">
        <f t="shared" ca="1" si="202"/>
        <v>0</v>
      </c>
      <c r="BI71" s="938">
        <f t="shared" ca="1" si="202"/>
        <v>0</v>
      </c>
      <c r="BJ71" s="918">
        <f t="shared" ca="1" si="202"/>
        <v>0</v>
      </c>
      <c r="BK71" s="918">
        <f t="shared" ca="1" si="202"/>
        <v>0</v>
      </c>
      <c r="BL71" s="918">
        <f t="shared" ca="1" si="202"/>
        <v>0</v>
      </c>
      <c r="BM71" s="918">
        <f t="shared" ca="1" si="202"/>
        <v>-71.717655641533582</v>
      </c>
      <c r="BN71" s="1144">
        <f t="shared" ca="1" si="202"/>
        <v>0</v>
      </c>
      <c r="BO71" s="918">
        <f t="shared" ca="1" si="202"/>
        <v>0</v>
      </c>
      <c r="BP71" s="921"/>
      <c r="BQ71" s="918">
        <f t="shared" ca="1" si="203"/>
        <v>0</v>
      </c>
      <c r="BR71" s="918">
        <f t="shared" ca="1" si="203"/>
        <v>-71.717655641533582</v>
      </c>
      <c r="BS71" s="1144">
        <f t="shared" ca="1" si="203"/>
        <v>0</v>
      </c>
      <c r="BT71" s="918">
        <f t="shared" ca="1" si="203"/>
        <v>-1.4343531128306719</v>
      </c>
      <c r="BU71" s="918">
        <f t="shared" ca="1" si="203"/>
        <v>0</v>
      </c>
      <c r="BV71" s="918">
        <f t="shared" ca="1" si="203"/>
        <v>-70.283302724162866</v>
      </c>
      <c r="BW71" s="1144">
        <f t="shared" ca="1" si="203"/>
        <v>0</v>
      </c>
      <c r="BX71" s="921"/>
      <c r="BY71" s="918">
        <f t="shared" ca="1" si="204"/>
        <v>-70.283302724162866</v>
      </c>
      <c r="BZ71" s="918">
        <f t="shared" ca="1" si="204"/>
        <v>0</v>
      </c>
      <c r="CA71" s="918">
        <f t="shared" ca="1" si="204"/>
        <v>0</v>
      </c>
      <c r="CB71" s="918">
        <f t="shared" ca="1" si="204"/>
        <v>-1.4343531128306719</v>
      </c>
      <c r="CC71" s="918">
        <f t="shared" ca="1" si="204"/>
        <v>0</v>
      </c>
      <c r="CD71" s="918">
        <f t="shared" ca="1" si="204"/>
        <v>0</v>
      </c>
      <c r="CE71" s="918">
        <f t="shared" ca="1" si="204"/>
        <v>0</v>
      </c>
      <c r="CF71" s="918">
        <f t="shared" ca="1" si="204"/>
        <v>0</v>
      </c>
      <c r="CG71" s="921"/>
      <c r="CH71" s="918">
        <f t="shared" ca="1" si="205"/>
        <v>0</v>
      </c>
      <c r="CI71" s="918">
        <f t="shared" ca="1" si="205"/>
        <v>-71.717655641533582</v>
      </c>
      <c r="CJ71" s="918">
        <f t="shared" ca="1" si="205"/>
        <v>0</v>
      </c>
      <c r="CK71" s="918" t="e">
        <f t="shared" ca="1" si="205"/>
        <v>#N/A</v>
      </c>
      <c r="CL71" s="918" t="e">
        <f t="shared" ca="1" si="205"/>
        <v>#N/A</v>
      </c>
      <c r="CM71" s="921"/>
      <c r="CN71" s="918">
        <f t="shared" ca="1" si="206"/>
        <v>0</v>
      </c>
      <c r="CO71" s="918" t="e">
        <f t="shared" ca="1" si="206"/>
        <v>#N/A</v>
      </c>
      <c r="CP71" s="918">
        <f t="shared" ca="1" si="206"/>
        <v>0</v>
      </c>
      <c r="CQ71" s="918">
        <f t="shared" ca="1" si="206"/>
        <v>0</v>
      </c>
      <c r="CR71" s="918">
        <f t="shared" ca="1" si="206"/>
        <v>0</v>
      </c>
      <c r="CS71" s="1144">
        <f t="shared" ca="1" si="206"/>
        <v>0</v>
      </c>
      <c r="CT71" s="921"/>
      <c r="CU71" s="918">
        <f t="shared" ca="1" si="207"/>
        <v>0</v>
      </c>
      <c r="CV71" s="918">
        <f t="shared" ca="1" si="207"/>
        <v>0</v>
      </c>
      <c r="CW71" s="918">
        <f t="shared" ca="1" si="207"/>
        <v>0</v>
      </c>
      <c r="CX71" s="918">
        <f t="shared" ca="1" si="207"/>
        <v>-1.4343531128306719</v>
      </c>
      <c r="CY71" s="918">
        <f t="shared" ca="1" si="207"/>
        <v>0</v>
      </c>
      <c r="CZ71" s="1144" t="e">
        <f t="shared" ca="1" si="207"/>
        <v>#N/A</v>
      </c>
      <c r="DA71" s="1144" t="e">
        <f t="shared" ca="1" si="207"/>
        <v>#N/A</v>
      </c>
      <c r="DB71" s="918">
        <f t="shared" ca="1" si="207"/>
        <v>0</v>
      </c>
      <c r="DC71" s="938">
        <f t="shared" ca="1" si="207"/>
        <v>0</v>
      </c>
      <c r="DD71" s="918">
        <f t="shared" ca="1" si="207"/>
        <v>0</v>
      </c>
      <c r="DE71" s="918">
        <f t="shared" ca="1" si="207"/>
        <v>0</v>
      </c>
      <c r="DF71" s="918">
        <f t="shared" ca="1" si="207"/>
        <v>0</v>
      </c>
      <c r="DG71" s="918">
        <f t="shared" ca="1" si="207"/>
        <v>0</v>
      </c>
      <c r="DH71" s="918">
        <f t="shared" ca="1" si="207"/>
        <v>-1.4343531128306719</v>
      </c>
      <c r="DI71" s="921"/>
      <c r="DJ71" s="1144">
        <f t="shared" ca="1" si="196"/>
        <v>-10.624480019300536</v>
      </c>
      <c r="DK71" s="1144">
        <f t="shared" ca="1" si="196"/>
        <v>-0.44268666632109127</v>
      </c>
      <c r="DL71" s="1144">
        <f t="shared" ca="1" si="196"/>
        <v>0</v>
      </c>
      <c r="DM71" s="1144">
        <f t="shared" ca="1" si="196"/>
        <v>0</v>
      </c>
      <c r="DN71" s="1144" t="e">
        <f t="shared" ca="1" si="196"/>
        <v>#N/A</v>
      </c>
      <c r="DO71" s="1144">
        <f t="shared" ca="1" si="196"/>
        <v>-11.067166672399336</v>
      </c>
      <c r="DP71" s="1144" t="e">
        <f t="shared" ca="1" si="196"/>
        <v>#N/A</v>
      </c>
      <c r="DQ71" s="921"/>
      <c r="DR71" s="1144">
        <f t="shared" ca="1" si="208"/>
        <v>0</v>
      </c>
      <c r="DS71" s="1144">
        <f t="shared" ca="1" si="208"/>
        <v>0</v>
      </c>
      <c r="DT71" s="1144">
        <f t="shared" ca="1" si="208"/>
        <v>0</v>
      </c>
      <c r="DU71" s="1144" t="e">
        <f t="shared" ca="1" si="208"/>
        <v>#N/A</v>
      </c>
      <c r="DV71" s="920"/>
      <c r="DW71" s="921"/>
      <c r="DX71" s="918">
        <f t="shared" ca="1" si="209"/>
        <v>0</v>
      </c>
      <c r="DY71" s="918">
        <f t="shared" ca="1" si="209"/>
        <v>0</v>
      </c>
      <c r="DZ71" s="918">
        <f t="shared" ca="1" si="209"/>
        <v>0</v>
      </c>
      <c r="EA71" s="918" t="e">
        <f t="shared" ca="1" si="209"/>
        <v>#N/A</v>
      </c>
      <c r="EB71" s="920"/>
      <c r="EC71" s="921"/>
      <c r="ED71" s="1144">
        <f t="shared" ca="1" si="210"/>
        <v>0</v>
      </c>
      <c r="EE71" s="1144">
        <f t="shared" ca="1" si="210"/>
        <v>0</v>
      </c>
      <c r="EF71" s="1144" t="e">
        <f t="shared" ca="1" si="210"/>
        <v>#N/A</v>
      </c>
      <c r="EG71" s="1144" t="e">
        <f t="shared" ca="1" si="210"/>
        <v>#N/A</v>
      </c>
      <c r="EH71" s="920"/>
      <c r="EI71" s="921"/>
      <c r="EJ71" s="918">
        <f t="shared" ca="1" si="211"/>
        <v>0</v>
      </c>
      <c r="EK71" s="918">
        <f t="shared" ca="1" si="211"/>
        <v>0</v>
      </c>
      <c r="EL71" s="918">
        <f t="shared" ca="1" si="211"/>
        <v>0</v>
      </c>
      <c r="EM71" s="918">
        <f t="shared" ca="1" si="211"/>
        <v>0</v>
      </c>
      <c r="EN71" s="920"/>
      <c r="EO71" s="921"/>
      <c r="EP71" s="1144">
        <f t="shared" ca="1" si="212"/>
        <v>0</v>
      </c>
      <c r="EQ71" s="1144">
        <f t="shared" ca="1" si="212"/>
        <v>0</v>
      </c>
      <c r="ER71" s="1144">
        <f t="shared" ca="1" si="212"/>
        <v>0</v>
      </c>
      <c r="ES71" s="1144">
        <f t="shared" ca="1" si="212"/>
        <v>0</v>
      </c>
      <c r="ET71" s="920"/>
      <c r="EU71" s="921"/>
      <c r="EV71" s="1144">
        <f t="shared" ca="1" si="197"/>
        <v>0</v>
      </c>
      <c r="EW71" s="1144">
        <f t="shared" ca="1" si="197"/>
        <v>0</v>
      </c>
      <c r="EX71" s="921"/>
      <c r="EY71" s="1144">
        <f t="shared" ca="1" si="197"/>
        <v>0</v>
      </c>
      <c r="EZ71" s="1144">
        <f t="shared" ca="1" si="197"/>
        <v>0</v>
      </c>
      <c r="FA71" s="1144" t="e">
        <f t="shared" ca="1" si="197"/>
        <v>#N/A</v>
      </c>
      <c r="FB71" s="921"/>
      <c r="FC71" s="918">
        <f t="shared" ca="1" si="213"/>
        <v>-75.492268884552431</v>
      </c>
      <c r="FD71" s="918">
        <f t="shared" ca="1" si="213"/>
        <v>0</v>
      </c>
      <c r="FE71" s="918">
        <f t="shared" ca="1" si="213"/>
        <v>0</v>
      </c>
      <c r="FF71" s="918">
        <f t="shared" ca="1" si="213"/>
        <v>0</v>
      </c>
      <c r="FG71" s="918">
        <f t="shared" ca="1" si="213"/>
        <v>0</v>
      </c>
      <c r="FH71" s="918">
        <f t="shared" ca="1" si="213"/>
        <v>0</v>
      </c>
      <c r="FI71" s="918">
        <f t="shared" ca="1" si="213"/>
        <v>0</v>
      </c>
      <c r="FJ71" s="918">
        <f t="shared" ca="1" si="213"/>
        <v>0</v>
      </c>
      <c r="FK71" s="918">
        <f t="shared" ca="1" si="213"/>
        <v>0</v>
      </c>
      <c r="FL71" s="918">
        <f t="shared" ca="1" si="213"/>
        <v>0</v>
      </c>
      <c r="FM71" s="918" t="e">
        <f t="shared" ca="1" si="214"/>
        <v>#N/A</v>
      </c>
      <c r="FN71" s="1144">
        <f t="shared" ca="1" si="214"/>
        <v>0</v>
      </c>
      <c r="FO71" s="1144">
        <f t="shared" ca="1" si="214"/>
        <v>0</v>
      </c>
      <c r="FP71" s="918">
        <f t="shared" ca="1" si="214"/>
        <v>0</v>
      </c>
      <c r="FQ71" s="918">
        <f t="shared" ca="1" si="214"/>
        <v>0</v>
      </c>
      <c r="FR71" s="918">
        <f t="shared" ca="1" si="214"/>
        <v>0</v>
      </c>
      <c r="FS71" s="918">
        <f t="shared" ca="1" si="214"/>
        <v>0</v>
      </c>
      <c r="FT71" s="918">
        <f t="shared" ca="1" si="214"/>
        <v>0</v>
      </c>
      <c r="FU71" s="918" t="e">
        <f t="shared" ca="1" si="214"/>
        <v>#N/A</v>
      </c>
      <c r="FV71" s="1144" t="e">
        <f t="shared" ca="1" si="214"/>
        <v>#N/A</v>
      </c>
      <c r="FW71" s="918">
        <f t="shared" ca="1" si="214"/>
        <v>0</v>
      </c>
      <c r="FX71" s="918">
        <f t="shared" ca="1" si="214"/>
        <v>0</v>
      </c>
      <c r="FY71" s="918">
        <f t="shared" ca="1" si="214"/>
        <v>0</v>
      </c>
      <c r="FZ71" s="918">
        <f t="shared" ca="1" si="214"/>
        <v>0</v>
      </c>
      <c r="GA71" s="1144" t="e">
        <f t="shared" ca="1" si="214"/>
        <v>#N/A</v>
      </c>
      <c r="GB71" s="918">
        <f t="shared" ca="1" si="214"/>
        <v>0</v>
      </c>
      <c r="GC71" s="920"/>
      <c r="GD71" s="918">
        <f t="shared" ca="1" si="215"/>
        <v>0</v>
      </c>
      <c r="GE71" s="918">
        <f t="shared" ca="1" si="215"/>
        <v>0</v>
      </c>
      <c r="GF71" s="918">
        <f t="shared" ca="1" si="215"/>
        <v>0</v>
      </c>
      <c r="GG71" s="918">
        <f t="shared" ca="1" si="215"/>
        <v>0</v>
      </c>
      <c r="GH71" s="918" t="e">
        <f t="shared" ca="1" si="215"/>
        <v>#N/A</v>
      </c>
      <c r="GI71" s="1144" t="e">
        <f t="shared" ca="1" si="215"/>
        <v>#N/A</v>
      </c>
      <c r="GJ71" s="918">
        <f t="shared" ca="1" si="215"/>
        <v>0</v>
      </c>
      <c r="GK71" s="918">
        <f t="shared" ca="1" si="215"/>
        <v>0</v>
      </c>
      <c r="GL71" s="918">
        <f t="shared" ca="1" si="215"/>
        <v>0</v>
      </c>
      <c r="GM71" s="918">
        <f t="shared" ca="1" si="215"/>
        <v>0</v>
      </c>
      <c r="GN71" s="918">
        <f t="shared" ca="1" si="215"/>
        <v>0</v>
      </c>
      <c r="GO71" s="918" t="e">
        <f t="shared" ca="1" si="215"/>
        <v>#N/A</v>
      </c>
      <c r="GP71" s="915"/>
      <c r="GR71" s="946"/>
      <c r="GS71" s="946"/>
      <c r="GU71" s="946"/>
      <c r="GV71" s="946"/>
      <c r="GW71" s="946"/>
      <c r="GX71" s="1143"/>
      <c r="GY71" s="946"/>
    </row>
    <row r="72" spans="1:207" s="914" customFormat="1" x14ac:dyDescent="0.3">
      <c r="A72" s="1139" t="s">
        <v>1547</v>
      </c>
      <c r="B72" s="974">
        <v>136</v>
      </c>
      <c r="C72" s="973">
        <v>24.015599999999999</v>
      </c>
      <c r="D72" s="1006">
        <v>-0.12271341597443612</v>
      </c>
      <c r="E72" s="972" t="s">
        <v>982</v>
      </c>
      <c r="F72" s="936">
        <f t="shared" ca="1" si="198"/>
        <v>0</v>
      </c>
      <c r="G72" s="918">
        <f t="shared" ca="1" si="198"/>
        <v>0</v>
      </c>
      <c r="H72" s="918">
        <f t="shared" ca="1" si="198"/>
        <v>0</v>
      </c>
      <c r="I72" s="918">
        <f t="shared" ca="1" si="198"/>
        <v>0</v>
      </c>
      <c r="J72" s="918">
        <f t="shared" ca="1" si="198"/>
        <v>0</v>
      </c>
      <c r="K72" s="1144">
        <f t="shared" ca="1" si="198"/>
        <v>0</v>
      </c>
      <c r="L72" s="918">
        <f t="shared" ca="1" si="198"/>
        <v>0</v>
      </c>
      <c r="M72" s="918">
        <f t="shared" ca="1" si="198"/>
        <v>0</v>
      </c>
      <c r="N72" s="938">
        <f t="shared" ca="1" si="198"/>
        <v>0</v>
      </c>
      <c r="O72" s="918">
        <f t="shared" ca="1" si="198"/>
        <v>0</v>
      </c>
      <c r="P72" s="939">
        <f t="shared" ca="1" si="198"/>
        <v>0</v>
      </c>
      <c r="Q72" s="921"/>
      <c r="R72" s="918">
        <f t="shared" ca="1" si="199"/>
        <v>0</v>
      </c>
      <c r="S72" s="918">
        <f t="shared" ca="1" si="199"/>
        <v>-2.6611677498488953</v>
      </c>
      <c r="T72" s="918">
        <f t="shared" ca="1" si="199"/>
        <v>0</v>
      </c>
      <c r="U72" s="918">
        <f t="shared" ca="1" si="199"/>
        <v>0</v>
      </c>
      <c r="V72" s="918">
        <f t="shared" ca="1" si="199"/>
        <v>0</v>
      </c>
      <c r="W72" s="918">
        <f t="shared" ca="1" si="199"/>
        <v>0</v>
      </c>
      <c r="X72" s="938">
        <f t="shared" ca="1" si="199"/>
        <v>0</v>
      </c>
      <c r="Y72" s="918">
        <f t="shared" ca="1" si="199"/>
        <v>-2.6611677498488953</v>
      </c>
      <c r="Z72" s="918">
        <f t="shared" ca="1" si="199"/>
        <v>0</v>
      </c>
      <c r="AA72" s="918">
        <f t="shared" ca="1" si="199"/>
        <v>0</v>
      </c>
      <c r="AB72" s="921"/>
      <c r="AC72" s="918">
        <f t="shared" ca="1" si="200"/>
        <v>0</v>
      </c>
      <c r="AD72" s="918">
        <f t="shared" ca="1" si="200"/>
        <v>0</v>
      </c>
      <c r="AE72" s="918">
        <f t="shared" ca="1" si="200"/>
        <v>0</v>
      </c>
      <c r="AF72" s="918">
        <f t="shared" ca="1" si="200"/>
        <v>0</v>
      </c>
      <c r="AG72" s="918">
        <f t="shared" ca="1" si="200"/>
        <v>0</v>
      </c>
      <c r="AH72" s="918">
        <f t="shared" ca="1" si="200"/>
        <v>0</v>
      </c>
      <c r="AI72" s="918">
        <f t="shared" ca="1" si="200"/>
        <v>0</v>
      </c>
      <c r="AJ72" s="918">
        <f t="shared" ca="1" si="200"/>
        <v>0</v>
      </c>
      <c r="AK72" s="938">
        <f t="shared" ca="1" si="200"/>
        <v>0</v>
      </c>
      <c r="AL72" s="918">
        <f t="shared" ca="1" si="200"/>
        <v>-2.6611677498488953</v>
      </c>
      <c r="AM72" s="918">
        <f t="shared" ca="1" si="200"/>
        <v>0</v>
      </c>
      <c r="AN72" s="918">
        <f t="shared" ca="1" si="200"/>
        <v>0</v>
      </c>
      <c r="AO72" s="921"/>
      <c r="AP72" s="1144">
        <f t="shared" ca="1" si="195"/>
        <v>-2.6611677498488953</v>
      </c>
      <c r="AQ72" s="1144">
        <f t="shared" ca="1" si="195"/>
        <v>0</v>
      </c>
      <c r="AR72" s="1144">
        <f t="shared" ca="1" si="195"/>
        <v>0</v>
      </c>
      <c r="AS72" s="1144">
        <f t="shared" ca="1" si="195"/>
        <v>0</v>
      </c>
      <c r="AT72" s="938">
        <f t="shared" ca="1" si="195"/>
        <v>0</v>
      </c>
      <c r="AU72" s="938">
        <f t="shared" ca="1" si="195"/>
        <v>0</v>
      </c>
      <c r="AV72" s="1144">
        <f t="shared" ca="1" si="195"/>
        <v>0</v>
      </c>
      <c r="AW72" s="1144">
        <f t="shared" ca="1" si="195"/>
        <v>0</v>
      </c>
      <c r="AX72" s="1144">
        <f t="shared" ca="1" si="195"/>
        <v>0</v>
      </c>
      <c r="AY72" s="1144">
        <f t="shared" ca="1" si="195"/>
        <v>0</v>
      </c>
      <c r="AZ72" s="1144">
        <f t="shared" ca="1" si="195"/>
        <v>0</v>
      </c>
      <c r="BA72" s="1144">
        <f t="shared" ca="1" si="195"/>
        <v>-5.3223355099172642E-2</v>
      </c>
      <c r="BB72" s="1144">
        <f t="shared" ca="1" si="201"/>
        <v>-2.607944395260696</v>
      </c>
      <c r="BC72" s="1144">
        <f t="shared" ca="1" si="201"/>
        <v>0</v>
      </c>
      <c r="BD72" s="921"/>
      <c r="BE72" s="918">
        <f t="shared" ca="1" si="202"/>
        <v>-2.6611677498488953</v>
      </c>
      <c r="BF72" s="918">
        <f t="shared" ca="1" si="202"/>
        <v>0</v>
      </c>
      <c r="BG72" s="918">
        <f t="shared" ca="1" si="202"/>
        <v>0</v>
      </c>
      <c r="BH72" s="918">
        <f t="shared" ca="1" si="202"/>
        <v>0</v>
      </c>
      <c r="BI72" s="938">
        <f t="shared" ca="1" si="202"/>
        <v>0</v>
      </c>
      <c r="BJ72" s="918">
        <f t="shared" ca="1" si="202"/>
        <v>0</v>
      </c>
      <c r="BK72" s="918">
        <f t="shared" ca="1" si="202"/>
        <v>0</v>
      </c>
      <c r="BL72" s="918">
        <f t="shared" ca="1" si="202"/>
        <v>0</v>
      </c>
      <c r="BM72" s="918">
        <f t="shared" ca="1" si="202"/>
        <v>-2.6611677498488953</v>
      </c>
      <c r="BN72" s="1144">
        <f t="shared" ca="1" si="202"/>
        <v>0</v>
      </c>
      <c r="BO72" s="918">
        <f t="shared" ca="1" si="202"/>
        <v>0</v>
      </c>
      <c r="BP72" s="921"/>
      <c r="BQ72" s="918">
        <f t="shared" ca="1" si="203"/>
        <v>0</v>
      </c>
      <c r="BR72" s="918">
        <f t="shared" ca="1" si="203"/>
        <v>-2.6611677498488953</v>
      </c>
      <c r="BS72" s="1144">
        <f t="shared" ca="1" si="203"/>
        <v>0</v>
      </c>
      <c r="BT72" s="918">
        <f t="shared" ca="1" si="203"/>
        <v>-5.3223355099172642E-2</v>
      </c>
      <c r="BU72" s="918">
        <f t="shared" ca="1" si="203"/>
        <v>0</v>
      </c>
      <c r="BV72" s="918">
        <f t="shared" ca="1" si="203"/>
        <v>-2.607944395260696</v>
      </c>
      <c r="BW72" s="1144">
        <f t="shared" ca="1" si="203"/>
        <v>0</v>
      </c>
      <c r="BX72" s="921"/>
      <c r="BY72" s="918">
        <f t="shared" ca="1" si="204"/>
        <v>-2.607944395260696</v>
      </c>
      <c r="BZ72" s="918">
        <f t="shared" ca="1" si="204"/>
        <v>0</v>
      </c>
      <c r="CA72" s="918">
        <f t="shared" ca="1" si="204"/>
        <v>0</v>
      </c>
      <c r="CB72" s="918">
        <f t="shared" ca="1" si="204"/>
        <v>-5.3223355099172642E-2</v>
      </c>
      <c r="CC72" s="918">
        <f t="shared" ca="1" si="204"/>
        <v>0</v>
      </c>
      <c r="CD72" s="918">
        <f t="shared" ca="1" si="204"/>
        <v>0</v>
      </c>
      <c r="CE72" s="918">
        <f t="shared" ca="1" si="204"/>
        <v>0</v>
      </c>
      <c r="CF72" s="918">
        <f t="shared" ca="1" si="204"/>
        <v>0</v>
      </c>
      <c r="CG72" s="921"/>
      <c r="CH72" s="918">
        <f t="shared" ca="1" si="205"/>
        <v>0</v>
      </c>
      <c r="CI72" s="918">
        <f t="shared" ca="1" si="205"/>
        <v>-2.6611677498488953</v>
      </c>
      <c r="CJ72" s="918">
        <f t="shared" ca="1" si="205"/>
        <v>0</v>
      </c>
      <c r="CK72" s="918" t="e">
        <f t="shared" ca="1" si="205"/>
        <v>#N/A</v>
      </c>
      <c r="CL72" s="918" t="e">
        <f t="shared" ca="1" si="205"/>
        <v>#N/A</v>
      </c>
      <c r="CM72" s="921"/>
      <c r="CN72" s="918">
        <f t="shared" ca="1" si="206"/>
        <v>0</v>
      </c>
      <c r="CO72" s="918" t="e">
        <f t="shared" ca="1" si="206"/>
        <v>#N/A</v>
      </c>
      <c r="CP72" s="918">
        <f t="shared" ca="1" si="206"/>
        <v>0</v>
      </c>
      <c r="CQ72" s="918">
        <f t="shared" ca="1" si="206"/>
        <v>0</v>
      </c>
      <c r="CR72" s="918">
        <f t="shared" ca="1" si="206"/>
        <v>0</v>
      </c>
      <c r="CS72" s="1144">
        <f t="shared" ca="1" si="206"/>
        <v>0</v>
      </c>
      <c r="CT72" s="921"/>
      <c r="CU72" s="918">
        <f t="shared" ca="1" si="207"/>
        <v>0</v>
      </c>
      <c r="CV72" s="918">
        <f t="shared" ca="1" si="207"/>
        <v>0</v>
      </c>
      <c r="CW72" s="918">
        <f t="shared" ca="1" si="207"/>
        <v>0</v>
      </c>
      <c r="CX72" s="918">
        <f t="shared" ca="1" si="207"/>
        <v>-5.3223355099172642E-2</v>
      </c>
      <c r="CY72" s="918">
        <f t="shared" ca="1" si="207"/>
        <v>0</v>
      </c>
      <c r="CZ72" s="1144" t="e">
        <f t="shared" ca="1" si="207"/>
        <v>#N/A</v>
      </c>
      <c r="DA72" s="1144" t="e">
        <f t="shared" ca="1" si="207"/>
        <v>#N/A</v>
      </c>
      <c r="DB72" s="918">
        <f t="shared" ca="1" si="207"/>
        <v>0</v>
      </c>
      <c r="DC72" s="938">
        <f t="shared" ca="1" si="207"/>
        <v>0</v>
      </c>
      <c r="DD72" s="918">
        <f t="shared" ca="1" si="207"/>
        <v>0</v>
      </c>
      <c r="DE72" s="918">
        <f t="shared" ca="1" si="207"/>
        <v>0</v>
      </c>
      <c r="DF72" s="918">
        <f t="shared" ca="1" si="207"/>
        <v>0</v>
      </c>
      <c r="DG72" s="918">
        <f t="shared" ca="1" si="207"/>
        <v>0</v>
      </c>
      <c r="DH72" s="918">
        <f t="shared" ca="1" si="207"/>
        <v>-5.3223355099172642E-2</v>
      </c>
      <c r="DI72" s="921"/>
      <c r="DJ72" s="1144">
        <f t="shared" ca="1" si="196"/>
        <v>-0.39423379424090921</v>
      </c>
      <c r="DK72" s="1144">
        <f t="shared" ca="1" si="196"/>
        <v>-1.6426408123178023E-2</v>
      </c>
      <c r="DL72" s="1144">
        <f t="shared" ca="1" si="196"/>
        <v>0</v>
      </c>
      <c r="DM72" s="1144">
        <f t="shared" ca="1" si="196"/>
        <v>0</v>
      </c>
      <c r="DN72" s="1144" t="e">
        <f t="shared" ca="1" si="196"/>
        <v>#N/A</v>
      </c>
      <c r="DO72" s="1144">
        <f t="shared" ca="1" si="196"/>
        <v>-0.41066020231298989</v>
      </c>
      <c r="DP72" s="1144" t="e">
        <f t="shared" ca="1" si="196"/>
        <v>#N/A</v>
      </c>
      <c r="DQ72" s="921"/>
      <c r="DR72" s="1144">
        <f t="shared" ca="1" si="208"/>
        <v>0</v>
      </c>
      <c r="DS72" s="1144">
        <f t="shared" ca="1" si="208"/>
        <v>0</v>
      </c>
      <c r="DT72" s="1144">
        <f t="shared" ca="1" si="208"/>
        <v>0</v>
      </c>
      <c r="DU72" s="1144" t="e">
        <f t="shared" ca="1" si="208"/>
        <v>#N/A</v>
      </c>
      <c r="DV72" s="920"/>
      <c r="DW72" s="921"/>
      <c r="DX72" s="918">
        <f t="shared" ca="1" si="209"/>
        <v>0</v>
      </c>
      <c r="DY72" s="918">
        <f t="shared" ca="1" si="209"/>
        <v>0</v>
      </c>
      <c r="DZ72" s="918">
        <f t="shared" ca="1" si="209"/>
        <v>0</v>
      </c>
      <c r="EA72" s="918" t="e">
        <f t="shared" ca="1" si="209"/>
        <v>#N/A</v>
      </c>
      <c r="EB72" s="920"/>
      <c r="EC72" s="921"/>
      <c r="ED72" s="1144">
        <f t="shared" ca="1" si="210"/>
        <v>0</v>
      </c>
      <c r="EE72" s="1144">
        <f t="shared" ca="1" si="210"/>
        <v>0</v>
      </c>
      <c r="EF72" s="1144" t="e">
        <f t="shared" ca="1" si="210"/>
        <v>#N/A</v>
      </c>
      <c r="EG72" s="1144" t="e">
        <f t="shared" ca="1" si="210"/>
        <v>#N/A</v>
      </c>
      <c r="EH72" s="920"/>
      <c r="EI72" s="921"/>
      <c r="EJ72" s="918">
        <f t="shared" ca="1" si="211"/>
        <v>0</v>
      </c>
      <c r="EK72" s="918">
        <f t="shared" ca="1" si="211"/>
        <v>0</v>
      </c>
      <c r="EL72" s="918">
        <f t="shared" ca="1" si="211"/>
        <v>0</v>
      </c>
      <c r="EM72" s="918">
        <f t="shared" ca="1" si="211"/>
        <v>0</v>
      </c>
      <c r="EN72" s="920"/>
      <c r="EO72" s="921"/>
      <c r="EP72" s="1144">
        <f t="shared" ca="1" si="212"/>
        <v>0</v>
      </c>
      <c r="EQ72" s="1144">
        <f t="shared" ca="1" si="212"/>
        <v>0</v>
      </c>
      <c r="ER72" s="1144">
        <f t="shared" ca="1" si="212"/>
        <v>0</v>
      </c>
      <c r="ES72" s="1144">
        <f t="shared" ca="1" si="212"/>
        <v>0</v>
      </c>
      <c r="ET72" s="920"/>
      <c r="EU72" s="921"/>
      <c r="EV72" s="1144">
        <f t="shared" ca="1" si="197"/>
        <v>0</v>
      </c>
      <c r="EW72" s="1144">
        <f t="shared" ca="1" si="197"/>
        <v>0</v>
      </c>
      <c r="EX72" s="921"/>
      <c r="EY72" s="1144">
        <f t="shared" ca="1" si="197"/>
        <v>0</v>
      </c>
      <c r="EZ72" s="1144">
        <f t="shared" ca="1" si="197"/>
        <v>0</v>
      </c>
      <c r="FA72" s="1144" t="e">
        <f t="shared" ca="1" si="197"/>
        <v>#N/A</v>
      </c>
      <c r="FB72" s="921"/>
      <c r="FC72" s="918">
        <f t="shared" ca="1" si="213"/>
        <v>0</v>
      </c>
      <c r="FD72" s="918">
        <f t="shared" ca="1" si="213"/>
        <v>0</v>
      </c>
      <c r="FE72" s="918">
        <f t="shared" ca="1" si="213"/>
        <v>0</v>
      </c>
      <c r="FF72" s="918">
        <f t="shared" ca="1" si="213"/>
        <v>0</v>
      </c>
      <c r="FG72" s="918">
        <f t="shared" ca="1" si="213"/>
        <v>0</v>
      </c>
      <c r="FH72" s="918">
        <f t="shared" ca="1" si="213"/>
        <v>0</v>
      </c>
      <c r="FI72" s="918">
        <f t="shared" ca="1" si="213"/>
        <v>0</v>
      </c>
      <c r="FJ72" s="918">
        <f t="shared" ca="1" si="213"/>
        <v>0</v>
      </c>
      <c r="FK72" s="918">
        <f t="shared" ca="1" si="213"/>
        <v>0</v>
      </c>
      <c r="FL72" s="918">
        <f t="shared" ca="1" si="213"/>
        <v>0</v>
      </c>
      <c r="FM72" s="918" t="e">
        <f t="shared" ca="1" si="214"/>
        <v>#N/A</v>
      </c>
      <c r="FN72" s="1144">
        <f t="shared" ca="1" si="214"/>
        <v>0</v>
      </c>
      <c r="FO72" s="1144">
        <f t="shared" ca="1" si="214"/>
        <v>0</v>
      </c>
      <c r="FP72" s="918">
        <f t="shared" ca="1" si="214"/>
        <v>0</v>
      </c>
      <c r="FQ72" s="918">
        <f t="shared" ca="1" si="214"/>
        <v>0</v>
      </c>
      <c r="FR72" s="918">
        <f t="shared" ca="1" si="214"/>
        <v>0</v>
      </c>
      <c r="FS72" s="918">
        <f t="shared" ca="1" si="214"/>
        <v>0</v>
      </c>
      <c r="FT72" s="918">
        <f t="shared" ca="1" si="214"/>
        <v>0</v>
      </c>
      <c r="FU72" s="918" t="e">
        <f t="shared" ca="1" si="214"/>
        <v>#N/A</v>
      </c>
      <c r="FV72" s="1144" t="e">
        <f t="shared" ca="1" si="214"/>
        <v>#N/A</v>
      </c>
      <c r="FW72" s="918">
        <f t="shared" ca="1" si="214"/>
        <v>0</v>
      </c>
      <c r="FX72" s="918">
        <f t="shared" ca="1" si="214"/>
        <v>0</v>
      </c>
      <c r="FY72" s="918">
        <f t="shared" ca="1" si="214"/>
        <v>0</v>
      </c>
      <c r="FZ72" s="918">
        <f t="shared" ca="1" si="214"/>
        <v>0</v>
      </c>
      <c r="GA72" s="1144" t="e">
        <f t="shared" ca="1" si="214"/>
        <v>#N/A</v>
      </c>
      <c r="GB72" s="918">
        <f t="shared" ca="1" si="214"/>
        <v>0</v>
      </c>
      <c r="GC72" s="920"/>
      <c r="GD72" s="918">
        <f t="shared" ca="1" si="215"/>
        <v>0</v>
      </c>
      <c r="GE72" s="918">
        <f t="shared" ca="1" si="215"/>
        <v>0</v>
      </c>
      <c r="GF72" s="918">
        <f t="shared" ca="1" si="215"/>
        <v>0</v>
      </c>
      <c r="GG72" s="918">
        <f t="shared" ca="1" si="215"/>
        <v>0</v>
      </c>
      <c r="GH72" s="918" t="e">
        <f t="shared" ca="1" si="215"/>
        <v>#N/A</v>
      </c>
      <c r="GI72" s="1144" t="e">
        <f t="shared" ca="1" si="215"/>
        <v>#N/A</v>
      </c>
      <c r="GJ72" s="918">
        <f t="shared" ca="1" si="215"/>
        <v>0</v>
      </c>
      <c r="GK72" s="918">
        <f t="shared" ca="1" si="215"/>
        <v>0</v>
      </c>
      <c r="GL72" s="918">
        <f t="shared" ca="1" si="215"/>
        <v>0</v>
      </c>
      <c r="GM72" s="918">
        <f t="shared" ca="1" si="215"/>
        <v>0</v>
      </c>
      <c r="GN72" s="918">
        <f t="shared" ca="1" si="215"/>
        <v>0</v>
      </c>
      <c r="GO72" s="918" t="e">
        <f t="shared" ca="1" si="215"/>
        <v>#N/A</v>
      </c>
      <c r="GP72" s="915"/>
      <c r="GR72" s="946"/>
      <c r="GS72" s="946"/>
      <c r="GU72" s="946"/>
      <c r="GV72" s="946"/>
      <c r="GW72" s="946"/>
      <c r="GX72" s="1143"/>
      <c r="GY72" s="946"/>
    </row>
    <row r="73" spans="1:207" s="914" customFormat="1" x14ac:dyDescent="0.3">
      <c r="A73" s="1139" t="s">
        <v>2308</v>
      </c>
      <c r="B73" s="974">
        <v>137</v>
      </c>
      <c r="C73" s="973">
        <f>C72</f>
        <v>24.015599999999999</v>
      </c>
      <c r="D73" s="1006">
        <v>-0.12271341597443612</v>
      </c>
      <c r="E73" s="972" t="s">
        <v>982</v>
      </c>
      <c r="F73" s="936">
        <f t="shared" ca="1" si="198"/>
        <v>0</v>
      </c>
      <c r="G73" s="918">
        <f t="shared" ca="1" si="198"/>
        <v>0</v>
      </c>
      <c r="H73" s="918">
        <f t="shared" ca="1" si="198"/>
        <v>0</v>
      </c>
      <c r="I73" s="918">
        <f t="shared" ca="1" si="198"/>
        <v>0</v>
      </c>
      <c r="J73" s="918">
        <f t="shared" ca="1" si="198"/>
        <v>0</v>
      </c>
      <c r="K73" s="1144">
        <f t="shared" ca="1" si="198"/>
        <v>0</v>
      </c>
      <c r="L73" s="918">
        <f t="shared" ca="1" si="198"/>
        <v>0</v>
      </c>
      <c r="M73" s="918">
        <f t="shared" ca="1" si="198"/>
        <v>0</v>
      </c>
      <c r="N73" s="938">
        <f t="shared" ca="1" si="198"/>
        <v>0</v>
      </c>
      <c r="O73" s="918">
        <f t="shared" ca="1" si="198"/>
        <v>0</v>
      </c>
      <c r="P73" s="939">
        <f t="shared" ca="1" si="198"/>
        <v>0</v>
      </c>
      <c r="Q73" s="921"/>
      <c r="R73" s="918">
        <f t="shared" ca="1" si="199"/>
        <v>0</v>
      </c>
      <c r="S73" s="918">
        <f t="shared" ca="1" si="199"/>
        <v>-0.29568628473482811</v>
      </c>
      <c r="T73" s="918">
        <f t="shared" ca="1" si="199"/>
        <v>0</v>
      </c>
      <c r="U73" s="918">
        <f t="shared" ca="1" si="199"/>
        <v>0</v>
      </c>
      <c r="V73" s="918">
        <f t="shared" ca="1" si="199"/>
        <v>0</v>
      </c>
      <c r="W73" s="918">
        <f t="shared" ca="1" si="199"/>
        <v>0</v>
      </c>
      <c r="X73" s="938">
        <f t="shared" ca="1" si="199"/>
        <v>0</v>
      </c>
      <c r="Y73" s="918">
        <f t="shared" ca="1" si="199"/>
        <v>-0.29568573237218609</v>
      </c>
      <c r="Z73" s="918">
        <f t="shared" ca="1" si="199"/>
        <v>0</v>
      </c>
      <c r="AA73" s="918">
        <f t="shared" ca="1" si="199"/>
        <v>0</v>
      </c>
      <c r="AB73" s="921"/>
      <c r="AC73" s="918">
        <f t="shared" ca="1" si="200"/>
        <v>0</v>
      </c>
      <c r="AD73" s="918">
        <f t="shared" ca="1" si="200"/>
        <v>0</v>
      </c>
      <c r="AE73" s="918">
        <f t="shared" ca="1" si="200"/>
        <v>0</v>
      </c>
      <c r="AF73" s="918">
        <f t="shared" ca="1" si="200"/>
        <v>0</v>
      </c>
      <c r="AG73" s="918">
        <f t="shared" ca="1" si="200"/>
        <v>0</v>
      </c>
      <c r="AH73" s="918">
        <f t="shared" ca="1" si="200"/>
        <v>0</v>
      </c>
      <c r="AI73" s="918">
        <f t="shared" ca="1" si="200"/>
        <v>0</v>
      </c>
      <c r="AJ73" s="918">
        <f t="shared" ca="1" si="200"/>
        <v>0</v>
      </c>
      <c r="AK73" s="938">
        <f t="shared" ca="1" si="200"/>
        <v>0</v>
      </c>
      <c r="AL73" s="918">
        <f t="shared" ca="1" si="200"/>
        <v>-0.29568628473482811</v>
      </c>
      <c r="AM73" s="918">
        <f t="shared" ca="1" si="200"/>
        <v>0</v>
      </c>
      <c r="AN73" s="918">
        <f t="shared" ca="1" si="200"/>
        <v>0</v>
      </c>
      <c r="AO73" s="921"/>
      <c r="AP73" s="1144">
        <f t="shared" ref="AP73:BC86" ca="1" si="216">VLOOKUP(AP$8,INDIRECT(LU_MAT),$B73,FALSE)*$D73/$C73</f>
        <v>-0.29568573237218609</v>
      </c>
      <c r="AQ73" s="1144">
        <f t="shared" ca="1" si="216"/>
        <v>0</v>
      </c>
      <c r="AR73" s="1144">
        <f t="shared" ca="1" si="216"/>
        <v>0</v>
      </c>
      <c r="AS73" s="1144">
        <f t="shared" ca="1" si="216"/>
        <v>0</v>
      </c>
      <c r="AT73" s="938">
        <f t="shared" ca="1" si="216"/>
        <v>0</v>
      </c>
      <c r="AU73" s="938">
        <f t="shared" ca="1" si="216"/>
        <v>0</v>
      </c>
      <c r="AV73" s="1144">
        <f t="shared" ca="1" si="216"/>
        <v>0</v>
      </c>
      <c r="AW73" s="1144">
        <f t="shared" ca="1" si="216"/>
        <v>0</v>
      </c>
      <c r="AX73" s="1144">
        <f t="shared" ca="1" si="216"/>
        <v>0</v>
      </c>
      <c r="AY73" s="1144">
        <f t="shared" ca="1" si="216"/>
        <v>0</v>
      </c>
      <c r="AZ73" s="1144">
        <f t="shared" ca="1" si="216"/>
        <v>0</v>
      </c>
      <c r="BA73" s="1144">
        <f t="shared" ca="1" si="216"/>
        <v>-5.9137146270047706E-3</v>
      </c>
      <c r="BB73" s="1144">
        <f t="shared" ca="1" si="216"/>
        <v>-0.289772017847376</v>
      </c>
      <c r="BC73" s="1144">
        <f t="shared" ca="1" si="216"/>
        <v>0</v>
      </c>
      <c r="BD73" s="921"/>
      <c r="BE73" s="918">
        <f t="shared" ca="1" si="202"/>
        <v>-0.29568573237218609</v>
      </c>
      <c r="BF73" s="918">
        <f t="shared" ca="1" si="202"/>
        <v>0</v>
      </c>
      <c r="BG73" s="918">
        <f t="shared" ca="1" si="202"/>
        <v>0</v>
      </c>
      <c r="BH73" s="918">
        <f t="shared" ca="1" si="202"/>
        <v>0</v>
      </c>
      <c r="BI73" s="938">
        <f t="shared" ca="1" si="202"/>
        <v>0</v>
      </c>
      <c r="BJ73" s="918">
        <f t="shared" ca="1" si="202"/>
        <v>0</v>
      </c>
      <c r="BK73" s="918">
        <f t="shared" ca="1" si="202"/>
        <v>0</v>
      </c>
      <c r="BL73" s="918">
        <f t="shared" ca="1" si="202"/>
        <v>0</v>
      </c>
      <c r="BM73" s="918">
        <f t="shared" ca="1" si="202"/>
        <v>-0.29568573237218609</v>
      </c>
      <c r="BN73" s="1144">
        <f t="shared" ca="1" si="202"/>
        <v>0</v>
      </c>
      <c r="BO73" s="918">
        <f t="shared" ca="1" si="202"/>
        <v>0</v>
      </c>
      <c r="BP73" s="921"/>
      <c r="BQ73" s="918">
        <f t="shared" ca="1" si="203"/>
        <v>0</v>
      </c>
      <c r="BR73" s="918">
        <f t="shared" ca="1" si="203"/>
        <v>-0.29568573237218609</v>
      </c>
      <c r="BS73" s="1144">
        <f t="shared" ca="1" si="203"/>
        <v>0</v>
      </c>
      <c r="BT73" s="918">
        <f t="shared" ca="1" si="203"/>
        <v>-5.9137146270047706E-3</v>
      </c>
      <c r="BU73" s="918">
        <f t="shared" ca="1" si="203"/>
        <v>0</v>
      </c>
      <c r="BV73" s="918">
        <f t="shared" ca="1" si="203"/>
        <v>-0.289772017847376</v>
      </c>
      <c r="BW73" s="1144">
        <f t="shared" ca="1" si="203"/>
        <v>0</v>
      </c>
      <c r="BX73" s="921"/>
      <c r="BY73" s="918">
        <f t="shared" ca="1" si="204"/>
        <v>-0.289772017847376</v>
      </c>
      <c r="BZ73" s="918">
        <f t="shared" ca="1" si="204"/>
        <v>0</v>
      </c>
      <c r="CA73" s="918">
        <f t="shared" ca="1" si="204"/>
        <v>0</v>
      </c>
      <c r="CB73" s="918">
        <f t="shared" ca="1" si="204"/>
        <v>-5.9137146270047706E-3</v>
      </c>
      <c r="CC73" s="918">
        <f t="shared" ca="1" si="204"/>
        <v>0</v>
      </c>
      <c r="CD73" s="918">
        <f t="shared" ca="1" si="204"/>
        <v>0</v>
      </c>
      <c r="CE73" s="918">
        <f t="shared" ca="1" si="204"/>
        <v>0</v>
      </c>
      <c r="CF73" s="918">
        <f t="shared" ca="1" si="204"/>
        <v>0</v>
      </c>
      <c r="CG73" s="921"/>
      <c r="CH73" s="918">
        <f t="shared" ca="1" si="205"/>
        <v>0</v>
      </c>
      <c r="CI73" s="918">
        <f t="shared" ca="1" si="205"/>
        <v>-0.29568573237218609</v>
      </c>
      <c r="CJ73" s="918">
        <f t="shared" ca="1" si="205"/>
        <v>0</v>
      </c>
      <c r="CK73" s="918" t="e">
        <f t="shared" ca="1" si="205"/>
        <v>#N/A</v>
      </c>
      <c r="CL73" s="918" t="e">
        <f t="shared" ca="1" si="205"/>
        <v>#N/A</v>
      </c>
      <c r="CM73" s="921"/>
      <c r="CN73" s="918">
        <f t="shared" ca="1" si="206"/>
        <v>0</v>
      </c>
      <c r="CO73" s="918" t="e">
        <f t="shared" ca="1" si="206"/>
        <v>#N/A</v>
      </c>
      <c r="CP73" s="918">
        <f t="shared" ca="1" si="206"/>
        <v>0</v>
      </c>
      <c r="CQ73" s="918">
        <f t="shared" ca="1" si="206"/>
        <v>0</v>
      </c>
      <c r="CR73" s="918">
        <f t="shared" ca="1" si="206"/>
        <v>0</v>
      </c>
      <c r="CS73" s="1144">
        <f t="shared" ca="1" si="206"/>
        <v>0</v>
      </c>
      <c r="CT73" s="921"/>
      <c r="CU73" s="918">
        <f t="shared" ca="1" si="207"/>
        <v>0</v>
      </c>
      <c r="CV73" s="918">
        <f t="shared" ca="1" si="207"/>
        <v>0</v>
      </c>
      <c r="CW73" s="918">
        <f t="shared" ca="1" si="207"/>
        <v>0</v>
      </c>
      <c r="CX73" s="918">
        <f t="shared" ca="1" si="207"/>
        <v>-5.9137146270047706E-3</v>
      </c>
      <c r="CY73" s="918">
        <f t="shared" ca="1" si="207"/>
        <v>0</v>
      </c>
      <c r="CZ73" s="1144" t="e">
        <f t="shared" ca="1" si="207"/>
        <v>#N/A</v>
      </c>
      <c r="DA73" s="1144" t="e">
        <f t="shared" ca="1" si="207"/>
        <v>#N/A</v>
      </c>
      <c r="DB73" s="918">
        <f t="shared" ca="1" si="207"/>
        <v>0</v>
      </c>
      <c r="DC73" s="938">
        <f t="shared" ca="1" si="207"/>
        <v>0</v>
      </c>
      <c r="DD73" s="918">
        <f t="shared" ca="1" si="207"/>
        <v>0</v>
      </c>
      <c r="DE73" s="918">
        <f t="shared" ca="1" si="207"/>
        <v>0</v>
      </c>
      <c r="DF73" s="918">
        <f t="shared" ca="1" si="207"/>
        <v>0</v>
      </c>
      <c r="DG73" s="918">
        <f t="shared" ca="1" si="207"/>
        <v>0</v>
      </c>
      <c r="DH73" s="918">
        <f t="shared" ca="1" si="207"/>
        <v>-5.9137146270047706E-3</v>
      </c>
      <c r="DI73" s="921"/>
      <c r="DJ73" s="1144">
        <f t="shared" ref="DJ73:DP84" ca="1" si="217">VLOOKUP(DJ$8,INDIRECT(LU_MAT),$B73,FALSE)*$D73/$C73</f>
        <v>-4.3803818134466529E-2</v>
      </c>
      <c r="DK73" s="1144">
        <f t="shared" ca="1" si="217"/>
        <v>-1.8251590885102937E-3</v>
      </c>
      <c r="DL73" s="1144">
        <f t="shared" ca="1" si="217"/>
        <v>0</v>
      </c>
      <c r="DM73" s="1144">
        <f t="shared" ca="1" si="217"/>
        <v>0</v>
      </c>
      <c r="DN73" s="1144" t="e">
        <f t="shared" ca="1" si="217"/>
        <v>#N/A</v>
      </c>
      <c r="DO73" s="1144">
        <f t="shared" ca="1" si="217"/>
        <v>-4.5628977187208659E-2</v>
      </c>
      <c r="DP73" s="1144" t="e">
        <f t="shared" ca="1" si="217"/>
        <v>#N/A</v>
      </c>
      <c r="DQ73" s="921"/>
      <c r="DR73" s="1144">
        <f t="shared" ca="1" si="208"/>
        <v>0</v>
      </c>
      <c r="DS73" s="1144">
        <f t="shared" ca="1" si="208"/>
        <v>0</v>
      </c>
      <c r="DT73" s="1144">
        <f t="shared" ca="1" si="208"/>
        <v>0</v>
      </c>
      <c r="DU73" s="1144" t="e">
        <f t="shared" ca="1" si="208"/>
        <v>#N/A</v>
      </c>
      <c r="DV73" s="920"/>
      <c r="DW73" s="921"/>
      <c r="DX73" s="918">
        <f t="shared" ca="1" si="209"/>
        <v>0</v>
      </c>
      <c r="DY73" s="918">
        <f t="shared" ca="1" si="209"/>
        <v>0</v>
      </c>
      <c r="DZ73" s="918">
        <f t="shared" ca="1" si="209"/>
        <v>0</v>
      </c>
      <c r="EA73" s="918" t="e">
        <f t="shared" ca="1" si="209"/>
        <v>#N/A</v>
      </c>
      <c r="EB73" s="920"/>
      <c r="EC73" s="921"/>
      <c r="ED73" s="1144">
        <f t="shared" ca="1" si="210"/>
        <v>0</v>
      </c>
      <c r="EE73" s="1144">
        <f t="shared" ca="1" si="210"/>
        <v>0</v>
      </c>
      <c r="EF73" s="1144" t="e">
        <f t="shared" ca="1" si="210"/>
        <v>#N/A</v>
      </c>
      <c r="EG73" s="1144" t="e">
        <f t="shared" ca="1" si="210"/>
        <v>#N/A</v>
      </c>
      <c r="EH73" s="920"/>
      <c r="EI73" s="921"/>
      <c r="EJ73" s="918">
        <f t="shared" ca="1" si="211"/>
        <v>0</v>
      </c>
      <c r="EK73" s="918">
        <f t="shared" ca="1" si="211"/>
        <v>0</v>
      </c>
      <c r="EL73" s="918">
        <f t="shared" ca="1" si="211"/>
        <v>0</v>
      </c>
      <c r="EM73" s="918">
        <f t="shared" ca="1" si="211"/>
        <v>0</v>
      </c>
      <c r="EN73" s="920"/>
      <c r="EO73" s="921"/>
      <c r="EP73" s="1144">
        <f t="shared" ca="1" si="212"/>
        <v>0</v>
      </c>
      <c r="EQ73" s="1144">
        <f t="shared" ca="1" si="212"/>
        <v>0</v>
      </c>
      <c r="ER73" s="1144">
        <f t="shared" ca="1" si="212"/>
        <v>0</v>
      </c>
      <c r="ES73" s="1144">
        <f t="shared" ca="1" si="212"/>
        <v>0</v>
      </c>
      <c r="ET73" s="920"/>
      <c r="EU73" s="921"/>
      <c r="EV73" s="1144">
        <f t="shared" ref="EV73:FA86" ca="1" si="218">VLOOKUP(EV$8,INDIRECT(LU_MAT),$B73,FALSE)*$D73/$C73</f>
        <v>0</v>
      </c>
      <c r="EW73" s="1144">
        <f t="shared" ca="1" si="218"/>
        <v>0</v>
      </c>
      <c r="EX73" s="921"/>
      <c r="EY73" s="1144">
        <f t="shared" ca="1" si="218"/>
        <v>0</v>
      </c>
      <c r="EZ73" s="1144">
        <f t="shared" ca="1" si="218"/>
        <v>0</v>
      </c>
      <c r="FA73" s="1144" t="e">
        <f t="shared" ca="1" si="218"/>
        <v>#N/A</v>
      </c>
      <c r="FB73" s="921"/>
      <c r="FC73" s="918">
        <f t="shared" ca="1" si="213"/>
        <v>0</v>
      </c>
      <c r="FD73" s="918">
        <f t="shared" ca="1" si="213"/>
        <v>0</v>
      </c>
      <c r="FE73" s="918">
        <f t="shared" ca="1" si="213"/>
        <v>0</v>
      </c>
      <c r="FF73" s="918">
        <f t="shared" ca="1" si="213"/>
        <v>0</v>
      </c>
      <c r="FG73" s="918">
        <f t="shared" ca="1" si="213"/>
        <v>0</v>
      </c>
      <c r="FH73" s="918">
        <f t="shared" ca="1" si="213"/>
        <v>0</v>
      </c>
      <c r="FI73" s="918">
        <f t="shared" ca="1" si="213"/>
        <v>0</v>
      </c>
      <c r="FJ73" s="918">
        <f t="shared" ca="1" si="213"/>
        <v>0</v>
      </c>
      <c r="FK73" s="918">
        <f t="shared" ca="1" si="213"/>
        <v>0</v>
      </c>
      <c r="FL73" s="918">
        <f t="shared" ca="1" si="213"/>
        <v>0</v>
      </c>
      <c r="FM73" s="918" t="e">
        <f t="shared" ca="1" si="214"/>
        <v>#N/A</v>
      </c>
      <c r="FN73" s="1144">
        <f t="shared" ca="1" si="214"/>
        <v>0</v>
      </c>
      <c r="FO73" s="1144">
        <f t="shared" ca="1" si="214"/>
        <v>0</v>
      </c>
      <c r="FP73" s="918">
        <f t="shared" ca="1" si="214"/>
        <v>0</v>
      </c>
      <c r="FQ73" s="918">
        <f t="shared" ca="1" si="214"/>
        <v>0</v>
      </c>
      <c r="FR73" s="918">
        <f t="shared" ca="1" si="214"/>
        <v>0</v>
      </c>
      <c r="FS73" s="918">
        <f t="shared" ca="1" si="214"/>
        <v>0</v>
      </c>
      <c r="FT73" s="918">
        <f t="shared" ca="1" si="214"/>
        <v>0</v>
      </c>
      <c r="FU73" s="918" t="e">
        <f t="shared" ca="1" si="214"/>
        <v>#N/A</v>
      </c>
      <c r="FV73" s="1144" t="e">
        <f t="shared" ca="1" si="214"/>
        <v>#N/A</v>
      </c>
      <c r="FW73" s="918">
        <f t="shared" ca="1" si="214"/>
        <v>0</v>
      </c>
      <c r="FX73" s="918">
        <f t="shared" ca="1" si="214"/>
        <v>0</v>
      </c>
      <c r="FY73" s="918">
        <f t="shared" ca="1" si="214"/>
        <v>0</v>
      </c>
      <c r="FZ73" s="918">
        <f t="shared" ca="1" si="214"/>
        <v>0</v>
      </c>
      <c r="GA73" s="1144" t="e">
        <f t="shared" ca="1" si="214"/>
        <v>#N/A</v>
      </c>
      <c r="GB73" s="918">
        <f t="shared" ca="1" si="214"/>
        <v>0</v>
      </c>
      <c r="GC73" s="920"/>
      <c r="GD73" s="918">
        <f t="shared" ca="1" si="215"/>
        <v>0</v>
      </c>
      <c r="GE73" s="918">
        <f t="shared" ca="1" si="215"/>
        <v>0</v>
      </c>
      <c r="GF73" s="918">
        <f t="shared" ca="1" si="215"/>
        <v>0</v>
      </c>
      <c r="GG73" s="918">
        <f t="shared" ca="1" si="215"/>
        <v>0</v>
      </c>
      <c r="GH73" s="918" t="e">
        <f t="shared" ca="1" si="215"/>
        <v>#N/A</v>
      </c>
      <c r="GI73" s="1144" t="e">
        <f t="shared" ca="1" si="215"/>
        <v>#N/A</v>
      </c>
      <c r="GJ73" s="918">
        <f t="shared" ca="1" si="215"/>
        <v>0</v>
      </c>
      <c r="GK73" s="918">
        <f t="shared" ca="1" si="215"/>
        <v>0</v>
      </c>
      <c r="GL73" s="918">
        <f t="shared" ca="1" si="215"/>
        <v>0</v>
      </c>
      <c r="GM73" s="918">
        <f t="shared" ca="1" si="215"/>
        <v>0</v>
      </c>
      <c r="GN73" s="918">
        <f t="shared" ca="1" si="215"/>
        <v>0</v>
      </c>
      <c r="GO73" s="918" t="e">
        <f t="shared" ca="1" si="215"/>
        <v>#N/A</v>
      </c>
      <c r="GP73" s="915"/>
      <c r="GR73" s="946"/>
      <c r="GS73" s="946"/>
      <c r="GU73" s="946"/>
      <c r="GV73" s="946"/>
      <c r="GW73" s="946"/>
      <c r="GX73" s="1143"/>
      <c r="GY73" s="946"/>
    </row>
    <row r="74" spans="1:207" s="914" customFormat="1" x14ac:dyDescent="0.3">
      <c r="A74" s="1139" t="s">
        <v>1548</v>
      </c>
      <c r="B74" s="974">
        <v>140</v>
      </c>
      <c r="C74" s="973">
        <v>23.237568800000002</v>
      </c>
      <c r="D74" s="1006">
        <v>-0.11839653673503728</v>
      </c>
      <c r="E74" s="972" t="s">
        <v>982</v>
      </c>
      <c r="F74" s="936">
        <f t="shared" ca="1" si="198"/>
        <v>0</v>
      </c>
      <c r="G74" s="918">
        <f t="shared" ca="1" si="198"/>
        <v>0</v>
      </c>
      <c r="H74" s="918">
        <f t="shared" ca="1" si="198"/>
        <v>0</v>
      </c>
      <c r="I74" s="918">
        <f t="shared" ca="1" si="198"/>
        <v>0</v>
      </c>
      <c r="J74" s="918">
        <f t="shared" ca="1" si="198"/>
        <v>0</v>
      </c>
      <c r="K74" s="1144">
        <f t="shared" ca="1" si="198"/>
        <v>0</v>
      </c>
      <c r="L74" s="918">
        <f t="shared" ca="1" si="198"/>
        <v>0</v>
      </c>
      <c r="M74" s="918">
        <f t="shared" ca="1" si="198"/>
        <v>0</v>
      </c>
      <c r="N74" s="938">
        <f t="shared" ca="1" si="198"/>
        <v>0</v>
      </c>
      <c r="O74" s="918">
        <f t="shared" ca="1" si="198"/>
        <v>0</v>
      </c>
      <c r="P74" s="939">
        <f t="shared" ca="1" si="198"/>
        <v>0</v>
      </c>
      <c r="Q74" s="921"/>
      <c r="R74" s="918">
        <f t="shared" ca="1" si="199"/>
        <v>0</v>
      </c>
      <c r="S74" s="918">
        <f t="shared" ca="1" si="199"/>
        <v>0</v>
      </c>
      <c r="T74" s="918">
        <f t="shared" ca="1" si="199"/>
        <v>0</v>
      </c>
      <c r="U74" s="918">
        <f t="shared" ca="1" si="199"/>
        <v>0</v>
      </c>
      <c r="V74" s="918">
        <f t="shared" ca="1" si="199"/>
        <v>0</v>
      </c>
      <c r="W74" s="918">
        <f t="shared" ca="1" si="199"/>
        <v>0</v>
      </c>
      <c r="X74" s="938">
        <f t="shared" ca="1" si="199"/>
        <v>0</v>
      </c>
      <c r="Y74" s="918">
        <f t="shared" ca="1" si="199"/>
        <v>0</v>
      </c>
      <c r="Z74" s="918">
        <f t="shared" ca="1" si="199"/>
        <v>0</v>
      </c>
      <c r="AA74" s="918">
        <f t="shared" ca="1" si="199"/>
        <v>0</v>
      </c>
      <c r="AB74" s="921"/>
      <c r="AC74" s="918">
        <f t="shared" ca="1" si="200"/>
        <v>0</v>
      </c>
      <c r="AD74" s="918">
        <f t="shared" ca="1" si="200"/>
        <v>0</v>
      </c>
      <c r="AE74" s="918">
        <f t="shared" ca="1" si="200"/>
        <v>0</v>
      </c>
      <c r="AF74" s="918">
        <f t="shared" ca="1" si="200"/>
        <v>0</v>
      </c>
      <c r="AG74" s="918">
        <f t="shared" ca="1" si="200"/>
        <v>0</v>
      </c>
      <c r="AH74" s="918">
        <f t="shared" ca="1" si="200"/>
        <v>0</v>
      </c>
      <c r="AI74" s="918">
        <f t="shared" ca="1" si="200"/>
        <v>0</v>
      </c>
      <c r="AJ74" s="918">
        <f t="shared" ca="1" si="200"/>
        <v>0</v>
      </c>
      <c r="AK74" s="938">
        <f t="shared" ca="1" si="200"/>
        <v>0</v>
      </c>
      <c r="AL74" s="918">
        <f t="shared" ca="1" si="200"/>
        <v>0</v>
      </c>
      <c r="AM74" s="918">
        <f t="shared" ca="1" si="200"/>
        <v>0</v>
      </c>
      <c r="AN74" s="918">
        <f t="shared" ca="1" si="200"/>
        <v>0</v>
      </c>
      <c r="AO74" s="921"/>
      <c r="AP74" s="1144">
        <f t="shared" ca="1" si="216"/>
        <v>0</v>
      </c>
      <c r="AQ74" s="1144">
        <f t="shared" ca="1" si="216"/>
        <v>0</v>
      </c>
      <c r="AR74" s="1144">
        <f t="shared" ca="1" si="216"/>
        <v>0</v>
      </c>
      <c r="AS74" s="1144">
        <f t="shared" ca="1" si="216"/>
        <v>0</v>
      </c>
      <c r="AT74" s="938">
        <f t="shared" ca="1" si="216"/>
        <v>0</v>
      </c>
      <c r="AU74" s="938">
        <f t="shared" ca="1" si="216"/>
        <v>0</v>
      </c>
      <c r="AV74" s="1144">
        <f t="shared" ca="1" si="216"/>
        <v>0</v>
      </c>
      <c r="AW74" s="1144">
        <f t="shared" ca="1" si="216"/>
        <v>0</v>
      </c>
      <c r="AX74" s="1144">
        <f t="shared" ca="1" si="216"/>
        <v>0</v>
      </c>
      <c r="AY74" s="1144">
        <f t="shared" ca="1" si="216"/>
        <v>0</v>
      </c>
      <c r="AZ74" s="1144">
        <f t="shared" ca="1" si="216"/>
        <v>0</v>
      </c>
      <c r="BA74" s="1144">
        <f t="shared" ca="1" si="216"/>
        <v>0</v>
      </c>
      <c r="BB74" s="1144">
        <f t="shared" ca="1" si="216"/>
        <v>0</v>
      </c>
      <c r="BC74" s="1144">
        <f t="shared" ca="1" si="216"/>
        <v>0</v>
      </c>
      <c r="BD74" s="921"/>
      <c r="BE74" s="918">
        <f t="shared" ca="1" si="202"/>
        <v>0</v>
      </c>
      <c r="BF74" s="918">
        <f t="shared" ca="1" si="202"/>
        <v>0</v>
      </c>
      <c r="BG74" s="918">
        <f t="shared" ca="1" si="202"/>
        <v>0</v>
      </c>
      <c r="BH74" s="918">
        <f t="shared" ca="1" si="202"/>
        <v>0</v>
      </c>
      <c r="BI74" s="938">
        <f t="shared" ca="1" si="202"/>
        <v>0</v>
      </c>
      <c r="BJ74" s="918">
        <f t="shared" ca="1" si="202"/>
        <v>0</v>
      </c>
      <c r="BK74" s="918">
        <f t="shared" ca="1" si="202"/>
        <v>0</v>
      </c>
      <c r="BL74" s="918">
        <f t="shared" ca="1" si="202"/>
        <v>0</v>
      </c>
      <c r="BM74" s="918">
        <f t="shared" ca="1" si="202"/>
        <v>0</v>
      </c>
      <c r="BN74" s="1144">
        <f t="shared" ca="1" si="202"/>
        <v>0</v>
      </c>
      <c r="BO74" s="918">
        <f t="shared" ca="1" si="202"/>
        <v>0</v>
      </c>
      <c r="BP74" s="921"/>
      <c r="BQ74" s="918">
        <f t="shared" ca="1" si="203"/>
        <v>0</v>
      </c>
      <c r="BR74" s="918">
        <f t="shared" ca="1" si="203"/>
        <v>0</v>
      </c>
      <c r="BS74" s="1144">
        <f t="shared" ca="1" si="203"/>
        <v>0</v>
      </c>
      <c r="BT74" s="918">
        <f t="shared" ca="1" si="203"/>
        <v>0</v>
      </c>
      <c r="BU74" s="918">
        <f t="shared" ca="1" si="203"/>
        <v>0</v>
      </c>
      <c r="BV74" s="918">
        <f t="shared" ca="1" si="203"/>
        <v>0</v>
      </c>
      <c r="BW74" s="1144">
        <f t="shared" ca="1" si="203"/>
        <v>0</v>
      </c>
      <c r="BX74" s="921"/>
      <c r="BY74" s="918">
        <f t="shared" ca="1" si="204"/>
        <v>0</v>
      </c>
      <c r="BZ74" s="918">
        <f t="shared" ca="1" si="204"/>
        <v>0</v>
      </c>
      <c r="CA74" s="918">
        <f t="shared" ca="1" si="204"/>
        <v>0</v>
      </c>
      <c r="CB74" s="918">
        <f t="shared" ca="1" si="204"/>
        <v>-7.6661469166389722</v>
      </c>
      <c r="CC74" s="918">
        <f t="shared" ca="1" si="204"/>
        <v>0</v>
      </c>
      <c r="CD74" s="918">
        <f t="shared" ca="1" si="204"/>
        <v>0</v>
      </c>
      <c r="CE74" s="918">
        <f t="shared" ca="1" si="204"/>
        <v>0</v>
      </c>
      <c r="CF74" s="918">
        <f t="shared" ca="1" si="204"/>
        <v>0</v>
      </c>
      <c r="CG74" s="921"/>
      <c r="CH74" s="918">
        <f t="shared" ca="1" si="205"/>
        <v>0</v>
      </c>
      <c r="CI74" s="918">
        <f t="shared" ca="1" si="205"/>
        <v>-7.6661469166389722</v>
      </c>
      <c r="CJ74" s="918">
        <f t="shared" ca="1" si="205"/>
        <v>0</v>
      </c>
      <c r="CK74" s="918" t="e">
        <f t="shared" ca="1" si="205"/>
        <v>#N/A</v>
      </c>
      <c r="CL74" s="918" t="e">
        <f t="shared" ca="1" si="205"/>
        <v>#N/A</v>
      </c>
      <c r="CM74" s="921"/>
      <c r="CN74" s="918">
        <f t="shared" ca="1" si="206"/>
        <v>0</v>
      </c>
      <c r="CO74" s="918" t="e">
        <f t="shared" ca="1" si="206"/>
        <v>#N/A</v>
      </c>
      <c r="CP74" s="918">
        <f t="shared" ca="1" si="206"/>
        <v>0</v>
      </c>
      <c r="CQ74" s="918">
        <f t="shared" ca="1" si="206"/>
        <v>0</v>
      </c>
      <c r="CR74" s="918">
        <f t="shared" ca="1" si="206"/>
        <v>0</v>
      </c>
      <c r="CS74" s="1144">
        <f t="shared" ca="1" si="206"/>
        <v>0</v>
      </c>
      <c r="CT74" s="921"/>
      <c r="CU74" s="918">
        <f t="shared" ca="1" si="207"/>
        <v>0</v>
      </c>
      <c r="CV74" s="918">
        <f t="shared" ca="1" si="207"/>
        <v>0</v>
      </c>
      <c r="CW74" s="918">
        <f t="shared" ca="1" si="207"/>
        <v>0</v>
      </c>
      <c r="CX74" s="918">
        <f t="shared" ca="1" si="207"/>
        <v>0</v>
      </c>
      <c r="CY74" s="918">
        <f t="shared" ca="1" si="207"/>
        <v>0</v>
      </c>
      <c r="CZ74" s="1144" t="e">
        <f t="shared" ca="1" si="207"/>
        <v>#N/A</v>
      </c>
      <c r="DA74" s="1144" t="e">
        <f t="shared" ca="1" si="207"/>
        <v>#N/A</v>
      </c>
      <c r="DB74" s="918">
        <f t="shared" ca="1" si="207"/>
        <v>0</v>
      </c>
      <c r="DC74" s="938">
        <f t="shared" ca="1" si="207"/>
        <v>0</v>
      </c>
      <c r="DD74" s="918">
        <f t="shared" ca="1" si="207"/>
        <v>0</v>
      </c>
      <c r="DE74" s="918">
        <f t="shared" ca="1" si="207"/>
        <v>0</v>
      </c>
      <c r="DF74" s="918">
        <f t="shared" ca="1" si="207"/>
        <v>0</v>
      </c>
      <c r="DG74" s="918">
        <f t="shared" ca="1" si="207"/>
        <v>0</v>
      </c>
      <c r="DH74" s="918">
        <f t="shared" ca="1" si="207"/>
        <v>-7.6661469166389722</v>
      </c>
      <c r="DI74" s="921"/>
      <c r="DJ74" s="1144">
        <f t="shared" ca="1" si="217"/>
        <v>-96.027215029275951</v>
      </c>
      <c r="DK74" s="1144">
        <f t="shared" ca="1" si="217"/>
        <v>-1.8033934512042742</v>
      </c>
      <c r="DL74" s="1144">
        <f t="shared" ca="1" si="217"/>
        <v>0</v>
      </c>
      <c r="DM74" s="1144">
        <f t="shared" ca="1" si="217"/>
        <v>0</v>
      </c>
      <c r="DN74" s="1144" t="e">
        <f t="shared" ca="1" si="217"/>
        <v>#N/A</v>
      </c>
      <c r="DO74" s="1144">
        <f t="shared" ca="1" si="217"/>
        <v>-100.02834835194808</v>
      </c>
      <c r="DP74" s="1144" t="e">
        <f t="shared" ca="1" si="217"/>
        <v>#N/A</v>
      </c>
      <c r="DQ74" s="921"/>
      <c r="DR74" s="1144">
        <f t="shared" ca="1" si="208"/>
        <v>0</v>
      </c>
      <c r="DS74" s="1144">
        <f t="shared" ca="1" si="208"/>
        <v>0</v>
      </c>
      <c r="DT74" s="1144">
        <f t="shared" ca="1" si="208"/>
        <v>0</v>
      </c>
      <c r="DU74" s="1144" t="e">
        <f t="shared" ca="1" si="208"/>
        <v>#N/A</v>
      </c>
      <c r="DV74" s="920"/>
      <c r="DW74" s="921"/>
      <c r="DX74" s="918">
        <f t="shared" ca="1" si="209"/>
        <v>0</v>
      </c>
      <c r="DY74" s="918">
        <f t="shared" ca="1" si="209"/>
        <v>0</v>
      </c>
      <c r="DZ74" s="918">
        <f t="shared" ca="1" si="209"/>
        <v>0</v>
      </c>
      <c r="EA74" s="918" t="e">
        <f t="shared" ca="1" si="209"/>
        <v>#N/A</v>
      </c>
      <c r="EB74" s="920"/>
      <c r="EC74" s="921"/>
      <c r="ED74" s="1144">
        <f t="shared" ca="1" si="210"/>
        <v>0</v>
      </c>
      <c r="EE74" s="1144">
        <f t="shared" ca="1" si="210"/>
        <v>-5.4684064184801784</v>
      </c>
      <c r="EF74" s="1144" t="e">
        <f t="shared" ca="1" si="210"/>
        <v>#N/A</v>
      </c>
      <c r="EG74" s="1144" t="e">
        <f t="shared" ca="1" si="210"/>
        <v>#N/A</v>
      </c>
      <c r="EH74" s="920"/>
      <c r="EI74" s="921"/>
      <c r="EJ74" s="918">
        <f t="shared" ca="1" si="211"/>
        <v>0</v>
      </c>
      <c r="EK74" s="918">
        <f t="shared" ca="1" si="211"/>
        <v>0</v>
      </c>
      <c r="EL74" s="918">
        <f t="shared" ca="1" si="211"/>
        <v>0</v>
      </c>
      <c r="EM74" s="918">
        <f t="shared" ca="1" si="211"/>
        <v>0</v>
      </c>
      <c r="EN74" s="920"/>
      <c r="EO74" s="921"/>
      <c r="EP74" s="1144">
        <f t="shared" ca="1" si="212"/>
        <v>0</v>
      </c>
      <c r="EQ74" s="1144">
        <f t="shared" ca="1" si="212"/>
        <v>0</v>
      </c>
      <c r="ER74" s="1144">
        <f t="shared" ca="1" si="212"/>
        <v>0</v>
      </c>
      <c r="ES74" s="1144">
        <f t="shared" ca="1" si="212"/>
        <v>0</v>
      </c>
      <c r="ET74" s="920"/>
      <c r="EU74" s="921"/>
      <c r="EV74" s="1144">
        <f t="shared" ca="1" si="218"/>
        <v>0</v>
      </c>
      <c r="EW74" s="1144">
        <f t="shared" ca="1" si="218"/>
        <v>0</v>
      </c>
      <c r="EX74" s="921"/>
      <c r="EY74" s="1144">
        <f t="shared" ca="1" si="218"/>
        <v>0</v>
      </c>
      <c r="EZ74" s="1144">
        <f t="shared" ca="1" si="218"/>
        <v>0</v>
      </c>
      <c r="FA74" s="1144" t="e">
        <f t="shared" ca="1" si="218"/>
        <v>#N/A</v>
      </c>
      <c r="FB74" s="921"/>
      <c r="FC74" s="918">
        <f t="shared" ca="1" si="213"/>
        <v>0</v>
      </c>
      <c r="FD74" s="918">
        <f t="shared" ca="1" si="213"/>
        <v>0</v>
      </c>
      <c r="FE74" s="918">
        <f t="shared" ca="1" si="213"/>
        <v>0</v>
      </c>
      <c r="FF74" s="918">
        <f t="shared" ca="1" si="213"/>
        <v>0</v>
      </c>
      <c r="FG74" s="918">
        <f t="shared" ca="1" si="213"/>
        <v>0</v>
      </c>
      <c r="FH74" s="918">
        <f t="shared" ca="1" si="213"/>
        <v>0</v>
      </c>
      <c r="FI74" s="918">
        <f t="shared" ca="1" si="213"/>
        <v>0</v>
      </c>
      <c r="FJ74" s="918">
        <f t="shared" ca="1" si="213"/>
        <v>0</v>
      </c>
      <c r="FK74" s="918">
        <f t="shared" ca="1" si="213"/>
        <v>0</v>
      </c>
      <c r="FL74" s="918">
        <f t="shared" ca="1" si="213"/>
        <v>0</v>
      </c>
      <c r="FM74" s="918" t="e">
        <f t="shared" ca="1" si="214"/>
        <v>#N/A</v>
      </c>
      <c r="FN74" s="1144">
        <f t="shared" ca="1" si="214"/>
        <v>0</v>
      </c>
      <c r="FO74" s="1144">
        <f t="shared" ca="1" si="214"/>
        <v>0</v>
      </c>
      <c r="FP74" s="918">
        <f t="shared" ca="1" si="214"/>
        <v>0</v>
      </c>
      <c r="FQ74" s="918">
        <f t="shared" ca="1" si="214"/>
        <v>0</v>
      </c>
      <c r="FR74" s="918">
        <f t="shared" ca="1" si="214"/>
        <v>0</v>
      </c>
      <c r="FS74" s="918">
        <f t="shared" ca="1" si="214"/>
        <v>0</v>
      </c>
      <c r="FT74" s="918">
        <f t="shared" ca="1" si="214"/>
        <v>0</v>
      </c>
      <c r="FU74" s="918" t="e">
        <f t="shared" ca="1" si="214"/>
        <v>#N/A</v>
      </c>
      <c r="FV74" s="1144" t="e">
        <f t="shared" ca="1" si="214"/>
        <v>#N/A</v>
      </c>
      <c r="FW74" s="918">
        <f t="shared" ca="1" si="214"/>
        <v>0</v>
      </c>
      <c r="FX74" s="918">
        <f t="shared" ca="1" si="214"/>
        <v>0</v>
      </c>
      <c r="FY74" s="918">
        <f t="shared" ca="1" si="214"/>
        <v>0</v>
      </c>
      <c r="FZ74" s="918">
        <f t="shared" ca="1" si="214"/>
        <v>0</v>
      </c>
      <c r="GA74" s="1144" t="e">
        <f t="shared" ca="1" si="214"/>
        <v>#N/A</v>
      </c>
      <c r="GB74" s="918">
        <f t="shared" ca="1" si="214"/>
        <v>0</v>
      </c>
      <c r="GC74" s="920"/>
      <c r="GD74" s="918">
        <f t="shared" ca="1" si="215"/>
        <v>0</v>
      </c>
      <c r="GE74" s="918">
        <f t="shared" ca="1" si="215"/>
        <v>0</v>
      </c>
      <c r="GF74" s="918">
        <f t="shared" ca="1" si="215"/>
        <v>0</v>
      </c>
      <c r="GG74" s="918">
        <f t="shared" ca="1" si="215"/>
        <v>0</v>
      </c>
      <c r="GH74" s="918" t="e">
        <f t="shared" ca="1" si="215"/>
        <v>#N/A</v>
      </c>
      <c r="GI74" s="1144" t="e">
        <f t="shared" ca="1" si="215"/>
        <v>#N/A</v>
      </c>
      <c r="GJ74" s="918">
        <f t="shared" ca="1" si="215"/>
        <v>0</v>
      </c>
      <c r="GK74" s="918">
        <f t="shared" ca="1" si="215"/>
        <v>0</v>
      </c>
      <c r="GL74" s="918">
        <f t="shared" ca="1" si="215"/>
        <v>0</v>
      </c>
      <c r="GM74" s="918">
        <f t="shared" ca="1" si="215"/>
        <v>0</v>
      </c>
      <c r="GN74" s="918">
        <f t="shared" ca="1" si="215"/>
        <v>0</v>
      </c>
      <c r="GO74" s="918" t="e">
        <f t="shared" ca="1" si="215"/>
        <v>#N/A</v>
      </c>
      <c r="GP74" s="915"/>
      <c r="GR74" s="946"/>
      <c r="GS74" s="946"/>
      <c r="GU74" s="946"/>
      <c r="GV74" s="946"/>
      <c r="GW74" s="946"/>
      <c r="GX74" s="1143"/>
      <c r="GY74" s="946"/>
    </row>
    <row r="75" spans="1:207" s="914" customFormat="1" x14ac:dyDescent="0.3">
      <c r="A75" s="1139" t="s">
        <v>2646</v>
      </c>
      <c r="B75" s="974">
        <v>134</v>
      </c>
      <c r="C75" s="973">
        <v>22.839600000000001</v>
      </c>
      <c r="D75" s="1006">
        <v>-0.12220488302725781</v>
      </c>
      <c r="E75" s="972" t="s">
        <v>982</v>
      </c>
      <c r="F75" s="936">
        <f t="shared" ca="1" si="198"/>
        <v>-13.820672308789939</v>
      </c>
      <c r="G75" s="918">
        <f t="shared" ca="1" si="198"/>
        <v>0</v>
      </c>
      <c r="H75" s="918">
        <f t="shared" ca="1" si="198"/>
        <v>0</v>
      </c>
      <c r="I75" s="918">
        <f t="shared" ca="1" si="198"/>
        <v>0</v>
      </c>
      <c r="J75" s="918">
        <f t="shared" ca="1" si="198"/>
        <v>0</v>
      </c>
      <c r="K75" s="1144">
        <f t="shared" ca="1" si="198"/>
        <v>0</v>
      </c>
      <c r="L75" s="918">
        <f t="shared" ca="1" si="198"/>
        <v>0</v>
      </c>
      <c r="M75" s="918">
        <f t="shared" ca="1" si="198"/>
        <v>0</v>
      </c>
      <c r="N75" s="938">
        <f t="shared" ca="1" si="198"/>
        <v>0</v>
      </c>
      <c r="O75" s="918">
        <f t="shared" ca="1" si="198"/>
        <v>0</v>
      </c>
      <c r="P75" s="939">
        <f t="shared" ca="1" si="198"/>
        <v>-13.820672308789939</v>
      </c>
      <c r="Q75" s="921"/>
      <c r="R75" s="918">
        <f t="shared" ca="1" si="199"/>
        <v>-13.820672308789939</v>
      </c>
      <c r="S75" s="918">
        <f t="shared" ca="1" si="199"/>
        <v>-0.22003503004313602</v>
      </c>
      <c r="T75" s="918">
        <f t="shared" ca="1" si="199"/>
        <v>0</v>
      </c>
      <c r="U75" s="918">
        <f t="shared" ca="1" si="199"/>
        <v>-0.28195470213170587</v>
      </c>
      <c r="V75" s="918">
        <f t="shared" ca="1" si="199"/>
        <v>0</v>
      </c>
      <c r="W75" s="918">
        <f t="shared" ca="1" si="199"/>
        <v>-1.2687961574524487</v>
      </c>
      <c r="X75" s="938">
        <f t="shared" ca="1" si="199"/>
        <v>0</v>
      </c>
      <c r="Y75" s="918">
        <f t="shared" ca="1" si="199"/>
        <v>-15.335340505677223</v>
      </c>
      <c r="Z75" s="918">
        <f t="shared" ca="1" si="199"/>
        <v>0</v>
      </c>
      <c r="AA75" s="918">
        <f t="shared" ca="1" si="199"/>
        <v>0</v>
      </c>
      <c r="AB75" s="921"/>
      <c r="AC75" s="918">
        <f t="shared" ca="1" si="200"/>
        <v>-1.0514159257086261E-2</v>
      </c>
      <c r="AD75" s="918">
        <f t="shared" ca="1" si="200"/>
        <v>0</v>
      </c>
      <c r="AE75" s="918">
        <f t="shared" ca="1" si="200"/>
        <v>0</v>
      </c>
      <c r="AF75" s="918">
        <f t="shared" ca="1" si="200"/>
        <v>-0.20951851107758229</v>
      </c>
      <c r="AG75" s="918">
        <f t="shared" ca="1" si="200"/>
        <v>0</v>
      </c>
      <c r="AH75" s="918">
        <f t="shared" ca="1" si="200"/>
        <v>0</v>
      </c>
      <c r="AI75" s="918">
        <f t="shared" ca="1" si="200"/>
        <v>0</v>
      </c>
      <c r="AJ75" s="918">
        <f t="shared" ca="1" si="200"/>
        <v>0</v>
      </c>
      <c r="AK75" s="938">
        <f t="shared" ca="1" si="200"/>
        <v>0</v>
      </c>
      <c r="AL75" s="918">
        <f t="shared" ca="1" si="200"/>
        <v>-0.22003503004313602</v>
      </c>
      <c r="AM75" s="918">
        <f t="shared" ca="1" si="200"/>
        <v>0</v>
      </c>
      <c r="AN75" s="918">
        <f t="shared" ca="1" si="200"/>
        <v>0</v>
      </c>
      <c r="AO75" s="921"/>
      <c r="AP75" s="1144">
        <f t="shared" ca="1" si="216"/>
        <v>-15.335340505677223</v>
      </c>
      <c r="AQ75" s="1144">
        <f t="shared" ca="1" si="216"/>
        <v>0</v>
      </c>
      <c r="AR75" s="1144">
        <f t="shared" ca="1" si="216"/>
        <v>0</v>
      </c>
      <c r="AS75" s="1144">
        <f t="shared" ca="1" si="216"/>
        <v>0</v>
      </c>
      <c r="AT75" s="938">
        <f t="shared" ca="1" si="216"/>
        <v>0</v>
      </c>
      <c r="AU75" s="938">
        <f t="shared" ca="1" si="216"/>
        <v>0</v>
      </c>
      <c r="AV75" s="1144">
        <f t="shared" ca="1" si="216"/>
        <v>0</v>
      </c>
      <c r="AW75" s="1144">
        <f t="shared" ca="1" si="216"/>
        <v>0</v>
      </c>
      <c r="AX75" s="1144">
        <f t="shared" ca="1" si="216"/>
        <v>0</v>
      </c>
      <c r="AY75" s="1144">
        <f t="shared" ca="1" si="216"/>
        <v>0</v>
      </c>
      <c r="AZ75" s="1144">
        <f t="shared" ca="1" si="216"/>
        <v>0</v>
      </c>
      <c r="BA75" s="1144">
        <f t="shared" ca="1" si="216"/>
        <v>-0.30670681011354445</v>
      </c>
      <c r="BB75" s="1144">
        <f t="shared" ca="1" si="216"/>
        <v>-15.028633676301627</v>
      </c>
      <c r="BC75" s="1144">
        <f t="shared" ca="1" si="216"/>
        <v>0</v>
      </c>
      <c r="BD75" s="921"/>
      <c r="BE75" s="918">
        <f t="shared" ca="1" si="202"/>
        <v>-15.335340505677223</v>
      </c>
      <c r="BF75" s="918">
        <f t="shared" ca="1" si="202"/>
        <v>0</v>
      </c>
      <c r="BG75" s="918">
        <f t="shared" ca="1" si="202"/>
        <v>0</v>
      </c>
      <c r="BH75" s="918">
        <f t="shared" ca="1" si="202"/>
        <v>0</v>
      </c>
      <c r="BI75" s="938">
        <f t="shared" ca="1" si="202"/>
        <v>0</v>
      </c>
      <c r="BJ75" s="918">
        <f t="shared" ca="1" si="202"/>
        <v>0</v>
      </c>
      <c r="BK75" s="918">
        <f t="shared" ca="1" si="202"/>
        <v>0</v>
      </c>
      <c r="BL75" s="918">
        <f t="shared" ca="1" si="202"/>
        <v>0</v>
      </c>
      <c r="BM75" s="918">
        <f t="shared" ca="1" si="202"/>
        <v>-15.335340505677223</v>
      </c>
      <c r="BN75" s="1144">
        <f t="shared" ca="1" si="202"/>
        <v>0</v>
      </c>
      <c r="BO75" s="918">
        <f t="shared" ca="1" si="202"/>
        <v>0</v>
      </c>
      <c r="BP75" s="921"/>
      <c r="BQ75" s="918">
        <f t="shared" ca="1" si="203"/>
        <v>0</v>
      </c>
      <c r="BR75" s="918">
        <f t="shared" ca="1" si="203"/>
        <v>-15.335340505677223</v>
      </c>
      <c r="BS75" s="1144">
        <f t="shared" ca="1" si="203"/>
        <v>0</v>
      </c>
      <c r="BT75" s="918">
        <f t="shared" ca="1" si="203"/>
        <v>-0.30670681011354445</v>
      </c>
      <c r="BU75" s="918">
        <f t="shared" ca="1" si="203"/>
        <v>0</v>
      </c>
      <c r="BV75" s="918">
        <f t="shared" ca="1" si="203"/>
        <v>-15.028633676301627</v>
      </c>
      <c r="BW75" s="1144">
        <f t="shared" ca="1" si="203"/>
        <v>0</v>
      </c>
      <c r="BX75" s="921"/>
      <c r="BY75" s="918">
        <f t="shared" ca="1" si="204"/>
        <v>-15.028633676301627</v>
      </c>
      <c r="BZ75" s="918">
        <f t="shared" ca="1" si="204"/>
        <v>0</v>
      </c>
      <c r="CA75" s="918">
        <f t="shared" ca="1" si="204"/>
        <v>0</v>
      </c>
      <c r="CB75" s="918">
        <f t="shared" ca="1" si="204"/>
        <v>-0.21692253166302478</v>
      </c>
      <c r="CC75" s="918">
        <f t="shared" ca="1" si="204"/>
        <v>0</v>
      </c>
      <c r="CD75" s="918">
        <f t="shared" ca="1" si="204"/>
        <v>0</v>
      </c>
      <c r="CE75" s="918">
        <f t="shared" ca="1" si="204"/>
        <v>0</v>
      </c>
      <c r="CF75" s="918">
        <f t="shared" ca="1" si="204"/>
        <v>0</v>
      </c>
      <c r="CG75" s="921"/>
      <c r="CH75" s="918">
        <f t="shared" ca="1" si="205"/>
        <v>0</v>
      </c>
      <c r="CI75" s="918">
        <f t="shared" ca="1" si="205"/>
        <v>-15.245556225621533</v>
      </c>
      <c r="CJ75" s="918">
        <f t="shared" ca="1" si="205"/>
        <v>0</v>
      </c>
      <c r="CK75" s="918" t="e">
        <f t="shared" ca="1" si="205"/>
        <v>#N/A</v>
      </c>
      <c r="CL75" s="918" t="e">
        <f t="shared" ca="1" si="205"/>
        <v>#N/A</v>
      </c>
      <c r="CM75" s="921"/>
      <c r="CN75" s="918">
        <f t="shared" ca="1" si="206"/>
        <v>0</v>
      </c>
      <c r="CO75" s="918" t="e">
        <f t="shared" ca="1" si="206"/>
        <v>#N/A</v>
      </c>
      <c r="CP75" s="918">
        <f t="shared" ca="1" si="206"/>
        <v>0</v>
      </c>
      <c r="CQ75" s="918">
        <f t="shared" ca="1" si="206"/>
        <v>0</v>
      </c>
      <c r="CR75" s="918">
        <f t="shared" ca="1" si="206"/>
        <v>0</v>
      </c>
      <c r="CS75" s="1144">
        <f t="shared" ca="1" si="206"/>
        <v>0</v>
      </c>
      <c r="CT75" s="921"/>
      <c r="CU75" s="918">
        <f t="shared" ca="1" si="207"/>
        <v>0</v>
      </c>
      <c r="CV75" s="918">
        <f t="shared" ca="1" si="207"/>
        <v>0</v>
      </c>
      <c r="CW75" s="918">
        <f t="shared" ca="1" si="207"/>
        <v>0</v>
      </c>
      <c r="CX75" s="918">
        <f t="shared" ca="1" si="207"/>
        <v>-0.30670681011354445</v>
      </c>
      <c r="CY75" s="918">
        <f t="shared" ca="1" si="207"/>
        <v>0</v>
      </c>
      <c r="CZ75" s="1144" t="e">
        <f t="shared" ca="1" si="207"/>
        <v>#N/A</v>
      </c>
      <c r="DA75" s="1144" t="e">
        <f t="shared" ca="1" si="207"/>
        <v>#N/A</v>
      </c>
      <c r="DB75" s="918">
        <f t="shared" ca="1" si="207"/>
        <v>0</v>
      </c>
      <c r="DC75" s="938">
        <f t="shared" ca="1" si="207"/>
        <v>0</v>
      </c>
      <c r="DD75" s="918">
        <f t="shared" ca="1" si="207"/>
        <v>0</v>
      </c>
      <c r="DE75" s="918">
        <f t="shared" ca="1" si="207"/>
        <v>0</v>
      </c>
      <c r="DF75" s="918">
        <f t="shared" ca="1" si="207"/>
        <v>0</v>
      </c>
      <c r="DG75" s="918">
        <f t="shared" ca="1" si="207"/>
        <v>0</v>
      </c>
      <c r="DH75" s="918">
        <f t="shared" ca="1" si="207"/>
        <v>-0.21692253166302478</v>
      </c>
      <c r="DI75" s="921"/>
      <c r="DJ75" s="1144">
        <f t="shared" ca="1" si="217"/>
        <v>-3.5913711326702176E-3</v>
      </c>
      <c r="DK75" s="1144">
        <f t="shared" ca="1" si="217"/>
        <v>-8.9933918917279185E-2</v>
      </c>
      <c r="DL75" s="1144">
        <f t="shared" ca="1" si="217"/>
        <v>0</v>
      </c>
      <c r="DM75" s="1144">
        <f t="shared" ca="1" si="217"/>
        <v>0</v>
      </c>
      <c r="DN75" s="1144" t="e">
        <f t="shared" ca="1" si="217"/>
        <v>#N/A</v>
      </c>
      <c r="DO75" s="1144">
        <f t="shared" ca="1" si="217"/>
        <v>-3.7410115940791321E-3</v>
      </c>
      <c r="DP75" s="1144" t="e">
        <f t="shared" ca="1" si="217"/>
        <v>#N/A</v>
      </c>
      <c r="DQ75" s="921"/>
      <c r="DR75" s="1144">
        <f t="shared" ca="1" si="208"/>
        <v>0</v>
      </c>
      <c r="DS75" s="1144">
        <f t="shared" ca="1" si="208"/>
        <v>0</v>
      </c>
      <c r="DT75" s="1144">
        <f t="shared" ca="1" si="208"/>
        <v>0</v>
      </c>
      <c r="DU75" s="1144" t="e">
        <f t="shared" ca="1" si="208"/>
        <v>#N/A</v>
      </c>
      <c r="DV75" s="920"/>
      <c r="DW75" s="921"/>
      <c r="DX75" s="918">
        <f t="shared" ca="1" si="209"/>
        <v>0</v>
      </c>
      <c r="DY75" s="918">
        <f t="shared" ca="1" si="209"/>
        <v>0</v>
      </c>
      <c r="DZ75" s="918">
        <f t="shared" ca="1" si="209"/>
        <v>0</v>
      </c>
      <c r="EA75" s="918" t="e">
        <f t="shared" ca="1" si="209"/>
        <v>#N/A</v>
      </c>
      <c r="EB75" s="920"/>
      <c r="EC75" s="921"/>
      <c r="ED75" s="1144">
        <f t="shared" ca="1" si="210"/>
        <v>0</v>
      </c>
      <c r="EE75" s="1144">
        <f t="shared" ca="1" si="210"/>
        <v>0</v>
      </c>
      <c r="EF75" s="1144" t="e">
        <f t="shared" ca="1" si="210"/>
        <v>#N/A</v>
      </c>
      <c r="EG75" s="1144" t="e">
        <f t="shared" ca="1" si="210"/>
        <v>#N/A</v>
      </c>
      <c r="EH75" s="920"/>
      <c r="EI75" s="921"/>
      <c r="EJ75" s="918">
        <f t="shared" ca="1" si="211"/>
        <v>0</v>
      </c>
      <c r="EK75" s="918">
        <f t="shared" ca="1" si="211"/>
        <v>0</v>
      </c>
      <c r="EL75" s="918">
        <f t="shared" ca="1" si="211"/>
        <v>0</v>
      </c>
      <c r="EM75" s="918">
        <f t="shared" ca="1" si="211"/>
        <v>0</v>
      </c>
      <c r="EN75" s="920"/>
      <c r="EO75" s="921"/>
      <c r="EP75" s="1144">
        <f t="shared" ca="1" si="212"/>
        <v>0</v>
      </c>
      <c r="EQ75" s="1144">
        <f t="shared" ca="1" si="212"/>
        <v>0</v>
      </c>
      <c r="ER75" s="1144">
        <f t="shared" ca="1" si="212"/>
        <v>0</v>
      </c>
      <c r="ES75" s="1144">
        <f t="shared" ca="1" si="212"/>
        <v>0</v>
      </c>
      <c r="ET75" s="920"/>
      <c r="EU75" s="921"/>
      <c r="EV75" s="1144">
        <f t="shared" ca="1" si="218"/>
        <v>0</v>
      </c>
      <c r="EW75" s="1144">
        <f t="shared" ca="1" si="218"/>
        <v>0</v>
      </c>
      <c r="EX75" s="921"/>
      <c r="EY75" s="1144">
        <f t="shared" ca="1" si="218"/>
        <v>0</v>
      </c>
      <c r="EZ75" s="1144">
        <f t="shared" ca="1" si="218"/>
        <v>0</v>
      </c>
      <c r="FA75" s="1144" t="e">
        <f t="shared" ca="1" si="218"/>
        <v>#N/A</v>
      </c>
      <c r="FB75" s="921"/>
      <c r="FC75" s="918">
        <f t="shared" ca="1" si="213"/>
        <v>-13.820672308789939</v>
      </c>
      <c r="FD75" s="918">
        <f t="shared" ca="1" si="213"/>
        <v>0</v>
      </c>
      <c r="FE75" s="918">
        <f t="shared" ca="1" si="213"/>
        <v>0</v>
      </c>
      <c r="FF75" s="918">
        <f t="shared" ca="1" si="213"/>
        <v>0</v>
      </c>
      <c r="FG75" s="918">
        <f t="shared" ca="1" si="213"/>
        <v>0</v>
      </c>
      <c r="FH75" s="918">
        <f t="shared" ca="1" si="213"/>
        <v>0</v>
      </c>
      <c r="FI75" s="918">
        <f t="shared" ca="1" si="213"/>
        <v>-0.28195470213170587</v>
      </c>
      <c r="FJ75" s="918">
        <f t="shared" ca="1" si="213"/>
        <v>-1.2687961574524487</v>
      </c>
      <c r="FK75" s="918">
        <f t="shared" ca="1" si="213"/>
        <v>0</v>
      </c>
      <c r="FL75" s="918">
        <f t="shared" ca="1" si="213"/>
        <v>-1.0514159257086261E-2</v>
      </c>
      <c r="FM75" s="918" t="e">
        <f t="shared" ca="1" si="214"/>
        <v>#N/A</v>
      </c>
      <c r="FN75" s="1144">
        <f t="shared" ca="1" si="214"/>
        <v>0</v>
      </c>
      <c r="FO75" s="1144">
        <f t="shared" ca="1" si="214"/>
        <v>0</v>
      </c>
      <c r="FP75" s="918">
        <f t="shared" ca="1" si="214"/>
        <v>0</v>
      </c>
      <c r="FQ75" s="918">
        <f t="shared" ca="1" si="214"/>
        <v>-0.20951851107758229</v>
      </c>
      <c r="FR75" s="918">
        <f t="shared" ca="1" si="214"/>
        <v>0</v>
      </c>
      <c r="FS75" s="918">
        <f t="shared" ca="1" si="214"/>
        <v>0</v>
      </c>
      <c r="FT75" s="918">
        <f t="shared" ca="1" si="214"/>
        <v>0</v>
      </c>
      <c r="FU75" s="918" t="e">
        <f t="shared" ca="1" si="214"/>
        <v>#N/A</v>
      </c>
      <c r="FV75" s="1144" t="e">
        <f t="shared" ca="1" si="214"/>
        <v>#N/A</v>
      </c>
      <c r="FW75" s="918">
        <f t="shared" ca="1" si="214"/>
        <v>0</v>
      </c>
      <c r="FX75" s="918">
        <f t="shared" ca="1" si="214"/>
        <v>0</v>
      </c>
      <c r="FY75" s="918">
        <f t="shared" ca="1" si="214"/>
        <v>0</v>
      </c>
      <c r="FZ75" s="918">
        <f t="shared" ca="1" si="214"/>
        <v>0</v>
      </c>
      <c r="GA75" s="1144" t="e">
        <f t="shared" ca="1" si="214"/>
        <v>#N/A</v>
      </c>
      <c r="GB75" s="918">
        <f t="shared" ca="1" si="214"/>
        <v>0</v>
      </c>
      <c r="GC75" s="920"/>
      <c r="GD75" s="918">
        <f t="shared" ca="1" si="215"/>
        <v>0</v>
      </c>
      <c r="GE75" s="918">
        <f t="shared" ca="1" si="215"/>
        <v>0</v>
      </c>
      <c r="GF75" s="918">
        <f t="shared" ca="1" si="215"/>
        <v>0</v>
      </c>
      <c r="GG75" s="918">
        <f t="shared" ca="1" si="215"/>
        <v>0</v>
      </c>
      <c r="GH75" s="918" t="e">
        <f t="shared" ca="1" si="215"/>
        <v>#N/A</v>
      </c>
      <c r="GI75" s="1144" t="e">
        <f t="shared" ca="1" si="215"/>
        <v>#N/A</v>
      </c>
      <c r="GJ75" s="918">
        <f t="shared" ca="1" si="215"/>
        <v>0</v>
      </c>
      <c r="GK75" s="918">
        <f t="shared" ca="1" si="215"/>
        <v>0</v>
      </c>
      <c r="GL75" s="918">
        <f t="shared" ca="1" si="215"/>
        <v>0</v>
      </c>
      <c r="GM75" s="918">
        <f t="shared" ca="1" si="215"/>
        <v>0</v>
      </c>
      <c r="GN75" s="918">
        <f t="shared" ca="1" si="215"/>
        <v>0</v>
      </c>
      <c r="GO75" s="918" t="e">
        <f t="shared" ca="1" si="215"/>
        <v>#N/A</v>
      </c>
      <c r="GP75" s="915"/>
      <c r="GR75" s="946"/>
      <c r="GS75" s="946"/>
      <c r="GU75" s="946"/>
      <c r="GV75" s="946"/>
      <c r="GW75" s="946"/>
      <c r="GX75" s="1143"/>
      <c r="GY75" s="946"/>
    </row>
    <row r="76" spans="1:207" s="914" customFormat="1" x14ac:dyDescent="0.3">
      <c r="A76" s="975" t="s">
        <v>1549</v>
      </c>
      <c r="B76" s="974">
        <v>138</v>
      </c>
      <c r="C76" s="973">
        <v>24.626339999999999</v>
      </c>
      <c r="D76" s="914">
        <v>-0.11479951275517648</v>
      </c>
      <c r="E76" s="972" t="s">
        <v>982</v>
      </c>
      <c r="F76" s="936">
        <f t="shared" ca="1" si="198"/>
        <v>0</v>
      </c>
      <c r="G76" s="918">
        <f t="shared" ca="1" si="198"/>
        <v>0</v>
      </c>
      <c r="H76" s="918">
        <f t="shared" ca="1" si="198"/>
        <v>0</v>
      </c>
      <c r="I76" s="918">
        <f t="shared" ca="1" si="198"/>
        <v>0</v>
      </c>
      <c r="J76" s="918">
        <f t="shared" ca="1" si="198"/>
        <v>0</v>
      </c>
      <c r="K76" s="1144">
        <f t="shared" ca="1" si="198"/>
        <v>0</v>
      </c>
      <c r="L76" s="918">
        <f t="shared" ca="1" si="198"/>
        <v>0</v>
      </c>
      <c r="M76" s="918">
        <f t="shared" ca="1" si="198"/>
        <v>0</v>
      </c>
      <c r="N76" s="938">
        <f t="shared" ca="1" si="198"/>
        <v>0</v>
      </c>
      <c r="O76" s="918">
        <f t="shared" ca="1" si="198"/>
        <v>0</v>
      </c>
      <c r="P76" s="939">
        <f t="shared" ca="1" si="198"/>
        <v>0</v>
      </c>
      <c r="Q76" s="921"/>
      <c r="R76" s="918">
        <f t="shared" ca="1" si="199"/>
        <v>0</v>
      </c>
      <c r="S76" s="918">
        <f t="shared" ca="1" si="199"/>
        <v>0</v>
      </c>
      <c r="T76" s="918">
        <f t="shared" ca="1" si="199"/>
        <v>0</v>
      </c>
      <c r="U76" s="918">
        <f t="shared" ca="1" si="199"/>
        <v>0</v>
      </c>
      <c r="V76" s="918">
        <f t="shared" ca="1" si="199"/>
        <v>0</v>
      </c>
      <c r="W76" s="918">
        <f t="shared" ca="1" si="199"/>
        <v>0</v>
      </c>
      <c r="X76" s="938">
        <f t="shared" ca="1" si="199"/>
        <v>0</v>
      </c>
      <c r="Y76" s="918">
        <f t="shared" ca="1" si="199"/>
        <v>-3.8970704603368538</v>
      </c>
      <c r="Z76" s="918">
        <f t="shared" ca="1" si="199"/>
        <v>0</v>
      </c>
      <c r="AA76" s="918">
        <f t="shared" ca="1" si="199"/>
        <v>0</v>
      </c>
      <c r="AB76" s="921"/>
      <c r="AC76" s="918">
        <f t="shared" ca="1" si="200"/>
        <v>0</v>
      </c>
      <c r="AD76" s="918">
        <f t="shared" ca="1" si="200"/>
        <v>0</v>
      </c>
      <c r="AE76" s="918">
        <f t="shared" ca="1" si="200"/>
        <v>0</v>
      </c>
      <c r="AF76" s="918">
        <f t="shared" ca="1" si="200"/>
        <v>0</v>
      </c>
      <c r="AG76" s="918">
        <f t="shared" ca="1" si="200"/>
        <v>0</v>
      </c>
      <c r="AH76" s="918">
        <f t="shared" ca="1" si="200"/>
        <v>0</v>
      </c>
      <c r="AI76" s="918">
        <f t="shared" ca="1" si="200"/>
        <v>0</v>
      </c>
      <c r="AJ76" s="918">
        <f t="shared" ca="1" si="200"/>
        <v>0</v>
      </c>
      <c r="AK76" s="938">
        <f t="shared" ca="1" si="200"/>
        <v>0</v>
      </c>
      <c r="AL76" s="918">
        <f t="shared" ca="1" si="200"/>
        <v>0</v>
      </c>
      <c r="AM76" s="918">
        <f t="shared" ca="1" si="200"/>
        <v>0</v>
      </c>
      <c r="AN76" s="918">
        <f t="shared" ca="1" si="200"/>
        <v>0</v>
      </c>
      <c r="AO76" s="921"/>
      <c r="AP76" s="1144">
        <f t="shared" ca="1" si="216"/>
        <v>-3.8970704603368538</v>
      </c>
      <c r="AQ76" s="1144">
        <f t="shared" ca="1" si="216"/>
        <v>0</v>
      </c>
      <c r="AR76" s="1144">
        <f t="shared" ca="1" si="216"/>
        <v>0</v>
      </c>
      <c r="AS76" s="1144">
        <f t="shared" ca="1" si="216"/>
        <v>0</v>
      </c>
      <c r="AT76" s="938">
        <f t="shared" ca="1" si="216"/>
        <v>0</v>
      </c>
      <c r="AU76" s="938">
        <f t="shared" ca="1" si="216"/>
        <v>0</v>
      </c>
      <c r="AV76" s="1144">
        <f t="shared" ca="1" si="216"/>
        <v>0</v>
      </c>
      <c r="AW76" s="1144">
        <f t="shared" ca="1" si="216"/>
        <v>0</v>
      </c>
      <c r="AX76" s="1144">
        <f t="shared" ca="1" si="216"/>
        <v>0</v>
      </c>
      <c r="AY76" s="1144">
        <f t="shared" ca="1" si="216"/>
        <v>0</v>
      </c>
      <c r="AZ76" s="1144">
        <f t="shared" ca="1" si="216"/>
        <v>0</v>
      </c>
      <c r="BA76" s="1144">
        <f t="shared" ca="1" si="216"/>
        <v>-7.7941409299970191E-2</v>
      </c>
      <c r="BB76" s="1144">
        <f t="shared" ca="1" si="216"/>
        <v>-3.8191290491722212</v>
      </c>
      <c r="BC76" s="1144">
        <f t="shared" ca="1" si="216"/>
        <v>0</v>
      </c>
      <c r="BD76" s="921"/>
      <c r="BE76" s="918">
        <f t="shared" ca="1" si="202"/>
        <v>-3.8970704603368538</v>
      </c>
      <c r="BF76" s="918">
        <f t="shared" ca="1" si="202"/>
        <v>0</v>
      </c>
      <c r="BG76" s="918">
        <f t="shared" ca="1" si="202"/>
        <v>0</v>
      </c>
      <c r="BH76" s="918">
        <f t="shared" ca="1" si="202"/>
        <v>0</v>
      </c>
      <c r="BI76" s="938">
        <f t="shared" ca="1" si="202"/>
        <v>0</v>
      </c>
      <c r="BJ76" s="918">
        <f t="shared" ca="1" si="202"/>
        <v>0</v>
      </c>
      <c r="BK76" s="918">
        <f t="shared" ca="1" si="202"/>
        <v>0</v>
      </c>
      <c r="BL76" s="918">
        <f t="shared" ca="1" si="202"/>
        <v>0</v>
      </c>
      <c r="BM76" s="918">
        <f t="shared" ca="1" si="202"/>
        <v>-3.8970704603368538</v>
      </c>
      <c r="BN76" s="1144">
        <f t="shared" ca="1" si="202"/>
        <v>0</v>
      </c>
      <c r="BO76" s="918">
        <f t="shared" ca="1" si="202"/>
        <v>0</v>
      </c>
      <c r="BP76" s="921"/>
      <c r="BQ76" s="918">
        <f t="shared" ca="1" si="203"/>
        <v>0</v>
      </c>
      <c r="BR76" s="918">
        <f t="shared" ca="1" si="203"/>
        <v>-3.8970704603368538</v>
      </c>
      <c r="BS76" s="1144">
        <f t="shared" ca="1" si="203"/>
        <v>0</v>
      </c>
      <c r="BT76" s="918">
        <f t="shared" ca="1" si="203"/>
        <v>-7.7941409299970191E-2</v>
      </c>
      <c r="BU76" s="918">
        <f t="shared" ca="1" si="203"/>
        <v>0</v>
      </c>
      <c r="BV76" s="918">
        <f t="shared" ca="1" si="203"/>
        <v>-3.8191290491722212</v>
      </c>
      <c r="BW76" s="1144">
        <f t="shared" ca="1" si="203"/>
        <v>0</v>
      </c>
      <c r="BX76" s="921"/>
      <c r="BY76" s="918">
        <f t="shared" ca="1" si="204"/>
        <v>-3.8191290491722212</v>
      </c>
      <c r="BZ76" s="918">
        <f t="shared" ca="1" si="204"/>
        <v>0</v>
      </c>
      <c r="CA76" s="918">
        <f t="shared" ca="1" si="204"/>
        <v>0</v>
      </c>
      <c r="CB76" s="918">
        <f t="shared" ca="1" si="204"/>
        <v>-7.7941409299970191E-2</v>
      </c>
      <c r="CC76" s="918">
        <f t="shared" ca="1" si="204"/>
        <v>0</v>
      </c>
      <c r="CD76" s="918">
        <f t="shared" ca="1" si="204"/>
        <v>0</v>
      </c>
      <c r="CE76" s="918">
        <f t="shared" ca="1" si="204"/>
        <v>0</v>
      </c>
      <c r="CF76" s="918">
        <f t="shared" ca="1" si="204"/>
        <v>0</v>
      </c>
      <c r="CG76" s="921"/>
      <c r="CH76" s="918">
        <f t="shared" ca="1" si="205"/>
        <v>0</v>
      </c>
      <c r="CI76" s="918">
        <f t="shared" ca="1" si="205"/>
        <v>-3.8970704603368538</v>
      </c>
      <c r="CJ76" s="918">
        <f t="shared" ca="1" si="205"/>
        <v>0</v>
      </c>
      <c r="CK76" s="918" t="e">
        <f t="shared" ca="1" si="205"/>
        <v>#N/A</v>
      </c>
      <c r="CL76" s="918" t="e">
        <f t="shared" ca="1" si="205"/>
        <v>#N/A</v>
      </c>
      <c r="CM76" s="921"/>
      <c r="CN76" s="918">
        <f t="shared" ca="1" si="206"/>
        <v>0</v>
      </c>
      <c r="CO76" s="918" t="e">
        <f t="shared" ca="1" si="206"/>
        <v>#N/A</v>
      </c>
      <c r="CP76" s="918">
        <f t="shared" ca="1" si="206"/>
        <v>0</v>
      </c>
      <c r="CQ76" s="918">
        <f t="shared" ca="1" si="206"/>
        <v>0</v>
      </c>
      <c r="CR76" s="918">
        <f t="shared" ca="1" si="206"/>
        <v>0</v>
      </c>
      <c r="CS76" s="1144">
        <f t="shared" ca="1" si="206"/>
        <v>0</v>
      </c>
      <c r="CT76" s="921"/>
      <c r="CU76" s="918">
        <f t="shared" ca="1" si="207"/>
        <v>0</v>
      </c>
      <c r="CV76" s="918">
        <f t="shared" ca="1" si="207"/>
        <v>0</v>
      </c>
      <c r="CW76" s="918">
        <f t="shared" ca="1" si="207"/>
        <v>0</v>
      </c>
      <c r="CX76" s="918">
        <f t="shared" ca="1" si="207"/>
        <v>-7.7941409299970191E-2</v>
      </c>
      <c r="CY76" s="918">
        <f t="shared" ca="1" si="207"/>
        <v>0</v>
      </c>
      <c r="CZ76" s="1144" t="e">
        <f t="shared" ca="1" si="207"/>
        <v>#N/A</v>
      </c>
      <c r="DA76" s="1144" t="e">
        <f t="shared" ca="1" si="207"/>
        <v>#N/A</v>
      </c>
      <c r="DB76" s="918">
        <f t="shared" ca="1" si="207"/>
        <v>0</v>
      </c>
      <c r="DC76" s="938">
        <f t="shared" ca="1" si="207"/>
        <v>0</v>
      </c>
      <c r="DD76" s="918">
        <f t="shared" ca="1" si="207"/>
        <v>0</v>
      </c>
      <c r="DE76" s="918">
        <f t="shared" ca="1" si="207"/>
        <v>0</v>
      </c>
      <c r="DF76" s="918">
        <f t="shared" ca="1" si="207"/>
        <v>0</v>
      </c>
      <c r="DG76" s="918">
        <f t="shared" ca="1" si="207"/>
        <v>0</v>
      </c>
      <c r="DH76" s="918">
        <f t="shared" ca="1" si="207"/>
        <v>-7.7941409299970191E-2</v>
      </c>
      <c r="DI76" s="921"/>
      <c r="DJ76" s="1144">
        <f t="shared" ca="1" si="217"/>
        <v>-0.57732432623756591</v>
      </c>
      <c r="DK76" s="1144">
        <f t="shared" ca="1" si="217"/>
        <v>-2.4055180182204323E-2</v>
      </c>
      <c r="DL76" s="1144">
        <f t="shared" ca="1" si="217"/>
        <v>0</v>
      </c>
      <c r="DM76" s="1144">
        <f t="shared" ca="1" si="217"/>
        <v>0</v>
      </c>
      <c r="DN76" s="1144" t="e">
        <f t="shared" ca="1" si="217"/>
        <v>#N/A</v>
      </c>
      <c r="DO76" s="1144">
        <f t="shared" ca="1" si="217"/>
        <v>-0.60137950338969415</v>
      </c>
      <c r="DP76" s="1144" t="e">
        <f t="shared" ca="1" si="217"/>
        <v>#N/A</v>
      </c>
      <c r="DQ76" s="921"/>
      <c r="DR76" s="1144">
        <f t="shared" ca="1" si="208"/>
        <v>0</v>
      </c>
      <c r="DS76" s="1144">
        <f t="shared" ca="1" si="208"/>
        <v>0</v>
      </c>
      <c r="DT76" s="1144">
        <f t="shared" ca="1" si="208"/>
        <v>0</v>
      </c>
      <c r="DU76" s="1144" t="e">
        <f t="shared" ca="1" si="208"/>
        <v>#N/A</v>
      </c>
      <c r="DV76" s="920"/>
      <c r="DW76" s="921"/>
      <c r="DX76" s="918">
        <f t="shared" ca="1" si="209"/>
        <v>0</v>
      </c>
      <c r="DY76" s="918">
        <f t="shared" ca="1" si="209"/>
        <v>0</v>
      </c>
      <c r="DZ76" s="918">
        <f t="shared" ca="1" si="209"/>
        <v>0</v>
      </c>
      <c r="EA76" s="918" t="e">
        <f t="shared" ca="1" si="209"/>
        <v>#N/A</v>
      </c>
      <c r="EB76" s="920"/>
      <c r="EC76" s="921"/>
      <c r="ED76" s="1144">
        <f t="shared" ca="1" si="210"/>
        <v>0</v>
      </c>
      <c r="EE76" s="1144">
        <f t="shared" ca="1" si="210"/>
        <v>0</v>
      </c>
      <c r="EF76" s="1144" t="e">
        <f t="shared" ca="1" si="210"/>
        <v>#N/A</v>
      </c>
      <c r="EG76" s="1144" t="e">
        <f t="shared" ca="1" si="210"/>
        <v>#N/A</v>
      </c>
      <c r="EH76" s="920"/>
      <c r="EI76" s="921"/>
      <c r="EJ76" s="918">
        <f t="shared" ca="1" si="211"/>
        <v>0</v>
      </c>
      <c r="EK76" s="918">
        <f t="shared" ca="1" si="211"/>
        <v>0</v>
      </c>
      <c r="EL76" s="918">
        <f t="shared" ca="1" si="211"/>
        <v>0</v>
      </c>
      <c r="EM76" s="918">
        <f t="shared" ca="1" si="211"/>
        <v>0</v>
      </c>
      <c r="EN76" s="920"/>
      <c r="EO76" s="921"/>
      <c r="EP76" s="1144">
        <f t="shared" ca="1" si="212"/>
        <v>0</v>
      </c>
      <c r="EQ76" s="1144">
        <f t="shared" ca="1" si="212"/>
        <v>0</v>
      </c>
      <c r="ER76" s="1144">
        <f t="shared" ca="1" si="212"/>
        <v>0</v>
      </c>
      <c r="ES76" s="1144">
        <f t="shared" ca="1" si="212"/>
        <v>0</v>
      </c>
      <c r="ET76" s="920"/>
      <c r="EU76" s="921"/>
      <c r="EV76" s="1144">
        <f t="shared" ca="1" si="218"/>
        <v>0</v>
      </c>
      <c r="EW76" s="1144">
        <f t="shared" ca="1" si="218"/>
        <v>0</v>
      </c>
      <c r="EX76" s="921"/>
      <c r="EY76" s="1144">
        <f t="shared" ca="1" si="218"/>
        <v>0</v>
      </c>
      <c r="EZ76" s="1144">
        <f t="shared" ca="1" si="218"/>
        <v>0</v>
      </c>
      <c r="FA76" s="1144" t="e">
        <f t="shared" ca="1" si="218"/>
        <v>#N/A</v>
      </c>
      <c r="FB76" s="921"/>
      <c r="FC76" s="918">
        <f t="shared" ca="1" si="213"/>
        <v>0</v>
      </c>
      <c r="FD76" s="918">
        <f t="shared" ca="1" si="213"/>
        <v>0</v>
      </c>
      <c r="FE76" s="918">
        <f t="shared" ca="1" si="213"/>
        <v>0</v>
      </c>
      <c r="FF76" s="918">
        <f t="shared" ca="1" si="213"/>
        <v>0</v>
      </c>
      <c r="FG76" s="918">
        <f t="shared" ca="1" si="213"/>
        <v>0</v>
      </c>
      <c r="FH76" s="918">
        <f t="shared" ca="1" si="213"/>
        <v>0</v>
      </c>
      <c r="FI76" s="918">
        <f t="shared" ca="1" si="213"/>
        <v>0</v>
      </c>
      <c r="FJ76" s="918">
        <f t="shared" ca="1" si="213"/>
        <v>0</v>
      </c>
      <c r="FK76" s="918">
        <f t="shared" ca="1" si="213"/>
        <v>0</v>
      </c>
      <c r="FL76" s="918">
        <f t="shared" ca="1" si="213"/>
        <v>0</v>
      </c>
      <c r="FM76" s="918" t="e">
        <f t="shared" ca="1" si="214"/>
        <v>#N/A</v>
      </c>
      <c r="FN76" s="1144">
        <f t="shared" ca="1" si="214"/>
        <v>0</v>
      </c>
      <c r="FO76" s="1144">
        <f t="shared" ca="1" si="214"/>
        <v>0</v>
      </c>
      <c r="FP76" s="918">
        <f t="shared" ca="1" si="214"/>
        <v>0</v>
      </c>
      <c r="FQ76" s="918">
        <f t="shared" ca="1" si="214"/>
        <v>0</v>
      </c>
      <c r="FR76" s="918">
        <f t="shared" ca="1" si="214"/>
        <v>0</v>
      </c>
      <c r="FS76" s="918">
        <f t="shared" ca="1" si="214"/>
        <v>0</v>
      </c>
      <c r="FT76" s="918">
        <f t="shared" ca="1" si="214"/>
        <v>0</v>
      </c>
      <c r="FU76" s="918" t="e">
        <f t="shared" ca="1" si="214"/>
        <v>#N/A</v>
      </c>
      <c r="FV76" s="1144" t="e">
        <f t="shared" ca="1" si="214"/>
        <v>#N/A</v>
      </c>
      <c r="FW76" s="918">
        <f t="shared" ca="1" si="214"/>
        <v>0</v>
      </c>
      <c r="FX76" s="918">
        <f t="shared" ca="1" si="214"/>
        <v>0</v>
      </c>
      <c r="FY76" s="918">
        <f t="shared" ca="1" si="214"/>
        <v>0</v>
      </c>
      <c r="FZ76" s="918">
        <f t="shared" ca="1" si="214"/>
        <v>0</v>
      </c>
      <c r="GA76" s="1144" t="e">
        <f t="shared" ca="1" si="214"/>
        <v>#N/A</v>
      </c>
      <c r="GB76" s="918">
        <f t="shared" ca="1" si="214"/>
        <v>0</v>
      </c>
      <c r="GC76" s="920"/>
      <c r="GD76" s="918">
        <f t="shared" ca="1" si="215"/>
        <v>0</v>
      </c>
      <c r="GE76" s="918">
        <f t="shared" ca="1" si="215"/>
        <v>0</v>
      </c>
      <c r="GF76" s="918">
        <f t="shared" ca="1" si="215"/>
        <v>0</v>
      </c>
      <c r="GG76" s="918">
        <f t="shared" ca="1" si="215"/>
        <v>0</v>
      </c>
      <c r="GH76" s="918" t="e">
        <f t="shared" ca="1" si="215"/>
        <v>#N/A</v>
      </c>
      <c r="GI76" s="1144" t="e">
        <f t="shared" ca="1" si="215"/>
        <v>#N/A</v>
      </c>
      <c r="GJ76" s="918">
        <f t="shared" ca="1" si="215"/>
        <v>0</v>
      </c>
      <c r="GK76" s="918">
        <f t="shared" ca="1" si="215"/>
        <v>0</v>
      </c>
      <c r="GL76" s="918">
        <f t="shared" ca="1" si="215"/>
        <v>0</v>
      </c>
      <c r="GM76" s="918">
        <f t="shared" ca="1" si="215"/>
        <v>0</v>
      </c>
      <c r="GN76" s="918">
        <f t="shared" ca="1" si="215"/>
        <v>0</v>
      </c>
      <c r="GO76" s="918" t="e">
        <f t="shared" ca="1" si="215"/>
        <v>#N/A</v>
      </c>
      <c r="GP76" s="915"/>
      <c r="GR76" s="946"/>
      <c r="GS76" s="946"/>
      <c r="GU76" s="946"/>
      <c r="GV76" s="946"/>
      <c r="GW76" s="946"/>
      <c r="GX76" s="1143"/>
      <c r="GY76" s="946"/>
    </row>
    <row r="77" spans="1:207" s="914" customFormat="1" x14ac:dyDescent="0.3">
      <c r="A77" s="975" t="s">
        <v>1550</v>
      </c>
      <c r="B77" s="974">
        <v>133</v>
      </c>
      <c r="C77" s="973">
        <v>60.05256</v>
      </c>
      <c r="D77" s="914">
        <v>-0.1944969905439943</v>
      </c>
      <c r="E77" s="972" t="s">
        <v>982</v>
      </c>
      <c r="F77" s="936">
        <f t="shared" ref="F77:P84" ca="1" si="219">VLOOKUP(F$8,INDIRECT(LU_MAT),$B77,FALSE)*$D77/$C77</f>
        <v>-4.8845813178292063</v>
      </c>
      <c r="G77" s="918">
        <f t="shared" ca="1" si="219"/>
        <v>0</v>
      </c>
      <c r="H77" s="918">
        <f t="shared" ca="1" si="219"/>
        <v>0</v>
      </c>
      <c r="I77" s="918">
        <f t="shared" ca="1" si="219"/>
        <v>0</v>
      </c>
      <c r="J77" s="918">
        <f t="shared" ca="1" si="219"/>
        <v>0</v>
      </c>
      <c r="K77" s="1144">
        <f t="shared" ca="1" si="219"/>
        <v>0</v>
      </c>
      <c r="L77" s="918">
        <f t="shared" ca="1" si="219"/>
        <v>0</v>
      </c>
      <c r="M77" s="918">
        <f t="shared" ca="1" si="219"/>
        <v>0</v>
      </c>
      <c r="N77" s="938">
        <f t="shared" ca="1" si="219"/>
        <v>0</v>
      </c>
      <c r="O77" s="918">
        <f t="shared" ca="1" si="219"/>
        <v>0</v>
      </c>
      <c r="P77" s="939">
        <f t="shared" ca="1" si="219"/>
        <v>0</v>
      </c>
      <c r="Q77" s="921"/>
      <c r="R77" s="918">
        <f t="shared" ref="R77:AA84" ca="1" si="220">VLOOKUP(R$8,INDIRECT(LU_MAT),$B77,FALSE)*$D77/$C77</f>
        <v>0</v>
      </c>
      <c r="S77" s="918">
        <f t="shared" ca="1" si="220"/>
        <v>0</v>
      </c>
      <c r="T77" s="918">
        <f t="shared" ca="1" si="220"/>
        <v>0</v>
      </c>
      <c r="U77" s="918">
        <f t="shared" ca="1" si="220"/>
        <v>0</v>
      </c>
      <c r="V77" s="918">
        <f t="shared" ca="1" si="220"/>
        <v>0</v>
      </c>
      <c r="W77" s="918">
        <f t="shared" ca="1" si="220"/>
        <v>0</v>
      </c>
      <c r="X77" s="938">
        <f t="shared" ca="1" si="220"/>
        <v>0</v>
      </c>
      <c r="Y77" s="918">
        <f t="shared" ca="1" si="220"/>
        <v>0</v>
      </c>
      <c r="Z77" s="918">
        <f t="shared" ca="1" si="220"/>
        <v>0</v>
      </c>
      <c r="AA77" s="918">
        <f t="shared" ca="1" si="220"/>
        <v>0</v>
      </c>
      <c r="AB77" s="921"/>
      <c r="AC77" s="918">
        <f t="shared" ref="AC77:AN84" ca="1" si="221">VLOOKUP(AC$8,INDIRECT(LU_MAT),$B77,FALSE)*$D77/$C77</f>
        <v>0</v>
      </c>
      <c r="AD77" s="918">
        <f t="shared" ca="1" si="221"/>
        <v>0</v>
      </c>
      <c r="AE77" s="918">
        <f t="shared" ca="1" si="221"/>
        <v>0</v>
      </c>
      <c r="AF77" s="918">
        <f t="shared" ca="1" si="221"/>
        <v>0</v>
      </c>
      <c r="AG77" s="918">
        <f t="shared" ca="1" si="221"/>
        <v>0</v>
      </c>
      <c r="AH77" s="918">
        <f t="shared" ca="1" si="221"/>
        <v>0</v>
      </c>
      <c r="AI77" s="918">
        <f t="shared" ca="1" si="221"/>
        <v>0</v>
      </c>
      <c r="AJ77" s="918">
        <f t="shared" ca="1" si="221"/>
        <v>0</v>
      </c>
      <c r="AK77" s="938">
        <f t="shared" ca="1" si="221"/>
        <v>0</v>
      </c>
      <c r="AL77" s="918">
        <f t="shared" ca="1" si="221"/>
        <v>0</v>
      </c>
      <c r="AM77" s="918">
        <f t="shared" ca="1" si="221"/>
        <v>0</v>
      </c>
      <c r="AN77" s="918">
        <f t="shared" ca="1" si="221"/>
        <v>0</v>
      </c>
      <c r="AO77" s="921"/>
      <c r="AP77" s="1144">
        <f t="shared" ca="1" si="216"/>
        <v>0</v>
      </c>
      <c r="AQ77" s="1144">
        <f t="shared" ca="1" si="216"/>
        <v>0</v>
      </c>
      <c r="AR77" s="1144">
        <f t="shared" ca="1" si="216"/>
        <v>0</v>
      </c>
      <c r="AS77" s="1144">
        <f t="shared" ca="1" si="216"/>
        <v>0</v>
      </c>
      <c r="AT77" s="938">
        <f t="shared" ca="1" si="216"/>
        <v>0</v>
      </c>
      <c r="AU77" s="938">
        <f t="shared" ca="1" si="216"/>
        <v>0</v>
      </c>
      <c r="AV77" s="1144">
        <f t="shared" ca="1" si="216"/>
        <v>0</v>
      </c>
      <c r="AW77" s="1144">
        <f t="shared" ca="1" si="216"/>
        <v>0</v>
      </c>
      <c r="AX77" s="1144">
        <f t="shared" ca="1" si="216"/>
        <v>0</v>
      </c>
      <c r="AY77" s="1144">
        <f t="shared" ca="1" si="216"/>
        <v>0</v>
      </c>
      <c r="AZ77" s="1144">
        <f t="shared" ca="1" si="216"/>
        <v>0</v>
      </c>
      <c r="BA77" s="1144">
        <f t="shared" ca="1" si="216"/>
        <v>0</v>
      </c>
      <c r="BB77" s="1144">
        <f t="shared" ca="1" si="216"/>
        <v>0</v>
      </c>
      <c r="BC77" s="1144">
        <f t="shared" ca="1" si="216"/>
        <v>0</v>
      </c>
      <c r="BD77" s="921"/>
      <c r="BE77" s="918">
        <f t="shared" ref="BE77:BO84" ca="1" si="222">VLOOKUP(BE$8,INDIRECT(LU_MAT),$B77,FALSE)*$D77/$C77</f>
        <v>0</v>
      </c>
      <c r="BF77" s="918">
        <f t="shared" ca="1" si="222"/>
        <v>0</v>
      </c>
      <c r="BG77" s="918">
        <f t="shared" ca="1" si="222"/>
        <v>0</v>
      </c>
      <c r="BH77" s="918">
        <f t="shared" ca="1" si="222"/>
        <v>0</v>
      </c>
      <c r="BI77" s="938">
        <f t="shared" ca="1" si="222"/>
        <v>0</v>
      </c>
      <c r="BJ77" s="918">
        <f t="shared" ca="1" si="222"/>
        <v>0</v>
      </c>
      <c r="BK77" s="918">
        <f t="shared" ca="1" si="222"/>
        <v>0</v>
      </c>
      <c r="BL77" s="918">
        <f t="shared" ca="1" si="222"/>
        <v>0</v>
      </c>
      <c r="BM77" s="918">
        <f t="shared" ca="1" si="222"/>
        <v>0</v>
      </c>
      <c r="BN77" s="1144">
        <f t="shared" ca="1" si="222"/>
        <v>0</v>
      </c>
      <c r="BO77" s="918">
        <f t="shared" ca="1" si="222"/>
        <v>0</v>
      </c>
      <c r="BP77" s="921"/>
      <c r="BQ77" s="918">
        <f t="shared" ref="BQ77:BW84" ca="1" si="223">VLOOKUP(BQ$8,INDIRECT(LU_MAT),$B77,FALSE)*$D77/$C77</f>
        <v>0</v>
      </c>
      <c r="BR77" s="918">
        <f t="shared" ca="1" si="223"/>
        <v>0</v>
      </c>
      <c r="BS77" s="1144">
        <f t="shared" ca="1" si="223"/>
        <v>0</v>
      </c>
      <c r="BT77" s="918">
        <f t="shared" ca="1" si="223"/>
        <v>0</v>
      </c>
      <c r="BU77" s="918">
        <f t="shared" ca="1" si="223"/>
        <v>0</v>
      </c>
      <c r="BV77" s="918">
        <f t="shared" ca="1" si="223"/>
        <v>0</v>
      </c>
      <c r="BW77" s="1144">
        <f t="shared" ca="1" si="223"/>
        <v>0</v>
      </c>
      <c r="BX77" s="921"/>
      <c r="BY77" s="918">
        <f t="shared" ref="BY77:CF84" ca="1" si="224">VLOOKUP(BY$8,INDIRECT(LU_MAT),$B77,FALSE)*$D77/$C77</f>
        <v>0</v>
      </c>
      <c r="BZ77" s="918">
        <f t="shared" ca="1" si="224"/>
        <v>0</v>
      </c>
      <c r="CA77" s="918">
        <f t="shared" ca="1" si="224"/>
        <v>0</v>
      </c>
      <c r="CB77" s="918">
        <f t="shared" ca="1" si="224"/>
        <v>0</v>
      </c>
      <c r="CC77" s="918">
        <f t="shared" ca="1" si="224"/>
        <v>0</v>
      </c>
      <c r="CD77" s="918">
        <f t="shared" ca="1" si="224"/>
        <v>0</v>
      </c>
      <c r="CE77" s="918">
        <f t="shared" ca="1" si="224"/>
        <v>0</v>
      </c>
      <c r="CF77" s="918">
        <f t="shared" ca="1" si="224"/>
        <v>0</v>
      </c>
      <c r="CG77" s="921"/>
      <c r="CH77" s="918">
        <f t="shared" ref="CH77:CL84" ca="1" si="225">VLOOKUP(CH$8,INDIRECT(LU_MAT),$B77,FALSE)*$D77/$C77</f>
        <v>0</v>
      </c>
      <c r="CI77" s="918">
        <f t="shared" ca="1" si="225"/>
        <v>0</v>
      </c>
      <c r="CJ77" s="918">
        <f t="shared" ca="1" si="225"/>
        <v>0</v>
      </c>
      <c r="CK77" s="918" t="e">
        <f t="shared" ca="1" si="225"/>
        <v>#N/A</v>
      </c>
      <c r="CL77" s="918" t="e">
        <f t="shared" ca="1" si="225"/>
        <v>#N/A</v>
      </c>
      <c r="CM77" s="921"/>
      <c r="CN77" s="918">
        <f t="shared" ref="CN77:CS84" ca="1" si="226">VLOOKUP(CN$8,INDIRECT(LU_MAT),$B77,FALSE)*$D77/$C77</f>
        <v>0</v>
      </c>
      <c r="CO77" s="918" t="e">
        <f t="shared" ca="1" si="226"/>
        <v>#N/A</v>
      </c>
      <c r="CP77" s="918">
        <f t="shared" ca="1" si="226"/>
        <v>0</v>
      </c>
      <c r="CQ77" s="918">
        <f t="shared" ca="1" si="226"/>
        <v>0</v>
      </c>
      <c r="CR77" s="918">
        <f t="shared" ca="1" si="226"/>
        <v>0</v>
      </c>
      <c r="CS77" s="1144">
        <f t="shared" ca="1" si="226"/>
        <v>0</v>
      </c>
      <c r="CT77" s="921"/>
      <c r="CU77" s="918">
        <f t="shared" ref="CU77:DL84" ca="1" si="227">VLOOKUP(CU$8,INDIRECT(LU_MAT),$B77,FALSE)*$D77/$C77</f>
        <v>0</v>
      </c>
      <c r="CV77" s="918">
        <f t="shared" ca="1" si="227"/>
        <v>0</v>
      </c>
      <c r="CW77" s="918">
        <f t="shared" ca="1" si="227"/>
        <v>0</v>
      </c>
      <c r="CX77" s="918">
        <f t="shared" ca="1" si="227"/>
        <v>0</v>
      </c>
      <c r="CY77" s="918">
        <f t="shared" ca="1" si="227"/>
        <v>0</v>
      </c>
      <c r="CZ77" s="1144" t="e">
        <f t="shared" ca="1" si="227"/>
        <v>#N/A</v>
      </c>
      <c r="DA77" s="1144" t="e">
        <f t="shared" ca="1" si="227"/>
        <v>#N/A</v>
      </c>
      <c r="DB77" s="918">
        <f t="shared" ca="1" si="227"/>
        <v>0</v>
      </c>
      <c r="DC77" s="938">
        <f t="shared" ca="1" si="227"/>
        <v>0</v>
      </c>
      <c r="DD77" s="918">
        <f t="shared" ca="1" si="227"/>
        <v>0</v>
      </c>
      <c r="DE77" s="918">
        <f t="shared" ca="1" si="227"/>
        <v>0</v>
      </c>
      <c r="DF77" s="918">
        <f t="shared" ca="1" si="227"/>
        <v>0</v>
      </c>
      <c r="DG77" s="918">
        <f t="shared" ca="1" si="227"/>
        <v>0</v>
      </c>
      <c r="DH77" s="918">
        <f t="shared" ca="1" si="227"/>
        <v>0</v>
      </c>
      <c r="DI77" s="921"/>
      <c r="DJ77" s="1144">
        <f t="shared" ca="1" si="227"/>
        <v>0</v>
      </c>
      <c r="DK77" s="1144">
        <f t="shared" ca="1" si="227"/>
        <v>0</v>
      </c>
      <c r="DL77" s="1144">
        <f t="shared" ca="1" si="227"/>
        <v>0</v>
      </c>
      <c r="DM77" s="1144">
        <f t="shared" ca="1" si="217"/>
        <v>0</v>
      </c>
      <c r="DN77" s="1144" t="e">
        <f t="shared" ca="1" si="217"/>
        <v>#N/A</v>
      </c>
      <c r="DO77" s="1144">
        <f t="shared" ca="1" si="217"/>
        <v>0</v>
      </c>
      <c r="DP77" s="1144" t="e">
        <f t="shared" ca="1" si="217"/>
        <v>#N/A</v>
      </c>
      <c r="DQ77" s="921"/>
      <c r="DR77" s="1144">
        <f t="shared" ca="1" si="208"/>
        <v>0</v>
      </c>
      <c r="DS77" s="1144">
        <f t="shared" ca="1" si="208"/>
        <v>0</v>
      </c>
      <c r="DT77" s="1144">
        <f t="shared" ca="1" si="208"/>
        <v>0</v>
      </c>
      <c r="DU77" s="1144" t="e">
        <f t="shared" ca="1" si="208"/>
        <v>#N/A</v>
      </c>
      <c r="DV77" s="920"/>
      <c r="DW77" s="921"/>
      <c r="DX77" s="918">
        <f t="shared" ca="1" si="209"/>
        <v>0</v>
      </c>
      <c r="DY77" s="918">
        <f t="shared" ca="1" si="209"/>
        <v>0</v>
      </c>
      <c r="DZ77" s="918">
        <f t="shared" ca="1" si="209"/>
        <v>0</v>
      </c>
      <c r="EA77" s="918" t="e">
        <f t="shared" ca="1" si="209"/>
        <v>#N/A</v>
      </c>
      <c r="EB77" s="920"/>
      <c r="EC77" s="921"/>
      <c r="ED77" s="1144">
        <f t="shared" ca="1" si="210"/>
        <v>0</v>
      </c>
      <c r="EE77" s="1144">
        <f t="shared" ca="1" si="210"/>
        <v>0</v>
      </c>
      <c r="EF77" s="1144" t="e">
        <f t="shared" ca="1" si="210"/>
        <v>#N/A</v>
      </c>
      <c r="EG77" s="1144" t="e">
        <f t="shared" ca="1" si="210"/>
        <v>#N/A</v>
      </c>
      <c r="EH77" s="920"/>
      <c r="EI77" s="921"/>
      <c r="EJ77" s="918">
        <f t="shared" ca="1" si="211"/>
        <v>0</v>
      </c>
      <c r="EK77" s="918">
        <f t="shared" ca="1" si="211"/>
        <v>0</v>
      </c>
      <c r="EL77" s="918">
        <f t="shared" ca="1" si="211"/>
        <v>0</v>
      </c>
      <c r="EM77" s="918">
        <f t="shared" ca="1" si="211"/>
        <v>0</v>
      </c>
      <c r="EN77" s="920"/>
      <c r="EO77" s="921"/>
      <c r="EP77" s="1144">
        <f t="shared" ca="1" si="212"/>
        <v>0</v>
      </c>
      <c r="EQ77" s="1144">
        <f t="shared" ca="1" si="212"/>
        <v>0</v>
      </c>
      <c r="ER77" s="1144">
        <f t="shared" ca="1" si="212"/>
        <v>0</v>
      </c>
      <c r="ES77" s="1144">
        <f t="shared" ca="1" si="212"/>
        <v>0</v>
      </c>
      <c r="ET77" s="920"/>
      <c r="EU77" s="921"/>
      <c r="EV77" s="1144">
        <f t="shared" ca="1" si="218"/>
        <v>0</v>
      </c>
      <c r="EW77" s="1144">
        <f t="shared" ca="1" si="218"/>
        <v>0</v>
      </c>
      <c r="EX77" s="921"/>
      <c r="EY77" s="1144">
        <f t="shared" ca="1" si="218"/>
        <v>0</v>
      </c>
      <c r="EZ77" s="1144">
        <f t="shared" ca="1" si="218"/>
        <v>0</v>
      </c>
      <c r="FA77" s="1144" t="e">
        <f t="shared" ca="1" si="218"/>
        <v>#N/A</v>
      </c>
      <c r="FB77" s="921"/>
      <c r="FC77" s="918">
        <f t="shared" ref="FC77:FL84" ca="1" si="228">VLOOKUP(FC$8,INDIRECT(LU_MAT),$B77,FALSE)*$D77/$C77</f>
        <v>-4.8845813178292063</v>
      </c>
      <c r="FD77" s="918">
        <f t="shared" ca="1" si="228"/>
        <v>0</v>
      </c>
      <c r="FE77" s="918">
        <f t="shared" ca="1" si="228"/>
        <v>0</v>
      </c>
      <c r="FF77" s="918">
        <f t="shared" ca="1" si="228"/>
        <v>0</v>
      </c>
      <c r="FG77" s="918">
        <f t="shared" ca="1" si="228"/>
        <v>0</v>
      </c>
      <c r="FH77" s="918">
        <f t="shared" ca="1" si="228"/>
        <v>0</v>
      </c>
      <c r="FI77" s="918">
        <f t="shared" ca="1" si="228"/>
        <v>0</v>
      </c>
      <c r="FJ77" s="918">
        <f t="shared" ca="1" si="228"/>
        <v>0</v>
      </c>
      <c r="FK77" s="918">
        <f t="shared" ca="1" si="228"/>
        <v>0</v>
      </c>
      <c r="FL77" s="918">
        <f t="shared" ca="1" si="228"/>
        <v>0</v>
      </c>
      <c r="FM77" s="918" t="e">
        <f t="shared" ref="FM77:GB84" ca="1" si="229">VLOOKUP(FM$8,INDIRECT(LU_MAT),$B77,FALSE)*$D77/$C77</f>
        <v>#N/A</v>
      </c>
      <c r="FN77" s="1144">
        <f t="shared" ca="1" si="229"/>
        <v>0</v>
      </c>
      <c r="FO77" s="1144">
        <f t="shared" ca="1" si="229"/>
        <v>0</v>
      </c>
      <c r="FP77" s="918">
        <f t="shared" ca="1" si="229"/>
        <v>0</v>
      </c>
      <c r="FQ77" s="918">
        <f t="shared" ca="1" si="229"/>
        <v>0</v>
      </c>
      <c r="FR77" s="918">
        <f t="shared" ca="1" si="229"/>
        <v>0</v>
      </c>
      <c r="FS77" s="918">
        <f t="shared" ca="1" si="229"/>
        <v>0</v>
      </c>
      <c r="FT77" s="918">
        <f t="shared" ca="1" si="229"/>
        <v>0</v>
      </c>
      <c r="FU77" s="918" t="e">
        <f t="shared" ca="1" si="229"/>
        <v>#N/A</v>
      </c>
      <c r="FV77" s="1144" t="e">
        <f t="shared" ca="1" si="229"/>
        <v>#N/A</v>
      </c>
      <c r="FW77" s="918">
        <f t="shared" ca="1" si="229"/>
        <v>0</v>
      </c>
      <c r="FX77" s="918">
        <f t="shared" ca="1" si="229"/>
        <v>0</v>
      </c>
      <c r="FY77" s="918">
        <f t="shared" ca="1" si="229"/>
        <v>0</v>
      </c>
      <c r="FZ77" s="918">
        <f t="shared" ca="1" si="229"/>
        <v>0</v>
      </c>
      <c r="GA77" s="1144" t="e">
        <f t="shared" ca="1" si="229"/>
        <v>#N/A</v>
      </c>
      <c r="GB77" s="918">
        <f t="shared" ca="1" si="229"/>
        <v>0</v>
      </c>
      <c r="GC77" s="920"/>
      <c r="GD77" s="918">
        <f t="shared" ref="GD77:GO84" ca="1" si="230">VLOOKUP(GD$8,INDIRECT(LU_MAT),$B77,FALSE)*$D77/$C77</f>
        <v>0</v>
      </c>
      <c r="GE77" s="918">
        <f t="shared" ca="1" si="230"/>
        <v>0</v>
      </c>
      <c r="GF77" s="918">
        <f t="shared" ca="1" si="230"/>
        <v>0</v>
      </c>
      <c r="GG77" s="918">
        <f t="shared" ca="1" si="230"/>
        <v>0</v>
      </c>
      <c r="GH77" s="918" t="e">
        <f t="shared" ca="1" si="230"/>
        <v>#N/A</v>
      </c>
      <c r="GI77" s="1144" t="e">
        <f t="shared" ca="1" si="230"/>
        <v>#N/A</v>
      </c>
      <c r="GJ77" s="918">
        <f t="shared" ca="1" si="230"/>
        <v>0</v>
      </c>
      <c r="GK77" s="918">
        <f t="shared" ca="1" si="230"/>
        <v>0</v>
      </c>
      <c r="GL77" s="918">
        <f t="shared" ca="1" si="230"/>
        <v>0</v>
      </c>
      <c r="GM77" s="918">
        <f t="shared" ca="1" si="230"/>
        <v>0</v>
      </c>
      <c r="GN77" s="918">
        <f t="shared" ca="1" si="230"/>
        <v>0</v>
      </c>
      <c r="GO77" s="918" t="e">
        <f t="shared" ca="1" si="230"/>
        <v>#N/A</v>
      </c>
      <c r="GP77" s="915"/>
      <c r="GR77" s="946"/>
      <c r="GS77" s="946"/>
      <c r="GU77" s="946"/>
      <c r="GV77" s="946"/>
      <c r="GW77" s="946"/>
      <c r="GX77" s="1143"/>
      <c r="GY77" s="946"/>
    </row>
    <row r="78" spans="1:207" s="914" customFormat="1" x14ac:dyDescent="0.3">
      <c r="A78" s="975" t="s">
        <v>1551</v>
      </c>
      <c r="B78" s="974">
        <v>131</v>
      </c>
      <c r="C78" s="973">
        <v>132.11612</v>
      </c>
      <c r="D78" s="914">
        <v>-0.51886643737722915</v>
      </c>
      <c r="E78" s="972" t="s">
        <v>982</v>
      </c>
      <c r="F78" s="936">
        <f t="shared" ca="1" si="219"/>
        <v>-7.7883262515104805</v>
      </c>
      <c r="G78" s="918">
        <f t="shared" ca="1" si="219"/>
        <v>0</v>
      </c>
      <c r="H78" s="918">
        <f t="shared" ca="1" si="219"/>
        <v>0</v>
      </c>
      <c r="I78" s="918">
        <f t="shared" ca="1" si="219"/>
        <v>0</v>
      </c>
      <c r="J78" s="918">
        <f t="shared" ca="1" si="219"/>
        <v>0</v>
      </c>
      <c r="K78" s="1144">
        <f t="shared" ca="1" si="219"/>
        <v>0</v>
      </c>
      <c r="L78" s="918">
        <f t="shared" ca="1" si="219"/>
        <v>0</v>
      </c>
      <c r="M78" s="918">
        <f t="shared" ca="1" si="219"/>
        <v>0</v>
      </c>
      <c r="N78" s="938">
        <f t="shared" ca="1" si="219"/>
        <v>0</v>
      </c>
      <c r="O78" s="918">
        <f t="shared" ca="1" si="219"/>
        <v>0</v>
      </c>
      <c r="P78" s="939">
        <f t="shared" ca="1" si="219"/>
        <v>-0.20249648246072546</v>
      </c>
      <c r="Q78" s="921"/>
      <c r="R78" s="918">
        <f t="shared" ca="1" si="220"/>
        <v>-0.20249648246072546</v>
      </c>
      <c r="S78" s="918">
        <f t="shared" ca="1" si="220"/>
        <v>0</v>
      </c>
      <c r="T78" s="918">
        <f t="shared" ca="1" si="220"/>
        <v>0</v>
      </c>
      <c r="U78" s="918">
        <f t="shared" ca="1" si="220"/>
        <v>0</v>
      </c>
      <c r="V78" s="918">
        <f t="shared" ca="1" si="220"/>
        <v>0</v>
      </c>
      <c r="W78" s="918">
        <f t="shared" ca="1" si="220"/>
        <v>0</v>
      </c>
      <c r="X78" s="938">
        <f t="shared" ca="1" si="220"/>
        <v>0</v>
      </c>
      <c r="Y78" s="918">
        <f t="shared" ca="1" si="220"/>
        <v>-0.20249648246072546</v>
      </c>
      <c r="Z78" s="918">
        <f t="shared" ca="1" si="220"/>
        <v>0</v>
      </c>
      <c r="AA78" s="918">
        <f t="shared" ca="1" si="220"/>
        <v>0</v>
      </c>
      <c r="AB78" s="921"/>
      <c r="AC78" s="918">
        <f t="shared" ca="1" si="221"/>
        <v>0</v>
      </c>
      <c r="AD78" s="918">
        <f t="shared" ca="1" si="221"/>
        <v>0</v>
      </c>
      <c r="AE78" s="918">
        <f t="shared" ca="1" si="221"/>
        <v>0</v>
      </c>
      <c r="AF78" s="918">
        <f t="shared" ca="1" si="221"/>
        <v>0</v>
      </c>
      <c r="AG78" s="918">
        <f t="shared" ca="1" si="221"/>
        <v>0</v>
      </c>
      <c r="AH78" s="918">
        <f t="shared" ca="1" si="221"/>
        <v>0</v>
      </c>
      <c r="AI78" s="918">
        <f t="shared" ca="1" si="221"/>
        <v>0</v>
      </c>
      <c r="AJ78" s="918">
        <f t="shared" ca="1" si="221"/>
        <v>0</v>
      </c>
      <c r="AK78" s="938">
        <f t="shared" ca="1" si="221"/>
        <v>0</v>
      </c>
      <c r="AL78" s="918">
        <f t="shared" ca="1" si="221"/>
        <v>0</v>
      </c>
      <c r="AM78" s="918">
        <f t="shared" ca="1" si="221"/>
        <v>0</v>
      </c>
      <c r="AN78" s="918">
        <f t="shared" ca="1" si="221"/>
        <v>0</v>
      </c>
      <c r="AO78" s="921"/>
      <c r="AP78" s="1144">
        <f t="shared" ca="1" si="216"/>
        <v>-0.20249648246072546</v>
      </c>
      <c r="AQ78" s="1144">
        <f t="shared" ca="1" si="216"/>
        <v>0</v>
      </c>
      <c r="AR78" s="1144">
        <f t="shared" ca="1" si="216"/>
        <v>0</v>
      </c>
      <c r="AS78" s="1144">
        <f t="shared" ca="1" si="216"/>
        <v>0</v>
      </c>
      <c r="AT78" s="938">
        <f t="shared" ca="1" si="216"/>
        <v>0</v>
      </c>
      <c r="AU78" s="938">
        <f t="shared" ca="1" si="216"/>
        <v>0</v>
      </c>
      <c r="AV78" s="1144">
        <f t="shared" ca="1" si="216"/>
        <v>0</v>
      </c>
      <c r="AW78" s="1144">
        <f t="shared" ca="1" si="216"/>
        <v>0</v>
      </c>
      <c r="AX78" s="1144">
        <f t="shared" ca="1" si="216"/>
        <v>0</v>
      </c>
      <c r="AY78" s="1144">
        <f t="shared" ca="1" si="216"/>
        <v>0</v>
      </c>
      <c r="AZ78" s="1144">
        <f t="shared" ca="1" si="216"/>
        <v>0</v>
      </c>
      <c r="BA78" s="1144">
        <f t="shared" ca="1" si="216"/>
        <v>-4.0499296413598071E-3</v>
      </c>
      <c r="BB78" s="1144">
        <f t="shared" ca="1" si="216"/>
        <v>-0.19844655285863921</v>
      </c>
      <c r="BC78" s="1144">
        <f t="shared" ca="1" si="216"/>
        <v>0</v>
      </c>
      <c r="BD78" s="921"/>
      <c r="BE78" s="918">
        <f t="shared" ca="1" si="222"/>
        <v>-0.20249648246072546</v>
      </c>
      <c r="BF78" s="918">
        <f t="shared" ca="1" si="222"/>
        <v>0</v>
      </c>
      <c r="BG78" s="918">
        <f t="shared" ca="1" si="222"/>
        <v>0</v>
      </c>
      <c r="BH78" s="918">
        <f t="shared" ca="1" si="222"/>
        <v>0</v>
      </c>
      <c r="BI78" s="938">
        <f t="shared" ca="1" si="222"/>
        <v>0</v>
      </c>
      <c r="BJ78" s="918">
        <f t="shared" ca="1" si="222"/>
        <v>0</v>
      </c>
      <c r="BK78" s="918">
        <f t="shared" ca="1" si="222"/>
        <v>0</v>
      </c>
      <c r="BL78" s="918">
        <f t="shared" ca="1" si="222"/>
        <v>0</v>
      </c>
      <c r="BM78" s="918">
        <f t="shared" ca="1" si="222"/>
        <v>-0.20249648246072546</v>
      </c>
      <c r="BN78" s="1144">
        <f t="shared" ca="1" si="222"/>
        <v>0</v>
      </c>
      <c r="BO78" s="918">
        <f t="shared" ca="1" si="222"/>
        <v>0</v>
      </c>
      <c r="BP78" s="921"/>
      <c r="BQ78" s="918">
        <f t="shared" ca="1" si="223"/>
        <v>0</v>
      </c>
      <c r="BR78" s="918">
        <f t="shared" ca="1" si="223"/>
        <v>-0.20249648246072546</v>
      </c>
      <c r="BS78" s="1144">
        <f t="shared" ca="1" si="223"/>
        <v>0</v>
      </c>
      <c r="BT78" s="918">
        <f t="shared" ca="1" si="223"/>
        <v>-4.0499296413598071E-3</v>
      </c>
      <c r="BU78" s="918">
        <f t="shared" ca="1" si="223"/>
        <v>0</v>
      </c>
      <c r="BV78" s="918">
        <f t="shared" ca="1" si="223"/>
        <v>-0.19844655285863921</v>
      </c>
      <c r="BW78" s="1144">
        <f t="shared" ca="1" si="223"/>
        <v>0</v>
      </c>
      <c r="BX78" s="921"/>
      <c r="BY78" s="918">
        <f t="shared" ca="1" si="224"/>
        <v>-0.19844655285863921</v>
      </c>
      <c r="BZ78" s="918">
        <f t="shared" ca="1" si="224"/>
        <v>0</v>
      </c>
      <c r="CA78" s="918">
        <f t="shared" ca="1" si="224"/>
        <v>0</v>
      </c>
      <c r="CB78" s="918">
        <f t="shared" ca="1" si="224"/>
        <v>-4.0499296413598071E-3</v>
      </c>
      <c r="CC78" s="918">
        <f t="shared" ca="1" si="224"/>
        <v>0</v>
      </c>
      <c r="CD78" s="918">
        <f t="shared" ca="1" si="224"/>
        <v>0</v>
      </c>
      <c r="CE78" s="918">
        <f t="shared" ca="1" si="224"/>
        <v>0</v>
      </c>
      <c r="CF78" s="918">
        <f t="shared" ca="1" si="224"/>
        <v>0</v>
      </c>
      <c r="CG78" s="921"/>
      <c r="CH78" s="918">
        <f t="shared" ca="1" si="225"/>
        <v>0</v>
      </c>
      <c r="CI78" s="918">
        <f t="shared" ca="1" si="225"/>
        <v>-0.20249648246072546</v>
      </c>
      <c r="CJ78" s="918">
        <f t="shared" ca="1" si="225"/>
        <v>0</v>
      </c>
      <c r="CK78" s="918" t="e">
        <f t="shared" ca="1" si="225"/>
        <v>#N/A</v>
      </c>
      <c r="CL78" s="918" t="e">
        <f t="shared" ca="1" si="225"/>
        <v>#N/A</v>
      </c>
      <c r="CM78" s="921"/>
      <c r="CN78" s="918">
        <f t="shared" ca="1" si="226"/>
        <v>0</v>
      </c>
      <c r="CO78" s="918" t="e">
        <f t="shared" ca="1" si="226"/>
        <v>#N/A</v>
      </c>
      <c r="CP78" s="918">
        <f t="shared" ca="1" si="226"/>
        <v>0</v>
      </c>
      <c r="CQ78" s="918">
        <f t="shared" ca="1" si="226"/>
        <v>0</v>
      </c>
      <c r="CR78" s="918">
        <f t="shared" ca="1" si="226"/>
        <v>0</v>
      </c>
      <c r="CS78" s="1144">
        <f t="shared" ca="1" si="226"/>
        <v>0</v>
      </c>
      <c r="CT78" s="921"/>
      <c r="CU78" s="918">
        <f t="shared" ca="1" si="227"/>
        <v>0</v>
      </c>
      <c r="CV78" s="918">
        <f t="shared" ca="1" si="227"/>
        <v>0</v>
      </c>
      <c r="CW78" s="918">
        <f t="shared" ca="1" si="227"/>
        <v>0</v>
      </c>
      <c r="CX78" s="918">
        <f t="shared" ca="1" si="227"/>
        <v>-4.0499296413598071E-3</v>
      </c>
      <c r="CY78" s="918">
        <f t="shared" ca="1" si="227"/>
        <v>0</v>
      </c>
      <c r="CZ78" s="1144" t="e">
        <f t="shared" ca="1" si="227"/>
        <v>#N/A</v>
      </c>
      <c r="DA78" s="1144" t="e">
        <f t="shared" ca="1" si="227"/>
        <v>#N/A</v>
      </c>
      <c r="DB78" s="918">
        <f t="shared" ca="1" si="227"/>
        <v>0</v>
      </c>
      <c r="DC78" s="938">
        <f t="shared" ca="1" si="227"/>
        <v>0</v>
      </c>
      <c r="DD78" s="918">
        <f t="shared" ca="1" si="227"/>
        <v>0</v>
      </c>
      <c r="DE78" s="918">
        <f t="shared" ca="1" si="227"/>
        <v>0</v>
      </c>
      <c r="DF78" s="918">
        <f t="shared" ca="1" si="227"/>
        <v>0</v>
      </c>
      <c r="DG78" s="918">
        <f t="shared" ca="1" si="227"/>
        <v>0</v>
      </c>
      <c r="DH78" s="918">
        <f t="shared" ca="1" si="227"/>
        <v>-4.0499296413598071E-3</v>
      </c>
      <c r="DI78" s="921"/>
      <c r="DJ78" s="1144">
        <f t="shared" ca="1" si="217"/>
        <v>-2.9998468368265738E-2</v>
      </c>
      <c r="DK78" s="1144">
        <f t="shared" ca="1" si="217"/>
        <v>-1.2499361810292342E-3</v>
      </c>
      <c r="DL78" s="1144">
        <f t="shared" ca="1" si="217"/>
        <v>0</v>
      </c>
      <c r="DM78" s="1144">
        <f t="shared" ca="1" si="217"/>
        <v>0</v>
      </c>
      <c r="DN78" s="1144" t="e">
        <f t="shared" ca="1" si="217"/>
        <v>#N/A</v>
      </c>
      <c r="DO78" s="1144">
        <f t="shared" ca="1" si="217"/>
        <v>-3.124840456500437E-2</v>
      </c>
      <c r="DP78" s="1144" t="e">
        <f t="shared" ca="1" si="217"/>
        <v>#N/A</v>
      </c>
      <c r="DQ78" s="921"/>
      <c r="DR78" s="1144">
        <f t="shared" ca="1" si="208"/>
        <v>0</v>
      </c>
      <c r="DS78" s="1144">
        <f t="shared" ca="1" si="208"/>
        <v>0</v>
      </c>
      <c r="DT78" s="1144">
        <f t="shared" ca="1" si="208"/>
        <v>0</v>
      </c>
      <c r="DU78" s="1144" t="e">
        <f t="shared" ca="1" si="208"/>
        <v>#N/A</v>
      </c>
      <c r="DV78" s="920"/>
      <c r="DW78" s="921"/>
      <c r="DX78" s="918">
        <f t="shared" ca="1" si="209"/>
        <v>0</v>
      </c>
      <c r="DY78" s="918">
        <f t="shared" ca="1" si="209"/>
        <v>0</v>
      </c>
      <c r="DZ78" s="918">
        <f t="shared" ca="1" si="209"/>
        <v>0</v>
      </c>
      <c r="EA78" s="918" t="e">
        <f t="shared" ca="1" si="209"/>
        <v>#N/A</v>
      </c>
      <c r="EB78" s="920"/>
      <c r="EC78" s="921"/>
      <c r="ED78" s="1144">
        <f t="shared" ca="1" si="210"/>
        <v>0</v>
      </c>
      <c r="EE78" s="1144">
        <f t="shared" ca="1" si="210"/>
        <v>0</v>
      </c>
      <c r="EF78" s="1144" t="e">
        <f t="shared" ca="1" si="210"/>
        <v>#N/A</v>
      </c>
      <c r="EG78" s="1144" t="e">
        <f t="shared" ca="1" si="210"/>
        <v>#N/A</v>
      </c>
      <c r="EH78" s="920"/>
      <c r="EI78" s="921"/>
      <c r="EJ78" s="918">
        <f t="shared" ca="1" si="211"/>
        <v>0</v>
      </c>
      <c r="EK78" s="918">
        <f t="shared" ca="1" si="211"/>
        <v>0</v>
      </c>
      <c r="EL78" s="918">
        <f t="shared" ca="1" si="211"/>
        <v>0</v>
      </c>
      <c r="EM78" s="918">
        <f t="shared" ca="1" si="211"/>
        <v>0</v>
      </c>
      <c r="EN78" s="920"/>
      <c r="EO78" s="921"/>
      <c r="EP78" s="1144">
        <f t="shared" ca="1" si="212"/>
        <v>0</v>
      </c>
      <c r="EQ78" s="1144">
        <f t="shared" ca="1" si="212"/>
        <v>0</v>
      </c>
      <c r="ER78" s="1144">
        <f t="shared" ca="1" si="212"/>
        <v>0</v>
      </c>
      <c r="ES78" s="1144">
        <f t="shared" ca="1" si="212"/>
        <v>0</v>
      </c>
      <c r="ET78" s="920"/>
      <c r="EU78" s="921"/>
      <c r="EV78" s="1144">
        <f t="shared" ca="1" si="218"/>
        <v>0</v>
      </c>
      <c r="EW78" s="1144">
        <f t="shared" ca="1" si="218"/>
        <v>0</v>
      </c>
      <c r="EX78" s="921"/>
      <c r="EY78" s="1144">
        <f t="shared" ca="1" si="218"/>
        <v>0</v>
      </c>
      <c r="EZ78" s="1144">
        <f t="shared" ca="1" si="218"/>
        <v>0</v>
      </c>
      <c r="FA78" s="1144" t="e">
        <f t="shared" ca="1" si="218"/>
        <v>#N/A</v>
      </c>
      <c r="FB78" s="921"/>
      <c r="FC78" s="918">
        <f t="shared" ca="1" si="228"/>
        <v>-7.7883262515104805</v>
      </c>
      <c r="FD78" s="918">
        <f t="shared" ca="1" si="228"/>
        <v>0</v>
      </c>
      <c r="FE78" s="918">
        <f t="shared" ca="1" si="228"/>
        <v>0</v>
      </c>
      <c r="FF78" s="918">
        <f t="shared" ca="1" si="228"/>
        <v>0</v>
      </c>
      <c r="FG78" s="918">
        <f t="shared" ca="1" si="228"/>
        <v>0</v>
      </c>
      <c r="FH78" s="918">
        <f t="shared" ca="1" si="228"/>
        <v>0</v>
      </c>
      <c r="FI78" s="918">
        <f t="shared" ca="1" si="228"/>
        <v>0</v>
      </c>
      <c r="FJ78" s="918">
        <f t="shared" ca="1" si="228"/>
        <v>0</v>
      </c>
      <c r="FK78" s="918">
        <f t="shared" ca="1" si="228"/>
        <v>0</v>
      </c>
      <c r="FL78" s="918">
        <f t="shared" ca="1" si="228"/>
        <v>0</v>
      </c>
      <c r="FM78" s="918" t="e">
        <f t="shared" ca="1" si="229"/>
        <v>#N/A</v>
      </c>
      <c r="FN78" s="1144">
        <f t="shared" ca="1" si="229"/>
        <v>0</v>
      </c>
      <c r="FO78" s="1144">
        <f t="shared" ca="1" si="229"/>
        <v>0</v>
      </c>
      <c r="FP78" s="918">
        <f t="shared" ca="1" si="229"/>
        <v>0</v>
      </c>
      <c r="FQ78" s="918">
        <f t="shared" ca="1" si="229"/>
        <v>0</v>
      </c>
      <c r="FR78" s="918">
        <f t="shared" ca="1" si="229"/>
        <v>0</v>
      </c>
      <c r="FS78" s="918">
        <f t="shared" ca="1" si="229"/>
        <v>0</v>
      </c>
      <c r="FT78" s="918">
        <f t="shared" ca="1" si="229"/>
        <v>0</v>
      </c>
      <c r="FU78" s="918" t="e">
        <f t="shared" ca="1" si="229"/>
        <v>#N/A</v>
      </c>
      <c r="FV78" s="1144" t="e">
        <f t="shared" ca="1" si="229"/>
        <v>#N/A</v>
      </c>
      <c r="FW78" s="918">
        <f t="shared" ca="1" si="229"/>
        <v>0</v>
      </c>
      <c r="FX78" s="918">
        <f t="shared" ca="1" si="229"/>
        <v>0</v>
      </c>
      <c r="FY78" s="918">
        <f t="shared" ca="1" si="229"/>
        <v>0</v>
      </c>
      <c r="FZ78" s="918">
        <f t="shared" ca="1" si="229"/>
        <v>0</v>
      </c>
      <c r="GA78" s="1144" t="e">
        <f t="shared" ca="1" si="229"/>
        <v>#N/A</v>
      </c>
      <c r="GB78" s="918">
        <f t="shared" ca="1" si="229"/>
        <v>0</v>
      </c>
      <c r="GC78" s="920"/>
      <c r="GD78" s="918">
        <f t="shared" ca="1" si="230"/>
        <v>0</v>
      </c>
      <c r="GE78" s="918">
        <f t="shared" ca="1" si="230"/>
        <v>0</v>
      </c>
      <c r="GF78" s="918">
        <f t="shared" ca="1" si="230"/>
        <v>0</v>
      </c>
      <c r="GG78" s="918">
        <f t="shared" ca="1" si="230"/>
        <v>0</v>
      </c>
      <c r="GH78" s="918" t="e">
        <f t="shared" ca="1" si="230"/>
        <v>#N/A</v>
      </c>
      <c r="GI78" s="1144" t="e">
        <f t="shared" ca="1" si="230"/>
        <v>#N/A</v>
      </c>
      <c r="GJ78" s="918">
        <f t="shared" ca="1" si="230"/>
        <v>0</v>
      </c>
      <c r="GK78" s="918">
        <f t="shared" ca="1" si="230"/>
        <v>0</v>
      </c>
      <c r="GL78" s="918">
        <f t="shared" ca="1" si="230"/>
        <v>0</v>
      </c>
      <c r="GM78" s="918">
        <f t="shared" ca="1" si="230"/>
        <v>0</v>
      </c>
      <c r="GN78" s="918">
        <f t="shared" ca="1" si="230"/>
        <v>0</v>
      </c>
      <c r="GO78" s="918" t="e">
        <f t="shared" ca="1" si="230"/>
        <v>#N/A</v>
      </c>
      <c r="GP78" s="915"/>
      <c r="GR78" s="946"/>
      <c r="GS78" s="946"/>
      <c r="GU78" s="946"/>
      <c r="GV78" s="946"/>
      <c r="GW78" s="946"/>
      <c r="GX78" s="1143"/>
      <c r="GY78" s="946"/>
    </row>
    <row r="79" spans="1:207" s="914" customFormat="1" x14ac:dyDescent="0.3">
      <c r="A79" s="975" t="s">
        <v>1552</v>
      </c>
      <c r="B79" s="974">
        <v>129</v>
      </c>
      <c r="C79" s="973">
        <v>162.14239999999998</v>
      </c>
      <c r="D79" s="914">
        <v>-0.61951084360746889</v>
      </c>
      <c r="E79" s="972" t="s">
        <v>982</v>
      </c>
      <c r="F79" s="936">
        <f t="shared" ca="1" si="219"/>
        <v>-1.9101654048372276</v>
      </c>
      <c r="G79" s="918">
        <f t="shared" ca="1" si="219"/>
        <v>0</v>
      </c>
      <c r="H79" s="918">
        <f t="shared" ca="1" si="219"/>
        <v>0</v>
      </c>
      <c r="I79" s="918">
        <f t="shared" ca="1" si="219"/>
        <v>0</v>
      </c>
      <c r="J79" s="918">
        <f t="shared" ca="1" si="219"/>
        <v>0</v>
      </c>
      <c r="K79" s="1144">
        <f t="shared" ca="1" si="219"/>
        <v>0</v>
      </c>
      <c r="L79" s="918">
        <f t="shared" ca="1" si="219"/>
        <v>0</v>
      </c>
      <c r="M79" s="918">
        <f t="shared" ca="1" si="219"/>
        <v>0</v>
      </c>
      <c r="N79" s="938">
        <f t="shared" ca="1" si="219"/>
        <v>0</v>
      </c>
      <c r="O79" s="918">
        <f t="shared" ca="1" si="219"/>
        <v>0</v>
      </c>
      <c r="P79" s="939">
        <f t="shared" ca="1" si="219"/>
        <v>-4.9664300655674516E-2</v>
      </c>
      <c r="Q79" s="921"/>
      <c r="R79" s="918">
        <f t="shared" ca="1" si="220"/>
        <v>-4.9664300655674516E-2</v>
      </c>
      <c r="S79" s="918">
        <f t="shared" ca="1" si="220"/>
        <v>0</v>
      </c>
      <c r="T79" s="918">
        <f t="shared" ca="1" si="220"/>
        <v>0</v>
      </c>
      <c r="U79" s="918">
        <f t="shared" ca="1" si="220"/>
        <v>0</v>
      </c>
      <c r="V79" s="918">
        <f t="shared" ca="1" si="220"/>
        <v>0</v>
      </c>
      <c r="W79" s="918">
        <f t="shared" ca="1" si="220"/>
        <v>0</v>
      </c>
      <c r="X79" s="938">
        <f t="shared" ca="1" si="220"/>
        <v>0</v>
      </c>
      <c r="Y79" s="918">
        <f t="shared" ca="1" si="220"/>
        <v>-4.9664300655674516E-2</v>
      </c>
      <c r="Z79" s="918">
        <f t="shared" ca="1" si="220"/>
        <v>0</v>
      </c>
      <c r="AA79" s="918">
        <f t="shared" ca="1" si="220"/>
        <v>0</v>
      </c>
      <c r="AB79" s="921"/>
      <c r="AC79" s="918">
        <f t="shared" ca="1" si="221"/>
        <v>0</v>
      </c>
      <c r="AD79" s="918">
        <f t="shared" ca="1" si="221"/>
        <v>0</v>
      </c>
      <c r="AE79" s="918">
        <f t="shared" ca="1" si="221"/>
        <v>0</v>
      </c>
      <c r="AF79" s="918">
        <f t="shared" ca="1" si="221"/>
        <v>0</v>
      </c>
      <c r="AG79" s="918">
        <f t="shared" ca="1" si="221"/>
        <v>0</v>
      </c>
      <c r="AH79" s="918">
        <f t="shared" ca="1" si="221"/>
        <v>0</v>
      </c>
      <c r="AI79" s="918">
        <f t="shared" ca="1" si="221"/>
        <v>0</v>
      </c>
      <c r="AJ79" s="918">
        <f t="shared" ca="1" si="221"/>
        <v>0</v>
      </c>
      <c r="AK79" s="938">
        <f t="shared" ca="1" si="221"/>
        <v>0</v>
      </c>
      <c r="AL79" s="918">
        <f t="shared" ca="1" si="221"/>
        <v>0</v>
      </c>
      <c r="AM79" s="918">
        <f t="shared" ca="1" si="221"/>
        <v>0</v>
      </c>
      <c r="AN79" s="918">
        <f t="shared" ca="1" si="221"/>
        <v>0</v>
      </c>
      <c r="AO79" s="921"/>
      <c r="AP79" s="1144">
        <f t="shared" ca="1" si="216"/>
        <v>-4.9664300655674516E-2</v>
      </c>
      <c r="AQ79" s="1144">
        <f t="shared" ca="1" si="216"/>
        <v>0</v>
      </c>
      <c r="AR79" s="1144">
        <f t="shared" ca="1" si="216"/>
        <v>0</v>
      </c>
      <c r="AS79" s="1144">
        <f t="shared" ca="1" si="216"/>
        <v>0</v>
      </c>
      <c r="AT79" s="938">
        <f t="shared" ca="1" si="216"/>
        <v>0</v>
      </c>
      <c r="AU79" s="938">
        <f t="shared" ca="1" si="216"/>
        <v>0</v>
      </c>
      <c r="AV79" s="1144">
        <f t="shared" ca="1" si="216"/>
        <v>0</v>
      </c>
      <c r="AW79" s="1144">
        <f t="shared" ca="1" si="216"/>
        <v>0</v>
      </c>
      <c r="AX79" s="1144">
        <f t="shared" ca="1" si="216"/>
        <v>0</v>
      </c>
      <c r="AY79" s="1144">
        <f t="shared" ca="1" si="216"/>
        <v>0</v>
      </c>
      <c r="AZ79" s="1144">
        <f t="shared" ca="1" si="216"/>
        <v>0</v>
      </c>
      <c r="BA79" s="1144">
        <f t="shared" ca="1" si="216"/>
        <v>-9.9328601311349045E-4</v>
      </c>
      <c r="BB79" s="1144">
        <f t="shared" ca="1" si="216"/>
        <v>-4.8671014505012856E-2</v>
      </c>
      <c r="BC79" s="1144">
        <f t="shared" ca="1" si="216"/>
        <v>0</v>
      </c>
      <c r="BD79" s="921"/>
      <c r="BE79" s="918">
        <f t="shared" ca="1" si="222"/>
        <v>-4.9664300655674516E-2</v>
      </c>
      <c r="BF79" s="918">
        <f t="shared" ca="1" si="222"/>
        <v>0</v>
      </c>
      <c r="BG79" s="918">
        <f t="shared" ca="1" si="222"/>
        <v>0</v>
      </c>
      <c r="BH79" s="918">
        <f t="shared" ca="1" si="222"/>
        <v>0</v>
      </c>
      <c r="BI79" s="938">
        <f t="shared" ca="1" si="222"/>
        <v>0</v>
      </c>
      <c r="BJ79" s="918">
        <f t="shared" ca="1" si="222"/>
        <v>0</v>
      </c>
      <c r="BK79" s="918">
        <f t="shared" ca="1" si="222"/>
        <v>0</v>
      </c>
      <c r="BL79" s="918">
        <f t="shared" ca="1" si="222"/>
        <v>0</v>
      </c>
      <c r="BM79" s="918">
        <f t="shared" ca="1" si="222"/>
        <v>-4.9664300655674516E-2</v>
      </c>
      <c r="BN79" s="1144">
        <f t="shared" ca="1" si="222"/>
        <v>0</v>
      </c>
      <c r="BO79" s="918">
        <f t="shared" ca="1" si="222"/>
        <v>0</v>
      </c>
      <c r="BP79" s="921"/>
      <c r="BQ79" s="918">
        <f t="shared" ca="1" si="223"/>
        <v>0</v>
      </c>
      <c r="BR79" s="918">
        <f t="shared" ca="1" si="223"/>
        <v>-4.9664300655674516E-2</v>
      </c>
      <c r="BS79" s="1144">
        <f t="shared" ca="1" si="223"/>
        <v>0</v>
      </c>
      <c r="BT79" s="918">
        <f t="shared" ca="1" si="223"/>
        <v>-9.9328601311349045E-4</v>
      </c>
      <c r="BU79" s="918">
        <f t="shared" ca="1" si="223"/>
        <v>0</v>
      </c>
      <c r="BV79" s="918">
        <f t="shared" ca="1" si="223"/>
        <v>-4.8671014505012856E-2</v>
      </c>
      <c r="BW79" s="1144">
        <f t="shared" ca="1" si="223"/>
        <v>0</v>
      </c>
      <c r="BX79" s="921"/>
      <c r="BY79" s="918">
        <f t="shared" ca="1" si="224"/>
        <v>-4.8671014505012856E-2</v>
      </c>
      <c r="BZ79" s="918">
        <f t="shared" ca="1" si="224"/>
        <v>0</v>
      </c>
      <c r="CA79" s="918">
        <f t="shared" ca="1" si="224"/>
        <v>0</v>
      </c>
      <c r="CB79" s="918">
        <f t="shared" ca="1" si="224"/>
        <v>-9.93286009292708E-4</v>
      </c>
      <c r="CC79" s="918">
        <f t="shared" ca="1" si="224"/>
        <v>0</v>
      </c>
      <c r="CD79" s="918">
        <f t="shared" ca="1" si="224"/>
        <v>0</v>
      </c>
      <c r="CE79" s="918">
        <f t="shared" ca="1" si="224"/>
        <v>0</v>
      </c>
      <c r="CF79" s="918">
        <f t="shared" ca="1" si="224"/>
        <v>0</v>
      </c>
      <c r="CG79" s="921"/>
      <c r="CH79" s="918">
        <f t="shared" ca="1" si="225"/>
        <v>0</v>
      </c>
      <c r="CI79" s="918">
        <f t="shared" ca="1" si="225"/>
        <v>-4.9664300655674516E-2</v>
      </c>
      <c r="CJ79" s="918">
        <f t="shared" ca="1" si="225"/>
        <v>0</v>
      </c>
      <c r="CK79" s="918" t="e">
        <f t="shared" ca="1" si="225"/>
        <v>#N/A</v>
      </c>
      <c r="CL79" s="918" t="e">
        <f t="shared" ca="1" si="225"/>
        <v>#N/A</v>
      </c>
      <c r="CM79" s="921"/>
      <c r="CN79" s="918">
        <f t="shared" ca="1" si="226"/>
        <v>0</v>
      </c>
      <c r="CO79" s="918" t="e">
        <f t="shared" ca="1" si="226"/>
        <v>#N/A</v>
      </c>
      <c r="CP79" s="918">
        <f t="shared" ca="1" si="226"/>
        <v>0</v>
      </c>
      <c r="CQ79" s="918">
        <f t="shared" ca="1" si="226"/>
        <v>0</v>
      </c>
      <c r="CR79" s="918">
        <f t="shared" ca="1" si="226"/>
        <v>0</v>
      </c>
      <c r="CS79" s="1144">
        <f t="shared" ca="1" si="226"/>
        <v>0</v>
      </c>
      <c r="CT79" s="921"/>
      <c r="CU79" s="918">
        <f t="shared" ca="1" si="227"/>
        <v>0</v>
      </c>
      <c r="CV79" s="918">
        <f t="shared" ca="1" si="227"/>
        <v>0</v>
      </c>
      <c r="CW79" s="918">
        <f t="shared" ca="1" si="227"/>
        <v>0</v>
      </c>
      <c r="CX79" s="918">
        <f t="shared" ca="1" si="227"/>
        <v>-9.9328601311349045E-4</v>
      </c>
      <c r="CY79" s="918">
        <f t="shared" ca="1" si="227"/>
        <v>0</v>
      </c>
      <c r="CZ79" s="1144" t="e">
        <f t="shared" ca="1" si="227"/>
        <v>#N/A</v>
      </c>
      <c r="DA79" s="1144" t="e">
        <f t="shared" ca="1" si="227"/>
        <v>#N/A</v>
      </c>
      <c r="DB79" s="918">
        <f t="shared" ca="1" si="227"/>
        <v>0</v>
      </c>
      <c r="DC79" s="938">
        <f t="shared" ca="1" si="227"/>
        <v>0</v>
      </c>
      <c r="DD79" s="918">
        <f t="shared" ca="1" si="227"/>
        <v>0</v>
      </c>
      <c r="DE79" s="918">
        <f t="shared" ca="1" si="227"/>
        <v>0</v>
      </c>
      <c r="DF79" s="918">
        <f t="shared" ca="1" si="227"/>
        <v>0</v>
      </c>
      <c r="DG79" s="918">
        <f t="shared" ca="1" si="227"/>
        <v>0</v>
      </c>
      <c r="DH79" s="918">
        <f t="shared" ca="1" si="227"/>
        <v>-9.93286009292708E-4</v>
      </c>
      <c r="DI79" s="921"/>
      <c r="DJ79" s="1144">
        <f t="shared" ca="1" si="217"/>
        <v>-7.3574263099750693E-3</v>
      </c>
      <c r="DK79" s="1144">
        <f t="shared" ca="1" si="217"/>
        <v>-3.0655943009173228E-4</v>
      </c>
      <c r="DL79" s="1144">
        <f t="shared" ca="1" si="217"/>
        <v>0</v>
      </c>
      <c r="DM79" s="1144">
        <f t="shared" ca="1" si="217"/>
        <v>0</v>
      </c>
      <c r="DN79" s="1144" t="e">
        <f t="shared" ca="1" si="217"/>
        <v>#N/A</v>
      </c>
      <c r="DO79" s="1144">
        <f t="shared" ca="1" si="217"/>
        <v>-7.6639857618452639E-3</v>
      </c>
      <c r="DP79" s="1144" t="e">
        <f t="shared" ca="1" si="217"/>
        <v>#N/A</v>
      </c>
      <c r="DQ79" s="921"/>
      <c r="DR79" s="1144">
        <f t="shared" ca="1" si="208"/>
        <v>0</v>
      </c>
      <c r="DS79" s="1144">
        <f t="shared" ca="1" si="208"/>
        <v>0</v>
      </c>
      <c r="DT79" s="1144">
        <f t="shared" ca="1" si="208"/>
        <v>0</v>
      </c>
      <c r="DU79" s="1144" t="e">
        <f t="shared" ca="1" si="208"/>
        <v>#N/A</v>
      </c>
      <c r="DV79" s="920"/>
      <c r="DW79" s="921"/>
      <c r="DX79" s="918">
        <f t="shared" ca="1" si="209"/>
        <v>0</v>
      </c>
      <c r="DY79" s="918">
        <f t="shared" ca="1" si="209"/>
        <v>0</v>
      </c>
      <c r="DZ79" s="918">
        <f t="shared" ca="1" si="209"/>
        <v>0</v>
      </c>
      <c r="EA79" s="918" t="e">
        <f t="shared" ca="1" si="209"/>
        <v>#N/A</v>
      </c>
      <c r="EB79" s="920"/>
      <c r="EC79" s="921"/>
      <c r="ED79" s="1144">
        <f t="shared" ca="1" si="210"/>
        <v>0</v>
      </c>
      <c r="EE79" s="1144">
        <f t="shared" ca="1" si="210"/>
        <v>0</v>
      </c>
      <c r="EF79" s="1144" t="e">
        <f t="shared" ca="1" si="210"/>
        <v>#N/A</v>
      </c>
      <c r="EG79" s="1144" t="e">
        <f t="shared" ca="1" si="210"/>
        <v>#N/A</v>
      </c>
      <c r="EH79" s="920"/>
      <c r="EI79" s="921"/>
      <c r="EJ79" s="918">
        <f t="shared" ca="1" si="211"/>
        <v>0</v>
      </c>
      <c r="EK79" s="918">
        <f t="shared" ca="1" si="211"/>
        <v>0</v>
      </c>
      <c r="EL79" s="918">
        <f t="shared" ca="1" si="211"/>
        <v>0</v>
      </c>
      <c r="EM79" s="918">
        <f t="shared" ca="1" si="211"/>
        <v>0</v>
      </c>
      <c r="EN79" s="920"/>
      <c r="EO79" s="921"/>
      <c r="EP79" s="1144">
        <f t="shared" ca="1" si="212"/>
        <v>0</v>
      </c>
      <c r="EQ79" s="1144">
        <f t="shared" ca="1" si="212"/>
        <v>0</v>
      </c>
      <c r="ER79" s="1144">
        <f t="shared" ca="1" si="212"/>
        <v>0</v>
      </c>
      <c r="ES79" s="1144">
        <f t="shared" ca="1" si="212"/>
        <v>0</v>
      </c>
      <c r="ET79" s="920"/>
      <c r="EU79" s="921"/>
      <c r="EV79" s="1144">
        <f t="shared" ca="1" si="218"/>
        <v>0</v>
      </c>
      <c r="EW79" s="1144">
        <f t="shared" ca="1" si="218"/>
        <v>0</v>
      </c>
      <c r="EX79" s="921"/>
      <c r="EY79" s="1144">
        <f t="shared" ca="1" si="218"/>
        <v>0</v>
      </c>
      <c r="EZ79" s="1144">
        <f t="shared" ca="1" si="218"/>
        <v>0</v>
      </c>
      <c r="FA79" s="1144" t="e">
        <f t="shared" ca="1" si="218"/>
        <v>#N/A</v>
      </c>
      <c r="FB79" s="921"/>
      <c r="FC79" s="918">
        <f t="shared" ca="1" si="228"/>
        <v>-1.9101654048372276</v>
      </c>
      <c r="FD79" s="918">
        <f t="shared" ca="1" si="228"/>
        <v>0</v>
      </c>
      <c r="FE79" s="918">
        <f t="shared" ca="1" si="228"/>
        <v>0</v>
      </c>
      <c r="FF79" s="918">
        <f t="shared" ca="1" si="228"/>
        <v>0</v>
      </c>
      <c r="FG79" s="918">
        <f t="shared" ca="1" si="228"/>
        <v>0</v>
      </c>
      <c r="FH79" s="918">
        <f t="shared" ca="1" si="228"/>
        <v>0</v>
      </c>
      <c r="FI79" s="918">
        <f t="shared" ca="1" si="228"/>
        <v>0</v>
      </c>
      <c r="FJ79" s="918">
        <f t="shared" ca="1" si="228"/>
        <v>0</v>
      </c>
      <c r="FK79" s="918">
        <f t="shared" ca="1" si="228"/>
        <v>0</v>
      </c>
      <c r="FL79" s="918">
        <f t="shared" ca="1" si="228"/>
        <v>0</v>
      </c>
      <c r="FM79" s="918" t="e">
        <f t="shared" ca="1" si="229"/>
        <v>#N/A</v>
      </c>
      <c r="FN79" s="1144">
        <f t="shared" ca="1" si="229"/>
        <v>0</v>
      </c>
      <c r="FO79" s="1144">
        <f t="shared" ca="1" si="229"/>
        <v>0</v>
      </c>
      <c r="FP79" s="918">
        <f t="shared" ca="1" si="229"/>
        <v>0</v>
      </c>
      <c r="FQ79" s="918">
        <f t="shared" ca="1" si="229"/>
        <v>0</v>
      </c>
      <c r="FR79" s="918">
        <f t="shared" ca="1" si="229"/>
        <v>0</v>
      </c>
      <c r="FS79" s="918">
        <f t="shared" ca="1" si="229"/>
        <v>0</v>
      </c>
      <c r="FT79" s="918">
        <f t="shared" ca="1" si="229"/>
        <v>0</v>
      </c>
      <c r="FU79" s="918" t="e">
        <f t="shared" ca="1" si="229"/>
        <v>#N/A</v>
      </c>
      <c r="FV79" s="1144" t="e">
        <f t="shared" ca="1" si="229"/>
        <v>#N/A</v>
      </c>
      <c r="FW79" s="918">
        <f t="shared" ca="1" si="229"/>
        <v>0</v>
      </c>
      <c r="FX79" s="918">
        <f t="shared" ca="1" si="229"/>
        <v>0</v>
      </c>
      <c r="FY79" s="918">
        <f t="shared" ca="1" si="229"/>
        <v>0</v>
      </c>
      <c r="FZ79" s="918">
        <f t="shared" ca="1" si="229"/>
        <v>0</v>
      </c>
      <c r="GA79" s="1144" t="e">
        <f t="shared" ca="1" si="229"/>
        <v>#N/A</v>
      </c>
      <c r="GB79" s="918">
        <f t="shared" ca="1" si="229"/>
        <v>0</v>
      </c>
      <c r="GC79" s="920"/>
      <c r="GD79" s="918">
        <f t="shared" ca="1" si="230"/>
        <v>0</v>
      </c>
      <c r="GE79" s="918">
        <f t="shared" ca="1" si="230"/>
        <v>0</v>
      </c>
      <c r="GF79" s="918">
        <f t="shared" ca="1" si="230"/>
        <v>0</v>
      </c>
      <c r="GG79" s="918">
        <f t="shared" ca="1" si="230"/>
        <v>0</v>
      </c>
      <c r="GH79" s="918" t="e">
        <f t="shared" ca="1" si="230"/>
        <v>#N/A</v>
      </c>
      <c r="GI79" s="1144" t="e">
        <f t="shared" ca="1" si="230"/>
        <v>#N/A</v>
      </c>
      <c r="GJ79" s="918">
        <f t="shared" ca="1" si="230"/>
        <v>0</v>
      </c>
      <c r="GK79" s="918">
        <f t="shared" ca="1" si="230"/>
        <v>0</v>
      </c>
      <c r="GL79" s="918">
        <f t="shared" ca="1" si="230"/>
        <v>0</v>
      </c>
      <c r="GM79" s="918">
        <f t="shared" ca="1" si="230"/>
        <v>0</v>
      </c>
      <c r="GN79" s="918">
        <f t="shared" ca="1" si="230"/>
        <v>0</v>
      </c>
      <c r="GO79" s="918" t="e">
        <f t="shared" ca="1" si="230"/>
        <v>#N/A</v>
      </c>
      <c r="GP79" s="915"/>
      <c r="GR79" s="946"/>
      <c r="GS79" s="946"/>
      <c r="GU79" s="946"/>
      <c r="GV79" s="946"/>
      <c r="GW79" s="946"/>
      <c r="GX79" s="1143"/>
      <c r="GY79" s="946"/>
    </row>
    <row r="80" spans="1:207" s="914" customFormat="1" x14ac:dyDescent="0.3">
      <c r="A80" s="975" t="s">
        <v>1553</v>
      </c>
      <c r="B80" s="974">
        <v>128</v>
      </c>
      <c r="C80" s="973">
        <v>162.14239999999998</v>
      </c>
      <c r="D80" s="914">
        <v>-0.61951084360746889</v>
      </c>
      <c r="E80" s="972" t="s">
        <v>982</v>
      </c>
      <c r="F80" s="936">
        <f t="shared" ca="1" si="219"/>
        <v>-4.5525608807008888</v>
      </c>
      <c r="G80" s="918">
        <f t="shared" ca="1" si="219"/>
        <v>0</v>
      </c>
      <c r="H80" s="918">
        <f t="shared" ca="1" si="219"/>
        <v>0</v>
      </c>
      <c r="I80" s="918">
        <f t="shared" ca="1" si="219"/>
        <v>0</v>
      </c>
      <c r="J80" s="918">
        <f t="shared" ca="1" si="219"/>
        <v>0</v>
      </c>
      <c r="K80" s="1144">
        <f t="shared" ca="1" si="219"/>
        <v>0</v>
      </c>
      <c r="L80" s="918">
        <f t="shared" ca="1" si="219"/>
        <v>0</v>
      </c>
      <c r="M80" s="918">
        <f t="shared" ca="1" si="219"/>
        <v>0</v>
      </c>
      <c r="N80" s="938">
        <f t="shared" ca="1" si="219"/>
        <v>0</v>
      </c>
      <c r="O80" s="918">
        <f t="shared" ca="1" si="219"/>
        <v>0</v>
      </c>
      <c r="P80" s="939">
        <f t="shared" ca="1" si="219"/>
        <v>-0.11836658312747009</v>
      </c>
      <c r="Q80" s="921"/>
      <c r="R80" s="918">
        <f t="shared" ca="1" si="220"/>
        <v>-0.11836658312747009</v>
      </c>
      <c r="S80" s="918">
        <f t="shared" ca="1" si="220"/>
        <v>0</v>
      </c>
      <c r="T80" s="918">
        <f t="shared" ca="1" si="220"/>
        <v>0</v>
      </c>
      <c r="U80" s="918">
        <f t="shared" ca="1" si="220"/>
        <v>0</v>
      </c>
      <c r="V80" s="918">
        <f t="shared" ca="1" si="220"/>
        <v>0</v>
      </c>
      <c r="W80" s="918">
        <f t="shared" ca="1" si="220"/>
        <v>0</v>
      </c>
      <c r="X80" s="938">
        <f t="shared" ca="1" si="220"/>
        <v>0</v>
      </c>
      <c r="Y80" s="918">
        <f t="shared" ca="1" si="220"/>
        <v>-0.11836658312747009</v>
      </c>
      <c r="Z80" s="918">
        <f t="shared" ca="1" si="220"/>
        <v>0</v>
      </c>
      <c r="AA80" s="918">
        <f t="shared" ca="1" si="220"/>
        <v>0</v>
      </c>
      <c r="AB80" s="921"/>
      <c r="AC80" s="918">
        <f t="shared" ca="1" si="221"/>
        <v>0</v>
      </c>
      <c r="AD80" s="918">
        <f t="shared" ca="1" si="221"/>
        <v>0</v>
      </c>
      <c r="AE80" s="918">
        <f t="shared" ca="1" si="221"/>
        <v>0</v>
      </c>
      <c r="AF80" s="918">
        <f t="shared" ca="1" si="221"/>
        <v>0</v>
      </c>
      <c r="AG80" s="918">
        <f t="shared" ca="1" si="221"/>
        <v>0</v>
      </c>
      <c r="AH80" s="918">
        <f t="shared" ca="1" si="221"/>
        <v>0</v>
      </c>
      <c r="AI80" s="918">
        <f t="shared" ca="1" si="221"/>
        <v>0</v>
      </c>
      <c r="AJ80" s="918">
        <f t="shared" ca="1" si="221"/>
        <v>0</v>
      </c>
      <c r="AK80" s="938">
        <f t="shared" ca="1" si="221"/>
        <v>0</v>
      </c>
      <c r="AL80" s="918">
        <f t="shared" ca="1" si="221"/>
        <v>0</v>
      </c>
      <c r="AM80" s="918">
        <f t="shared" ca="1" si="221"/>
        <v>0</v>
      </c>
      <c r="AN80" s="918">
        <f t="shared" ca="1" si="221"/>
        <v>0</v>
      </c>
      <c r="AO80" s="921"/>
      <c r="AP80" s="1144">
        <f t="shared" ca="1" si="216"/>
        <v>-0.11836658312747009</v>
      </c>
      <c r="AQ80" s="1144">
        <f t="shared" ca="1" si="216"/>
        <v>0</v>
      </c>
      <c r="AR80" s="1144">
        <f t="shared" ca="1" si="216"/>
        <v>0</v>
      </c>
      <c r="AS80" s="1144">
        <f t="shared" ca="1" si="216"/>
        <v>0</v>
      </c>
      <c r="AT80" s="938">
        <f t="shared" ca="1" si="216"/>
        <v>0</v>
      </c>
      <c r="AU80" s="938">
        <f t="shared" ca="1" si="216"/>
        <v>0</v>
      </c>
      <c r="AV80" s="1144">
        <f t="shared" ca="1" si="216"/>
        <v>0</v>
      </c>
      <c r="AW80" s="1144">
        <f t="shared" ca="1" si="216"/>
        <v>0</v>
      </c>
      <c r="AX80" s="1144">
        <f t="shared" ca="1" si="216"/>
        <v>0</v>
      </c>
      <c r="AY80" s="1144">
        <f t="shared" ca="1" si="216"/>
        <v>0</v>
      </c>
      <c r="AZ80" s="1144">
        <f t="shared" ca="1" si="216"/>
        <v>0</v>
      </c>
      <c r="BA80" s="1144">
        <f t="shared" ca="1" si="216"/>
        <v>-2.3673316587286188E-3</v>
      </c>
      <c r="BB80" s="1144">
        <f t="shared" ca="1" si="216"/>
        <v>-0.11599925151077006</v>
      </c>
      <c r="BC80" s="1144">
        <f t="shared" ca="1" si="216"/>
        <v>0</v>
      </c>
      <c r="BD80" s="921"/>
      <c r="BE80" s="918">
        <f t="shared" ca="1" si="222"/>
        <v>-0.11836658312747009</v>
      </c>
      <c r="BF80" s="918">
        <f t="shared" ca="1" si="222"/>
        <v>0</v>
      </c>
      <c r="BG80" s="918">
        <f t="shared" ca="1" si="222"/>
        <v>0</v>
      </c>
      <c r="BH80" s="918">
        <f t="shared" ca="1" si="222"/>
        <v>0</v>
      </c>
      <c r="BI80" s="938">
        <f t="shared" ca="1" si="222"/>
        <v>0</v>
      </c>
      <c r="BJ80" s="918">
        <f t="shared" ca="1" si="222"/>
        <v>0</v>
      </c>
      <c r="BK80" s="918">
        <f t="shared" ca="1" si="222"/>
        <v>0</v>
      </c>
      <c r="BL80" s="918">
        <f t="shared" ca="1" si="222"/>
        <v>0</v>
      </c>
      <c r="BM80" s="918">
        <f t="shared" ca="1" si="222"/>
        <v>-0.11836658312747009</v>
      </c>
      <c r="BN80" s="1144">
        <f t="shared" ca="1" si="222"/>
        <v>0</v>
      </c>
      <c r="BO80" s="918">
        <f t="shared" ca="1" si="222"/>
        <v>0</v>
      </c>
      <c r="BP80" s="921"/>
      <c r="BQ80" s="918">
        <f t="shared" ca="1" si="223"/>
        <v>0</v>
      </c>
      <c r="BR80" s="918">
        <f t="shared" ca="1" si="223"/>
        <v>-0.11836658312747009</v>
      </c>
      <c r="BS80" s="1144">
        <f t="shared" ca="1" si="223"/>
        <v>0</v>
      </c>
      <c r="BT80" s="918">
        <f t="shared" ca="1" si="223"/>
        <v>-2.3673316587286188E-3</v>
      </c>
      <c r="BU80" s="918">
        <f t="shared" ca="1" si="223"/>
        <v>0</v>
      </c>
      <c r="BV80" s="918">
        <f t="shared" ca="1" si="223"/>
        <v>-0.11599925151077006</v>
      </c>
      <c r="BW80" s="1144">
        <f t="shared" ca="1" si="223"/>
        <v>0</v>
      </c>
      <c r="BX80" s="921"/>
      <c r="BY80" s="918">
        <f t="shared" ca="1" si="224"/>
        <v>-0.11599925151077006</v>
      </c>
      <c r="BZ80" s="918">
        <f t="shared" ca="1" si="224"/>
        <v>0</v>
      </c>
      <c r="CA80" s="918">
        <f t="shared" ca="1" si="224"/>
        <v>0</v>
      </c>
      <c r="CB80" s="918">
        <f t="shared" ca="1" si="224"/>
        <v>-2.3673316587286188E-3</v>
      </c>
      <c r="CC80" s="918">
        <f t="shared" ca="1" si="224"/>
        <v>0</v>
      </c>
      <c r="CD80" s="918">
        <f t="shared" ca="1" si="224"/>
        <v>0</v>
      </c>
      <c r="CE80" s="918">
        <f t="shared" ca="1" si="224"/>
        <v>0</v>
      </c>
      <c r="CF80" s="918">
        <f t="shared" ca="1" si="224"/>
        <v>0</v>
      </c>
      <c r="CG80" s="921"/>
      <c r="CH80" s="918">
        <f t="shared" ca="1" si="225"/>
        <v>0</v>
      </c>
      <c r="CI80" s="918">
        <f t="shared" ca="1" si="225"/>
        <v>-0.11836658312747009</v>
      </c>
      <c r="CJ80" s="918">
        <f t="shared" ca="1" si="225"/>
        <v>0</v>
      </c>
      <c r="CK80" s="918" t="e">
        <f t="shared" ca="1" si="225"/>
        <v>#N/A</v>
      </c>
      <c r="CL80" s="918" t="e">
        <f t="shared" ca="1" si="225"/>
        <v>#N/A</v>
      </c>
      <c r="CM80" s="921"/>
      <c r="CN80" s="918">
        <f t="shared" ca="1" si="226"/>
        <v>0</v>
      </c>
      <c r="CO80" s="918" t="e">
        <f t="shared" ca="1" si="226"/>
        <v>#N/A</v>
      </c>
      <c r="CP80" s="918">
        <f t="shared" ca="1" si="226"/>
        <v>0</v>
      </c>
      <c r="CQ80" s="918">
        <f t="shared" ca="1" si="226"/>
        <v>0</v>
      </c>
      <c r="CR80" s="918">
        <f t="shared" ca="1" si="226"/>
        <v>0</v>
      </c>
      <c r="CS80" s="1144">
        <f t="shared" ca="1" si="226"/>
        <v>0</v>
      </c>
      <c r="CT80" s="921"/>
      <c r="CU80" s="918">
        <f t="shared" ca="1" si="227"/>
        <v>0</v>
      </c>
      <c r="CV80" s="918">
        <f t="shared" ca="1" si="227"/>
        <v>0</v>
      </c>
      <c r="CW80" s="918">
        <f t="shared" ca="1" si="227"/>
        <v>0</v>
      </c>
      <c r="CX80" s="918">
        <f t="shared" ca="1" si="227"/>
        <v>-2.3673316587286188E-3</v>
      </c>
      <c r="CY80" s="918">
        <f t="shared" ca="1" si="227"/>
        <v>0</v>
      </c>
      <c r="CZ80" s="1144" t="e">
        <f t="shared" ca="1" si="227"/>
        <v>#N/A</v>
      </c>
      <c r="DA80" s="1144" t="e">
        <f t="shared" ca="1" si="227"/>
        <v>#N/A</v>
      </c>
      <c r="DB80" s="918">
        <f t="shared" ca="1" si="227"/>
        <v>0</v>
      </c>
      <c r="DC80" s="938">
        <f t="shared" ca="1" si="227"/>
        <v>0</v>
      </c>
      <c r="DD80" s="918">
        <f t="shared" ca="1" si="227"/>
        <v>0</v>
      </c>
      <c r="DE80" s="918">
        <f t="shared" ca="1" si="227"/>
        <v>0</v>
      </c>
      <c r="DF80" s="918">
        <f t="shared" ca="1" si="227"/>
        <v>0</v>
      </c>
      <c r="DG80" s="918">
        <f t="shared" ca="1" si="227"/>
        <v>0</v>
      </c>
      <c r="DH80" s="918">
        <f t="shared" ca="1" si="227"/>
        <v>-2.3673316587286188E-3</v>
      </c>
      <c r="DI80" s="921"/>
      <c r="DJ80" s="1144">
        <f t="shared" ca="1" si="217"/>
        <v>-1.7535199401399918E-2</v>
      </c>
      <c r="DK80" s="1144">
        <f t="shared" ca="1" si="217"/>
        <v>-7.3063330871006181E-4</v>
      </c>
      <c r="DL80" s="1144">
        <f t="shared" ca="1" si="217"/>
        <v>0</v>
      </c>
      <c r="DM80" s="1144">
        <f t="shared" ca="1" si="217"/>
        <v>0</v>
      </c>
      <c r="DN80" s="1144" t="e">
        <f t="shared" ca="1" si="217"/>
        <v>#N/A</v>
      </c>
      <c r="DO80" s="1144">
        <f t="shared" ca="1" si="217"/>
        <v>-1.8265832698647632E-2</v>
      </c>
      <c r="DP80" s="1144" t="e">
        <f t="shared" ca="1" si="217"/>
        <v>#N/A</v>
      </c>
      <c r="DQ80" s="921"/>
      <c r="DR80" s="1144">
        <f t="shared" ca="1" si="208"/>
        <v>0</v>
      </c>
      <c r="DS80" s="1144">
        <f t="shared" ca="1" si="208"/>
        <v>0</v>
      </c>
      <c r="DT80" s="1144">
        <f t="shared" ca="1" si="208"/>
        <v>0</v>
      </c>
      <c r="DU80" s="1144" t="e">
        <f t="shared" ca="1" si="208"/>
        <v>#N/A</v>
      </c>
      <c r="DV80" s="920"/>
      <c r="DW80" s="921"/>
      <c r="DX80" s="918">
        <f t="shared" ca="1" si="209"/>
        <v>0</v>
      </c>
      <c r="DY80" s="918">
        <f t="shared" ca="1" si="209"/>
        <v>0</v>
      </c>
      <c r="DZ80" s="918">
        <f t="shared" ca="1" si="209"/>
        <v>0</v>
      </c>
      <c r="EA80" s="918" t="e">
        <f t="shared" ca="1" si="209"/>
        <v>#N/A</v>
      </c>
      <c r="EB80" s="920"/>
      <c r="EC80" s="921"/>
      <c r="ED80" s="1144">
        <f t="shared" ca="1" si="210"/>
        <v>0</v>
      </c>
      <c r="EE80" s="1144">
        <f t="shared" ca="1" si="210"/>
        <v>0</v>
      </c>
      <c r="EF80" s="1144" t="e">
        <f t="shared" ca="1" si="210"/>
        <v>#N/A</v>
      </c>
      <c r="EG80" s="1144" t="e">
        <f t="shared" ca="1" si="210"/>
        <v>#N/A</v>
      </c>
      <c r="EH80" s="920"/>
      <c r="EI80" s="921"/>
      <c r="EJ80" s="918">
        <f t="shared" ca="1" si="211"/>
        <v>0</v>
      </c>
      <c r="EK80" s="918">
        <f t="shared" ca="1" si="211"/>
        <v>0</v>
      </c>
      <c r="EL80" s="918">
        <f t="shared" ca="1" si="211"/>
        <v>0</v>
      </c>
      <c r="EM80" s="918">
        <f t="shared" ca="1" si="211"/>
        <v>0</v>
      </c>
      <c r="EN80" s="920"/>
      <c r="EO80" s="921"/>
      <c r="EP80" s="1144">
        <f t="shared" ca="1" si="212"/>
        <v>0</v>
      </c>
      <c r="EQ80" s="1144">
        <f t="shared" ca="1" si="212"/>
        <v>0</v>
      </c>
      <c r="ER80" s="1144">
        <f t="shared" ca="1" si="212"/>
        <v>0</v>
      </c>
      <c r="ES80" s="1144">
        <f t="shared" ca="1" si="212"/>
        <v>0</v>
      </c>
      <c r="ET80" s="920"/>
      <c r="EU80" s="921"/>
      <c r="EV80" s="1144">
        <f t="shared" ca="1" si="218"/>
        <v>0</v>
      </c>
      <c r="EW80" s="1144">
        <f t="shared" ca="1" si="218"/>
        <v>0</v>
      </c>
      <c r="EX80" s="921"/>
      <c r="EY80" s="1144">
        <f t="shared" ca="1" si="218"/>
        <v>0</v>
      </c>
      <c r="EZ80" s="1144">
        <f t="shared" ca="1" si="218"/>
        <v>0</v>
      </c>
      <c r="FA80" s="1144" t="e">
        <f t="shared" ca="1" si="218"/>
        <v>#N/A</v>
      </c>
      <c r="FB80" s="921"/>
      <c r="FC80" s="918">
        <f t="shared" ca="1" si="228"/>
        <v>-4.5525608807008888</v>
      </c>
      <c r="FD80" s="918">
        <f t="shared" ca="1" si="228"/>
        <v>0</v>
      </c>
      <c r="FE80" s="918">
        <f t="shared" ca="1" si="228"/>
        <v>0</v>
      </c>
      <c r="FF80" s="918">
        <f t="shared" ca="1" si="228"/>
        <v>0</v>
      </c>
      <c r="FG80" s="918">
        <f t="shared" ca="1" si="228"/>
        <v>0</v>
      </c>
      <c r="FH80" s="918">
        <f t="shared" ca="1" si="228"/>
        <v>0</v>
      </c>
      <c r="FI80" s="918">
        <f t="shared" ca="1" si="228"/>
        <v>0</v>
      </c>
      <c r="FJ80" s="918">
        <f t="shared" ca="1" si="228"/>
        <v>0</v>
      </c>
      <c r="FK80" s="918">
        <f t="shared" ca="1" si="228"/>
        <v>0</v>
      </c>
      <c r="FL80" s="918">
        <f t="shared" ca="1" si="228"/>
        <v>0</v>
      </c>
      <c r="FM80" s="918" t="e">
        <f t="shared" ca="1" si="229"/>
        <v>#N/A</v>
      </c>
      <c r="FN80" s="1144">
        <f t="shared" ca="1" si="229"/>
        <v>0</v>
      </c>
      <c r="FO80" s="1144">
        <f t="shared" ca="1" si="229"/>
        <v>0</v>
      </c>
      <c r="FP80" s="918">
        <f t="shared" ca="1" si="229"/>
        <v>0</v>
      </c>
      <c r="FQ80" s="918">
        <f t="shared" ca="1" si="229"/>
        <v>0</v>
      </c>
      <c r="FR80" s="918">
        <f t="shared" ca="1" si="229"/>
        <v>0</v>
      </c>
      <c r="FS80" s="918">
        <f t="shared" ca="1" si="229"/>
        <v>0</v>
      </c>
      <c r="FT80" s="918">
        <f t="shared" ca="1" si="229"/>
        <v>0</v>
      </c>
      <c r="FU80" s="918" t="e">
        <f t="shared" ca="1" si="229"/>
        <v>#N/A</v>
      </c>
      <c r="FV80" s="1144" t="e">
        <f t="shared" ca="1" si="229"/>
        <v>#N/A</v>
      </c>
      <c r="FW80" s="918">
        <f t="shared" ca="1" si="229"/>
        <v>0</v>
      </c>
      <c r="FX80" s="918">
        <f t="shared" ca="1" si="229"/>
        <v>0</v>
      </c>
      <c r="FY80" s="918">
        <f t="shared" ca="1" si="229"/>
        <v>0</v>
      </c>
      <c r="FZ80" s="918">
        <f t="shared" ca="1" si="229"/>
        <v>0</v>
      </c>
      <c r="GA80" s="1144" t="e">
        <f t="shared" ca="1" si="229"/>
        <v>#N/A</v>
      </c>
      <c r="GB80" s="918">
        <f t="shared" ca="1" si="229"/>
        <v>0</v>
      </c>
      <c r="GC80" s="920"/>
      <c r="GD80" s="918">
        <f t="shared" ca="1" si="230"/>
        <v>0</v>
      </c>
      <c r="GE80" s="918">
        <f t="shared" ca="1" si="230"/>
        <v>0</v>
      </c>
      <c r="GF80" s="918">
        <f t="shared" ca="1" si="230"/>
        <v>0</v>
      </c>
      <c r="GG80" s="918">
        <f t="shared" ca="1" si="230"/>
        <v>0</v>
      </c>
      <c r="GH80" s="918" t="e">
        <f t="shared" ca="1" si="230"/>
        <v>#N/A</v>
      </c>
      <c r="GI80" s="1144" t="e">
        <f t="shared" ca="1" si="230"/>
        <v>#N/A</v>
      </c>
      <c r="GJ80" s="918">
        <f t="shared" ca="1" si="230"/>
        <v>0</v>
      </c>
      <c r="GK80" s="918">
        <f t="shared" ca="1" si="230"/>
        <v>0</v>
      </c>
      <c r="GL80" s="918">
        <f t="shared" ca="1" si="230"/>
        <v>0</v>
      </c>
      <c r="GM80" s="918">
        <f t="shared" ca="1" si="230"/>
        <v>0</v>
      </c>
      <c r="GN80" s="918">
        <f t="shared" ca="1" si="230"/>
        <v>0</v>
      </c>
      <c r="GO80" s="918" t="e">
        <f t="shared" ca="1" si="230"/>
        <v>#N/A</v>
      </c>
      <c r="GP80" s="915"/>
      <c r="GR80" s="946"/>
      <c r="GS80" s="946"/>
      <c r="GU80" s="946"/>
      <c r="GV80" s="946"/>
      <c r="GW80" s="946"/>
      <c r="GX80" s="1143"/>
      <c r="GY80" s="946"/>
    </row>
    <row r="81" spans="1:207" s="914" customFormat="1" x14ac:dyDescent="0.3">
      <c r="A81" s="975" t="s">
        <v>1554</v>
      </c>
      <c r="B81" s="974">
        <v>141</v>
      </c>
      <c r="C81" s="973">
        <v>150.13139999999999</v>
      </c>
      <c r="D81" s="914">
        <v>-0.57662271902722917</v>
      </c>
      <c r="E81" s="972" t="s">
        <v>982</v>
      </c>
      <c r="F81" s="936">
        <f t="shared" ca="1" si="219"/>
        <v>0</v>
      </c>
      <c r="G81" s="918">
        <f t="shared" ca="1" si="219"/>
        <v>0</v>
      </c>
      <c r="H81" s="918">
        <f t="shared" ca="1" si="219"/>
        <v>0</v>
      </c>
      <c r="I81" s="918">
        <f t="shared" ca="1" si="219"/>
        <v>0</v>
      </c>
      <c r="J81" s="918">
        <f t="shared" ca="1" si="219"/>
        <v>0</v>
      </c>
      <c r="K81" s="1144">
        <f t="shared" ca="1" si="219"/>
        <v>0</v>
      </c>
      <c r="L81" s="918">
        <f t="shared" ca="1" si="219"/>
        <v>0</v>
      </c>
      <c r="M81" s="918">
        <f t="shared" ca="1" si="219"/>
        <v>0</v>
      </c>
      <c r="N81" s="938">
        <f t="shared" ca="1" si="219"/>
        <v>0</v>
      </c>
      <c r="O81" s="918">
        <f t="shared" ca="1" si="219"/>
        <v>0</v>
      </c>
      <c r="P81" s="939">
        <f t="shared" ca="1" si="219"/>
        <v>-1.8170624086901885</v>
      </c>
      <c r="Q81" s="921"/>
      <c r="R81" s="918">
        <f t="shared" ca="1" si="220"/>
        <v>-1.8170624086901885</v>
      </c>
      <c r="S81" s="918">
        <f t="shared" ca="1" si="220"/>
        <v>0</v>
      </c>
      <c r="T81" s="918">
        <f t="shared" ca="1" si="220"/>
        <v>0</v>
      </c>
      <c r="U81" s="918">
        <f t="shared" ca="1" si="220"/>
        <v>0</v>
      </c>
      <c r="V81" s="918">
        <f t="shared" ca="1" si="220"/>
        <v>0</v>
      </c>
      <c r="W81" s="918">
        <f t="shared" ca="1" si="220"/>
        <v>0</v>
      </c>
      <c r="X81" s="938">
        <f t="shared" ca="1" si="220"/>
        <v>0</v>
      </c>
      <c r="Y81" s="918">
        <f t="shared" ca="1" si="220"/>
        <v>-1.8170621475166773</v>
      </c>
      <c r="Z81" s="918">
        <f t="shared" ca="1" si="220"/>
        <v>0</v>
      </c>
      <c r="AA81" s="918">
        <f t="shared" ca="1" si="220"/>
        <v>0</v>
      </c>
      <c r="AB81" s="921"/>
      <c r="AC81" s="918">
        <f t="shared" ca="1" si="221"/>
        <v>0</v>
      </c>
      <c r="AD81" s="918">
        <f t="shared" ca="1" si="221"/>
        <v>0</v>
      </c>
      <c r="AE81" s="918">
        <f t="shared" ca="1" si="221"/>
        <v>0</v>
      </c>
      <c r="AF81" s="918">
        <f t="shared" ca="1" si="221"/>
        <v>0</v>
      </c>
      <c r="AG81" s="918">
        <f t="shared" ca="1" si="221"/>
        <v>0</v>
      </c>
      <c r="AH81" s="918">
        <f t="shared" ca="1" si="221"/>
        <v>0</v>
      </c>
      <c r="AI81" s="918">
        <f t="shared" ca="1" si="221"/>
        <v>0</v>
      </c>
      <c r="AJ81" s="918">
        <f t="shared" ca="1" si="221"/>
        <v>0</v>
      </c>
      <c r="AK81" s="938">
        <f t="shared" ca="1" si="221"/>
        <v>0</v>
      </c>
      <c r="AL81" s="918">
        <f t="shared" ca="1" si="221"/>
        <v>0</v>
      </c>
      <c r="AM81" s="918">
        <f t="shared" ca="1" si="221"/>
        <v>0</v>
      </c>
      <c r="AN81" s="918">
        <f t="shared" ca="1" si="221"/>
        <v>0</v>
      </c>
      <c r="AO81" s="921"/>
      <c r="AP81" s="1144">
        <f t="shared" ca="1" si="216"/>
        <v>-1.8170621475166773</v>
      </c>
      <c r="AQ81" s="1144">
        <f t="shared" ca="1" si="216"/>
        <v>0</v>
      </c>
      <c r="AR81" s="1144">
        <f t="shared" ca="1" si="216"/>
        <v>0</v>
      </c>
      <c r="AS81" s="1144">
        <f t="shared" ca="1" si="216"/>
        <v>0</v>
      </c>
      <c r="AT81" s="938">
        <f t="shared" ca="1" si="216"/>
        <v>0</v>
      </c>
      <c r="AU81" s="938">
        <f t="shared" ca="1" si="216"/>
        <v>0</v>
      </c>
      <c r="AV81" s="1144">
        <f t="shared" ca="1" si="216"/>
        <v>0</v>
      </c>
      <c r="AW81" s="1144">
        <f t="shared" ca="1" si="216"/>
        <v>0</v>
      </c>
      <c r="AX81" s="1144">
        <f t="shared" ca="1" si="216"/>
        <v>0</v>
      </c>
      <c r="AY81" s="1144">
        <f t="shared" ca="1" si="216"/>
        <v>0</v>
      </c>
      <c r="AZ81" s="1144">
        <f t="shared" ca="1" si="216"/>
        <v>0</v>
      </c>
      <c r="BA81" s="1144">
        <f t="shared" ca="1" si="216"/>
        <v>-3.6341242950333544E-2</v>
      </c>
      <c r="BB81" s="1144">
        <f t="shared" ca="1" si="216"/>
        <v>-1.7807209057953954</v>
      </c>
      <c r="BC81" s="1144">
        <f t="shared" ca="1" si="216"/>
        <v>0</v>
      </c>
      <c r="BD81" s="921"/>
      <c r="BE81" s="918">
        <f t="shared" ca="1" si="222"/>
        <v>-1.8170621475166773</v>
      </c>
      <c r="BF81" s="918">
        <f t="shared" ca="1" si="222"/>
        <v>0</v>
      </c>
      <c r="BG81" s="918">
        <f t="shared" ca="1" si="222"/>
        <v>0</v>
      </c>
      <c r="BH81" s="918">
        <f t="shared" ca="1" si="222"/>
        <v>0</v>
      </c>
      <c r="BI81" s="938">
        <f t="shared" ca="1" si="222"/>
        <v>0</v>
      </c>
      <c r="BJ81" s="918">
        <f t="shared" ca="1" si="222"/>
        <v>0</v>
      </c>
      <c r="BK81" s="918">
        <f t="shared" ca="1" si="222"/>
        <v>0</v>
      </c>
      <c r="BL81" s="918">
        <f t="shared" ca="1" si="222"/>
        <v>0</v>
      </c>
      <c r="BM81" s="918">
        <f t="shared" ca="1" si="222"/>
        <v>-1.8170621475166773</v>
      </c>
      <c r="BN81" s="1144">
        <f t="shared" ca="1" si="222"/>
        <v>0</v>
      </c>
      <c r="BO81" s="918">
        <f t="shared" ca="1" si="222"/>
        <v>0</v>
      </c>
      <c r="BP81" s="921"/>
      <c r="BQ81" s="918">
        <f t="shared" ca="1" si="223"/>
        <v>0</v>
      </c>
      <c r="BR81" s="918">
        <f t="shared" ca="1" si="223"/>
        <v>-1.8170621475166773</v>
      </c>
      <c r="BS81" s="1144">
        <f t="shared" ca="1" si="223"/>
        <v>0</v>
      </c>
      <c r="BT81" s="918">
        <f t="shared" ca="1" si="223"/>
        <v>-3.6341242950333544E-2</v>
      </c>
      <c r="BU81" s="918">
        <f t="shared" ca="1" si="223"/>
        <v>0</v>
      </c>
      <c r="BV81" s="918">
        <f t="shared" ca="1" si="223"/>
        <v>-1.7807209057953954</v>
      </c>
      <c r="BW81" s="1144">
        <f t="shared" ca="1" si="223"/>
        <v>0</v>
      </c>
      <c r="BX81" s="921"/>
      <c r="BY81" s="918">
        <f t="shared" ca="1" si="224"/>
        <v>-1.7807209057953954</v>
      </c>
      <c r="BZ81" s="918">
        <f t="shared" ca="1" si="224"/>
        <v>0</v>
      </c>
      <c r="CA81" s="918">
        <f t="shared" ca="1" si="224"/>
        <v>0</v>
      </c>
      <c r="CB81" s="918">
        <f t="shared" ca="1" si="224"/>
        <v>-3.6341242950333544E-2</v>
      </c>
      <c r="CC81" s="918">
        <f t="shared" ca="1" si="224"/>
        <v>0</v>
      </c>
      <c r="CD81" s="918">
        <f t="shared" ca="1" si="224"/>
        <v>0</v>
      </c>
      <c r="CE81" s="918">
        <f t="shared" ca="1" si="224"/>
        <v>0</v>
      </c>
      <c r="CF81" s="918">
        <f t="shared" ca="1" si="224"/>
        <v>0</v>
      </c>
      <c r="CG81" s="921"/>
      <c r="CH81" s="918">
        <f t="shared" ca="1" si="225"/>
        <v>0</v>
      </c>
      <c r="CI81" s="918">
        <f t="shared" ca="1" si="225"/>
        <v>-1.8170621475166773</v>
      </c>
      <c r="CJ81" s="918">
        <f t="shared" ca="1" si="225"/>
        <v>0</v>
      </c>
      <c r="CK81" s="918" t="e">
        <f t="shared" ca="1" si="225"/>
        <v>#N/A</v>
      </c>
      <c r="CL81" s="918" t="e">
        <f t="shared" ca="1" si="225"/>
        <v>#N/A</v>
      </c>
      <c r="CM81" s="921"/>
      <c r="CN81" s="918">
        <f t="shared" ca="1" si="226"/>
        <v>0</v>
      </c>
      <c r="CO81" s="918" t="e">
        <f t="shared" ca="1" si="226"/>
        <v>#N/A</v>
      </c>
      <c r="CP81" s="918">
        <f t="shared" ca="1" si="226"/>
        <v>0</v>
      </c>
      <c r="CQ81" s="918">
        <f t="shared" ca="1" si="226"/>
        <v>0</v>
      </c>
      <c r="CR81" s="918">
        <f t="shared" ca="1" si="226"/>
        <v>0</v>
      </c>
      <c r="CS81" s="1144">
        <f t="shared" ca="1" si="226"/>
        <v>0</v>
      </c>
      <c r="CT81" s="921"/>
      <c r="CU81" s="918">
        <f t="shared" ca="1" si="227"/>
        <v>0</v>
      </c>
      <c r="CV81" s="918">
        <f t="shared" ca="1" si="227"/>
        <v>0</v>
      </c>
      <c r="CW81" s="918">
        <f t="shared" ca="1" si="227"/>
        <v>0</v>
      </c>
      <c r="CX81" s="918">
        <f t="shared" ca="1" si="227"/>
        <v>-3.6341242950333544E-2</v>
      </c>
      <c r="CY81" s="918">
        <f t="shared" ca="1" si="227"/>
        <v>0</v>
      </c>
      <c r="CZ81" s="1144" t="e">
        <f t="shared" ca="1" si="227"/>
        <v>#N/A</v>
      </c>
      <c r="DA81" s="1144" t="e">
        <f t="shared" ca="1" si="227"/>
        <v>#N/A</v>
      </c>
      <c r="DB81" s="918">
        <f t="shared" ca="1" si="227"/>
        <v>0</v>
      </c>
      <c r="DC81" s="938">
        <f t="shared" ca="1" si="227"/>
        <v>0</v>
      </c>
      <c r="DD81" s="918">
        <f t="shared" ca="1" si="227"/>
        <v>0</v>
      </c>
      <c r="DE81" s="918">
        <f t="shared" ca="1" si="227"/>
        <v>0</v>
      </c>
      <c r="DF81" s="918">
        <f t="shared" ca="1" si="227"/>
        <v>0</v>
      </c>
      <c r="DG81" s="918">
        <f t="shared" ca="1" si="227"/>
        <v>0</v>
      </c>
      <c r="DH81" s="918">
        <f t="shared" ca="1" si="227"/>
        <v>-3.6341242950333544E-2</v>
      </c>
      <c r="DI81" s="921"/>
      <c r="DJ81" s="1144">
        <f t="shared" ca="1" si="217"/>
        <v>-0.26918532446815252</v>
      </c>
      <c r="DK81" s="1144">
        <f t="shared" ca="1" si="217"/>
        <v>-1.1216055192574332E-2</v>
      </c>
      <c r="DL81" s="1144">
        <f t="shared" ca="1" si="217"/>
        <v>0</v>
      </c>
      <c r="DM81" s="1144">
        <f t="shared" ca="1" si="217"/>
        <v>0</v>
      </c>
      <c r="DN81" s="1144" t="e">
        <f t="shared" ca="1" si="217"/>
        <v>#N/A</v>
      </c>
      <c r="DO81" s="1144">
        <f t="shared" ca="1" si="217"/>
        <v>-0.28040137981435831</v>
      </c>
      <c r="DP81" s="1144" t="e">
        <f t="shared" ca="1" si="217"/>
        <v>#N/A</v>
      </c>
      <c r="DQ81" s="921"/>
      <c r="DR81" s="1144">
        <f t="shared" ca="1" si="208"/>
        <v>0</v>
      </c>
      <c r="DS81" s="1144">
        <f t="shared" ca="1" si="208"/>
        <v>0</v>
      </c>
      <c r="DT81" s="1144">
        <f t="shared" ca="1" si="208"/>
        <v>0</v>
      </c>
      <c r="DU81" s="1144" t="e">
        <f t="shared" ca="1" si="208"/>
        <v>#N/A</v>
      </c>
      <c r="DV81" s="920"/>
      <c r="DW81" s="921"/>
      <c r="DX81" s="918">
        <f t="shared" ca="1" si="209"/>
        <v>0</v>
      </c>
      <c r="DY81" s="918">
        <f t="shared" ca="1" si="209"/>
        <v>0</v>
      </c>
      <c r="DZ81" s="918">
        <f t="shared" ca="1" si="209"/>
        <v>0</v>
      </c>
      <c r="EA81" s="918" t="e">
        <f t="shared" ca="1" si="209"/>
        <v>#N/A</v>
      </c>
      <c r="EB81" s="920"/>
      <c r="EC81" s="921"/>
      <c r="ED81" s="1144">
        <f t="shared" ca="1" si="210"/>
        <v>0</v>
      </c>
      <c r="EE81" s="1144">
        <f t="shared" ca="1" si="210"/>
        <v>0</v>
      </c>
      <c r="EF81" s="1144" t="e">
        <f t="shared" ca="1" si="210"/>
        <v>#N/A</v>
      </c>
      <c r="EG81" s="1144" t="e">
        <f t="shared" ca="1" si="210"/>
        <v>#N/A</v>
      </c>
      <c r="EH81" s="920"/>
      <c r="EI81" s="921"/>
      <c r="EJ81" s="918">
        <f t="shared" ca="1" si="211"/>
        <v>0</v>
      </c>
      <c r="EK81" s="918">
        <f t="shared" ca="1" si="211"/>
        <v>0</v>
      </c>
      <c r="EL81" s="918">
        <f t="shared" ca="1" si="211"/>
        <v>0</v>
      </c>
      <c r="EM81" s="918">
        <f t="shared" ca="1" si="211"/>
        <v>0</v>
      </c>
      <c r="EN81" s="920"/>
      <c r="EO81" s="921"/>
      <c r="EP81" s="1144">
        <f t="shared" ca="1" si="212"/>
        <v>0</v>
      </c>
      <c r="EQ81" s="1144">
        <f t="shared" ca="1" si="212"/>
        <v>0</v>
      </c>
      <c r="ER81" s="1144">
        <f t="shared" ca="1" si="212"/>
        <v>0</v>
      </c>
      <c r="ES81" s="1144">
        <f t="shared" ca="1" si="212"/>
        <v>0</v>
      </c>
      <c r="ET81" s="920"/>
      <c r="EU81" s="921"/>
      <c r="EV81" s="1144">
        <f t="shared" ca="1" si="218"/>
        <v>0</v>
      </c>
      <c r="EW81" s="1144">
        <f t="shared" ca="1" si="218"/>
        <v>0</v>
      </c>
      <c r="EX81" s="921"/>
      <c r="EY81" s="1144">
        <f t="shared" ca="1" si="218"/>
        <v>0</v>
      </c>
      <c r="EZ81" s="1144">
        <f t="shared" ca="1" si="218"/>
        <v>0</v>
      </c>
      <c r="FA81" s="1144" t="e">
        <f t="shared" ca="1" si="218"/>
        <v>#N/A</v>
      </c>
      <c r="FB81" s="921"/>
      <c r="FC81" s="918">
        <f t="shared" ca="1" si="228"/>
        <v>0</v>
      </c>
      <c r="FD81" s="918">
        <f t="shared" ca="1" si="228"/>
        <v>0</v>
      </c>
      <c r="FE81" s="918">
        <f t="shared" ca="1" si="228"/>
        <v>0</v>
      </c>
      <c r="FF81" s="918">
        <f t="shared" ca="1" si="228"/>
        <v>0</v>
      </c>
      <c r="FG81" s="918">
        <f t="shared" ca="1" si="228"/>
        <v>0</v>
      </c>
      <c r="FH81" s="918">
        <f t="shared" ca="1" si="228"/>
        <v>0</v>
      </c>
      <c r="FI81" s="918">
        <f t="shared" ca="1" si="228"/>
        <v>0</v>
      </c>
      <c r="FJ81" s="918">
        <f t="shared" ca="1" si="228"/>
        <v>0</v>
      </c>
      <c r="FK81" s="918">
        <f t="shared" ca="1" si="228"/>
        <v>0</v>
      </c>
      <c r="FL81" s="918">
        <f t="shared" ca="1" si="228"/>
        <v>0</v>
      </c>
      <c r="FM81" s="918" t="e">
        <f t="shared" ca="1" si="229"/>
        <v>#N/A</v>
      </c>
      <c r="FN81" s="1144">
        <f t="shared" ca="1" si="229"/>
        <v>0</v>
      </c>
      <c r="FO81" s="1144">
        <f t="shared" ca="1" si="229"/>
        <v>0</v>
      </c>
      <c r="FP81" s="918">
        <f t="shared" ca="1" si="229"/>
        <v>0</v>
      </c>
      <c r="FQ81" s="918">
        <f t="shared" ca="1" si="229"/>
        <v>0</v>
      </c>
      <c r="FR81" s="918">
        <f t="shared" ca="1" si="229"/>
        <v>0</v>
      </c>
      <c r="FS81" s="918">
        <f t="shared" ca="1" si="229"/>
        <v>0</v>
      </c>
      <c r="FT81" s="918">
        <f t="shared" ca="1" si="229"/>
        <v>0</v>
      </c>
      <c r="FU81" s="918" t="e">
        <f t="shared" ca="1" si="229"/>
        <v>#N/A</v>
      </c>
      <c r="FV81" s="1144" t="e">
        <f t="shared" ca="1" si="229"/>
        <v>#N/A</v>
      </c>
      <c r="FW81" s="918">
        <f t="shared" ca="1" si="229"/>
        <v>0</v>
      </c>
      <c r="FX81" s="918">
        <f t="shared" ca="1" si="229"/>
        <v>0</v>
      </c>
      <c r="FY81" s="918">
        <f t="shared" ca="1" si="229"/>
        <v>0</v>
      </c>
      <c r="FZ81" s="918">
        <f t="shared" ca="1" si="229"/>
        <v>0</v>
      </c>
      <c r="GA81" s="1144" t="e">
        <f t="shared" ca="1" si="229"/>
        <v>#N/A</v>
      </c>
      <c r="GB81" s="918">
        <f t="shared" ca="1" si="229"/>
        <v>0</v>
      </c>
      <c r="GC81" s="920"/>
      <c r="GD81" s="918">
        <f t="shared" ca="1" si="230"/>
        <v>0</v>
      </c>
      <c r="GE81" s="918">
        <f t="shared" ca="1" si="230"/>
        <v>0</v>
      </c>
      <c r="GF81" s="918">
        <f t="shared" ca="1" si="230"/>
        <v>0</v>
      </c>
      <c r="GG81" s="918">
        <f t="shared" ca="1" si="230"/>
        <v>0</v>
      </c>
      <c r="GH81" s="918" t="e">
        <f t="shared" ca="1" si="230"/>
        <v>#N/A</v>
      </c>
      <c r="GI81" s="1144" t="e">
        <f t="shared" ca="1" si="230"/>
        <v>#N/A</v>
      </c>
      <c r="GJ81" s="918">
        <f t="shared" ca="1" si="230"/>
        <v>0</v>
      </c>
      <c r="GK81" s="918">
        <f t="shared" ca="1" si="230"/>
        <v>0</v>
      </c>
      <c r="GL81" s="918">
        <f t="shared" ca="1" si="230"/>
        <v>0</v>
      </c>
      <c r="GM81" s="918">
        <f t="shared" ca="1" si="230"/>
        <v>0</v>
      </c>
      <c r="GN81" s="918">
        <f t="shared" ca="1" si="230"/>
        <v>0</v>
      </c>
      <c r="GO81" s="918" t="e">
        <f t="shared" ca="1" si="230"/>
        <v>#N/A</v>
      </c>
      <c r="GP81" s="915"/>
      <c r="GR81" s="946"/>
      <c r="GS81" s="946"/>
      <c r="GU81" s="946"/>
      <c r="GV81" s="946"/>
      <c r="GW81" s="946"/>
      <c r="GX81" s="1143"/>
      <c r="GY81" s="946"/>
    </row>
    <row r="82" spans="1:207" s="914" customFormat="1" x14ac:dyDescent="0.3">
      <c r="A82" s="975" t="s">
        <v>1555</v>
      </c>
      <c r="B82" s="974">
        <v>135</v>
      </c>
      <c r="C82" s="973">
        <v>56.077400000000004</v>
      </c>
      <c r="D82" s="914">
        <v>0</v>
      </c>
      <c r="E82" s="972" t="s">
        <v>982</v>
      </c>
      <c r="F82" s="936">
        <f t="shared" ca="1" si="219"/>
        <v>0</v>
      </c>
      <c r="G82" s="918">
        <f t="shared" ca="1" si="219"/>
        <v>0</v>
      </c>
      <c r="H82" s="918">
        <f t="shared" ca="1" si="219"/>
        <v>0</v>
      </c>
      <c r="I82" s="918">
        <f t="shared" ca="1" si="219"/>
        <v>0</v>
      </c>
      <c r="J82" s="918">
        <f t="shared" ca="1" si="219"/>
        <v>0</v>
      </c>
      <c r="K82" s="1144">
        <f t="shared" ca="1" si="219"/>
        <v>0</v>
      </c>
      <c r="L82" s="918">
        <f t="shared" ca="1" si="219"/>
        <v>0</v>
      </c>
      <c r="M82" s="918">
        <f t="shared" ca="1" si="219"/>
        <v>0</v>
      </c>
      <c r="N82" s="938">
        <f t="shared" ca="1" si="219"/>
        <v>0</v>
      </c>
      <c r="O82" s="918">
        <f t="shared" ca="1" si="219"/>
        <v>0</v>
      </c>
      <c r="P82" s="939">
        <f t="shared" ca="1" si="219"/>
        <v>0</v>
      </c>
      <c r="Q82" s="921"/>
      <c r="R82" s="918">
        <f t="shared" ca="1" si="220"/>
        <v>0</v>
      </c>
      <c r="S82" s="918">
        <f t="shared" ca="1" si="220"/>
        <v>0</v>
      </c>
      <c r="T82" s="918">
        <f t="shared" ca="1" si="220"/>
        <v>0</v>
      </c>
      <c r="U82" s="918">
        <f t="shared" ca="1" si="220"/>
        <v>0</v>
      </c>
      <c r="V82" s="918">
        <f t="shared" ca="1" si="220"/>
        <v>0</v>
      </c>
      <c r="W82" s="918">
        <f t="shared" ca="1" si="220"/>
        <v>0</v>
      </c>
      <c r="X82" s="938">
        <f t="shared" ca="1" si="220"/>
        <v>0</v>
      </c>
      <c r="Y82" s="918">
        <f t="shared" ca="1" si="220"/>
        <v>0</v>
      </c>
      <c r="Z82" s="918">
        <f t="shared" ca="1" si="220"/>
        <v>0</v>
      </c>
      <c r="AA82" s="918">
        <f t="shared" ca="1" si="220"/>
        <v>0</v>
      </c>
      <c r="AB82" s="921"/>
      <c r="AC82" s="918">
        <f t="shared" ca="1" si="221"/>
        <v>0</v>
      </c>
      <c r="AD82" s="918">
        <f t="shared" ca="1" si="221"/>
        <v>0</v>
      </c>
      <c r="AE82" s="918">
        <f t="shared" ca="1" si="221"/>
        <v>0</v>
      </c>
      <c r="AF82" s="918">
        <f t="shared" ca="1" si="221"/>
        <v>0</v>
      </c>
      <c r="AG82" s="918">
        <f t="shared" ca="1" si="221"/>
        <v>0</v>
      </c>
      <c r="AH82" s="918">
        <f t="shared" ca="1" si="221"/>
        <v>0</v>
      </c>
      <c r="AI82" s="918">
        <f t="shared" ca="1" si="221"/>
        <v>0</v>
      </c>
      <c r="AJ82" s="918">
        <f t="shared" ca="1" si="221"/>
        <v>0</v>
      </c>
      <c r="AK82" s="938">
        <f t="shared" ca="1" si="221"/>
        <v>0</v>
      </c>
      <c r="AL82" s="918">
        <f t="shared" ca="1" si="221"/>
        <v>0</v>
      </c>
      <c r="AM82" s="918">
        <f t="shared" ca="1" si="221"/>
        <v>0</v>
      </c>
      <c r="AN82" s="918">
        <f t="shared" ca="1" si="221"/>
        <v>0</v>
      </c>
      <c r="AO82" s="921"/>
      <c r="AP82" s="1144">
        <f t="shared" ca="1" si="216"/>
        <v>0</v>
      </c>
      <c r="AQ82" s="1144">
        <f t="shared" ca="1" si="216"/>
        <v>0</v>
      </c>
      <c r="AR82" s="1144">
        <f t="shared" ca="1" si="216"/>
        <v>0</v>
      </c>
      <c r="AS82" s="1144">
        <f t="shared" ca="1" si="216"/>
        <v>0</v>
      </c>
      <c r="AT82" s="938">
        <f t="shared" ca="1" si="216"/>
        <v>0</v>
      </c>
      <c r="AU82" s="938">
        <f t="shared" ca="1" si="216"/>
        <v>0</v>
      </c>
      <c r="AV82" s="1144">
        <f t="shared" ca="1" si="216"/>
        <v>0</v>
      </c>
      <c r="AW82" s="1144">
        <f t="shared" ca="1" si="216"/>
        <v>0</v>
      </c>
      <c r="AX82" s="1144">
        <f t="shared" ca="1" si="216"/>
        <v>0</v>
      </c>
      <c r="AY82" s="1144">
        <f t="shared" ca="1" si="216"/>
        <v>0</v>
      </c>
      <c r="AZ82" s="1144">
        <f t="shared" ca="1" si="216"/>
        <v>0</v>
      </c>
      <c r="BA82" s="1144">
        <f t="shared" ca="1" si="216"/>
        <v>0</v>
      </c>
      <c r="BB82" s="1144">
        <f t="shared" ca="1" si="216"/>
        <v>0</v>
      </c>
      <c r="BC82" s="1144">
        <f t="shared" ca="1" si="216"/>
        <v>0</v>
      </c>
      <c r="BD82" s="921"/>
      <c r="BE82" s="918">
        <f t="shared" ca="1" si="222"/>
        <v>0</v>
      </c>
      <c r="BF82" s="918">
        <f t="shared" ca="1" si="222"/>
        <v>0</v>
      </c>
      <c r="BG82" s="918">
        <f t="shared" ca="1" si="222"/>
        <v>0</v>
      </c>
      <c r="BH82" s="918">
        <f t="shared" ca="1" si="222"/>
        <v>0</v>
      </c>
      <c r="BI82" s="938">
        <f t="shared" ca="1" si="222"/>
        <v>0</v>
      </c>
      <c r="BJ82" s="918">
        <f t="shared" ca="1" si="222"/>
        <v>0</v>
      </c>
      <c r="BK82" s="918">
        <f t="shared" ca="1" si="222"/>
        <v>0</v>
      </c>
      <c r="BL82" s="918">
        <f t="shared" ca="1" si="222"/>
        <v>0</v>
      </c>
      <c r="BM82" s="918">
        <f t="shared" ca="1" si="222"/>
        <v>0</v>
      </c>
      <c r="BN82" s="1144">
        <f t="shared" ca="1" si="222"/>
        <v>0</v>
      </c>
      <c r="BO82" s="918">
        <f t="shared" ca="1" si="222"/>
        <v>0</v>
      </c>
      <c r="BP82" s="921"/>
      <c r="BQ82" s="918">
        <f t="shared" ca="1" si="223"/>
        <v>0</v>
      </c>
      <c r="BR82" s="918">
        <f t="shared" ca="1" si="223"/>
        <v>0</v>
      </c>
      <c r="BS82" s="1144">
        <f t="shared" ca="1" si="223"/>
        <v>0</v>
      </c>
      <c r="BT82" s="918">
        <f t="shared" ca="1" si="223"/>
        <v>0</v>
      </c>
      <c r="BU82" s="918">
        <f t="shared" ca="1" si="223"/>
        <v>0</v>
      </c>
      <c r="BV82" s="918">
        <f t="shared" ca="1" si="223"/>
        <v>0</v>
      </c>
      <c r="BW82" s="1144">
        <f t="shared" ca="1" si="223"/>
        <v>0</v>
      </c>
      <c r="BX82" s="921"/>
      <c r="BY82" s="918">
        <f t="shared" ca="1" si="224"/>
        <v>0</v>
      </c>
      <c r="BZ82" s="918">
        <f t="shared" ca="1" si="224"/>
        <v>0</v>
      </c>
      <c r="CA82" s="918">
        <f t="shared" ca="1" si="224"/>
        <v>0</v>
      </c>
      <c r="CB82" s="918">
        <f t="shared" ca="1" si="224"/>
        <v>0</v>
      </c>
      <c r="CC82" s="918">
        <f t="shared" ca="1" si="224"/>
        <v>0</v>
      </c>
      <c r="CD82" s="918">
        <f t="shared" ca="1" si="224"/>
        <v>0</v>
      </c>
      <c r="CE82" s="918">
        <f t="shared" ca="1" si="224"/>
        <v>0</v>
      </c>
      <c r="CF82" s="918">
        <f t="shared" ca="1" si="224"/>
        <v>0</v>
      </c>
      <c r="CG82" s="921"/>
      <c r="CH82" s="918">
        <f t="shared" ca="1" si="225"/>
        <v>0</v>
      </c>
      <c r="CI82" s="918">
        <f t="shared" ca="1" si="225"/>
        <v>0</v>
      </c>
      <c r="CJ82" s="918">
        <f t="shared" ca="1" si="225"/>
        <v>0</v>
      </c>
      <c r="CK82" s="918" t="e">
        <f t="shared" ca="1" si="225"/>
        <v>#N/A</v>
      </c>
      <c r="CL82" s="918" t="e">
        <f t="shared" ca="1" si="225"/>
        <v>#N/A</v>
      </c>
      <c r="CM82" s="921"/>
      <c r="CN82" s="918">
        <f t="shared" ca="1" si="226"/>
        <v>0</v>
      </c>
      <c r="CO82" s="918" t="e">
        <f t="shared" ca="1" si="226"/>
        <v>#N/A</v>
      </c>
      <c r="CP82" s="918">
        <f t="shared" ca="1" si="226"/>
        <v>0</v>
      </c>
      <c r="CQ82" s="918">
        <f t="shared" ca="1" si="226"/>
        <v>0</v>
      </c>
      <c r="CR82" s="918">
        <f t="shared" ca="1" si="226"/>
        <v>0</v>
      </c>
      <c r="CS82" s="1144">
        <f t="shared" ca="1" si="226"/>
        <v>0</v>
      </c>
      <c r="CT82" s="921"/>
      <c r="CU82" s="918">
        <f t="shared" ca="1" si="227"/>
        <v>0</v>
      </c>
      <c r="CV82" s="918">
        <f t="shared" ca="1" si="227"/>
        <v>0</v>
      </c>
      <c r="CW82" s="918">
        <f t="shared" ca="1" si="227"/>
        <v>0</v>
      </c>
      <c r="CX82" s="918">
        <f t="shared" ca="1" si="227"/>
        <v>0</v>
      </c>
      <c r="CY82" s="918">
        <f t="shared" ca="1" si="227"/>
        <v>0</v>
      </c>
      <c r="CZ82" s="1144" t="e">
        <f t="shared" ca="1" si="227"/>
        <v>#N/A</v>
      </c>
      <c r="DA82" s="1144" t="e">
        <f t="shared" ca="1" si="227"/>
        <v>#N/A</v>
      </c>
      <c r="DB82" s="918">
        <f t="shared" ca="1" si="227"/>
        <v>0</v>
      </c>
      <c r="DC82" s="938">
        <f t="shared" ca="1" si="227"/>
        <v>0</v>
      </c>
      <c r="DD82" s="918">
        <f t="shared" ca="1" si="227"/>
        <v>0</v>
      </c>
      <c r="DE82" s="918">
        <f t="shared" ca="1" si="227"/>
        <v>0</v>
      </c>
      <c r="DF82" s="918">
        <f t="shared" ca="1" si="227"/>
        <v>0</v>
      </c>
      <c r="DG82" s="918">
        <f t="shared" ca="1" si="227"/>
        <v>0</v>
      </c>
      <c r="DH82" s="918">
        <f t="shared" ca="1" si="227"/>
        <v>0</v>
      </c>
      <c r="DI82" s="921"/>
      <c r="DJ82" s="1144">
        <f t="shared" ca="1" si="217"/>
        <v>0</v>
      </c>
      <c r="DK82" s="1144">
        <f t="shared" ca="1" si="217"/>
        <v>0</v>
      </c>
      <c r="DL82" s="1144">
        <f t="shared" ca="1" si="217"/>
        <v>0</v>
      </c>
      <c r="DM82" s="1144">
        <f t="shared" ca="1" si="217"/>
        <v>0</v>
      </c>
      <c r="DN82" s="1144" t="e">
        <f t="shared" ca="1" si="217"/>
        <v>#N/A</v>
      </c>
      <c r="DO82" s="1144">
        <f t="shared" ca="1" si="217"/>
        <v>0</v>
      </c>
      <c r="DP82" s="1144" t="e">
        <f t="shared" ca="1" si="217"/>
        <v>#N/A</v>
      </c>
      <c r="DQ82" s="921"/>
      <c r="DR82" s="1144">
        <f t="shared" ca="1" si="208"/>
        <v>0</v>
      </c>
      <c r="DS82" s="1144">
        <f t="shared" ca="1" si="208"/>
        <v>0</v>
      </c>
      <c r="DT82" s="1144">
        <f t="shared" ca="1" si="208"/>
        <v>0</v>
      </c>
      <c r="DU82" s="1144" t="e">
        <f t="shared" ca="1" si="208"/>
        <v>#N/A</v>
      </c>
      <c r="DV82" s="920"/>
      <c r="DW82" s="921"/>
      <c r="DX82" s="918">
        <f t="shared" ca="1" si="209"/>
        <v>0</v>
      </c>
      <c r="DY82" s="918">
        <f t="shared" ca="1" si="209"/>
        <v>0</v>
      </c>
      <c r="DZ82" s="918">
        <f t="shared" ca="1" si="209"/>
        <v>0</v>
      </c>
      <c r="EA82" s="918" t="e">
        <f t="shared" ca="1" si="209"/>
        <v>#N/A</v>
      </c>
      <c r="EB82" s="920"/>
      <c r="EC82" s="921"/>
      <c r="ED82" s="1144">
        <f t="shared" ca="1" si="210"/>
        <v>0</v>
      </c>
      <c r="EE82" s="1144">
        <f t="shared" ca="1" si="210"/>
        <v>0</v>
      </c>
      <c r="EF82" s="1144" t="e">
        <f t="shared" ca="1" si="210"/>
        <v>#N/A</v>
      </c>
      <c r="EG82" s="1144" t="e">
        <f t="shared" ca="1" si="210"/>
        <v>#N/A</v>
      </c>
      <c r="EH82" s="920"/>
      <c r="EI82" s="921"/>
      <c r="EJ82" s="918">
        <f t="shared" ca="1" si="211"/>
        <v>0</v>
      </c>
      <c r="EK82" s="918">
        <f t="shared" ca="1" si="211"/>
        <v>0</v>
      </c>
      <c r="EL82" s="918">
        <f t="shared" ca="1" si="211"/>
        <v>0</v>
      </c>
      <c r="EM82" s="918">
        <f t="shared" ca="1" si="211"/>
        <v>0</v>
      </c>
      <c r="EN82" s="920"/>
      <c r="EO82" s="921"/>
      <c r="EP82" s="1144">
        <f t="shared" ca="1" si="212"/>
        <v>0</v>
      </c>
      <c r="EQ82" s="1144">
        <f t="shared" ca="1" si="212"/>
        <v>0</v>
      </c>
      <c r="ER82" s="1144">
        <f t="shared" ca="1" si="212"/>
        <v>0</v>
      </c>
      <c r="ES82" s="1144">
        <f t="shared" ca="1" si="212"/>
        <v>0</v>
      </c>
      <c r="ET82" s="920"/>
      <c r="EU82" s="921"/>
      <c r="EV82" s="1144">
        <f t="shared" ca="1" si="218"/>
        <v>0</v>
      </c>
      <c r="EW82" s="1144">
        <f t="shared" ca="1" si="218"/>
        <v>0</v>
      </c>
      <c r="EX82" s="921"/>
      <c r="EY82" s="1144">
        <f t="shared" ca="1" si="218"/>
        <v>0</v>
      </c>
      <c r="EZ82" s="1144">
        <f t="shared" ca="1" si="218"/>
        <v>0</v>
      </c>
      <c r="FA82" s="1144" t="e">
        <f t="shared" ca="1" si="218"/>
        <v>#N/A</v>
      </c>
      <c r="FB82" s="921"/>
      <c r="FC82" s="918">
        <f t="shared" ca="1" si="228"/>
        <v>0</v>
      </c>
      <c r="FD82" s="918">
        <f t="shared" ca="1" si="228"/>
        <v>0</v>
      </c>
      <c r="FE82" s="918">
        <f t="shared" ca="1" si="228"/>
        <v>0</v>
      </c>
      <c r="FF82" s="918">
        <f t="shared" ca="1" si="228"/>
        <v>0</v>
      </c>
      <c r="FG82" s="918">
        <f t="shared" ca="1" si="228"/>
        <v>0</v>
      </c>
      <c r="FH82" s="918">
        <f t="shared" ca="1" si="228"/>
        <v>0</v>
      </c>
      <c r="FI82" s="918">
        <f t="shared" ca="1" si="228"/>
        <v>0</v>
      </c>
      <c r="FJ82" s="918">
        <f t="shared" ca="1" si="228"/>
        <v>0</v>
      </c>
      <c r="FK82" s="918">
        <f t="shared" ca="1" si="228"/>
        <v>0</v>
      </c>
      <c r="FL82" s="918">
        <f t="shared" ca="1" si="228"/>
        <v>0</v>
      </c>
      <c r="FM82" s="918" t="e">
        <f t="shared" ca="1" si="229"/>
        <v>#N/A</v>
      </c>
      <c r="FN82" s="1144">
        <f t="shared" ca="1" si="229"/>
        <v>0</v>
      </c>
      <c r="FO82" s="1144">
        <f t="shared" ca="1" si="229"/>
        <v>0</v>
      </c>
      <c r="FP82" s="918">
        <f t="shared" ca="1" si="229"/>
        <v>0</v>
      </c>
      <c r="FQ82" s="918">
        <f t="shared" ca="1" si="229"/>
        <v>0</v>
      </c>
      <c r="FR82" s="918">
        <f t="shared" ca="1" si="229"/>
        <v>0</v>
      </c>
      <c r="FS82" s="918">
        <f t="shared" ca="1" si="229"/>
        <v>0</v>
      </c>
      <c r="FT82" s="918">
        <f t="shared" ca="1" si="229"/>
        <v>0</v>
      </c>
      <c r="FU82" s="918" t="e">
        <f t="shared" ca="1" si="229"/>
        <v>#N/A</v>
      </c>
      <c r="FV82" s="1144" t="e">
        <f t="shared" ca="1" si="229"/>
        <v>#N/A</v>
      </c>
      <c r="FW82" s="918">
        <f t="shared" ca="1" si="229"/>
        <v>0</v>
      </c>
      <c r="FX82" s="918">
        <f t="shared" ca="1" si="229"/>
        <v>0</v>
      </c>
      <c r="FY82" s="918">
        <f t="shared" ca="1" si="229"/>
        <v>0</v>
      </c>
      <c r="FZ82" s="918">
        <f t="shared" ca="1" si="229"/>
        <v>0</v>
      </c>
      <c r="GA82" s="1144" t="e">
        <f t="shared" ca="1" si="229"/>
        <v>#N/A</v>
      </c>
      <c r="GB82" s="918">
        <f t="shared" ca="1" si="229"/>
        <v>0</v>
      </c>
      <c r="GC82" s="920"/>
      <c r="GD82" s="918">
        <f t="shared" ca="1" si="230"/>
        <v>0</v>
      </c>
      <c r="GE82" s="918">
        <f t="shared" ca="1" si="230"/>
        <v>0</v>
      </c>
      <c r="GF82" s="918">
        <f t="shared" ca="1" si="230"/>
        <v>0</v>
      </c>
      <c r="GG82" s="918">
        <f t="shared" ca="1" si="230"/>
        <v>0</v>
      </c>
      <c r="GH82" s="918" t="e">
        <f t="shared" ca="1" si="230"/>
        <v>#N/A</v>
      </c>
      <c r="GI82" s="1144" t="e">
        <f t="shared" ca="1" si="230"/>
        <v>#N/A</v>
      </c>
      <c r="GJ82" s="918">
        <f t="shared" ca="1" si="230"/>
        <v>0</v>
      </c>
      <c r="GK82" s="918">
        <f t="shared" ca="1" si="230"/>
        <v>0</v>
      </c>
      <c r="GL82" s="918">
        <f t="shared" ca="1" si="230"/>
        <v>0</v>
      </c>
      <c r="GM82" s="918">
        <f t="shared" ca="1" si="230"/>
        <v>0</v>
      </c>
      <c r="GN82" s="918">
        <f t="shared" ca="1" si="230"/>
        <v>0</v>
      </c>
      <c r="GO82" s="918" t="e">
        <f t="shared" ca="1" si="230"/>
        <v>#N/A</v>
      </c>
      <c r="GP82" s="915"/>
      <c r="GR82" s="946"/>
      <c r="GS82" s="946"/>
      <c r="GU82" s="946"/>
      <c r="GV82" s="946"/>
      <c r="GW82" s="946"/>
      <c r="GX82" s="1143"/>
      <c r="GY82" s="946"/>
    </row>
    <row r="83" spans="1:207" s="1143" customFormat="1" x14ac:dyDescent="0.3">
      <c r="A83" s="975" t="s">
        <v>2868</v>
      </c>
      <c r="B83" s="974">
        <v>142</v>
      </c>
      <c r="C83" s="973">
        <v>74.092680000000001</v>
      </c>
      <c r="D83" s="1143">
        <v>2.6077678350000001E-2</v>
      </c>
      <c r="E83" s="972" t="s">
        <v>982</v>
      </c>
      <c r="F83" s="936">
        <f t="shared" ca="1" si="219"/>
        <v>0</v>
      </c>
      <c r="G83" s="1144">
        <f t="shared" ca="1" si="219"/>
        <v>0</v>
      </c>
      <c r="H83" s="1144">
        <f t="shared" ca="1" si="219"/>
        <v>0</v>
      </c>
      <c r="I83" s="1144">
        <f t="shared" ca="1" si="219"/>
        <v>0</v>
      </c>
      <c r="J83" s="1144">
        <f t="shared" ca="1" si="219"/>
        <v>0</v>
      </c>
      <c r="K83" s="1144">
        <f t="shared" ca="1" si="219"/>
        <v>0</v>
      </c>
      <c r="L83" s="1144">
        <f t="shared" ca="1" si="219"/>
        <v>0</v>
      </c>
      <c r="M83" s="1144">
        <f t="shared" ca="1" si="219"/>
        <v>0</v>
      </c>
      <c r="N83" s="938">
        <f t="shared" ca="1" si="219"/>
        <v>0</v>
      </c>
      <c r="O83" s="1144">
        <f t="shared" ca="1" si="219"/>
        <v>0</v>
      </c>
      <c r="P83" s="939">
        <f t="shared" ca="1" si="219"/>
        <v>0</v>
      </c>
      <c r="Q83" s="921"/>
      <c r="R83" s="1144">
        <f t="shared" ca="1" si="220"/>
        <v>0</v>
      </c>
      <c r="S83" s="1144">
        <f t="shared" ca="1" si="220"/>
        <v>0</v>
      </c>
      <c r="T83" s="1144">
        <f t="shared" ca="1" si="220"/>
        <v>0</v>
      </c>
      <c r="U83" s="1144">
        <f t="shared" ca="1" si="220"/>
        <v>0</v>
      </c>
      <c r="V83" s="1144">
        <f t="shared" ca="1" si="220"/>
        <v>0</v>
      </c>
      <c r="W83" s="1144">
        <f t="shared" ca="1" si="220"/>
        <v>0</v>
      </c>
      <c r="X83" s="938">
        <f t="shared" ca="1" si="220"/>
        <v>0</v>
      </c>
      <c r="Y83" s="1144">
        <f t="shared" ca="1" si="220"/>
        <v>0</v>
      </c>
      <c r="Z83" s="1144">
        <f t="shared" ca="1" si="220"/>
        <v>0</v>
      </c>
      <c r="AA83" s="1144">
        <f t="shared" ca="1" si="220"/>
        <v>0</v>
      </c>
      <c r="AB83" s="921"/>
      <c r="AC83" s="1144">
        <f t="shared" ca="1" si="221"/>
        <v>0</v>
      </c>
      <c r="AD83" s="1144">
        <f t="shared" ca="1" si="221"/>
        <v>0</v>
      </c>
      <c r="AE83" s="1144">
        <f t="shared" ca="1" si="221"/>
        <v>0</v>
      </c>
      <c r="AF83" s="1144">
        <f t="shared" ca="1" si="221"/>
        <v>0</v>
      </c>
      <c r="AG83" s="1144">
        <f t="shared" ca="1" si="221"/>
        <v>0</v>
      </c>
      <c r="AH83" s="1144">
        <f t="shared" ca="1" si="221"/>
        <v>0</v>
      </c>
      <c r="AI83" s="1144">
        <f t="shared" ca="1" si="221"/>
        <v>0</v>
      </c>
      <c r="AJ83" s="1144">
        <f t="shared" ca="1" si="221"/>
        <v>0</v>
      </c>
      <c r="AK83" s="938">
        <f t="shared" ca="1" si="221"/>
        <v>0</v>
      </c>
      <c r="AL83" s="1144">
        <f t="shared" ca="1" si="221"/>
        <v>0</v>
      </c>
      <c r="AM83" s="1144">
        <f t="shared" ca="1" si="221"/>
        <v>0</v>
      </c>
      <c r="AN83" s="1144">
        <f t="shared" ca="1" si="221"/>
        <v>0</v>
      </c>
      <c r="AO83" s="921"/>
      <c r="AP83" s="1144">
        <f t="shared" ca="1" si="216"/>
        <v>0</v>
      </c>
      <c r="AQ83" s="1144">
        <f t="shared" ca="1" si="216"/>
        <v>0</v>
      </c>
      <c r="AR83" s="1144">
        <f t="shared" ca="1" si="216"/>
        <v>0</v>
      </c>
      <c r="AS83" s="1144">
        <f t="shared" ca="1" si="216"/>
        <v>0</v>
      </c>
      <c r="AT83" s="938">
        <f t="shared" ca="1" si="216"/>
        <v>0</v>
      </c>
      <c r="AU83" s="938">
        <f t="shared" ca="1" si="216"/>
        <v>0</v>
      </c>
      <c r="AV83" s="1144">
        <f t="shared" ca="1" si="216"/>
        <v>0</v>
      </c>
      <c r="AW83" s="1144">
        <f t="shared" ca="1" si="216"/>
        <v>0</v>
      </c>
      <c r="AX83" s="1144">
        <f t="shared" ca="1" si="216"/>
        <v>0</v>
      </c>
      <c r="AY83" s="1144">
        <f t="shared" ca="1" si="216"/>
        <v>0</v>
      </c>
      <c r="AZ83" s="1144">
        <f t="shared" ca="1" si="216"/>
        <v>0</v>
      </c>
      <c r="BA83" s="1144">
        <f t="shared" ca="1" si="216"/>
        <v>0</v>
      </c>
      <c r="BB83" s="1144">
        <f t="shared" ca="1" si="216"/>
        <v>0</v>
      </c>
      <c r="BC83" s="1144">
        <f t="shared" ca="1" si="216"/>
        <v>0</v>
      </c>
      <c r="BD83" s="921"/>
      <c r="BE83" s="1144">
        <f t="shared" ca="1" si="222"/>
        <v>0</v>
      </c>
      <c r="BF83" s="1144">
        <f t="shared" ca="1" si="222"/>
        <v>0</v>
      </c>
      <c r="BG83" s="1144">
        <f t="shared" ca="1" si="222"/>
        <v>0</v>
      </c>
      <c r="BH83" s="1144">
        <f t="shared" ca="1" si="222"/>
        <v>0</v>
      </c>
      <c r="BI83" s="938">
        <f t="shared" ca="1" si="222"/>
        <v>0</v>
      </c>
      <c r="BJ83" s="1144">
        <f t="shared" ca="1" si="222"/>
        <v>0</v>
      </c>
      <c r="BK83" s="1144">
        <f t="shared" ca="1" si="222"/>
        <v>0</v>
      </c>
      <c r="BL83" s="1144">
        <f t="shared" ca="1" si="222"/>
        <v>0</v>
      </c>
      <c r="BM83" s="1144">
        <f t="shared" ca="1" si="222"/>
        <v>0</v>
      </c>
      <c r="BN83" s="1144">
        <f t="shared" ca="1" si="222"/>
        <v>0</v>
      </c>
      <c r="BO83" s="1144">
        <f t="shared" ca="1" si="222"/>
        <v>0</v>
      </c>
      <c r="BP83" s="921"/>
      <c r="BQ83" s="1144">
        <f t="shared" ca="1" si="223"/>
        <v>0</v>
      </c>
      <c r="BR83" s="1144">
        <f t="shared" ca="1" si="223"/>
        <v>0</v>
      </c>
      <c r="BS83" s="1144">
        <f t="shared" ca="1" si="223"/>
        <v>0</v>
      </c>
      <c r="BT83" s="1144">
        <f t="shared" ca="1" si="223"/>
        <v>0</v>
      </c>
      <c r="BU83" s="1144">
        <f t="shared" ca="1" si="223"/>
        <v>0</v>
      </c>
      <c r="BV83" s="1144">
        <f t="shared" ca="1" si="223"/>
        <v>0</v>
      </c>
      <c r="BW83" s="1144">
        <f t="shared" ca="1" si="223"/>
        <v>0</v>
      </c>
      <c r="BX83" s="921"/>
      <c r="BY83" s="1144">
        <f t="shared" ca="1" si="224"/>
        <v>0</v>
      </c>
      <c r="BZ83" s="1144">
        <f t="shared" ca="1" si="224"/>
        <v>0</v>
      </c>
      <c r="CA83" s="1144">
        <f t="shared" ca="1" si="224"/>
        <v>0</v>
      </c>
      <c r="CB83" s="1144">
        <f t="shared" ca="1" si="224"/>
        <v>0</v>
      </c>
      <c r="CC83" s="1144">
        <f t="shared" ca="1" si="224"/>
        <v>0</v>
      </c>
      <c r="CD83" s="1144">
        <f t="shared" ca="1" si="224"/>
        <v>0.31481130385388462</v>
      </c>
      <c r="CE83" s="1144">
        <f t="shared" ca="1" si="224"/>
        <v>6.2962260700384881E-2</v>
      </c>
      <c r="CF83" s="1144">
        <f t="shared" ca="1" si="224"/>
        <v>0</v>
      </c>
      <c r="CG83" s="921"/>
      <c r="CH83" s="1144">
        <f t="shared" ca="1" si="225"/>
        <v>0</v>
      </c>
      <c r="CI83" s="1144">
        <f t="shared" ca="1" si="225"/>
        <v>0</v>
      </c>
      <c r="CJ83" s="1144">
        <f t="shared" ca="1" si="225"/>
        <v>0</v>
      </c>
      <c r="CK83" s="1144" t="e">
        <f t="shared" ca="1" si="225"/>
        <v>#N/A</v>
      </c>
      <c r="CL83" s="1144" t="e">
        <f t="shared" ca="1" si="225"/>
        <v>#N/A</v>
      </c>
      <c r="CM83" s="921"/>
      <c r="CN83" s="1144">
        <f t="shared" ca="1" si="226"/>
        <v>0</v>
      </c>
      <c r="CO83" s="1144" t="e">
        <f t="shared" ca="1" si="226"/>
        <v>#N/A</v>
      </c>
      <c r="CP83" s="1144">
        <f t="shared" ca="1" si="226"/>
        <v>0</v>
      </c>
      <c r="CQ83" s="1144">
        <f t="shared" ca="1" si="226"/>
        <v>0</v>
      </c>
      <c r="CR83" s="1144">
        <f t="shared" ca="1" si="226"/>
        <v>0</v>
      </c>
      <c r="CS83" s="1144">
        <f t="shared" ca="1" si="226"/>
        <v>0</v>
      </c>
      <c r="CT83" s="921"/>
      <c r="CU83" s="1144">
        <f t="shared" ca="1" si="227"/>
        <v>0</v>
      </c>
      <c r="CV83" s="1144">
        <f t="shared" ca="1" si="227"/>
        <v>0</v>
      </c>
      <c r="CW83" s="1144">
        <f t="shared" ca="1" si="227"/>
        <v>0</v>
      </c>
      <c r="CX83" s="1144">
        <f t="shared" ca="1" si="227"/>
        <v>0</v>
      </c>
      <c r="CY83" s="1144">
        <f t="shared" ca="1" si="227"/>
        <v>0</v>
      </c>
      <c r="CZ83" s="1144" t="e">
        <f t="shared" ca="1" si="227"/>
        <v>#N/A</v>
      </c>
      <c r="DA83" s="1144" t="e">
        <f t="shared" ca="1" si="227"/>
        <v>#N/A</v>
      </c>
      <c r="DB83" s="1144">
        <f t="shared" ca="1" si="227"/>
        <v>0</v>
      </c>
      <c r="DC83" s="938">
        <f t="shared" ca="1" si="227"/>
        <v>0</v>
      </c>
      <c r="DD83" s="1144">
        <f t="shared" ca="1" si="227"/>
        <v>0</v>
      </c>
      <c r="DE83" s="1144">
        <f t="shared" ca="1" si="227"/>
        <v>0</v>
      </c>
      <c r="DF83" s="1144">
        <f t="shared" ca="1" si="227"/>
        <v>0</v>
      </c>
      <c r="DG83" s="1144">
        <f t="shared" ca="1" si="227"/>
        <v>0</v>
      </c>
      <c r="DH83" s="1144">
        <f t="shared" ca="1" si="227"/>
        <v>0</v>
      </c>
      <c r="DI83" s="921"/>
      <c r="DJ83" s="1144">
        <f t="shared" ca="1" si="217"/>
        <v>0</v>
      </c>
      <c r="DK83" s="1144">
        <f t="shared" ca="1" si="217"/>
        <v>0</v>
      </c>
      <c r="DL83" s="1144">
        <f t="shared" ca="1" si="217"/>
        <v>0</v>
      </c>
      <c r="DM83" s="1144">
        <f t="shared" ca="1" si="217"/>
        <v>0</v>
      </c>
      <c r="DN83" s="1144" t="e">
        <f t="shared" ca="1" si="217"/>
        <v>#N/A</v>
      </c>
      <c r="DO83" s="1144">
        <f t="shared" ca="1" si="217"/>
        <v>0</v>
      </c>
      <c r="DP83" s="1144" t="e">
        <f t="shared" ca="1" si="217"/>
        <v>#N/A</v>
      </c>
      <c r="DQ83" s="921"/>
      <c r="DR83" s="1144">
        <f t="shared" ca="1" si="208"/>
        <v>0</v>
      </c>
      <c r="DS83" s="1144">
        <f t="shared" ca="1" si="208"/>
        <v>0</v>
      </c>
      <c r="DT83" s="1144">
        <f t="shared" ca="1" si="208"/>
        <v>0</v>
      </c>
      <c r="DU83" s="1144" t="e">
        <f t="shared" ca="1" si="208"/>
        <v>#N/A</v>
      </c>
      <c r="DV83" s="920"/>
      <c r="DW83" s="921"/>
      <c r="DX83" s="1144">
        <f t="shared" ca="1" si="209"/>
        <v>0</v>
      </c>
      <c r="DY83" s="1144">
        <f t="shared" ca="1" si="209"/>
        <v>0</v>
      </c>
      <c r="DZ83" s="1144">
        <f t="shared" ca="1" si="209"/>
        <v>0</v>
      </c>
      <c r="EA83" s="1144" t="e">
        <f t="shared" ca="1" si="209"/>
        <v>#N/A</v>
      </c>
      <c r="EB83" s="920"/>
      <c r="EC83" s="921"/>
      <c r="ED83" s="1144">
        <f t="shared" ca="1" si="210"/>
        <v>0</v>
      </c>
      <c r="EE83" s="1144">
        <f t="shared" ca="1" si="210"/>
        <v>0</v>
      </c>
      <c r="EF83" s="1144" t="e">
        <f t="shared" ca="1" si="210"/>
        <v>#N/A</v>
      </c>
      <c r="EG83" s="1144" t="e">
        <f t="shared" ca="1" si="210"/>
        <v>#N/A</v>
      </c>
      <c r="EH83" s="920"/>
      <c r="EI83" s="921"/>
      <c r="EJ83" s="1144">
        <f t="shared" ca="1" si="211"/>
        <v>0</v>
      </c>
      <c r="EK83" s="1144">
        <f t="shared" ca="1" si="211"/>
        <v>0</v>
      </c>
      <c r="EL83" s="1144">
        <f t="shared" ca="1" si="211"/>
        <v>0</v>
      </c>
      <c r="EM83" s="1144">
        <f t="shared" ca="1" si="211"/>
        <v>0</v>
      </c>
      <c r="EN83" s="920"/>
      <c r="EO83" s="921"/>
      <c r="EP83" s="1144">
        <f t="shared" ca="1" si="212"/>
        <v>0</v>
      </c>
      <c r="EQ83" s="1144">
        <f t="shared" ca="1" si="212"/>
        <v>0</v>
      </c>
      <c r="ER83" s="1144">
        <f t="shared" ca="1" si="212"/>
        <v>0</v>
      </c>
      <c r="ES83" s="1144">
        <f t="shared" ca="1" si="212"/>
        <v>0</v>
      </c>
      <c r="ET83" s="920"/>
      <c r="EU83" s="921"/>
      <c r="EV83" s="1144">
        <f t="shared" ca="1" si="218"/>
        <v>0</v>
      </c>
      <c r="EW83" s="1144">
        <f t="shared" ca="1" si="218"/>
        <v>0</v>
      </c>
      <c r="EX83" s="921"/>
      <c r="EY83" s="1144">
        <f t="shared" ca="1" si="218"/>
        <v>0</v>
      </c>
      <c r="EZ83" s="1144">
        <f t="shared" ca="1" si="218"/>
        <v>0</v>
      </c>
      <c r="FA83" s="1144" t="e">
        <f t="shared" ca="1" si="218"/>
        <v>#N/A</v>
      </c>
      <c r="FB83" s="921"/>
      <c r="FC83" s="1144">
        <f t="shared" ca="1" si="228"/>
        <v>0</v>
      </c>
      <c r="FD83" s="1144">
        <f t="shared" ca="1" si="228"/>
        <v>0</v>
      </c>
      <c r="FE83" s="1144">
        <f t="shared" ca="1" si="228"/>
        <v>0</v>
      </c>
      <c r="FF83" s="1144">
        <f t="shared" ca="1" si="228"/>
        <v>0</v>
      </c>
      <c r="FG83" s="1144">
        <f t="shared" ca="1" si="228"/>
        <v>0</v>
      </c>
      <c r="FH83" s="1144">
        <f t="shared" ca="1" si="228"/>
        <v>0</v>
      </c>
      <c r="FI83" s="1144">
        <f t="shared" ca="1" si="228"/>
        <v>0</v>
      </c>
      <c r="FJ83" s="1144">
        <f t="shared" ca="1" si="228"/>
        <v>0</v>
      </c>
      <c r="FK83" s="1144">
        <f t="shared" ca="1" si="228"/>
        <v>0</v>
      </c>
      <c r="FL83" s="1144">
        <f t="shared" ca="1" si="228"/>
        <v>0</v>
      </c>
      <c r="FM83" s="1144" t="e">
        <f t="shared" ca="1" si="229"/>
        <v>#N/A</v>
      </c>
      <c r="FN83" s="1144">
        <f t="shared" ca="1" si="229"/>
        <v>0</v>
      </c>
      <c r="FO83" s="1144">
        <f t="shared" ca="1" si="229"/>
        <v>0</v>
      </c>
      <c r="FP83" s="1144">
        <f t="shared" ca="1" si="229"/>
        <v>0</v>
      </c>
      <c r="FQ83" s="1144">
        <f t="shared" ca="1" si="229"/>
        <v>0</v>
      </c>
      <c r="FR83" s="1144">
        <f t="shared" ca="1" si="229"/>
        <v>0</v>
      </c>
      <c r="FS83" s="1144">
        <f t="shared" ca="1" si="229"/>
        <v>0</v>
      </c>
      <c r="FT83" s="1144">
        <f t="shared" ca="1" si="229"/>
        <v>0</v>
      </c>
      <c r="FU83" s="1144" t="e">
        <f t="shared" ca="1" si="229"/>
        <v>#N/A</v>
      </c>
      <c r="FV83" s="1144" t="e">
        <f t="shared" ca="1" si="229"/>
        <v>#N/A</v>
      </c>
      <c r="FW83" s="1144">
        <f t="shared" ca="1" si="229"/>
        <v>0</v>
      </c>
      <c r="FX83" s="1144">
        <f t="shared" ca="1" si="229"/>
        <v>0</v>
      </c>
      <c r="FY83" s="1144">
        <f t="shared" ca="1" si="229"/>
        <v>0</v>
      </c>
      <c r="FZ83" s="1144">
        <f t="shared" ca="1" si="229"/>
        <v>0.31481130385388462</v>
      </c>
      <c r="GA83" s="1144" t="e">
        <f t="shared" ca="1" si="229"/>
        <v>#N/A</v>
      </c>
      <c r="GB83" s="1144">
        <f t="shared" ca="1" si="229"/>
        <v>0</v>
      </c>
      <c r="GC83" s="920"/>
      <c r="GD83" s="1144">
        <f t="shared" ca="1" si="230"/>
        <v>0</v>
      </c>
      <c r="GE83" s="1144">
        <f t="shared" ca="1" si="230"/>
        <v>0</v>
      </c>
      <c r="GF83" s="1144">
        <f t="shared" ca="1" si="230"/>
        <v>0</v>
      </c>
      <c r="GG83" s="1144">
        <f t="shared" ca="1" si="230"/>
        <v>0</v>
      </c>
      <c r="GH83" s="1144" t="e">
        <f t="shared" ca="1" si="230"/>
        <v>#N/A</v>
      </c>
      <c r="GI83" s="1144" t="e">
        <f t="shared" ca="1" si="230"/>
        <v>#N/A</v>
      </c>
      <c r="GJ83" s="1144">
        <f t="shared" ca="1" si="230"/>
        <v>0</v>
      </c>
      <c r="GK83" s="1144">
        <f t="shared" ca="1" si="230"/>
        <v>0</v>
      </c>
      <c r="GL83" s="1144">
        <f t="shared" ca="1" si="230"/>
        <v>6.2962260700384881E-2</v>
      </c>
      <c r="GM83" s="1144">
        <f t="shared" ca="1" si="230"/>
        <v>0</v>
      </c>
      <c r="GN83" s="1144">
        <f t="shared" ca="1" si="230"/>
        <v>0</v>
      </c>
      <c r="GO83" s="1144" t="e">
        <f t="shared" ca="1" si="230"/>
        <v>#N/A</v>
      </c>
      <c r="GP83" s="915"/>
      <c r="GQ83" s="914"/>
      <c r="GR83" s="946"/>
      <c r="GS83" s="946"/>
      <c r="GT83" s="914"/>
      <c r="GU83" s="946"/>
      <c r="GV83" s="946"/>
      <c r="GW83" s="946"/>
      <c r="GY83" s="946"/>
    </row>
    <row r="84" spans="1:207" s="1143" customFormat="1" x14ac:dyDescent="0.3">
      <c r="A84" s="975" t="s">
        <v>2999</v>
      </c>
      <c r="B84" s="974">
        <v>143</v>
      </c>
      <c r="C84" s="973">
        <v>136.14160000000001</v>
      </c>
      <c r="D84" s="1143">
        <v>0.11994387404999998</v>
      </c>
      <c r="E84" s="972" t="s">
        <v>982</v>
      </c>
      <c r="F84" s="936">
        <f t="shared" ca="1" si="219"/>
        <v>0</v>
      </c>
      <c r="G84" s="1144">
        <f t="shared" ca="1" si="219"/>
        <v>0</v>
      </c>
      <c r="H84" s="1144">
        <f t="shared" ca="1" si="219"/>
        <v>0</v>
      </c>
      <c r="I84" s="1144">
        <f t="shared" ca="1" si="219"/>
        <v>0</v>
      </c>
      <c r="J84" s="1144">
        <f t="shared" ca="1" si="219"/>
        <v>0</v>
      </c>
      <c r="K84" s="1144">
        <f t="shared" ca="1" si="219"/>
        <v>0</v>
      </c>
      <c r="L84" s="1144">
        <f t="shared" ca="1" si="219"/>
        <v>0</v>
      </c>
      <c r="M84" s="1144">
        <f t="shared" ca="1" si="219"/>
        <v>0</v>
      </c>
      <c r="N84" s="938">
        <f t="shared" ca="1" si="219"/>
        <v>0</v>
      </c>
      <c r="O84" s="1144">
        <f t="shared" ca="1" si="219"/>
        <v>0</v>
      </c>
      <c r="P84" s="939">
        <f t="shared" ca="1" si="219"/>
        <v>0</v>
      </c>
      <c r="Q84" s="921"/>
      <c r="R84" s="1144">
        <f t="shared" ca="1" si="220"/>
        <v>0</v>
      </c>
      <c r="S84" s="1144">
        <f t="shared" ca="1" si="220"/>
        <v>0</v>
      </c>
      <c r="T84" s="1144">
        <f t="shared" ca="1" si="220"/>
        <v>0</v>
      </c>
      <c r="U84" s="1144">
        <f t="shared" ca="1" si="220"/>
        <v>0</v>
      </c>
      <c r="V84" s="1144">
        <f t="shared" ca="1" si="220"/>
        <v>0</v>
      </c>
      <c r="W84" s="1144">
        <f t="shared" ca="1" si="220"/>
        <v>0</v>
      </c>
      <c r="X84" s="938">
        <f t="shared" ca="1" si="220"/>
        <v>0</v>
      </c>
      <c r="Y84" s="1144">
        <f t="shared" ca="1" si="220"/>
        <v>0</v>
      </c>
      <c r="Z84" s="1144">
        <f t="shared" ca="1" si="220"/>
        <v>0</v>
      </c>
      <c r="AA84" s="1144">
        <f t="shared" ca="1" si="220"/>
        <v>0</v>
      </c>
      <c r="AB84" s="921"/>
      <c r="AC84" s="1144">
        <f t="shared" ca="1" si="221"/>
        <v>0</v>
      </c>
      <c r="AD84" s="1144">
        <f t="shared" ca="1" si="221"/>
        <v>0</v>
      </c>
      <c r="AE84" s="1144">
        <f t="shared" ca="1" si="221"/>
        <v>0</v>
      </c>
      <c r="AF84" s="1144">
        <f t="shared" ca="1" si="221"/>
        <v>0</v>
      </c>
      <c r="AG84" s="1144">
        <f t="shared" ca="1" si="221"/>
        <v>0</v>
      </c>
      <c r="AH84" s="1144">
        <f t="shared" ca="1" si="221"/>
        <v>0</v>
      </c>
      <c r="AI84" s="1144">
        <f t="shared" ca="1" si="221"/>
        <v>0</v>
      </c>
      <c r="AJ84" s="1144">
        <f t="shared" ca="1" si="221"/>
        <v>0</v>
      </c>
      <c r="AK84" s="938">
        <f t="shared" ca="1" si="221"/>
        <v>0</v>
      </c>
      <c r="AL84" s="1144">
        <f t="shared" ca="1" si="221"/>
        <v>0</v>
      </c>
      <c r="AM84" s="1144">
        <f t="shared" ca="1" si="221"/>
        <v>0</v>
      </c>
      <c r="AN84" s="1144">
        <f t="shared" ca="1" si="221"/>
        <v>0</v>
      </c>
      <c r="AO84" s="921"/>
      <c r="AP84" s="1144">
        <f t="shared" ca="1" si="216"/>
        <v>0</v>
      </c>
      <c r="AQ84" s="1144">
        <f t="shared" ca="1" si="216"/>
        <v>0</v>
      </c>
      <c r="AR84" s="1144">
        <f t="shared" ca="1" si="216"/>
        <v>0</v>
      </c>
      <c r="AS84" s="1144">
        <f t="shared" ca="1" si="216"/>
        <v>0</v>
      </c>
      <c r="AT84" s="938">
        <f t="shared" ca="1" si="216"/>
        <v>0</v>
      </c>
      <c r="AU84" s="938">
        <f t="shared" ca="1" si="216"/>
        <v>0</v>
      </c>
      <c r="AV84" s="1144">
        <f t="shared" ca="1" si="216"/>
        <v>0</v>
      </c>
      <c r="AW84" s="1144">
        <f t="shared" ca="1" si="216"/>
        <v>0</v>
      </c>
      <c r="AX84" s="1144">
        <f t="shared" ca="1" si="216"/>
        <v>0</v>
      </c>
      <c r="AY84" s="1144">
        <f t="shared" ca="1" si="216"/>
        <v>0</v>
      </c>
      <c r="AZ84" s="1144">
        <f t="shared" ca="1" si="216"/>
        <v>0</v>
      </c>
      <c r="BA84" s="1144">
        <f t="shared" ca="1" si="216"/>
        <v>0</v>
      </c>
      <c r="BB84" s="1144">
        <f t="shared" ca="1" si="216"/>
        <v>0</v>
      </c>
      <c r="BC84" s="1144">
        <f t="shared" ca="1" si="216"/>
        <v>0</v>
      </c>
      <c r="BD84" s="921"/>
      <c r="BE84" s="1144">
        <f t="shared" ca="1" si="222"/>
        <v>0</v>
      </c>
      <c r="BF84" s="1144">
        <f t="shared" ca="1" si="222"/>
        <v>0</v>
      </c>
      <c r="BG84" s="1144">
        <f t="shared" ca="1" si="222"/>
        <v>0</v>
      </c>
      <c r="BH84" s="1144">
        <f t="shared" ca="1" si="222"/>
        <v>0</v>
      </c>
      <c r="BI84" s="938">
        <f t="shared" ca="1" si="222"/>
        <v>0</v>
      </c>
      <c r="BJ84" s="1144">
        <f t="shared" ca="1" si="222"/>
        <v>0</v>
      </c>
      <c r="BK84" s="1144">
        <f t="shared" ca="1" si="222"/>
        <v>0</v>
      </c>
      <c r="BL84" s="1144">
        <f t="shared" ca="1" si="222"/>
        <v>0</v>
      </c>
      <c r="BM84" s="1144">
        <f t="shared" ca="1" si="222"/>
        <v>0</v>
      </c>
      <c r="BN84" s="1144">
        <f t="shared" ca="1" si="222"/>
        <v>0</v>
      </c>
      <c r="BO84" s="1144">
        <f t="shared" ca="1" si="222"/>
        <v>0</v>
      </c>
      <c r="BP84" s="921"/>
      <c r="BQ84" s="1144">
        <f t="shared" ca="1" si="223"/>
        <v>0</v>
      </c>
      <c r="BR84" s="1144">
        <f t="shared" ca="1" si="223"/>
        <v>0</v>
      </c>
      <c r="BS84" s="1144">
        <f t="shared" ca="1" si="223"/>
        <v>0</v>
      </c>
      <c r="BT84" s="1144">
        <f t="shared" ca="1" si="223"/>
        <v>0</v>
      </c>
      <c r="BU84" s="1144">
        <f t="shared" ca="1" si="223"/>
        <v>0</v>
      </c>
      <c r="BV84" s="1144">
        <f t="shared" ca="1" si="223"/>
        <v>0</v>
      </c>
      <c r="BW84" s="1144">
        <f t="shared" ca="1" si="223"/>
        <v>0</v>
      </c>
      <c r="BX84" s="921"/>
      <c r="BY84" s="1144">
        <f t="shared" ca="1" si="224"/>
        <v>0</v>
      </c>
      <c r="BZ84" s="1144">
        <f t="shared" ca="1" si="224"/>
        <v>0</v>
      </c>
      <c r="CA84" s="1144">
        <f t="shared" ca="1" si="224"/>
        <v>0</v>
      </c>
      <c r="CB84" s="1144">
        <f t="shared" ca="1" si="224"/>
        <v>0</v>
      </c>
      <c r="CC84" s="1144">
        <f t="shared" ca="1" si="224"/>
        <v>0</v>
      </c>
      <c r="CD84" s="1144">
        <f t="shared" ca="1" si="224"/>
        <v>0</v>
      </c>
      <c r="CE84" s="1144">
        <f t="shared" ca="1" si="224"/>
        <v>1.1583757409189597</v>
      </c>
      <c r="CF84" s="1144">
        <f t="shared" ca="1" si="224"/>
        <v>0</v>
      </c>
      <c r="CG84" s="921"/>
      <c r="CH84" s="1144">
        <f t="shared" ca="1" si="225"/>
        <v>0</v>
      </c>
      <c r="CI84" s="1144">
        <f t="shared" ca="1" si="225"/>
        <v>0</v>
      </c>
      <c r="CJ84" s="1144">
        <f t="shared" ca="1" si="225"/>
        <v>0</v>
      </c>
      <c r="CK84" s="1144" t="e">
        <f t="shared" ca="1" si="225"/>
        <v>#N/A</v>
      </c>
      <c r="CL84" s="1144" t="e">
        <f t="shared" ca="1" si="225"/>
        <v>#N/A</v>
      </c>
      <c r="CM84" s="921"/>
      <c r="CN84" s="1144">
        <f t="shared" ca="1" si="226"/>
        <v>0</v>
      </c>
      <c r="CO84" s="1144" t="e">
        <f t="shared" ca="1" si="226"/>
        <v>#N/A</v>
      </c>
      <c r="CP84" s="1144">
        <f t="shared" ca="1" si="226"/>
        <v>0</v>
      </c>
      <c r="CQ84" s="1144">
        <f t="shared" ca="1" si="226"/>
        <v>0</v>
      </c>
      <c r="CR84" s="1144">
        <f t="shared" ca="1" si="226"/>
        <v>0</v>
      </c>
      <c r="CS84" s="1144">
        <f t="shared" ca="1" si="226"/>
        <v>0</v>
      </c>
      <c r="CT84" s="921"/>
      <c r="CU84" s="1144">
        <f t="shared" ca="1" si="227"/>
        <v>0</v>
      </c>
      <c r="CV84" s="1144">
        <f t="shared" ca="1" si="227"/>
        <v>0</v>
      </c>
      <c r="CW84" s="1144">
        <f t="shared" ca="1" si="227"/>
        <v>0</v>
      </c>
      <c r="CX84" s="1144">
        <f t="shared" ca="1" si="227"/>
        <v>0</v>
      </c>
      <c r="CY84" s="1144">
        <f t="shared" ca="1" si="227"/>
        <v>0</v>
      </c>
      <c r="CZ84" s="1144" t="e">
        <f t="shared" ca="1" si="227"/>
        <v>#N/A</v>
      </c>
      <c r="DA84" s="1144" t="e">
        <f t="shared" ca="1" si="227"/>
        <v>#N/A</v>
      </c>
      <c r="DB84" s="1144">
        <f t="shared" ca="1" si="227"/>
        <v>0</v>
      </c>
      <c r="DC84" s="938">
        <f t="shared" ca="1" si="227"/>
        <v>0</v>
      </c>
      <c r="DD84" s="1144">
        <f t="shared" ca="1" si="227"/>
        <v>0</v>
      </c>
      <c r="DE84" s="1144">
        <f t="shared" ca="1" si="227"/>
        <v>0</v>
      </c>
      <c r="DF84" s="1144">
        <f t="shared" ca="1" si="227"/>
        <v>0</v>
      </c>
      <c r="DG84" s="1144">
        <f t="shared" ca="1" si="227"/>
        <v>0</v>
      </c>
      <c r="DH84" s="1144">
        <f t="shared" ca="1" si="227"/>
        <v>0</v>
      </c>
      <c r="DI84" s="921"/>
      <c r="DJ84" s="1144">
        <f t="shared" ca="1" si="217"/>
        <v>0</v>
      </c>
      <c r="DK84" s="1144">
        <f t="shared" ca="1" si="217"/>
        <v>0</v>
      </c>
      <c r="DL84" s="1144">
        <f t="shared" ca="1" si="217"/>
        <v>0</v>
      </c>
      <c r="DM84" s="1144">
        <f t="shared" ca="1" si="217"/>
        <v>0</v>
      </c>
      <c r="DN84" s="1144" t="e">
        <f t="shared" ca="1" si="217"/>
        <v>#N/A</v>
      </c>
      <c r="DO84" s="1144">
        <f t="shared" ca="1" si="217"/>
        <v>0</v>
      </c>
      <c r="DP84" s="1144" t="e">
        <f t="shared" ca="1" si="217"/>
        <v>#N/A</v>
      </c>
      <c r="DQ84" s="921"/>
      <c r="DR84" s="1144">
        <f t="shared" ref="DR84:DU86" ca="1" si="231">VLOOKUP(DR$8,INDIRECT(LU_MAT),$B84,FALSE)*$D84/$C84</f>
        <v>0</v>
      </c>
      <c r="DS84" s="1144">
        <f t="shared" ca="1" si="231"/>
        <v>0</v>
      </c>
      <c r="DT84" s="1144">
        <f t="shared" ca="1" si="231"/>
        <v>0</v>
      </c>
      <c r="DU84" s="1144" t="e">
        <f t="shared" ca="1" si="231"/>
        <v>#N/A</v>
      </c>
      <c r="DV84" s="920"/>
      <c r="DW84" s="921"/>
      <c r="DX84" s="1144">
        <f t="shared" ref="DX84:EA86" ca="1" si="232">VLOOKUP(DX$8,INDIRECT(LU_MAT),$B84,FALSE)*$D84/$C84</f>
        <v>0</v>
      </c>
      <c r="DY84" s="1144">
        <f t="shared" ca="1" si="232"/>
        <v>0</v>
      </c>
      <c r="DZ84" s="1144">
        <f t="shared" ca="1" si="232"/>
        <v>0</v>
      </c>
      <c r="EA84" s="1144" t="e">
        <f t="shared" ca="1" si="232"/>
        <v>#N/A</v>
      </c>
      <c r="EB84" s="920"/>
      <c r="EC84" s="921"/>
      <c r="ED84" s="1144">
        <f t="shared" ref="ED84:EG86" ca="1" si="233">VLOOKUP(ED$8,INDIRECT(LU_MAT),$B84,FALSE)*$D84/$C84</f>
        <v>0</v>
      </c>
      <c r="EE84" s="1144">
        <f t="shared" ca="1" si="233"/>
        <v>0</v>
      </c>
      <c r="EF84" s="1144" t="e">
        <f t="shared" ca="1" si="233"/>
        <v>#N/A</v>
      </c>
      <c r="EG84" s="1144" t="e">
        <f t="shared" ca="1" si="233"/>
        <v>#N/A</v>
      </c>
      <c r="EH84" s="920"/>
      <c r="EI84" s="921"/>
      <c r="EJ84" s="1144">
        <f t="shared" ref="EJ84:EM86" ca="1" si="234">VLOOKUP(EJ$8,INDIRECT(LU_MAT),$B84,FALSE)*$D84/$C84</f>
        <v>0</v>
      </c>
      <c r="EK84" s="1144">
        <f t="shared" ca="1" si="234"/>
        <v>0</v>
      </c>
      <c r="EL84" s="1144">
        <f t="shared" ca="1" si="234"/>
        <v>0</v>
      </c>
      <c r="EM84" s="1144">
        <f t="shared" ca="1" si="234"/>
        <v>0</v>
      </c>
      <c r="EN84" s="920"/>
      <c r="EO84" s="921"/>
      <c r="EP84" s="1144">
        <f t="shared" ref="EP84:ES86" ca="1" si="235">VLOOKUP(EP$8,INDIRECT(LU_MAT),$B84,FALSE)*$D84/$C84</f>
        <v>0</v>
      </c>
      <c r="EQ84" s="1144">
        <f t="shared" ca="1" si="235"/>
        <v>0</v>
      </c>
      <c r="ER84" s="1144">
        <f t="shared" ca="1" si="235"/>
        <v>0</v>
      </c>
      <c r="ES84" s="1144">
        <f t="shared" ca="1" si="235"/>
        <v>0</v>
      </c>
      <c r="ET84" s="920"/>
      <c r="EU84" s="921"/>
      <c r="EV84" s="1144">
        <f t="shared" ca="1" si="218"/>
        <v>0</v>
      </c>
      <c r="EW84" s="1144">
        <f t="shared" ca="1" si="218"/>
        <v>0</v>
      </c>
      <c r="EX84" s="921"/>
      <c r="EY84" s="1144">
        <f t="shared" ca="1" si="218"/>
        <v>0</v>
      </c>
      <c r="EZ84" s="1144">
        <f t="shared" ca="1" si="218"/>
        <v>0</v>
      </c>
      <c r="FA84" s="1144" t="e">
        <f t="shared" ca="1" si="218"/>
        <v>#N/A</v>
      </c>
      <c r="FB84" s="921"/>
      <c r="FC84" s="1144">
        <f t="shared" ca="1" si="228"/>
        <v>0</v>
      </c>
      <c r="FD84" s="1144">
        <f t="shared" ca="1" si="228"/>
        <v>0</v>
      </c>
      <c r="FE84" s="1144">
        <f t="shared" ca="1" si="228"/>
        <v>0</v>
      </c>
      <c r="FF84" s="1144">
        <f t="shared" ca="1" si="228"/>
        <v>0</v>
      </c>
      <c r="FG84" s="1144">
        <f t="shared" ca="1" si="228"/>
        <v>0</v>
      </c>
      <c r="FH84" s="1144">
        <f t="shared" ca="1" si="228"/>
        <v>0</v>
      </c>
      <c r="FI84" s="1144">
        <f t="shared" ca="1" si="228"/>
        <v>0</v>
      </c>
      <c r="FJ84" s="1144">
        <f t="shared" ca="1" si="228"/>
        <v>0</v>
      </c>
      <c r="FK84" s="1144">
        <f t="shared" ca="1" si="228"/>
        <v>0</v>
      </c>
      <c r="FL84" s="1144">
        <f t="shared" ca="1" si="228"/>
        <v>0</v>
      </c>
      <c r="FM84" s="1144" t="e">
        <f t="shared" ca="1" si="229"/>
        <v>#N/A</v>
      </c>
      <c r="FN84" s="1144">
        <f t="shared" ca="1" si="229"/>
        <v>0</v>
      </c>
      <c r="FO84" s="1144">
        <f t="shared" ca="1" si="229"/>
        <v>0</v>
      </c>
      <c r="FP84" s="1144">
        <f t="shared" ca="1" si="229"/>
        <v>0</v>
      </c>
      <c r="FQ84" s="1144">
        <f t="shared" ca="1" si="229"/>
        <v>0</v>
      </c>
      <c r="FR84" s="1144">
        <f t="shared" ca="1" si="229"/>
        <v>0</v>
      </c>
      <c r="FS84" s="1144">
        <f t="shared" ca="1" si="229"/>
        <v>0</v>
      </c>
      <c r="FT84" s="1144">
        <f t="shared" ca="1" si="229"/>
        <v>0</v>
      </c>
      <c r="FU84" s="1144" t="e">
        <f t="shared" ca="1" si="229"/>
        <v>#N/A</v>
      </c>
      <c r="FV84" s="1144" t="e">
        <f t="shared" ca="1" si="229"/>
        <v>#N/A</v>
      </c>
      <c r="FW84" s="1144">
        <f t="shared" ca="1" si="229"/>
        <v>0</v>
      </c>
      <c r="FX84" s="1144">
        <f t="shared" ca="1" si="229"/>
        <v>0</v>
      </c>
      <c r="FY84" s="1144">
        <f t="shared" ca="1" si="229"/>
        <v>0</v>
      </c>
      <c r="FZ84" s="1144">
        <f t="shared" ca="1" si="229"/>
        <v>0</v>
      </c>
      <c r="GA84" s="1144" t="e">
        <f t="shared" ca="1" si="229"/>
        <v>#N/A</v>
      </c>
      <c r="GB84" s="1144">
        <f t="shared" ca="1" si="229"/>
        <v>0</v>
      </c>
      <c r="GC84" s="920"/>
      <c r="GD84" s="1144">
        <f t="shared" ca="1" si="230"/>
        <v>0</v>
      </c>
      <c r="GE84" s="1144">
        <f t="shared" ca="1" si="230"/>
        <v>0</v>
      </c>
      <c r="GF84" s="1144">
        <f t="shared" ca="1" si="230"/>
        <v>0</v>
      </c>
      <c r="GG84" s="1144">
        <f t="shared" ca="1" si="230"/>
        <v>0</v>
      </c>
      <c r="GH84" s="1144" t="e">
        <f t="shared" ca="1" si="230"/>
        <v>#N/A</v>
      </c>
      <c r="GI84" s="1144" t="e">
        <f t="shared" ca="1" si="230"/>
        <v>#N/A</v>
      </c>
      <c r="GJ84" s="1144">
        <f t="shared" ca="1" si="230"/>
        <v>0</v>
      </c>
      <c r="GK84" s="1144">
        <f t="shared" ca="1" si="230"/>
        <v>0</v>
      </c>
      <c r="GL84" s="1144">
        <f t="shared" ca="1" si="230"/>
        <v>1.1583757409189597</v>
      </c>
      <c r="GM84" s="1144">
        <f t="shared" ca="1" si="230"/>
        <v>0</v>
      </c>
      <c r="GN84" s="1144">
        <f t="shared" ca="1" si="230"/>
        <v>0</v>
      </c>
      <c r="GO84" s="1144" t="e">
        <f t="shared" ca="1" si="230"/>
        <v>#N/A</v>
      </c>
      <c r="GP84" s="915"/>
      <c r="GQ84" s="914"/>
      <c r="GR84" s="946"/>
      <c r="GS84" s="946"/>
      <c r="GT84" s="914"/>
      <c r="GU84" s="946"/>
      <c r="GV84" s="946"/>
      <c r="GW84" s="946"/>
      <c r="GY84" s="946"/>
    </row>
    <row r="85" spans="1:207" s="1143" customFormat="1" x14ac:dyDescent="0.3">
      <c r="A85" s="975" t="s">
        <v>2995</v>
      </c>
      <c r="B85" s="974">
        <v>144</v>
      </c>
      <c r="C85" s="973">
        <v>12.010999999999999</v>
      </c>
      <c r="D85" s="1143">
        <v>-9.3988248779999992E-2</v>
      </c>
      <c r="E85" s="972" t="s">
        <v>982</v>
      </c>
      <c r="F85" s="936">
        <f t="shared" ref="F85:P86" ca="1" si="236">VLOOKUP(F$8,INDIRECT(LU_MAT),$B85,FALSE)*$D85/$C85</f>
        <v>0</v>
      </c>
      <c r="G85" s="1144">
        <f t="shared" ca="1" si="236"/>
        <v>0</v>
      </c>
      <c r="H85" s="1144">
        <f t="shared" ca="1" si="236"/>
        <v>0</v>
      </c>
      <c r="I85" s="1144">
        <f t="shared" ca="1" si="236"/>
        <v>0</v>
      </c>
      <c r="J85" s="1144">
        <f t="shared" ca="1" si="236"/>
        <v>0</v>
      </c>
      <c r="K85" s="1144">
        <f t="shared" ca="1" si="236"/>
        <v>0</v>
      </c>
      <c r="L85" s="1144">
        <f t="shared" ca="1" si="236"/>
        <v>0</v>
      </c>
      <c r="M85" s="1144">
        <f t="shared" ca="1" si="236"/>
        <v>0</v>
      </c>
      <c r="N85" s="938">
        <f t="shared" ca="1" si="236"/>
        <v>0</v>
      </c>
      <c r="O85" s="1144">
        <f t="shared" ca="1" si="236"/>
        <v>0</v>
      </c>
      <c r="P85" s="939">
        <f t="shared" ca="1" si="236"/>
        <v>0</v>
      </c>
      <c r="Q85" s="921"/>
      <c r="R85" s="1144">
        <f t="shared" ref="R85:AA86" ca="1" si="237">VLOOKUP(R$8,INDIRECT(LU_MAT),$B85,FALSE)*$D85/$C85</f>
        <v>0</v>
      </c>
      <c r="S85" s="1144">
        <f t="shared" ca="1" si="237"/>
        <v>0</v>
      </c>
      <c r="T85" s="1144">
        <f t="shared" ca="1" si="237"/>
        <v>0</v>
      </c>
      <c r="U85" s="1144">
        <f t="shared" ca="1" si="237"/>
        <v>0</v>
      </c>
      <c r="V85" s="1144">
        <f t="shared" ca="1" si="237"/>
        <v>0</v>
      </c>
      <c r="W85" s="1144">
        <f t="shared" ca="1" si="237"/>
        <v>0</v>
      </c>
      <c r="X85" s="938">
        <f t="shared" ca="1" si="237"/>
        <v>0</v>
      </c>
      <c r="Y85" s="1144">
        <f t="shared" ca="1" si="237"/>
        <v>0</v>
      </c>
      <c r="Z85" s="1144">
        <f t="shared" ca="1" si="237"/>
        <v>0</v>
      </c>
      <c r="AA85" s="1144">
        <f t="shared" ca="1" si="237"/>
        <v>0</v>
      </c>
      <c r="AB85" s="921"/>
      <c r="AC85" s="1144">
        <f t="shared" ref="AC85:AN86" ca="1" si="238">VLOOKUP(AC$8,INDIRECT(LU_MAT),$B85,FALSE)*$D85/$C85</f>
        <v>0</v>
      </c>
      <c r="AD85" s="1144">
        <f t="shared" ca="1" si="238"/>
        <v>0</v>
      </c>
      <c r="AE85" s="1144">
        <f t="shared" ca="1" si="238"/>
        <v>0</v>
      </c>
      <c r="AF85" s="1144">
        <f t="shared" ca="1" si="238"/>
        <v>0</v>
      </c>
      <c r="AG85" s="1144">
        <f t="shared" ca="1" si="238"/>
        <v>0</v>
      </c>
      <c r="AH85" s="1144">
        <f t="shared" ca="1" si="238"/>
        <v>0</v>
      </c>
      <c r="AI85" s="1144">
        <f t="shared" ca="1" si="238"/>
        <v>0</v>
      </c>
      <c r="AJ85" s="1144">
        <f t="shared" ca="1" si="238"/>
        <v>0</v>
      </c>
      <c r="AK85" s="938">
        <f t="shared" ca="1" si="238"/>
        <v>0</v>
      </c>
      <c r="AL85" s="1144">
        <f t="shared" ca="1" si="238"/>
        <v>0</v>
      </c>
      <c r="AM85" s="1144">
        <f t="shared" ca="1" si="238"/>
        <v>0</v>
      </c>
      <c r="AN85" s="1144">
        <f t="shared" ca="1" si="238"/>
        <v>0</v>
      </c>
      <c r="AO85" s="921"/>
      <c r="AP85" s="1144">
        <f t="shared" ca="1" si="216"/>
        <v>0</v>
      </c>
      <c r="AQ85" s="1144">
        <f t="shared" ca="1" si="216"/>
        <v>0</v>
      </c>
      <c r="AR85" s="1144">
        <f t="shared" ca="1" si="216"/>
        <v>0</v>
      </c>
      <c r="AS85" s="1144">
        <f t="shared" ca="1" si="216"/>
        <v>0</v>
      </c>
      <c r="AT85" s="938">
        <f t="shared" ca="1" si="216"/>
        <v>0</v>
      </c>
      <c r="AU85" s="938">
        <f t="shared" ca="1" si="216"/>
        <v>0</v>
      </c>
      <c r="AV85" s="1144">
        <f t="shared" ca="1" si="216"/>
        <v>0</v>
      </c>
      <c r="AW85" s="1144">
        <f t="shared" ca="1" si="216"/>
        <v>0</v>
      </c>
      <c r="AX85" s="1144">
        <f t="shared" ca="1" si="216"/>
        <v>0</v>
      </c>
      <c r="AY85" s="1144">
        <f t="shared" ca="1" si="216"/>
        <v>0</v>
      </c>
      <c r="AZ85" s="1144">
        <f t="shared" ca="1" si="216"/>
        <v>0</v>
      </c>
      <c r="BA85" s="1144">
        <f t="shared" ca="1" si="216"/>
        <v>0</v>
      </c>
      <c r="BB85" s="1144">
        <f t="shared" ca="1" si="216"/>
        <v>0</v>
      </c>
      <c r="BC85" s="1144">
        <f t="shared" ca="1" si="216"/>
        <v>0</v>
      </c>
      <c r="BD85" s="921"/>
      <c r="BE85" s="1144">
        <f t="shared" ref="BE85:BO86" ca="1" si="239">VLOOKUP(BE$8,INDIRECT(LU_MAT),$B85,FALSE)*$D85/$C85</f>
        <v>0</v>
      </c>
      <c r="BF85" s="1144">
        <f t="shared" ca="1" si="239"/>
        <v>0</v>
      </c>
      <c r="BG85" s="1144">
        <f t="shared" ca="1" si="239"/>
        <v>0</v>
      </c>
      <c r="BH85" s="1144">
        <f t="shared" ca="1" si="239"/>
        <v>0</v>
      </c>
      <c r="BI85" s="938">
        <f t="shared" ca="1" si="239"/>
        <v>0</v>
      </c>
      <c r="BJ85" s="1144">
        <f t="shared" ca="1" si="239"/>
        <v>0</v>
      </c>
      <c r="BK85" s="1144">
        <f t="shared" ca="1" si="239"/>
        <v>0</v>
      </c>
      <c r="BL85" s="1144">
        <f t="shared" ca="1" si="239"/>
        <v>0</v>
      </c>
      <c r="BM85" s="1144">
        <f t="shared" ca="1" si="239"/>
        <v>0</v>
      </c>
      <c r="BN85" s="1144">
        <f t="shared" ca="1" si="239"/>
        <v>0</v>
      </c>
      <c r="BO85" s="1144">
        <f t="shared" ca="1" si="239"/>
        <v>0</v>
      </c>
      <c r="BP85" s="921"/>
      <c r="BQ85" s="1144">
        <f t="shared" ref="BQ85:BW86" ca="1" si="240">VLOOKUP(BQ$8,INDIRECT(LU_MAT),$B85,FALSE)*$D85/$C85</f>
        <v>0</v>
      </c>
      <c r="BR85" s="1144">
        <f t="shared" ca="1" si="240"/>
        <v>0</v>
      </c>
      <c r="BS85" s="1144">
        <f t="shared" ca="1" si="240"/>
        <v>0</v>
      </c>
      <c r="BT85" s="1144">
        <f t="shared" ca="1" si="240"/>
        <v>0</v>
      </c>
      <c r="BU85" s="1144">
        <f t="shared" ca="1" si="240"/>
        <v>0</v>
      </c>
      <c r="BV85" s="1144">
        <f t="shared" ca="1" si="240"/>
        <v>0</v>
      </c>
      <c r="BW85" s="1144">
        <f t="shared" ca="1" si="240"/>
        <v>0</v>
      </c>
      <c r="BX85" s="921"/>
      <c r="BY85" s="1144">
        <f t="shared" ref="BY85:CF86" ca="1" si="241">VLOOKUP(BY$8,INDIRECT(LU_MAT),$B85,FALSE)*$D85/$C85</f>
        <v>0</v>
      </c>
      <c r="BZ85" s="1144">
        <f t="shared" ca="1" si="241"/>
        <v>0</v>
      </c>
      <c r="CA85" s="1144">
        <f t="shared" ca="1" si="241"/>
        <v>0</v>
      </c>
      <c r="CB85" s="1144">
        <f t="shared" ca="1" si="241"/>
        <v>0</v>
      </c>
      <c r="CC85" s="1144">
        <f t="shared" ca="1" si="241"/>
        <v>0</v>
      </c>
      <c r="CD85" s="1144">
        <f t="shared" ca="1" si="241"/>
        <v>0</v>
      </c>
      <c r="CE85" s="1144">
        <f t="shared" ca="1" si="241"/>
        <v>-0.95874233209444837</v>
      </c>
      <c r="CF85" s="1144">
        <f t="shared" ca="1" si="241"/>
        <v>0</v>
      </c>
      <c r="CG85" s="921"/>
      <c r="CH85" s="1144">
        <f t="shared" ref="CH85:CL86" ca="1" si="242">VLOOKUP(CH$8,INDIRECT(LU_MAT),$B85,FALSE)*$D85/$C85</f>
        <v>0</v>
      </c>
      <c r="CI85" s="1144">
        <f t="shared" ca="1" si="242"/>
        <v>0</v>
      </c>
      <c r="CJ85" s="1144">
        <f t="shared" ca="1" si="242"/>
        <v>-0.95874233209444837</v>
      </c>
      <c r="CK85" s="1144" t="e">
        <f t="shared" ca="1" si="242"/>
        <v>#N/A</v>
      </c>
      <c r="CL85" s="1144" t="e">
        <f t="shared" ca="1" si="242"/>
        <v>#N/A</v>
      </c>
      <c r="CM85" s="921"/>
      <c r="CN85" s="1144">
        <f t="shared" ref="CN85:CS86" ca="1" si="243">VLOOKUP(CN$8,INDIRECT(LU_MAT),$B85,FALSE)*$D85/$C85</f>
        <v>0</v>
      </c>
      <c r="CO85" s="1144" t="e">
        <f t="shared" ca="1" si="243"/>
        <v>#N/A</v>
      </c>
      <c r="CP85" s="1144">
        <f t="shared" ca="1" si="243"/>
        <v>0</v>
      </c>
      <c r="CQ85" s="1144">
        <f t="shared" ca="1" si="243"/>
        <v>0</v>
      </c>
      <c r="CR85" s="1144">
        <f t="shared" ca="1" si="243"/>
        <v>0</v>
      </c>
      <c r="CS85" s="1144">
        <f t="shared" ca="1" si="243"/>
        <v>0</v>
      </c>
      <c r="CT85" s="921"/>
      <c r="CU85" s="1144">
        <f t="shared" ref="CU85:DH86" ca="1" si="244">VLOOKUP(CU$8,INDIRECT(LU_MAT),$B85,FALSE)*$D85/$C85</f>
        <v>0</v>
      </c>
      <c r="CV85" s="1144">
        <f t="shared" ca="1" si="244"/>
        <v>0</v>
      </c>
      <c r="CW85" s="1144">
        <f t="shared" ca="1" si="244"/>
        <v>0</v>
      </c>
      <c r="CX85" s="1144">
        <f t="shared" ca="1" si="244"/>
        <v>0</v>
      </c>
      <c r="CY85" s="1144">
        <f t="shared" ca="1" si="244"/>
        <v>0</v>
      </c>
      <c r="CZ85" s="1144" t="e">
        <f t="shared" ca="1" si="244"/>
        <v>#N/A</v>
      </c>
      <c r="DA85" s="1144" t="e">
        <f t="shared" ca="1" si="244"/>
        <v>#N/A</v>
      </c>
      <c r="DB85" s="1144">
        <f t="shared" ca="1" si="244"/>
        <v>0</v>
      </c>
      <c r="DC85" s="938">
        <f t="shared" ca="1" si="244"/>
        <v>0</v>
      </c>
      <c r="DD85" s="1144">
        <f t="shared" ca="1" si="244"/>
        <v>0</v>
      </c>
      <c r="DE85" s="1144">
        <f t="shared" ca="1" si="244"/>
        <v>0</v>
      </c>
      <c r="DF85" s="1144">
        <f t="shared" ca="1" si="244"/>
        <v>0</v>
      </c>
      <c r="DG85" s="1144">
        <f t="shared" ca="1" si="244"/>
        <v>0</v>
      </c>
      <c r="DH85" s="1144">
        <f t="shared" ca="1" si="244"/>
        <v>0</v>
      </c>
      <c r="DI85" s="921"/>
      <c r="DJ85" s="1144">
        <f t="shared" ref="DJ85:DP86" ca="1" si="245">VLOOKUP(DJ$8,INDIRECT(LU_MAT),$B85,FALSE)*$D85/$C85</f>
        <v>0</v>
      </c>
      <c r="DK85" s="1144">
        <f t="shared" ca="1" si="245"/>
        <v>0</v>
      </c>
      <c r="DL85" s="1144">
        <f t="shared" ca="1" si="245"/>
        <v>0</v>
      </c>
      <c r="DM85" s="1144">
        <f t="shared" ca="1" si="245"/>
        <v>0</v>
      </c>
      <c r="DN85" s="1144" t="e">
        <f t="shared" ca="1" si="245"/>
        <v>#N/A</v>
      </c>
      <c r="DO85" s="1144">
        <f t="shared" ca="1" si="245"/>
        <v>0</v>
      </c>
      <c r="DP85" s="1144" t="e">
        <f t="shared" ca="1" si="245"/>
        <v>#N/A</v>
      </c>
      <c r="DQ85" s="921"/>
      <c r="DR85" s="1144">
        <f t="shared" ca="1" si="231"/>
        <v>0</v>
      </c>
      <c r="DS85" s="1144">
        <f t="shared" ca="1" si="231"/>
        <v>0</v>
      </c>
      <c r="DT85" s="1144">
        <f t="shared" ca="1" si="231"/>
        <v>0</v>
      </c>
      <c r="DU85" s="1144" t="e">
        <f t="shared" ca="1" si="231"/>
        <v>#N/A</v>
      </c>
      <c r="DV85" s="920"/>
      <c r="DW85" s="921"/>
      <c r="DX85" s="1144">
        <f t="shared" ca="1" si="232"/>
        <v>0</v>
      </c>
      <c r="DY85" s="1144">
        <f t="shared" ca="1" si="232"/>
        <v>0</v>
      </c>
      <c r="DZ85" s="1144">
        <f t="shared" ca="1" si="232"/>
        <v>0</v>
      </c>
      <c r="EA85" s="1144" t="e">
        <f t="shared" ca="1" si="232"/>
        <v>#N/A</v>
      </c>
      <c r="EB85" s="920"/>
      <c r="EC85" s="921"/>
      <c r="ED85" s="1144">
        <f t="shared" ca="1" si="233"/>
        <v>0</v>
      </c>
      <c r="EE85" s="1144">
        <f t="shared" ca="1" si="233"/>
        <v>0</v>
      </c>
      <c r="EF85" s="1144" t="e">
        <f t="shared" ca="1" si="233"/>
        <v>#N/A</v>
      </c>
      <c r="EG85" s="1144" t="e">
        <f t="shared" ca="1" si="233"/>
        <v>#N/A</v>
      </c>
      <c r="EH85" s="920"/>
      <c r="EI85" s="921"/>
      <c r="EJ85" s="1144">
        <f t="shared" ca="1" si="234"/>
        <v>0</v>
      </c>
      <c r="EK85" s="1144">
        <f t="shared" ca="1" si="234"/>
        <v>0</v>
      </c>
      <c r="EL85" s="1144">
        <f t="shared" ca="1" si="234"/>
        <v>0</v>
      </c>
      <c r="EM85" s="1144">
        <f t="shared" ca="1" si="234"/>
        <v>0</v>
      </c>
      <c r="EN85" s="920"/>
      <c r="EO85" s="921"/>
      <c r="EP85" s="1144">
        <f t="shared" ca="1" si="235"/>
        <v>0</v>
      </c>
      <c r="EQ85" s="1144">
        <f t="shared" ca="1" si="235"/>
        <v>0</v>
      </c>
      <c r="ER85" s="1144">
        <f t="shared" ca="1" si="235"/>
        <v>0</v>
      </c>
      <c r="ES85" s="1144">
        <f t="shared" ca="1" si="235"/>
        <v>0</v>
      </c>
      <c r="ET85" s="920"/>
      <c r="EU85" s="921"/>
      <c r="EV85" s="1144">
        <f t="shared" ca="1" si="218"/>
        <v>0</v>
      </c>
      <c r="EW85" s="1144">
        <f t="shared" ca="1" si="218"/>
        <v>0</v>
      </c>
      <c r="EX85" s="921"/>
      <c r="EY85" s="1144">
        <f t="shared" ca="1" si="218"/>
        <v>0</v>
      </c>
      <c r="EZ85" s="1144">
        <f t="shared" ca="1" si="218"/>
        <v>0</v>
      </c>
      <c r="FA85" s="1144" t="e">
        <f t="shared" ca="1" si="218"/>
        <v>#N/A</v>
      </c>
      <c r="FB85" s="921"/>
      <c r="FC85" s="1144">
        <f t="shared" ref="FC85:FL86" ca="1" si="246">VLOOKUP(FC$8,INDIRECT(LU_MAT),$B85,FALSE)*$D85/$C85</f>
        <v>0</v>
      </c>
      <c r="FD85" s="1144">
        <f t="shared" ca="1" si="246"/>
        <v>0</v>
      </c>
      <c r="FE85" s="1144">
        <f t="shared" ca="1" si="246"/>
        <v>0</v>
      </c>
      <c r="FF85" s="1144">
        <f t="shared" ca="1" si="246"/>
        <v>0</v>
      </c>
      <c r="FG85" s="1144">
        <f t="shared" ca="1" si="246"/>
        <v>0</v>
      </c>
      <c r="FH85" s="1144">
        <f t="shared" ca="1" si="246"/>
        <v>0</v>
      </c>
      <c r="FI85" s="1144">
        <f t="shared" ca="1" si="246"/>
        <v>0</v>
      </c>
      <c r="FJ85" s="1144">
        <f t="shared" ca="1" si="246"/>
        <v>0</v>
      </c>
      <c r="FK85" s="1144">
        <f t="shared" ca="1" si="246"/>
        <v>0</v>
      </c>
      <c r="FL85" s="1144">
        <f t="shared" ca="1" si="246"/>
        <v>0</v>
      </c>
      <c r="FM85" s="1144" t="e">
        <f t="shared" ref="FM85:FV86" ca="1" si="247">VLOOKUP(FM$8,INDIRECT(LU_MAT),$B85,FALSE)*$D85/$C85</f>
        <v>#N/A</v>
      </c>
      <c r="FN85" s="1144">
        <f t="shared" ca="1" si="247"/>
        <v>0</v>
      </c>
      <c r="FO85" s="1144">
        <f t="shared" ca="1" si="247"/>
        <v>0</v>
      </c>
      <c r="FP85" s="1144">
        <f t="shared" ca="1" si="247"/>
        <v>0</v>
      </c>
      <c r="FQ85" s="1144">
        <f t="shared" ca="1" si="247"/>
        <v>0</v>
      </c>
      <c r="FR85" s="1144">
        <f t="shared" ca="1" si="247"/>
        <v>0</v>
      </c>
      <c r="FS85" s="1144">
        <f t="shared" ca="1" si="247"/>
        <v>0</v>
      </c>
      <c r="FT85" s="1144">
        <f t="shared" ca="1" si="247"/>
        <v>0</v>
      </c>
      <c r="FU85" s="1144" t="e">
        <f t="shared" ca="1" si="247"/>
        <v>#N/A</v>
      </c>
      <c r="FV85" s="1144" t="e">
        <f t="shared" ca="1" si="247"/>
        <v>#N/A</v>
      </c>
      <c r="FW85" s="1144">
        <f t="shared" ref="FW85:GB86" ca="1" si="248">VLOOKUP(FW$8,INDIRECT(LU_MAT),$B85,FALSE)*$D85/$C85</f>
        <v>0</v>
      </c>
      <c r="FX85" s="1144">
        <f t="shared" ca="1" si="248"/>
        <v>0</v>
      </c>
      <c r="FY85" s="1144">
        <f t="shared" ca="1" si="248"/>
        <v>0</v>
      </c>
      <c r="FZ85" s="1144">
        <f t="shared" ca="1" si="248"/>
        <v>0</v>
      </c>
      <c r="GA85" s="1144" t="e">
        <f t="shared" ca="1" si="248"/>
        <v>#N/A</v>
      </c>
      <c r="GB85" s="1144">
        <f t="shared" ca="1" si="248"/>
        <v>0</v>
      </c>
      <c r="GC85" s="920"/>
      <c r="GD85" s="1144">
        <f t="shared" ref="GD85:GO86" ca="1" si="249">VLOOKUP(GD$8,INDIRECT(LU_MAT),$B85,FALSE)*$D85/$C85</f>
        <v>0</v>
      </c>
      <c r="GE85" s="1144">
        <f t="shared" ca="1" si="249"/>
        <v>0</v>
      </c>
      <c r="GF85" s="1144">
        <f t="shared" ca="1" si="249"/>
        <v>0</v>
      </c>
      <c r="GG85" s="1144">
        <f t="shared" ca="1" si="249"/>
        <v>0</v>
      </c>
      <c r="GH85" s="1144" t="e">
        <f t="shared" ca="1" si="249"/>
        <v>#N/A</v>
      </c>
      <c r="GI85" s="1144" t="e">
        <f t="shared" ca="1" si="249"/>
        <v>#N/A</v>
      </c>
      <c r="GJ85" s="1144">
        <f t="shared" ca="1" si="249"/>
        <v>0</v>
      </c>
      <c r="GK85" s="1144">
        <f t="shared" ca="1" si="249"/>
        <v>0</v>
      </c>
      <c r="GL85" s="1144">
        <f t="shared" ca="1" si="249"/>
        <v>-0.95874233209444837</v>
      </c>
      <c r="GM85" s="1144">
        <f t="shared" ca="1" si="249"/>
        <v>0</v>
      </c>
      <c r="GN85" s="1144">
        <f t="shared" ca="1" si="249"/>
        <v>0</v>
      </c>
      <c r="GO85" s="1144" t="e">
        <f t="shared" ca="1" si="249"/>
        <v>#N/A</v>
      </c>
      <c r="GP85" s="915"/>
      <c r="GQ85" s="914"/>
      <c r="GR85" s="946"/>
      <c r="GS85" s="946"/>
      <c r="GT85" s="914"/>
      <c r="GU85" s="946"/>
      <c r="GV85" s="946"/>
      <c r="GW85" s="946"/>
      <c r="GY85" s="946"/>
    </row>
    <row r="86" spans="1:207" s="914" customFormat="1" x14ac:dyDescent="0.3">
      <c r="A86" s="971" t="s">
        <v>1556</v>
      </c>
      <c r="B86" s="970">
        <v>139</v>
      </c>
      <c r="C86" s="969">
        <v>23.820399999999999</v>
      </c>
      <c r="D86" s="968">
        <v>-0.11864727596308729</v>
      </c>
      <c r="E86" s="967" t="s">
        <v>982</v>
      </c>
      <c r="F86" s="931">
        <f t="shared" ca="1" si="236"/>
        <v>0</v>
      </c>
      <c r="G86" s="933">
        <f t="shared" ca="1" si="236"/>
        <v>0</v>
      </c>
      <c r="H86" s="933">
        <f t="shared" ca="1" si="236"/>
        <v>0</v>
      </c>
      <c r="I86" s="933">
        <f t="shared" ca="1" si="236"/>
        <v>0</v>
      </c>
      <c r="J86" s="933">
        <f t="shared" ca="1" si="236"/>
        <v>0</v>
      </c>
      <c r="K86" s="933">
        <f t="shared" ca="1" si="236"/>
        <v>0</v>
      </c>
      <c r="L86" s="933">
        <f t="shared" ca="1" si="236"/>
        <v>0</v>
      </c>
      <c r="M86" s="933">
        <f t="shared" ca="1" si="236"/>
        <v>0</v>
      </c>
      <c r="N86" s="934">
        <f t="shared" ca="1" si="236"/>
        <v>0</v>
      </c>
      <c r="O86" s="933">
        <f t="shared" ca="1" si="236"/>
        <v>0</v>
      </c>
      <c r="P86" s="935">
        <f t="shared" ca="1" si="236"/>
        <v>0</v>
      </c>
      <c r="Q86" s="921"/>
      <c r="R86" s="933">
        <f t="shared" ca="1" si="237"/>
        <v>0</v>
      </c>
      <c r="S86" s="933">
        <f t="shared" ca="1" si="237"/>
        <v>-0.53695322895298381</v>
      </c>
      <c r="T86" s="933">
        <f t="shared" ca="1" si="237"/>
        <v>0</v>
      </c>
      <c r="U86" s="933">
        <f t="shared" ca="1" si="237"/>
        <v>0</v>
      </c>
      <c r="V86" s="933">
        <f t="shared" ca="1" si="237"/>
        <v>0</v>
      </c>
      <c r="W86" s="933">
        <f t="shared" ca="1" si="237"/>
        <v>0</v>
      </c>
      <c r="X86" s="934">
        <f t="shared" ca="1" si="237"/>
        <v>0</v>
      </c>
      <c r="Y86" s="933">
        <f t="shared" ca="1" si="237"/>
        <v>-0.53695322895298381</v>
      </c>
      <c r="Z86" s="933">
        <f t="shared" ca="1" si="237"/>
        <v>0</v>
      </c>
      <c r="AA86" s="933">
        <f t="shared" ca="1" si="237"/>
        <v>0</v>
      </c>
      <c r="AB86" s="921"/>
      <c r="AC86" s="933">
        <f t="shared" ca="1" si="238"/>
        <v>0</v>
      </c>
      <c r="AD86" s="933">
        <f t="shared" ca="1" si="238"/>
        <v>0</v>
      </c>
      <c r="AE86" s="933">
        <f t="shared" ca="1" si="238"/>
        <v>0</v>
      </c>
      <c r="AF86" s="933">
        <f t="shared" ca="1" si="238"/>
        <v>0</v>
      </c>
      <c r="AG86" s="933">
        <f t="shared" ca="1" si="238"/>
        <v>0</v>
      </c>
      <c r="AH86" s="933">
        <f t="shared" ca="1" si="238"/>
        <v>0</v>
      </c>
      <c r="AI86" s="933">
        <f t="shared" ca="1" si="238"/>
        <v>0</v>
      </c>
      <c r="AJ86" s="933">
        <f t="shared" ca="1" si="238"/>
        <v>0</v>
      </c>
      <c r="AK86" s="934">
        <f t="shared" ca="1" si="238"/>
        <v>0</v>
      </c>
      <c r="AL86" s="933">
        <f t="shared" ca="1" si="238"/>
        <v>-0.53695322895298381</v>
      </c>
      <c r="AM86" s="933">
        <f t="shared" ca="1" si="238"/>
        <v>0</v>
      </c>
      <c r="AN86" s="933">
        <f t="shared" ca="1" si="238"/>
        <v>0</v>
      </c>
      <c r="AO86" s="921"/>
      <c r="AP86" s="933">
        <f t="shared" ca="1" si="216"/>
        <v>-0.53695322895298381</v>
      </c>
      <c r="AQ86" s="933">
        <f t="shared" ca="1" si="216"/>
        <v>0</v>
      </c>
      <c r="AR86" s="933">
        <f t="shared" ca="1" si="216"/>
        <v>0</v>
      </c>
      <c r="AS86" s="933">
        <f t="shared" ca="1" si="216"/>
        <v>0</v>
      </c>
      <c r="AT86" s="934">
        <f t="shared" ca="1" si="216"/>
        <v>0</v>
      </c>
      <c r="AU86" s="934">
        <f t="shared" ca="1" si="216"/>
        <v>0</v>
      </c>
      <c r="AV86" s="933">
        <f t="shared" ca="1" si="216"/>
        <v>0</v>
      </c>
      <c r="AW86" s="933">
        <f t="shared" ca="1" si="216"/>
        <v>0</v>
      </c>
      <c r="AX86" s="933">
        <f t="shared" ca="1" si="216"/>
        <v>0</v>
      </c>
      <c r="AY86" s="933">
        <f t="shared" ca="1" si="216"/>
        <v>0</v>
      </c>
      <c r="AZ86" s="933">
        <f t="shared" ca="1" si="216"/>
        <v>0</v>
      </c>
      <c r="BA86" s="933">
        <f t="shared" ca="1" si="216"/>
        <v>-1.0739064579059678E-2</v>
      </c>
      <c r="BB86" s="933">
        <f t="shared" ca="1" si="216"/>
        <v>-0.52621416218232353</v>
      </c>
      <c r="BC86" s="933">
        <f t="shared" ca="1" si="216"/>
        <v>0</v>
      </c>
      <c r="BD86" s="921"/>
      <c r="BE86" s="933">
        <f t="shared" ca="1" si="239"/>
        <v>-0.53695322895298381</v>
      </c>
      <c r="BF86" s="933">
        <f t="shared" ca="1" si="239"/>
        <v>0</v>
      </c>
      <c r="BG86" s="933">
        <f t="shared" ca="1" si="239"/>
        <v>0</v>
      </c>
      <c r="BH86" s="933">
        <f t="shared" ca="1" si="239"/>
        <v>0</v>
      </c>
      <c r="BI86" s="934">
        <f t="shared" ca="1" si="239"/>
        <v>0</v>
      </c>
      <c r="BJ86" s="933">
        <f t="shared" ca="1" si="239"/>
        <v>0</v>
      </c>
      <c r="BK86" s="933">
        <f t="shared" ca="1" si="239"/>
        <v>0</v>
      </c>
      <c r="BL86" s="933">
        <f t="shared" ca="1" si="239"/>
        <v>0</v>
      </c>
      <c r="BM86" s="933">
        <f t="shared" ca="1" si="239"/>
        <v>-0.53695322895298381</v>
      </c>
      <c r="BN86" s="933">
        <f t="shared" ca="1" si="239"/>
        <v>0</v>
      </c>
      <c r="BO86" s="933">
        <f t="shared" ca="1" si="239"/>
        <v>0</v>
      </c>
      <c r="BP86" s="921"/>
      <c r="BQ86" s="933">
        <f t="shared" ca="1" si="240"/>
        <v>0</v>
      </c>
      <c r="BR86" s="933">
        <f t="shared" ca="1" si="240"/>
        <v>-0.53695322895298381</v>
      </c>
      <c r="BS86" s="933">
        <f t="shared" ca="1" si="240"/>
        <v>0</v>
      </c>
      <c r="BT86" s="933">
        <f t="shared" ca="1" si="240"/>
        <v>-1.0739064579059678E-2</v>
      </c>
      <c r="BU86" s="933">
        <f t="shared" ca="1" si="240"/>
        <v>0</v>
      </c>
      <c r="BV86" s="933">
        <f t="shared" ca="1" si="240"/>
        <v>-0.52621416218232353</v>
      </c>
      <c r="BW86" s="933">
        <f t="shared" ca="1" si="240"/>
        <v>0</v>
      </c>
      <c r="BX86" s="921"/>
      <c r="BY86" s="933">
        <f t="shared" ca="1" si="241"/>
        <v>-0.52621416218232353</v>
      </c>
      <c r="BZ86" s="933">
        <f t="shared" ca="1" si="241"/>
        <v>0</v>
      </c>
      <c r="CA86" s="933">
        <f t="shared" ca="1" si="241"/>
        <v>0</v>
      </c>
      <c r="CB86" s="933">
        <f t="shared" ca="1" si="241"/>
        <v>-1.0739064579059678E-2</v>
      </c>
      <c r="CC86" s="933">
        <f t="shared" ca="1" si="241"/>
        <v>0</v>
      </c>
      <c r="CD86" s="933">
        <f t="shared" ca="1" si="241"/>
        <v>0</v>
      </c>
      <c r="CE86" s="933">
        <f t="shared" ca="1" si="241"/>
        <v>0</v>
      </c>
      <c r="CF86" s="933">
        <f t="shared" ca="1" si="241"/>
        <v>0</v>
      </c>
      <c r="CG86" s="921"/>
      <c r="CH86" s="933">
        <f t="shared" ca="1" si="242"/>
        <v>0</v>
      </c>
      <c r="CI86" s="933">
        <f t="shared" ca="1" si="242"/>
        <v>-0.53695322895298381</v>
      </c>
      <c r="CJ86" s="933">
        <f t="shared" ca="1" si="242"/>
        <v>0</v>
      </c>
      <c r="CK86" s="933" t="e">
        <f t="shared" ca="1" si="242"/>
        <v>#N/A</v>
      </c>
      <c r="CL86" s="933" t="e">
        <f t="shared" ca="1" si="242"/>
        <v>#N/A</v>
      </c>
      <c r="CM86" s="921"/>
      <c r="CN86" s="933">
        <f t="shared" ca="1" si="243"/>
        <v>0</v>
      </c>
      <c r="CO86" s="933" t="e">
        <f t="shared" ca="1" si="243"/>
        <v>#N/A</v>
      </c>
      <c r="CP86" s="933">
        <f t="shared" ca="1" si="243"/>
        <v>0</v>
      </c>
      <c r="CQ86" s="933">
        <f t="shared" ca="1" si="243"/>
        <v>0</v>
      </c>
      <c r="CR86" s="933">
        <f t="shared" ca="1" si="243"/>
        <v>0</v>
      </c>
      <c r="CS86" s="933">
        <f t="shared" ca="1" si="243"/>
        <v>0</v>
      </c>
      <c r="CT86" s="921"/>
      <c r="CU86" s="933">
        <f t="shared" ca="1" si="244"/>
        <v>0</v>
      </c>
      <c r="CV86" s="933">
        <f t="shared" ca="1" si="244"/>
        <v>0</v>
      </c>
      <c r="CW86" s="933">
        <f t="shared" ca="1" si="244"/>
        <v>0</v>
      </c>
      <c r="CX86" s="933">
        <f t="shared" ca="1" si="244"/>
        <v>-1.0739064579059678E-2</v>
      </c>
      <c r="CY86" s="933">
        <f t="shared" ca="1" si="244"/>
        <v>0</v>
      </c>
      <c r="CZ86" s="933" t="e">
        <f t="shared" ca="1" si="244"/>
        <v>#N/A</v>
      </c>
      <c r="DA86" s="933" t="e">
        <f t="shared" ca="1" si="244"/>
        <v>#N/A</v>
      </c>
      <c r="DB86" s="933">
        <f t="shared" ca="1" si="244"/>
        <v>0</v>
      </c>
      <c r="DC86" s="934">
        <f t="shared" ca="1" si="244"/>
        <v>0</v>
      </c>
      <c r="DD86" s="933">
        <f t="shared" ca="1" si="244"/>
        <v>0</v>
      </c>
      <c r="DE86" s="933">
        <f t="shared" ca="1" si="244"/>
        <v>0</v>
      </c>
      <c r="DF86" s="933">
        <f t="shared" ca="1" si="244"/>
        <v>0</v>
      </c>
      <c r="DG86" s="933">
        <f t="shared" ca="1" si="244"/>
        <v>0</v>
      </c>
      <c r="DH86" s="933">
        <f t="shared" ca="1" si="244"/>
        <v>-1.0739064579059678E-2</v>
      </c>
      <c r="DI86" s="921"/>
      <c r="DJ86" s="933">
        <f t="shared" ca="1" si="245"/>
        <v>-7.9545947058523289E-2</v>
      </c>
      <c r="DK86" s="933">
        <f t="shared" ca="1" si="245"/>
        <v>-3.3144144533004383E-3</v>
      </c>
      <c r="DL86" s="933">
        <f t="shared" ca="1" si="245"/>
        <v>0</v>
      </c>
      <c r="DM86" s="933">
        <f t="shared" ca="1" si="245"/>
        <v>0</v>
      </c>
      <c r="DN86" s="933" t="e">
        <f t="shared" ca="1" si="245"/>
        <v>#N/A</v>
      </c>
      <c r="DO86" s="933">
        <f t="shared" ca="1" si="245"/>
        <v>-8.2860361332510943E-2</v>
      </c>
      <c r="DP86" s="933" t="e">
        <f t="shared" ca="1" si="245"/>
        <v>#N/A</v>
      </c>
      <c r="DQ86" s="921"/>
      <c r="DR86" s="933">
        <f t="shared" ca="1" si="231"/>
        <v>0</v>
      </c>
      <c r="DS86" s="933">
        <f t="shared" ca="1" si="231"/>
        <v>0</v>
      </c>
      <c r="DT86" s="933">
        <f t="shared" ca="1" si="231"/>
        <v>0</v>
      </c>
      <c r="DU86" s="933" t="e">
        <f t="shared" ca="1" si="231"/>
        <v>#N/A</v>
      </c>
      <c r="DV86" s="920"/>
      <c r="DW86" s="921"/>
      <c r="DX86" s="933">
        <f t="shared" ca="1" si="232"/>
        <v>0</v>
      </c>
      <c r="DY86" s="933">
        <f t="shared" ca="1" si="232"/>
        <v>0</v>
      </c>
      <c r="DZ86" s="933">
        <f t="shared" ca="1" si="232"/>
        <v>0</v>
      </c>
      <c r="EA86" s="933" t="e">
        <f t="shared" ca="1" si="232"/>
        <v>#N/A</v>
      </c>
      <c r="EB86" s="920"/>
      <c r="EC86" s="921"/>
      <c r="ED86" s="933">
        <f t="shared" ca="1" si="233"/>
        <v>0</v>
      </c>
      <c r="EE86" s="933">
        <f t="shared" ca="1" si="233"/>
        <v>0</v>
      </c>
      <c r="EF86" s="933" t="e">
        <f t="shared" ca="1" si="233"/>
        <v>#N/A</v>
      </c>
      <c r="EG86" s="933" t="e">
        <f t="shared" ca="1" si="233"/>
        <v>#N/A</v>
      </c>
      <c r="EH86" s="920"/>
      <c r="EI86" s="921"/>
      <c r="EJ86" s="933">
        <f t="shared" ca="1" si="234"/>
        <v>0</v>
      </c>
      <c r="EK86" s="933">
        <f t="shared" ca="1" si="234"/>
        <v>0</v>
      </c>
      <c r="EL86" s="933">
        <f t="shared" ca="1" si="234"/>
        <v>0</v>
      </c>
      <c r="EM86" s="933">
        <f t="shared" ca="1" si="234"/>
        <v>0</v>
      </c>
      <c r="EN86" s="920"/>
      <c r="EO86" s="921"/>
      <c r="EP86" s="933">
        <f t="shared" ca="1" si="235"/>
        <v>0</v>
      </c>
      <c r="EQ86" s="933">
        <f t="shared" ca="1" si="235"/>
        <v>0</v>
      </c>
      <c r="ER86" s="933">
        <f t="shared" ca="1" si="235"/>
        <v>0</v>
      </c>
      <c r="ES86" s="933">
        <f t="shared" ca="1" si="235"/>
        <v>0</v>
      </c>
      <c r="ET86" s="920"/>
      <c r="EU86" s="921"/>
      <c r="EV86" s="933">
        <f t="shared" ca="1" si="218"/>
        <v>0</v>
      </c>
      <c r="EW86" s="933">
        <f t="shared" ca="1" si="218"/>
        <v>0</v>
      </c>
      <c r="EX86" s="921"/>
      <c r="EY86" s="933">
        <f t="shared" ca="1" si="218"/>
        <v>0</v>
      </c>
      <c r="EZ86" s="933">
        <f t="shared" ca="1" si="218"/>
        <v>0</v>
      </c>
      <c r="FA86" s="933" t="e">
        <f t="shared" ca="1" si="218"/>
        <v>#N/A</v>
      </c>
      <c r="FB86" s="921"/>
      <c r="FC86" s="933">
        <f t="shared" ca="1" si="246"/>
        <v>0</v>
      </c>
      <c r="FD86" s="933">
        <f t="shared" ca="1" si="246"/>
        <v>0</v>
      </c>
      <c r="FE86" s="933">
        <f t="shared" ca="1" si="246"/>
        <v>0</v>
      </c>
      <c r="FF86" s="933">
        <f t="shared" ca="1" si="246"/>
        <v>0</v>
      </c>
      <c r="FG86" s="933">
        <f t="shared" ca="1" si="246"/>
        <v>0</v>
      </c>
      <c r="FH86" s="933">
        <f t="shared" ca="1" si="246"/>
        <v>0</v>
      </c>
      <c r="FI86" s="933">
        <f t="shared" ca="1" si="246"/>
        <v>0</v>
      </c>
      <c r="FJ86" s="933">
        <f t="shared" ca="1" si="246"/>
        <v>0</v>
      </c>
      <c r="FK86" s="933">
        <f t="shared" ca="1" si="246"/>
        <v>0</v>
      </c>
      <c r="FL86" s="933">
        <f t="shared" ca="1" si="246"/>
        <v>0</v>
      </c>
      <c r="FM86" s="933" t="e">
        <f t="shared" ca="1" si="247"/>
        <v>#N/A</v>
      </c>
      <c r="FN86" s="933">
        <f t="shared" ca="1" si="247"/>
        <v>0</v>
      </c>
      <c r="FO86" s="933">
        <f t="shared" ca="1" si="247"/>
        <v>0</v>
      </c>
      <c r="FP86" s="933">
        <f t="shared" ca="1" si="247"/>
        <v>0</v>
      </c>
      <c r="FQ86" s="933">
        <f t="shared" ca="1" si="247"/>
        <v>0</v>
      </c>
      <c r="FR86" s="933">
        <f t="shared" ca="1" si="247"/>
        <v>0</v>
      </c>
      <c r="FS86" s="933">
        <f t="shared" ca="1" si="247"/>
        <v>0</v>
      </c>
      <c r="FT86" s="933">
        <f t="shared" ca="1" si="247"/>
        <v>0</v>
      </c>
      <c r="FU86" s="933" t="e">
        <f t="shared" ca="1" si="247"/>
        <v>#N/A</v>
      </c>
      <c r="FV86" s="933" t="e">
        <f t="shared" ca="1" si="247"/>
        <v>#N/A</v>
      </c>
      <c r="FW86" s="933">
        <f t="shared" ca="1" si="248"/>
        <v>0</v>
      </c>
      <c r="FX86" s="933">
        <f t="shared" ca="1" si="248"/>
        <v>0</v>
      </c>
      <c r="FY86" s="933">
        <f t="shared" ca="1" si="248"/>
        <v>0</v>
      </c>
      <c r="FZ86" s="933">
        <f t="shared" ca="1" si="248"/>
        <v>0</v>
      </c>
      <c r="GA86" s="933" t="e">
        <f t="shared" ca="1" si="248"/>
        <v>#N/A</v>
      </c>
      <c r="GB86" s="933">
        <f t="shared" ca="1" si="248"/>
        <v>0</v>
      </c>
      <c r="GC86" s="920"/>
      <c r="GD86" s="933">
        <f t="shared" ca="1" si="249"/>
        <v>0</v>
      </c>
      <c r="GE86" s="933">
        <f t="shared" ca="1" si="249"/>
        <v>0</v>
      </c>
      <c r="GF86" s="933">
        <f t="shared" ca="1" si="249"/>
        <v>0</v>
      </c>
      <c r="GG86" s="933">
        <f t="shared" ca="1" si="249"/>
        <v>0</v>
      </c>
      <c r="GH86" s="933" t="e">
        <f t="shared" ca="1" si="249"/>
        <v>#N/A</v>
      </c>
      <c r="GI86" s="933" t="e">
        <f t="shared" ca="1" si="249"/>
        <v>#N/A</v>
      </c>
      <c r="GJ86" s="933">
        <f t="shared" ca="1" si="249"/>
        <v>0</v>
      </c>
      <c r="GK86" s="933">
        <f t="shared" ca="1" si="249"/>
        <v>0</v>
      </c>
      <c r="GL86" s="933">
        <f t="shared" ca="1" si="249"/>
        <v>0</v>
      </c>
      <c r="GM86" s="933">
        <f t="shared" ca="1" si="249"/>
        <v>0</v>
      </c>
      <c r="GN86" s="933">
        <f t="shared" ca="1" si="249"/>
        <v>0</v>
      </c>
      <c r="GO86" s="933" t="e">
        <f t="shared" ca="1" si="249"/>
        <v>#N/A</v>
      </c>
      <c r="GP86" s="915"/>
      <c r="GR86" s="946"/>
      <c r="GS86" s="946"/>
      <c r="GU86" s="946"/>
      <c r="GV86" s="946"/>
      <c r="GW86" s="946"/>
      <c r="GX86" s="1143"/>
      <c r="GY86" s="946"/>
    </row>
    <row r="87" spans="1:207" s="914" customFormat="1" ht="14.4" thickBot="1" x14ac:dyDescent="0.35">
      <c r="A87" s="966" t="s">
        <v>2547</v>
      </c>
      <c r="B87" s="965"/>
      <c r="C87" s="932"/>
      <c r="D87" s="928"/>
      <c r="E87" s="964" t="s">
        <v>982</v>
      </c>
      <c r="F87" s="919">
        <f t="shared" ref="F87:P87" ca="1" si="250">SUM(F25:F86)</f>
        <v>-327.68648824212119</v>
      </c>
      <c r="G87" s="922">
        <f t="shared" ca="1" si="250"/>
        <v>-1.0867363154662</v>
      </c>
      <c r="H87" s="922">
        <f t="shared" ca="1" si="250"/>
        <v>1.1423163773854637</v>
      </c>
      <c r="I87" s="922">
        <f t="shared" ca="1" si="250"/>
        <v>0</v>
      </c>
      <c r="J87" s="922">
        <f t="shared" ca="1" si="250"/>
        <v>0</v>
      </c>
      <c r="K87" s="922">
        <f ca="1">SUM(K25:K86)</f>
        <v>0</v>
      </c>
      <c r="L87" s="922">
        <f t="shared" ca="1" si="250"/>
        <v>-4.6690964615321535</v>
      </c>
      <c r="M87" s="922">
        <f t="shared" ca="1" si="250"/>
        <v>0</v>
      </c>
      <c r="N87" s="925">
        <f t="shared" ca="1" si="250"/>
        <v>1.8766293158930871E-4</v>
      </c>
      <c r="O87" s="922">
        <f t="shared" ca="1" si="250"/>
        <v>-2.1094130260831352</v>
      </c>
      <c r="P87" s="926">
        <f t="shared" ca="1" si="250"/>
        <v>-326.69028289045553</v>
      </c>
      <c r="Q87" s="921"/>
      <c r="R87" s="922">
        <f ca="1">SUM(R25:R86)</f>
        <v>-326.69028289045553</v>
      </c>
      <c r="S87" s="922">
        <f t="shared" ref="S87:AA87" ca="1" si="251">SUM(S25:S86)</f>
        <v>-3.9639201148464132</v>
      </c>
      <c r="T87" s="922">
        <f t="shared" ca="1" si="251"/>
        <v>0</v>
      </c>
      <c r="U87" s="922">
        <f t="shared" ca="1" si="251"/>
        <v>-0.45113132136240541</v>
      </c>
      <c r="V87" s="922">
        <f t="shared" ca="1" si="251"/>
        <v>0</v>
      </c>
      <c r="W87" s="922">
        <f t="shared" ca="1" si="251"/>
        <v>-2.0300909459363021</v>
      </c>
      <c r="X87" s="925">
        <f t="shared" ca="1" si="251"/>
        <v>-2.7277596245439701</v>
      </c>
      <c r="Y87" s="922">
        <f t="shared" ca="1" si="251"/>
        <v>-327.81525176000605</v>
      </c>
      <c r="Z87" s="922">
        <f t="shared" ca="1" si="251"/>
        <v>-2.1289196700383162</v>
      </c>
      <c r="AA87" s="922">
        <f t="shared" ca="1" si="251"/>
        <v>-0.2060592290380821</v>
      </c>
      <c r="AB87" s="921"/>
      <c r="AC87" s="922">
        <f ca="1">SUM(AC25:AC86)</f>
        <v>-4.2238718341364459E-2</v>
      </c>
      <c r="AD87" s="922">
        <f t="shared" ref="AD87:AN87" ca="1" si="252">SUM(AD25:AD86)</f>
        <v>0</v>
      </c>
      <c r="AE87" s="922">
        <f t="shared" ca="1" si="252"/>
        <v>-8.1875713181791152</v>
      </c>
      <c r="AF87" s="922">
        <f t="shared" ca="1" si="252"/>
        <v>-0.56329301158872436</v>
      </c>
      <c r="AG87" s="922">
        <f t="shared" ca="1" si="252"/>
        <v>-0.48544410893526435</v>
      </c>
      <c r="AH87" s="922">
        <f t="shared" ca="1" si="252"/>
        <v>0</v>
      </c>
      <c r="AI87" s="922">
        <f t="shared" ca="1" si="252"/>
        <v>-0.11716175936502911</v>
      </c>
      <c r="AJ87" s="922">
        <f t="shared" ca="1" si="252"/>
        <v>0</v>
      </c>
      <c r="AK87" s="925">
        <f t="shared" ca="1" si="252"/>
        <v>0</v>
      </c>
      <c r="AL87" s="922">
        <f t="shared" ca="1" si="252"/>
        <v>-3.9639201148464132</v>
      </c>
      <c r="AM87" s="922">
        <f t="shared" ca="1" si="252"/>
        <v>-1.2430307706378736E-3</v>
      </c>
      <c r="AN87" s="922">
        <f t="shared" ca="1" si="252"/>
        <v>-9.135114080338864E-4</v>
      </c>
      <c r="AO87" s="921"/>
      <c r="AP87" s="922">
        <f ca="1">SUM(AP25:AP86)</f>
        <v>-327.81525176000605</v>
      </c>
      <c r="AQ87" s="922">
        <f t="shared" ref="AQ87:AY87" ca="1" si="253">SUM(AQ25:AQ86)</f>
        <v>-0.2060592290380821</v>
      </c>
      <c r="AR87" s="922">
        <f t="shared" ca="1" si="253"/>
        <v>-2.1289196700383162</v>
      </c>
      <c r="AS87" s="922">
        <f t="shared" ca="1" si="253"/>
        <v>0</v>
      </c>
      <c r="AT87" s="925">
        <f t="shared" ca="1" si="253"/>
        <v>0</v>
      </c>
      <c r="AU87" s="925">
        <f ca="1">SUM(AU25:AU86)</f>
        <v>0</v>
      </c>
      <c r="AV87" s="922">
        <f t="shared" ca="1" si="253"/>
        <v>-2.7666690755355265E-2</v>
      </c>
      <c r="AW87" s="922">
        <f t="shared" ca="1" si="253"/>
        <v>-2.7277596245439701</v>
      </c>
      <c r="AX87" s="922">
        <f t="shared" ca="1" si="253"/>
        <v>-138.76347026471245</v>
      </c>
      <c r="AY87" s="922">
        <f t="shared" ca="1" si="253"/>
        <v>-1.0867363154662</v>
      </c>
      <c r="AZ87" s="922">
        <f ca="1">SUM(AZ25:AZ86)</f>
        <v>0</v>
      </c>
      <c r="BA87" s="922">
        <f ca="1">SUM(BA25:BA86)</f>
        <v>-83.374995857139325</v>
      </c>
      <c r="BB87" s="922">
        <f ca="1">SUM(BB25:BB86)</f>
        <v>-104.15843021723731</v>
      </c>
      <c r="BC87" s="922">
        <f ca="1">SUM(BC25:BC86)</f>
        <v>-1.1166616642324264E-2</v>
      </c>
      <c r="BD87" s="921"/>
      <c r="BE87" s="922">
        <f ca="1">SUM(BE25:BE86)</f>
        <v>-327.81525176000605</v>
      </c>
      <c r="BF87" s="922">
        <f t="shared" ref="BF87:BO87" ca="1" si="254">SUM(BF25:BF86)</f>
        <v>-0.2060592290380821</v>
      </c>
      <c r="BG87" s="922">
        <f t="shared" ca="1" si="254"/>
        <v>-2.1289196700383162</v>
      </c>
      <c r="BH87" s="922">
        <f t="shared" ca="1" si="254"/>
        <v>0</v>
      </c>
      <c r="BI87" s="925">
        <f t="shared" ca="1" si="254"/>
        <v>0</v>
      </c>
      <c r="BJ87" s="922">
        <f t="shared" ca="1" si="254"/>
        <v>-2.7666690755355265E-2</v>
      </c>
      <c r="BK87" s="922">
        <f t="shared" ca="1" si="254"/>
        <v>-2.7277596245439701</v>
      </c>
      <c r="BL87" s="922">
        <f t="shared" ca="1" si="254"/>
        <v>-138.76347026471245</v>
      </c>
      <c r="BM87" s="922">
        <f t="shared" ca="1" si="254"/>
        <v>-187.54459255141958</v>
      </c>
      <c r="BN87" s="922">
        <f ca="1">SUM(BN25:BN86)</f>
        <v>0</v>
      </c>
      <c r="BO87" s="922">
        <f t="shared" ca="1" si="254"/>
        <v>-1.0867363154662</v>
      </c>
      <c r="BP87" s="921"/>
      <c r="BQ87" s="922">
        <f t="shared" ref="BQ87:BW87" ca="1" si="255">SUM(BQ25:BQ86)</f>
        <v>0</v>
      </c>
      <c r="BR87" s="922">
        <f t="shared" ca="1" si="255"/>
        <v>-187.54459255141958</v>
      </c>
      <c r="BS87" s="922">
        <f t="shared" ca="1" si="255"/>
        <v>0</v>
      </c>
      <c r="BT87" s="922">
        <f t="shared" ca="1" si="255"/>
        <v>-83.374995857139325</v>
      </c>
      <c r="BU87" s="922">
        <f t="shared" ca="1" si="255"/>
        <v>-1.1166616642324264E-2</v>
      </c>
      <c r="BV87" s="922">
        <f t="shared" ca="1" si="255"/>
        <v>-104.15843021723731</v>
      </c>
      <c r="BW87" s="922">
        <f t="shared" ca="1" si="255"/>
        <v>0</v>
      </c>
      <c r="BX87" s="921"/>
      <c r="BY87" s="922">
        <f ca="1">SUM(BY25:BY86)</f>
        <v>-104.15843021723731</v>
      </c>
      <c r="BZ87" s="922">
        <f t="shared" ref="BZ87:CF87" ca="1" si="256">SUM(BZ25:BZ86)</f>
        <v>-1.1166616642324264E-2</v>
      </c>
      <c r="CA87" s="922">
        <f t="shared" ca="1" si="256"/>
        <v>0</v>
      </c>
      <c r="CB87" s="922">
        <f t="shared" ca="1" si="256"/>
        <v>-9.6198154255638784</v>
      </c>
      <c r="CC87" s="922">
        <f t="shared" ca="1" si="256"/>
        <v>-65.434145056844429</v>
      </c>
      <c r="CD87" s="922">
        <f t="shared" ca="1" si="256"/>
        <v>0.31481130385388462</v>
      </c>
      <c r="CE87" s="922">
        <f t="shared" ca="1" si="256"/>
        <v>0.2625956695248961</v>
      </c>
      <c r="CF87" s="922">
        <f t="shared" ca="1" si="256"/>
        <v>-0.18581557090427614</v>
      </c>
      <c r="CG87" s="921"/>
      <c r="CH87" s="922">
        <f ca="1">SUM(CH25:CH86)</f>
        <v>-65.445311673454668</v>
      </c>
      <c r="CI87" s="922">
        <f ca="1">SUM(CI25:CI86)</f>
        <v>-113.7782454550992</v>
      </c>
      <c r="CJ87" s="922">
        <f ca="1">SUM(CJ25:CJ86)</f>
        <v>-1.1445579029987245</v>
      </c>
      <c r="CK87" s="922" t="e">
        <f ca="1">SUM(CK25:CK86)</f>
        <v>#N/A</v>
      </c>
      <c r="CL87" s="922" t="e">
        <f ca="1">SUM(CL25:CL86)</f>
        <v>#N/A</v>
      </c>
      <c r="CM87" s="921"/>
      <c r="CN87" s="922">
        <f t="shared" ref="CN87:CS87" ca="1" si="257">SUM(CN25:CN86)</f>
        <v>0</v>
      </c>
      <c r="CO87" s="922" t="e">
        <f t="shared" ca="1" si="257"/>
        <v>#N/A</v>
      </c>
      <c r="CP87" s="922">
        <f t="shared" ca="1" si="257"/>
        <v>0</v>
      </c>
      <c r="CQ87" s="922">
        <f t="shared" ca="1" si="257"/>
        <v>0</v>
      </c>
      <c r="CR87" s="922">
        <f t="shared" ca="1" si="257"/>
        <v>0</v>
      </c>
      <c r="CS87" s="922">
        <f t="shared" ca="1" si="257"/>
        <v>0</v>
      </c>
      <c r="CT87" s="921"/>
      <c r="CU87" s="922">
        <f ca="1">SUM(CU25:CU86)</f>
        <v>-2.1094130260831352</v>
      </c>
      <c r="CV87" s="922">
        <f t="shared" ref="CV87:DH87" ca="1" si="258">SUM(CV25:CV86)</f>
        <v>0</v>
      </c>
      <c r="CW87" s="922">
        <f t="shared" ca="1" si="258"/>
        <v>0</v>
      </c>
      <c r="CX87" s="922">
        <f t="shared" ca="1" si="258"/>
        <v>-83.374995857139325</v>
      </c>
      <c r="CY87" s="922">
        <f t="shared" ca="1" si="258"/>
        <v>0</v>
      </c>
      <c r="CZ87" s="922" t="e">
        <f ca="1">SUM(CZ25:CZ86)</f>
        <v>#N/A</v>
      </c>
      <c r="DA87" s="922" t="e">
        <f ca="1">SUM(DA25:DA86)</f>
        <v>#N/A</v>
      </c>
      <c r="DB87" s="922">
        <f t="shared" ca="1" si="258"/>
        <v>1.9529200517614915</v>
      </c>
      <c r="DC87" s="925">
        <f t="shared" ca="1" si="258"/>
        <v>0</v>
      </c>
      <c r="DD87" s="922">
        <f t="shared" ca="1" si="258"/>
        <v>-65.434145056844429</v>
      </c>
      <c r="DE87" s="922">
        <f t="shared" ca="1" si="258"/>
        <v>-1.0647145972311602</v>
      </c>
      <c r="DF87" s="922">
        <f ca="1">SUM(DF25:DF86)</f>
        <v>0</v>
      </c>
      <c r="DG87" s="922">
        <f t="shared" ca="1" si="258"/>
        <v>5.8240068965931338</v>
      </c>
      <c r="DH87" s="922">
        <f t="shared" ca="1" si="258"/>
        <v>-9.6198154255638784</v>
      </c>
      <c r="DI87" s="921"/>
      <c r="DJ87" s="922">
        <f ca="1">SUM(DJ25:DJ86)</f>
        <v>-76.636499020909781</v>
      </c>
      <c r="DK87" s="922">
        <f t="shared" ref="DK87:DP87" ca="1" si="259">SUM(DK25:DK86)</f>
        <v>-16.3241598675008</v>
      </c>
      <c r="DL87" s="922">
        <f t="shared" ca="1" si="259"/>
        <v>0</v>
      </c>
      <c r="DM87" s="922">
        <f t="shared" ca="1" si="259"/>
        <v>1.9529200517614915</v>
      </c>
      <c r="DN87" s="922" t="e">
        <f t="shared" ca="1" si="259"/>
        <v>#N/A</v>
      </c>
      <c r="DO87" s="922">
        <f t="shared" ca="1" si="259"/>
        <v>-75.072430335044842</v>
      </c>
      <c r="DP87" s="922" t="e">
        <f t="shared" ca="1" si="259"/>
        <v>#N/A</v>
      </c>
      <c r="DQ87" s="921"/>
      <c r="DR87" s="922">
        <f ca="1">SUM(DR25:DR86)</f>
        <v>-68.555663647516397</v>
      </c>
      <c r="DS87" s="922">
        <f ca="1">SUM(DS25:DS86)</f>
        <v>-0.1706639858380827</v>
      </c>
      <c r="DT87" s="922">
        <f ca="1">SUM(DT25:DT86)</f>
        <v>-69.663485737769662</v>
      </c>
      <c r="DU87" s="922" t="e">
        <f ca="1">SUM(DU25:DU86)</f>
        <v>#N/A</v>
      </c>
      <c r="DV87" s="920"/>
      <c r="DW87" s="921"/>
      <c r="DX87" s="922">
        <f ca="1">SUM(DX25:DX86)</f>
        <v>-68.555663647516397</v>
      </c>
      <c r="DY87" s="922">
        <f ca="1">SUM(DY25:DY86)</f>
        <v>-0.1706639858380827</v>
      </c>
      <c r="DZ87" s="922">
        <f ca="1">SUM(DZ25:DZ86)</f>
        <v>-69.663485737769662</v>
      </c>
      <c r="EA87" s="922" t="e">
        <f ca="1">SUM(EA25:EA86)</f>
        <v>#N/A</v>
      </c>
      <c r="EB87" s="920"/>
      <c r="EC87" s="921"/>
      <c r="ED87" s="922">
        <f ca="1">SUM(ED25:ED86)</f>
        <v>-3.7070786795178563</v>
      </c>
      <c r="EE87" s="922">
        <f ca="1">SUM(EE25:EE86)</f>
        <v>-5.4684064184801784</v>
      </c>
      <c r="EF87" s="922" t="e">
        <f ca="1">SUM(EF25:EF86)</f>
        <v>#N/A</v>
      </c>
      <c r="EG87" s="922" t="e">
        <f ca="1">SUM(EG25:EG86)</f>
        <v>#N/A</v>
      </c>
      <c r="EH87" s="920"/>
      <c r="EI87" s="921"/>
      <c r="EJ87" s="922">
        <f ca="1">SUM(EJ25:EJ86)</f>
        <v>0</v>
      </c>
      <c r="EK87" s="922">
        <f ca="1">SUM(EK25:EK86)</f>
        <v>0</v>
      </c>
      <c r="EL87" s="922">
        <f ca="1">SUM(EL25:EL86)</f>
        <v>0</v>
      </c>
      <c r="EM87" s="922">
        <f ca="1">SUM(EM25:EM86)</f>
        <v>0</v>
      </c>
      <c r="EN87" s="920"/>
      <c r="EO87" s="921"/>
      <c r="EP87" s="922">
        <f ca="1">SUM(EP25:EP86)</f>
        <v>5.8219687124255861</v>
      </c>
      <c r="EQ87" s="922">
        <f ca="1">SUM(EQ25:EQ86)</f>
        <v>5.8240068965931338</v>
      </c>
      <c r="ER87" s="922">
        <f ca="1">SUM(ER25:ER86)</f>
        <v>0</v>
      </c>
      <c r="ES87" s="922">
        <f ca="1">SUM(ES25:ES86)</f>
        <v>-2.0381870584310073E-3</v>
      </c>
      <c r="ET87" s="920"/>
      <c r="EU87" s="921"/>
      <c r="EV87" s="922">
        <f ca="1">SUM(EV25:EV86)</f>
        <v>0</v>
      </c>
      <c r="EW87" s="922">
        <f ca="1">SUM(EW25:EW86)</f>
        <v>0</v>
      </c>
      <c r="EX87" s="921"/>
      <c r="EY87" s="922">
        <f ca="1">SUM(EY25:EY86)</f>
        <v>0</v>
      </c>
      <c r="EZ87" s="922">
        <f ca="1">SUM(EZ25:EZ86)</f>
        <v>0</v>
      </c>
      <c r="FA87" s="922" t="e">
        <f ca="1">SUM(FA25:FA86)</f>
        <v>#N/A</v>
      </c>
      <c r="FB87" s="921"/>
      <c r="FC87" s="922">
        <f t="shared" ref="FC87:GO87" ca="1" si="260">SUM(FC25:FC86)</f>
        <v>-327.68648824212119</v>
      </c>
      <c r="FD87" s="922">
        <f t="shared" ca="1" si="260"/>
        <v>1.1423163773854637</v>
      </c>
      <c r="FE87" s="922">
        <f t="shared" ca="1" si="260"/>
        <v>-4.6690964615321535</v>
      </c>
      <c r="FF87" s="922">
        <f t="shared" ca="1" si="260"/>
        <v>1.8766293158930871E-4</v>
      </c>
      <c r="FG87" s="922">
        <f t="shared" ca="1" si="260"/>
        <v>0</v>
      </c>
      <c r="FH87" s="922">
        <f t="shared" ca="1" si="260"/>
        <v>0</v>
      </c>
      <c r="FI87" s="922">
        <f t="shared" ca="1" si="260"/>
        <v>-0.45113132136240541</v>
      </c>
      <c r="FJ87" s="922">
        <f t="shared" ca="1" si="260"/>
        <v>-2.0300909459363021</v>
      </c>
      <c r="FK87" s="922">
        <f t="shared" ca="1" si="260"/>
        <v>-8.1875713181791152</v>
      </c>
      <c r="FL87" s="922">
        <f t="shared" ca="1" si="260"/>
        <v>-4.2238718341364459E-2</v>
      </c>
      <c r="FM87" s="922" t="e">
        <f t="shared" ca="1" si="260"/>
        <v>#N/A</v>
      </c>
      <c r="FN87" s="922">
        <f ca="1">SUM(FN25:FN86)</f>
        <v>-0.22806057172544733</v>
      </c>
      <c r="FO87" s="922">
        <f ca="1">SUM(FO25:FO86)</f>
        <v>-0.48544410893526435</v>
      </c>
      <c r="FP87" s="922">
        <f t="shared" ca="1" si="260"/>
        <v>0</v>
      </c>
      <c r="FQ87" s="922">
        <f t="shared" ca="1" si="260"/>
        <v>-0.335232439863277</v>
      </c>
      <c r="FR87" s="922">
        <f t="shared" ca="1" si="260"/>
        <v>-0.11716175936502911</v>
      </c>
      <c r="FS87" s="922">
        <f t="shared" ca="1" si="260"/>
        <v>0</v>
      </c>
      <c r="FT87" s="922">
        <f t="shared" ca="1" si="260"/>
        <v>0</v>
      </c>
      <c r="FU87" s="922" t="e">
        <f t="shared" ca="1" si="260"/>
        <v>#N/A</v>
      </c>
      <c r="FV87" s="922" t="e">
        <f ca="1">SUM(FV25:FV86)</f>
        <v>#N/A</v>
      </c>
      <c r="FW87" s="922">
        <f t="shared" ca="1" si="260"/>
        <v>0</v>
      </c>
      <c r="FX87" s="922">
        <f t="shared" ca="1" si="260"/>
        <v>1.9529200517614915</v>
      </c>
      <c r="FY87" s="922">
        <f t="shared" ca="1" si="260"/>
        <v>0</v>
      </c>
      <c r="FZ87" s="922">
        <f t="shared" ca="1" si="260"/>
        <v>0.31481130385388462</v>
      </c>
      <c r="GA87" s="922" t="e">
        <f ca="1">SUM(GA25:GA86)</f>
        <v>#N/A</v>
      </c>
      <c r="GB87" s="922">
        <f t="shared" ca="1" si="260"/>
        <v>0</v>
      </c>
      <c r="GC87" s="920"/>
      <c r="GD87" s="922">
        <f t="shared" ca="1" si="260"/>
        <v>-9.135114080338864E-4</v>
      </c>
      <c r="GE87" s="922">
        <f t="shared" ca="1" si="260"/>
        <v>-1.2430307706378736E-3</v>
      </c>
      <c r="GF87" s="922">
        <f t="shared" ca="1" si="260"/>
        <v>-138.76347026471245</v>
      </c>
      <c r="GG87" s="922">
        <f t="shared" ca="1" si="260"/>
        <v>-2.7666690755355265E-2</v>
      </c>
      <c r="GH87" s="922" t="e">
        <f t="shared" ca="1" si="260"/>
        <v>#N/A</v>
      </c>
      <c r="GI87" s="922" t="e">
        <f ca="1">SUM(GI25:GI86)</f>
        <v>#N/A</v>
      </c>
      <c r="GJ87" s="922">
        <f t="shared" ca="1" si="260"/>
        <v>-1.0647145972311602</v>
      </c>
      <c r="GK87" s="922">
        <f t="shared" ca="1" si="260"/>
        <v>5.8240068965931338</v>
      </c>
      <c r="GL87" s="922">
        <f t="shared" ca="1" si="260"/>
        <v>0.2625956695248961</v>
      </c>
      <c r="GM87" s="922">
        <f t="shared" ca="1" si="260"/>
        <v>-0.18581557090427614</v>
      </c>
      <c r="GN87" s="922">
        <f t="shared" ca="1" si="260"/>
        <v>0</v>
      </c>
      <c r="GO87" s="922" t="e">
        <f t="shared" ca="1" si="260"/>
        <v>#N/A</v>
      </c>
      <c r="GP87" s="915"/>
      <c r="GR87" s="946"/>
      <c r="GS87" s="946"/>
      <c r="GU87" s="946"/>
      <c r="GV87" s="946"/>
      <c r="GW87" s="946"/>
      <c r="GX87" s="1143"/>
      <c r="GY87" s="946"/>
    </row>
    <row r="88" spans="1:207" s="914" customFormat="1" x14ac:dyDescent="0.3">
      <c r="A88" s="963" t="s">
        <v>1173</v>
      </c>
      <c r="B88" s="956"/>
      <c r="C88" s="962"/>
      <c r="D88" s="961" t="s">
        <v>2546</v>
      </c>
      <c r="E88" s="959"/>
      <c r="F88" s="960"/>
      <c r="G88" s="956"/>
      <c r="H88" s="956"/>
      <c r="I88" s="956"/>
      <c r="J88" s="956"/>
      <c r="K88" s="956"/>
      <c r="L88" s="956"/>
      <c r="M88" s="956"/>
      <c r="N88" s="957"/>
      <c r="O88" s="956"/>
      <c r="P88" s="959"/>
      <c r="Q88" s="916"/>
      <c r="R88" s="956"/>
      <c r="S88" s="956"/>
      <c r="T88" s="956"/>
      <c r="U88" s="956"/>
      <c r="V88" s="956"/>
      <c r="W88" s="956"/>
      <c r="X88" s="957"/>
      <c r="Y88" s="956"/>
      <c r="Z88" s="956"/>
      <c r="AA88" s="956"/>
      <c r="AB88" s="916"/>
      <c r="AC88" s="956"/>
      <c r="AD88" s="956"/>
      <c r="AE88" s="956"/>
      <c r="AF88" s="956"/>
      <c r="AG88" s="956"/>
      <c r="AH88" s="956"/>
      <c r="AI88" s="956"/>
      <c r="AJ88" s="956"/>
      <c r="AK88" s="957"/>
      <c r="AL88" s="956"/>
      <c r="AM88" s="956"/>
      <c r="AN88" s="956"/>
      <c r="AO88" s="916"/>
      <c r="AP88" s="956"/>
      <c r="AQ88" s="956"/>
      <c r="AR88" s="956"/>
      <c r="AS88" s="956"/>
      <c r="AT88" s="957"/>
      <c r="AU88" s="957"/>
      <c r="AV88" s="956"/>
      <c r="AW88" s="956"/>
      <c r="AX88" s="956"/>
      <c r="AY88" s="956"/>
      <c r="AZ88" s="956"/>
      <c r="BA88" s="956"/>
      <c r="BB88" s="956"/>
      <c r="BC88" s="956"/>
      <c r="BD88" s="916"/>
      <c r="BE88" s="956"/>
      <c r="BF88" s="956"/>
      <c r="BG88" s="956"/>
      <c r="BH88" s="956"/>
      <c r="BI88" s="957"/>
      <c r="BJ88" s="956"/>
      <c r="BK88" s="956"/>
      <c r="BL88" s="956"/>
      <c r="BM88" s="956"/>
      <c r="BN88" s="956"/>
      <c r="BO88" s="956"/>
      <c r="BP88" s="916"/>
      <c r="BQ88" s="956"/>
      <c r="BR88" s="956"/>
      <c r="BS88" s="956"/>
      <c r="BT88" s="956"/>
      <c r="BU88" s="956"/>
      <c r="BV88" s="956"/>
      <c r="BW88" s="956"/>
      <c r="BX88" s="916"/>
      <c r="BY88" s="956"/>
      <c r="BZ88" s="956"/>
      <c r="CA88" s="956"/>
      <c r="CB88" s="956"/>
      <c r="CC88" s="956"/>
      <c r="CD88" s="956"/>
      <c r="CE88" s="956"/>
      <c r="CF88" s="956"/>
      <c r="CG88" s="916"/>
      <c r="CH88" s="956"/>
      <c r="CI88" s="956"/>
      <c r="CJ88" s="956"/>
      <c r="CK88" s="956"/>
      <c r="CL88" s="956"/>
      <c r="CM88" s="916"/>
      <c r="CN88" s="956"/>
      <c r="CO88" s="956"/>
      <c r="CP88" s="956"/>
      <c r="CQ88" s="956"/>
      <c r="CR88" s="956"/>
      <c r="CS88" s="956"/>
      <c r="CT88" s="916"/>
      <c r="CU88" s="956"/>
      <c r="CV88" s="956"/>
      <c r="CW88" s="956"/>
      <c r="CX88" s="956"/>
      <c r="CY88" s="956"/>
      <c r="CZ88" s="956"/>
      <c r="DA88" s="956"/>
      <c r="DB88" s="956"/>
      <c r="DC88" s="957"/>
      <c r="DD88" s="956"/>
      <c r="DE88" s="956"/>
      <c r="DF88" s="956"/>
      <c r="DG88" s="956"/>
      <c r="DH88" s="956"/>
      <c r="DI88" s="916"/>
      <c r="DJ88" s="956"/>
      <c r="DK88" s="956"/>
      <c r="DL88" s="956"/>
      <c r="DM88" s="956"/>
      <c r="DN88" s="956"/>
      <c r="DO88" s="956"/>
      <c r="DP88" s="956"/>
      <c r="DQ88" s="916"/>
      <c r="DR88" s="956"/>
      <c r="DS88" s="956"/>
      <c r="DT88" s="956"/>
      <c r="DU88" s="956"/>
      <c r="DV88" s="915"/>
      <c r="DW88" s="916"/>
      <c r="DX88" s="956"/>
      <c r="DY88" s="956"/>
      <c r="DZ88" s="956"/>
      <c r="EA88" s="956"/>
      <c r="EB88" s="915"/>
      <c r="EC88" s="916"/>
      <c r="ED88" s="956"/>
      <c r="EE88" s="956"/>
      <c r="EF88" s="956"/>
      <c r="EG88" s="956"/>
      <c r="EH88" s="915"/>
      <c r="EI88" s="916"/>
      <c r="EJ88" s="956"/>
      <c r="EK88" s="956"/>
      <c r="EL88" s="956"/>
      <c r="EM88" s="956"/>
      <c r="EN88" s="915"/>
      <c r="EO88" s="916"/>
      <c r="EP88" s="956"/>
      <c r="EQ88" s="956"/>
      <c r="ER88" s="956"/>
      <c r="ES88" s="956"/>
      <c r="ET88" s="915"/>
      <c r="EU88" s="916"/>
      <c r="EV88" s="956"/>
      <c r="EW88" s="956"/>
      <c r="EX88" s="916"/>
      <c r="EY88" s="956"/>
      <c r="EZ88" s="956"/>
      <c r="FA88" s="956"/>
      <c r="FB88" s="916"/>
      <c r="FC88" s="956"/>
      <c r="FD88" s="956"/>
      <c r="FE88" s="956"/>
      <c r="FF88" s="956"/>
      <c r="FG88" s="956"/>
      <c r="FH88" s="956"/>
      <c r="FI88" s="956"/>
      <c r="FJ88" s="956"/>
      <c r="FK88" s="956"/>
      <c r="FL88" s="956"/>
      <c r="FM88" s="956"/>
      <c r="FN88" s="956"/>
      <c r="FO88" s="956"/>
      <c r="FP88" s="956"/>
      <c r="FQ88" s="956"/>
      <c r="FR88" s="956"/>
      <c r="FS88" s="956"/>
      <c r="FT88" s="956"/>
      <c r="FU88" s="956"/>
      <c r="FV88" s="956"/>
      <c r="FW88" s="956"/>
      <c r="FX88" s="956"/>
      <c r="FY88" s="956"/>
      <c r="FZ88" s="956"/>
      <c r="GA88" s="956"/>
      <c r="GB88" s="956"/>
      <c r="GC88" s="915"/>
      <c r="GD88" s="956"/>
      <c r="GE88" s="956"/>
      <c r="GF88" s="956"/>
      <c r="GG88" s="956"/>
      <c r="GH88" s="956"/>
      <c r="GI88" s="956"/>
      <c r="GJ88" s="956"/>
      <c r="GK88" s="956"/>
      <c r="GL88" s="956"/>
      <c r="GM88" s="956"/>
      <c r="GN88" s="956"/>
      <c r="GO88" s="956"/>
      <c r="GP88" s="915"/>
      <c r="GR88" s="946"/>
      <c r="GS88" s="946"/>
      <c r="GU88" s="946"/>
      <c r="GV88" s="946"/>
      <c r="GW88" s="946"/>
      <c r="GX88" s="1143"/>
      <c r="GY88" s="946"/>
    </row>
    <row r="89" spans="1:207" s="914" customFormat="1" x14ac:dyDescent="0.3">
      <c r="A89" s="955" t="s">
        <v>2997</v>
      </c>
      <c r="B89" s="954"/>
      <c r="C89" s="953"/>
      <c r="D89" s="948"/>
      <c r="E89" s="952"/>
      <c r="F89" s="945"/>
      <c r="G89" s="948"/>
      <c r="H89" s="948"/>
      <c r="I89" s="948"/>
      <c r="J89" s="948"/>
      <c r="K89" s="948"/>
      <c r="L89" s="948"/>
      <c r="M89" s="948"/>
      <c r="N89" s="950"/>
      <c r="O89" s="948"/>
      <c r="P89" s="951"/>
      <c r="Q89" s="921"/>
      <c r="R89" s="945"/>
      <c r="S89" s="948"/>
      <c r="T89" s="948"/>
      <c r="U89" s="948"/>
      <c r="V89" s="948"/>
      <c r="W89" s="948"/>
      <c r="X89" s="950"/>
      <c r="Y89" s="948"/>
      <c r="Z89" s="948"/>
      <c r="AA89" s="948"/>
      <c r="AB89" s="921"/>
      <c r="AC89" s="945"/>
      <c r="AD89" s="948"/>
      <c r="AE89" s="948"/>
      <c r="AF89" s="948"/>
      <c r="AG89" s="948"/>
      <c r="AH89" s="948"/>
      <c r="AI89" s="948"/>
      <c r="AJ89" s="948"/>
      <c r="AK89" s="950"/>
      <c r="AL89" s="948"/>
      <c r="AM89" s="948"/>
      <c r="AN89" s="948"/>
      <c r="AO89" s="921"/>
      <c r="AP89" s="945"/>
      <c r="AQ89" s="948"/>
      <c r="AR89" s="948"/>
      <c r="AS89" s="948"/>
      <c r="AT89" s="950"/>
      <c r="AU89" s="950"/>
      <c r="AV89" s="948"/>
      <c r="AW89" s="948"/>
      <c r="AX89" s="948"/>
      <c r="AY89" s="948"/>
      <c r="AZ89" s="948"/>
      <c r="BA89" s="948"/>
      <c r="BB89" s="948"/>
      <c r="BC89" s="948"/>
      <c r="BD89" s="921"/>
      <c r="BE89" s="945"/>
      <c r="BF89" s="948"/>
      <c r="BG89" s="948"/>
      <c r="BH89" s="948"/>
      <c r="BI89" s="950"/>
      <c r="BJ89" s="948"/>
      <c r="BK89" s="948"/>
      <c r="BL89" s="948"/>
      <c r="BM89" s="948"/>
      <c r="BN89" s="948"/>
      <c r="BO89" s="948"/>
      <c r="BP89" s="921"/>
      <c r="BQ89" s="945"/>
      <c r="BR89" s="945"/>
      <c r="BS89" s="945"/>
      <c r="BT89" s="945"/>
      <c r="BU89" s="945"/>
      <c r="BV89" s="945"/>
      <c r="BW89" s="945"/>
      <c r="BX89" s="921"/>
      <c r="BY89" s="945"/>
      <c r="BZ89" s="945"/>
      <c r="CA89" s="945"/>
      <c r="CB89" s="945"/>
      <c r="CC89" s="945"/>
      <c r="CD89" s="945"/>
      <c r="CE89" s="945"/>
      <c r="CF89" s="945"/>
      <c r="CG89" s="921"/>
      <c r="CH89" s="945"/>
      <c r="CI89" s="945"/>
      <c r="CJ89" s="945"/>
      <c r="CK89" s="945"/>
      <c r="CL89" s="945"/>
      <c r="CM89" s="921"/>
      <c r="CN89" s="945"/>
      <c r="CO89" s="945"/>
      <c r="CP89" s="945"/>
      <c r="CQ89" s="945"/>
      <c r="CR89" s="945"/>
      <c r="CS89" s="945"/>
      <c r="CT89" s="921"/>
      <c r="CU89" s="945"/>
      <c r="CV89" s="945"/>
      <c r="CW89" s="945"/>
      <c r="CX89" s="945"/>
      <c r="CY89" s="945"/>
      <c r="CZ89" s="945"/>
      <c r="DA89" s="945"/>
      <c r="DB89" s="945"/>
      <c r="DC89" s="949"/>
      <c r="DD89" s="948"/>
      <c r="DE89" s="945"/>
      <c r="DF89" s="945"/>
      <c r="DG89" s="945"/>
      <c r="DH89" s="945"/>
      <c r="DI89" s="921"/>
      <c r="DJ89" s="945"/>
      <c r="DK89" s="945"/>
      <c r="DL89" s="945"/>
      <c r="DM89" s="945"/>
      <c r="DN89" s="945"/>
      <c r="DO89" s="948"/>
      <c r="DP89" s="945"/>
      <c r="DQ89" s="921"/>
      <c r="DR89" s="945"/>
      <c r="DS89" s="945"/>
      <c r="DT89" s="945"/>
      <c r="DU89" s="945"/>
      <c r="DV89" s="920"/>
      <c r="DW89" s="921"/>
      <c r="DX89" s="945"/>
      <c r="DY89" s="945"/>
      <c r="DZ89" s="945"/>
      <c r="EA89" s="945"/>
      <c r="EB89" s="920"/>
      <c r="EC89" s="921"/>
      <c r="ED89" s="945"/>
      <c r="EE89" s="945"/>
      <c r="EF89" s="945"/>
      <c r="EG89" s="945"/>
      <c r="EH89" s="920"/>
      <c r="EI89" s="921"/>
      <c r="EJ89" s="945"/>
      <c r="EK89" s="945"/>
      <c r="EL89" s="945"/>
      <c r="EM89" s="945"/>
      <c r="EN89" s="920"/>
      <c r="EO89" s="921"/>
      <c r="EP89" s="945"/>
      <c r="EQ89" s="945"/>
      <c r="ER89" s="945"/>
      <c r="ES89" s="945"/>
      <c r="ET89" s="920"/>
      <c r="EU89" s="921"/>
      <c r="EV89" s="945"/>
      <c r="EW89" s="945"/>
      <c r="EX89" s="921"/>
      <c r="EY89" s="945"/>
      <c r="EZ89" s="945"/>
      <c r="FA89" s="945"/>
      <c r="FB89" s="921"/>
      <c r="FC89" s="945"/>
      <c r="FD89" s="945"/>
      <c r="FE89" s="945"/>
      <c r="FF89" s="945"/>
      <c r="FG89" s="945"/>
      <c r="FH89" s="945"/>
      <c r="FI89" s="945"/>
      <c r="FJ89" s="945"/>
      <c r="FK89" s="945"/>
      <c r="FL89" s="945"/>
      <c r="FM89" s="945"/>
      <c r="FN89" s="945"/>
      <c r="FO89" s="945"/>
      <c r="FP89" s="945"/>
      <c r="FQ89" s="945"/>
      <c r="FR89" s="945"/>
      <c r="FS89" s="945"/>
      <c r="FT89" s="945"/>
      <c r="FU89" s="945"/>
      <c r="FV89" s="945"/>
      <c r="FW89" s="945"/>
      <c r="FX89" s="945"/>
      <c r="FY89" s="945"/>
      <c r="FZ89" s="945"/>
      <c r="GA89" s="945"/>
      <c r="GB89" s="945"/>
      <c r="GC89" s="920"/>
      <c r="GD89" s="945"/>
      <c r="GE89" s="945"/>
      <c r="GF89" s="945"/>
      <c r="GG89" s="945"/>
      <c r="GH89" s="945"/>
      <c r="GI89" s="945"/>
      <c r="GJ89" s="945"/>
      <c r="GK89" s="945"/>
      <c r="GL89" s="945"/>
      <c r="GM89" s="945"/>
      <c r="GN89" s="945"/>
      <c r="GO89" s="945"/>
      <c r="GP89" s="915"/>
      <c r="GR89" s="946"/>
      <c r="GS89" s="946"/>
      <c r="GU89" s="946"/>
      <c r="GV89" s="946"/>
      <c r="GW89" s="946"/>
      <c r="GX89" s="1143"/>
      <c r="GY89" s="946"/>
    </row>
    <row r="90" spans="1:207" s="914" customFormat="1" x14ac:dyDescent="0.3">
      <c r="A90" s="944" t="s">
        <v>2545</v>
      </c>
      <c r="B90" s="943">
        <v>165</v>
      </c>
      <c r="C90" s="942">
        <f>C41</f>
        <v>18.015279999999997</v>
      </c>
      <c r="D90" s="941">
        <v>10475.895349999999</v>
      </c>
      <c r="E90" s="940" t="s">
        <v>982</v>
      </c>
      <c r="F90" s="936">
        <f t="shared" ref="F90:P90" ca="1" si="261">(VLOOKUP(F$8,INDIRECT(LU_MAT),$B91,FALSE)/$C90-VLOOKUP(F$8,INDIRECT(LU_MAT),$B90,FALSE)*3600)*$D90/1000000</f>
        <v>12.114594912900056</v>
      </c>
      <c r="G90" s="918">
        <f t="shared" ca="1" si="261"/>
        <v>21.313775668827468</v>
      </c>
      <c r="H90" s="918">
        <f t="shared" ca="1" si="261"/>
        <v>8.0607649044670146E-2</v>
      </c>
      <c r="I90" s="918">
        <f t="shared" ca="1" si="261"/>
        <v>81.991254605884009</v>
      </c>
      <c r="J90" s="918">
        <f t="shared" ca="1" si="261"/>
        <v>-1.4601923370203552E-7</v>
      </c>
      <c r="K90" s="1144">
        <f t="shared" ca="1" si="261"/>
        <v>-2.2419068918657589E-8</v>
      </c>
      <c r="L90" s="918">
        <f t="shared" ca="1" si="261"/>
        <v>0</v>
      </c>
      <c r="M90" s="918">
        <f t="shared" ca="1" si="261"/>
        <v>87.491642786154017</v>
      </c>
      <c r="N90" s="938">
        <f t="shared" ca="1" si="261"/>
        <v>1.3242450190899377E-5</v>
      </c>
      <c r="O90" s="918">
        <f t="shared" ca="1" si="261"/>
        <v>19.348261359041448</v>
      </c>
      <c r="P90" s="939">
        <f t="shared" ca="1" si="261"/>
        <v>198.51396146142571</v>
      </c>
      <c r="Q90" s="947"/>
      <c r="R90" s="936">
        <f t="shared" ref="R90:AA90" ca="1" si="262">(VLOOKUP(R$8,INDIRECT(LU_MAT),$B91,FALSE)/$C90-VLOOKUP(R$8,INDIRECT(LU_MAT),$B90,FALSE)*3600)*$D90/1000000</f>
        <v>198.51396146142571</v>
      </c>
      <c r="S90" s="918">
        <f t="shared" ca="1" si="262"/>
        <v>7.5906351951478763</v>
      </c>
      <c r="T90" s="918">
        <f t="shared" ca="1" si="262"/>
        <v>0</v>
      </c>
      <c r="U90" s="918">
        <f t="shared" ca="1" si="262"/>
        <v>6.1592164484559481E-2</v>
      </c>
      <c r="V90" s="918">
        <f t="shared" ca="1" si="262"/>
        <v>0</v>
      </c>
      <c r="W90" s="918">
        <f t="shared" ca="1" si="262"/>
        <v>0.27716474134351876</v>
      </c>
      <c r="X90" s="938">
        <f t="shared" ca="1" si="262"/>
        <v>15.548055181018739</v>
      </c>
      <c r="Y90" s="918">
        <f t="shared" ca="1" si="262"/>
        <v>220.29524642361343</v>
      </c>
      <c r="Z90" s="918">
        <f t="shared" ca="1" si="262"/>
        <v>-1.3826776543343916E-9</v>
      </c>
      <c r="AA90" s="918">
        <f t="shared" ca="1" si="262"/>
        <v>-1.592356369115422E-10</v>
      </c>
      <c r="AB90" s="947"/>
      <c r="AC90" s="936">
        <f t="shared" ref="AC90:AN90" ca="1" si="263">(VLOOKUP(AC$8,INDIRECT(LU_MAT),$B91,FALSE)/$C90-VLOOKUP(AC$8,INDIRECT(LU_MAT),$B90,FALSE)*3600)*$D90/1000000</f>
        <v>2.0810482938616536E-3</v>
      </c>
      <c r="AD90" s="918">
        <f t="shared" ca="1" si="263"/>
        <v>6.6402761585398622</v>
      </c>
      <c r="AE90" s="918">
        <f t="shared" ca="1" si="263"/>
        <v>0.24812615381992786</v>
      </c>
      <c r="AF90" s="918">
        <f t="shared" ca="1" si="263"/>
        <v>4.5768694532298711E-2</v>
      </c>
      <c r="AG90" s="918">
        <f t="shared" ca="1" si="263"/>
        <v>0</v>
      </c>
      <c r="AH90" s="918">
        <f t="shared" ca="1" si="263"/>
        <v>0</v>
      </c>
      <c r="AI90" s="918">
        <f t="shared" ca="1" si="263"/>
        <v>0</v>
      </c>
      <c r="AJ90" s="918">
        <f t="shared" ca="1" si="263"/>
        <v>-2.9133742977092614E-9</v>
      </c>
      <c r="AK90" s="938">
        <f t="shared" ca="1" si="263"/>
        <v>0</v>
      </c>
      <c r="AL90" s="918">
        <f t="shared" ca="1" si="263"/>
        <v>7.5906351951478763</v>
      </c>
      <c r="AM90" s="918">
        <f t="shared" ca="1" si="263"/>
        <v>-1.4794448819581424E-10</v>
      </c>
      <c r="AN90" s="918">
        <f t="shared" ca="1" si="263"/>
        <v>-3.5221752887541637E-9</v>
      </c>
      <c r="AO90" s="947"/>
      <c r="AP90" s="936">
        <f t="shared" ref="AP90:BC90" ca="1" si="264">(VLOOKUP(AP$8,INDIRECT(LU_MAT),$B91,FALSE)/$C90-VLOOKUP(AP$8,INDIRECT(LU_MAT),$B90,FALSE)*3600)*$D90/1000000</f>
        <v>220.29524642361343</v>
      </c>
      <c r="AQ90" s="1144">
        <f t="shared" ca="1" si="264"/>
        <v>-1.592356369115422E-10</v>
      </c>
      <c r="AR90" s="1144">
        <f t="shared" ca="1" si="264"/>
        <v>-1.3826776543343916E-9</v>
      </c>
      <c r="AS90" s="1144">
        <f t="shared" ca="1" si="264"/>
        <v>15.602156073866887</v>
      </c>
      <c r="AT90" s="938">
        <f t="shared" ca="1" si="264"/>
        <v>-1.5880988796640307E-7</v>
      </c>
      <c r="AU90" s="938">
        <f t="shared" ca="1" si="264"/>
        <v>-1.7357883782747199E-9</v>
      </c>
      <c r="AV90" s="1144">
        <f t="shared" ca="1" si="264"/>
        <v>-2.1769047439287578E-9</v>
      </c>
      <c r="AW90" s="1144">
        <f t="shared" ca="1" si="264"/>
        <v>15.548055181018739</v>
      </c>
      <c r="AX90" s="1144">
        <f t="shared" ca="1" si="264"/>
        <v>6.4265200428820488E-2</v>
      </c>
      <c r="AY90" s="1144">
        <f t="shared" ca="1" si="264"/>
        <v>21.313775668827468</v>
      </c>
      <c r="AZ90" s="1144">
        <f t="shared" ca="1" si="264"/>
        <v>-1.5880988796640307E-7</v>
      </c>
      <c r="BA90" s="1144">
        <f t="shared" ca="1" si="264"/>
        <v>191.49852242659139</v>
      </c>
      <c r="BB90" s="1144">
        <f t="shared" ca="1" si="264"/>
        <v>7.4413432426603778</v>
      </c>
      <c r="BC90" s="1144">
        <f t="shared" ca="1" si="264"/>
        <v>-8.3665499962678142E-10</v>
      </c>
      <c r="BD90" s="947"/>
      <c r="BE90" s="936">
        <f t="shared" ref="BE90:BO90" ca="1" si="265">(VLOOKUP(BE$8,INDIRECT(LU_MAT),$B91,FALSE)/$C90-VLOOKUP(BE$8,INDIRECT(LU_MAT),$B90,FALSE)*3600)*$D90/1000000</f>
        <v>220.29524642361343</v>
      </c>
      <c r="BF90" s="918">
        <f t="shared" ca="1" si="265"/>
        <v>-1.592356369115422E-10</v>
      </c>
      <c r="BG90" s="918">
        <f t="shared" ca="1" si="265"/>
        <v>-1.3826776543343916E-9</v>
      </c>
      <c r="BH90" s="918">
        <f t="shared" ca="1" si="265"/>
        <v>15.602156073866887</v>
      </c>
      <c r="BI90" s="938">
        <f t="shared" ca="1" si="265"/>
        <v>-1.5880988796640307E-7</v>
      </c>
      <c r="BJ90" s="918">
        <f t="shared" ca="1" si="265"/>
        <v>-2.1769047439287578E-9</v>
      </c>
      <c r="BK90" s="918">
        <f t="shared" ca="1" si="265"/>
        <v>15.548055181018739</v>
      </c>
      <c r="BL90" s="918">
        <f t="shared" ca="1" si="265"/>
        <v>6.4265200428820488E-2</v>
      </c>
      <c r="BM90" s="918">
        <f t="shared" ca="1" si="265"/>
        <v>198.90403319789442</v>
      </c>
      <c r="BN90" s="1144">
        <f t="shared" ca="1" si="265"/>
        <v>-1.5880988796640307E-7</v>
      </c>
      <c r="BO90" s="918">
        <f t="shared" ca="1" si="265"/>
        <v>21.313775668827468</v>
      </c>
      <c r="BP90" s="947"/>
      <c r="BQ90" s="936">
        <f t="shared" ref="BQ90:BW90" ca="1" si="266">(VLOOKUP(BQ$8,INDIRECT(LU_MAT),$B91,FALSE)/$C90-VLOOKUP(BQ$8,INDIRECT(LU_MAT),$B90,FALSE)*3600)*$D90/1000000</f>
        <v>-1.7357883782747199E-9</v>
      </c>
      <c r="BR90" s="936">
        <f t="shared" ca="1" si="266"/>
        <v>198.90403319789442</v>
      </c>
      <c r="BS90" s="936">
        <f t="shared" ca="1" si="266"/>
        <v>0</v>
      </c>
      <c r="BT90" s="936">
        <f t="shared" ca="1" si="266"/>
        <v>191.49852242659139</v>
      </c>
      <c r="BU90" s="936">
        <f t="shared" ca="1" si="266"/>
        <v>-8.3665499962678142E-10</v>
      </c>
      <c r="BV90" s="936">
        <f t="shared" ca="1" si="266"/>
        <v>7.4413432426603778</v>
      </c>
      <c r="BW90" s="936">
        <f t="shared" ca="1" si="266"/>
        <v>0</v>
      </c>
      <c r="BX90" s="947"/>
      <c r="BY90" s="936">
        <f t="shared" ref="BY90:CF90" ca="1" si="267">(VLOOKUP(BY$8,INDIRECT(LU_MAT),$B91,FALSE)/$C90-VLOOKUP(BY$8,INDIRECT(LU_MAT),$B90,FALSE)*3600)*$D90/1000000</f>
        <v>7.4413432426603778</v>
      </c>
      <c r="BZ90" s="936">
        <f t="shared" ca="1" si="267"/>
        <v>-8.3665499962678142E-10</v>
      </c>
      <c r="CA90" s="936">
        <f t="shared" ca="1" si="267"/>
        <v>-2.5354831022583616E-8</v>
      </c>
      <c r="CB90" s="936">
        <f t="shared" ca="1" si="267"/>
        <v>4.4829885376048955</v>
      </c>
      <c r="CC90" s="936">
        <f t="shared" ca="1" si="267"/>
        <v>-2.8562697491913342E-9</v>
      </c>
      <c r="CD90" s="936">
        <f t="shared" ca="1" si="267"/>
        <v>2.0804957099266219</v>
      </c>
      <c r="CE90" s="936">
        <f t="shared" ca="1" si="267"/>
        <v>0</v>
      </c>
      <c r="CF90" s="936">
        <f t="shared" ca="1" si="267"/>
        <v>1.8798680494233472E-4</v>
      </c>
      <c r="CG90" s="947"/>
      <c r="CH90" s="936">
        <f ca="1">(VLOOKUP(CH$8,INDIRECT(LU_MAT),$B91,FALSE)/$C90-VLOOKUP(CH$8,INDIRECT(LU_MAT),$B90,FALSE)*3600)*$D90/1000000</f>
        <v>-2.3683743301554065E-8</v>
      </c>
      <c r="CI90" s="936">
        <f ca="1">(VLOOKUP(CI$8,INDIRECT(LU_MAT),$B91,FALSE)/$C90-VLOOKUP(CI$8,INDIRECT(LU_MAT),$B90,FALSE)*3600)*$D90/1000000</f>
        <v>11.924331768635263</v>
      </c>
      <c r="CJ90" s="936">
        <f ca="1">(VLOOKUP(CJ$8,INDIRECT(LU_MAT),$B91,FALSE)/$C90-VLOOKUP(CJ$8,INDIRECT(LU_MAT),$B90,FALSE)*3600)*$D90/1000000</f>
        <v>-1.8246297089985856E-7</v>
      </c>
      <c r="CK90" s="936" t="e">
        <f ca="1">(VLOOKUP(CK$8,INDIRECT(LU_MAT),$B91,FALSE)/$C90-VLOOKUP(CK$8,INDIRECT(LU_MAT),$B90,FALSE)*3600)*$D90/1000000</f>
        <v>#N/A</v>
      </c>
      <c r="CL90" s="936" t="e">
        <f ca="1">(VLOOKUP(CL$8,INDIRECT(LU_MAT),$B91,FALSE)/$C90-VLOOKUP(CL$8,INDIRECT(LU_MAT),$B90,FALSE)*3600)*$D90/1000000</f>
        <v>#N/A</v>
      </c>
      <c r="CM90" s="947"/>
      <c r="CN90" s="936">
        <f t="shared" ref="CN90:CS90" ca="1" si="268">(VLOOKUP(CN$8,INDIRECT(LU_MAT),$B91,FALSE)/$C90-VLOOKUP(CN$8,INDIRECT(LU_MAT),$B90,FALSE)*3600)*$D90/1000000</f>
        <v>20.530940022762383</v>
      </c>
      <c r="CO90" s="936" t="e">
        <f t="shared" ca="1" si="268"/>
        <v>#N/A</v>
      </c>
      <c r="CP90" s="936">
        <f t="shared" ca="1" si="268"/>
        <v>-1.4601923370203552E-7</v>
      </c>
      <c r="CQ90" s="936">
        <f t="shared" ca="1" si="268"/>
        <v>-1.5536819078453638E-8</v>
      </c>
      <c r="CR90" s="936">
        <f t="shared" ca="1" si="268"/>
        <v>2.7223616940972626</v>
      </c>
      <c r="CS90" s="936">
        <f t="shared" ca="1" si="268"/>
        <v>-2.2419068918657589E-8</v>
      </c>
      <c r="CT90" s="947"/>
      <c r="CU90" s="936">
        <f t="shared" ref="CU90:DP90" ca="1" si="269">(VLOOKUP(CU$8,INDIRECT(LU_MAT),$B91,FALSE)/$C90-VLOOKUP(CU$8,INDIRECT(LU_MAT),$B90,FALSE)*3600)*$D90/1000000</f>
        <v>19.348261359041448</v>
      </c>
      <c r="CV90" s="936">
        <f t="shared" ca="1" si="269"/>
        <v>10.279283906007112</v>
      </c>
      <c r="CW90" s="936">
        <f t="shared" ca="1" si="269"/>
        <v>2.722609180734215</v>
      </c>
      <c r="CX90" s="936">
        <f t="shared" ca="1" si="269"/>
        <v>191.49852242659139</v>
      </c>
      <c r="CY90" s="936">
        <f t="shared" ca="1" si="269"/>
        <v>8.431758072869254E-2</v>
      </c>
      <c r="CZ90" s="936" t="e">
        <f t="shared" ca="1" si="269"/>
        <v>#N/A</v>
      </c>
      <c r="DA90" s="936" t="e">
        <f t="shared" ca="1" si="269"/>
        <v>#N/A</v>
      </c>
      <c r="DB90" s="936">
        <f t="shared" ca="1" si="269"/>
        <v>1.3096249553521611</v>
      </c>
      <c r="DC90" s="937">
        <f t="shared" ca="1" si="269"/>
        <v>-1.426208039161771E-8</v>
      </c>
      <c r="DD90" s="918">
        <f t="shared" ca="1" si="269"/>
        <v>-2.8562697491913342E-9</v>
      </c>
      <c r="DE90" s="936">
        <f t="shared" ca="1" si="269"/>
        <v>-1.5101398440545494E-8</v>
      </c>
      <c r="DF90" s="936">
        <f t="shared" ca="1" si="269"/>
        <v>219.01646331576038</v>
      </c>
      <c r="DG90" s="936">
        <f t="shared" ca="1" si="269"/>
        <v>2.8475534182863229</v>
      </c>
      <c r="DH90" s="936">
        <f t="shared" ca="1" si="269"/>
        <v>4.4829885376048955</v>
      </c>
      <c r="DI90" s="947"/>
      <c r="DJ90" s="936">
        <f t="shared" ca="1" si="269"/>
        <v>1234.7100816209595</v>
      </c>
      <c r="DK90" s="936">
        <f t="shared" ca="1" si="269"/>
        <v>269.99184939830843</v>
      </c>
      <c r="DL90" s="936">
        <f t="shared" ca="1" si="269"/>
        <v>-1.426208039161771E-8</v>
      </c>
      <c r="DM90" s="936">
        <f t="shared" ca="1" si="269"/>
        <v>1.3096249553521611</v>
      </c>
      <c r="DN90" s="936" t="e">
        <f t="shared" ca="1" si="269"/>
        <v>#N/A</v>
      </c>
      <c r="DO90" s="1144">
        <f t="shared" ca="1" si="269"/>
        <v>1508.0603785424505</v>
      </c>
      <c r="DP90" s="936" t="e">
        <f t="shared" ca="1" si="269"/>
        <v>#N/A</v>
      </c>
      <c r="DQ90" s="947"/>
      <c r="DR90" s="936">
        <f ca="1">(VLOOKUP(DR$8,INDIRECT(LU_MAT),$B91,FALSE)/$C90-VLOOKUP(DR$8,INDIRECT(LU_MAT),$B90,FALSE)*3600)*$D90/1000000</f>
        <v>0</v>
      </c>
      <c r="DS90" s="936">
        <f ca="1">(VLOOKUP(DS$8,INDIRECT(LU_MAT),$B91,FALSE)/$C90-VLOOKUP(DS$8,INDIRECT(LU_MAT),$B90,FALSE)*3600)*$D90/1000000</f>
        <v>11.196669418745087</v>
      </c>
      <c r="DT90" s="936">
        <f ca="1">(VLOOKUP(DT$8,INDIRECT(LU_MAT),$B91,FALSE)/$C90-VLOOKUP(DT$8,INDIRECT(LU_MAT),$B90,FALSE)*3600)*$D90/1000000</f>
        <v>10.511982551344248</v>
      </c>
      <c r="DU90" s="936" t="e">
        <f ca="1">(VLOOKUP(DU$8,INDIRECT(LU_MAT),$B91,FALSE)/$C90-VLOOKUP(DU$8,INDIRECT(LU_MAT),$B90,FALSE)*3600)*$D90/1000000</f>
        <v>#N/A</v>
      </c>
      <c r="DV90" s="946"/>
      <c r="DW90" s="947"/>
      <c r="DX90" s="936">
        <f ca="1">(VLOOKUP(DX$8,INDIRECT(LU_MAT),$B91,FALSE)/$C90-VLOOKUP(DX$8,INDIRECT(LU_MAT),$B90,FALSE)*3600)*$D90/1000000</f>
        <v>0</v>
      </c>
      <c r="DY90" s="936">
        <f ca="1">(VLOOKUP(DY$8,INDIRECT(LU_MAT),$B91,FALSE)/$C90-VLOOKUP(DY$8,INDIRECT(LU_MAT),$B90,FALSE)*3600)*$D90/1000000</f>
        <v>11.196669418745087</v>
      </c>
      <c r="DZ90" s="936">
        <f ca="1">(VLOOKUP(DZ$8,INDIRECT(LU_MAT),$B91,FALSE)/$C90-VLOOKUP(DZ$8,INDIRECT(LU_MAT),$B90,FALSE)*3600)*$D90/1000000</f>
        <v>10.511982551344248</v>
      </c>
      <c r="EA90" s="936" t="e">
        <f ca="1">(VLOOKUP(EA$8,INDIRECT(LU_MAT),$B91,FALSE)/$C90-VLOOKUP(EA$8,INDIRECT(LU_MAT),$B90,FALSE)*3600)*$D90/1000000</f>
        <v>#N/A</v>
      </c>
      <c r="EB90" s="946"/>
      <c r="EC90" s="947"/>
      <c r="ED90" s="936">
        <f ca="1">(VLOOKUP(ED$8,INDIRECT(LU_MAT),$B91,FALSE)/$C90-VLOOKUP(ED$8,INDIRECT(LU_MAT),$B90,FALSE)*3600)*$D90/1000000</f>
        <v>0</v>
      </c>
      <c r="EE90" s="936">
        <f ca="1">(VLOOKUP(EE$8,INDIRECT(LU_MAT),$B91,FALSE)/$C90-VLOOKUP(EE$8,INDIRECT(LU_MAT),$B90,FALSE)*3600)*$D90/1000000</f>
        <v>0</v>
      </c>
      <c r="EF90" s="936" t="e">
        <f ca="1">(VLOOKUP(EF$8,INDIRECT(LU_MAT),$B91,FALSE)/$C90-VLOOKUP(EF$8,INDIRECT(LU_MAT),$B90,FALSE)*3600)*$D90/1000000</f>
        <v>#N/A</v>
      </c>
      <c r="EG90" s="936" t="e">
        <f ca="1">(VLOOKUP(EG$8,INDIRECT(LU_MAT),$B91,FALSE)/$C90-VLOOKUP(EG$8,INDIRECT(LU_MAT),$B90,FALSE)*3600)*$D90/1000000</f>
        <v>#N/A</v>
      </c>
      <c r="EH90" s="946"/>
      <c r="EI90" s="947"/>
      <c r="EJ90" s="936">
        <f ca="1">(VLOOKUP(EJ$8,INDIRECT(LU_MAT),$B91,FALSE)/$C90-VLOOKUP(EJ$8,INDIRECT(LU_MAT),$B90,FALSE)*3600)*$D90/1000000</f>
        <v>90.155197363837217</v>
      </c>
      <c r="EK90" s="936">
        <f ca="1">(VLOOKUP(EK$8,INDIRECT(LU_MAT),$B91,FALSE)/$C90-VLOOKUP(EK$8,INDIRECT(LU_MAT),$B90,FALSE)*3600)*$D90/1000000</f>
        <v>-7.7653468550014917E-7</v>
      </c>
      <c r="EL90" s="936">
        <f ca="1">(VLOOKUP(EL$8,INDIRECT(LU_MAT),$B91,FALSE)/$C90-VLOOKUP(EL$8,INDIRECT(LU_MAT),$B90,FALSE)*3600)*$D90/1000000</f>
        <v>10.278486145393311</v>
      </c>
      <c r="EM90" s="936">
        <f ca="1">(VLOOKUP(EM$8,INDIRECT(LU_MAT),$B91,FALSE)/$C90-VLOOKUP(EM$8,INDIRECT(LU_MAT),$B90,FALSE)*3600)*$D90/1000000</f>
        <v>-5.8013541967526304E-7</v>
      </c>
      <c r="EN90" s="946"/>
      <c r="EO90" s="947"/>
      <c r="EP90" s="936">
        <f ca="1">(VLOOKUP(EP$8,INDIRECT(LU_MAT),$B91,FALSE)/$C90-VLOOKUP(EP$8,INDIRECT(LU_MAT),$B90,FALSE)*3600)*$D90/1000000</f>
        <v>44.381061391161239</v>
      </c>
      <c r="EQ90" s="936">
        <f ca="1">(VLOOKUP(EQ$8,INDIRECT(LU_MAT),$B91,FALSE)/$C90-VLOOKUP(EQ$8,INDIRECT(LU_MAT),$B90,FALSE)*3600)*$D90/1000000</f>
        <v>2.8475534182863229</v>
      </c>
      <c r="ER90" s="936">
        <f ca="1">(VLOOKUP(ER$8,INDIRECT(LU_MAT),$B91,FALSE)/$C90-VLOOKUP(ER$8,INDIRECT(LU_MAT),$B90,FALSE)*3600)*$D90/1000000</f>
        <v>41.491895113386704</v>
      </c>
      <c r="ES90" s="936">
        <f ca="1">(VLOOKUP(ES$8,INDIRECT(LU_MAT),$B91,FALSE)/$C90-VLOOKUP(ES$8,INDIRECT(LU_MAT),$B90,FALSE)*3600)*$D90/1000000</f>
        <v>-4.1046716989080132E-11</v>
      </c>
      <c r="ET90" s="946"/>
      <c r="EU90" s="947"/>
      <c r="EV90" s="936">
        <f t="shared" ref="EV90:FA90" ca="1" si="270">(VLOOKUP(EV$8,INDIRECT(LU_MAT),$B91,FALSE)/$C90-VLOOKUP(EV$8,INDIRECT(LU_MAT),$B90,FALSE)*3600)*$D90/1000000</f>
        <v>-1.5880988796640307E-7</v>
      </c>
      <c r="EW90" s="936">
        <f t="shared" ca="1" si="270"/>
        <v>-1.5880988796640307E-7</v>
      </c>
      <c r="EX90" s="947"/>
      <c r="EY90" s="936">
        <f t="shared" ca="1" si="270"/>
        <v>90.155197363837217</v>
      </c>
      <c r="EZ90" s="936">
        <f t="shared" ca="1" si="270"/>
        <v>10.278486145393311</v>
      </c>
      <c r="FA90" s="936" t="e">
        <f t="shared" ca="1" si="270"/>
        <v>#N/A</v>
      </c>
      <c r="FB90" s="947"/>
      <c r="FC90" s="936">
        <f t="shared" ref="FC90:GB90" ca="1" si="271">(VLOOKUP(FC$8,INDIRECT(LU_MAT),$B91,FALSE)/$C90-VLOOKUP(FC$8,INDIRECT(LU_MAT),$B90,FALSE)*3600)*$D90/1000000</f>
        <v>12.114594912900056</v>
      </c>
      <c r="FD90" s="936">
        <f t="shared" ca="1" si="271"/>
        <v>8.0607649044670146E-2</v>
      </c>
      <c r="FE90" s="936">
        <f t="shared" ca="1" si="271"/>
        <v>0</v>
      </c>
      <c r="FF90" s="936">
        <f t="shared" ca="1" si="271"/>
        <v>1.3242450190899377E-5</v>
      </c>
      <c r="FG90" s="936">
        <f t="shared" ca="1" si="271"/>
        <v>0</v>
      </c>
      <c r="FH90" s="936">
        <f t="shared" ca="1" si="271"/>
        <v>0</v>
      </c>
      <c r="FI90" s="936">
        <f t="shared" ca="1" si="271"/>
        <v>6.1592164484559481E-2</v>
      </c>
      <c r="FJ90" s="936">
        <f t="shared" ca="1" si="271"/>
        <v>0.27716474134351876</v>
      </c>
      <c r="FK90" s="936">
        <f t="shared" ca="1" si="271"/>
        <v>0.24812615381992786</v>
      </c>
      <c r="FL90" s="936">
        <f t="shared" ca="1" si="271"/>
        <v>2.0810482938616536E-3</v>
      </c>
      <c r="FM90" s="936" t="e">
        <f t="shared" ca="1" si="271"/>
        <v>#N/A</v>
      </c>
      <c r="FN90" s="936">
        <f t="shared" ca="1" si="271"/>
        <v>0</v>
      </c>
      <c r="FO90" s="936">
        <f t="shared" ca="1" si="271"/>
        <v>0</v>
      </c>
      <c r="FP90" s="936">
        <f t="shared" ca="1" si="271"/>
        <v>0</v>
      </c>
      <c r="FQ90" s="936">
        <f t="shared" ca="1" si="271"/>
        <v>4.5768694532298711E-2</v>
      </c>
      <c r="FR90" s="936">
        <f t="shared" ca="1" si="271"/>
        <v>0</v>
      </c>
      <c r="FS90" s="936">
        <f t="shared" ca="1" si="271"/>
        <v>-2.9133742977092614E-9</v>
      </c>
      <c r="FT90" s="936">
        <f t="shared" ca="1" si="271"/>
        <v>-1.7357883782747199E-9</v>
      </c>
      <c r="FU90" s="936" t="e">
        <f t="shared" ca="1" si="271"/>
        <v>#N/A</v>
      </c>
      <c r="FV90" s="936" t="e">
        <f t="shared" ca="1" si="271"/>
        <v>#N/A</v>
      </c>
      <c r="FW90" s="936">
        <f t="shared" ca="1" si="271"/>
        <v>-1.426208039161771E-8</v>
      </c>
      <c r="FX90" s="936">
        <f t="shared" ca="1" si="271"/>
        <v>1.3096249553521611</v>
      </c>
      <c r="FY90" s="936">
        <f t="shared" ca="1" si="271"/>
        <v>-2.5354831022583616E-8</v>
      </c>
      <c r="FZ90" s="936">
        <f t="shared" ca="1" si="271"/>
        <v>0</v>
      </c>
      <c r="GA90" s="936" t="e">
        <f t="shared" ca="1" si="271"/>
        <v>#N/A</v>
      </c>
      <c r="GB90" s="936">
        <f t="shared" ca="1" si="271"/>
        <v>85.559816526553888</v>
      </c>
      <c r="GC90" s="946"/>
      <c r="GD90" s="936">
        <f t="shared" ref="GD90:GO90" ca="1" si="272">(VLOOKUP(GD$8,INDIRECT(LU_MAT),$B91,FALSE)/$C90-VLOOKUP(GD$8,INDIRECT(LU_MAT),$B90,FALSE)*3600)*$D90/1000000</f>
        <v>-3.5221752887541637E-9</v>
      </c>
      <c r="GE90" s="936">
        <f t="shared" ca="1" si="272"/>
        <v>-1.4794448819581424E-10</v>
      </c>
      <c r="GF90" s="936">
        <f t="shared" ca="1" si="272"/>
        <v>6.4265200428820488E-2</v>
      </c>
      <c r="GG90" s="936">
        <f t="shared" ca="1" si="272"/>
        <v>-2.1769047439287578E-9</v>
      </c>
      <c r="GH90" s="936" t="e">
        <f t="shared" ca="1" si="272"/>
        <v>#N/A</v>
      </c>
      <c r="GI90" s="936" t="e">
        <f t="shared" ca="1" si="272"/>
        <v>#N/A</v>
      </c>
      <c r="GJ90" s="936">
        <f t="shared" ca="1" si="272"/>
        <v>-1.5101398440545494E-8</v>
      </c>
      <c r="GK90" s="936">
        <f t="shared" ca="1" si="272"/>
        <v>2.8475534182863229</v>
      </c>
      <c r="GL90" s="936">
        <f t="shared" ca="1" si="272"/>
        <v>0</v>
      </c>
      <c r="GM90" s="936">
        <f t="shared" ca="1" si="272"/>
        <v>1.8798680494233472E-4</v>
      </c>
      <c r="GN90" s="936">
        <f t="shared" ca="1" si="272"/>
        <v>-1.5536819078453638E-8</v>
      </c>
      <c r="GO90" s="936" t="e">
        <f t="shared" ca="1" si="272"/>
        <v>#N/A</v>
      </c>
      <c r="GP90" s="915"/>
      <c r="GR90" s="946"/>
      <c r="GS90" s="946"/>
      <c r="GU90" s="946"/>
      <c r="GV90" s="946"/>
      <c r="GW90" s="946"/>
      <c r="GX90" s="1143"/>
      <c r="GY90" s="946"/>
    </row>
    <row r="91" spans="1:207" s="914" customFormat="1" x14ac:dyDescent="0.3">
      <c r="A91" s="944" t="s">
        <v>2543</v>
      </c>
      <c r="B91" s="943">
        <f>B41</f>
        <v>4</v>
      </c>
      <c r="C91" s="942"/>
      <c r="D91" s="941"/>
      <c r="E91" s="940"/>
      <c r="F91" s="936"/>
      <c r="G91" s="918"/>
      <c r="H91" s="918"/>
      <c r="I91" s="918"/>
      <c r="J91" s="918"/>
      <c r="K91" s="1144"/>
      <c r="L91" s="918"/>
      <c r="M91" s="918"/>
      <c r="N91" s="938"/>
      <c r="O91" s="918"/>
      <c r="P91" s="939"/>
      <c r="Q91" s="947"/>
      <c r="R91" s="936"/>
      <c r="S91" s="918"/>
      <c r="T91" s="918"/>
      <c r="U91" s="918"/>
      <c r="V91" s="918"/>
      <c r="W91" s="918"/>
      <c r="X91" s="938"/>
      <c r="Y91" s="918"/>
      <c r="Z91" s="918"/>
      <c r="AA91" s="918"/>
      <c r="AB91" s="947"/>
      <c r="AC91" s="936"/>
      <c r="AD91" s="918"/>
      <c r="AE91" s="918"/>
      <c r="AF91" s="918"/>
      <c r="AG91" s="918"/>
      <c r="AH91" s="918"/>
      <c r="AI91" s="918"/>
      <c r="AJ91" s="918"/>
      <c r="AK91" s="938"/>
      <c r="AL91" s="918"/>
      <c r="AM91" s="918"/>
      <c r="AN91" s="918"/>
      <c r="AO91" s="947"/>
      <c r="AP91" s="936"/>
      <c r="AQ91" s="1144"/>
      <c r="AR91" s="1144"/>
      <c r="AS91" s="1144"/>
      <c r="AT91" s="938"/>
      <c r="AU91" s="938"/>
      <c r="AV91" s="1144"/>
      <c r="AW91" s="1144"/>
      <c r="AX91" s="1144"/>
      <c r="AY91" s="1144"/>
      <c r="AZ91" s="1144"/>
      <c r="BA91" s="1144"/>
      <c r="BB91" s="1144"/>
      <c r="BC91" s="1144"/>
      <c r="BD91" s="947"/>
      <c r="BE91" s="936"/>
      <c r="BF91" s="918"/>
      <c r="BG91" s="918"/>
      <c r="BH91" s="918"/>
      <c r="BI91" s="938"/>
      <c r="BJ91" s="918"/>
      <c r="BK91" s="918"/>
      <c r="BL91" s="918"/>
      <c r="BM91" s="918"/>
      <c r="BN91" s="1144"/>
      <c r="BO91" s="918"/>
      <c r="BP91" s="947"/>
      <c r="BQ91" s="936"/>
      <c r="BR91" s="936"/>
      <c r="BS91" s="936"/>
      <c r="BT91" s="936"/>
      <c r="BU91" s="936"/>
      <c r="BV91" s="936"/>
      <c r="BW91" s="936"/>
      <c r="BX91" s="947"/>
      <c r="BY91" s="936"/>
      <c r="BZ91" s="936"/>
      <c r="CA91" s="936"/>
      <c r="CB91" s="936"/>
      <c r="CC91" s="936"/>
      <c r="CD91" s="936"/>
      <c r="CE91" s="936"/>
      <c r="CF91" s="936"/>
      <c r="CG91" s="947"/>
      <c r="CH91" s="936"/>
      <c r="CI91" s="936"/>
      <c r="CJ91" s="936"/>
      <c r="CK91" s="936"/>
      <c r="CL91" s="936"/>
      <c r="CM91" s="947"/>
      <c r="CN91" s="936"/>
      <c r="CO91" s="936"/>
      <c r="CP91" s="936"/>
      <c r="CQ91" s="936"/>
      <c r="CR91" s="936"/>
      <c r="CS91" s="936"/>
      <c r="CT91" s="947"/>
      <c r="CU91" s="936"/>
      <c r="CV91" s="936"/>
      <c r="CW91" s="936"/>
      <c r="CX91" s="936"/>
      <c r="CY91" s="936"/>
      <c r="CZ91" s="936"/>
      <c r="DA91" s="936"/>
      <c r="DB91" s="936"/>
      <c r="DC91" s="937"/>
      <c r="DD91" s="918"/>
      <c r="DE91" s="936"/>
      <c r="DF91" s="936"/>
      <c r="DG91" s="936"/>
      <c r="DH91" s="936"/>
      <c r="DI91" s="947"/>
      <c r="DJ91" s="936"/>
      <c r="DK91" s="936"/>
      <c r="DL91" s="936"/>
      <c r="DM91" s="936"/>
      <c r="DN91" s="936"/>
      <c r="DO91" s="1144"/>
      <c r="DP91" s="936"/>
      <c r="DQ91" s="947"/>
      <c r="DR91" s="936"/>
      <c r="DS91" s="936"/>
      <c r="DT91" s="936"/>
      <c r="DU91" s="936"/>
      <c r="DV91" s="946"/>
      <c r="DW91" s="947"/>
      <c r="DX91" s="936"/>
      <c r="DY91" s="936"/>
      <c r="DZ91" s="936"/>
      <c r="EA91" s="936"/>
      <c r="EB91" s="946"/>
      <c r="EC91" s="947"/>
      <c r="ED91" s="936"/>
      <c r="EE91" s="936"/>
      <c r="EF91" s="936"/>
      <c r="EG91" s="936"/>
      <c r="EH91" s="946"/>
      <c r="EI91" s="947"/>
      <c r="EJ91" s="936"/>
      <c r="EK91" s="936"/>
      <c r="EL91" s="936"/>
      <c r="EM91" s="936"/>
      <c r="EN91" s="946"/>
      <c r="EO91" s="947"/>
      <c r="EP91" s="936"/>
      <c r="EQ91" s="936"/>
      <c r="ER91" s="936"/>
      <c r="ES91" s="936"/>
      <c r="ET91" s="946"/>
      <c r="EU91" s="947"/>
      <c r="EV91" s="936"/>
      <c r="EW91" s="936"/>
      <c r="EX91" s="947"/>
      <c r="EY91" s="936"/>
      <c r="EZ91" s="936"/>
      <c r="FA91" s="936"/>
      <c r="FB91" s="947"/>
      <c r="FC91" s="936"/>
      <c r="FD91" s="936"/>
      <c r="FE91" s="936"/>
      <c r="FF91" s="936"/>
      <c r="FG91" s="936"/>
      <c r="FH91" s="936"/>
      <c r="FI91" s="936"/>
      <c r="FJ91" s="936"/>
      <c r="FK91" s="936"/>
      <c r="FL91" s="936"/>
      <c r="FM91" s="936"/>
      <c r="FN91" s="936"/>
      <c r="FO91" s="936"/>
      <c r="FP91" s="936"/>
      <c r="FQ91" s="936"/>
      <c r="FR91" s="936"/>
      <c r="FS91" s="936"/>
      <c r="FT91" s="936"/>
      <c r="FU91" s="936"/>
      <c r="FV91" s="936"/>
      <c r="FW91" s="936"/>
      <c r="FX91" s="936"/>
      <c r="FY91" s="936"/>
      <c r="FZ91" s="936"/>
      <c r="GA91" s="936"/>
      <c r="GB91" s="936"/>
      <c r="GC91" s="946"/>
      <c r="GD91" s="936"/>
      <c r="GE91" s="936"/>
      <c r="GF91" s="936"/>
      <c r="GG91" s="936"/>
      <c r="GH91" s="936"/>
      <c r="GI91" s="936"/>
      <c r="GJ91" s="936"/>
      <c r="GK91" s="936"/>
      <c r="GL91" s="936"/>
      <c r="GM91" s="936"/>
      <c r="GN91" s="936"/>
      <c r="GO91" s="936"/>
      <c r="GP91" s="915"/>
      <c r="GR91" s="946"/>
      <c r="GS91" s="946"/>
      <c r="GU91" s="946"/>
      <c r="GV91" s="946"/>
      <c r="GW91" s="946"/>
      <c r="GX91" s="1143"/>
      <c r="GY91" s="946"/>
    </row>
    <row r="92" spans="1:207" s="914" customFormat="1" x14ac:dyDescent="0.3">
      <c r="A92" s="944" t="s">
        <v>2544</v>
      </c>
      <c r="B92" s="943">
        <v>188</v>
      </c>
      <c r="C92" s="942">
        <f>C51</f>
        <v>17.030560000000001</v>
      </c>
      <c r="D92" s="941">
        <v>4743.5000400000008</v>
      </c>
      <c r="E92" s="940" t="s">
        <v>982</v>
      </c>
      <c r="F92" s="936">
        <f t="shared" ref="F92:P92" ca="1" si="273">(VLOOKUP(F$8,INDIRECT(LU_MAT),$B93,FALSE)/$C92-VLOOKUP(F$8,INDIRECT(LU_MAT),$B92,FALSE)*3600)*$D92/1000000</f>
        <v>0</v>
      </c>
      <c r="G92" s="918">
        <f t="shared" ca="1" si="273"/>
        <v>5.5542238844261067E-12</v>
      </c>
      <c r="H92" s="918">
        <f t="shared" ca="1" si="273"/>
        <v>0</v>
      </c>
      <c r="I92" s="918">
        <f t="shared" ca="1" si="273"/>
        <v>0</v>
      </c>
      <c r="J92" s="918">
        <f t="shared" ca="1" si="273"/>
        <v>0</v>
      </c>
      <c r="K92" s="1144">
        <f t="shared" ca="1" si="273"/>
        <v>0</v>
      </c>
      <c r="L92" s="918">
        <f t="shared" ca="1" si="273"/>
        <v>0.29268284533290151</v>
      </c>
      <c r="M92" s="918">
        <f t="shared" ca="1" si="273"/>
        <v>0</v>
      </c>
      <c r="N92" s="938">
        <f t="shared" ca="1" si="273"/>
        <v>0</v>
      </c>
      <c r="O92" s="918">
        <f t="shared" ca="1" si="273"/>
        <v>3.5389971786701569E-12</v>
      </c>
      <c r="P92" s="939">
        <f t="shared" ca="1" si="273"/>
        <v>0</v>
      </c>
      <c r="Q92" s="947"/>
      <c r="R92" s="936">
        <f t="shared" ref="R92:AA92" ca="1" si="274">(VLOOKUP(R$8,INDIRECT(LU_MAT),$B93,FALSE)/$C92-VLOOKUP(R$8,INDIRECT(LU_MAT),$B92,FALSE)*3600)*$D92/1000000</f>
        <v>0</v>
      </c>
      <c r="S92" s="918">
        <f t="shared" ca="1" si="274"/>
        <v>5.6057221731726759E-5</v>
      </c>
      <c r="T92" s="918">
        <f t="shared" ca="1" si="274"/>
        <v>0</v>
      </c>
      <c r="U92" s="918">
        <f t="shared" ca="1" si="274"/>
        <v>0</v>
      </c>
      <c r="V92" s="918">
        <f t="shared" ca="1" si="274"/>
        <v>0</v>
      </c>
      <c r="W92" s="918">
        <f t="shared" ca="1" si="274"/>
        <v>0</v>
      </c>
      <c r="X92" s="938">
        <f t="shared" ca="1" si="274"/>
        <v>1.6664799779799449E-6</v>
      </c>
      <c r="Y92" s="918">
        <f t="shared" ca="1" si="274"/>
        <v>5.6514762527608297E-5</v>
      </c>
      <c r="Z92" s="918">
        <f t="shared" ca="1" si="274"/>
        <v>-7.6572258945101875E-15</v>
      </c>
      <c r="AA92" s="918">
        <f t="shared" ca="1" si="274"/>
        <v>-9.9622682406061753E-16</v>
      </c>
      <c r="AB92" s="947"/>
      <c r="AC92" s="936">
        <f t="shared" ref="AC92:AN92" ca="1" si="275">(VLOOKUP(AC$8,INDIRECT(LU_MAT),$B93,FALSE)/$C92-VLOOKUP(AC$8,INDIRECT(LU_MAT),$B92,FALSE)*3600)*$D92/1000000</f>
        <v>2.5409606988512453E-4</v>
      </c>
      <c r="AD92" s="918">
        <f t="shared" ca="1" si="275"/>
        <v>0</v>
      </c>
      <c r="AE92" s="918">
        <f t="shared" ca="1" si="275"/>
        <v>0</v>
      </c>
      <c r="AF92" s="918">
        <f t="shared" ca="1" si="275"/>
        <v>0</v>
      </c>
      <c r="AG92" s="918">
        <f t="shared" ca="1" si="275"/>
        <v>-2.074265245671649E-10</v>
      </c>
      <c r="AH92" s="918">
        <f t="shared" ca="1" si="275"/>
        <v>0</v>
      </c>
      <c r="AI92" s="918">
        <f t="shared" ca="1" si="275"/>
        <v>0</v>
      </c>
      <c r="AJ92" s="918">
        <f t="shared" ca="1" si="275"/>
        <v>0</v>
      </c>
      <c r="AK92" s="938">
        <f t="shared" ca="1" si="275"/>
        <v>0</v>
      </c>
      <c r="AL92" s="918">
        <f t="shared" ca="1" si="275"/>
        <v>5.6057221731726759E-5</v>
      </c>
      <c r="AM92" s="918">
        <f t="shared" ca="1" si="275"/>
        <v>-8.7961893143938087E-13</v>
      </c>
      <c r="AN92" s="918">
        <f t="shared" ca="1" si="275"/>
        <v>-4.0684304747470832E-13</v>
      </c>
      <c r="AO92" s="947"/>
      <c r="AP92" s="936">
        <f t="shared" ref="AP92:BC92" ca="1" si="276">(VLOOKUP(AP$8,INDIRECT(LU_MAT),$B93,FALSE)/$C92-VLOOKUP(AP$8,INDIRECT(LU_MAT),$B92,FALSE)*3600)*$D92/1000000</f>
        <v>5.6514762527608297E-5</v>
      </c>
      <c r="AQ92" s="1144">
        <f t="shared" ca="1" si="276"/>
        <v>-9.9622682406061753E-16</v>
      </c>
      <c r="AR92" s="1144">
        <f t="shared" ca="1" si="276"/>
        <v>-7.6572258945101875E-15</v>
      </c>
      <c r="AS92" s="1144">
        <f t="shared" ca="1" si="276"/>
        <v>0</v>
      </c>
      <c r="AT92" s="938">
        <f t="shared" ca="1" si="276"/>
        <v>0</v>
      </c>
      <c r="AU92" s="938">
        <f t="shared" ca="1" si="276"/>
        <v>0</v>
      </c>
      <c r="AV92" s="1144">
        <f t="shared" ca="1" si="276"/>
        <v>-2.0207653282029084E-16</v>
      </c>
      <c r="AW92" s="1144">
        <f t="shared" ca="1" si="276"/>
        <v>1.6664799779799449E-6</v>
      </c>
      <c r="AX92" s="1144">
        <f t="shared" ca="1" si="276"/>
        <v>5.5824290671799685E-5</v>
      </c>
      <c r="AY92" s="1144">
        <f t="shared" ca="1" si="276"/>
        <v>5.5542238844261067E-12</v>
      </c>
      <c r="AZ92" s="1144">
        <f t="shared" ca="1" si="276"/>
        <v>0</v>
      </c>
      <c r="BA92" s="1144">
        <f t="shared" ca="1" si="276"/>
        <v>1.992576832894366E-7</v>
      </c>
      <c r="BB92" s="1144">
        <f t="shared" ca="1" si="276"/>
        <v>6.1444006963340147E-9</v>
      </c>
      <c r="BC92" s="1144">
        <f t="shared" ca="1" si="276"/>
        <v>-1.5291294543317851E-17</v>
      </c>
      <c r="BD92" s="947"/>
      <c r="BE92" s="936">
        <f t="shared" ref="BE92:BO92" ca="1" si="277">(VLOOKUP(BE$8,INDIRECT(LU_MAT),$B93,FALSE)/$C92-VLOOKUP(BE$8,INDIRECT(LU_MAT),$B92,FALSE)*3600)*$D92/1000000</f>
        <v>5.6514762527608297E-5</v>
      </c>
      <c r="BF92" s="918">
        <f t="shared" ca="1" si="277"/>
        <v>-9.9622682406061753E-16</v>
      </c>
      <c r="BG92" s="918">
        <f t="shared" ca="1" si="277"/>
        <v>-7.6572258945101875E-15</v>
      </c>
      <c r="BH92" s="918">
        <f t="shared" ca="1" si="277"/>
        <v>0</v>
      </c>
      <c r="BI92" s="938">
        <f t="shared" ca="1" si="277"/>
        <v>0</v>
      </c>
      <c r="BJ92" s="918">
        <f t="shared" ca="1" si="277"/>
        <v>-2.0207653282029084E-16</v>
      </c>
      <c r="BK92" s="918">
        <f t="shared" ca="1" si="277"/>
        <v>1.6664799779799449E-6</v>
      </c>
      <c r="BL92" s="918">
        <f t="shared" ca="1" si="277"/>
        <v>5.5824290671799685E-5</v>
      </c>
      <c r="BM92" s="918">
        <f t="shared" ca="1" si="277"/>
        <v>2.0696325157037455E-7</v>
      </c>
      <c r="BN92" s="1144">
        <f t="shared" ca="1" si="277"/>
        <v>0</v>
      </c>
      <c r="BO92" s="918">
        <f t="shared" ca="1" si="277"/>
        <v>5.5542238844261067E-12</v>
      </c>
      <c r="BP92" s="947"/>
      <c r="BQ92" s="936">
        <f t="shared" ref="BQ92:BW92" ca="1" si="278">(VLOOKUP(BQ$8,INDIRECT(LU_MAT),$B93,FALSE)/$C92-VLOOKUP(BQ$8,INDIRECT(LU_MAT),$B92,FALSE)*3600)*$D92/1000000</f>
        <v>0</v>
      </c>
      <c r="BR92" s="936">
        <f t="shared" ca="1" si="278"/>
        <v>2.0696325157037455E-7</v>
      </c>
      <c r="BS92" s="936">
        <f t="shared" ca="1" si="278"/>
        <v>0</v>
      </c>
      <c r="BT92" s="936">
        <f t="shared" ca="1" si="278"/>
        <v>1.992576832894366E-7</v>
      </c>
      <c r="BU92" s="936">
        <f t="shared" ca="1" si="278"/>
        <v>-1.5291294543317851E-17</v>
      </c>
      <c r="BV92" s="936">
        <f t="shared" ca="1" si="278"/>
        <v>6.1444006963340147E-9</v>
      </c>
      <c r="BW92" s="936">
        <f t="shared" ca="1" si="278"/>
        <v>0</v>
      </c>
      <c r="BX92" s="947"/>
      <c r="BY92" s="936">
        <f t="shared" ref="BY92:CF92" ca="1" si="279">(VLOOKUP(BY$8,INDIRECT(LU_MAT),$B93,FALSE)/$C92-VLOOKUP(BY$8,INDIRECT(LU_MAT),$B92,FALSE)*3600)*$D92/1000000</f>
        <v>6.1444006963340147E-9</v>
      </c>
      <c r="BZ92" s="936">
        <f t="shared" ca="1" si="279"/>
        <v>-1.5291294543317851E-17</v>
      </c>
      <c r="CA92" s="936">
        <f t="shared" ca="1" si="279"/>
        <v>0</v>
      </c>
      <c r="CB92" s="936">
        <f t="shared" ca="1" si="279"/>
        <v>9.0692541025252005E-4</v>
      </c>
      <c r="CC92" s="936">
        <f t="shared" ca="1" si="279"/>
        <v>-6.4909670840623993E-11</v>
      </c>
      <c r="CD92" s="936">
        <f t="shared" ca="1" si="279"/>
        <v>0</v>
      </c>
      <c r="CE92" s="936">
        <f t="shared" ca="1" si="279"/>
        <v>0</v>
      </c>
      <c r="CF92" s="936">
        <f t="shared" ca="1" si="279"/>
        <v>2.0196554810332065E-7</v>
      </c>
      <c r="CG92" s="947"/>
      <c r="CH92" s="936">
        <f ca="1">(VLOOKUP(CH$8,INDIRECT(LU_MAT),$B93,FALSE)/$C92-VLOOKUP(CH$8,INDIRECT(LU_MAT),$B92,FALSE)*3600)*$D92/1000000</f>
        <v>-7.050387735630426E-11</v>
      </c>
      <c r="CI92" s="936">
        <f ca="1">(VLOOKUP(CI$8,INDIRECT(LU_MAT),$B93,FALSE)/$C92-VLOOKUP(CI$8,INDIRECT(LU_MAT),$B92,FALSE)*3600)*$D92/1000000</f>
        <v>9.069315545960345E-4</v>
      </c>
      <c r="CJ92" s="936">
        <f ca="1">(VLOOKUP(CJ$8,INDIRECT(LU_MAT),$B93,FALSE)/$C92-VLOOKUP(CJ$8,INDIRECT(LU_MAT),$B92,FALSE)*3600)*$D92/1000000</f>
        <v>-6.0120217352729676E-11</v>
      </c>
      <c r="CK92" s="936" t="e">
        <f ca="1">(VLOOKUP(CK$8,INDIRECT(LU_MAT),$B93,FALSE)/$C92-VLOOKUP(CK$8,INDIRECT(LU_MAT),$B92,FALSE)*3600)*$D92/1000000</f>
        <v>#N/A</v>
      </c>
      <c r="CL92" s="936" t="e">
        <f ca="1">(VLOOKUP(CL$8,INDIRECT(LU_MAT),$B93,FALSE)/$C92-VLOOKUP(CL$8,INDIRECT(LU_MAT),$B92,FALSE)*3600)*$D92/1000000</f>
        <v>#N/A</v>
      </c>
      <c r="CM92" s="947"/>
      <c r="CN92" s="936">
        <f t="shared" ref="CN92:CS92" ca="1" si="280">(VLOOKUP(CN$8,INDIRECT(LU_MAT),$B93,FALSE)/$C92-VLOOKUP(CN$8,INDIRECT(LU_MAT),$B92,FALSE)*3600)*$D92/1000000</f>
        <v>0</v>
      </c>
      <c r="CO92" s="936" t="e">
        <f t="shared" ca="1" si="280"/>
        <v>#N/A</v>
      </c>
      <c r="CP92" s="936">
        <f t="shared" ca="1" si="280"/>
        <v>0</v>
      </c>
      <c r="CQ92" s="936">
        <f t="shared" ca="1" si="280"/>
        <v>0</v>
      </c>
      <c r="CR92" s="936">
        <f t="shared" ca="1" si="280"/>
        <v>0</v>
      </c>
      <c r="CS92" s="936">
        <f t="shared" ca="1" si="280"/>
        <v>0</v>
      </c>
      <c r="CT92" s="947"/>
      <c r="CU92" s="936">
        <f t="shared" ref="CU92:DP92" ca="1" si="281">(VLOOKUP(CU$8,INDIRECT(LU_MAT),$B93,FALSE)/$C92-VLOOKUP(CU$8,INDIRECT(LU_MAT),$B92,FALSE)*3600)*$D92/1000000</f>
        <v>3.5389971786701569E-12</v>
      </c>
      <c r="CV92" s="936">
        <f t="shared" ca="1" si="281"/>
        <v>0</v>
      </c>
      <c r="CW92" s="936">
        <f t="shared" ca="1" si="281"/>
        <v>0</v>
      </c>
      <c r="CX92" s="936">
        <f t="shared" ca="1" si="281"/>
        <v>1.992576832894366E-7</v>
      </c>
      <c r="CY92" s="936">
        <f t="shared" ca="1" si="281"/>
        <v>0</v>
      </c>
      <c r="CZ92" s="936" t="e">
        <f t="shared" ca="1" si="281"/>
        <v>#N/A</v>
      </c>
      <c r="DA92" s="936" t="e">
        <f t="shared" ca="1" si="281"/>
        <v>#N/A</v>
      </c>
      <c r="DB92" s="936">
        <f t="shared" ca="1" si="281"/>
        <v>0</v>
      </c>
      <c r="DC92" s="937">
        <f t="shared" ca="1" si="281"/>
        <v>0</v>
      </c>
      <c r="DD92" s="918">
        <f t="shared" ca="1" si="281"/>
        <v>-6.4909670840623993E-11</v>
      </c>
      <c r="DE92" s="936">
        <f t="shared" ca="1" si="281"/>
        <v>-1.1156057673472345E-12</v>
      </c>
      <c r="DF92" s="936">
        <f t="shared" ca="1" si="281"/>
        <v>0</v>
      </c>
      <c r="DG92" s="936">
        <f t="shared" ca="1" si="281"/>
        <v>6.4940551995098042E-4</v>
      </c>
      <c r="DH92" s="936">
        <f t="shared" ca="1" si="281"/>
        <v>9.0692541025252005E-4</v>
      </c>
      <c r="DI92" s="947"/>
      <c r="DJ92" s="936">
        <f t="shared" ca="1" si="281"/>
        <v>4.3396744543413909E-3</v>
      </c>
      <c r="DK92" s="936">
        <f t="shared" ca="1" si="281"/>
        <v>0.1891072207234703</v>
      </c>
      <c r="DL92" s="936">
        <f t="shared" ca="1" si="281"/>
        <v>0</v>
      </c>
      <c r="DM92" s="936">
        <f t="shared" ca="1" si="281"/>
        <v>0</v>
      </c>
      <c r="DN92" s="936" t="e">
        <f t="shared" ca="1" si="281"/>
        <v>#N/A</v>
      </c>
      <c r="DO92" s="1144">
        <f t="shared" ca="1" si="281"/>
        <v>5.3004336588779091E-3</v>
      </c>
      <c r="DP92" s="936" t="e">
        <f t="shared" ca="1" si="281"/>
        <v>#N/A</v>
      </c>
      <c r="DQ92" s="947"/>
      <c r="DR92" s="936">
        <f ca="1">(VLOOKUP(DR$8,INDIRECT(LU_MAT),$B93,FALSE)/$C92-VLOOKUP(DR$8,INDIRECT(LU_MAT),$B92,FALSE)*3600)*$D92/1000000</f>
        <v>1.7202560160895474E-7</v>
      </c>
      <c r="DS92" s="936">
        <f ca="1">(VLOOKUP(DS$8,INDIRECT(LU_MAT),$B93,FALSE)/$C92-VLOOKUP(DS$8,INDIRECT(LU_MAT),$B92,FALSE)*3600)*$D92/1000000</f>
        <v>0</v>
      </c>
      <c r="DT92" s="936">
        <f ca="1">(VLOOKUP(DT$8,INDIRECT(LU_MAT),$B93,FALSE)/$C92-VLOOKUP(DT$8,INDIRECT(LU_MAT),$B92,FALSE)*3600)*$D92/1000000</f>
        <v>0.13443775132045657</v>
      </c>
      <c r="DU92" s="936" t="e">
        <f ca="1">(VLOOKUP(DU$8,INDIRECT(LU_MAT),$B93,FALSE)/$C92-VLOOKUP(DU$8,INDIRECT(LU_MAT),$B92,FALSE)*3600)*$D92/1000000</f>
        <v>#N/A</v>
      </c>
      <c r="DV92" s="946"/>
      <c r="DW92" s="947"/>
      <c r="DX92" s="936">
        <f ca="1">(VLOOKUP(DX$8,INDIRECT(LU_MAT),$B93,FALSE)/$C92-VLOOKUP(DX$8,INDIRECT(LU_MAT),$B92,FALSE)*3600)*$D92/1000000</f>
        <v>1.7202560160895474E-7</v>
      </c>
      <c r="DY92" s="936">
        <f ca="1">(VLOOKUP(DY$8,INDIRECT(LU_MAT),$B93,FALSE)/$C92-VLOOKUP(DY$8,INDIRECT(LU_MAT),$B92,FALSE)*3600)*$D92/1000000</f>
        <v>0</v>
      </c>
      <c r="DZ92" s="936">
        <f ca="1">(VLOOKUP(DZ$8,INDIRECT(LU_MAT),$B93,FALSE)/$C92-VLOOKUP(DZ$8,INDIRECT(LU_MAT),$B92,FALSE)*3600)*$D92/1000000</f>
        <v>0.13443775132045657</v>
      </c>
      <c r="EA92" s="936" t="e">
        <f ca="1">(VLOOKUP(EA$8,INDIRECT(LU_MAT),$B93,FALSE)/$C92-VLOOKUP(EA$8,INDIRECT(LU_MAT),$B92,FALSE)*3600)*$D92/1000000</f>
        <v>#N/A</v>
      </c>
      <c r="EB92" s="946"/>
      <c r="EC92" s="947"/>
      <c r="ED92" s="936">
        <f ca="1">(VLOOKUP(ED$8,INDIRECT(LU_MAT),$B93,FALSE)/$C92-VLOOKUP(ED$8,INDIRECT(LU_MAT),$B92,FALSE)*3600)*$D92/1000000</f>
        <v>9.3021116865765217E-9</v>
      </c>
      <c r="EE92" s="936">
        <f ca="1">(VLOOKUP(EE$8,INDIRECT(LU_MAT),$B93,FALSE)/$C92-VLOOKUP(EE$8,INDIRECT(LU_MAT),$B92,FALSE)*3600)*$D92/1000000</f>
        <v>0</v>
      </c>
      <c r="EF92" s="936" t="e">
        <f ca="1">(VLOOKUP(EF$8,INDIRECT(LU_MAT),$B93,FALSE)/$C92-VLOOKUP(EF$8,INDIRECT(LU_MAT),$B92,FALSE)*3600)*$D92/1000000</f>
        <v>#N/A</v>
      </c>
      <c r="EG92" s="936" t="e">
        <f ca="1">(VLOOKUP(EG$8,INDIRECT(LU_MAT),$B93,FALSE)/$C92-VLOOKUP(EG$8,INDIRECT(LU_MAT),$B92,FALSE)*3600)*$D92/1000000</f>
        <v>#N/A</v>
      </c>
      <c r="EH92" s="946"/>
      <c r="EI92" s="947"/>
      <c r="EJ92" s="936">
        <f ca="1">(VLOOKUP(EJ$8,INDIRECT(LU_MAT),$B93,FALSE)/$C92-VLOOKUP(EJ$8,INDIRECT(LU_MAT),$B92,FALSE)*3600)*$D92/1000000</f>
        <v>0</v>
      </c>
      <c r="EK92" s="936">
        <f ca="1">(VLOOKUP(EK$8,INDIRECT(LU_MAT),$B93,FALSE)/$C92-VLOOKUP(EK$8,INDIRECT(LU_MAT),$B92,FALSE)*3600)*$D92/1000000</f>
        <v>0</v>
      </c>
      <c r="EL92" s="936">
        <f ca="1">(VLOOKUP(EL$8,INDIRECT(LU_MAT),$B93,FALSE)/$C92-VLOOKUP(EL$8,INDIRECT(LU_MAT),$B92,FALSE)*3600)*$D92/1000000</f>
        <v>0</v>
      </c>
      <c r="EM92" s="936">
        <f ca="1">(VLOOKUP(EM$8,INDIRECT(LU_MAT),$B93,FALSE)/$C92-VLOOKUP(EM$8,INDIRECT(LU_MAT),$B92,FALSE)*3600)*$D92/1000000</f>
        <v>0</v>
      </c>
      <c r="EN92" s="946"/>
      <c r="EO92" s="947"/>
      <c r="EP92" s="936">
        <f ca="1">(VLOOKUP(EP$8,INDIRECT(LU_MAT),$B93,FALSE)/$C92-VLOOKUP(EP$8,INDIRECT(LU_MAT),$B92,FALSE)*3600)*$D92/1000000</f>
        <v>7.7991508341503622E-4</v>
      </c>
      <c r="EQ92" s="936">
        <f ca="1">(VLOOKUP(EQ$8,INDIRECT(LU_MAT),$B93,FALSE)/$C92-VLOOKUP(EQ$8,INDIRECT(LU_MAT),$B92,FALSE)*3600)*$D92/1000000</f>
        <v>6.4940551995098042E-4</v>
      </c>
      <c r="ER92" s="936">
        <f ca="1">(VLOOKUP(ER$8,INDIRECT(LU_MAT),$B93,FALSE)/$C92-VLOOKUP(ER$8,INDIRECT(LU_MAT),$B92,FALSE)*3600)*$D92/1000000</f>
        <v>0</v>
      </c>
      <c r="ES92" s="936">
        <f ca="1">(VLOOKUP(ES$8,INDIRECT(LU_MAT),$B93,FALSE)/$C92-VLOOKUP(ES$8,INDIRECT(LU_MAT),$B92,FALSE)*3600)*$D92/1000000</f>
        <v>-1.4790007088078959E-14</v>
      </c>
      <c r="ET92" s="946"/>
      <c r="EU92" s="947"/>
      <c r="EV92" s="936">
        <f t="shared" ref="EV92:FA92" ca="1" si="282">(VLOOKUP(EV$8,INDIRECT(LU_MAT),$B93,FALSE)/$C92-VLOOKUP(EV$8,INDIRECT(LU_MAT),$B92,FALSE)*3600)*$D92/1000000</f>
        <v>0</v>
      </c>
      <c r="EW92" s="936">
        <f t="shared" ca="1" si="282"/>
        <v>0</v>
      </c>
      <c r="EX92" s="947"/>
      <c r="EY92" s="936">
        <f t="shared" ca="1" si="282"/>
        <v>0</v>
      </c>
      <c r="EZ92" s="936">
        <f t="shared" ca="1" si="282"/>
        <v>0</v>
      </c>
      <c r="FA92" s="936" t="e">
        <f t="shared" ca="1" si="282"/>
        <v>#N/A</v>
      </c>
      <c r="FB92" s="947"/>
      <c r="FC92" s="936">
        <f t="shared" ref="FC92:GB92" ca="1" si="283">(VLOOKUP(FC$8,INDIRECT(LU_MAT),$B93,FALSE)/$C92-VLOOKUP(FC$8,INDIRECT(LU_MAT),$B92,FALSE)*3600)*$D92/1000000</f>
        <v>0</v>
      </c>
      <c r="FD92" s="936">
        <f t="shared" ca="1" si="283"/>
        <v>0</v>
      </c>
      <c r="FE92" s="936">
        <f t="shared" ca="1" si="283"/>
        <v>0.29268284533290151</v>
      </c>
      <c r="FF92" s="936">
        <f t="shared" ca="1" si="283"/>
        <v>0</v>
      </c>
      <c r="FG92" s="936">
        <f t="shared" ca="1" si="283"/>
        <v>0</v>
      </c>
      <c r="FH92" s="936">
        <f t="shared" ca="1" si="283"/>
        <v>0</v>
      </c>
      <c r="FI92" s="936">
        <f t="shared" ca="1" si="283"/>
        <v>0</v>
      </c>
      <c r="FJ92" s="936">
        <f t="shared" ca="1" si="283"/>
        <v>0</v>
      </c>
      <c r="FK92" s="936">
        <f t="shared" ca="1" si="283"/>
        <v>0</v>
      </c>
      <c r="FL92" s="936">
        <f t="shared" ca="1" si="283"/>
        <v>2.5409606988512453E-4</v>
      </c>
      <c r="FM92" s="936" t="e">
        <f t="shared" ca="1" si="283"/>
        <v>#N/A</v>
      </c>
      <c r="FN92" s="936">
        <f t="shared" ca="1" si="283"/>
        <v>0</v>
      </c>
      <c r="FO92" s="936">
        <f t="shared" ca="1" si="283"/>
        <v>-2.074265245671649E-10</v>
      </c>
      <c r="FP92" s="936">
        <f t="shared" ca="1" si="283"/>
        <v>0</v>
      </c>
      <c r="FQ92" s="936">
        <f t="shared" ca="1" si="283"/>
        <v>0</v>
      </c>
      <c r="FR92" s="936">
        <f t="shared" ca="1" si="283"/>
        <v>0</v>
      </c>
      <c r="FS92" s="936">
        <f t="shared" ca="1" si="283"/>
        <v>0</v>
      </c>
      <c r="FT92" s="936">
        <f t="shared" ca="1" si="283"/>
        <v>0</v>
      </c>
      <c r="FU92" s="936" t="e">
        <f t="shared" ca="1" si="283"/>
        <v>#N/A</v>
      </c>
      <c r="FV92" s="936" t="e">
        <f t="shared" ca="1" si="283"/>
        <v>#N/A</v>
      </c>
      <c r="FW92" s="936">
        <f t="shared" ca="1" si="283"/>
        <v>0</v>
      </c>
      <c r="FX92" s="936">
        <f t="shared" ca="1" si="283"/>
        <v>0</v>
      </c>
      <c r="FY92" s="936">
        <f t="shared" ca="1" si="283"/>
        <v>0</v>
      </c>
      <c r="FZ92" s="936">
        <f t="shared" ca="1" si="283"/>
        <v>0</v>
      </c>
      <c r="GA92" s="936" t="e">
        <f t="shared" ca="1" si="283"/>
        <v>#N/A</v>
      </c>
      <c r="GB92" s="936">
        <f t="shared" ca="1" si="283"/>
        <v>0</v>
      </c>
      <c r="GC92" s="946"/>
      <c r="GD92" s="936">
        <f t="shared" ref="GD92:GO92" ca="1" si="284">(VLOOKUP(GD$8,INDIRECT(LU_MAT),$B93,FALSE)/$C92-VLOOKUP(GD$8,INDIRECT(LU_MAT),$B92,FALSE)*3600)*$D92/1000000</f>
        <v>-4.0684304747470832E-13</v>
      </c>
      <c r="GE92" s="936">
        <f t="shared" ca="1" si="284"/>
        <v>-8.7961893143938087E-13</v>
      </c>
      <c r="GF92" s="936">
        <f t="shared" ca="1" si="284"/>
        <v>5.5824290671799685E-5</v>
      </c>
      <c r="GG92" s="936">
        <f t="shared" ca="1" si="284"/>
        <v>-2.0207653282029084E-16</v>
      </c>
      <c r="GH92" s="936" t="e">
        <f t="shared" ca="1" si="284"/>
        <v>#N/A</v>
      </c>
      <c r="GI92" s="936" t="e">
        <f t="shared" ca="1" si="284"/>
        <v>#N/A</v>
      </c>
      <c r="GJ92" s="936">
        <f t="shared" ca="1" si="284"/>
        <v>-1.1156057673472345E-12</v>
      </c>
      <c r="GK92" s="936">
        <f t="shared" ca="1" si="284"/>
        <v>6.4940551995098042E-4</v>
      </c>
      <c r="GL92" s="936">
        <f t="shared" ca="1" si="284"/>
        <v>0</v>
      </c>
      <c r="GM92" s="936">
        <f t="shared" ca="1" si="284"/>
        <v>2.0196554810332065E-7</v>
      </c>
      <c r="GN92" s="936">
        <f t="shared" ca="1" si="284"/>
        <v>0</v>
      </c>
      <c r="GO92" s="936" t="e">
        <f t="shared" ca="1" si="284"/>
        <v>#N/A</v>
      </c>
      <c r="GP92" s="915"/>
      <c r="GR92" s="946"/>
      <c r="GS92" s="946"/>
      <c r="GU92" s="946"/>
      <c r="GV92" s="946"/>
      <c r="GW92" s="946"/>
      <c r="GX92" s="1143"/>
      <c r="GY92" s="946"/>
    </row>
    <row r="93" spans="1:207" s="914" customFormat="1" x14ac:dyDescent="0.3">
      <c r="A93" s="944" t="s">
        <v>2543</v>
      </c>
      <c r="B93" s="943">
        <f>B51</f>
        <v>27</v>
      </c>
      <c r="C93" s="942"/>
      <c r="D93" s="941"/>
      <c r="E93" s="940"/>
      <c r="F93" s="936"/>
      <c r="G93" s="918"/>
      <c r="H93" s="918"/>
      <c r="I93" s="918"/>
      <c r="J93" s="918"/>
      <c r="K93" s="1144"/>
      <c r="L93" s="918"/>
      <c r="M93" s="918"/>
      <c r="N93" s="938"/>
      <c r="O93" s="918"/>
      <c r="P93" s="939"/>
      <c r="Q93" s="947"/>
      <c r="R93" s="936"/>
      <c r="S93" s="918"/>
      <c r="T93" s="918"/>
      <c r="U93" s="918"/>
      <c r="V93" s="918"/>
      <c r="W93" s="918"/>
      <c r="X93" s="938"/>
      <c r="Y93" s="918"/>
      <c r="Z93" s="918"/>
      <c r="AA93" s="918"/>
      <c r="AB93" s="947"/>
      <c r="AC93" s="936"/>
      <c r="AD93" s="918"/>
      <c r="AE93" s="918"/>
      <c r="AF93" s="918"/>
      <c r="AG93" s="918"/>
      <c r="AH93" s="918"/>
      <c r="AI93" s="918"/>
      <c r="AJ93" s="918"/>
      <c r="AK93" s="938"/>
      <c r="AL93" s="918"/>
      <c r="AM93" s="918"/>
      <c r="AN93" s="918"/>
      <c r="AO93" s="947"/>
      <c r="AP93" s="936"/>
      <c r="AQ93" s="1144"/>
      <c r="AR93" s="1144"/>
      <c r="AS93" s="1144"/>
      <c r="AT93" s="938"/>
      <c r="AU93" s="938"/>
      <c r="AV93" s="1144"/>
      <c r="AW93" s="1144"/>
      <c r="AX93" s="1144"/>
      <c r="AY93" s="1144"/>
      <c r="AZ93" s="1144"/>
      <c r="BA93" s="1144"/>
      <c r="BB93" s="1144"/>
      <c r="BC93" s="1144"/>
      <c r="BD93" s="947"/>
      <c r="BE93" s="936"/>
      <c r="BF93" s="918"/>
      <c r="BG93" s="918"/>
      <c r="BH93" s="918"/>
      <c r="BI93" s="938"/>
      <c r="BJ93" s="918"/>
      <c r="BK93" s="918"/>
      <c r="BL93" s="918"/>
      <c r="BM93" s="918"/>
      <c r="BN93" s="1144"/>
      <c r="BO93" s="918"/>
      <c r="BP93" s="947"/>
      <c r="BQ93" s="936"/>
      <c r="BR93" s="936"/>
      <c r="BS93" s="936"/>
      <c r="BT93" s="936"/>
      <c r="BU93" s="936"/>
      <c r="BV93" s="936"/>
      <c r="BW93" s="936"/>
      <c r="BX93" s="947"/>
      <c r="BY93" s="936"/>
      <c r="BZ93" s="936"/>
      <c r="CA93" s="936"/>
      <c r="CB93" s="936"/>
      <c r="CC93" s="936"/>
      <c r="CD93" s="936"/>
      <c r="CE93" s="936"/>
      <c r="CF93" s="936"/>
      <c r="CG93" s="947"/>
      <c r="CH93" s="936"/>
      <c r="CI93" s="936"/>
      <c r="CJ93" s="936"/>
      <c r="CK93" s="936"/>
      <c r="CL93" s="936"/>
      <c r="CM93" s="947"/>
      <c r="CN93" s="936"/>
      <c r="CO93" s="936"/>
      <c r="CP93" s="936"/>
      <c r="CQ93" s="936"/>
      <c r="CR93" s="936"/>
      <c r="CS93" s="936"/>
      <c r="CT93" s="947"/>
      <c r="CU93" s="936"/>
      <c r="CV93" s="936"/>
      <c r="CW93" s="936"/>
      <c r="CX93" s="936"/>
      <c r="CY93" s="936"/>
      <c r="CZ93" s="936"/>
      <c r="DA93" s="936"/>
      <c r="DB93" s="936"/>
      <c r="DC93" s="937"/>
      <c r="DD93" s="918"/>
      <c r="DE93" s="936"/>
      <c r="DF93" s="936"/>
      <c r="DG93" s="936"/>
      <c r="DH93" s="936"/>
      <c r="DI93" s="947"/>
      <c r="DJ93" s="936"/>
      <c r="DK93" s="936"/>
      <c r="DL93" s="936"/>
      <c r="DM93" s="936"/>
      <c r="DN93" s="936"/>
      <c r="DO93" s="1144"/>
      <c r="DP93" s="936"/>
      <c r="DQ93" s="947"/>
      <c r="DR93" s="936"/>
      <c r="DS93" s="936"/>
      <c r="DT93" s="936"/>
      <c r="DU93" s="936"/>
      <c r="DV93" s="946"/>
      <c r="DW93" s="947"/>
      <c r="DX93" s="936"/>
      <c r="DY93" s="936"/>
      <c r="DZ93" s="936"/>
      <c r="EA93" s="936"/>
      <c r="EB93" s="946"/>
      <c r="EC93" s="947"/>
      <c r="ED93" s="936"/>
      <c r="EE93" s="936"/>
      <c r="EF93" s="936"/>
      <c r="EG93" s="936"/>
      <c r="EH93" s="946"/>
      <c r="EI93" s="947"/>
      <c r="EJ93" s="936"/>
      <c r="EK93" s="936"/>
      <c r="EL93" s="936"/>
      <c r="EM93" s="936"/>
      <c r="EN93" s="946"/>
      <c r="EO93" s="947"/>
      <c r="EP93" s="936"/>
      <c r="EQ93" s="936"/>
      <c r="ER93" s="936"/>
      <c r="ES93" s="936"/>
      <c r="ET93" s="946"/>
      <c r="EU93" s="947"/>
      <c r="EV93" s="936"/>
      <c r="EW93" s="936"/>
      <c r="EX93" s="947"/>
      <c r="EY93" s="936"/>
      <c r="EZ93" s="936"/>
      <c r="FA93" s="936"/>
      <c r="FB93" s="947"/>
      <c r="FC93" s="936"/>
      <c r="FD93" s="936"/>
      <c r="FE93" s="936"/>
      <c r="FF93" s="936"/>
      <c r="FG93" s="936"/>
      <c r="FH93" s="936"/>
      <c r="FI93" s="936"/>
      <c r="FJ93" s="936"/>
      <c r="FK93" s="936"/>
      <c r="FL93" s="936"/>
      <c r="FM93" s="936"/>
      <c r="FN93" s="936"/>
      <c r="FO93" s="936"/>
      <c r="FP93" s="936"/>
      <c r="FQ93" s="936"/>
      <c r="FR93" s="936"/>
      <c r="FS93" s="936"/>
      <c r="FT93" s="936"/>
      <c r="FU93" s="936"/>
      <c r="FV93" s="936"/>
      <c r="FW93" s="936"/>
      <c r="FX93" s="936"/>
      <c r="FY93" s="936"/>
      <c r="FZ93" s="936"/>
      <c r="GA93" s="936"/>
      <c r="GB93" s="936"/>
      <c r="GC93" s="946"/>
      <c r="GD93" s="936"/>
      <c r="GE93" s="936"/>
      <c r="GF93" s="936"/>
      <c r="GG93" s="936"/>
      <c r="GH93" s="936"/>
      <c r="GI93" s="936"/>
      <c r="GJ93" s="936"/>
      <c r="GK93" s="936"/>
      <c r="GL93" s="936"/>
      <c r="GM93" s="936"/>
      <c r="GN93" s="936"/>
      <c r="GO93" s="936"/>
      <c r="GP93" s="915"/>
      <c r="GR93" s="946"/>
      <c r="GS93" s="946"/>
      <c r="GU93" s="946"/>
      <c r="GV93" s="946"/>
      <c r="GW93" s="946"/>
      <c r="GX93" s="1143"/>
      <c r="GY93" s="946"/>
    </row>
    <row r="94" spans="1:207" s="914" customFormat="1" ht="14.4" thickBot="1" x14ac:dyDescent="0.35">
      <c r="A94" s="930" t="s">
        <v>2539</v>
      </c>
      <c r="B94" s="929"/>
      <c r="C94" s="928"/>
      <c r="D94" s="928"/>
      <c r="E94" s="927" t="s">
        <v>982</v>
      </c>
      <c r="F94" s="919">
        <f t="shared" ref="F94:P94" ca="1" si="285">SUM(F90:F93)</f>
        <v>12.114594912900056</v>
      </c>
      <c r="G94" s="922">
        <f t="shared" ca="1" si="285"/>
        <v>21.313775668833021</v>
      </c>
      <c r="H94" s="922">
        <f t="shared" ca="1" si="285"/>
        <v>8.0607649044670146E-2</v>
      </c>
      <c r="I94" s="922">
        <f t="shared" ca="1" si="285"/>
        <v>81.991254605884009</v>
      </c>
      <c r="J94" s="922">
        <f t="shared" ca="1" si="285"/>
        <v>-1.4601923370203552E-7</v>
      </c>
      <c r="K94" s="922">
        <f t="shared" ca="1" si="285"/>
        <v>-2.2419068918657589E-8</v>
      </c>
      <c r="L94" s="922">
        <f t="shared" ca="1" si="285"/>
        <v>0.29268284533290151</v>
      </c>
      <c r="M94" s="922">
        <f t="shared" ca="1" si="285"/>
        <v>87.491642786154017</v>
      </c>
      <c r="N94" s="925">
        <f t="shared" ca="1" si="285"/>
        <v>1.3242450190899377E-5</v>
      </c>
      <c r="O94" s="922">
        <f t="shared" ca="1" si="285"/>
        <v>19.348261359044987</v>
      </c>
      <c r="P94" s="926">
        <f t="shared" ca="1" si="285"/>
        <v>198.51396146142571</v>
      </c>
      <c r="Q94" s="1051"/>
      <c r="R94" s="919">
        <f t="shared" ref="R94:AA94" ca="1" si="286">SUM(R90:R93)</f>
        <v>198.51396146142571</v>
      </c>
      <c r="S94" s="922">
        <f t="shared" ca="1" si="286"/>
        <v>7.5906912523696084</v>
      </c>
      <c r="T94" s="922">
        <f t="shared" ca="1" si="286"/>
        <v>0</v>
      </c>
      <c r="U94" s="922">
        <f t="shared" ca="1" si="286"/>
        <v>6.1592164484559481E-2</v>
      </c>
      <c r="V94" s="922">
        <f t="shared" ca="1" si="286"/>
        <v>0</v>
      </c>
      <c r="W94" s="922">
        <f t="shared" ca="1" si="286"/>
        <v>0.27716474134351876</v>
      </c>
      <c r="X94" s="925">
        <f t="shared" ca="1" si="286"/>
        <v>15.548056847498717</v>
      </c>
      <c r="Y94" s="922">
        <f t="shared" ca="1" si="286"/>
        <v>220.29530293837595</v>
      </c>
      <c r="Z94" s="922">
        <f t="shared" ca="1" si="286"/>
        <v>-1.3826853115602861E-9</v>
      </c>
      <c r="AA94" s="922">
        <f t="shared" ca="1" si="286"/>
        <v>-1.5923663313836627E-10</v>
      </c>
      <c r="AB94" s="1051"/>
      <c r="AC94" s="919">
        <f t="shared" ref="AC94:AN94" ca="1" si="287">SUM(AC90:AC93)</f>
        <v>2.3351443637467783E-3</v>
      </c>
      <c r="AD94" s="922">
        <f t="shared" ca="1" si="287"/>
        <v>6.6402761585398622</v>
      </c>
      <c r="AE94" s="922">
        <f t="shared" ca="1" si="287"/>
        <v>0.24812615381992786</v>
      </c>
      <c r="AF94" s="922">
        <f t="shared" ca="1" si="287"/>
        <v>4.5768694532298711E-2</v>
      </c>
      <c r="AG94" s="922">
        <f t="shared" ca="1" si="287"/>
        <v>-2.074265245671649E-10</v>
      </c>
      <c r="AH94" s="922">
        <f t="shared" ca="1" si="287"/>
        <v>0</v>
      </c>
      <c r="AI94" s="922">
        <f t="shared" ca="1" si="287"/>
        <v>0</v>
      </c>
      <c r="AJ94" s="922">
        <f t="shared" ca="1" si="287"/>
        <v>-2.9133742977092614E-9</v>
      </c>
      <c r="AK94" s="925">
        <f t="shared" ca="1" si="287"/>
        <v>0</v>
      </c>
      <c r="AL94" s="922">
        <f t="shared" ca="1" si="287"/>
        <v>7.5906912523696084</v>
      </c>
      <c r="AM94" s="922">
        <f t="shared" ca="1" si="287"/>
        <v>-1.4882410712725363E-10</v>
      </c>
      <c r="AN94" s="922">
        <f t="shared" ca="1" si="287"/>
        <v>-3.5225821318016385E-9</v>
      </c>
      <c r="AO94" s="1051"/>
      <c r="AP94" s="919">
        <f t="shared" ref="AP94:BC94" ca="1" si="288">SUM(AP90:AP93)</f>
        <v>220.29530293837595</v>
      </c>
      <c r="AQ94" s="922">
        <f t="shared" ca="1" si="288"/>
        <v>-1.5923663313836627E-10</v>
      </c>
      <c r="AR94" s="922">
        <f t="shared" ca="1" si="288"/>
        <v>-1.3826853115602861E-9</v>
      </c>
      <c r="AS94" s="922">
        <f t="shared" ca="1" si="288"/>
        <v>15.602156073866887</v>
      </c>
      <c r="AT94" s="925">
        <f t="shared" ca="1" si="288"/>
        <v>-1.5880988796640307E-7</v>
      </c>
      <c r="AU94" s="925">
        <f t="shared" ca="1" si="288"/>
        <v>-1.7357883782747199E-9</v>
      </c>
      <c r="AV94" s="922">
        <f t="shared" ca="1" si="288"/>
        <v>-2.1769049460052906E-9</v>
      </c>
      <c r="AW94" s="922">
        <f t="shared" ca="1" si="288"/>
        <v>15.548056847498717</v>
      </c>
      <c r="AX94" s="922">
        <f t="shared" ca="1" si="288"/>
        <v>6.432102471949229E-2</v>
      </c>
      <c r="AY94" s="922">
        <f t="shared" ca="1" si="288"/>
        <v>21.313775668833021</v>
      </c>
      <c r="AZ94" s="922">
        <f t="shared" ca="1" si="288"/>
        <v>-1.5880988796640307E-7</v>
      </c>
      <c r="BA94" s="922">
        <f t="shared" ca="1" si="288"/>
        <v>191.49852262584906</v>
      </c>
      <c r="BB94" s="922">
        <f t="shared" ca="1" si="288"/>
        <v>7.4413432488047784</v>
      </c>
      <c r="BC94" s="922">
        <f t="shared" ca="1" si="288"/>
        <v>-8.3665501491807594E-10</v>
      </c>
      <c r="BD94" s="1051"/>
      <c r="BE94" s="919">
        <f t="shared" ref="BE94:BO94" ca="1" si="289">SUM(BE90:BE93)</f>
        <v>220.29530293837595</v>
      </c>
      <c r="BF94" s="922">
        <f t="shared" ca="1" si="289"/>
        <v>-1.5923663313836627E-10</v>
      </c>
      <c r="BG94" s="922">
        <f t="shared" ca="1" si="289"/>
        <v>-1.3826853115602861E-9</v>
      </c>
      <c r="BH94" s="922">
        <f t="shared" ca="1" si="289"/>
        <v>15.602156073866887</v>
      </c>
      <c r="BI94" s="925">
        <f t="shared" ca="1" si="289"/>
        <v>-1.5880988796640307E-7</v>
      </c>
      <c r="BJ94" s="922">
        <f t="shared" ca="1" si="289"/>
        <v>-2.1769049460052906E-9</v>
      </c>
      <c r="BK94" s="922">
        <f t="shared" ca="1" si="289"/>
        <v>15.548056847498717</v>
      </c>
      <c r="BL94" s="922">
        <f t="shared" ca="1" si="289"/>
        <v>6.432102471949229E-2</v>
      </c>
      <c r="BM94" s="922">
        <f t="shared" ca="1" si="289"/>
        <v>198.90403340485767</v>
      </c>
      <c r="BN94" s="922">
        <f t="shared" ca="1" si="289"/>
        <v>-1.5880988796640307E-7</v>
      </c>
      <c r="BO94" s="922">
        <f t="shared" ca="1" si="289"/>
        <v>21.313775668833021</v>
      </c>
      <c r="BP94" s="1051"/>
      <c r="BQ94" s="919">
        <f t="shared" ref="BQ94:BW94" ca="1" si="290">SUM(BQ90:BQ93)</f>
        <v>-1.7357883782747199E-9</v>
      </c>
      <c r="BR94" s="919">
        <f t="shared" ca="1" si="290"/>
        <v>198.90403340485767</v>
      </c>
      <c r="BS94" s="919">
        <f t="shared" ca="1" si="290"/>
        <v>0</v>
      </c>
      <c r="BT94" s="919">
        <f t="shared" ca="1" si="290"/>
        <v>191.49852262584906</v>
      </c>
      <c r="BU94" s="919">
        <f t="shared" ca="1" si="290"/>
        <v>-8.3665501491807594E-10</v>
      </c>
      <c r="BV94" s="919">
        <f t="shared" ca="1" si="290"/>
        <v>7.4413432488047784</v>
      </c>
      <c r="BW94" s="919">
        <f t="shared" ca="1" si="290"/>
        <v>0</v>
      </c>
      <c r="BX94" s="1051"/>
      <c r="BY94" s="919">
        <f t="shared" ref="BY94:CF94" ca="1" si="291">SUM(BY90:BY93)</f>
        <v>7.4413432488047784</v>
      </c>
      <c r="BZ94" s="919">
        <f t="shared" ca="1" si="291"/>
        <v>-8.3665501491807594E-10</v>
      </c>
      <c r="CA94" s="919">
        <f t="shared" ca="1" si="291"/>
        <v>-2.5354831022583616E-8</v>
      </c>
      <c r="CB94" s="919">
        <f t="shared" ca="1" si="291"/>
        <v>4.4838954630151484</v>
      </c>
      <c r="CC94" s="919">
        <f t="shared" ca="1" si="291"/>
        <v>-2.9211794200319581E-9</v>
      </c>
      <c r="CD94" s="919">
        <f t="shared" ca="1" si="291"/>
        <v>2.0804957099266219</v>
      </c>
      <c r="CE94" s="919">
        <f t="shared" ca="1" si="291"/>
        <v>0</v>
      </c>
      <c r="CF94" s="919">
        <f t="shared" ca="1" si="291"/>
        <v>1.8818877049043805E-4</v>
      </c>
      <c r="CG94" s="1051"/>
      <c r="CH94" s="919">
        <f ca="1">SUM(CH90:CH93)</f>
        <v>-2.375424717891037E-8</v>
      </c>
      <c r="CI94" s="919">
        <f ca="1">SUM(CI90:CI93)</f>
        <v>11.925238700189858</v>
      </c>
      <c r="CJ94" s="919">
        <f ca="1">SUM(CJ90:CJ93)</f>
        <v>-1.8252309111721129E-7</v>
      </c>
      <c r="CK94" s="919" t="e">
        <f ca="1">SUM(CK90:CK93)</f>
        <v>#N/A</v>
      </c>
      <c r="CL94" s="919" t="e">
        <f ca="1">SUM(CL90:CL93)</f>
        <v>#N/A</v>
      </c>
      <c r="CM94" s="1051"/>
      <c r="CN94" s="919">
        <f t="shared" ref="CN94:CS94" ca="1" si="292">SUM(CN90:CN93)</f>
        <v>20.530940022762383</v>
      </c>
      <c r="CO94" s="919" t="e">
        <f t="shared" ca="1" si="292"/>
        <v>#N/A</v>
      </c>
      <c r="CP94" s="919">
        <f t="shared" ca="1" si="292"/>
        <v>-1.4601923370203552E-7</v>
      </c>
      <c r="CQ94" s="919">
        <f t="shared" ca="1" si="292"/>
        <v>-1.5536819078453638E-8</v>
      </c>
      <c r="CR94" s="919">
        <f t="shared" ca="1" si="292"/>
        <v>2.7223616940972626</v>
      </c>
      <c r="CS94" s="919">
        <f t="shared" ca="1" si="292"/>
        <v>-2.2419068918657589E-8</v>
      </c>
      <c r="CT94" s="1051"/>
      <c r="CU94" s="919">
        <f t="shared" ref="CU94:DH94" ca="1" si="293">SUM(CU90:CU93)</f>
        <v>19.348261359044987</v>
      </c>
      <c r="CV94" s="919">
        <f t="shared" ca="1" si="293"/>
        <v>10.279283906007112</v>
      </c>
      <c r="CW94" s="919">
        <f t="shared" ca="1" si="293"/>
        <v>2.722609180734215</v>
      </c>
      <c r="CX94" s="919">
        <f t="shared" ca="1" si="293"/>
        <v>191.49852262584906</v>
      </c>
      <c r="CY94" s="919">
        <f t="shared" ca="1" si="293"/>
        <v>8.431758072869254E-2</v>
      </c>
      <c r="CZ94" s="919" t="e">
        <f t="shared" ca="1" si="293"/>
        <v>#N/A</v>
      </c>
      <c r="DA94" s="919" t="e">
        <f t="shared" ca="1" si="293"/>
        <v>#N/A</v>
      </c>
      <c r="DB94" s="919">
        <f t="shared" ca="1" si="293"/>
        <v>1.3096249553521611</v>
      </c>
      <c r="DC94" s="923">
        <f t="shared" ca="1" si="293"/>
        <v>-1.426208039161771E-8</v>
      </c>
      <c r="DD94" s="922">
        <f t="shared" ca="1" si="293"/>
        <v>-2.9211794200319581E-9</v>
      </c>
      <c r="DE94" s="919">
        <f t="shared" ca="1" si="293"/>
        <v>-1.510251404631284E-8</v>
      </c>
      <c r="DF94" s="919">
        <f t="shared" ca="1" si="293"/>
        <v>219.01646331576038</v>
      </c>
      <c r="DG94" s="919">
        <f t="shared" ca="1" si="293"/>
        <v>2.848202823806274</v>
      </c>
      <c r="DH94" s="919">
        <f t="shared" ca="1" si="293"/>
        <v>4.4838954630151484</v>
      </c>
      <c r="DI94" s="1051"/>
      <c r="DJ94" s="919">
        <f t="shared" ref="DJ94:DP94" ca="1" si="294">SUM(DJ90:DJ93)</f>
        <v>1234.7144212954138</v>
      </c>
      <c r="DK94" s="919">
        <f t="shared" ca="1" si="294"/>
        <v>270.18095661903192</v>
      </c>
      <c r="DL94" s="919">
        <f t="shared" ca="1" si="294"/>
        <v>-1.426208039161771E-8</v>
      </c>
      <c r="DM94" s="919">
        <f t="shared" ca="1" si="294"/>
        <v>1.3096249553521611</v>
      </c>
      <c r="DN94" s="919" t="e">
        <f t="shared" ca="1" si="294"/>
        <v>#N/A</v>
      </c>
      <c r="DO94" s="922">
        <f t="shared" ca="1" si="294"/>
        <v>1508.0656789761094</v>
      </c>
      <c r="DP94" s="919" t="e">
        <f t="shared" ca="1" si="294"/>
        <v>#N/A</v>
      </c>
      <c r="DQ94" s="1051"/>
      <c r="DR94" s="919">
        <f ca="1">SUM(DR90:DR93)</f>
        <v>1.7202560160895474E-7</v>
      </c>
      <c r="DS94" s="919">
        <f ca="1">SUM(DS90:DS93)</f>
        <v>11.196669418745087</v>
      </c>
      <c r="DT94" s="919">
        <f ca="1">SUM(DT90:DT93)</f>
        <v>10.646420302664705</v>
      </c>
      <c r="DU94" s="919" t="e">
        <f ca="1">SUM(DU90:DU93)</f>
        <v>#N/A</v>
      </c>
      <c r="DV94" s="920"/>
      <c r="DW94" s="1051"/>
      <c r="DX94" s="919">
        <f ca="1">SUM(DX90:DX93)</f>
        <v>1.7202560160895474E-7</v>
      </c>
      <c r="DY94" s="919">
        <f ca="1">SUM(DY90:DY93)</f>
        <v>11.196669418745087</v>
      </c>
      <c r="DZ94" s="919">
        <f ca="1">SUM(DZ90:DZ93)</f>
        <v>10.646420302664705</v>
      </c>
      <c r="EA94" s="919" t="e">
        <f ca="1">SUM(EA90:EA93)</f>
        <v>#N/A</v>
      </c>
      <c r="EB94" s="920"/>
      <c r="EC94" s="1051"/>
      <c r="ED94" s="919">
        <f ca="1">SUM(ED90:ED93)</f>
        <v>9.3021116865765217E-9</v>
      </c>
      <c r="EE94" s="919">
        <f ca="1">SUM(EE90:EE93)</f>
        <v>0</v>
      </c>
      <c r="EF94" s="919" t="e">
        <f ca="1">SUM(EF90:EF93)</f>
        <v>#N/A</v>
      </c>
      <c r="EG94" s="919" t="e">
        <f ca="1">SUM(EG90:EG93)</f>
        <v>#N/A</v>
      </c>
      <c r="EH94" s="920"/>
      <c r="EI94" s="1051"/>
      <c r="EJ94" s="919">
        <f ca="1">SUM(EJ90:EJ93)</f>
        <v>90.155197363837217</v>
      </c>
      <c r="EK94" s="919">
        <f ca="1">SUM(EK90:EK93)</f>
        <v>-7.7653468550014917E-7</v>
      </c>
      <c r="EL94" s="919">
        <f ca="1">SUM(EL90:EL93)</f>
        <v>10.278486145393311</v>
      </c>
      <c r="EM94" s="919">
        <f ca="1">SUM(EM90:EM93)</f>
        <v>-5.8013541967526304E-7</v>
      </c>
      <c r="EN94" s="920"/>
      <c r="EO94" s="1051"/>
      <c r="EP94" s="919">
        <f ca="1">SUM(EP90:EP93)</f>
        <v>44.381841306244652</v>
      </c>
      <c r="EQ94" s="919">
        <f ca="1">SUM(EQ90:EQ93)</f>
        <v>2.848202823806274</v>
      </c>
      <c r="ER94" s="919">
        <f ca="1">SUM(ER90:ER93)</f>
        <v>41.491895113386704</v>
      </c>
      <c r="ES94" s="919">
        <f ca="1">SUM(ES90:ES93)</f>
        <v>-4.1061506996168211E-11</v>
      </c>
      <c r="ET94" s="920"/>
      <c r="EU94" s="1051"/>
      <c r="EV94" s="919">
        <f ca="1">SUM(EV90:EV93)</f>
        <v>-1.5880988796640307E-7</v>
      </c>
      <c r="EW94" s="919">
        <f ca="1">SUM(EW90:EW93)</f>
        <v>-1.5880988796640307E-7</v>
      </c>
      <c r="EX94" s="1051"/>
      <c r="EY94" s="919">
        <f ca="1">SUM(EY90:EY93)</f>
        <v>90.155197363837217</v>
      </c>
      <c r="EZ94" s="919">
        <f ca="1">SUM(EZ90:EZ93)</f>
        <v>10.278486145393311</v>
      </c>
      <c r="FA94" s="919" t="e">
        <f ca="1">SUM(FA90:FA93)</f>
        <v>#N/A</v>
      </c>
      <c r="FB94" s="1051"/>
      <c r="FC94" s="919">
        <f t="shared" ref="FC94:GB94" ca="1" si="295">SUM(FC90:FC93)</f>
        <v>12.114594912900056</v>
      </c>
      <c r="FD94" s="919">
        <f t="shared" ca="1" si="295"/>
        <v>8.0607649044670146E-2</v>
      </c>
      <c r="FE94" s="919">
        <f t="shared" ca="1" si="295"/>
        <v>0.29268284533290151</v>
      </c>
      <c r="FF94" s="919">
        <f t="shared" ca="1" si="295"/>
        <v>1.3242450190899377E-5</v>
      </c>
      <c r="FG94" s="919">
        <f t="shared" ca="1" si="295"/>
        <v>0</v>
      </c>
      <c r="FH94" s="919">
        <f t="shared" ca="1" si="295"/>
        <v>0</v>
      </c>
      <c r="FI94" s="919">
        <f t="shared" ca="1" si="295"/>
        <v>6.1592164484559481E-2</v>
      </c>
      <c r="FJ94" s="919">
        <f t="shared" ca="1" si="295"/>
        <v>0.27716474134351876</v>
      </c>
      <c r="FK94" s="919">
        <f t="shared" ca="1" si="295"/>
        <v>0.24812615381992786</v>
      </c>
      <c r="FL94" s="919">
        <f t="shared" ca="1" si="295"/>
        <v>2.3351443637467783E-3</v>
      </c>
      <c r="FM94" s="919" t="e">
        <f t="shared" ca="1" si="295"/>
        <v>#N/A</v>
      </c>
      <c r="FN94" s="919">
        <f t="shared" ca="1" si="295"/>
        <v>0</v>
      </c>
      <c r="FO94" s="919">
        <f t="shared" ca="1" si="295"/>
        <v>-2.074265245671649E-10</v>
      </c>
      <c r="FP94" s="919">
        <f t="shared" ca="1" si="295"/>
        <v>0</v>
      </c>
      <c r="FQ94" s="919">
        <f t="shared" ca="1" si="295"/>
        <v>4.5768694532298711E-2</v>
      </c>
      <c r="FR94" s="919">
        <f t="shared" ca="1" si="295"/>
        <v>0</v>
      </c>
      <c r="FS94" s="919">
        <f t="shared" ca="1" si="295"/>
        <v>-2.9133742977092614E-9</v>
      </c>
      <c r="FT94" s="919">
        <f t="shared" ca="1" si="295"/>
        <v>-1.7357883782747199E-9</v>
      </c>
      <c r="FU94" s="919" t="e">
        <f t="shared" ca="1" si="295"/>
        <v>#N/A</v>
      </c>
      <c r="FV94" s="919" t="e">
        <f t="shared" ca="1" si="295"/>
        <v>#N/A</v>
      </c>
      <c r="FW94" s="919">
        <f t="shared" ca="1" si="295"/>
        <v>-1.426208039161771E-8</v>
      </c>
      <c r="FX94" s="919">
        <f t="shared" ca="1" si="295"/>
        <v>1.3096249553521611</v>
      </c>
      <c r="FY94" s="919">
        <f t="shared" ca="1" si="295"/>
        <v>-2.5354831022583616E-8</v>
      </c>
      <c r="FZ94" s="919">
        <f t="shared" ca="1" si="295"/>
        <v>0</v>
      </c>
      <c r="GA94" s="919" t="e">
        <f t="shared" ca="1" si="295"/>
        <v>#N/A</v>
      </c>
      <c r="GB94" s="919">
        <f t="shared" ca="1" si="295"/>
        <v>85.559816526553888</v>
      </c>
      <c r="GC94" s="920"/>
      <c r="GD94" s="919">
        <f t="shared" ref="GD94:GN94" ca="1" si="296">SUM(GD90:GD93)</f>
        <v>-3.5225821318016385E-9</v>
      </c>
      <c r="GE94" s="919">
        <f t="shared" ca="1" si="296"/>
        <v>-1.4882410712725363E-10</v>
      </c>
      <c r="GF94" s="919">
        <f t="shared" ca="1" si="296"/>
        <v>6.432102471949229E-2</v>
      </c>
      <c r="GG94" s="919">
        <f t="shared" ca="1" si="296"/>
        <v>-2.1769049460052906E-9</v>
      </c>
      <c r="GH94" s="919" t="e">
        <f t="shared" ca="1" si="296"/>
        <v>#N/A</v>
      </c>
      <c r="GI94" s="919" t="e">
        <f t="shared" ca="1" si="296"/>
        <v>#N/A</v>
      </c>
      <c r="GJ94" s="919">
        <f t="shared" ca="1" si="296"/>
        <v>-1.510251404631284E-8</v>
      </c>
      <c r="GK94" s="919">
        <f t="shared" ca="1" si="296"/>
        <v>2.848202823806274</v>
      </c>
      <c r="GL94" s="919">
        <f t="shared" ca="1" si="296"/>
        <v>0</v>
      </c>
      <c r="GM94" s="919">
        <f t="shared" ca="1" si="296"/>
        <v>1.8818877049043805E-4</v>
      </c>
      <c r="GN94" s="919">
        <f t="shared" ca="1" si="296"/>
        <v>-1.5536819078453638E-8</v>
      </c>
      <c r="GO94" s="919" t="e">
        <f t="shared" ref="GO94" ca="1" si="297">SUM(GO90:GO93)</f>
        <v>#N/A</v>
      </c>
      <c r="GP94" s="915"/>
      <c r="GR94" s="946"/>
      <c r="GS94" s="946"/>
      <c r="GU94" s="946"/>
      <c r="GV94" s="946"/>
      <c r="GW94" s="946"/>
      <c r="GX94" s="1143"/>
      <c r="GY94" s="946"/>
    </row>
    <row r="95" spans="1:207" s="1143" customFormat="1" x14ac:dyDescent="0.3">
      <c r="A95" s="1465"/>
      <c r="E95" s="1002"/>
      <c r="F95" s="1144"/>
      <c r="G95" s="1144"/>
      <c r="H95" s="1144"/>
      <c r="I95" s="1144"/>
      <c r="J95" s="1144"/>
      <c r="K95" s="1144"/>
      <c r="L95" s="1144"/>
      <c r="M95" s="1144"/>
      <c r="N95" s="1144"/>
      <c r="O95" s="1144"/>
      <c r="P95" s="1144"/>
      <c r="Q95" s="1051"/>
      <c r="R95" s="1144"/>
      <c r="S95" s="1144"/>
      <c r="T95" s="1144"/>
      <c r="U95" s="1144"/>
      <c r="V95" s="1144"/>
      <c r="W95" s="1144"/>
      <c r="X95" s="1144"/>
      <c r="Y95" s="1144"/>
      <c r="Z95" s="1144"/>
      <c r="AA95" s="1144"/>
      <c r="AB95" s="1051"/>
      <c r="AC95" s="1144"/>
      <c r="AD95" s="1144"/>
      <c r="AE95" s="1144"/>
      <c r="AF95" s="1144"/>
      <c r="AG95" s="1144"/>
      <c r="AH95" s="1144"/>
      <c r="AI95" s="1144"/>
      <c r="AJ95" s="1144"/>
      <c r="AK95" s="1144"/>
      <c r="AL95" s="1144"/>
      <c r="AM95" s="1144"/>
      <c r="AN95" s="1144"/>
      <c r="AO95" s="1051"/>
      <c r="AP95" s="1144"/>
      <c r="AQ95" s="1144"/>
      <c r="AR95" s="1144"/>
      <c r="AS95" s="1144"/>
      <c r="AT95" s="1144"/>
      <c r="AU95" s="1144"/>
      <c r="AV95" s="1144"/>
      <c r="AW95" s="1144"/>
      <c r="AX95" s="1144"/>
      <c r="AY95" s="1144"/>
      <c r="AZ95" s="1144"/>
      <c r="BA95" s="1144"/>
      <c r="BB95" s="1144"/>
      <c r="BC95" s="1144"/>
      <c r="BD95" s="1051"/>
      <c r="BE95" s="1144"/>
      <c r="BF95" s="1144"/>
      <c r="BG95" s="1144"/>
      <c r="BH95" s="1144"/>
      <c r="BI95" s="1144"/>
      <c r="BJ95" s="1144"/>
      <c r="BK95" s="1144"/>
      <c r="BL95" s="1144"/>
      <c r="BM95" s="1144"/>
      <c r="BN95" s="1144"/>
      <c r="BO95" s="1144"/>
      <c r="BP95" s="1051"/>
      <c r="BQ95" s="1144"/>
      <c r="BR95" s="1144"/>
      <c r="BS95" s="1144"/>
      <c r="BT95" s="1144"/>
      <c r="BU95" s="1144"/>
      <c r="BV95" s="1144"/>
      <c r="BW95" s="1144"/>
      <c r="BX95" s="1051"/>
      <c r="BY95" s="1144"/>
      <c r="BZ95" s="1144"/>
      <c r="CA95" s="1144"/>
      <c r="CB95" s="1144"/>
      <c r="CC95" s="1144"/>
      <c r="CD95" s="1144"/>
      <c r="CE95" s="1144"/>
      <c r="CF95" s="1144"/>
      <c r="CG95" s="1051"/>
      <c r="CH95" s="1144"/>
      <c r="CI95" s="1144"/>
      <c r="CJ95" s="1144"/>
      <c r="CK95" s="1144"/>
      <c r="CL95" s="1144"/>
      <c r="CM95" s="1051"/>
      <c r="CN95" s="1144"/>
      <c r="CO95" s="1144"/>
      <c r="CP95" s="1144"/>
      <c r="CQ95" s="1144"/>
      <c r="CR95" s="1144"/>
      <c r="CS95" s="1144"/>
      <c r="CT95" s="1051"/>
      <c r="CU95" s="1144"/>
      <c r="CV95" s="1144"/>
      <c r="CW95" s="1144"/>
      <c r="CX95" s="1144"/>
      <c r="CY95" s="1144"/>
      <c r="CZ95" s="1144"/>
      <c r="DA95" s="1144"/>
      <c r="DB95" s="1144"/>
      <c r="DC95" s="1144"/>
      <c r="DD95" s="1144"/>
      <c r="DE95" s="1144"/>
      <c r="DF95" s="1144"/>
      <c r="DG95" s="1144"/>
      <c r="DH95" s="1144"/>
      <c r="DI95" s="1051"/>
      <c r="DJ95" s="1144"/>
      <c r="DK95" s="1144"/>
      <c r="DL95" s="1144"/>
      <c r="DM95" s="1144"/>
      <c r="DN95" s="1144"/>
      <c r="DO95" s="1144"/>
      <c r="DP95" s="1144"/>
      <c r="DQ95" s="1051"/>
      <c r="DR95" s="1144"/>
      <c r="DS95" s="1144"/>
      <c r="DT95" s="1144"/>
      <c r="DU95" s="1144"/>
      <c r="DV95" s="920"/>
      <c r="DW95" s="1051"/>
      <c r="DX95" s="1144"/>
      <c r="DY95" s="1144"/>
      <c r="DZ95" s="1144"/>
      <c r="EA95" s="1144"/>
      <c r="EB95" s="920"/>
      <c r="EC95" s="1051"/>
      <c r="ED95" s="1144"/>
      <c r="EE95" s="1144"/>
      <c r="EF95" s="1144"/>
      <c r="EG95" s="1144"/>
      <c r="EH95" s="920"/>
      <c r="EI95" s="1051"/>
      <c r="EJ95" s="1144"/>
      <c r="EK95" s="1144"/>
      <c r="EL95" s="1144"/>
      <c r="EM95" s="1144"/>
      <c r="EN95" s="920"/>
      <c r="EO95" s="1051"/>
      <c r="EP95" s="1144"/>
      <c r="EQ95" s="1144"/>
      <c r="ER95" s="1144"/>
      <c r="ES95" s="1144"/>
      <c r="ET95" s="920"/>
      <c r="EU95" s="1051"/>
      <c r="EV95" s="1144"/>
      <c r="EW95" s="1144"/>
      <c r="EX95" s="1051"/>
      <c r="EY95" s="1144"/>
      <c r="EZ95" s="1144"/>
      <c r="FA95" s="1144"/>
      <c r="FB95" s="1051"/>
      <c r="FC95" s="1144"/>
      <c r="FD95" s="1144"/>
      <c r="FE95" s="1144"/>
      <c r="FF95" s="1144"/>
      <c r="FG95" s="1144"/>
      <c r="FH95" s="1144"/>
      <c r="FI95" s="1144"/>
      <c r="FJ95" s="1144"/>
      <c r="FK95" s="1144"/>
      <c r="FL95" s="1144"/>
      <c r="FM95" s="1144"/>
      <c r="FN95" s="1144"/>
      <c r="FO95" s="1144"/>
      <c r="FP95" s="1144"/>
      <c r="FQ95" s="1144"/>
      <c r="FR95" s="1144"/>
      <c r="FS95" s="1144"/>
      <c r="FT95" s="1144"/>
      <c r="FU95" s="1144"/>
      <c r="FV95" s="1144"/>
      <c r="FW95" s="1144"/>
      <c r="FX95" s="1144"/>
      <c r="FY95" s="1144"/>
      <c r="FZ95" s="1144"/>
      <c r="GA95" s="1144"/>
      <c r="GB95" s="1144"/>
      <c r="GC95" s="920"/>
      <c r="GD95" s="1144"/>
      <c r="GE95" s="1144"/>
      <c r="GF95" s="1144"/>
      <c r="GG95" s="1144"/>
      <c r="GH95" s="1144"/>
      <c r="GI95" s="1144"/>
      <c r="GJ95" s="1144"/>
      <c r="GK95" s="1144"/>
      <c r="GL95" s="1144"/>
      <c r="GM95" s="1144"/>
      <c r="GN95" s="1144"/>
      <c r="GO95" s="1144"/>
      <c r="GP95" s="915"/>
      <c r="GR95" s="946"/>
      <c r="GS95" s="946"/>
      <c r="GU95" s="946"/>
      <c r="GV95" s="946"/>
      <c r="GW95" s="946"/>
      <c r="GY95" s="946"/>
    </row>
    <row r="96" spans="1:207" s="1143" customFormat="1" x14ac:dyDescent="0.3">
      <c r="A96" s="1465" t="s">
        <v>3332</v>
      </c>
      <c r="B96" s="1143">
        <v>164</v>
      </c>
      <c r="E96" s="1002" t="s">
        <v>2947</v>
      </c>
      <c r="F96" s="936">
        <f t="shared" ref="F96:P97" ca="1" si="298">(VLOOKUP(F$8,INDIRECT(LU_MAT),$B96,FALSE)*3600)</f>
        <v>429.08315843266524</v>
      </c>
      <c r="G96" s="936">
        <f t="shared" ca="1" si="298"/>
        <v>9.8117285384938278</v>
      </c>
      <c r="H96" s="936">
        <f t="shared" ca="1" si="298"/>
        <v>0</v>
      </c>
      <c r="I96" s="936">
        <f t="shared" ca="1" si="298"/>
        <v>0</v>
      </c>
      <c r="J96" s="936">
        <f t="shared" ca="1" si="298"/>
        <v>0</v>
      </c>
      <c r="K96" s="936">
        <f t="shared" ca="1" si="298"/>
        <v>0</v>
      </c>
      <c r="L96" s="936">
        <f t="shared" ca="1" si="298"/>
        <v>0</v>
      </c>
      <c r="M96" s="936">
        <f t="shared" ca="1" si="298"/>
        <v>0</v>
      </c>
      <c r="N96" s="936">
        <f t="shared" ca="1" si="298"/>
        <v>0</v>
      </c>
      <c r="O96" s="936">
        <f t="shared" ca="1" si="298"/>
        <v>19.599035356792282</v>
      </c>
      <c r="P96" s="936">
        <f t="shared" ca="1" si="298"/>
        <v>1335.6759606854077</v>
      </c>
      <c r="Q96" s="1051"/>
      <c r="R96" s="936">
        <f t="shared" ref="R96:AA97" ca="1" si="299">(VLOOKUP(R$8,INDIRECT(LU_MAT),$B96,FALSE)*3600)</f>
        <v>1335.6759606854077</v>
      </c>
      <c r="S96" s="936">
        <f t="shared" ca="1" si="299"/>
        <v>2.2264548078116384</v>
      </c>
      <c r="T96" s="936">
        <f t="shared" ca="1" si="299"/>
        <v>0</v>
      </c>
      <c r="U96" s="936">
        <f t="shared" ca="1" si="299"/>
        <v>1.7374525138996202</v>
      </c>
      <c r="V96" s="936">
        <f t="shared" ca="1" si="299"/>
        <v>0</v>
      </c>
      <c r="W96" s="936">
        <f t="shared" ca="1" si="299"/>
        <v>7.8185363125482912</v>
      </c>
      <c r="X96" s="936">
        <f t="shared" ca="1" si="299"/>
        <v>19.173947453391577</v>
      </c>
      <c r="Y96" s="936">
        <f t="shared" ca="1" si="299"/>
        <v>1778.5174242281394</v>
      </c>
      <c r="Z96" s="936">
        <f t="shared" ca="1" si="299"/>
        <v>430.80985744647887</v>
      </c>
      <c r="AA96" s="936">
        <f t="shared" ca="1" si="299"/>
        <v>44.16851765334814</v>
      </c>
      <c r="AB96" s="1051"/>
      <c r="AC96" s="936">
        <f t="shared" ref="AC96:AN97" ca="1" si="300">(VLOOKUP(AC$8,INDIRECT(LU_MAT),$B96,FALSE)*3600)</f>
        <v>6.479002571832021E-2</v>
      </c>
      <c r="AD96" s="936">
        <f t="shared" ca="1" si="300"/>
        <v>0</v>
      </c>
      <c r="AE96" s="936">
        <f t="shared" ca="1" si="300"/>
        <v>80.528303244226436</v>
      </c>
      <c r="AF96" s="936">
        <f t="shared" ca="1" si="300"/>
        <v>3.5341916582735333</v>
      </c>
      <c r="AG96" s="936">
        <f t="shared" ca="1" si="300"/>
        <v>0</v>
      </c>
      <c r="AH96" s="936">
        <f t="shared" ca="1" si="300"/>
        <v>0</v>
      </c>
      <c r="AI96" s="936">
        <f t="shared" ca="1" si="300"/>
        <v>0.85119865280958917</v>
      </c>
      <c r="AJ96" s="936">
        <f t="shared" ca="1" si="300"/>
        <v>0</v>
      </c>
      <c r="AK96" s="936">
        <f t="shared" ca="1" si="300"/>
        <v>0</v>
      </c>
      <c r="AL96" s="936">
        <f t="shared" ca="1" si="300"/>
        <v>2.2264548078116384</v>
      </c>
      <c r="AM96" s="936">
        <f t="shared" ca="1" si="300"/>
        <v>2.1606615172852921</v>
      </c>
      <c r="AN96" s="936">
        <f t="shared" ca="1" si="300"/>
        <v>51.969977015759824</v>
      </c>
      <c r="AO96" s="1051"/>
      <c r="AP96" s="936">
        <f t="shared" ref="AP96:BC97" ca="1" si="301">(VLOOKUP(AP$8,INDIRECT(LU_MAT),$B96,FALSE)*3600)</f>
        <v>1778.5174242281394</v>
      </c>
      <c r="AQ96" s="936">
        <f t="shared" ca="1" si="301"/>
        <v>44.16851765334814</v>
      </c>
      <c r="AR96" s="936">
        <f t="shared" ca="1" si="301"/>
        <v>430.80985744647887</v>
      </c>
      <c r="AS96" s="936">
        <f t="shared" ca="1" si="301"/>
        <v>0</v>
      </c>
      <c r="AT96" s="936">
        <f t="shared" ca="1" si="301"/>
        <v>0</v>
      </c>
      <c r="AU96" s="936">
        <f t="shared" ca="1" si="301"/>
        <v>0</v>
      </c>
      <c r="AV96" s="936">
        <f t="shared" ca="1" si="301"/>
        <v>470.52020176416164</v>
      </c>
      <c r="AW96" s="936">
        <f t="shared" ca="1" si="301"/>
        <v>19.173947453391577</v>
      </c>
      <c r="AX96" s="936">
        <f t="shared" ca="1" si="301"/>
        <v>941.47684953181488</v>
      </c>
      <c r="AY96" s="936">
        <f t="shared" ca="1" si="301"/>
        <v>9.8117285384938278</v>
      </c>
      <c r="AZ96" s="936">
        <f t="shared" ca="1" si="301"/>
        <v>0</v>
      </c>
      <c r="BA96" s="936">
        <f t="shared" ca="1" si="301"/>
        <v>782.26190925809522</v>
      </c>
      <c r="BB96" s="936">
        <f t="shared" ca="1" si="301"/>
        <v>30.166175241329405</v>
      </c>
      <c r="BC96" s="936">
        <f t="shared" ca="1" si="301"/>
        <v>8.4966891979735129E-2</v>
      </c>
      <c r="BD96" s="1051"/>
      <c r="BE96" s="936">
        <f t="shared" ref="BE96:BO97" ca="1" si="302">(VLOOKUP(BE$8,INDIRECT(LU_MAT),$B96,FALSE)*3600)</f>
        <v>1778.5174242281394</v>
      </c>
      <c r="BF96" s="936">
        <f t="shared" ca="1" si="302"/>
        <v>44.16851765334814</v>
      </c>
      <c r="BG96" s="936">
        <f t="shared" ca="1" si="302"/>
        <v>430.80985744647887</v>
      </c>
      <c r="BH96" s="936">
        <f t="shared" ca="1" si="302"/>
        <v>0</v>
      </c>
      <c r="BI96" s="936">
        <f t="shared" ca="1" si="302"/>
        <v>0</v>
      </c>
      <c r="BJ96" s="936">
        <f t="shared" ca="1" si="302"/>
        <v>470.52020176416164</v>
      </c>
      <c r="BK96" s="936">
        <f t="shared" ca="1" si="302"/>
        <v>19.173947453391577</v>
      </c>
      <c r="BL96" s="936">
        <f t="shared" ca="1" si="302"/>
        <v>941.47684953181488</v>
      </c>
      <c r="BM96" s="936">
        <f t="shared" ca="1" si="302"/>
        <v>812.51305150010444</v>
      </c>
      <c r="BN96" s="936">
        <f t="shared" ca="1" si="302"/>
        <v>0</v>
      </c>
      <c r="BO96" s="936">
        <f t="shared" ca="1" si="302"/>
        <v>9.8117285384938278</v>
      </c>
      <c r="BP96" s="1051"/>
      <c r="BQ96" s="936">
        <f t="shared" ref="BQ96:BW97" ca="1" si="303">(VLOOKUP(BQ$8,INDIRECT(LU_MAT),$B96,FALSE)*3600)</f>
        <v>0</v>
      </c>
      <c r="BR96" s="936">
        <f t="shared" ca="1" si="303"/>
        <v>812.51305150010444</v>
      </c>
      <c r="BS96" s="936">
        <f t="shared" ca="1" si="303"/>
        <v>0</v>
      </c>
      <c r="BT96" s="936">
        <f t="shared" ca="1" si="303"/>
        <v>782.26190925809522</v>
      </c>
      <c r="BU96" s="936">
        <f t="shared" ca="1" si="303"/>
        <v>8.4966891979735129E-2</v>
      </c>
      <c r="BV96" s="936">
        <f t="shared" ca="1" si="303"/>
        <v>30.166175241329405</v>
      </c>
      <c r="BW96" s="936">
        <f t="shared" ca="1" si="303"/>
        <v>0</v>
      </c>
      <c r="BX96" s="1051"/>
      <c r="BY96" s="936">
        <f t="shared" ref="BY96:CF97" ca="1" si="304">(VLOOKUP(BY$8,INDIRECT(LU_MAT),$B96,FALSE)*3600)</f>
        <v>30.166175241329405</v>
      </c>
      <c r="BZ96" s="936">
        <f t="shared" ca="1" si="304"/>
        <v>8.4966891979735129E-2</v>
      </c>
      <c r="CA96" s="936">
        <f t="shared" ca="1" si="304"/>
        <v>0</v>
      </c>
      <c r="CB96" s="936">
        <f t="shared" ca="1" si="304"/>
        <v>0.56267909350143275</v>
      </c>
      <c r="CC96" s="936">
        <f t="shared" ca="1" si="304"/>
        <v>659.55447327643583</v>
      </c>
      <c r="CD96" s="936">
        <f t="shared" ca="1" si="304"/>
        <v>0</v>
      </c>
      <c r="CE96" s="936">
        <f t="shared" ca="1" si="304"/>
        <v>0</v>
      </c>
      <c r="CF96" s="936">
        <f t="shared" ca="1" si="304"/>
        <v>1669.9556033596448</v>
      </c>
      <c r="CG96" s="1051"/>
      <c r="CH96" s="936">
        <f t="shared" ref="CH96:CL97" ca="1" si="305">(VLOOKUP(CH$8,INDIRECT(LU_MAT),$B96,FALSE)*3600)</f>
        <v>659.63944027711557</v>
      </c>
      <c r="CI96" s="936">
        <f t="shared" ca="1" si="305"/>
        <v>30.728854345830836</v>
      </c>
      <c r="CJ96" s="936">
        <f t="shared" ca="1" si="305"/>
        <v>1669.9556033596448</v>
      </c>
      <c r="CK96" s="936" t="e">
        <f t="shared" ca="1" si="305"/>
        <v>#N/A</v>
      </c>
      <c r="CL96" s="936" t="e">
        <f t="shared" ca="1" si="305"/>
        <v>#N/A</v>
      </c>
      <c r="CM96" s="1051"/>
      <c r="CN96" s="936">
        <f t="shared" ref="CN96:CS97" ca="1" si="306">(VLOOKUP(CN$8,INDIRECT(LU_MAT),$B96,FALSE)*3600)</f>
        <v>0</v>
      </c>
      <c r="CO96" s="936" t="e">
        <f t="shared" ca="1" si="306"/>
        <v>#N/A</v>
      </c>
      <c r="CP96" s="936">
        <f t="shared" ca="1" si="306"/>
        <v>0</v>
      </c>
      <c r="CQ96" s="936">
        <f t="shared" ca="1" si="306"/>
        <v>0</v>
      </c>
      <c r="CR96" s="936">
        <f t="shared" ca="1" si="306"/>
        <v>0</v>
      </c>
      <c r="CS96" s="936">
        <f t="shared" ca="1" si="306"/>
        <v>0</v>
      </c>
      <c r="CT96" s="1051"/>
      <c r="CU96" s="936">
        <f t="shared" ref="CU96:DH97" ca="1" si="307">(VLOOKUP(CU$8,INDIRECT(LU_MAT),$B96,FALSE)*3600)</f>
        <v>19.599035356792282</v>
      </c>
      <c r="CV96" s="936">
        <f t="shared" ca="1" si="307"/>
        <v>0</v>
      </c>
      <c r="CW96" s="936">
        <f t="shared" ca="1" si="307"/>
        <v>0</v>
      </c>
      <c r="CX96" s="936">
        <f t="shared" ca="1" si="307"/>
        <v>782.26190925809522</v>
      </c>
      <c r="CY96" s="936">
        <f t="shared" ca="1" si="307"/>
        <v>0</v>
      </c>
      <c r="CZ96" s="936" t="e">
        <f t="shared" ca="1" si="307"/>
        <v>#N/A</v>
      </c>
      <c r="DA96" s="936" t="e">
        <f t="shared" ca="1" si="307"/>
        <v>#N/A</v>
      </c>
      <c r="DB96" s="936">
        <f t="shared" ca="1" si="307"/>
        <v>0</v>
      </c>
      <c r="DC96" s="936">
        <f t="shared" ca="1" si="307"/>
        <v>0</v>
      </c>
      <c r="DD96" s="936">
        <f t="shared" ca="1" si="307"/>
        <v>659.55447327643583</v>
      </c>
      <c r="DE96" s="936">
        <f t="shared" ca="1" si="307"/>
        <v>87.834635902677078</v>
      </c>
      <c r="DF96" s="936">
        <f t="shared" ca="1" si="307"/>
        <v>0</v>
      </c>
      <c r="DG96" s="936">
        <f t="shared" ca="1" si="307"/>
        <v>3.857385550859084</v>
      </c>
      <c r="DH96" s="936">
        <f t="shared" ca="1" si="307"/>
        <v>0.56267909350143275</v>
      </c>
      <c r="DI96" s="1051"/>
      <c r="DJ96" s="936">
        <f t="shared" ref="DJ96:DP97" ca="1" si="308">(VLOOKUP(DJ$8,INDIRECT(LU_MAT),$B96,FALSE)*3600)</f>
        <v>21.867063574936505</v>
      </c>
      <c r="DK96" s="936">
        <f t="shared" ca="1" si="308"/>
        <v>106.82054785456438</v>
      </c>
      <c r="DL96" s="936">
        <f t="shared" ca="1" si="308"/>
        <v>0</v>
      </c>
      <c r="DM96" s="936">
        <f t="shared" ca="1" si="308"/>
        <v>0</v>
      </c>
      <c r="DN96" s="936" t="e">
        <f t="shared" ca="1" si="308"/>
        <v>#N/A</v>
      </c>
      <c r="DO96" s="936">
        <f t="shared" ca="1" si="308"/>
        <v>114.54283691634269</v>
      </c>
      <c r="DP96" s="936" t="e">
        <f t="shared" ca="1" si="308"/>
        <v>#N/A</v>
      </c>
      <c r="DQ96" s="1051"/>
      <c r="DR96" s="936">
        <f t="shared" ref="DR96:DV97" ca="1" si="309">(VLOOKUP(DR$8,INDIRECT(LU_MAT),$B96,FALSE)*3600)</f>
        <v>664.0345803122766</v>
      </c>
      <c r="DS96" s="936">
        <f t="shared" ca="1" si="309"/>
        <v>0</v>
      </c>
      <c r="DT96" s="936">
        <f t="shared" ca="1" si="309"/>
        <v>664.0345803122766</v>
      </c>
      <c r="DU96" s="936" t="e">
        <f t="shared" ca="1" si="309"/>
        <v>#N/A</v>
      </c>
      <c r="DV96" s="936" t="e">
        <f t="shared" ca="1" si="309"/>
        <v>#N/A</v>
      </c>
      <c r="DW96" s="1051"/>
      <c r="DX96" s="936">
        <f t="shared" ref="DX96:EB97" ca="1" si="310">(VLOOKUP(DX$8,INDIRECT(LU_MAT),$B96,FALSE)*3600)</f>
        <v>664.0345803122766</v>
      </c>
      <c r="DY96" s="936">
        <f t="shared" ca="1" si="310"/>
        <v>0</v>
      </c>
      <c r="DZ96" s="936">
        <f t="shared" ca="1" si="310"/>
        <v>664.0345803122766</v>
      </c>
      <c r="EA96" s="936" t="e">
        <f t="shared" ca="1" si="310"/>
        <v>#N/A</v>
      </c>
      <c r="EB96" s="936" t="e">
        <f t="shared" ca="1" si="310"/>
        <v>#N/A</v>
      </c>
      <c r="EC96" s="1051"/>
      <c r="ED96" s="936">
        <f t="shared" ref="ED96:EH97" ca="1" si="311">(VLOOKUP(ED$8,INDIRECT(LU_MAT),$B96,FALSE)*3600)</f>
        <v>35.907003187256024</v>
      </c>
      <c r="EE96" s="936">
        <f t="shared" ca="1" si="311"/>
        <v>0</v>
      </c>
      <c r="EF96" s="936" t="e">
        <f t="shared" ca="1" si="311"/>
        <v>#N/A</v>
      </c>
      <c r="EG96" s="936" t="e">
        <f t="shared" ca="1" si="311"/>
        <v>#N/A</v>
      </c>
      <c r="EH96" s="936" t="e">
        <f t="shared" ca="1" si="311"/>
        <v>#N/A</v>
      </c>
      <c r="EI96" s="1051"/>
      <c r="EJ96" s="936">
        <f t="shared" ref="EJ96:EN97" ca="1" si="312">(VLOOKUP(EJ$8,INDIRECT(LU_MAT),$B96,FALSE)*3600)</f>
        <v>0</v>
      </c>
      <c r="EK96" s="936">
        <f t="shared" ca="1" si="312"/>
        <v>0</v>
      </c>
      <c r="EL96" s="936">
        <f t="shared" ca="1" si="312"/>
        <v>0</v>
      </c>
      <c r="EM96" s="936">
        <f t="shared" ca="1" si="312"/>
        <v>0</v>
      </c>
      <c r="EN96" s="936" t="e">
        <f t="shared" ca="1" si="312"/>
        <v>#N/A</v>
      </c>
      <c r="EO96" s="1051"/>
      <c r="EP96" s="936">
        <f t="shared" ref="EP96:ET97" ca="1" si="313">(VLOOKUP(EP$8,INDIRECT(LU_MAT),$B96,FALSE)*3600)</f>
        <v>3.9300165714401323</v>
      </c>
      <c r="EQ96" s="936">
        <f t="shared" ca="1" si="313"/>
        <v>3.857385550859084</v>
      </c>
      <c r="ER96" s="936">
        <f t="shared" ca="1" si="313"/>
        <v>0</v>
      </c>
      <c r="ES96" s="936">
        <f t="shared" ca="1" si="313"/>
        <v>7.2631017781048135E-2</v>
      </c>
      <c r="ET96" s="936" t="e">
        <f t="shared" ca="1" si="313"/>
        <v>#N/A</v>
      </c>
      <c r="EU96" s="1051"/>
      <c r="EV96" s="936">
        <f ca="1">(VLOOKUP(EV$8,INDIRECT(LU_MAT),$B96,FALSE)*3600)</f>
        <v>0</v>
      </c>
      <c r="EW96" s="936">
        <f ca="1">(VLOOKUP(EW$8,INDIRECT(LU_MAT),$B96,FALSE)*3600)</f>
        <v>0</v>
      </c>
      <c r="EX96" s="1051"/>
      <c r="EY96" s="936">
        <f t="shared" ref="EY96:FA97" ca="1" si="314">(VLOOKUP(EY$8,INDIRECT(LU_MAT),$B96,FALSE)*3600)</f>
        <v>0</v>
      </c>
      <c r="EZ96" s="936">
        <f t="shared" ca="1" si="314"/>
        <v>0</v>
      </c>
      <c r="FA96" s="936" t="e">
        <f t="shared" ca="1" si="314"/>
        <v>#N/A</v>
      </c>
      <c r="FB96" s="1051"/>
      <c r="FC96" s="936">
        <f t="shared" ref="FC96:FL97" ca="1" si="315">(VLOOKUP(FC$8,INDIRECT(LU_MAT),$B96,FALSE)*3600)</f>
        <v>429.08315843266524</v>
      </c>
      <c r="FD96" s="936">
        <f t="shared" ca="1" si="315"/>
        <v>0</v>
      </c>
      <c r="FE96" s="936">
        <f t="shared" ca="1" si="315"/>
        <v>0</v>
      </c>
      <c r="FF96" s="936">
        <f t="shared" ca="1" si="315"/>
        <v>0</v>
      </c>
      <c r="FG96" s="936">
        <f t="shared" ca="1" si="315"/>
        <v>0</v>
      </c>
      <c r="FH96" s="936">
        <f t="shared" ca="1" si="315"/>
        <v>0</v>
      </c>
      <c r="FI96" s="936">
        <f t="shared" ca="1" si="315"/>
        <v>1.7374525138996202</v>
      </c>
      <c r="FJ96" s="936">
        <f t="shared" ca="1" si="315"/>
        <v>7.8185363125482912</v>
      </c>
      <c r="FK96" s="936">
        <f t="shared" ca="1" si="315"/>
        <v>80.528303244226436</v>
      </c>
      <c r="FL96" s="936">
        <f t="shared" ca="1" si="315"/>
        <v>6.479002571832021E-2</v>
      </c>
      <c r="FM96" s="936" t="e">
        <f t="shared" ref="FM96:FV97" ca="1" si="316">(VLOOKUP(FM$8,INDIRECT(LU_MAT),$B96,FALSE)*3600)</f>
        <v>#N/A</v>
      </c>
      <c r="FN96" s="936">
        <f t="shared" ca="1" si="316"/>
        <v>2.2431031879448255</v>
      </c>
      <c r="FO96" s="936">
        <f t="shared" ca="1" si="316"/>
        <v>0</v>
      </c>
      <c r="FP96" s="936">
        <f t="shared" ca="1" si="316"/>
        <v>0</v>
      </c>
      <c r="FQ96" s="936">
        <f t="shared" ca="1" si="316"/>
        <v>1.2910884603287076</v>
      </c>
      <c r="FR96" s="936">
        <f t="shared" ca="1" si="316"/>
        <v>0.85119865280958917</v>
      </c>
      <c r="FS96" s="936">
        <f t="shared" ca="1" si="316"/>
        <v>0</v>
      </c>
      <c r="FT96" s="936">
        <f t="shared" ca="1" si="316"/>
        <v>0</v>
      </c>
      <c r="FU96" s="936" t="e">
        <f t="shared" ca="1" si="316"/>
        <v>#N/A</v>
      </c>
      <c r="FV96" s="936" t="e">
        <f t="shared" ca="1" si="316"/>
        <v>#N/A</v>
      </c>
      <c r="FW96" s="936">
        <f t="shared" ref="FW96:GF97" ca="1" si="317">(VLOOKUP(FW$8,INDIRECT(LU_MAT),$B96,FALSE)*3600)</f>
        <v>0</v>
      </c>
      <c r="FX96" s="936">
        <f t="shared" ca="1" si="317"/>
        <v>0</v>
      </c>
      <c r="FY96" s="936">
        <f t="shared" ca="1" si="317"/>
        <v>0</v>
      </c>
      <c r="FZ96" s="936">
        <f t="shared" ca="1" si="317"/>
        <v>0</v>
      </c>
      <c r="GA96" s="936" t="e">
        <f t="shared" ca="1" si="317"/>
        <v>#N/A</v>
      </c>
      <c r="GB96" s="936">
        <f t="shared" ca="1" si="317"/>
        <v>0</v>
      </c>
      <c r="GC96" s="936"/>
      <c r="GD96" s="936">
        <f t="shared" ca="1" si="317"/>
        <v>51.969977015759824</v>
      </c>
      <c r="GE96" s="936">
        <f t="shared" ca="1" si="317"/>
        <v>2.1606615172852921</v>
      </c>
      <c r="GF96" s="936">
        <f t="shared" ca="1" si="317"/>
        <v>941.47684953181488</v>
      </c>
      <c r="GG96" s="936">
        <f t="shared" ref="GG96:GO97" ca="1" si="318">(VLOOKUP(GG$8,INDIRECT(LU_MAT),$B96,FALSE)*3600)</f>
        <v>470.52020176416164</v>
      </c>
      <c r="GH96" s="936" t="e">
        <f t="shared" ca="1" si="318"/>
        <v>#N/A</v>
      </c>
      <c r="GI96" s="936" t="e">
        <f t="shared" ca="1" si="318"/>
        <v>#N/A</v>
      </c>
      <c r="GJ96" s="936">
        <f t="shared" ca="1" si="318"/>
        <v>87.834635902677078</v>
      </c>
      <c r="GK96" s="936">
        <f t="shared" ca="1" si="318"/>
        <v>3.857385550859084</v>
      </c>
      <c r="GL96" s="936">
        <f t="shared" ca="1" si="318"/>
        <v>0</v>
      </c>
      <c r="GM96" s="936">
        <f t="shared" ca="1" si="318"/>
        <v>1669.9556033596448</v>
      </c>
      <c r="GN96" s="936">
        <f t="shared" ca="1" si="318"/>
        <v>0</v>
      </c>
      <c r="GO96" s="936" t="e">
        <f t="shared" ca="1" si="318"/>
        <v>#N/A</v>
      </c>
      <c r="GP96" s="915"/>
      <c r="GR96" s="946"/>
      <c r="GS96" s="946"/>
      <c r="GU96" s="946"/>
      <c r="GV96" s="946"/>
      <c r="GW96" s="946"/>
      <c r="GY96" s="946"/>
    </row>
    <row r="97" spans="1:207" s="1143" customFormat="1" x14ac:dyDescent="0.3">
      <c r="A97" s="1465" t="s">
        <v>3333</v>
      </c>
      <c r="B97" s="1143">
        <v>227</v>
      </c>
      <c r="E97" s="1002" t="s">
        <v>2947</v>
      </c>
      <c r="F97" s="936">
        <f t="shared" ca="1" si="298"/>
        <v>2688.0019215040156</v>
      </c>
      <c r="G97" s="936">
        <f t="shared" ca="1" si="298"/>
        <v>0</v>
      </c>
      <c r="H97" s="936">
        <f t="shared" ca="1" si="298"/>
        <v>0</v>
      </c>
      <c r="I97" s="936">
        <f t="shared" ca="1" si="298"/>
        <v>0</v>
      </c>
      <c r="J97" s="936">
        <f t="shared" ca="1" si="298"/>
        <v>0</v>
      </c>
      <c r="K97" s="936">
        <f t="shared" ca="1" si="298"/>
        <v>0</v>
      </c>
      <c r="L97" s="936">
        <f t="shared" ca="1" si="298"/>
        <v>0</v>
      </c>
      <c r="M97" s="936">
        <f t="shared" ca="1" si="298"/>
        <v>0</v>
      </c>
      <c r="N97" s="936">
        <f t="shared" ca="1" si="298"/>
        <v>0</v>
      </c>
      <c r="O97" s="936">
        <f t="shared" ca="1" si="298"/>
        <v>0</v>
      </c>
      <c r="P97" s="936">
        <f t="shared" ca="1" si="298"/>
        <v>1771.6218141729744</v>
      </c>
      <c r="Q97" s="1051"/>
      <c r="R97" s="936">
        <f t="shared" ca="1" si="299"/>
        <v>1771.6218141729744</v>
      </c>
      <c r="S97" s="936">
        <f t="shared" ca="1" si="299"/>
        <v>30.42177384337419</v>
      </c>
      <c r="T97" s="936">
        <f t="shared" ca="1" si="299"/>
        <v>0</v>
      </c>
      <c r="U97" s="936">
        <f t="shared" ca="1" si="299"/>
        <v>2.3072294484578353</v>
      </c>
      <c r="V97" s="936">
        <f t="shared" ca="1" si="299"/>
        <v>0</v>
      </c>
      <c r="W97" s="936">
        <f t="shared" ca="1" si="299"/>
        <v>10.382532483060261</v>
      </c>
      <c r="X97" s="936">
        <f t="shared" ca="1" si="299"/>
        <v>0</v>
      </c>
      <c r="Y97" s="936">
        <f t="shared" ca="1" si="299"/>
        <v>925.77411440619289</v>
      </c>
      <c r="Z97" s="936">
        <f t="shared" ca="1" si="299"/>
        <v>0</v>
      </c>
      <c r="AA97" s="936">
        <f t="shared" ca="1" si="299"/>
        <v>0</v>
      </c>
      <c r="AB97" s="1051"/>
      <c r="AC97" s="936">
        <f t="shared" ca="1" si="300"/>
        <v>8.6037145688297165E-2</v>
      </c>
      <c r="AD97" s="936">
        <f t="shared" ca="1" si="300"/>
        <v>0</v>
      </c>
      <c r="AE97" s="936">
        <f t="shared" ca="1" si="300"/>
        <v>0</v>
      </c>
      <c r="AF97" s="936">
        <f t="shared" ca="1" si="300"/>
        <v>1.7144856037158849</v>
      </c>
      <c r="AG97" s="936">
        <f t="shared" ca="1" si="300"/>
        <v>0</v>
      </c>
      <c r="AH97" s="936">
        <f t="shared" ca="1" si="300"/>
        <v>0</v>
      </c>
      <c r="AI97" s="936">
        <f t="shared" ca="1" si="300"/>
        <v>0</v>
      </c>
      <c r="AJ97" s="936">
        <f t="shared" ca="1" si="300"/>
        <v>0</v>
      </c>
      <c r="AK97" s="936">
        <f t="shared" ca="1" si="300"/>
        <v>0</v>
      </c>
      <c r="AL97" s="936">
        <f t="shared" ca="1" si="300"/>
        <v>30.42177384337419</v>
      </c>
      <c r="AM97" s="936">
        <f t="shared" ca="1" si="300"/>
        <v>0</v>
      </c>
      <c r="AN97" s="936">
        <f t="shared" ca="1" si="300"/>
        <v>0</v>
      </c>
      <c r="AO97" s="1051"/>
      <c r="AP97" s="936">
        <f t="shared" ca="1" si="301"/>
        <v>925.77411440619289</v>
      </c>
      <c r="AQ97" s="936">
        <f t="shared" ca="1" si="301"/>
        <v>0</v>
      </c>
      <c r="AR97" s="936">
        <f t="shared" ca="1" si="301"/>
        <v>0</v>
      </c>
      <c r="AS97" s="936">
        <f t="shared" ca="1" si="301"/>
        <v>0</v>
      </c>
      <c r="AT97" s="936">
        <f t="shared" ca="1" si="301"/>
        <v>0</v>
      </c>
      <c r="AU97" s="936">
        <f t="shared" ca="1" si="301"/>
        <v>0</v>
      </c>
      <c r="AV97" s="936">
        <f t="shared" ca="1" si="301"/>
        <v>0</v>
      </c>
      <c r="AW97" s="936">
        <f t="shared" ca="1" si="301"/>
        <v>0</v>
      </c>
      <c r="AX97" s="936">
        <f t="shared" ca="1" si="301"/>
        <v>0</v>
      </c>
      <c r="AY97" s="936">
        <f t="shared" ca="1" si="301"/>
        <v>0</v>
      </c>
      <c r="AZ97" s="936">
        <f t="shared" ca="1" si="301"/>
        <v>0</v>
      </c>
      <c r="BA97" s="936">
        <f t="shared" ca="1" si="301"/>
        <v>18.51548224812386</v>
      </c>
      <c r="BB97" s="936">
        <f t="shared" ca="1" si="301"/>
        <v>907.25863125806916</v>
      </c>
      <c r="BC97" s="936">
        <f t="shared" ca="1" si="301"/>
        <v>0</v>
      </c>
      <c r="BD97" s="1051"/>
      <c r="BE97" s="936">
        <f t="shared" ca="1" si="302"/>
        <v>925.77411440619289</v>
      </c>
      <c r="BF97" s="936">
        <f t="shared" ca="1" si="302"/>
        <v>0</v>
      </c>
      <c r="BG97" s="936">
        <f t="shared" ca="1" si="302"/>
        <v>0</v>
      </c>
      <c r="BH97" s="936">
        <f t="shared" ca="1" si="302"/>
        <v>0</v>
      </c>
      <c r="BI97" s="936">
        <f t="shared" ca="1" si="302"/>
        <v>0</v>
      </c>
      <c r="BJ97" s="936">
        <f t="shared" ca="1" si="302"/>
        <v>0</v>
      </c>
      <c r="BK97" s="936">
        <f t="shared" ca="1" si="302"/>
        <v>0</v>
      </c>
      <c r="BL97" s="936">
        <f t="shared" ca="1" si="302"/>
        <v>0</v>
      </c>
      <c r="BM97" s="936">
        <f t="shared" ca="1" si="302"/>
        <v>925.77411440619289</v>
      </c>
      <c r="BN97" s="936">
        <f t="shared" ca="1" si="302"/>
        <v>0</v>
      </c>
      <c r="BO97" s="936">
        <f t="shared" ca="1" si="302"/>
        <v>0</v>
      </c>
      <c r="BP97" s="1051"/>
      <c r="BQ97" s="936">
        <f t="shared" ca="1" si="303"/>
        <v>0</v>
      </c>
      <c r="BR97" s="936">
        <f t="shared" ca="1" si="303"/>
        <v>925.77411440619289</v>
      </c>
      <c r="BS97" s="936">
        <f t="shared" ca="1" si="303"/>
        <v>0</v>
      </c>
      <c r="BT97" s="936">
        <f t="shared" ca="1" si="303"/>
        <v>18.51548224812386</v>
      </c>
      <c r="BU97" s="936">
        <f t="shared" ca="1" si="303"/>
        <v>0</v>
      </c>
      <c r="BV97" s="936">
        <f t="shared" ca="1" si="303"/>
        <v>907.25863125806916</v>
      </c>
      <c r="BW97" s="936">
        <f t="shared" ca="1" si="303"/>
        <v>0</v>
      </c>
      <c r="BX97" s="1051"/>
      <c r="BY97" s="936">
        <f t="shared" ca="1" si="304"/>
        <v>907.25863125806916</v>
      </c>
      <c r="BZ97" s="936">
        <f t="shared" ca="1" si="304"/>
        <v>0</v>
      </c>
      <c r="CA97" s="936">
        <f t="shared" ca="1" si="304"/>
        <v>0</v>
      </c>
      <c r="CB97" s="936">
        <f t="shared" ca="1" si="304"/>
        <v>82.529334760234676</v>
      </c>
      <c r="CC97" s="936">
        <f t="shared" ca="1" si="304"/>
        <v>0</v>
      </c>
      <c r="CD97" s="936">
        <f t="shared" ca="1" si="304"/>
        <v>0</v>
      </c>
      <c r="CE97" s="936">
        <f t="shared" ca="1" si="304"/>
        <v>10.200661781605294</v>
      </c>
      <c r="CF97" s="936">
        <f t="shared" ca="1" si="304"/>
        <v>0</v>
      </c>
      <c r="CG97" s="1051"/>
      <c r="CH97" s="936">
        <f t="shared" ca="1" si="305"/>
        <v>0</v>
      </c>
      <c r="CI97" s="936">
        <f t="shared" ca="1" si="305"/>
        <v>989.78796691830371</v>
      </c>
      <c r="CJ97" s="936">
        <f t="shared" ca="1" si="305"/>
        <v>10.200661781605294</v>
      </c>
      <c r="CK97" s="936" t="e">
        <f t="shared" ca="1" si="305"/>
        <v>#N/A</v>
      </c>
      <c r="CL97" s="936" t="e">
        <f t="shared" ca="1" si="305"/>
        <v>#N/A</v>
      </c>
      <c r="CM97" s="1051"/>
      <c r="CN97" s="936">
        <f t="shared" ca="1" si="306"/>
        <v>0</v>
      </c>
      <c r="CO97" s="936" t="e">
        <f t="shared" ca="1" si="306"/>
        <v>#N/A</v>
      </c>
      <c r="CP97" s="936">
        <f t="shared" ca="1" si="306"/>
        <v>0</v>
      </c>
      <c r="CQ97" s="936">
        <f t="shared" ca="1" si="306"/>
        <v>0</v>
      </c>
      <c r="CR97" s="936">
        <f t="shared" ca="1" si="306"/>
        <v>0</v>
      </c>
      <c r="CS97" s="936">
        <f t="shared" ca="1" si="306"/>
        <v>0</v>
      </c>
      <c r="CT97" s="1051"/>
      <c r="CU97" s="936">
        <f t="shared" ca="1" si="307"/>
        <v>0</v>
      </c>
      <c r="CV97" s="936">
        <f t="shared" ca="1" si="307"/>
        <v>0</v>
      </c>
      <c r="CW97" s="936">
        <f t="shared" ca="1" si="307"/>
        <v>0</v>
      </c>
      <c r="CX97" s="936">
        <f t="shared" ca="1" si="307"/>
        <v>18.51548224812386</v>
      </c>
      <c r="CY97" s="936">
        <f t="shared" ca="1" si="307"/>
        <v>0</v>
      </c>
      <c r="CZ97" s="936" t="e">
        <f t="shared" ca="1" si="307"/>
        <v>#N/A</v>
      </c>
      <c r="DA97" s="936" t="e">
        <f t="shared" ca="1" si="307"/>
        <v>#N/A</v>
      </c>
      <c r="DB97" s="936">
        <f t="shared" ca="1" si="307"/>
        <v>0</v>
      </c>
      <c r="DC97" s="936">
        <f t="shared" ca="1" si="307"/>
        <v>0</v>
      </c>
      <c r="DD97" s="936">
        <f t="shared" ca="1" si="307"/>
        <v>0</v>
      </c>
      <c r="DE97" s="936">
        <f t="shared" ca="1" si="307"/>
        <v>0</v>
      </c>
      <c r="DF97" s="936">
        <f t="shared" ca="1" si="307"/>
        <v>0</v>
      </c>
      <c r="DG97" s="936">
        <f t="shared" ca="1" si="307"/>
        <v>0</v>
      </c>
      <c r="DH97" s="936">
        <f t="shared" ca="1" si="307"/>
        <v>82.529334760234676</v>
      </c>
      <c r="DI97" s="1051"/>
      <c r="DJ97" s="936">
        <f t="shared" ca="1" si="308"/>
        <v>929.63553443708429</v>
      </c>
      <c r="DK97" s="936">
        <f t="shared" ca="1" si="308"/>
        <v>20.907320567258562</v>
      </c>
      <c r="DL97" s="936">
        <f t="shared" ca="1" si="308"/>
        <v>0</v>
      </c>
      <c r="DM97" s="936">
        <f t="shared" ca="1" si="308"/>
        <v>0</v>
      </c>
      <c r="DN97" s="936" t="e">
        <f t="shared" ca="1" si="308"/>
        <v>#N/A</v>
      </c>
      <c r="DO97" s="936">
        <f t="shared" ca="1" si="308"/>
        <v>968.37034474696259</v>
      </c>
      <c r="DP97" s="936" t="e">
        <f t="shared" ca="1" si="308"/>
        <v>#N/A</v>
      </c>
      <c r="DQ97" s="1051"/>
      <c r="DR97" s="936">
        <f t="shared" ca="1" si="309"/>
        <v>0</v>
      </c>
      <c r="DS97" s="936">
        <f t="shared" ca="1" si="309"/>
        <v>0</v>
      </c>
      <c r="DT97" s="936">
        <f t="shared" ca="1" si="309"/>
        <v>0</v>
      </c>
      <c r="DU97" s="936" t="e">
        <f t="shared" ca="1" si="309"/>
        <v>#N/A</v>
      </c>
      <c r="DV97" s="936" t="e">
        <f t="shared" ca="1" si="309"/>
        <v>#N/A</v>
      </c>
      <c r="DW97" s="1051"/>
      <c r="DX97" s="936">
        <f t="shared" ca="1" si="310"/>
        <v>0</v>
      </c>
      <c r="DY97" s="936">
        <f t="shared" ca="1" si="310"/>
        <v>0</v>
      </c>
      <c r="DZ97" s="936">
        <f t="shared" ca="1" si="310"/>
        <v>0</v>
      </c>
      <c r="EA97" s="936" t="e">
        <f t="shared" ca="1" si="310"/>
        <v>#N/A</v>
      </c>
      <c r="EB97" s="936" t="e">
        <f t="shared" ca="1" si="310"/>
        <v>#N/A</v>
      </c>
      <c r="EC97" s="1051"/>
      <c r="ED97" s="936">
        <f t="shared" ca="1" si="311"/>
        <v>0</v>
      </c>
      <c r="EE97" s="936">
        <f t="shared" ca="1" si="311"/>
        <v>46.186359169490878</v>
      </c>
      <c r="EF97" s="936" t="e">
        <f t="shared" ca="1" si="311"/>
        <v>#N/A</v>
      </c>
      <c r="EG97" s="936" t="e">
        <f t="shared" ca="1" si="311"/>
        <v>#N/A</v>
      </c>
      <c r="EH97" s="936" t="e">
        <f t="shared" ca="1" si="311"/>
        <v>#N/A</v>
      </c>
      <c r="EI97" s="1051"/>
      <c r="EJ97" s="936">
        <f t="shared" ca="1" si="312"/>
        <v>0</v>
      </c>
      <c r="EK97" s="936">
        <f t="shared" ca="1" si="312"/>
        <v>0</v>
      </c>
      <c r="EL97" s="936">
        <f t="shared" ca="1" si="312"/>
        <v>0</v>
      </c>
      <c r="EM97" s="936">
        <f t="shared" ca="1" si="312"/>
        <v>0</v>
      </c>
      <c r="EN97" s="936" t="e">
        <f t="shared" ca="1" si="312"/>
        <v>#N/A</v>
      </c>
      <c r="EO97" s="1051"/>
      <c r="EP97" s="936">
        <f t="shared" ca="1" si="313"/>
        <v>0</v>
      </c>
      <c r="EQ97" s="936">
        <f t="shared" ca="1" si="313"/>
        <v>0</v>
      </c>
      <c r="ER97" s="936">
        <f t="shared" ca="1" si="313"/>
        <v>0</v>
      </c>
      <c r="ES97" s="936">
        <f t="shared" ca="1" si="313"/>
        <v>0</v>
      </c>
      <c r="ET97" s="936" t="e">
        <f t="shared" ca="1" si="313"/>
        <v>#N/A</v>
      </c>
      <c r="EU97" s="1051"/>
      <c r="EV97" s="936">
        <f ca="1">(VLOOKUP(EV$8,INDIRECT(LU_MAT),$B97,FALSE)*3600)</f>
        <v>0</v>
      </c>
      <c r="EW97" s="936">
        <f ca="1">(VLOOKUP(EW$8,INDIRECT(LU_MAT),$B97,FALSE)*3600)</f>
        <v>0</v>
      </c>
      <c r="EX97" s="1051"/>
      <c r="EY97" s="936">
        <f t="shared" ca="1" si="314"/>
        <v>0</v>
      </c>
      <c r="EZ97" s="936">
        <f t="shared" ca="1" si="314"/>
        <v>0</v>
      </c>
      <c r="FA97" s="936" t="e">
        <f t="shared" ca="1" si="314"/>
        <v>#N/A</v>
      </c>
      <c r="FB97" s="1051"/>
      <c r="FC97" s="936">
        <f t="shared" ca="1" si="315"/>
        <v>2688.0019215040156</v>
      </c>
      <c r="FD97" s="936">
        <f t="shared" ca="1" si="315"/>
        <v>0</v>
      </c>
      <c r="FE97" s="936">
        <f t="shared" ca="1" si="315"/>
        <v>0</v>
      </c>
      <c r="FF97" s="936">
        <f t="shared" ca="1" si="315"/>
        <v>0</v>
      </c>
      <c r="FG97" s="936">
        <f t="shared" ca="1" si="315"/>
        <v>0</v>
      </c>
      <c r="FH97" s="936">
        <f t="shared" ca="1" si="315"/>
        <v>0</v>
      </c>
      <c r="FI97" s="936">
        <f t="shared" ca="1" si="315"/>
        <v>2.3072294484578353</v>
      </c>
      <c r="FJ97" s="936">
        <f t="shared" ca="1" si="315"/>
        <v>10.382532483060261</v>
      </c>
      <c r="FK97" s="936">
        <f t="shared" ca="1" si="315"/>
        <v>0</v>
      </c>
      <c r="FL97" s="936">
        <f t="shared" ca="1" si="315"/>
        <v>8.6037145688297165E-2</v>
      </c>
      <c r="FM97" s="936" t="e">
        <f t="shared" ca="1" si="316"/>
        <v>#N/A</v>
      </c>
      <c r="FN97" s="936">
        <f t="shared" ca="1" si="316"/>
        <v>0</v>
      </c>
      <c r="FO97" s="936">
        <f t="shared" ca="1" si="316"/>
        <v>0</v>
      </c>
      <c r="FP97" s="936">
        <f t="shared" ca="1" si="316"/>
        <v>0</v>
      </c>
      <c r="FQ97" s="936">
        <f t="shared" ca="1" si="316"/>
        <v>1.7144856037158849</v>
      </c>
      <c r="FR97" s="936">
        <f t="shared" ca="1" si="316"/>
        <v>0</v>
      </c>
      <c r="FS97" s="936">
        <f t="shared" ca="1" si="316"/>
        <v>0</v>
      </c>
      <c r="FT97" s="936">
        <f t="shared" ca="1" si="316"/>
        <v>0</v>
      </c>
      <c r="FU97" s="936" t="e">
        <f t="shared" ca="1" si="316"/>
        <v>#N/A</v>
      </c>
      <c r="FV97" s="936" t="e">
        <f t="shared" ca="1" si="316"/>
        <v>#N/A</v>
      </c>
      <c r="FW97" s="936">
        <f t="shared" ca="1" si="317"/>
        <v>0</v>
      </c>
      <c r="FX97" s="936">
        <f t="shared" ca="1" si="317"/>
        <v>0</v>
      </c>
      <c r="FY97" s="936">
        <f t="shared" ca="1" si="317"/>
        <v>0</v>
      </c>
      <c r="FZ97" s="936">
        <f t="shared" ca="1" si="317"/>
        <v>0</v>
      </c>
      <c r="GA97" s="936" t="e">
        <f t="shared" ca="1" si="317"/>
        <v>#N/A</v>
      </c>
      <c r="GB97" s="936">
        <f t="shared" ca="1" si="317"/>
        <v>0</v>
      </c>
      <c r="GC97" s="936"/>
      <c r="GD97" s="936">
        <f t="shared" ca="1" si="317"/>
        <v>0</v>
      </c>
      <c r="GE97" s="936">
        <f t="shared" ca="1" si="317"/>
        <v>0</v>
      </c>
      <c r="GF97" s="936">
        <f t="shared" ca="1" si="317"/>
        <v>0</v>
      </c>
      <c r="GG97" s="936">
        <f t="shared" ca="1" si="318"/>
        <v>0</v>
      </c>
      <c r="GH97" s="936" t="e">
        <f t="shared" ca="1" si="318"/>
        <v>#N/A</v>
      </c>
      <c r="GI97" s="936" t="e">
        <f t="shared" ca="1" si="318"/>
        <v>#N/A</v>
      </c>
      <c r="GJ97" s="936">
        <f t="shared" ca="1" si="318"/>
        <v>0</v>
      </c>
      <c r="GK97" s="936">
        <f t="shared" ca="1" si="318"/>
        <v>0</v>
      </c>
      <c r="GL97" s="936">
        <f t="shared" ca="1" si="318"/>
        <v>10.200661781605294</v>
      </c>
      <c r="GM97" s="936">
        <f t="shared" ca="1" si="318"/>
        <v>0</v>
      </c>
      <c r="GN97" s="936">
        <f t="shared" ca="1" si="318"/>
        <v>0</v>
      </c>
      <c r="GO97" s="936" t="e">
        <f t="shared" ca="1" si="318"/>
        <v>#N/A</v>
      </c>
      <c r="GP97" s="915"/>
      <c r="GR97" s="946"/>
      <c r="GS97" s="946"/>
      <c r="GU97" s="946"/>
      <c r="GV97" s="946"/>
      <c r="GW97" s="946"/>
      <c r="GY97" s="946"/>
    </row>
    <row r="98" spans="1:207" s="1143" customFormat="1" x14ac:dyDescent="0.3">
      <c r="A98" s="1465"/>
      <c r="E98" s="1002"/>
      <c r="F98" s="1144"/>
      <c r="G98" s="1144"/>
      <c r="H98" s="1144"/>
      <c r="I98" s="1144"/>
      <c r="J98" s="1144"/>
      <c r="K98" s="1144"/>
      <c r="L98" s="1144"/>
      <c r="M98" s="1144"/>
      <c r="N98" s="1144"/>
      <c r="O98" s="1144"/>
      <c r="P98" s="1144"/>
      <c r="Q98" s="1051"/>
      <c r="R98" s="1144"/>
      <c r="S98" s="1144"/>
      <c r="T98" s="1144"/>
      <c r="U98" s="1144"/>
      <c r="V98" s="1144"/>
      <c r="W98" s="1144"/>
      <c r="X98" s="1144"/>
      <c r="Y98" s="1144"/>
      <c r="Z98" s="1144"/>
      <c r="AA98" s="1144"/>
      <c r="AB98" s="1051"/>
      <c r="AC98" s="1144"/>
      <c r="AD98" s="1144"/>
      <c r="AE98" s="1144"/>
      <c r="AF98" s="1144"/>
      <c r="AG98" s="1144"/>
      <c r="AH98" s="1144"/>
      <c r="AI98" s="1144"/>
      <c r="AJ98" s="1144"/>
      <c r="AK98" s="1144"/>
      <c r="AL98" s="1144"/>
      <c r="AM98" s="1144"/>
      <c r="AN98" s="1144"/>
      <c r="AO98" s="1051"/>
      <c r="AP98" s="1144"/>
      <c r="AQ98" s="1144"/>
      <c r="AR98" s="1144"/>
      <c r="AS98" s="1144"/>
      <c r="AT98" s="1144"/>
      <c r="AU98" s="1144"/>
      <c r="AV98" s="1144"/>
      <c r="AW98" s="1144"/>
      <c r="AX98" s="1144"/>
      <c r="AY98" s="1144"/>
      <c r="AZ98" s="1144"/>
      <c r="BA98" s="1144"/>
      <c r="BB98" s="1144"/>
      <c r="BC98" s="1144"/>
      <c r="BD98" s="1051"/>
      <c r="BE98" s="1144"/>
      <c r="BF98" s="1144"/>
      <c r="BG98" s="1144"/>
      <c r="BH98" s="1144"/>
      <c r="BI98" s="1144"/>
      <c r="BJ98" s="1144"/>
      <c r="BK98" s="1144"/>
      <c r="BL98" s="1144"/>
      <c r="BM98" s="1144"/>
      <c r="BN98" s="1144"/>
      <c r="BO98" s="1144"/>
      <c r="BP98" s="1051"/>
      <c r="BQ98" s="1144"/>
      <c r="BR98" s="1144"/>
      <c r="BS98" s="1144"/>
      <c r="BT98" s="1144"/>
      <c r="BU98" s="1144"/>
      <c r="BV98" s="1144"/>
      <c r="BW98" s="1144"/>
      <c r="BX98" s="1051"/>
      <c r="BY98" s="1144"/>
      <c r="BZ98" s="1144"/>
      <c r="CA98" s="1144"/>
      <c r="CB98" s="1144"/>
      <c r="CC98" s="1144"/>
      <c r="CD98" s="1144"/>
      <c r="CE98" s="1144"/>
      <c r="CF98" s="1144"/>
      <c r="CG98" s="1051"/>
      <c r="CH98" s="1144"/>
      <c r="CI98" s="1144"/>
      <c r="CJ98" s="1144"/>
      <c r="CK98" s="1144"/>
      <c r="CL98" s="1144"/>
      <c r="CM98" s="1051"/>
      <c r="CN98" s="1144"/>
      <c r="CO98" s="1144"/>
      <c r="CP98" s="1144"/>
      <c r="CQ98" s="1144"/>
      <c r="CR98" s="1144"/>
      <c r="CS98" s="1144"/>
      <c r="CT98" s="1051"/>
      <c r="CU98" s="1144"/>
      <c r="CV98" s="1144"/>
      <c r="CW98" s="1144"/>
      <c r="CX98" s="1144"/>
      <c r="CY98" s="1144"/>
      <c r="CZ98" s="1144"/>
      <c r="DA98" s="1144"/>
      <c r="DB98" s="1144"/>
      <c r="DC98" s="1144"/>
      <c r="DD98" s="1144"/>
      <c r="DE98" s="1144"/>
      <c r="DF98" s="1144"/>
      <c r="DG98" s="1144"/>
      <c r="DH98" s="1144"/>
      <c r="DI98" s="1051"/>
      <c r="DJ98" s="1144"/>
      <c r="DK98" s="1144"/>
      <c r="DL98" s="1144"/>
      <c r="DM98" s="1144"/>
      <c r="DN98" s="1144"/>
      <c r="DO98" s="1144"/>
      <c r="DP98" s="1144"/>
      <c r="DQ98" s="1051"/>
      <c r="DR98" s="1144"/>
      <c r="DS98" s="1144"/>
      <c r="DT98" s="1144"/>
      <c r="DU98" s="1144"/>
      <c r="DV98" s="920"/>
      <c r="DW98" s="1051"/>
      <c r="DX98" s="1144"/>
      <c r="DY98" s="1144"/>
      <c r="DZ98" s="1144"/>
      <c r="EA98" s="1144"/>
      <c r="EB98" s="920"/>
      <c r="EC98" s="1051"/>
      <c r="ED98" s="1144"/>
      <c r="EE98" s="1144"/>
      <c r="EF98" s="1144"/>
      <c r="EG98" s="1144"/>
      <c r="EH98" s="920"/>
      <c r="EI98" s="1051"/>
      <c r="EJ98" s="1144"/>
      <c r="EK98" s="1144"/>
      <c r="EL98" s="1144"/>
      <c r="EM98" s="1144"/>
      <c r="EN98" s="920"/>
      <c r="EO98" s="1051"/>
      <c r="EP98" s="1144"/>
      <c r="EQ98" s="1144"/>
      <c r="ER98" s="1144"/>
      <c r="ES98" s="1144"/>
      <c r="ET98" s="920"/>
      <c r="EU98" s="1051"/>
      <c r="EV98" s="1144"/>
      <c r="EW98" s="1144"/>
      <c r="EX98" s="1051"/>
      <c r="EY98" s="1144"/>
      <c r="EZ98" s="1144"/>
      <c r="FA98" s="1144"/>
      <c r="FB98" s="1051"/>
      <c r="FC98" s="1144"/>
      <c r="FD98" s="1144"/>
      <c r="FE98" s="1144"/>
      <c r="FF98" s="1144"/>
      <c r="FG98" s="1144"/>
      <c r="FH98" s="1144"/>
      <c r="FI98" s="1144"/>
      <c r="FJ98" s="1144"/>
      <c r="FK98" s="1144"/>
      <c r="FL98" s="1144"/>
      <c r="FM98" s="1144"/>
      <c r="FN98" s="1144"/>
      <c r="FO98" s="1144"/>
      <c r="FP98" s="1144"/>
      <c r="FQ98" s="1144"/>
      <c r="FR98" s="1144"/>
      <c r="FS98" s="1144"/>
      <c r="FT98" s="1144"/>
      <c r="FU98" s="1144"/>
      <c r="FV98" s="1144"/>
      <c r="FW98" s="1144"/>
      <c r="FX98" s="1144"/>
      <c r="FY98" s="1144"/>
      <c r="FZ98" s="1144"/>
      <c r="GA98" s="1144"/>
      <c r="GB98" s="1144"/>
      <c r="GC98" s="920"/>
      <c r="GD98" s="1144"/>
      <c r="GE98" s="1144"/>
      <c r="GF98" s="1144"/>
      <c r="GG98" s="1144"/>
      <c r="GH98" s="1144"/>
      <c r="GI98" s="1144"/>
      <c r="GJ98" s="1144"/>
      <c r="GK98" s="1144"/>
      <c r="GL98" s="1144"/>
      <c r="GM98" s="1144"/>
      <c r="GN98" s="1144"/>
      <c r="GO98" s="1144"/>
      <c r="GP98" s="915"/>
      <c r="GR98" s="946"/>
      <c r="GS98" s="946"/>
      <c r="GU98" s="946"/>
      <c r="GV98" s="946"/>
      <c r="GW98" s="946"/>
      <c r="GY98" s="946"/>
    </row>
    <row r="127" spans="1:16" x14ac:dyDescent="0.3">
      <c r="A127" s="1142"/>
      <c r="E127" s="1006"/>
      <c r="F127" s="1006"/>
      <c r="G127" s="1006"/>
      <c r="H127" s="1006"/>
      <c r="I127" s="1006"/>
      <c r="J127" s="1006"/>
      <c r="K127" s="1006"/>
      <c r="L127" s="1006"/>
      <c r="M127" s="1006"/>
      <c r="N127" s="1006"/>
      <c r="O127" s="1006"/>
      <c r="P127" s="1006"/>
    </row>
  </sheetData>
  <mergeCells count="7">
    <mergeCell ref="FY6:FZ6"/>
    <mergeCell ref="B1:B7"/>
    <mergeCell ref="FD6:FF6"/>
    <mergeCell ref="FG6:FJ6"/>
    <mergeCell ref="FK6:FS6"/>
    <mergeCell ref="FT6:FU6"/>
    <mergeCell ref="FW6:FX6"/>
  </mergeCells>
  <conditionalFormatting sqref="FB98 EX98 EU98 EO98 EI98 EC98 DW98 DQ98 DI98 CT98 CM98 CG98 BX98 BP98 BD98 AO98 AB98 Q89:Q93 A89:A93 F25:GO87 F89:P98 FC89:GO98 FB89:FB95 EY89:FA98 EX89:EX95 EV89:EW98 EU89:EU95 EP89:ET98 EO89:EO95 EJ89:EN98 EI89:EI95 ED89:EH98 EC89:EC95 DX89:EB98 DW89:DW95 DR89:DV98 DQ89:DQ95 DJ89:DP98 DI89:DI95 CU89:DH98 CT89:CT95 CN89:CS98 CM89:CM95 CH89:CL98 CG89:CG95 BY89:CF98 BX89:BX95 BQ89:BW98 BP89:BP95 BE89:BO98 BD89:BD95 AP89:BC98 AO89:AO95 R89:AA98 AC89:AN98 AB89:AB95">
    <cfRule type="cellIs" dxfId="8" priority="15" operator="equal">
      <formula>0</formula>
    </cfRule>
    <cfRule type="cellIs" dxfId="7" priority="16" operator="lessThan">
      <formula>0</formula>
    </cfRule>
  </conditionalFormatting>
  <conditionalFormatting sqref="FC96:GN97 EX98 FB98 EP96:ET97 EJ96:EN97 ED96:EH97 DX96:EB97 DI98 DQ98 AO98 GD89:GO98 GD25:GO87 DX89:EA98 EJ89:EM98 CH87:CL87 CN87:CS87 ED89:EG98 CS25:CS87 ED25:EG87 DX25:EA87 EJ25:EM87 BY25:CF87 BE25:BO87 BQ25:BW87 CH25:CS86 EP89:ES98 EP25:ES87 CU25:DV87 R25:AA87 F25:P87 AC25:BC87 EV25:GB87 F89:P98 FC89:GB98 FB89:FB95 EX89:EX95 EY89:FA98 EV89:EW98 DR89:DV98 DQ89:DQ95 DI89:DI95 DJ89:DP98 CU89:DH98 CN89:CS98 CH89:CL98 BY89:CF98 BQ89:BW98 BE89:BO98 AP89:BC98 AO89:AO95 R89:AA98 AC89:AN98">
    <cfRule type="cellIs" dxfId="6" priority="14" operator="equal">
      <formula>0</formula>
    </cfRule>
  </conditionalFormatting>
  <conditionalFormatting sqref="FC96:GN97 EX98 FB98 EP96:ET97 EJ96:EN97 ED96:EH97 DX96:EB97 DI98 DQ98 AO98 GD89:GO98 GD25:GO87 DX89:EA98 EJ89:EM98 ED89:EG98 DX25:EA87 EJ25:EM87 BY25:CF87 CH25:CL87 ED25:EG87 BE25:BO87 BQ25:BW87 CN25:CS87 EP89:ES98 EP25:ES87 CU25:DV87 R25:AA87 F25:P87 AC25:BC87 EV25:GB87 F89:P98 FC89:GB98 FB89:FB95 EX89:EX95 EY89:FA98 EV89:EW98 DR89:DV98 DQ89:DQ95 DI89:DI95 DJ89:DP98 CU89:DH98 CN89:CS98 CH89:CL98 BY89:CF98 BQ89:BW98 BE89:BO98 AP89:BC98 AO89:AO95 R89:AA98 AC89:AN98">
    <cfRule type="containsErrors" dxfId="5" priority="13">
      <formula>ISERROR(F25)</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dimension ref="A2:HT420"/>
  <sheetViews>
    <sheetView zoomScale="70" zoomScaleNormal="70" workbookViewId="0">
      <pane xSplit="2" ySplit="8" topLeftCell="C9" activePane="bottomRight" state="frozen"/>
      <selection pane="topRight" activeCell="C1" sqref="C1"/>
      <selection pane="bottomLeft" activeCell="A9" sqref="A9"/>
      <selection pane="bottomRight" activeCell="H48" sqref="H48"/>
    </sheetView>
  </sheetViews>
  <sheetFormatPr defaultColWidth="9" defaultRowHeight="12.6" x14ac:dyDescent="0.2"/>
  <cols>
    <col min="1" max="1" width="10.33203125" style="26" customWidth="1"/>
    <col min="2" max="2" width="19.77734375" style="27" customWidth="1"/>
    <col min="3" max="3" width="12.33203125" style="26" bestFit="1" customWidth="1"/>
    <col min="4" max="4" width="12.33203125" style="26" customWidth="1"/>
    <col min="5" max="5" width="12.88671875" style="26" customWidth="1"/>
    <col min="6" max="6" width="9.21875" style="26" bestFit="1" customWidth="1"/>
    <col min="7" max="7" width="11.109375" style="26" bestFit="1" customWidth="1"/>
    <col min="8" max="13" width="9.21875" style="26" bestFit="1" customWidth="1"/>
    <col min="14" max="16" width="9.88671875" style="26" bestFit="1" customWidth="1"/>
    <col min="17" max="38" width="9.109375" style="26" bestFit="1" customWidth="1"/>
    <col min="39" max="39" width="11.88671875" style="26" bestFit="1" customWidth="1"/>
    <col min="40" max="42" width="9.109375" style="26" bestFit="1" customWidth="1"/>
    <col min="43" max="43" width="9.88671875" style="26" bestFit="1" customWidth="1"/>
    <col min="44" max="67" width="9.109375" style="26" bestFit="1" customWidth="1"/>
    <col min="68" max="68" width="9.88671875" style="26" bestFit="1" customWidth="1"/>
    <col min="69" max="69" width="11.88671875" style="26" bestFit="1" customWidth="1"/>
    <col min="70" max="70" width="13" style="26" bestFit="1" customWidth="1"/>
    <col min="71" max="75" width="9.109375" style="26" bestFit="1" customWidth="1"/>
    <col min="76" max="76" width="10.88671875" style="26" customWidth="1"/>
    <col min="77" max="77" width="9.109375" style="26" customWidth="1"/>
    <col min="78" max="78" width="9.88671875" style="26" customWidth="1"/>
    <col min="79" max="83" width="9.109375" style="26" customWidth="1"/>
    <col min="84" max="84" width="9.88671875" style="26" customWidth="1"/>
    <col min="85" max="150" width="9.109375" style="26" customWidth="1"/>
    <col min="151" max="155" width="9.109375" style="26" bestFit="1" customWidth="1"/>
    <col min="156" max="156" width="10.88671875" style="26" customWidth="1"/>
    <col min="157" max="163" width="9.109375" style="26" customWidth="1"/>
    <col min="164" max="164" width="10.109375" style="26" customWidth="1"/>
    <col min="165" max="165" width="9.109375" style="26" customWidth="1"/>
    <col min="166" max="16384" width="9" style="26"/>
  </cols>
  <sheetData>
    <row r="2" spans="1:228" x14ac:dyDescent="0.2">
      <c r="H2" s="30"/>
      <c r="I2" s="30"/>
      <c r="J2" s="30"/>
    </row>
    <row r="3" spans="1:228" x14ac:dyDescent="0.2">
      <c r="C3" s="28">
        <v>40702</v>
      </c>
      <c r="D3" s="29">
        <v>0.41250000000000003</v>
      </c>
      <c r="H3" s="30"/>
      <c r="I3" s="30"/>
      <c r="J3" s="30"/>
    </row>
    <row r="4" spans="1:228" x14ac:dyDescent="0.2">
      <c r="C4" s="26" t="s">
        <v>3469</v>
      </c>
      <c r="I4" s="30"/>
    </row>
    <row r="5" spans="1:228" x14ac:dyDescent="0.2">
      <c r="A5" s="26" t="s">
        <v>1488</v>
      </c>
      <c r="B5" s="27">
        <v>1</v>
      </c>
      <c r="C5" s="26">
        <v>2</v>
      </c>
      <c r="D5" s="26">
        <v>3</v>
      </c>
      <c r="E5" s="26">
        <v>4</v>
      </c>
      <c r="F5" s="26">
        <v>5</v>
      </c>
      <c r="G5" s="26">
        <v>6</v>
      </c>
      <c r="H5" s="26">
        <v>7</v>
      </c>
      <c r="I5" s="26">
        <v>8</v>
      </c>
      <c r="J5" s="26">
        <v>9</v>
      </c>
      <c r="K5" s="26">
        <v>10</v>
      </c>
      <c r="L5" s="26">
        <v>11</v>
      </c>
      <c r="M5" s="26">
        <v>12</v>
      </c>
      <c r="N5" s="26">
        <v>13</v>
      </c>
      <c r="O5" s="26">
        <v>14</v>
      </c>
      <c r="P5" s="26">
        <v>15</v>
      </c>
      <c r="Q5" s="26">
        <v>16</v>
      </c>
      <c r="R5" s="26">
        <v>17</v>
      </c>
      <c r="S5" s="26">
        <v>18</v>
      </c>
      <c r="T5" s="26">
        <v>19</v>
      </c>
      <c r="U5" s="26">
        <v>20</v>
      </c>
      <c r="V5" s="26">
        <v>21</v>
      </c>
      <c r="W5" s="26">
        <v>22</v>
      </c>
      <c r="X5" s="26">
        <v>23</v>
      </c>
      <c r="Y5" s="26">
        <v>24</v>
      </c>
      <c r="Z5" s="26">
        <v>25</v>
      </c>
      <c r="AA5" s="26">
        <v>26</v>
      </c>
      <c r="AB5" s="26">
        <v>27</v>
      </c>
      <c r="AC5" s="26">
        <v>28</v>
      </c>
      <c r="AD5" s="26">
        <v>29</v>
      </c>
      <c r="AE5" s="26">
        <v>30</v>
      </c>
      <c r="AF5" s="26">
        <v>31</v>
      </c>
      <c r="AG5" s="26">
        <v>32</v>
      </c>
      <c r="AH5" s="26">
        <v>33</v>
      </c>
      <c r="AI5" s="26">
        <v>34</v>
      </c>
      <c r="AJ5" s="26">
        <v>35</v>
      </c>
      <c r="AK5" s="26">
        <v>36</v>
      </c>
      <c r="AL5" s="26">
        <v>37</v>
      </c>
      <c r="AM5" s="26">
        <v>38</v>
      </c>
      <c r="AN5" s="26">
        <v>39</v>
      </c>
      <c r="AO5" s="26">
        <v>40</v>
      </c>
      <c r="AP5" s="26">
        <v>41</v>
      </c>
      <c r="AQ5" s="26">
        <v>42</v>
      </c>
      <c r="AR5" s="26">
        <v>43</v>
      </c>
      <c r="AS5" s="26">
        <v>44</v>
      </c>
      <c r="AT5" s="26">
        <v>45</v>
      </c>
      <c r="AU5" s="26">
        <v>46</v>
      </c>
      <c r="AV5" s="26">
        <v>47</v>
      </c>
      <c r="AW5" s="26">
        <v>48</v>
      </c>
      <c r="AX5" s="26">
        <v>49</v>
      </c>
      <c r="AY5" s="26">
        <v>50</v>
      </c>
      <c r="AZ5" s="26">
        <v>51</v>
      </c>
      <c r="BA5" s="26">
        <v>52</v>
      </c>
      <c r="BB5" s="26">
        <v>53</v>
      </c>
      <c r="BC5" s="26">
        <v>54</v>
      </c>
      <c r="BD5" s="26">
        <v>55</v>
      </c>
      <c r="BE5" s="26">
        <v>56</v>
      </c>
      <c r="BF5" s="26">
        <v>57</v>
      </c>
      <c r="BG5" s="26">
        <v>58</v>
      </c>
      <c r="BH5" s="26">
        <v>59</v>
      </c>
      <c r="BI5" s="26">
        <v>60</v>
      </c>
      <c r="BJ5" s="26">
        <v>61</v>
      </c>
      <c r="BK5" s="26">
        <v>62</v>
      </c>
      <c r="BL5" s="26">
        <v>63</v>
      </c>
      <c r="BM5" s="26">
        <v>64</v>
      </c>
      <c r="BN5" s="26">
        <v>65</v>
      </c>
      <c r="BO5" s="26">
        <v>66</v>
      </c>
      <c r="BP5" s="26">
        <v>67</v>
      </c>
      <c r="BQ5" s="26">
        <v>68</v>
      </c>
      <c r="BR5" s="26">
        <v>69</v>
      </c>
      <c r="BS5" s="26">
        <v>70</v>
      </c>
      <c r="BT5" s="26">
        <v>71</v>
      </c>
      <c r="BU5" s="26">
        <v>72</v>
      </c>
      <c r="BV5" s="26">
        <v>73</v>
      </c>
      <c r="BW5" s="26">
        <v>74</v>
      </c>
      <c r="BX5" s="26">
        <v>75</v>
      </c>
      <c r="BY5" s="26">
        <v>76</v>
      </c>
      <c r="BZ5" s="26">
        <v>77</v>
      </c>
      <c r="CA5" s="26">
        <v>78</v>
      </c>
      <c r="CB5" s="26">
        <v>79</v>
      </c>
      <c r="CC5" s="26">
        <v>80</v>
      </c>
      <c r="CD5" s="26">
        <v>81</v>
      </c>
      <c r="CE5" s="26">
        <v>82</v>
      </c>
      <c r="CF5" s="26">
        <v>83</v>
      </c>
      <c r="CG5" s="26">
        <v>84</v>
      </c>
      <c r="CH5" s="26">
        <v>85</v>
      </c>
      <c r="CI5" s="26">
        <v>86</v>
      </c>
      <c r="CJ5" s="26">
        <v>87</v>
      </c>
      <c r="CK5" s="26">
        <v>88</v>
      </c>
      <c r="CL5" s="26">
        <v>89</v>
      </c>
      <c r="CM5" s="26">
        <v>90</v>
      </c>
      <c r="CN5" s="26">
        <v>91</v>
      </c>
      <c r="CO5" s="26">
        <v>92</v>
      </c>
      <c r="CP5" s="26">
        <v>93</v>
      </c>
      <c r="CQ5" s="26">
        <v>94</v>
      </c>
      <c r="CR5" s="26">
        <v>95</v>
      </c>
      <c r="CS5" s="26">
        <v>96</v>
      </c>
      <c r="CT5" s="26">
        <v>97</v>
      </c>
      <c r="CU5" s="26">
        <v>98</v>
      </c>
      <c r="CV5" s="26">
        <v>99</v>
      </c>
      <c r="CW5" s="26">
        <v>100</v>
      </c>
      <c r="CX5" s="26">
        <v>101</v>
      </c>
      <c r="CY5" s="26">
        <v>102</v>
      </c>
      <c r="CZ5" s="26">
        <v>103</v>
      </c>
      <c r="DA5" s="26">
        <v>104</v>
      </c>
      <c r="DB5" s="26">
        <v>105</v>
      </c>
      <c r="DC5" s="26">
        <v>106</v>
      </c>
      <c r="DD5" s="26">
        <v>107</v>
      </c>
      <c r="DE5" s="26">
        <v>108</v>
      </c>
      <c r="DF5" s="26">
        <v>109</v>
      </c>
      <c r="DG5" s="26">
        <v>110</v>
      </c>
      <c r="DH5" s="26">
        <v>111</v>
      </c>
      <c r="DI5" s="26">
        <v>112</v>
      </c>
      <c r="DJ5" s="26">
        <v>113</v>
      </c>
      <c r="DK5" s="26">
        <v>114</v>
      </c>
      <c r="DL5" s="26">
        <v>115</v>
      </c>
      <c r="DM5" s="26">
        <v>116</v>
      </c>
      <c r="DN5" s="26">
        <v>117</v>
      </c>
      <c r="DO5" s="26">
        <v>118</v>
      </c>
      <c r="DP5" s="26">
        <v>119</v>
      </c>
      <c r="DQ5" s="26">
        <v>120</v>
      </c>
      <c r="DR5" s="26">
        <v>121</v>
      </c>
      <c r="DS5" s="26">
        <v>122</v>
      </c>
      <c r="DT5" s="26">
        <v>123</v>
      </c>
      <c r="DU5" s="26">
        <v>124</v>
      </c>
      <c r="DV5" s="26">
        <v>125</v>
      </c>
      <c r="DW5" s="26">
        <v>126</v>
      </c>
      <c r="DX5" s="26">
        <v>127</v>
      </c>
      <c r="DY5" s="26">
        <v>128</v>
      </c>
      <c r="DZ5" s="26">
        <v>129</v>
      </c>
      <c r="EA5" s="26">
        <v>130</v>
      </c>
      <c r="EB5" s="26">
        <v>131</v>
      </c>
      <c r="EC5" s="26">
        <v>132</v>
      </c>
      <c r="ED5" s="26">
        <v>133</v>
      </c>
      <c r="EE5" s="26">
        <v>134</v>
      </c>
      <c r="EF5" s="26">
        <v>135</v>
      </c>
      <c r="EG5" s="26">
        <v>136</v>
      </c>
      <c r="EH5" s="26">
        <v>137</v>
      </c>
      <c r="EI5" s="26">
        <v>138</v>
      </c>
      <c r="EJ5" s="26">
        <v>139</v>
      </c>
      <c r="EK5" s="26">
        <v>140</v>
      </c>
      <c r="EL5" s="26">
        <v>141</v>
      </c>
      <c r="EM5" s="26">
        <v>142</v>
      </c>
      <c r="EN5" s="26">
        <v>143</v>
      </c>
      <c r="EO5" s="26">
        <v>144</v>
      </c>
      <c r="EP5" s="26">
        <v>145</v>
      </c>
      <c r="EQ5" s="26">
        <v>146</v>
      </c>
      <c r="ER5" s="26">
        <v>147</v>
      </c>
      <c r="ES5" s="26">
        <v>148</v>
      </c>
      <c r="ET5" s="26">
        <v>149</v>
      </c>
      <c r="EU5" s="26">
        <v>150</v>
      </c>
      <c r="EV5" s="26">
        <v>151</v>
      </c>
      <c r="EW5" s="26">
        <v>152</v>
      </c>
      <c r="EX5" s="26">
        <v>153</v>
      </c>
      <c r="EY5" s="26">
        <v>154</v>
      </c>
      <c r="EZ5" s="26">
        <v>155</v>
      </c>
      <c r="FA5" s="26">
        <v>156</v>
      </c>
      <c r="FB5" s="26">
        <v>157</v>
      </c>
      <c r="FC5" s="26">
        <v>158</v>
      </c>
      <c r="FD5" s="26">
        <v>159</v>
      </c>
      <c r="FE5" s="26">
        <v>160</v>
      </c>
      <c r="FF5" s="26">
        <v>161</v>
      </c>
      <c r="FG5" s="26">
        <v>162</v>
      </c>
      <c r="FH5" s="26">
        <v>163</v>
      </c>
      <c r="FI5" s="26">
        <v>164</v>
      </c>
      <c r="FJ5" s="26">
        <v>165</v>
      </c>
      <c r="FK5" s="26">
        <v>166</v>
      </c>
      <c r="FL5" s="26">
        <v>167</v>
      </c>
      <c r="FM5" s="26">
        <v>168</v>
      </c>
      <c r="FN5" s="26">
        <v>169</v>
      </c>
      <c r="FO5" s="26">
        <v>170</v>
      </c>
      <c r="FP5" s="26">
        <v>171</v>
      </c>
      <c r="FQ5" s="26">
        <v>172</v>
      </c>
      <c r="FR5" s="26">
        <v>173</v>
      </c>
      <c r="FS5" s="26">
        <v>174</v>
      </c>
      <c r="FT5" s="26">
        <v>175</v>
      </c>
      <c r="FU5" s="26">
        <v>176</v>
      </c>
      <c r="FV5" s="26">
        <v>177</v>
      </c>
      <c r="FW5" s="26">
        <v>178</v>
      </c>
      <c r="FX5" s="26">
        <v>179</v>
      </c>
      <c r="FY5" s="26">
        <v>180</v>
      </c>
      <c r="FZ5" s="26">
        <v>181</v>
      </c>
      <c r="GA5" s="26">
        <v>182</v>
      </c>
      <c r="GB5" s="26">
        <v>183</v>
      </c>
      <c r="GC5" s="26">
        <v>184</v>
      </c>
      <c r="GD5" s="26">
        <v>185</v>
      </c>
      <c r="GE5" s="26">
        <v>186</v>
      </c>
      <c r="GF5" s="26">
        <v>187</v>
      </c>
      <c r="GG5" s="26">
        <v>188</v>
      </c>
      <c r="GH5" s="26">
        <v>189</v>
      </c>
      <c r="GI5" s="26">
        <v>190</v>
      </c>
      <c r="GJ5" s="26">
        <v>191</v>
      </c>
      <c r="GK5" s="26">
        <v>192</v>
      </c>
      <c r="GL5" s="26">
        <v>193</v>
      </c>
      <c r="GM5" s="26">
        <v>194</v>
      </c>
      <c r="GN5" s="26">
        <v>195</v>
      </c>
      <c r="GO5" s="26">
        <v>196</v>
      </c>
      <c r="GP5" s="26">
        <v>197</v>
      </c>
      <c r="GQ5" s="26">
        <v>198</v>
      </c>
      <c r="GR5" s="26">
        <v>199</v>
      </c>
      <c r="GS5" s="26">
        <v>200</v>
      </c>
      <c r="GT5" s="26">
        <v>201</v>
      </c>
      <c r="GU5" s="26">
        <v>202</v>
      </c>
      <c r="GV5" s="26">
        <v>203</v>
      </c>
      <c r="GW5" s="26">
        <v>204</v>
      </c>
      <c r="GX5" s="26">
        <v>205</v>
      </c>
      <c r="GY5" s="26">
        <v>206</v>
      </c>
      <c r="GZ5" s="26">
        <v>207</v>
      </c>
      <c r="HA5" s="26">
        <v>208</v>
      </c>
      <c r="HB5" s="26">
        <v>209</v>
      </c>
      <c r="HC5" s="26">
        <v>210</v>
      </c>
      <c r="HD5" s="26">
        <v>211</v>
      </c>
      <c r="HE5" s="26">
        <v>212</v>
      </c>
      <c r="HF5" s="26">
        <v>213</v>
      </c>
      <c r="HG5" s="26">
        <v>214</v>
      </c>
      <c r="HH5" s="26">
        <v>215</v>
      </c>
      <c r="HI5" s="26">
        <v>216</v>
      </c>
      <c r="HJ5" s="26">
        <v>217</v>
      </c>
      <c r="HK5" s="26">
        <v>218</v>
      </c>
      <c r="HL5" s="26">
        <v>219</v>
      </c>
      <c r="HM5" s="26">
        <v>220</v>
      </c>
      <c r="HN5" s="26">
        <v>221</v>
      </c>
      <c r="HO5" s="26">
        <v>222</v>
      </c>
      <c r="HP5" s="26">
        <v>223</v>
      </c>
      <c r="HQ5" s="26">
        <v>224</v>
      </c>
      <c r="HR5" s="26">
        <v>225</v>
      </c>
      <c r="HS5" s="26">
        <v>226</v>
      </c>
      <c r="HT5" s="26">
        <v>227</v>
      </c>
    </row>
    <row r="6" spans="1:228" x14ac:dyDescent="0.2">
      <c r="B6" s="110" t="s">
        <v>69</v>
      </c>
      <c r="C6" s="109" t="s">
        <v>1253</v>
      </c>
      <c r="D6" s="109" t="s">
        <v>1253</v>
      </c>
      <c r="E6" s="26" t="s">
        <v>1256</v>
      </c>
      <c r="F6" s="26" t="s">
        <v>1256</v>
      </c>
      <c r="G6" s="26" t="s">
        <v>1256</v>
      </c>
      <c r="H6" s="26" t="s">
        <v>1256</v>
      </c>
      <c r="I6" s="26" t="s">
        <v>1256</v>
      </c>
      <c r="J6" s="26" t="s">
        <v>1256</v>
      </c>
      <c r="K6" s="26" t="s">
        <v>1256</v>
      </c>
      <c r="L6" s="26" t="s">
        <v>1256</v>
      </c>
      <c r="M6" s="26" t="s">
        <v>1256</v>
      </c>
      <c r="N6" s="26" t="s">
        <v>1256</v>
      </c>
      <c r="O6" s="26" t="s">
        <v>1256</v>
      </c>
      <c r="P6" s="26" t="s">
        <v>1256</v>
      </c>
      <c r="Q6" s="26" t="s">
        <v>1256</v>
      </c>
      <c r="R6" s="26" t="s">
        <v>1256</v>
      </c>
      <c r="S6" s="26" t="s">
        <v>1256</v>
      </c>
      <c r="T6" s="26" t="s">
        <v>1256</v>
      </c>
      <c r="U6" s="26" t="s">
        <v>1256</v>
      </c>
      <c r="V6" s="26" t="s">
        <v>1256</v>
      </c>
      <c r="W6" s="26" t="s">
        <v>1256</v>
      </c>
      <c r="X6" s="26" t="s">
        <v>1256</v>
      </c>
      <c r="Y6" s="26" t="s">
        <v>1256</v>
      </c>
      <c r="Z6" s="26" t="s">
        <v>1256</v>
      </c>
      <c r="AA6" s="26" t="s">
        <v>1256</v>
      </c>
      <c r="AB6" s="26" t="s">
        <v>1256</v>
      </c>
      <c r="AC6" s="26" t="s">
        <v>1256</v>
      </c>
      <c r="AD6" s="26" t="s">
        <v>1256</v>
      </c>
      <c r="AE6" s="26" t="s">
        <v>1256</v>
      </c>
      <c r="AF6" s="26" t="s">
        <v>1256</v>
      </c>
      <c r="AG6" s="26" t="s">
        <v>1256</v>
      </c>
      <c r="AH6" s="26" t="s">
        <v>1256</v>
      </c>
      <c r="AI6" s="26" t="s">
        <v>1256</v>
      </c>
      <c r="AJ6" s="26" t="s">
        <v>1256</v>
      </c>
      <c r="AK6" s="26" t="s">
        <v>1256</v>
      </c>
      <c r="AL6" s="26" t="s">
        <v>1256</v>
      </c>
      <c r="AM6" s="26" t="s">
        <v>1256</v>
      </c>
      <c r="AN6" s="26" t="s">
        <v>1256</v>
      </c>
      <c r="AO6" s="26" t="s">
        <v>1256</v>
      </c>
      <c r="AP6" s="26" t="s">
        <v>1256</v>
      </c>
      <c r="AQ6" s="26" t="s">
        <v>1256</v>
      </c>
      <c r="AR6" s="26" t="s">
        <v>1256</v>
      </c>
      <c r="AS6" s="26" t="s">
        <v>1256</v>
      </c>
      <c r="AT6" s="26" t="s">
        <v>1256</v>
      </c>
      <c r="AU6" s="26" t="s">
        <v>1256</v>
      </c>
      <c r="AV6" s="26" t="s">
        <v>1256</v>
      </c>
      <c r="AW6" s="26" t="s">
        <v>1256</v>
      </c>
      <c r="AX6" s="26" t="s">
        <v>1256</v>
      </c>
      <c r="AY6" s="26" t="s">
        <v>1256</v>
      </c>
      <c r="AZ6" s="26" t="s">
        <v>1256</v>
      </c>
      <c r="BA6" s="26" t="s">
        <v>1256</v>
      </c>
      <c r="BB6" s="26" t="s">
        <v>1256</v>
      </c>
      <c r="BC6" s="26" t="s">
        <v>1256</v>
      </c>
      <c r="BD6" s="26" t="s">
        <v>1256</v>
      </c>
      <c r="BE6" s="26" t="s">
        <v>1256</v>
      </c>
      <c r="BF6" s="26" t="s">
        <v>1256</v>
      </c>
      <c r="BG6" s="26" t="s">
        <v>1256</v>
      </c>
      <c r="BH6" s="26" t="s">
        <v>1256</v>
      </c>
      <c r="BI6" s="26" t="s">
        <v>1256</v>
      </c>
      <c r="BJ6" s="26" t="s">
        <v>1256</v>
      </c>
      <c r="BK6" s="26" t="s">
        <v>1256</v>
      </c>
      <c r="BL6" s="26" t="s">
        <v>1256</v>
      </c>
      <c r="BM6" s="26" t="s">
        <v>1256</v>
      </c>
      <c r="BN6" s="26" t="s">
        <v>1256</v>
      </c>
      <c r="BO6" s="26" t="s">
        <v>1256</v>
      </c>
      <c r="BP6" s="26" t="s">
        <v>1256</v>
      </c>
      <c r="BQ6" s="26" t="s">
        <v>1256</v>
      </c>
      <c r="BR6" s="26" t="s">
        <v>1256</v>
      </c>
      <c r="BS6" s="26" t="s">
        <v>1256</v>
      </c>
      <c r="BT6" s="26" t="s">
        <v>1256</v>
      </c>
      <c r="BU6" s="26" t="s">
        <v>1256</v>
      </c>
      <c r="BV6" s="26" t="s">
        <v>1256</v>
      </c>
      <c r="BW6" s="26" t="s">
        <v>1256</v>
      </c>
      <c r="BX6" s="26" t="s">
        <v>1256</v>
      </c>
      <c r="BY6" s="26" t="s">
        <v>1256</v>
      </c>
      <c r="BZ6" s="26" t="s">
        <v>1256</v>
      </c>
      <c r="CA6" s="26" t="s">
        <v>1256</v>
      </c>
      <c r="CB6" s="26" t="s">
        <v>1256</v>
      </c>
      <c r="CC6" s="26" t="s">
        <v>1256</v>
      </c>
      <c r="CD6" s="26" t="s">
        <v>1256</v>
      </c>
      <c r="CE6" s="26" t="s">
        <v>1256</v>
      </c>
      <c r="CF6" s="26" t="s">
        <v>1320</v>
      </c>
      <c r="CG6" s="26" t="s">
        <v>1320</v>
      </c>
      <c r="CH6" s="26" t="s">
        <v>1320</v>
      </c>
      <c r="CI6" s="26" t="s">
        <v>1320</v>
      </c>
      <c r="CJ6" s="26" t="s">
        <v>1320</v>
      </c>
      <c r="CK6" s="26" t="s">
        <v>1320</v>
      </c>
      <c r="CL6" s="26" t="s">
        <v>1320</v>
      </c>
      <c r="CM6" s="26" t="s">
        <v>1320</v>
      </c>
      <c r="CN6" s="26" t="s">
        <v>1320</v>
      </c>
      <c r="CO6" s="26" t="s">
        <v>1320</v>
      </c>
      <c r="CP6" s="26" t="s">
        <v>1320</v>
      </c>
      <c r="CQ6" s="26" t="s">
        <v>1320</v>
      </c>
      <c r="CR6" s="26" t="s">
        <v>1320</v>
      </c>
      <c r="CS6" s="26" t="s">
        <v>1320</v>
      </c>
      <c r="CT6" s="26" t="s">
        <v>1320</v>
      </c>
      <c r="CU6" s="26" t="s">
        <v>1320</v>
      </c>
      <c r="CV6" s="26" t="s">
        <v>1320</v>
      </c>
      <c r="CW6" s="26" t="s">
        <v>1320</v>
      </c>
      <c r="CX6" s="26" t="s">
        <v>1320</v>
      </c>
      <c r="CY6" s="26" t="s">
        <v>1320</v>
      </c>
      <c r="CZ6" s="26" t="s">
        <v>1320</v>
      </c>
      <c r="DA6" s="26" t="s">
        <v>1320</v>
      </c>
      <c r="DB6" s="26" t="s">
        <v>1320</v>
      </c>
      <c r="DC6" s="26" t="s">
        <v>1320</v>
      </c>
      <c r="DD6" s="26" t="s">
        <v>1320</v>
      </c>
      <c r="DE6" s="26" t="s">
        <v>1320</v>
      </c>
      <c r="DF6" s="26" t="s">
        <v>1320</v>
      </c>
      <c r="DG6" s="26" t="s">
        <v>1320</v>
      </c>
      <c r="DH6" s="26" t="s">
        <v>1320</v>
      </c>
      <c r="DI6" s="26" t="s">
        <v>1320</v>
      </c>
      <c r="DJ6" s="26" t="s">
        <v>1320</v>
      </c>
      <c r="DK6" s="26" t="s">
        <v>1320</v>
      </c>
      <c r="DL6" s="26" t="s">
        <v>1320</v>
      </c>
      <c r="DM6" s="26" t="s">
        <v>1320</v>
      </c>
      <c r="DN6" s="26" t="s">
        <v>1320</v>
      </c>
      <c r="DO6" s="26" t="s">
        <v>1320</v>
      </c>
      <c r="DP6" s="26" t="s">
        <v>1320</v>
      </c>
      <c r="DQ6" s="26" t="s">
        <v>1320</v>
      </c>
      <c r="DR6" s="26" t="s">
        <v>1320</v>
      </c>
      <c r="DS6" s="26" t="s">
        <v>1320</v>
      </c>
      <c r="DT6" s="26" t="s">
        <v>1320</v>
      </c>
      <c r="DU6" s="26" t="s">
        <v>1320</v>
      </c>
      <c r="DV6" s="26" t="s">
        <v>1320</v>
      </c>
      <c r="DW6" s="26" t="s">
        <v>1320</v>
      </c>
      <c r="DX6" s="26" t="s">
        <v>1320</v>
      </c>
      <c r="DY6" s="26" t="s">
        <v>1320</v>
      </c>
      <c r="DZ6" s="26" t="s">
        <v>1320</v>
      </c>
      <c r="EA6" s="26" t="s">
        <v>1320</v>
      </c>
      <c r="EB6" s="26" t="s">
        <v>1320</v>
      </c>
      <c r="EC6" s="26" t="s">
        <v>1320</v>
      </c>
      <c r="ED6" s="26" t="s">
        <v>1320</v>
      </c>
      <c r="EE6" s="26" t="s">
        <v>1320</v>
      </c>
      <c r="EF6" s="26" t="s">
        <v>1320</v>
      </c>
      <c r="EG6" s="26" t="s">
        <v>1320</v>
      </c>
      <c r="EH6" s="26" t="s">
        <v>1320</v>
      </c>
      <c r="EI6" s="26" t="s">
        <v>1320</v>
      </c>
      <c r="EJ6" s="26" t="s">
        <v>1320</v>
      </c>
      <c r="EK6" s="26" t="s">
        <v>1320</v>
      </c>
      <c r="EL6" s="26" t="s">
        <v>1320</v>
      </c>
      <c r="EM6" s="26" t="s">
        <v>1320</v>
      </c>
      <c r="EN6" s="26" t="s">
        <v>1320</v>
      </c>
      <c r="EO6" s="26" t="s">
        <v>1320</v>
      </c>
      <c r="EP6" s="26" t="s">
        <v>1320</v>
      </c>
      <c r="EQ6" s="26" t="s">
        <v>1320</v>
      </c>
      <c r="ER6" s="26" t="s">
        <v>1320</v>
      </c>
      <c r="ES6" s="26" t="s">
        <v>1320</v>
      </c>
      <c r="ET6" s="26" t="s">
        <v>1320</v>
      </c>
      <c r="EU6" s="26" t="s">
        <v>1320</v>
      </c>
      <c r="EV6" s="26" t="s">
        <v>1320</v>
      </c>
      <c r="EW6" s="26" t="s">
        <v>1320</v>
      </c>
      <c r="EX6" s="26" t="s">
        <v>1320</v>
      </c>
      <c r="EY6" s="26" t="s">
        <v>1320</v>
      </c>
      <c r="EZ6" s="26" t="s">
        <v>1320</v>
      </c>
      <c r="FA6" s="26" t="s">
        <v>1320</v>
      </c>
      <c r="FB6" s="26" t="s">
        <v>1320</v>
      </c>
      <c r="FC6" s="26" t="s">
        <v>1320</v>
      </c>
      <c r="FD6" s="26" t="s">
        <v>1320</v>
      </c>
      <c r="FE6" s="26" t="s">
        <v>1320</v>
      </c>
      <c r="FF6" s="26" t="s">
        <v>1320</v>
      </c>
      <c r="FG6" s="26" t="s">
        <v>1253</v>
      </c>
      <c r="FH6" s="26" t="s">
        <v>1253</v>
      </c>
      <c r="FI6" s="26" t="s">
        <v>1256</v>
      </c>
      <c r="FJ6" s="26" t="s">
        <v>1489</v>
      </c>
      <c r="FK6" s="26" t="s">
        <v>1489</v>
      </c>
      <c r="FL6" s="26" t="s">
        <v>1489</v>
      </c>
      <c r="FM6" s="26" t="s">
        <v>1489</v>
      </c>
      <c r="FN6" s="26" t="s">
        <v>1489</v>
      </c>
      <c r="FO6" s="26" t="s">
        <v>1489</v>
      </c>
      <c r="FP6" s="26" t="s">
        <v>1489</v>
      </c>
      <c r="FQ6" s="26" t="s">
        <v>1489</v>
      </c>
      <c r="FR6" s="26" t="s">
        <v>1489</v>
      </c>
      <c r="FS6" s="26" t="s">
        <v>1489</v>
      </c>
      <c r="FT6" s="26" t="s">
        <v>1489</v>
      </c>
      <c r="FU6" s="26" t="s">
        <v>1489</v>
      </c>
      <c r="FV6" s="26" t="s">
        <v>1489</v>
      </c>
      <c r="FW6" s="26" t="s">
        <v>1489</v>
      </c>
      <c r="FX6" s="26" t="s">
        <v>1489</v>
      </c>
      <c r="FY6" s="26" t="s">
        <v>1489</v>
      </c>
      <c r="FZ6" s="26" t="s">
        <v>1489</v>
      </c>
      <c r="GA6" s="26" t="s">
        <v>1489</v>
      </c>
      <c r="GB6" s="26" t="s">
        <v>1489</v>
      </c>
      <c r="GC6" s="26" t="s">
        <v>1489</v>
      </c>
      <c r="GD6" s="26" t="s">
        <v>1489</v>
      </c>
      <c r="GE6" s="26" t="s">
        <v>1489</v>
      </c>
      <c r="GF6" s="26" t="s">
        <v>1489</v>
      </c>
      <c r="GG6" s="26" t="s">
        <v>1489</v>
      </c>
      <c r="GH6" s="26" t="s">
        <v>1489</v>
      </c>
      <c r="GI6" s="26" t="s">
        <v>1489</v>
      </c>
      <c r="GJ6" s="26" t="s">
        <v>1489</v>
      </c>
      <c r="GK6" s="26" t="s">
        <v>1489</v>
      </c>
      <c r="GL6" s="26" t="s">
        <v>1489</v>
      </c>
      <c r="GM6" s="26" t="s">
        <v>1489</v>
      </c>
      <c r="GN6" s="26" t="s">
        <v>1489</v>
      </c>
      <c r="GO6" s="26" t="s">
        <v>1489</v>
      </c>
      <c r="GP6" s="26" t="s">
        <v>1489</v>
      </c>
      <c r="GQ6" s="26" t="s">
        <v>1489</v>
      </c>
      <c r="GR6" s="26" t="s">
        <v>1489</v>
      </c>
      <c r="GS6" s="26" t="s">
        <v>1489</v>
      </c>
      <c r="GT6" s="26" t="s">
        <v>1489</v>
      </c>
      <c r="GU6" s="26" t="s">
        <v>1489</v>
      </c>
      <c r="GV6" s="26" t="s">
        <v>1489</v>
      </c>
      <c r="GW6" s="26" t="s">
        <v>1489</v>
      </c>
      <c r="GX6" s="26" t="s">
        <v>1489</v>
      </c>
      <c r="GY6" s="26" t="s">
        <v>1489</v>
      </c>
      <c r="GZ6" s="26" t="s">
        <v>1489</v>
      </c>
      <c r="HA6" s="26" t="s">
        <v>1489</v>
      </c>
      <c r="HB6" s="26" t="s">
        <v>1489</v>
      </c>
      <c r="HC6" s="26" t="s">
        <v>1489</v>
      </c>
      <c r="HD6" s="26" t="s">
        <v>1489</v>
      </c>
      <c r="HE6" s="26" t="s">
        <v>1489</v>
      </c>
      <c r="HF6" s="26" t="s">
        <v>1489</v>
      </c>
      <c r="HG6" s="26" t="s">
        <v>1489</v>
      </c>
      <c r="HH6" s="26" t="s">
        <v>1489</v>
      </c>
      <c r="HI6" s="26" t="s">
        <v>1489</v>
      </c>
      <c r="HJ6" s="26" t="s">
        <v>1489</v>
      </c>
      <c r="HK6" s="26" t="s">
        <v>1489</v>
      </c>
      <c r="HL6" s="26" t="s">
        <v>1489</v>
      </c>
      <c r="HM6" s="26" t="s">
        <v>1489</v>
      </c>
      <c r="HN6" s="26" t="s">
        <v>1489</v>
      </c>
      <c r="HO6" s="26" t="s">
        <v>1489</v>
      </c>
      <c r="HP6" s="26" t="s">
        <v>1489</v>
      </c>
      <c r="HQ6" s="26" t="s">
        <v>1489</v>
      </c>
      <c r="HR6" s="26" t="s">
        <v>1489</v>
      </c>
      <c r="HS6" s="26" t="s">
        <v>1489</v>
      </c>
      <c r="HT6" s="26" t="s">
        <v>1320</v>
      </c>
    </row>
    <row r="7" spans="1:228" s="30" customFormat="1" x14ac:dyDescent="0.2">
      <c r="B7" s="31" t="s">
        <v>198</v>
      </c>
      <c r="C7" s="30" t="s">
        <v>1254</v>
      </c>
      <c r="D7" s="30" t="s">
        <v>1255</v>
      </c>
      <c r="E7" s="30" t="s">
        <v>1285</v>
      </c>
      <c r="F7" s="30" t="s">
        <v>1284</v>
      </c>
      <c r="G7" s="30" t="s">
        <v>1257</v>
      </c>
      <c r="H7" s="30" t="s">
        <v>1268</v>
      </c>
      <c r="I7" s="30" t="s">
        <v>1269</v>
      </c>
      <c r="J7" s="30" t="s">
        <v>1259</v>
      </c>
      <c r="K7" s="30" t="s">
        <v>1267</v>
      </c>
      <c r="L7" s="30" t="s">
        <v>1274</v>
      </c>
      <c r="M7" s="30" t="s">
        <v>2305</v>
      </c>
      <c r="N7" s="30" t="s">
        <v>1273</v>
      </c>
      <c r="O7" s="30" t="s">
        <v>1278</v>
      </c>
      <c r="P7" s="30" t="s">
        <v>1277</v>
      </c>
      <c r="Q7" s="30" t="s">
        <v>1275</v>
      </c>
      <c r="R7" s="30" t="s">
        <v>1279</v>
      </c>
      <c r="S7" s="30" t="s">
        <v>1281</v>
      </c>
      <c r="T7" s="30" t="s">
        <v>1265</v>
      </c>
      <c r="U7" s="30" t="s">
        <v>1266</v>
      </c>
      <c r="V7" s="30" t="s">
        <v>1286</v>
      </c>
      <c r="W7" s="30" t="s">
        <v>1296</v>
      </c>
      <c r="X7" s="30" t="s">
        <v>1295</v>
      </c>
      <c r="Y7" s="30" t="s">
        <v>1280</v>
      </c>
      <c r="Z7" s="30" t="s">
        <v>1299</v>
      </c>
      <c r="AA7" s="30" t="s">
        <v>1300</v>
      </c>
      <c r="AB7" s="30" t="s">
        <v>1294</v>
      </c>
      <c r="AC7" s="30" t="s">
        <v>1287</v>
      </c>
      <c r="AD7" s="30" t="s">
        <v>1297</v>
      </c>
      <c r="AE7" s="30" t="s">
        <v>1298</v>
      </c>
      <c r="AF7" s="30" t="s">
        <v>67</v>
      </c>
      <c r="AG7" s="30" t="s">
        <v>1608</v>
      </c>
      <c r="AH7" s="30" t="s">
        <v>2636</v>
      </c>
      <c r="AI7" s="30" t="s">
        <v>2635</v>
      </c>
      <c r="AJ7" s="30" t="s">
        <v>1303</v>
      </c>
      <c r="AK7" s="30" t="s">
        <v>1304</v>
      </c>
      <c r="AL7" s="30" t="s">
        <v>1301</v>
      </c>
      <c r="AM7" s="30" t="s">
        <v>1302</v>
      </c>
      <c r="AN7" s="30" t="s">
        <v>1290</v>
      </c>
      <c r="AO7" s="30" t="s">
        <v>1288</v>
      </c>
      <c r="AP7" s="30" t="s">
        <v>1292</v>
      </c>
      <c r="AQ7" s="30" t="s">
        <v>1293</v>
      </c>
      <c r="AR7" s="30" t="s">
        <v>68</v>
      </c>
      <c r="AS7" s="30" t="s">
        <v>1289</v>
      </c>
      <c r="AT7" s="30" t="s">
        <v>1291</v>
      </c>
      <c r="AU7" s="30" t="s">
        <v>1306</v>
      </c>
      <c r="AV7" s="30" t="s">
        <v>1305</v>
      </c>
      <c r="AW7" s="30" t="s">
        <v>1258</v>
      </c>
      <c r="AX7" s="30" t="s">
        <v>1272</v>
      </c>
      <c r="AY7" s="30" t="s">
        <v>1271</v>
      </c>
      <c r="AZ7" s="30" t="s">
        <v>1260</v>
      </c>
      <c r="BA7" s="30" t="s">
        <v>1270</v>
      </c>
      <c r="BB7" s="30" t="s">
        <v>1261</v>
      </c>
      <c r="BC7" s="30" t="s">
        <v>1264</v>
      </c>
      <c r="BD7" s="30" t="s">
        <v>1282</v>
      </c>
      <c r="BE7" s="30" t="s">
        <v>1283</v>
      </c>
      <c r="BF7" s="30" t="s">
        <v>1308</v>
      </c>
      <c r="BG7" s="30" t="s">
        <v>2306</v>
      </c>
      <c r="BH7" s="30" t="s">
        <v>1263</v>
      </c>
      <c r="BI7" s="30" t="s">
        <v>1307</v>
      </c>
      <c r="BJ7" s="30" t="s">
        <v>1262</v>
      </c>
      <c r="BK7" s="30" t="s">
        <v>1276</v>
      </c>
      <c r="BL7" s="30" t="s">
        <v>2868</v>
      </c>
      <c r="BM7" s="30" t="s">
        <v>3000</v>
      </c>
      <c r="BN7" s="30" t="s">
        <v>151</v>
      </c>
      <c r="BO7" s="30" t="s">
        <v>1309</v>
      </c>
      <c r="BP7" s="30" t="s">
        <v>1254</v>
      </c>
      <c r="BQ7" s="30" t="s">
        <v>1310</v>
      </c>
      <c r="BR7" s="30" t="s">
        <v>1311</v>
      </c>
      <c r="BS7" s="30" t="s">
        <v>1312</v>
      </c>
      <c r="BT7" s="30" t="s">
        <v>1313</v>
      </c>
      <c r="BU7" s="30" t="s">
        <v>1314</v>
      </c>
      <c r="BV7" s="30" t="s">
        <v>1315</v>
      </c>
      <c r="BW7" s="30" t="s">
        <v>1255</v>
      </c>
      <c r="BX7" s="30" t="s">
        <v>1255</v>
      </c>
      <c r="BY7" s="30" t="s">
        <v>1255</v>
      </c>
      <c r="BZ7" s="30" t="s">
        <v>1316</v>
      </c>
      <c r="CA7" s="30" t="s">
        <v>1316</v>
      </c>
      <c r="CB7" s="30" t="s">
        <v>1317</v>
      </c>
      <c r="CC7" s="30" t="s">
        <v>1317</v>
      </c>
      <c r="CD7" s="30" t="s">
        <v>1318</v>
      </c>
      <c r="CE7" s="30" t="s">
        <v>1319</v>
      </c>
      <c r="CF7" s="30" t="s">
        <v>1285</v>
      </c>
      <c r="CG7" s="30" t="s">
        <v>1284</v>
      </c>
      <c r="CH7" s="30" t="s">
        <v>1257</v>
      </c>
      <c r="CI7" s="30" t="s">
        <v>1268</v>
      </c>
      <c r="CJ7" s="30" t="s">
        <v>1269</v>
      </c>
      <c r="CK7" s="30" t="s">
        <v>1259</v>
      </c>
      <c r="CL7" s="30" t="s">
        <v>1267</v>
      </c>
      <c r="CM7" s="30" t="s">
        <v>1274</v>
      </c>
      <c r="CN7" s="30" t="s">
        <v>2305</v>
      </c>
      <c r="CO7" s="30" t="s">
        <v>1273</v>
      </c>
      <c r="CP7" s="30" t="s">
        <v>1278</v>
      </c>
      <c r="CQ7" s="30" t="s">
        <v>1277</v>
      </c>
      <c r="CR7" s="30" t="s">
        <v>1275</v>
      </c>
      <c r="CS7" s="30" t="s">
        <v>1279</v>
      </c>
      <c r="CT7" s="30" t="s">
        <v>1281</v>
      </c>
      <c r="CU7" s="30" t="s">
        <v>1265</v>
      </c>
      <c r="CV7" s="30" t="s">
        <v>1266</v>
      </c>
      <c r="CW7" s="30" t="s">
        <v>1286</v>
      </c>
      <c r="CX7" s="30" t="s">
        <v>1296</v>
      </c>
      <c r="CY7" s="30" t="s">
        <v>1295</v>
      </c>
      <c r="CZ7" s="30" t="s">
        <v>1280</v>
      </c>
      <c r="DA7" s="30" t="s">
        <v>1299</v>
      </c>
      <c r="DB7" s="30" t="s">
        <v>1300</v>
      </c>
      <c r="DC7" s="30" t="s">
        <v>1294</v>
      </c>
      <c r="DD7" s="30" t="s">
        <v>1287</v>
      </c>
      <c r="DE7" s="30" t="s">
        <v>1297</v>
      </c>
      <c r="DF7" s="30" t="s">
        <v>1298</v>
      </c>
      <c r="DG7" s="30" t="s">
        <v>67</v>
      </c>
      <c r="DH7" s="30" t="s">
        <v>1608</v>
      </c>
      <c r="DI7" s="30" t="s">
        <v>2636</v>
      </c>
      <c r="DJ7" s="30" t="s">
        <v>2635</v>
      </c>
      <c r="DK7" s="30" t="s">
        <v>1303</v>
      </c>
      <c r="DL7" s="30" t="s">
        <v>1304</v>
      </c>
      <c r="DM7" s="30" t="s">
        <v>1301</v>
      </c>
      <c r="DN7" s="30" t="s">
        <v>1302</v>
      </c>
      <c r="DO7" s="30" t="s">
        <v>1290</v>
      </c>
      <c r="DP7" s="30" t="s">
        <v>1288</v>
      </c>
      <c r="DQ7" s="30" t="s">
        <v>1292</v>
      </c>
      <c r="DR7" s="30" t="s">
        <v>1293</v>
      </c>
      <c r="DS7" s="30" t="s">
        <v>68</v>
      </c>
      <c r="DT7" s="30" t="s">
        <v>1289</v>
      </c>
      <c r="DU7" s="30" t="s">
        <v>1291</v>
      </c>
      <c r="DV7" s="30" t="s">
        <v>1306</v>
      </c>
      <c r="DW7" s="30" t="s">
        <v>1305</v>
      </c>
      <c r="DX7" s="30" t="s">
        <v>1258</v>
      </c>
      <c r="DY7" s="30" t="s">
        <v>1272</v>
      </c>
      <c r="DZ7" s="30" t="s">
        <v>1271</v>
      </c>
      <c r="EA7" s="30" t="s">
        <v>1260</v>
      </c>
      <c r="EB7" s="30" t="s">
        <v>1270</v>
      </c>
      <c r="EC7" s="30" t="s">
        <v>1261</v>
      </c>
      <c r="ED7" s="30" t="s">
        <v>1264</v>
      </c>
      <c r="EE7" s="30" t="s">
        <v>1282</v>
      </c>
      <c r="EF7" s="30" t="s">
        <v>1283</v>
      </c>
      <c r="EG7" s="30" t="s">
        <v>1308</v>
      </c>
      <c r="EH7" s="30" t="s">
        <v>2306</v>
      </c>
      <c r="EI7" s="30" t="s">
        <v>1263</v>
      </c>
      <c r="EJ7" s="30" t="s">
        <v>1307</v>
      </c>
      <c r="EK7" s="30" t="s">
        <v>1262</v>
      </c>
      <c r="EL7" s="30" t="s">
        <v>1276</v>
      </c>
      <c r="EM7" s="30" t="s">
        <v>2868</v>
      </c>
      <c r="EN7" s="30" t="s">
        <v>3000</v>
      </c>
      <c r="EO7" s="30" t="s">
        <v>151</v>
      </c>
      <c r="EP7" s="30" t="s">
        <v>1309</v>
      </c>
      <c r="EQ7" s="30" t="s">
        <v>1254</v>
      </c>
      <c r="ER7" s="30" t="s">
        <v>1310</v>
      </c>
      <c r="ES7" s="30" t="s">
        <v>1311</v>
      </c>
      <c r="ET7" s="30" t="s">
        <v>1312</v>
      </c>
      <c r="EU7" s="30" t="s">
        <v>1313</v>
      </c>
      <c r="EV7" s="30" t="s">
        <v>1314</v>
      </c>
      <c r="EW7" s="30" t="s">
        <v>1315</v>
      </c>
      <c r="EX7" s="30" t="s">
        <v>1255</v>
      </c>
      <c r="EY7" s="30" t="s">
        <v>1255</v>
      </c>
      <c r="EZ7" s="30" t="s">
        <v>1255</v>
      </c>
      <c r="FA7" s="30" t="s">
        <v>1316</v>
      </c>
      <c r="FB7" s="30" t="s">
        <v>1316</v>
      </c>
      <c r="FC7" s="30" t="s">
        <v>1317</v>
      </c>
      <c r="FD7" s="30" t="s">
        <v>1317</v>
      </c>
      <c r="FE7" s="30" t="s">
        <v>1318</v>
      </c>
      <c r="FF7" s="30" t="s">
        <v>1319</v>
      </c>
      <c r="FG7" s="30" t="s">
        <v>3203</v>
      </c>
      <c r="FH7" s="30" t="s">
        <v>2377</v>
      </c>
      <c r="FI7" s="30" t="s">
        <v>2995</v>
      </c>
      <c r="FJ7" s="30" t="s">
        <v>1285</v>
      </c>
      <c r="FK7" s="30" t="s">
        <v>1284</v>
      </c>
      <c r="FL7" s="30" t="s">
        <v>1257</v>
      </c>
      <c r="FM7" s="30" t="s">
        <v>1268</v>
      </c>
      <c r="FN7" s="30" t="s">
        <v>1269</v>
      </c>
      <c r="FO7" s="30" t="s">
        <v>1259</v>
      </c>
      <c r="FP7" s="30" t="s">
        <v>1267</v>
      </c>
      <c r="FQ7" s="30" t="s">
        <v>1274</v>
      </c>
      <c r="FR7" s="30" t="s">
        <v>2305</v>
      </c>
      <c r="FS7" s="30" t="s">
        <v>1273</v>
      </c>
      <c r="FT7" s="30" t="s">
        <v>1278</v>
      </c>
      <c r="FU7" s="30" t="s">
        <v>1277</v>
      </c>
      <c r="FV7" s="30" t="s">
        <v>1275</v>
      </c>
      <c r="FW7" s="30" t="s">
        <v>1279</v>
      </c>
      <c r="FX7" s="30" t="s">
        <v>1281</v>
      </c>
      <c r="FY7" s="30" t="s">
        <v>1265</v>
      </c>
      <c r="FZ7" s="30" t="s">
        <v>1266</v>
      </c>
      <c r="GA7" s="30" t="s">
        <v>1286</v>
      </c>
      <c r="GB7" s="30" t="s">
        <v>1296</v>
      </c>
      <c r="GC7" s="30" t="s">
        <v>1295</v>
      </c>
      <c r="GD7" s="30" t="s">
        <v>1280</v>
      </c>
      <c r="GE7" s="30" t="s">
        <v>1299</v>
      </c>
      <c r="GF7" s="30" t="s">
        <v>1300</v>
      </c>
      <c r="GG7" s="30" t="s">
        <v>1294</v>
      </c>
      <c r="GH7" s="30" t="s">
        <v>1287</v>
      </c>
      <c r="GI7" s="30" t="s">
        <v>1297</v>
      </c>
      <c r="GJ7" s="30" t="s">
        <v>1298</v>
      </c>
      <c r="GK7" s="30" t="s">
        <v>67</v>
      </c>
      <c r="GL7" s="30" t="s">
        <v>1608</v>
      </c>
      <c r="GM7" s="30" t="s">
        <v>2636</v>
      </c>
      <c r="GN7" s="30" t="s">
        <v>2635</v>
      </c>
      <c r="GO7" s="30" t="s">
        <v>1303</v>
      </c>
      <c r="GP7" s="30" t="s">
        <v>1304</v>
      </c>
      <c r="GQ7" s="30" t="s">
        <v>1301</v>
      </c>
      <c r="GR7" s="30" t="s">
        <v>1302</v>
      </c>
      <c r="GS7" s="30" t="s">
        <v>1290</v>
      </c>
      <c r="GT7" s="30" t="s">
        <v>1288</v>
      </c>
      <c r="GU7" s="30" t="s">
        <v>1292</v>
      </c>
      <c r="GV7" s="30" t="s">
        <v>1293</v>
      </c>
      <c r="GW7" s="30" t="s">
        <v>68</v>
      </c>
      <c r="GX7" s="30" t="s">
        <v>1289</v>
      </c>
      <c r="GY7" s="30" t="s">
        <v>1291</v>
      </c>
      <c r="GZ7" s="30" t="s">
        <v>1306</v>
      </c>
      <c r="HA7" s="30" t="s">
        <v>1305</v>
      </c>
      <c r="HB7" s="30" t="s">
        <v>1258</v>
      </c>
      <c r="HC7" s="30" t="s">
        <v>1272</v>
      </c>
      <c r="HD7" s="30" t="s">
        <v>1271</v>
      </c>
      <c r="HE7" s="30" t="s">
        <v>1260</v>
      </c>
      <c r="HF7" s="30" t="s">
        <v>1270</v>
      </c>
      <c r="HG7" s="30" t="s">
        <v>1261</v>
      </c>
      <c r="HH7" s="30" t="s">
        <v>1264</v>
      </c>
      <c r="HI7" s="30" t="s">
        <v>1282</v>
      </c>
      <c r="HJ7" s="30" t="s">
        <v>1283</v>
      </c>
      <c r="HK7" s="30" t="s">
        <v>1308</v>
      </c>
      <c r="HL7" s="30" t="s">
        <v>2306</v>
      </c>
      <c r="HM7" s="30" t="s">
        <v>1263</v>
      </c>
      <c r="HN7" s="30" t="s">
        <v>1307</v>
      </c>
      <c r="HO7" s="30" t="s">
        <v>1262</v>
      </c>
      <c r="HP7" s="30" t="s">
        <v>1276</v>
      </c>
      <c r="HQ7" s="30" t="s">
        <v>2868</v>
      </c>
      <c r="HR7" s="30" t="s">
        <v>3000</v>
      </c>
      <c r="HS7" s="30" t="s">
        <v>151</v>
      </c>
      <c r="HT7" s="30" t="s">
        <v>2995</v>
      </c>
    </row>
    <row r="8" spans="1:228" s="30" customFormat="1" x14ac:dyDescent="0.2">
      <c r="B8" s="31" t="s">
        <v>199</v>
      </c>
      <c r="C8" s="30" t="s">
        <v>206</v>
      </c>
      <c r="D8" s="30" t="s">
        <v>66</v>
      </c>
      <c r="E8" s="30" t="s">
        <v>206</v>
      </c>
      <c r="F8" s="30" t="s">
        <v>206</v>
      </c>
      <c r="G8" s="30" t="s">
        <v>206</v>
      </c>
      <c r="H8" s="30" t="s">
        <v>206</v>
      </c>
      <c r="I8" s="30" t="s">
        <v>206</v>
      </c>
      <c r="J8" s="30" t="s">
        <v>206</v>
      </c>
      <c r="K8" s="30" t="s">
        <v>206</v>
      </c>
      <c r="L8" s="30" t="s">
        <v>206</v>
      </c>
      <c r="M8" s="30" t="s">
        <v>206</v>
      </c>
      <c r="N8" s="30" t="s">
        <v>206</v>
      </c>
      <c r="O8" s="30" t="s">
        <v>206</v>
      </c>
      <c r="P8" s="30" t="s">
        <v>206</v>
      </c>
      <c r="Q8" s="30" t="s">
        <v>206</v>
      </c>
      <c r="R8" s="30" t="s">
        <v>206</v>
      </c>
      <c r="S8" s="30" t="s">
        <v>206</v>
      </c>
      <c r="T8" s="30" t="s">
        <v>206</v>
      </c>
      <c r="U8" s="30" t="s">
        <v>206</v>
      </c>
      <c r="V8" s="30" t="s">
        <v>206</v>
      </c>
      <c r="W8" s="30" t="s">
        <v>206</v>
      </c>
      <c r="X8" s="30" t="s">
        <v>206</v>
      </c>
      <c r="Y8" s="30" t="s">
        <v>206</v>
      </c>
      <c r="Z8" s="30" t="s">
        <v>206</v>
      </c>
      <c r="AA8" s="30" t="s">
        <v>206</v>
      </c>
      <c r="AB8" s="30" t="s">
        <v>206</v>
      </c>
      <c r="AC8" s="30" t="s">
        <v>206</v>
      </c>
      <c r="AD8" s="30" t="s">
        <v>206</v>
      </c>
      <c r="AE8" s="30" t="s">
        <v>206</v>
      </c>
      <c r="AF8" s="30" t="s">
        <v>206</v>
      </c>
      <c r="AG8" s="30" t="s">
        <v>206</v>
      </c>
      <c r="AH8" s="30" t="s">
        <v>206</v>
      </c>
      <c r="AI8" s="30" t="s">
        <v>206</v>
      </c>
      <c r="AJ8" s="30" t="s">
        <v>206</v>
      </c>
      <c r="AK8" s="30" t="s">
        <v>206</v>
      </c>
      <c r="AL8" s="30" t="s">
        <v>206</v>
      </c>
      <c r="AM8" s="30" t="s">
        <v>206</v>
      </c>
      <c r="AN8" s="30" t="s">
        <v>206</v>
      </c>
      <c r="AO8" s="30" t="s">
        <v>206</v>
      </c>
      <c r="AP8" s="30" t="s">
        <v>206</v>
      </c>
      <c r="AQ8" s="30" t="s">
        <v>206</v>
      </c>
      <c r="AR8" s="30" t="s">
        <v>206</v>
      </c>
      <c r="AS8" s="30" t="s">
        <v>206</v>
      </c>
      <c r="AT8" s="30" t="s">
        <v>206</v>
      </c>
      <c r="AU8" s="30" t="s">
        <v>206</v>
      </c>
      <c r="AV8" s="30" t="s">
        <v>206</v>
      </c>
      <c r="AW8" s="30" t="s">
        <v>206</v>
      </c>
      <c r="AX8" s="30" t="s">
        <v>206</v>
      </c>
      <c r="AY8" s="30" t="s">
        <v>206</v>
      </c>
      <c r="AZ8" s="30" t="s">
        <v>206</v>
      </c>
      <c r="BA8" s="30" t="s">
        <v>206</v>
      </c>
      <c r="BB8" s="30" t="s">
        <v>206</v>
      </c>
      <c r="BC8" s="30" t="s">
        <v>206</v>
      </c>
      <c r="BD8" s="30" t="s">
        <v>206</v>
      </c>
      <c r="BE8" s="30" t="s">
        <v>206</v>
      </c>
      <c r="BF8" s="30" t="s">
        <v>206</v>
      </c>
      <c r="BG8" s="30" t="s">
        <v>206</v>
      </c>
      <c r="BH8" s="30" t="s">
        <v>206</v>
      </c>
      <c r="BI8" s="30" t="s">
        <v>206</v>
      </c>
      <c r="BJ8" s="30" t="s">
        <v>206</v>
      </c>
      <c r="BK8" s="30" t="s">
        <v>206</v>
      </c>
      <c r="BL8" s="30" t="s">
        <v>206</v>
      </c>
      <c r="BM8" s="30" t="s">
        <v>206</v>
      </c>
      <c r="BN8" s="30" t="s">
        <v>206</v>
      </c>
      <c r="BO8" s="30" t="s">
        <v>70</v>
      </c>
      <c r="BP8" s="30" t="s">
        <v>206</v>
      </c>
      <c r="BQ8" s="30" t="s">
        <v>76</v>
      </c>
      <c r="BR8" s="30" t="s">
        <v>151</v>
      </c>
      <c r="BS8" s="30" t="s">
        <v>155</v>
      </c>
      <c r="BW8" s="30" t="s">
        <v>71</v>
      </c>
      <c r="BX8" s="30" t="s">
        <v>72</v>
      </c>
      <c r="BY8" s="30" t="s">
        <v>66</v>
      </c>
      <c r="BZ8" s="30" t="s">
        <v>73</v>
      </c>
      <c r="CA8" s="30" t="s">
        <v>74</v>
      </c>
      <c r="CB8" s="30" t="s">
        <v>75</v>
      </c>
      <c r="CC8" s="30" t="s">
        <v>154</v>
      </c>
      <c r="CE8" s="30" t="s">
        <v>76</v>
      </c>
      <c r="CF8" s="30" t="s">
        <v>206</v>
      </c>
      <c r="CG8" s="30" t="s">
        <v>206</v>
      </c>
      <c r="CH8" s="30" t="s">
        <v>206</v>
      </c>
      <c r="CI8" s="30" t="s">
        <v>206</v>
      </c>
      <c r="CJ8" s="30" t="s">
        <v>206</v>
      </c>
      <c r="CK8" s="30" t="s">
        <v>206</v>
      </c>
      <c r="CL8" s="30" t="s">
        <v>206</v>
      </c>
      <c r="CM8" s="30" t="s">
        <v>206</v>
      </c>
      <c r="CN8" s="30" t="s">
        <v>206</v>
      </c>
      <c r="CO8" s="30" t="s">
        <v>206</v>
      </c>
      <c r="CP8" s="30" t="s">
        <v>206</v>
      </c>
      <c r="CQ8" s="30" t="s">
        <v>206</v>
      </c>
      <c r="CR8" s="30" t="s">
        <v>206</v>
      </c>
      <c r="CS8" s="30" t="s">
        <v>206</v>
      </c>
      <c r="CT8" s="30" t="s">
        <v>206</v>
      </c>
      <c r="CU8" s="30" t="s">
        <v>206</v>
      </c>
      <c r="CV8" s="30" t="s">
        <v>206</v>
      </c>
      <c r="CW8" s="30" t="s">
        <v>206</v>
      </c>
      <c r="CX8" s="30" t="s">
        <v>206</v>
      </c>
      <c r="CY8" s="30" t="s">
        <v>206</v>
      </c>
      <c r="CZ8" s="30" t="s">
        <v>206</v>
      </c>
      <c r="DA8" s="30" t="s">
        <v>206</v>
      </c>
      <c r="DB8" s="30" t="s">
        <v>206</v>
      </c>
      <c r="DC8" s="30" t="s">
        <v>206</v>
      </c>
      <c r="DD8" s="30" t="s">
        <v>206</v>
      </c>
      <c r="DE8" s="30" t="s">
        <v>206</v>
      </c>
      <c r="DF8" s="30" t="s">
        <v>206</v>
      </c>
      <c r="DG8" s="30" t="s">
        <v>206</v>
      </c>
      <c r="DH8" s="30" t="s">
        <v>206</v>
      </c>
      <c r="DI8" s="30" t="s">
        <v>206</v>
      </c>
      <c r="DJ8" s="30" t="s">
        <v>206</v>
      </c>
      <c r="DK8" s="30" t="s">
        <v>206</v>
      </c>
      <c r="DL8" s="30" t="s">
        <v>206</v>
      </c>
      <c r="DM8" s="30" t="s">
        <v>206</v>
      </c>
      <c r="DN8" s="30" t="s">
        <v>206</v>
      </c>
      <c r="DO8" s="30" t="s">
        <v>206</v>
      </c>
      <c r="DP8" s="30" t="s">
        <v>206</v>
      </c>
      <c r="DQ8" s="30" t="s">
        <v>206</v>
      </c>
      <c r="DR8" s="30" t="s">
        <v>206</v>
      </c>
      <c r="DS8" s="30" t="s">
        <v>206</v>
      </c>
      <c r="DT8" s="30" t="s">
        <v>206</v>
      </c>
      <c r="DU8" s="30" t="s">
        <v>206</v>
      </c>
      <c r="DV8" s="30" t="s">
        <v>206</v>
      </c>
      <c r="DW8" s="30" t="s">
        <v>206</v>
      </c>
      <c r="DX8" s="30" t="s">
        <v>206</v>
      </c>
      <c r="DY8" s="30" t="s">
        <v>206</v>
      </c>
      <c r="DZ8" s="30" t="s">
        <v>206</v>
      </c>
      <c r="EA8" s="30" t="s">
        <v>206</v>
      </c>
      <c r="EB8" s="30" t="s">
        <v>206</v>
      </c>
      <c r="EC8" s="30" t="s">
        <v>206</v>
      </c>
      <c r="ED8" s="30" t="s">
        <v>206</v>
      </c>
      <c r="EE8" s="30" t="s">
        <v>206</v>
      </c>
      <c r="EF8" s="30" t="s">
        <v>206</v>
      </c>
      <c r="EG8" s="30" t="s">
        <v>206</v>
      </c>
      <c r="EH8" s="30" t="s">
        <v>206</v>
      </c>
      <c r="EI8" s="30" t="s">
        <v>206</v>
      </c>
      <c r="EJ8" s="30" t="s">
        <v>206</v>
      </c>
      <c r="EK8" s="30" t="s">
        <v>206</v>
      </c>
      <c r="EL8" s="30" t="s">
        <v>206</v>
      </c>
      <c r="EM8" s="30" t="s">
        <v>206</v>
      </c>
      <c r="EN8" s="30" t="s">
        <v>206</v>
      </c>
      <c r="EO8" s="30" t="s">
        <v>206</v>
      </c>
      <c r="EP8" s="30" t="s">
        <v>70</v>
      </c>
      <c r="EQ8" s="30" t="s">
        <v>206</v>
      </c>
      <c r="ER8" s="30" t="s">
        <v>76</v>
      </c>
      <c r="ES8" s="30" t="s">
        <v>151</v>
      </c>
      <c r="ET8" s="30" t="s">
        <v>155</v>
      </c>
      <c r="EX8" s="30" t="s">
        <v>71</v>
      </c>
      <c r="EY8" s="30" t="s">
        <v>72</v>
      </c>
      <c r="EZ8" s="30" t="s">
        <v>66</v>
      </c>
      <c r="FA8" s="30" t="s">
        <v>73</v>
      </c>
      <c r="FB8" s="30" t="s">
        <v>74</v>
      </c>
      <c r="FC8" s="30" t="s">
        <v>75</v>
      </c>
      <c r="FD8" s="30" t="s">
        <v>154</v>
      </c>
      <c r="FF8" s="30" t="s">
        <v>76</v>
      </c>
      <c r="FG8" s="30" t="s">
        <v>3204</v>
      </c>
      <c r="FH8" s="30" t="s">
        <v>2376</v>
      </c>
      <c r="FI8" s="30" t="s">
        <v>1490</v>
      </c>
      <c r="FJ8" s="30" t="s">
        <v>1490</v>
      </c>
      <c r="FK8" s="30" t="s">
        <v>1490</v>
      </c>
      <c r="FL8" s="30" t="s">
        <v>1490</v>
      </c>
      <c r="FM8" s="30" t="s">
        <v>1490</v>
      </c>
      <c r="FN8" s="30" t="s">
        <v>1490</v>
      </c>
      <c r="FO8" s="30" t="s">
        <v>1490</v>
      </c>
      <c r="FP8" s="30" t="s">
        <v>1490</v>
      </c>
      <c r="FQ8" s="30" t="s">
        <v>1490</v>
      </c>
      <c r="FR8" s="30" t="s">
        <v>1490</v>
      </c>
      <c r="FS8" s="30" t="s">
        <v>1490</v>
      </c>
      <c r="FT8" s="30" t="s">
        <v>1490</v>
      </c>
      <c r="FU8" s="30" t="s">
        <v>1490</v>
      </c>
      <c r="FV8" s="30" t="s">
        <v>1490</v>
      </c>
      <c r="FW8" s="30" t="s">
        <v>1490</v>
      </c>
      <c r="FX8" s="30" t="s">
        <v>1490</v>
      </c>
      <c r="FY8" s="30" t="s">
        <v>1490</v>
      </c>
      <c r="FZ8" s="30" t="s">
        <v>1490</v>
      </c>
      <c r="GA8" s="30" t="s">
        <v>1490</v>
      </c>
      <c r="GB8" s="30" t="s">
        <v>1490</v>
      </c>
      <c r="GC8" s="30" t="s">
        <v>1490</v>
      </c>
      <c r="GD8" s="30" t="s">
        <v>1490</v>
      </c>
      <c r="GE8" s="30" t="s">
        <v>1490</v>
      </c>
      <c r="GF8" s="30" t="s">
        <v>1490</v>
      </c>
      <c r="GG8" s="30" t="s">
        <v>1490</v>
      </c>
      <c r="GH8" s="30" t="s">
        <v>1490</v>
      </c>
      <c r="GI8" s="30" t="s">
        <v>1490</v>
      </c>
      <c r="GJ8" s="30" t="s">
        <v>1490</v>
      </c>
      <c r="GK8" s="30" t="s">
        <v>1490</v>
      </c>
      <c r="GL8" s="30" t="s">
        <v>1490</v>
      </c>
      <c r="GM8" s="30" t="s">
        <v>1490</v>
      </c>
      <c r="GN8" s="30" t="s">
        <v>1490</v>
      </c>
      <c r="GO8" s="30" t="s">
        <v>1490</v>
      </c>
      <c r="GP8" s="30" t="s">
        <v>1490</v>
      </c>
      <c r="GQ8" s="30" t="s">
        <v>1490</v>
      </c>
      <c r="GR8" s="30" t="s">
        <v>1490</v>
      </c>
      <c r="GS8" s="30" t="s">
        <v>1490</v>
      </c>
      <c r="GT8" s="30" t="s">
        <v>1490</v>
      </c>
      <c r="GU8" s="30" t="s">
        <v>1490</v>
      </c>
      <c r="GV8" s="30" t="s">
        <v>1490</v>
      </c>
      <c r="GW8" s="30" t="s">
        <v>1490</v>
      </c>
      <c r="GX8" s="30" t="s">
        <v>1490</v>
      </c>
      <c r="GY8" s="30" t="s">
        <v>1490</v>
      </c>
      <c r="GZ8" s="30" t="s">
        <v>1490</v>
      </c>
      <c r="HA8" s="30" t="s">
        <v>1490</v>
      </c>
      <c r="HB8" s="30" t="s">
        <v>1490</v>
      </c>
      <c r="HC8" s="30" t="s">
        <v>1490</v>
      </c>
      <c r="HD8" s="30" t="s">
        <v>1490</v>
      </c>
      <c r="HE8" s="30" t="s">
        <v>1490</v>
      </c>
      <c r="HF8" s="30" t="s">
        <v>1490</v>
      </c>
      <c r="HG8" s="30" t="s">
        <v>1490</v>
      </c>
      <c r="HH8" s="30" t="s">
        <v>1490</v>
      </c>
      <c r="HI8" s="30" t="s">
        <v>1490</v>
      </c>
      <c r="HJ8" s="30" t="s">
        <v>1490</v>
      </c>
      <c r="HK8" s="30" t="s">
        <v>1490</v>
      </c>
      <c r="HL8" s="30" t="s">
        <v>1490</v>
      </c>
      <c r="HM8" s="30" t="s">
        <v>1490</v>
      </c>
      <c r="HN8" s="30" t="s">
        <v>1490</v>
      </c>
      <c r="HO8" s="30" t="s">
        <v>1490</v>
      </c>
      <c r="HP8" s="30" t="s">
        <v>1490</v>
      </c>
      <c r="HQ8" s="30" t="s">
        <v>1490</v>
      </c>
      <c r="HR8" s="30" t="s">
        <v>1490</v>
      </c>
      <c r="HS8" s="30" t="s">
        <v>1490</v>
      </c>
      <c r="HT8" s="30" t="s">
        <v>1490</v>
      </c>
    </row>
    <row r="9" spans="1:228" x14ac:dyDescent="0.2">
      <c r="B9" s="27">
        <v>101</v>
      </c>
      <c r="C9" s="26">
        <v>104166.667</v>
      </c>
      <c r="D9" s="26">
        <v>-194.94873999999999</v>
      </c>
      <c r="E9" s="26">
        <v>20833.333299999998</v>
      </c>
      <c r="F9" s="26">
        <v>0</v>
      </c>
      <c r="G9" s="26">
        <v>0</v>
      </c>
      <c r="H9" s="26">
        <v>0</v>
      </c>
      <c r="I9" s="26">
        <v>0</v>
      </c>
      <c r="J9" s="26">
        <v>0</v>
      </c>
      <c r="K9" s="26">
        <v>0</v>
      </c>
      <c r="L9" s="26">
        <v>0</v>
      </c>
      <c r="M9" s="26">
        <v>641.66666699999996</v>
      </c>
      <c r="N9" s="26">
        <v>0</v>
      </c>
      <c r="O9" s="26">
        <v>0</v>
      </c>
      <c r="P9" s="26">
        <v>0</v>
      </c>
      <c r="Q9" s="26">
        <v>0</v>
      </c>
      <c r="R9" s="26">
        <v>0</v>
      </c>
      <c r="S9" s="26">
        <v>12208.3333</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W9" s="26">
        <v>0</v>
      </c>
      <c r="AX9" s="26">
        <v>0</v>
      </c>
      <c r="AY9" s="26">
        <v>0</v>
      </c>
      <c r="AZ9" s="26">
        <v>0</v>
      </c>
      <c r="BA9" s="26">
        <v>0</v>
      </c>
      <c r="BB9" s="26">
        <v>0</v>
      </c>
      <c r="BC9" s="26">
        <v>0</v>
      </c>
      <c r="BD9" s="26">
        <v>0</v>
      </c>
      <c r="BE9" s="26">
        <v>0</v>
      </c>
      <c r="BF9" s="26">
        <v>0</v>
      </c>
      <c r="BG9" s="26">
        <v>0</v>
      </c>
      <c r="BH9" s="26">
        <v>0</v>
      </c>
      <c r="BI9" s="26">
        <v>0</v>
      </c>
      <c r="BJ9" s="26">
        <v>0</v>
      </c>
      <c r="BK9" s="26">
        <v>0</v>
      </c>
      <c r="BL9" s="26">
        <v>0</v>
      </c>
      <c r="BM9" s="26">
        <v>0</v>
      </c>
      <c r="BN9" s="26">
        <v>0</v>
      </c>
      <c r="BO9" s="26">
        <v>1226.06502</v>
      </c>
      <c r="BP9" s="26">
        <v>33683.333299999998</v>
      </c>
      <c r="BQ9" s="26">
        <v>435.67472099999998</v>
      </c>
      <c r="BR9" s="26">
        <v>25</v>
      </c>
      <c r="BS9" s="26">
        <v>1</v>
      </c>
      <c r="BT9" s="26">
        <v>0</v>
      </c>
      <c r="BU9" s="26">
        <v>1</v>
      </c>
      <c r="BV9" s="26">
        <v>0</v>
      </c>
      <c r="BW9" s="26">
        <v>-81696.595799999996</v>
      </c>
      <c r="BX9" s="26">
        <v>-2973.7359099999999</v>
      </c>
      <c r="BY9" s="26">
        <v>-100.165339</v>
      </c>
      <c r="BZ9" s="26">
        <v>-51.328981499999998</v>
      </c>
      <c r="CA9" s="26">
        <v>-1.8683622499999999</v>
      </c>
      <c r="CB9" s="26">
        <v>4.6902920200000003E-2</v>
      </c>
      <c r="CC9" s="26">
        <v>1.2885505100000001</v>
      </c>
      <c r="CD9" s="26">
        <v>27.472713800000001</v>
      </c>
      <c r="CE9" s="26">
        <v>527.31302700000003</v>
      </c>
      <c r="CF9" s="26">
        <v>0</v>
      </c>
      <c r="CG9" s="26">
        <v>0</v>
      </c>
      <c r="CH9" s="26">
        <v>0</v>
      </c>
      <c r="CI9" s="26">
        <v>0</v>
      </c>
      <c r="CJ9" s="26">
        <v>0</v>
      </c>
      <c r="CK9" s="26">
        <v>0</v>
      </c>
      <c r="CL9" s="26">
        <v>0</v>
      </c>
      <c r="CM9" s="26">
        <v>0</v>
      </c>
      <c r="CN9" s="26">
        <v>0</v>
      </c>
      <c r="CO9" s="26">
        <v>0</v>
      </c>
      <c r="CP9" s="26">
        <v>0</v>
      </c>
      <c r="CQ9" s="26">
        <v>0</v>
      </c>
      <c r="CR9" s="26">
        <v>0</v>
      </c>
      <c r="CS9" s="26">
        <v>0</v>
      </c>
      <c r="CT9" s="26">
        <v>0</v>
      </c>
      <c r="CU9" s="26">
        <v>0</v>
      </c>
      <c r="CV9" s="26">
        <v>0</v>
      </c>
      <c r="CW9" s="26">
        <v>0</v>
      </c>
      <c r="CX9" s="26">
        <v>0</v>
      </c>
      <c r="CY9" s="26">
        <v>0</v>
      </c>
      <c r="CZ9" s="26">
        <v>0</v>
      </c>
      <c r="DA9" s="26">
        <v>0</v>
      </c>
      <c r="DB9" s="26">
        <v>0</v>
      </c>
      <c r="DC9" s="26">
        <v>0</v>
      </c>
      <c r="DD9" s="26">
        <v>0</v>
      </c>
      <c r="DE9" s="26">
        <v>0</v>
      </c>
      <c r="DF9" s="26">
        <v>0</v>
      </c>
      <c r="DG9" s="26">
        <v>0</v>
      </c>
      <c r="DH9" s="26">
        <v>0</v>
      </c>
      <c r="DI9" s="26">
        <v>0</v>
      </c>
      <c r="DJ9" s="26">
        <v>0</v>
      </c>
      <c r="DK9" s="26">
        <v>0</v>
      </c>
      <c r="DL9" s="26">
        <v>0</v>
      </c>
      <c r="DM9" s="26">
        <v>0</v>
      </c>
      <c r="DN9" s="26">
        <v>0</v>
      </c>
      <c r="DO9" s="26">
        <v>0</v>
      </c>
      <c r="DP9" s="26">
        <v>0</v>
      </c>
      <c r="DQ9" s="26">
        <v>0</v>
      </c>
      <c r="DR9" s="26">
        <v>0</v>
      </c>
      <c r="DS9" s="26">
        <v>0</v>
      </c>
      <c r="DT9" s="26">
        <v>0</v>
      </c>
      <c r="DU9" s="26">
        <v>0</v>
      </c>
      <c r="DV9" s="26">
        <v>0</v>
      </c>
      <c r="DW9" s="26">
        <v>0</v>
      </c>
      <c r="DX9" s="26">
        <v>29204.880399999995</v>
      </c>
      <c r="DY9" s="26">
        <v>1191.5257899999999</v>
      </c>
      <c r="DZ9" s="26">
        <v>499.94089100000008</v>
      </c>
      <c r="EA9" s="26">
        <v>16273.076000000001</v>
      </c>
      <c r="EB9" s="26">
        <v>1983.09887</v>
      </c>
      <c r="EC9" s="26">
        <v>13131.780699999999</v>
      </c>
      <c r="ED9" s="26">
        <v>1508.1550199999999</v>
      </c>
      <c r="EE9" s="26">
        <v>2583.0279399999999</v>
      </c>
      <c r="EF9" s="26">
        <v>4107.8476600000004</v>
      </c>
      <c r="EG9" s="26">
        <v>0</v>
      </c>
      <c r="EH9" s="26">
        <v>0</v>
      </c>
      <c r="EI9" s="26">
        <v>0</v>
      </c>
      <c r="EJ9" s="26">
        <v>0</v>
      </c>
      <c r="EK9" s="26">
        <v>0</v>
      </c>
      <c r="EL9" s="26">
        <v>0</v>
      </c>
      <c r="EM9" s="26">
        <v>0</v>
      </c>
      <c r="EN9" s="26">
        <v>0</v>
      </c>
      <c r="EO9" s="26">
        <v>0</v>
      </c>
      <c r="EP9" s="26">
        <v>626.50221799999997</v>
      </c>
      <c r="EQ9" s="26">
        <v>70483.333299999998</v>
      </c>
      <c r="ER9" s="26">
        <v>561.380898</v>
      </c>
      <c r="ES9" s="26">
        <v>25</v>
      </c>
      <c r="ET9" s="26">
        <v>1</v>
      </c>
      <c r="EU9" s="26">
        <v>0</v>
      </c>
      <c r="EV9" s="26">
        <v>0</v>
      </c>
      <c r="EW9" s="26">
        <v>1</v>
      </c>
      <c r="EX9" s="26">
        <v>-151289.80799999999</v>
      </c>
      <c r="EY9" s="26">
        <v>-1344.7633000000001</v>
      </c>
      <c r="EZ9" s="26">
        <v>-94.783400900000004</v>
      </c>
      <c r="FA9" s="26">
        <v>-447.31152200000002</v>
      </c>
      <c r="FB9" s="26">
        <v>-3.9759989600000001</v>
      </c>
      <c r="FC9" s="26">
        <v>1.8600033500000002E-2</v>
      </c>
      <c r="FD9" s="26">
        <v>2.09255821</v>
      </c>
      <c r="FE9" s="26">
        <v>112.502927</v>
      </c>
      <c r="FF9" s="26">
        <v>0</v>
      </c>
      <c r="FG9" s="26">
        <v>0.97188512999999999</v>
      </c>
      <c r="FH9" s="26">
        <v>-226725384.61999997</v>
      </c>
      <c r="FI9" s="26">
        <v>0.1191897662312959</v>
      </c>
      <c r="FJ9" s="26">
        <v>0</v>
      </c>
      <c r="FK9" s="26">
        <v>0</v>
      </c>
      <c r="FL9" s="26">
        <v>0</v>
      </c>
      <c r="FM9" s="26">
        <v>0</v>
      </c>
      <c r="FN9" s="26">
        <v>0</v>
      </c>
      <c r="FO9" s="26">
        <v>0</v>
      </c>
      <c r="FP9" s="26">
        <v>0</v>
      </c>
      <c r="FQ9" s="26">
        <v>0</v>
      </c>
      <c r="FR9" s="26">
        <v>0</v>
      </c>
      <c r="FS9" s="26">
        <v>0</v>
      </c>
      <c r="FT9" s="26">
        <v>0</v>
      </c>
      <c r="FU9" s="26">
        <v>0</v>
      </c>
      <c r="FV9" s="26">
        <v>0</v>
      </c>
      <c r="FW9" s="26">
        <v>0</v>
      </c>
      <c r="FX9" s="26">
        <v>0</v>
      </c>
      <c r="FY9" s="26">
        <v>0</v>
      </c>
      <c r="FZ9" s="26">
        <v>0</v>
      </c>
      <c r="GA9" s="26">
        <v>0</v>
      </c>
      <c r="GB9" s="26">
        <v>0</v>
      </c>
      <c r="GC9" s="26">
        <v>0</v>
      </c>
      <c r="GD9" s="26">
        <v>0</v>
      </c>
      <c r="GE9" s="26">
        <v>0</v>
      </c>
      <c r="GF9" s="26">
        <v>0</v>
      </c>
      <c r="GG9" s="26">
        <v>0</v>
      </c>
      <c r="GH9" s="26">
        <v>0</v>
      </c>
      <c r="GI9" s="26">
        <v>0</v>
      </c>
      <c r="GJ9" s="26">
        <v>0</v>
      </c>
      <c r="GK9" s="26">
        <v>0</v>
      </c>
      <c r="GL9" s="26">
        <v>0</v>
      </c>
      <c r="GM9" s="26">
        <v>0</v>
      </c>
      <c r="GN9" s="26">
        <v>0</v>
      </c>
      <c r="GO9" s="26">
        <v>0</v>
      </c>
      <c r="GP9" s="26">
        <v>0</v>
      </c>
      <c r="GQ9" s="26">
        <v>0</v>
      </c>
      <c r="GR9" s="26">
        <v>0</v>
      </c>
      <c r="GS9" s="26">
        <v>0</v>
      </c>
      <c r="GT9" s="26">
        <v>0</v>
      </c>
      <c r="GU9" s="26">
        <v>0</v>
      </c>
      <c r="GV9" s="26">
        <v>0</v>
      </c>
      <c r="GW9" s="26">
        <v>0</v>
      </c>
      <c r="GX9" s="26">
        <v>0</v>
      </c>
      <c r="GY9" s="26">
        <v>0</v>
      </c>
      <c r="GZ9" s="26">
        <v>0</v>
      </c>
      <c r="HA9" s="26">
        <v>0</v>
      </c>
      <c r="HB9" s="26">
        <v>0</v>
      </c>
      <c r="HC9" s="26">
        <v>0</v>
      </c>
      <c r="HD9" s="26">
        <v>0</v>
      </c>
      <c r="HE9" s="26">
        <v>0</v>
      </c>
      <c r="HF9" s="26">
        <v>0</v>
      </c>
      <c r="HG9" s="26">
        <v>0</v>
      </c>
      <c r="HH9" s="26">
        <v>0</v>
      </c>
      <c r="HI9" s="26">
        <v>0</v>
      </c>
      <c r="HJ9" s="26">
        <v>0</v>
      </c>
      <c r="HK9" s="26">
        <v>0</v>
      </c>
      <c r="HL9" s="26">
        <v>0</v>
      </c>
      <c r="HM9" s="26">
        <v>0</v>
      </c>
      <c r="HN9" s="26">
        <v>0</v>
      </c>
      <c r="HO9" s="26">
        <v>0</v>
      </c>
      <c r="HP9" s="26">
        <v>0</v>
      </c>
      <c r="HQ9" s="26">
        <v>0</v>
      </c>
      <c r="HR9" s="26">
        <v>0</v>
      </c>
      <c r="HS9" s="26">
        <v>0</v>
      </c>
      <c r="HT9" s="26">
        <v>0.74666720041778212</v>
      </c>
    </row>
    <row r="10" spans="1:228" x14ac:dyDescent="0.2">
      <c r="B10" s="27">
        <v>105</v>
      </c>
      <c r="C10" s="26">
        <v>104166.667</v>
      </c>
      <c r="D10" s="26">
        <v>-194.94873999999999</v>
      </c>
      <c r="E10" s="26">
        <v>20833.333299999998</v>
      </c>
      <c r="F10" s="26">
        <v>0</v>
      </c>
      <c r="G10" s="26">
        <v>0</v>
      </c>
      <c r="H10" s="26">
        <v>0</v>
      </c>
      <c r="I10" s="26">
        <v>0</v>
      </c>
      <c r="J10" s="26">
        <v>0</v>
      </c>
      <c r="K10" s="26">
        <v>0</v>
      </c>
      <c r="L10" s="26">
        <v>0</v>
      </c>
      <c r="M10" s="26">
        <v>641.66666699999996</v>
      </c>
      <c r="N10" s="26">
        <v>0</v>
      </c>
      <c r="O10" s="26">
        <v>0</v>
      </c>
      <c r="P10" s="26">
        <v>0</v>
      </c>
      <c r="Q10" s="26">
        <v>0</v>
      </c>
      <c r="R10" s="26">
        <v>0</v>
      </c>
      <c r="S10" s="26">
        <v>12208.3333</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W10" s="26">
        <v>0</v>
      </c>
      <c r="AX10" s="26">
        <v>0</v>
      </c>
      <c r="AY10" s="26">
        <v>0</v>
      </c>
      <c r="AZ10" s="26">
        <v>0</v>
      </c>
      <c r="BA10" s="26">
        <v>0</v>
      </c>
      <c r="BB10" s="26">
        <v>0</v>
      </c>
      <c r="BC10" s="26">
        <v>0</v>
      </c>
      <c r="BD10" s="26">
        <v>0</v>
      </c>
      <c r="BE10" s="26">
        <v>0</v>
      </c>
      <c r="BF10" s="26">
        <v>0</v>
      </c>
      <c r="BG10" s="26">
        <v>0</v>
      </c>
      <c r="BH10" s="26">
        <v>0</v>
      </c>
      <c r="BI10" s="26">
        <v>0</v>
      </c>
      <c r="BJ10" s="26">
        <v>0</v>
      </c>
      <c r="BK10" s="26">
        <v>0</v>
      </c>
      <c r="BL10" s="26">
        <v>0</v>
      </c>
      <c r="BM10" s="26">
        <v>0</v>
      </c>
      <c r="BN10" s="26">
        <v>0</v>
      </c>
      <c r="BO10" s="26">
        <v>1226.06502</v>
      </c>
      <c r="BP10" s="26">
        <v>33683.333299999998</v>
      </c>
      <c r="BQ10" s="26">
        <v>435.67472099999998</v>
      </c>
      <c r="BR10" s="26">
        <v>25</v>
      </c>
      <c r="BS10" s="26">
        <v>1</v>
      </c>
      <c r="BT10" s="26">
        <v>0</v>
      </c>
      <c r="BU10" s="26">
        <v>1</v>
      </c>
      <c r="BV10" s="26">
        <v>0</v>
      </c>
      <c r="BW10" s="26">
        <v>-81696.595799999996</v>
      </c>
      <c r="BX10" s="26">
        <v>-2973.7359099999999</v>
      </c>
      <c r="BY10" s="26">
        <v>-100.165339</v>
      </c>
      <c r="BZ10" s="26">
        <v>-51.328981499999998</v>
      </c>
      <c r="CA10" s="26">
        <v>-1.8683622499999999</v>
      </c>
      <c r="CB10" s="26">
        <v>4.6902920200000003E-2</v>
      </c>
      <c r="CC10" s="26">
        <v>1.2885505100000001</v>
      </c>
      <c r="CD10" s="26">
        <v>27.472713800000001</v>
      </c>
      <c r="CE10" s="26">
        <v>527.31302700000003</v>
      </c>
      <c r="CF10" s="26">
        <v>0</v>
      </c>
      <c r="CG10" s="26">
        <v>0</v>
      </c>
      <c r="CH10" s="26">
        <v>0</v>
      </c>
      <c r="CI10" s="26">
        <v>0</v>
      </c>
      <c r="CJ10" s="26">
        <v>0</v>
      </c>
      <c r="CK10" s="26">
        <v>0</v>
      </c>
      <c r="CL10" s="26">
        <v>0</v>
      </c>
      <c r="CM10" s="26">
        <v>0</v>
      </c>
      <c r="CN10" s="26">
        <v>0</v>
      </c>
      <c r="CO10" s="26">
        <v>0</v>
      </c>
      <c r="CP10" s="26">
        <v>0</v>
      </c>
      <c r="CQ10" s="26">
        <v>0</v>
      </c>
      <c r="CR10" s="26">
        <v>0</v>
      </c>
      <c r="CS10" s="26">
        <v>0</v>
      </c>
      <c r="CT10" s="26">
        <v>0</v>
      </c>
      <c r="CU10" s="26">
        <v>0</v>
      </c>
      <c r="CV10" s="26">
        <v>0</v>
      </c>
      <c r="CW10" s="26">
        <v>0</v>
      </c>
      <c r="CX10" s="26">
        <v>0</v>
      </c>
      <c r="CY10" s="26">
        <v>0</v>
      </c>
      <c r="CZ10" s="26">
        <v>0</v>
      </c>
      <c r="DA10" s="26">
        <v>0</v>
      </c>
      <c r="DB10" s="26">
        <v>0</v>
      </c>
      <c r="DC10" s="26">
        <v>0</v>
      </c>
      <c r="DD10" s="26">
        <v>0</v>
      </c>
      <c r="DE10" s="26">
        <v>0</v>
      </c>
      <c r="DF10" s="26">
        <v>0</v>
      </c>
      <c r="DG10" s="26">
        <v>0</v>
      </c>
      <c r="DH10" s="26">
        <v>0</v>
      </c>
      <c r="DI10" s="26">
        <v>0</v>
      </c>
      <c r="DJ10" s="26">
        <v>0</v>
      </c>
      <c r="DK10" s="26">
        <v>0</v>
      </c>
      <c r="DL10" s="26">
        <v>0</v>
      </c>
      <c r="DM10" s="26">
        <v>0</v>
      </c>
      <c r="DN10" s="26">
        <v>0</v>
      </c>
      <c r="DO10" s="26">
        <v>0</v>
      </c>
      <c r="DP10" s="26">
        <v>0</v>
      </c>
      <c r="DQ10" s="26">
        <v>0</v>
      </c>
      <c r="DR10" s="26">
        <v>0</v>
      </c>
      <c r="DS10" s="26">
        <v>0</v>
      </c>
      <c r="DT10" s="26">
        <v>0</v>
      </c>
      <c r="DU10" s="26">
        <v>0</v>
      </c>
      <c r="DV10" s="26">
        <v>0</v>
      </c>
      <c r="DW10" s="26">
        <v>0</v>
      </c>
      <c r="DX10" s="26">
        <v>29204.880399999995</v>
      </c>
      <c r="DY10" s="26">
        <v>1191.5257899999999</v>
      </c>
      <c r="DZ10" s="26">
        <v>499.94089100000008</v>
      </c>
      <c r="EA10" s="26">
        <v>16273.076000000001</v>
      </c>
      <c r="EB10" s="26">
        <v>1983.09887</v>
      </c>
      <c r="EC10" s="26">
        <v>13131.780699999999</v>
      </c>
      <c r="ED10" s="26">
        <v>1508.1550199999999</v>
      </c>
      <c r="EE10" s="26">
        <v>2583.0279399999999</v>
      </c>
      <c r="EF10" s="26">
        <v>4107.8476600000004</v>
      </c>
      <c r="EG10" s="26">
        <v>0</v>
      </c>
      <c r="EH10" s="26">
        <v>0</v>
      </c>
      <c r="EI10" s="26">
        <v>0</v>
      </c>
      <c r="EJ10" s="26">
        <v>0</v>
      </c>
      <c r="EK10" s="26">
        <v>0</v>
      </c>
      <c r="EL10" s="26">
        <v>0</v>
      </c>
      <c r="EM10" s="26">
        <v>0</v>
      </c>
      <c r="EN10" s="26">
        <v>0</v>
      </c>
      <c r="EO10" s="26">
        <v>0</v>
      </c>
      <c r="EP10" s="26">
        <v>626.50221799999997</v>
      </c>
      <c r="EQ10" s="26">
        <v>70483.333299999998</v>
      </c>
      <c r="ER10" s="26">
        <v>561.380898</v>
      </c>
      <c r="ES10" s="26">
        <v>25</v>
      </c>
      <c r="ET10" s="26">
        <v>1</v>
      </c>
      <c r="EU10" s="26">
        <v>0</v>
      </c>
      <c r="EV10" s="26">
        <v>0</v>
      </c>
      <c r="EW10" s="26">
        <v>1</v>
      </c>
      <c r="EX10" s="26">
        <v>-151289.80799999999</v>
      </c>
      <c r="EY10" s="26">
        <v>-1344.7633000000001</v>
      </c>
      <c r="EZ10" s="26">
        <v>-94.783400900000004</v>
      </c>
      <c r="FA10" s="26">
        <v>-447.31152200000002</v>
      </c>
      <c r="FB10" s="26">
        <v>-3.9759989600000001</v>
      </c>
      <c r="FC10" s="26">
        <v>1.8600033500000002E-2</v>
      </c>
      <c r="FD10" s="26">
        <v>2.09255821</v>
      </c>
      <c r="FE10" s="26">
        <v>112.502927</v>
      </c>
      <c r="FF10" s="26">
        <v>0</v>
      </c>
      <c r="FG10" s="26">
        <v>0.97188512999999999</v>
      </c>
      <c r="FH10" s="26">
        <v>-226725384.61999997</v>
      </c>
      <c r="FI10" s="26">
        <v>0.1191897662312959</v>
      </c>
      <c r="FJ10" s="26">
        <v>0</v>
      </c>
      <c r="FK10" s="26">
        <v>0</v>
      </c>
      <c r="FL10" s="26">
        <v>0</v>
      </c>
      <c r="FM10" s="26">
        <v>0</v>
      </c>
      <c r="FN10" s="26">
        <v>0</v>
      </c>
      <c r="FO10" s="26">
        <v>0</v>
      </c>
      <c r="FP10" s="26">
        <v>0</v>
      </c>
      <c r="FQ10" s="26">
        <v>0</v>
      </c>
      <c r="FR10" s="26">
        <v>0</v>
      </c>
      <c r="FS10" s="26">
        <v>0</v>
      </c>
      <c r="FT10" s="26">
        <v>0</v>
      </c>
      <c r="FU10" s="26">
        <v>0</v>
      </c>
      <c r="FV10" s="26">
        <v>0</v>
      </c>
      <c r="FW10" s="26">
        <v>0</v>
      </c>
      <c r="FX10" s="26">
        <v>0</v>
      </c>
      <c r="FY10" s="26">
        <v>0</v>
      </c>
      <c r="FZ10" s="26">
        <v>0</v>
      </c>
      <c r="GA10" s="26">
        <v>0</v>
      </c>
      <c r="GB10" s="26">
        <v>0</v>
      </c>
      <c r="GC10" s="26">
        <v>0</v>
      </c>
      <c r="GD10" s="26">
        <v>0</v>
      </c>
      <c r="GE10" s="26">
        <v>0</v>
      </c>
      <c r="GF10" s="26">
        <v>0</v>
      </c>
      <c r="GG10" s="26">
        <v>0</v>
      </c>
      <c r="GH10" s="26">
        <v>0</v>
      </c>
      <c r="GI10" s="26">
        <v>0</v>
      </c>
      <c r="GJ10" s="26">
        <v>0</v>
      </c>
      <c r="GK10" s="26">
        <v>0</v>
      </c>
      <c r="GL10" s="26">
        <v>0</v>
      </c>
      <c r="GM10" s="26">
        <v>0</v>
      </c>
      <c r="GN10" s="26">
        <v>0</v>
      </c>
      <c r="GO10" s="26">
        <v>0</v>
      </c>
      <c r="GP10" s="26">
        <v>0</v>
      </c>
      <c r="GQ10" s="26">
        <v>0</v>
      </c>
      <c r="GR10" s="26">
        <v>0</v>
      </c>
      <c r="GS10" s="26">
        <v>0</v>
      </c>
      <c r="GT10" s="26">
        <v>0</v>
      </c>
      <c r="GU10" s="26">
        <v>0</v>
      </c>
      <c r="GV10" s="26">
        <v>0</v>
      </c>
      <c r="GW10" s="26">
        <v>0</v>
      </c>
      <c r="GX10" s="26">
        <v>0</v>
      </c>
      <c r="GY10" s="26">
        <v>0</v>
      </c>
      <c r="GZ10" s="26">
        <v>0</v>
      </c>
      <c r="HA10" s="26">
        <v>0</v>
      </c>
      <c r="HB10" s="26">
        <v>0</v>
      </c>
      <c r="HC10" s="26">
        <v>0</v>
      </c>
      <c r="HD10" s="26">
        <v>0</v>
      </c>
      <c r="HE10" s="26">
        <v>0</v>
      </c>
      <c r="HF10" s="26">
        <v>0</v>
      </c>
      <c r="HG10" s="26">
        <v>0</v>
      </c>
      <c r="HH10" s="26">
        <v>0</v>
      </c>
      <c r="HI10" s="26">
        <v>0</v>
      </c>
      <c r="HJ10" s="26">
        <v>0</v>
      </c>
      <c r="HK10" s="26">
        <v>0</v>
      </c>
      <c r="HL10" s="26">
        <v>0</v>
      </c>
      <c r="HM10" s="26">
        <v>0</v>
      </c>
      <c r="HN10" s="26">
        <v>0</v>
      </c>
      <c r="HO10" s="26">
        <v>0</v>
      </c>
      <c r="HP10" s="26">
        <v>0</v>
      </c>
      <c r="HQ10" s="26">
        <v>0</v>
      </c>
      <c r="HR10" s="26">
        <v>0</v>
      </c>
      <c r="HS10" s="26">
        <v>0</v>
      </c>
      <c r="HT10" s="26">
        <v>0.74666720041778212</v>
      </c>
    </row>
    <row r="11" spans="1:228" x14ac:dyDescent="0.2">
      <c r="B11" s="27">
        <v>260</v>
      </c>
      <c r="C11" s="26">
        <v>33673.542000000001</v>
      </c>
      <c r="D11" s="26">
        <v>-123.83755600000002</v>
      </c>
      <c r="E11" s="26">
        <v>33273.665300000001</v>
      </c>
      <c r="F11" s="26">
        <v>12.5423323</v>
      </c>
      <c r="G11" s="26">
        <v>1.03377985E-4</v>
      </c>
      <c r="H11" s="26">
        <v>3.46953888E-5</v>
      </c>
      <c r="I11" s="26">
        <v>1.4557505800000002E-5</v>
      </c>
      <c r="J11" s="26">
        <v>7.7316213700000013E-3</v>
      </c>
      <c r="K11" s="26">
        <v>9.4220476199999986E-4</v>
      </c>
      <c r="L11" s="26">
        <v>0</v>
      </c>
      <c r="M11" s="26">
        <v>0</v>
      </c>
      <c r="N11" s="26">
        <v>2.4779725299999999E-6</v>
      </c>
      <c r="O11" s="26">
        <v>8.0878753699999999E-7</v>
      </c>
      <c r="P11" s="26">
        <v>3.3935141400000003E-7</v>
      </c>
      <c r="Q11" s="26">
        <v>1.8143607999999999E-4</v>
      </c>
      <c r="R11" s="26">
        <v>2.2110490099999999E-5</v>
      </c>
      <c r="S11" s="26">
        <v>3.5548886100000002E-4</v>
      </c>
      <c r="T11" s="26">
        <v>9.14244689E-2</v>
      </c>
      <c r="U11" s="26">
        <v>1.0530895199999999</v>
      </c>
      <c r="V11" s="26">
        <v>327.77597600000001</v>
      </c>
      <c r="W11" s="26">
        <v>58.335082300000003</v>
      </c>
      <c r="X11" s="26">
        <v>1.34664735E-3</v>
      </c>
      <c r="Y11" s="26">
        <v>0</v>
      </c>
      <c r="Z11" s="26">
        <v>1.12365955E-7</v>
      </c>
      <c r="AA11" s="26">
        <v>4.4536799599999999E-8</v>
      </c>
      <c r="AB11" s="26">
        <v>1.27096445E-8</v>
      </c>
      <c r="AC11" s="26">
        <v>6.8071378000000002E-2</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W11" s="26">
        <v>0</v>
      </c>
      <c r="AX11" s="26">
        <v>0</v>
      </c>
      <c r="AY11" s="26">
        <v>0</v>
      </c>
      <c r="AZ11" s="26">
        <v>0</v>
      </c>
      <c r="BA11" s="26">
        <v>0</v>
      </c>
      <c r="BB11" s="26">
        <v>0</v>
      </c>
      <c r="BC11" s="26">
        <v>0</v>
      </c>
      <c r="BD11" s="26">
        <v>0</v>
      </c>
      <c r="BE11" s="26">
        <v>0</v>
      </c>
      <c r="BF11" s="26">
        <v>0</v>
      </c>
      <c r="BG11" s="26">
        <v>0</v>
      </c>
      <c r="BH11" s="26">
        <v>0</v>
      </c>
      <c r="BI11" s="26">
        <v>0</v>
      </c>
      <c r="BJ11" s="26">
        <v>0</v>
      </c>
      <c r="BK11" s="26">
        <v>0</v>
      </c>
      <c r="BL11" s="26">
        <v>0</v>
      </c>
      <c r="BM11" s="26">
        <v>0</v>
      </c>
      <c r="BN11" s="26">
        <v>0</v>
      </c>
      <c r="BO11" s="26">
        <v>1851.6337599999999</v>
      </c>
      <c r="BP11" s="26">
        <v>33673.542000000001</v>
      </c>
      <c r="BQ11" s="26">
        <v>629.525576</v>
      </c>
      <c r="BR11" s="26">
        <v>99.688555599999972</v>
      </c>
      <c r="BS11" s="26">
        <v>1</v>
      </c>
      <c r="BT11" s="26">
        <v>2.0578398099999999E-5</v>
      </c>
      <c r="BU11" s="26">
        <v>0.99997942200000001</v>
      </c>
      <c r="BV11" s="26">
        <v>0</v>
      </c>
      <c r="BW11" s="26">
        <v>-66880.156300000002</v>
      </c>
      <c r="BX11" s="26">
        <v>-3677.5921899999998</v>
      </c>
      <c r="BY11" s="26">
        <v>-123.83755600000002</v>
      </c>
      <c r="BZ11" s="26">
        <v>-34.943691000000001</v>
      </c>
      <c r="CA11" s="26">
        <v>-1.9214764499999999</v>
      </c>
      <c r="CB11" s="26">
        <v>4.9021935599999997E-2</v>
      </c>
      <c r="CC11" s="26">
        <v>0.89150578700000005</v>
      </c>
      <c r="CD11" s="26">
        <v>18.185854500000001</v>
      </c>
      <c r="CE11" s="26">
        <v>561.56847500000003</v>
      </c>
      <c r="CF11" s="26">
        <v>0</v>
      </c>
      <c r="CG11" s="26">
        <v>0</v>
      </c>
      <c r="CH11" s="26">
        <v>0</v>
      </c>
      <c r="CI11" s="26">
        <v>0</v>
      </c>
      <c r="CJ11" s="26">
        <v>0</v>
      </c>
      <c r="CK11" s="26">
        <v>0</v>
      </c>
      <c r="CL11" s="26">
        <v>0</v>
      </c>
      <c r="CM11" s="26">
        <v>0</v>
      </c>
      <c r="CN11" s="26">
        <v>0</v>
      </c>
      <c r="CO11" s="26">
        <v>0</v>
      </c>
      <c r="CP11" s="26">
        <v>0</v>
      </c>
      <c r="CQ11" s="26">
        <v>0</v>
      </c>
      <c r="CR11" s="26">
        <v>0</v>
      </c>
      <c r="CS11" s="26">
        <v>0</v>
      </c>
      <c r="CT11" s="26">
        <v>0</v>
      </c>
      <c r="CU11" s="26">
        <v>0</v>
      </c>
      <c r="CV11" s="26">
        <v>0</v>
      </c>
      <c r="CW11" s="26">
        <v>0</v>
      </c>
      <c r="CX11" s="26">
        <v>0</v>
      </c>
      <c r="CY11" s="26">
        <v>0</v>
      </c>
      <c r="CZ11" s="26">
        <v>0</v>
      </c>
      <c r="DA11" s="26">
        <v>0</v>
      </c>
      <c r="DB11" s="26">
        <v>0</v>
      </c>
      <c r="DC11" s="26">
        <v>0</v>
      </c>
      <c r="DD11" s="26">
        <v>0</v>
      </c>
      <c r="DE11" s="26">
        <v>0</v>
      </c>
      <c r="DF11" s="26">
        <v>0</v>
      </c>
      <c r="DG11" s="26">
        <v>0</v>
      </c>
      <c r="DH11" s="26">
        <v>0</v>
      </c>
      <c r="DI11" s="26">
        <v>0</v>
      </c>
      <c r="DJ11" s="26">
        <v>0</v>
      </c>
      <c r="DK11" s="26">
        <v>0</v>
      </c>
      <c r="DL11" s="26">
        <v>0</v>
      </c>
      <c r="DM11" s="26">
        <v>0</v>
      </c>
      <c r="DN11" s="26">
        <v>0</v>
      </c>
      <c r="DO11" s="26">
        <v>0</v>
      </c>
      <c r="DP11" s="26">
        <v>0</v>
      </c>
      <c r="DQ11" s="26">
        <v>0</v>
      </c>
      <c r="DR11" s="26">
        <v>0</v>
      </c>
      <c r="DS11" s="26">
        <v>0</v>
      </c>
      <c r="DT11" s="26">
        <v>0</v>
      </c>
      <c r="DU11" s="26">
        <v>0</v>
      </c>
      <c r="DV11" s="26">
        <v>0</v>
      </c>
      <c r="DW11" s="26">
        <v>0</v>
      </c>
      <c r="DX11" s="26">
        <v>0</v>
      </c>
      <c r="DY11" s="26">
        <v>0</v>
      </c>
      <c r="DZ11" s="26">
        <v>0</v>
      </c>
      <c r="EA11" s="26">
        <v>0</v>
      </c>
      <c r="EB11" s="26">
        <v>0</v>
      </c>
      <c r="EC11" s="26">
        <v>0</v>
      </c>
      <c r="ED11" s="26">
        <v>0</v>
      </c>
      <c r="EE11" s="26">
        <v>0</v>
      </c>
      <c r="EF11" s="26">
        <v>0</v>
      </c>
      <c r="EG11" s="26">
        <v>0</v>
      </c>
      <c r="EH11" s="26">
        <v>0</v>
      </c>
      <c r="EI11" s="26">
        <v>0</v>
      </c>
      <c r="EJ11" s="26">
        <v>0</v>
      </c>
      <c r="EK11" s="26">
        <v>0</v>
      </c>
      <c r="EL11" s="26">
        <v>0</v>
      </c>
      <c r="EM11" s="26">
        <v>0</v>
      </c>
      <c r="EN11" s="26">
        <v>0</v>
      </c>
      <c r="EO11" s="26">
        <v>0</v>
      </c>
      <c r="EP11" s="26">
        <v>0</v>
      </c>
      <c r="EQ11" s="26">
        <v>0</v>
      </c>
      <c r="ER11" s="26">
        <v>0</v>
      </c>
      <c r="ES11" s="26">
        <v>0</v>
      </c>
      <c r="ET11" s="26">
        <v>1</v>
      </c>
      <c r="EU11" s="26">
        <v>0</v>
      </c>
      <c r="EV11" s="26">
        <v>0</v>
      </c>
      <c r="EW11" s="26">
        <v>0</v>
      </c>
      <c r="EX11" s="26">
        <v>0</v>
      </c>
      <c r="EY11" s="26">
        <v>0</v>
      </c>
      <c r="EZ11" s="26">
        <v>0</v>
      </c>
      <c r="FA11" s="26">
        <v>0</v>
      </c>
      <c r="FB11" s="26">
        <v>0</v>
      </c>
      <c r="FC11" s="26">
        <v>0</v>
      </c>
      <c r="FD11" s="26">
        <v>0</v>
      </c>
      <c r="FE11" s="26">
        <v>0</v>
      </c>
      <c r="FF11" s="26">
        <v>0</v>
      </c>
      <c r="FG11" s="26">
        <v>1.8883988099999999E-2</v>
      </c>
      <c r="FH11" s="26">
        <v>-146887429.16499999</v>
      </c>
      <c r="FI11" s="26">
        <v>5.4441764879978559E-3</v>
      </c>
      <c r="FJ11" s="26">
        <v>1.0435013889035666E-5</v>
      </c>
      <c r="FK11" s="26">
        <v>1.720916085989551E-8</v>
      </c>
      <c r="FL11" s="26">
        <v>5.6620610452964883E-23</v>
      </c>
      <c r="FM11" s="26">
        <v>1.9002828263133737E-23</v>
      </c>
      <c r="FN11" s="26">
        <v>7.9732146471190501E-24</v>
      </c>
      <c r="FO11" s="26">
        <v>1.739108750023981E-19</v>
      </c>
      <c r="FP11" s="26">
        <v>2.1193440141769744E-20</v>
      </c>
      <c r="FQ11" s="26">
        <v>0</v>
      </c>
      <c r="FR11" s="26">
        <v>0</v>
      </c>
      <c r="FS11" s="26">
        <v>1.5079924120639393E-24</v>
      </c>
      <c r="FT11" s="26">
        <v>4.9219490949311489E-25</v>
      </c>
      <c r="FU11" s="26">
        <v>2.0651534720767833E-25</v>
      </c>
      <c r="FV11" s="26">
        <v>4.6376240648787707E-21</v>
      </c>
      <c r="FW11" s="26">
        <v>5.6515848785460128E-22</v>
      </c>
      <c r="FX11" s="26">
        <v>1.9470292794651231E-22</v>
      </c>
      <c r="FY11" s="26">
        <v>1.4259567197409872E-15</v>
      </c>
      <c r="FZ11" s="26">
        <v>7.7049526171951772E-13</v>
      </c>
      <c r="GA11" s="26">
        <v>1.2914007519978726E-7</v>
      </c>
      <c r="GB11" s="26">
        <v>2.9852372738818982E-9</v>
      </c>
      <c r="GC11" s="26">
        <v>3.5327761115955427E-16</v>
      </c>
      <c r="GD11" s="26">
        <v>0</v>
      </c>
      <c r="GE11" s="26">
        <v>7.4198263371363884E-22</v>
      </c>
      <c r="GF11" s="26">
        <v>8.0151362307877569E-23</v>
      </c>
      <c r="GG11" s="26">
        <v>5.878262880359437E-17</v>
      </c>
      <c r="GH11" s="26">
        <v>3.5959612509899122E-16</v>
      </c>
      <c r="GI11" s="26">
        <v>0</v>
      </c>
      <c r="GJ11" s="26">
        <v>0</v>
      </c>
      <c r="GK11" s="26">
        <v>0</v>
      </c>
      <c r="GL11" s="26">
        <v>0</v>
      </c>
      <c r="GM11" s="26">
        <v>0</v>
      </c>
      <c r="GN11" s="26">
        <v>0</v>
      </c>
      <c r="GO11" s="26">
        <v>0</v>
      </c>
      <c r="GP11" s="26">
        <v>0</v>
      </c>
      <c r="GQ11" s="26">
        <v>0</v>
      </c>
      <c r="GR11" s="26">
        <v>0</v>
      </c>
      <c r="GS11" s="26">
        <v>0</v>
      </c>
      <c r="GT11" s="26">
        <v>0</v>
      </c>
      <c r="GU11" s="26">
        <v>0</v>
      </c>
      <c r="GV11" s="26">
        <v>0</v>
      </c>
      <c r="GW11" s="26">
        <v>0</v>
      </c>
      <c r="GX11" s="26">
        <v>0</v>
      </c>
      <c r="GY11" s="26">
        <v>0</v>
      </c>
      <c r="GZ11" s="26">
        <v>0</v>
      </c>
      <c r="HA11" s="26">
        <v>0</v>
      </c>
      <c r="HB11" s="26">
        <v>0</v>
      </c>
      <c r="HC11" s="26">
        <v>0</v>
      </c>
      <c r="HD11" s="26">
        <v>0</v>
      </c>
      <c r="HE11" s="26">
        <v>0</v>
      </c>
      <c r="HF11" s="26">
        <v>0</v>
      </c>
      <c r="HG11" s="26">
        <v>0</v>
      </c>
      <c r="HH11" s="26">
        <v>0</v>
      </c>
      <c r="HI11" s="26">
        <v>0</v>
      </c>
      <c r="HJ11" s="26">
        <v>0</v>
      </c>
      <c r="HK11" s="26">
        <v>0</v>
      </c>
      <c r="HL11" s="26">
        <v>0</v>
      </c>
      <c r="HM11" s="26">
        <v>0</v>
      </c>
      <c r="HN11" s="26">
        <v>0</v>
      </c>
      <c r="HO11" s="26">
        <v>0</v>
      </c>
      <c r="HP11" s="26">
        <v>0</v>
      </c>
      <c r="HQ11" s="26">
        <v>0</v>
      </c>
      <c r="HR11" s="26">
        <v>0</v>
      </c>
      <c r="HS11" s="26">
        <v>0</v>
      </c>
      <c r="HT11" s="26">
        <v>0</v>
      </c>
    </row>
    <row r="12" spans="1:228" x14ac:dyDescent="0.2">
      <c r="B12" s="27">
        <v>301</v>
      </c>
      <c r="C12" s="26">
        <v>429873.44099999999</v>
      </c>
      <c r="D12" s="26">
        <v>-1405.6793600000001</v>
      </c>
      <c r="E12" s="26">
        <v>341382.23800000001</v>
      </c>
      <c r="F12" s="26">
        <v>5.8779036800000002</v>
      </c>
      <c r="G12" s="26">
        <v>3550.2458900000001</v>
      </c>
      <c r="H12" s="26">
        <v>1179.6069600000001</v>
      </c>
      <c r="I12" s="26">
        <v>494.93998199999999</v>
      </c>
      <c r="J12" s="26">
        <v>16476.311399999999</v>
      </c>
      <c r="K12" s="26">
        <v>2007.8659200000002</v>
      </c>
      <c r="L12" s="26">
        <v>1.4712044599999999E-4</v>
      </c>
      <c r="M12" s="26">
        <v>0</v>
      </c>
      <c r="N12" s="26">
        <v>87.614647399999996</v>
      </c>
      <c r="O12" s="26">
        <v>28.596618400000004</v>
      </c>
      <c r="P12" s="26">
        <v>11.998581100000001</v>
      </c>
      <c r="Q12" s="26">
        <v>390.551108</v>
      </c>
      <c r="R12" s="26">
        <v>47.594041799999999</v>
      </c>
      <c r="S12" s="26">
        <v>12208.3331</v>
      </c>
      <c r="T12" s="26">
        <v>656.53966200000002</v>
      </c>
      <c r="U12" s="26">
        <v>369.27255600000001</v>
      </c>
      <c r="V12" s="26">
        <v>336.08816999999999</v>
      </c>
      <c r="W12" s="26">
        <v>0</v>
      </c>
      <c r="X12" s="26">
        <v>1.05094544</v>
      </c>
      <c r="Y12" s="26">
        <v>4.8241179799999997E-5</v>
      </c>
      <c r="Z12" s="26">
        <v>3.0721527100000001E-3</v>
      </c>
      <c r="AA12" s="26">
        <v>3.0084470800000001E-3</v>
      </c>
      <c r="AB12" s="26">
        <v>0</v>
      </c>
      <c r="AC12" s="26">
        <v>0</v>
      </c>
      <c r="AD12" s="26">
        <v>2481.5580500000001</v>
      </c>
      <c r="AE12" s="26">
        <v>1860.9805199999998</v>
      </c>
      <c r="AF12" s="26">
        <v>0</v>
      </c>
      <c r="AG12" s="26">
        <v>0</v>
      </c>
      <c r="AH12" s="26">
        <v>0</v>
      </c>
      <c r="AI12" s="26">
        <v>0</v>
      </c>
      <c r="AJ12" s="26">
        <v>0</v>
      </c>
      <c r="AK12" s="26">
        <v>0</v>
      </c>
      <c r="AL12" s="26">
        <v>0</v>
      </c>
      <c r="AM12" s="26">
        <v>1.5842626899999999E-5</v>
      </c>
      <c r="AN12" s="26">
        <v>0</v>
      </c>
      <c r="AO12" s="26">
        <v>0</v>
      </c>
      <c r="AP12" s="26">
        <v>0</v>
      </c>
      <c r="AQ12" s="26">
        <v>0</v>
      </c>
      <c r="AR12" s="26">
        <v>0</v>
      </c>
      <c r="AS12" s="26">
        <v>0</v>
      </c>
      <c r="AT12" s="26">
        <v>0</v>
      </c>
      <c r="AU12" s="26">
        <v>0</v>
      </c>
      <c r="AV12" s="26">
        <v>0</v>
      </c>
      <c r="AW12" s="26">
        <v>0</v>
      </c>
      <c r="AX12" s="26">
        <v>0</v>
      </c>
      <c r="AY12" s="26">
        <v>0</v>
      </c>
      <c r="AZ12" s="26">
        <v>0</v>
      </c>
      <c r="BA12" s="26">
        <v>0</v>
      </c>
      <c r="BB12" s="26">
        <v>0</v>
      </c>
      <c r="BC12" s="26">
        <v>0</v>
      </c>
      <c r="BD12" s="26">
        <v>0</v>
      </c>
      <c r="BE12" s="26">
        <v>0</v>
      </c>
      <c r="BF12" s="26">
        <v>0</v>
      </c>
      <c r="BG12" s="26">
        <v>0</v>
      </c>
      <c r="BH12" s="26">
        <v>0</v>
      </c>
      <c r="BI12" s="26">
        <v>0</v>
      </c>
      <c r="BJ12" s="26">
        <v>0</v>
      </c>
      <c r="BK12" s="26">
        <v>0</v>
      </c>
      <c r="BL12" s="26">
        <v>0</v>
      </c>
      <c r="BM12" s="26">
        <v>0</v>
      </c>
      <c r="BN12" s="26">
        <v>0</v>
      </c>
      <c r="BO12" s="26">
        <v>19227.3894</v>
      </c>
      <c r="BP12" s="26">
        <v>383577.27</v>
      </c>
      <c r="BQ12" s="26">
        <v>6443.89617</v>
      </c>
      <c r="BR12" s="26">
        <v>77.575069900000017</v>
      </c>
      <c r="BS12" s="26">
        <v>4.3365398500000003</v>
      </c>
      <c r="BT12" s="26">
        <v>0</v>
      </c>
      <c r="BU12" s="26">
        <v>1</v>
      </c>
      <c r="BV12" s="26">
        <v>0</v>
      </c>
      <c r="BW12" s="26">
        <v>-69964.023100000006</v>
      </c>
      <c r="BX12" s="26">
        <v>-3507.05222</v>
      </c>
      <c r="BY12" s="26">
        <v>-1345.2255299999999</v>
      </c>
      <c r="BZ12" s="26">
        <v>-38.487819799999997</v>
      </c>
      <c r="CA12" s="26">
        <v>-1.92926004</v>
      </c>
      <c r="CB12" s="26">
        <v>4.9730237400000002E-2</v>
      </c>
      <c r="CC12" s="26">
        <v>0.99209457499999998</v>
      </c>
      <c r="CD12" s="26">
        <v>19.949524199999999</v>
      </c>
      <c r="CE12" s="26">
        <v>0</v>
      </c>
      <c r="CF12" s="26">
        <v>0</v>
      </c>
      <c r="CG12" s="26">
        <v>0</v>
      </c>
      <c r="CH12" s="26">
        <v>0</v>
      </c>
      <c r="CI12" s="26">
        <v>0</v>
      </c>
      <c r="CJ12" s="26">
        <v>0</v>
      </c>
      <c r="CK12" s="26">
        <v>0</v>
      </c>
      <c r="CL12" s="26">
        <v>0</v>
      </c>
      <c r="CM12" s="26">
        <v>0</v>
      </c>
      <c r="CN12" s="26">
        <v>0</v>
      </c>
      <c r="CO12" s="26">
        <v>0</v>
      </c>
      <c r="CP12" s="26">
        <v>0</v>
      </c>
      <c r="CQ12" s="26">
        <v>0</v>
      </c>
      <c r="CR12" s="26">
        <v>0</v>
      </c>
      <c r="CS12" s="26">
        <v>0</v>
      </c>
      <c r="CT12" s="26">
        <v>0</v>
      </c>
      <c r="CU12" s="26">
        <v>0</v>
      </c>
      <c r="CV12" s="26">
        <v>0</v>
      </c>
      <c r="CW12" s="26">
        <v>0</v>
      </c>
      <c r="CX12" s="26">
        <v>0</v>
      </c>
      <c r="CY12" s="26">
        <v>0</v>
      </c>
      <c r="CZ12" s="26">
        <v>0</v>
      </c>
      <c r="DA12" s="26">
        <v>0</v>
      </c>
      <c r="DB12" s="26">
        <v>0</v>
      </c>
      <c r="DC12" s="26">
        <v>0</v>
      </c>
      <c r="DD12" s="26">
        <v>0</v>
      </c>
      <c r="DE12" s="26">
        <v>0</v>
      </c>
      <c r="DF12" s="26">
        <v>0</v>
      </c>
      <c r="DG12" s="26">
        <v>0</v>
      </c>
      <c r="DH12" s="26">
        <v>0</v>
      </c>
      <c r="DI12" s="26">
        <v>0</v>
      </c>
      <c r="DJ12" s="26">
        <v>0</v>
      </c>
      <c r="DK12" s="26">
        <v>0</v>
      </c>
      <c r="DL12" s="26">
        <v>0</v>
      </c>
      <c r="DM12" s="26">
        <v>0</v>
      </c>
      <c r="DN12" s="26">
        <v>0</v>
      </c>
      <c r="DO12" s="26">
        <v>0</v>
      </c>
      <c r="DP12" s="26">
        <v>0</v>
      </c>
      <c r="DQ12" s="26">
        <v>0</v>
      </c>
      <c r="DR12" s="26">
        <v>0</v>
      </c>
      <c r="DS12" s="26">
        <v>0</v>
      </c>
      <c r="DT12" s="26">
        <v>0</v>
      </c>
      <c r="DU12" s="26">
        <v>0</v>
      </c>
      <c r="DV12" s="26">
        <v>0</v>
      </c>
      <c r="DW12" s="26">
        <v>0</v>
      </c>
      <c r="DX12" s="26">
        <v>26138.367999999999</v>
      </c>
      <c r="DY12" s="26">
        <v>30.979670600000002</v>
      </c>
      <c r="DZ12" s="26">
        <v>12.9984632</v>
      </c>
      <c r="EA12" s="26">
        <v>423.09997600000003</v>
      </c>
      <c r="EB12" s="26">
        <v>51.560570599999998</v>
      </c>
      <c r="EC12" s="26">
        <v>12475.191699999999</v>
      </c>
      <c r="ED12" s="26">
        <v>0</v>
      </c>
      <c r="EE12" s="26">
        <v>2583.0279399999999</v>
      </c>
      <c r="EF12" s="26">
        <v>4107.8476600000004</v>
      </c>
      <c r="EG12" s="26">
        <v>0</v>
      </c>
      <c r="EH12" s="26">
        <v>0</v>
      </c>
      <c r="EI12" s="26">
        <v>0</v>
      </c>
      <c r="EJ12" s="26">
        <v>0</v>
      </c>
      <c r="EK12" s="26">
        <v>0</v>
      </c>
      <c r="EL12" s="26">
        <v>473.096384</v>
      </c>
      <c r="EM12" s="26">
        <v>0</v>
      </c>
      <c r="EN12" s="26">
        <v>0</v>
      </c>
      <c r="EO12" s="26">
        <v>0</v>
      </c>
      <c r="EP12" s="26">
        <v>436.56173899999999</v>
      </c>
      <c r="EQ12" s="26">
        <v>46296.170299999998</v>
      </c>
      <c r="ER12" s="26">
        <v>328.72338300000001</v>
      </c>
      <c r="ES12" s="26">
        <v>77.575069900000017</v>
      </c>
      <c r="ET12" s="26">
        <v>4.3365398500000003</v>
      </c>
      <c r="EU12" s="26">
        <v>0</v>
      </c>
      <c r="EV12" s="26">
        <v>0</v>
      </c>
      <c r="EW12" s="26">
        <v>1</v>
      </c>
      <c r="EX12" s="26">
        <v>-138477.15900000001</v>
      </c>
      <c r="EY12" s="26">
        <v>-1305.80627</v>
      </c>
      <c r="EZ12" s="26">
        <v>-60.453830000000004</v>
      </c>
      <c r="FA12" s="26">
        <v>-380.77745800000002</v>
      </c>
      <c r="FB12" s="26">
        <v>-3.5906397399999999</v>
      </c>
      <c r="FC12" s="26">
        <v>2.2134199399999999E-2</v>
      </c>
      <c r="FD12" s="26">
        <v>2.3472708999999998</v>
      </c>
      <c r="FE12" s="26">
        <v>106.047247</v>
      </c>
      <c r="FF12" s="26">
        <v>0</v>
      </c>
      <c r="FG12" s="26">
        <v>0.234787518</v>
      </c>
      <c r="FH12" s="26">
        <v>-1656684300.6699998</v>
      </c>
      <c r="FI12" s="26">
        <v>0.37102110019039103</v>
      </c>
      <c r="FJ12" s="26">
        <v>0</v>
      </c>
      <c r="FK12" s="26">
        <v>0</v>
      </c>
      <c r="FL12" s="26">
        <v>0</v>
      </c>
      <c r="FM12" s="26">
        <v>0</v>
      </c>
      <c r="FN12" s="26">
        <v>0</v>
      </c>
      <c r="FO12" s="26">
        <v>0</v>
      </c>
      <c r="FP12" s="26">
        <v>0</v>
      </c>
      <c r="FQ12" s="26">
        <v>0</v>
      </c>
      <c r="FR12" s="26">
        <v>0</v>
      </c>
      <c r="FS12" s="26">
        <v>0</v>
      </c>
      <c r="FT12" s="26">
        <v>0</v>
      </c>
      <c r="FU12" s="26">
        <v>0</v>
      </c>
      <c r="FV12" s="26">
        <v>0</v>
      </c>
      <c r="FW12" s="26">
        <v>0</v>
      </c>
      <c r="FX12" s="26">
        <v>0</v>
      </c>
      <c r="FY12" s="26">
        <v>0</v>
      </c>
      <c r="FZ12" s="26">
        <v>0</v>
      </c>
      <c r="GA12" s="26">
        <v>0</v>
      </c>
      <c r="GB12" s="26">
        <v>0</v>
      </c>
      <c r="GC12" s="26">
        <v>0</v>
      </c>
      <c r="GD12" s="26">
        <v>0</v>
      </c>
      <c r="GE12" s="26">
        <v>0</v>
      </c>
      <c r="GF12" s="26">
        <v>0</v>
      </c>
      <c r="GG12" s="26">
        <v>0</v>
      </c>
      <c r="GH12" s="26">
        <v>0</v>
      </c>
      <c r="GI12" s="26">
        <v>0</v>
      </c>
      <c r="GJ12" s="26">
        <v>0</v>
      </c>
      <c r="GK12" s="26">
        <v>0</v>
      </c>
      <c r="GL12" s="26">
        <v>0</v>
      </c>
      <c r="GM12" s="26">
        <v>0</v>
      </c>
      <c r="GN12" s="26">
        <v>0</v>
      </c>
      <c r="GO12" s="26">
        <v>0</v>
      </c>
      <c r="GP12" s="26">
        <v>0</v>
      </c>
      <c r="GQ12" s="26">
        <v>0</v>
      </c>
      <c r="GR12" s="26">
        <v>0</v>
      </c>
      <c r="GS12" s="26">
        <v>0</v>
      </c>
      <c r="GT12" s="26">
        <v>0</v>
      </c>
      <c r="GU12" s="26">
        <v>0</v>
      </c>
      <c r="GV12" s="26">
        <v>0</v>
      </c>
      <c r="GW12" s="26">
        <v>0</v>
      </c>
      <c r="GX12" s="26">
        <v>0</v>
      </c>
      <c r="GY12" s="26">
        <v>0</v>
      </c>
      <c r="GZ12" s="26">
        <v>0</v>
      </c>
      <c r="HA12" s="26">
        <v>0</v>
      </c>
      <c r="HB12" s="26">
        <v>0</v>
      </c>
      <c r="HC12" s="26">
        <v>0</v>
      </c>
      <c r="HD12" s="26">
        <v>0</v>
      </c>
      <c r="HE12" s="26">
        <v>0</v>
      </c>
      <c r="HF12" s="26">
        <v>0</v>
      </c>
      <c r="HG12" s="26">
        <v>0</v>
      </c>
      <c r="HH12" s="26">
        <v>0</v>
      </c>
      <c r="HI12" s="26">
        <v>0</v>
      </c>
      <c r="HJ12" s="26">
        <v>0</v>
      </c>
      <c r="HK12" s="26">
        <v>0</v>
      </c>
      <c r="HL12" s="26">
        <v>0</v>
      </c>
      <c r="HM12" s="26">
        <v>0</v>
      </c>
      <c r="HN12" s="26">
        <v>0</v>
      </c>
      <c r="HO12" s="26">
        <v>0</v>
      </c>
      <c r="HP12" s="26">
        <v>0</v>
      </c>
      <c r="HQ12" s="26">
        <v>0</v>
      </c>
      <c r="HR12" s="26">
        <v>0</v>
      </c>
      <c r="HS12" s="26">
        <v>0</v>
      </c>
      <c r="HT12" s="26">
        <v>0.49211717060360399</v>
      </c>
    </row>
    <row r="13" spans="1:228" x14ac:dyDescent="0.2">
      <c r="B13" s="27">
        <v>305</v>
      </c>
      <c r="C13" s="26">
        <v>1969.1759100000002</v>
      </c>
      <c r="D13" s="26">
        <v>-4.1772827799999996</v>
      </c>
      <c r="E13" s="26">
        <v>37.885368399999997</v>
      </c>
      <c r="F13" s="26">
        <v>31.971114199999999</v>
      </c>
      <c r="G13" s="26">
        <v>9.0657640299999991E-13</v>
      </c>
      <c r="H13" s="26">
        <v>7.2041535199999995E-13</v>
      </c>
      <c r="I13" s="26">
        <v>3.02272176E-13</v>
      </c>
      <c r="J13" s="26">
        <v>1.8806263099999999E-10</v>
      </c>
      <c r="K13" s="26">
        <v>2.2446185199999998E-10</v>
      </c>
      <c r="L13" s="26">
        <v>5.3730335100000001E-9</v>
      </c>
      <c r="M13" s="26">
        <v>0</v>
      </c>
      <c r="N13" s="26">
        <v>6.9204254399999999E-13</v>
      </c>
      <c r="O13" s="26">
        <v>1.7464667200000001E-14</v>
      </c>
      <c r="P13" s="26">
        <v>7.3278323899999994E-15</v>
      </c>
      <c r="Q13" s="26">
        <v>4.3703902500000002E-11</v>
      </c>
      <c r="R13" s="26">
        <v>5.3259236E-12</v>
      </c>
      <c r="S13" s="26">
        <v>7.4559331100000004E-12</v>
      </c>
      <c r="T13" s="26">
        <v>1.8139455899999999E-6</v>
      </c>
      <c r="U13" s="26">
        <v>1.1580466700000001E-4</v>
      </c>
      <c r="V13" s="26">
        <v>0.24201836400000001</v>
      </c>
      <c r="W13" s="26">
        <v>0</v>
      </c>
      <c r="X13" s="26">
        <v>1.26131334E-5</v>
      </c>
      <c r="Y13" s="26">
        <v>9.3290445599999994E-11</v>
      </c>
      <c r="Z13" s="26">
        <v>1.1359147399999999E-7</v>
      </c>
      <c r="AA13" s="26">
        <v>6.1422545200000001E-8</v>
      </c>
      <c r="AB13" s="26">
        <v>4.0577540000000001E-4</v>
      </c>
      <c r="AC13" s="26">
        <v>0</v>
      </c>
      <c r="AD13" s="26">
        <v>0</v>
      </c>
      <c r="AE13" s="26">
        <v>0</v>
      </c>
      <c r="AF13" s="26">
        <v>0</v>
      </c>
      <c r="AG13" s="26">
        <v>0</v>
      </c>
      <c r="AH13" s="26">
        <v>0</v>
      </c>
      <c r="AI13" s="26">
        <v>0</v>
      </c>
      <c r="AJ13" s="26">
        <v>0</v>
      </c>
      <c r="AK13" s="26">
        <v>0</v>
      </c>
      <c r="AL13" s="26">
        <v>0</v>
      </c>
      <c r="AM13" s="26">
        <v>6.9187913200000006E-11</v>
      </c>
      <c r="AN13" s="26">
        <v>16.850371599999999</v>
      </c>
      <c r="AO13" s="26">
        <v>1.7460958499999998E-2</v>
      </c>
      <c r="AP13" s="26">
        <v>0</v>
      </c>
      <c r="AQ13" s="26">
        <v>0</v>
      </c>
      <c r="AR13" s="26">
        <v>0</v>
      </c>
      <c r="AS13" s="26">
        <v>1882.2090199999998</v>
      </c>
      <c r="AT13" s="26">
        <v>0</v>
      </c>
      <c r="AU13" s="26">
        <v>0</v>
      </c>
      <c r="AV13" s="26">
        <v>2.0408197099999999E-5</v>
      </c>
      <c r="AW13" s="26">
        <v>0</v>
      </c>
      <c r="AX13" s="26">
        <v>0</v>
      </c>
      <c r="AY13" s="26">
        <v>0</v>
      </c>
      <c r="AZ13" s="26">
        <v>0</v>
      </c>
      <c r="BA13" s="26">
        <v>0</v>
      </c>
      <c r="BB13" s="26">
        <v>0</v>
      </c>
      <c r="BC13" s="26">
        <v>0</v>
      </c>
      <c r="BD13" s="26">
        <v>0</v>
      </c>
      <c r="BE13" s="26">
        <v>0</v>
      </c>
      <c r="BF13" s="26">
        <v>0</v>
      </c>
      <c r="BG13" s="26">
        <v>0</v>
      </c>
      <c r="BH13" s="26">
        <v>0</v>
      </c>
      <c r="BI13" s="26">
        <v>0</v>
      </c>
      <c r="BJ13" s="26">
        <v>0</v>
      </c>
      <c r="BK13" s="26">
        <v>0</v>
      </c>
      <c r="BL13" s="26">
        <v>0</v>
      </c>
      <c r="BM13" s="26">
        <v>0</v>
      </c>
      <c r="BN13" s="26">
        <v>0</v>
      </c>
      <c r="BO13" s="26">
        <v>46.094653399999999</v>
      </c>
      <c r="BP13" s="26">
        <v>1969.1759100000002</v>
      </c>
      <c r="BQ13" s="26">
        <v>19236.378700000001</v>
      </c>
      <c r="BR13" s="26">
        <v>32</v>
      </c>
      <c r="BS13" s="26">
        <v>1</v>
      </c>
      <c r="BT13" s="26">
        <v>1</v>
      </c>
      <c r="BU13" s="26">
        <v>0</v>
      </c>
      <c r="BV13" s="26">
        <v>0</v>
      </c>
      <c r="BW13" s="26">
        <v>-90624.018899999995</v>
      </c>
      <c r="BX13" s="26">
        <v>-2121.3354899999999</v>
      </c>
      <c r="BY13" s="26">
        <v>-4.1772827799999996</v>
      </c>
      <c r="BZ13" s="26">
        <v>0.19883483599999999</v>
      </c>
      <c r="CA13" s="26">
        <v>4.6543443999999996E-3</v>
      </c>
      <c r="CB13" s="26">
        <v>3.9937049800000001E-5</v>
      </c>
      <c r="CC13" s="26">
        <v>1.7061214400000001E-3</v>
      </c>
      <c r="CD13" s="26">
        <v>42.720267200000002</v>
      </c>
      <c r="CE13" s="26">
        <v>0</v>
      </c>
      <c r="CF13" s="26">
        <v>0</v>
      </c>
      <c r="CG13" s="26">
        <v>0</v>
      </c>
      <c r="CH13" s="26">
        <v>0</v>
      </c>
      <c r="CI13" s="26">
        <v>0</v>
      </c>
      <c r="CJ13" s="26">
        <v>0</v>
      </c>
      <c r="CK13" s="26">
        <v>0</v>
      </c>
      <c r="CL13" s="26">
        <v>0</v>
      </c>
      <c r="CM13" s="26">
        <v>0</v>
      </c>
      <c r="CN13" s="26">
        <v>0</v>
      </c>
      <c r="CO13" s="26">
        <v>0</v>
      </c>
      <c r="CP13" s="26">
        <v>0</v>
      </c>
      <c r="CQ13" s="26">
        <v>0</v>
      </c>
      <c r="CR13" s="26">
        <v>0</v>
      </c>
      <c r="CS13" s="26">
        <v>0</v>
      </c>
      <c r="CT13" s="26">
        <v>0</v>
      </c>
      <c r="CU13" s="26">
        <v>0</v>
      </c>
      <c r="CV13" s="26">
        <v>0</v>
      </c>
      <c r="CW13" s="26">
        <v>0</v>
      </c>
      <c r="CX13" s="26">
        <v>0</v>
      </c>
      <c r="CY13" s="26">
        <v>0</v>
      </c>
      <c r="CZ13" s="26">
        <v>0</v>
      </c>
      <c r="DA13" s="26">
        <v>0</v>
      </c>
      <c r="DB13" s="26">
        <v>0</v>
      </c>
      <c r="DC13" s="26">
        <v>0</v>
      </c>
      <c r="DD13" s="26">
        <v>0</v>
      </c>
      <c r="DE13" s="26">
        <v>0</v>
      </c>
      <c r="DF13" s="26">
        <v>0</v>
      </c>
      <c r="DG13" s="26">
        <v>0</v>
      </c>
      <c r="DH13" s="26">
        <v>0</v>
      </c>
      <c r="DI13" s="26">
        <v>0</v>
      </c>
      <c r="DJ13" s="26">
        <v>0</v>
      </c>
      <c r="DK13" s="26">
        <v>0</v>
      </c>
      <c r="DL13" s="26">
        <v>0</v>
      </c>
      <c r="DM13" s="26">
        <v>0</v>
      </c>
      <c r="DN13" s="26">
        <v>0</v>
      </c>
      <c r="DO13" s="26">
        <v>0</v>
      </c>
      <c r="DP13" s="26">
        <v>0</v>
      </c>
      <c r="DQ13" s="26">
        <v>0</v>
      </c>
      <c r="DR13" s="26">
        <v>0</v>
      </c>
      <c r="DS13" s="26">
        <v>0</v>
      </c>
      <c r="DT13" s="26">
        <v>0</v>
      </c>
      <c r="DU13" s="26">
        <v>0</v>
      </c>
      <c r="DV13" s="26">
        <v>0</v>
      </c>
      <c r="DW13" s="26">
        <v>0</v>
      </c>
      <c r="DX13" s="26">
        <v>0</v>
      </c>
      <c r="DY13" s="26">
        <v>0</v>
      </c>
      <c r="DZ13" s="26">
        <v>0</v>
      </c>
      <c r="EA13" s="26">
        <v>0</v>
      </c>
      <c r="EB13" s="26">
        <v>0</v>
      </c>
      <c r="EC13" s="26">
        <v>0</v>
      </c>
      <c r="ED13" s="26">
        <v>0</v>
      </c>
      <c r="EE13" s="26">
        <v>0</v>
      </c>
      <c r="EF13" s="26">
        <v>0</v>
      </c>
      <c r="EG13" s="26">
        <v>0</v>
      </c>
      <c r="EH13" s="26">
        <v>0</v>
      </c>
      <c r="EI13" s="26">
        <v>0</v>
      </c>
      <c r="EJ13" s="26">
        <v>0</v>
      </c>
      <c r="EK13" s="26">
        <v>0</v>
      </c>
      <c r="EL13" s="26">
        <v>0</v>
      </c>
      <c r="EM13" s="26">
        <v>0</v>
      </c>
      <c r="EN13" s="26">
        <v>0</v>
      </c>
      <c r="EO13" s="26">
        <v>0</v>
      </c>
      <c r="EP13" s="26">
        <v>0</v>
      </c>
      <c r="EQ13" s="26">
        <v>0</v>
      </c>
      <c r="ER13" s="26">
        <v>0</v>
      </c>
      <c r="ES13" s="26">
        <v>0</v>
      </c>
      <c r="ET13" s="26">
        <v>1</v>
      </c>
      <c r="EU13" s="26">
        <v>0</v>
      </c>
      <c r="EV13" s="26">
        <v>0</v>
      </c>
      <c r="EW13" s="26">
        <v>0</v>
      </c>
      <c r="EX13" s="26">
        <v>0</v>
      </c>
      <c r="EY13" s="26">
        <v>0</v>
      </c>
      <c r="EZ13" s="26">
        <v>0</v>
      </c>
      <c r="FA13" s="26">
        <v>0</v>
      </c>
      <c r="FB13" s="26">
        <v>0</v>
      </c>
      <c r="FC13" s="26">
        <v>0</v>
      </c>
      <c r="FD13" s="26">
        <v>0</v>
      </c>
      <c r="FE13" s="26">
        <v>0</v>
      </c>
      <c r="FF13" s="26">
        <v>0</v>
      </c>
      <c r="FG13" s="26">
        <v>3.4037353700000002E-2</v>
      </c>
      <c r="FH13" s="26">
        <v>-4861548.5258999998</v>
      </c>
      <c r="FI13" s="26">
        <v>1.2269032681485595E-2</v>
      </c>
      <c r="FJ13" s="26">
        <v>5.8415486856212785E-4</v>
      </c>
      <c r="FK13" s="26">
        <v>1.9277295848662811E-4</v>
      </c>
      <c r="FL13" s="26">
        <v>1.3978131861825054E-18</v>
      </c>
      <c r="FM13" s="26">
        <v>1.110779053330677E-18</v>
      </c>
      <c r="FN13" s="26">
        <v>4.6606114261737808E-19</v>
      </c>
      <c r="FO13" s="26">
        <v>3.47959322228119E-16</v>
      </c>
      <c r="FP13" s="26">
        <v>4.153062894335614E-16</v>
      </c>
      <c r="FQ13" s="26">
        <v>4.3602365626596704E-15</v>
      </c>
      <c r="FR13" s="26">
        <v>0</v>
      </c>
      <c r="FS13" s="26">
        <v>1.1855877400402575E-18</v>
      </c>
      <c r="FT13" s="26">
        <v>2.9919974406026458E-20</v>
      </c>
      <c r="FU13" s="26">
        <v>1.2553835461541795E-20</v>
      </c>
      <c r="FV13" s="26">
        <v>9.1888658235109262E-17</v>
      </c>
      <c r="FW13" s="26">
        <v>1.1197901006249874E-17</v>
      </c>
      <c r="FX13" s="26">
        <v>1.1495999203079104E-17</v>
      </c>
      <c r="FY13" s="26">
        <v>3.3116970542713539E-12</v>
      </c>
      <c r="FZ13" s="26">
        <v>2.5507860815173996E-10</v>
      </c>
      <c r="GA13" s="26">
        <v>6.9966105004173289E-7</v>
      </c>
      <c r="GB13" s="26">
        <v>0</v>
      </c>
      <c r="GC13" s="26">
        <v>3.889535197782948E-11</v>
      </c>
      <c r="GD13" s="26">
        <v>1.7032189386257514E-16</v>
      </c>
      <c r="GE13" s="26">
        <v>3.4261668329648907E-13</v>
      </c>
      <c r="GF13" s="26">
        <v>1.4448241226697042E-13</v>
      </c>
      <c r="GG13" s="26">
        <v>6.6184194696140229E-9</v>
      </c>
      <c r="GH13" s="26">
        <v>0</v>
      </c>
      <c r="GI13" s="26">
        <v>0</v>
      </c>
      <c r="GJ13" s="26">
        <v>0</v>
      </c>
      <c r="GK13" s="26">
        <v>0</v>
      </c>
      <c r="GL13" s="26">
        <v>0</v>
      </c>
      <c r="GM13" s="26">
        <v>0</v>
      </c>
      <c r="GN13" s="26">
        <v>0</v>
      </c>
      <c r="GO13" s="26">
        <v>0</v>
      </c>
      <c r="GP13" s="26">
        <v>0</v>
      </c>
      <c r="GQ13" s="26">
        <v>0</v>
      </c>
      <c r="GR13" s="26">
        <v>6.8039386099870653E-17</v>
      </c>
      <c r="GS13" s="26">
        <v>1.4627607367020861E-4</v>
      </c>
      <c r="GT13" s="26">
        <v>1.7314044138512355E-7</v>
      </c>
      <c r="GU13" s="26">
        <v>0</v>
      </c>
      <c r="GV13" s="26">
        <v>0</v>
      </c>
      <c r="GW13" s="26">
        <v>0</v>
      </c>
      <c r="GX13" s="26">
        <v>1.1879986789484339E-2</v>
      </c>
      <c r="GY13" s="26">
        <v>0</v>
      </c>
      <c r="GZ13" s="26">
        <v>0</v>
      </c>
      <c r="HA13" s="26">
        <v>8.8487651263456758E-11</v>
      </c>
      <c r="HB13" s="26">
        <v>0</v>
      </c>
      <c r="HC13" s="26">
        <v>0</v>
      </c>
      <c r="HD13" s="26">
        <v>0</v>
      </c>
      <c r="HE13" s="26">
        <v>0</v>
      </c>
      <c r="HF13" s="26">
        <v>0</v>
      </c>
      <c r="HG13" s="26">
        <v>0</v>
      </c>
      <c r="HH13" s="26">
        <v>0</v>
      </c>
      <c r="HI13" s="26">
        <v>0</v>
      </c>
      <c r="HJ13" s="26">
        <v>0</v>
      </c>
      <c r="HK13" s="26">
        <v>0</v>
      </c>
      <c r="HL13" s="26">
        <v>0</v>
      </c>
      <c r="HM13" s="26">
        <v>0</v>
      </c>
      <c r="HN13" s="26">
        <v>0</v>
      </c>
      <c r="HO13" s="26">
        <v>0</v>
      </c>
      <c r="HP13" s="26">
        <v>0</v>
      </c>
      <c r="HQ13" s="26">
        <v>0</v>
      </c>
      <c r="HR13" s="26">
        <v>0</v>
      </c>
      <c r="HS13" s="26">
        <v>0</v>
      </c>
      <c r="HT13" s="26">
        <v>0</v>
      </c>
    </row>
    <row r="14" spans="1:228" x14ac:dyDescent="0.2">
      <c r="B14" s="27">
        <v>317</v>
      </c>
      <c r="C14" s="26">
        <v>19179.428500000002</v>
      </c>
      <c r="D14" s="26">
        <v>-40.688181999999998</v>
      </c>
      <c r="E14" s="26">
        <v>368.59690799999998</v>
      </c>
      <c r="F14" s="26">
        <v>330.46824099999998</v>
      </c>
      <c r="G14" s="26">
        <v>3.0855791900000001E-12</v>
      </c>
      <c r="H14" s="26">
        <v>6.7733992400000009E-12</v>
      </c>
      <c r="I14" s="26">
        <v>2.8419857E-12</v>
      </c>
      <c r="J14" s="26">
        <v>1.1518229899999999E-9</v>
      </c>
      <c r="K14" s="26">
        <v>2.3869085500000001E-10</v>
      </c>
      <c r="L14" s="26">
        <v>5.2080066499999997E-8</v>
      </c>
      <c r="M14" s="26">
        <v>0</v>
      </c>
      <c r="N14" s="26">
        <v>6.7078721299999996E-12</v>
      </c>
      <c r="O14" s="26">
        <v>1.6928259000000001E-13</v>
      </c>
      <c r="P14" s="26">
        <v>7.10276602E-14</v>
      </c>
      <c r="Q14" s="26">
        <v>4.2361584799999996E-10</v>
      </c>
      <c r="R14" s="26">
        <v>5.1623436700000008E-11</v>
      </c>
      <c r="S14" s="26">
        <v>7.22693227E-11</v>
      </c>
      <c r="T14" s="26">
        <v>1.7582322300000001E-5</v>
      </c>
      <c r="U14" s="26">
        <v>1.1128416299999999E-3</v>
      </c>
      <c r="V14" s="26">
        <v>2.3223612</v>
      </c>
      <c r="W14" s="26">
        <v>0</v>
      </c>
      <c r="X14" s="26">
        <v>3.6780066200000001E-4</v>
      </c>
      <c r="Y14" s="26">
        <v>8.8878319099999999E-10</v>
      </c>
      <c r="Z14" s="26">
        <v>1.12148698E-6</v>
      </c>
      <c r="AA14" s="26">
        <v>6.3681635900000003E-7</v>
      </c>
      <c r="AB14" s="26">
        <v>3.9376215100000002E-3</v>
      </c>
      <c r="AC14" s="26">
        <v>0</v>
      </c>
      <c r="AD14" s="26">
        <v>0</v>
      </c>
      <c r="AE14" s="26">
        <v>0</v>
      </c>
      <c r="AF14" s="26">
        <v>0</v>
      </c>
      <c r="AG14" s="26">
        <v>0</v>
      </c>
      <c r="AH14" s="26">
        <v>0</v>
      </c>
      <c r="AI14" s="26">
        <v>0</v>
      </c>
      <c r="AJ14" s="26">
        <v>0</v>
      </c>
      <c r="AK14" s="26">
        <v>0</v>
      </c>
      <c r="AL14" s="26">
        <v>0</v>
      </c>
      <c r="AM14" s="26">
        <v>6.6967042000000004E-10</v>
      </c>
      <c r="AN14" s="26">
        <v>154.73737700000001</v>
      </c>
      <c r="AO14" s="26">
        <v>0.157155092</v>
      </c>
      <c r="AP14" s="26">
        <v>0</v>
      </c>
      <c r="AQ14" s="26">
        <v>0</v>
      </c>
      <c r="AR14" s="26">
        <v>0</v>
      </c>
      <c r="AS14" s="26">
        <v>18323.140800000001</v>
      </c>
      <c r="AT14" s="26">
        <v>0</v>
      </c>
      <c r="AU14" s="26">
        <v>0</v>
      </c>
      <c r="AV14" s="26">
        <v>1.9651815800000001E-4</v>
      </c>
      <c r="AW14" s="26">
        <v>0</v>
      </c>
      <c r="AX14" s="26">
        <v>0</v>
      </c>
      <c r="AY14" s="26">
        <v>0</v>
      </c>
      <c r="AZ14" s="26">
        <v>0</v>
      </c>
      <c r="BA14" s="26">
        <v>0</v>
      </c>
      <c r="BB14" s="26">
        <v>0</v>
      </c>
      <c r="BC14" s="26">
        <v>0</v>
      </c>
      <c r="BD14" s="26">
        <v>0</v>
      </c>
      <c r="BE14" s="26">
        <v>0</v>
      </c>
      <c r="BF14" s="26">
        <v>0</v>
      </c>
      <c r="BG14" s="26">
        <v>0</v>
      </c>
      <c r="BH14" s="26">
        <v>0</v>
      </c>
      <c r="BI14" s="26">
        <v>0</v>
      </c>
      <c r="BJ14" s="26">
        <v>0</v>
      </c>
      <c r="BK14" s="26">
        <v>0</v>
      </c>
      <c r="BL14" s="26">
        <v>0</v>
      </c>
      <c r="BM14" s="26">
        <v>0</v>
      </c>
      <c r="BN14" s="26">
        <v>0</v>
      </c>
      <c r="BO14" s="26">
        <v>448.84160200000002</v>
      </c>
      <c r="BP14" s="26">
        <v>19179.428500000002</v>
      </c>
      <c r="BQ14" s="26">
        <v>187312.11499999999</v>
      </c>
      <c r="BR14" s="26">
        <v>32</v>
      </c>
      <c r="BS14" s="26">
        <v>1</v>
      </c>
      <c r="BT14" s="26">
        <v>1</v>
      </c>
      <c r="BU14" s="26">
        <v>0</v>
      </c>
      <c r="BV14" s="26">
        <v>0</v>
      </c>
      <c r="BW14" s="26">
        <v>-90651.5383</v>
      </c>
      <c r="BX14" s="26">
        <v>-2121.4491200000002</v>
      </c>
      <c r="BY14" s="26">
        <v>-40.688181999999998</v>
      </c>
      <c r="BZ14" s="26">
        <v>0.15103301499999999</v>
      </c>
      <c r="CA14" s="26">
        <v>3.5345109799999998E-3</v>
      </c>
      <c r="CB14" s="26">
        <v>3.9937049800000001E-5</v>
      </c>
      <c r="CC14" s="26">
        <v>1.70654812E-3</v>
      </c>
      <c r="CD14" s="26">
        <v>42.730950900000003</v>
      </c>
      <c r="CE14" s="26">
        <v>0</v>
      </c>
      <c r="CF14" s="26">
        <v>0</v>
      </c>
      <c r="CG14" s="26">
        <v>0</v>
      </c>
      <c r="CH14" s="26">
        <v>0</v>
      </c>
      <c r="CI14" s="26">
        <v>0</v>
      </c>
      <c r="CJ14" s="26">
        <v>0</v>
      </c>
      <c r="CK14" s="26">
        <v>0</v>
      </c>
      <c r="CL14" s="26">
        <v>0</v>
      </c>
      <c r="CM14" s="26">
        <v>0</v>
      </c>
      <c r="CN14" s="26">
        <v>0</v>
      </c>
      <c r="CO14" s="26">
        <v>0</v>
      </c>
      <c r="CP14" s="26">
        <v>0</v>
      </c>
      <c r="CQ14" s="26">
        <v>0</v>
      </c>
      <c r="CR14" s="26">
        <v>0</v>
      </c>
      <c r="CS14" s="26">
        <v>0</v>
      </c>
      <c r="CT14" s="26">
        <v>0</v>
      </c>
      <c r="CU14" s="26">
        <v>0</v>
      </c>
      <c r="CV14" s="26">
        <v>0</v>
      </c>
      <c r="CW14" s="26">
        <v>0</v>
      </c>
      <c r="CX14" s="26">
        <v>0</v>
      </c>
      <c r="CY14" s="26">
        <v>0</v>
      </c>
      <c r="CZ14" s="26">
        <v>0</v>
      </c>
      <c r="DA14" s="26">
        <v>0</v>
      </c>
      <c r="DB14" s="26">
        <v>0</v>
      </c>
      <c r="DC14" s="26">
        <v>0</v>
      </c>
      <c r="DD14" s="26">
        <v>0</v>
      </c>
      <c r="DE14" s="26">
        <v>0</v>
      </c>
      <c r="DF14" s="26">
        <v>0</v>
      </c>
      <c r="DG14" s="26">
        <v>0</v>
      </c>
      <c r="DH14" s="26">
        <v>0</v>
      </c>
      <c r="DI14" s="26">
        <v>0</v>
      </c>
      <c r="DJ14" s="26">
        <v>0</v>
      </c>
      <c r="DK14" s="26">
        <v>0</v>
      </c>
      <c r="DL14" s="26">
        <v>0</v>
      </c>
      <c r="DM14" s="26">
        <v>0</v>
      </c>
      <c r="DN14" s="26">
        <v>0</v>
      </c>
      <c r="DO14" s="26">
        <v>0</v>
      </c>
      <c r="DP14" s="26">
        <v>0</v>
      </c>
      <c r="DQ14" s="26">
        <v>0</v>
      </c>
      <c r="DR14" s="26">
        <v>0</v>
      </c>
      <c r="DS14" s="26">
        <v>0</v>
      </c>
      <c r="DT14" s="26">
        <v>0</v>
      </c>
      <c r="DU14" s="26">
        <v>0</v>
      </c>
      <c r="DV14" s="26">
        <v>0</v>
      </c>
      <c r="DW14" s="26">
        <v>0</v>
      </c>
      <c r="DX14" s="26">
        <v>0</v>
      </c>
      <c r="DY14" s="26">
        <v>0</v>
      </c>
      <c r="DZ14" s="26">
        <v>0</v>
      </c>
      <c r="EA14" s="26">
        <v>0</v>
      </c>
      <c r="EB14" s="26">
        <v>0</v>
      </c>
      <c r="EC14" s="26">
        <v>0</v>
      </c>
      <c r="ED14" s="26">
        <v>0</v>
      </c>
      <c r="EE14" s="26">
        <v>0</v>
      </c>
      <c r="EF14" s="26">
        <v>0</v>
      </c>
      <c r="EG14" s="26">
        <v>0</v>
      </c>
      <c r="EH14" s="26">
        <v>0</v>
      </c>
      <c r="EI14" s="26">
        <v>0</v>
      </c>
      <c r="EJ14" s="26">
        <v>0</v>
      </c>
      <c r="EK14" s="26">
        <v>0</v>
      </c>
      <c r="EL14" s="26">
        <v>0</v>
      </c>
      <c r="EM14" s="26">
        <v>0</v>
      </c>
      <c r="EN14" s="26">
        <v>0</v>
      </c>
      <c r="EO14" s="26">
        <v>0</v>
      </c>
      <c r="EP14" s="26">
        <v>0</v>
      </c>
      <c r="EQ14" s="26">
        <v>0</v>
      </c>
      <c r="ER14" s="26">
        <v>0</v>
      </c>
      <c r="ES14" s="26">
        <v>0</v>
      </c>
      <c r="ET14" s="26">
        <v>1</v>
      </c>
      <c r="EU14" s="26">
        <v>0</v>
      </c>
      <c r="EV14" s="26">
        <v>0</v>
      </c>
      <c r="EW14" s="26">
        <v>0</v>
      </c>
      <c r="EX14" s="26">
        <v>0</v>
      </c>
      <c r="EY14" s="26">
        <v>0</v>
      </c>
      <c r="EZ14" s="26">
        <v>0</v>
      </c>
      <c r="FA14" s="26">
        <v>0</v>
      </c>
      <c r="FB14" s="26">
        <v>0</v>
      </c>
      <c r="FC14" s="26">
        <v>0</v>
      </c>
      <c r="FD14" s="26">
        <v>0</v>
      </c>
      <c r="FE14" s="26">
        <v>0</v>
      </c>
      <c r="FF14" s="26">
        <v>0</v>
      </c>
      <c r="FG14" s="26">
        <v>3.6106843299999997E-2</v>
      </c>
      <c r="FH14" s="26">
        <v>-47353185.062600002</v>
      </c>
      <c r="FI14" s="26">
        <v>0.11966940484624412</v>
      </c>
      <c r="FJ14" s="26">
        <v>5.6833993510227512E-3</v>
      </c>
      <c r="FK14" s="26">
        <v>1.9925905659407247E-3</v>
      </c>
      <c r="FL14" s="26">
        <v>4.7575287325046742E-18</v>
      </c>
      <c r="FM14" s="26">
        <v>1.0443628083549025E-17</v>
      </c>
      <c r="FN14" s="26">
        <v>4.3819418406110902E-18</v>
      </c>
      <c r="FO14" s="26">
        <v>2.1311386753824429E-15</v>
      </c>
      <c r="FP14" s="26">
        <v>4.416332340886214E-16</v>
      </c>
      <c r="FQ14" s="26">
        <v>4.2263166449216444E-14</v>
      </c>
      <c r="FR14" s="26">
        <v>0</v>
      </c>
      <c r="FS14" s="26">
        <v>1.1491737064156118E-17</v>
      </c>
      <c r="FT14" s="26">
        <v>2.9001015232008121E-19</v>
      </c>
      <c r="FU14" s="26">
        <v>1.2168258125123844E-19</v>
      </c>
      <c r="FV14" s="26">
        <v>8.9066398490308965E-16</v>
      </c>
      <c r="FW14" s="26">
        <v>1.0853969697942868E-16</v>
      </c>
      <c r="FX14" s="26">
        <v>1.1142912144698853E-16</v>
      </c>
      <c r="FY14" s="26">
        <v>3.2099818867909664E-11</v>
      </c>
      <c r="FZ14" s="26">
        <v>2.4512146446097173E-9</v>
      </c>
      <c r="GA14" s="26">
        <v>6.7138115259327139E-6</v>
      </c>
      <c r="GB14" s="26">
        <v>0</v>
      </c>
      <c r="GC14" s="26">
        <v>1.1341936840735496E-9</v>
      </c>
      <c r="GD14" s="26">
        <v>1.6226660240924393E-15</v>
      </c>
      <c r="GE14" s="26">
        <v>3.3826495548389743E-12</v>
      </c>
      <c r="GF14" s="26">
        <v>1.4979640342059345E-12</v>
      </c>
      <c r="GG14" s="26">
        <v>6.4224767736020369E-8</v>
      </c>
      <c r="GH14" s="26">
        <v>0</v>
      </c>
      <c r="GI14" s="26">
        <v>0</v>
      </c>
      <c r="GJ14" s="26">
        <v>0</v>
      </c>
      <c r="GK14" s="26">
        <v>0</v>
      </c>
      <c r="GL14" s="26">
        <v>0</v>
      </c>
      <c r="GM14" s="26">
        <v>0</v>
      </c>
      <c r="GN14" s="26">
        <v>0</v>
      </c>
      <c r="GO14" s="26">
        <v>0</v>
      </c>
      <c r="GP14" s="26">
        <v>0</v>
      </c>
      <c r="GQ14" s="26">
        <v>0</v>
      </c>
      <c r="GR14" s="26">
        <v>6.5855381637954173E-16</v>
      </c>
      <c r="GS14" s="26">
        <v>1.3432567774127209E-3</v>
      </c>
      <c r="GT14" s="26">
        <v>1.5583280791332913E-6</v>
      </c>
      <c r="GU14" s="26">
        <v>0</v>
      </c>
      <c r="GV14" s="26">
        <v>0</v>
      </c>
      <c r="GW14" s="26">
        <v>0</v>
      </c>
      <c r="GX14" s="26">
        <v>0.11565063620298287</v>
      </c>
      <c r="GY14" s="26">
        <v>0</v>
      </c>
      <c r="GZ14" s="26">
        <v>0</v>
      </c>
      <c r="HA14" s="26">
        <v>8.520806707055342E-10</v>
      </c>
      <c r="HB14" s="26">
        <v>0</v>
      </c>
      <c r="HC14" s="26">
        <v>0</v>
      </c>
      <c r="HD14" s="26">
        <v>0</v>
      </c>
      <c r="HE14" s="26">
        <v>0</v>
      </c>
      <c r="HF14" s="26">
        <v>0</v>
      </c>
      <c r="HG14" s="26">
        <v>0</v>
      </c>
      <c r="HH14" s="26">
        <v>0</v>
      </c>
      <c r="HI14" s="26">
        <v>0</v>
      </c>
      <c r="HJ14" s="26">
        <v>0</v>
      </c>
      <c r="HK14" s="26">
        <v>0</v>
      </c>
      <c r="HL14" s="26">
        <v>0</v>
      </c>
      <c r="HM14" s="26">
        <v>0</v>
      </c>
      <c r="HN14" s="26">
        <v>0</v>
      </c>
      <c r="HO14" s="26">
        <v>0</v>
      </c>
      <c r="HP14" s="26">
        <v>0</v>
      </c>
      <c r="HQ14" s="26">
        <v>0</v>
      </c>
      <c r="HR14" s="26">
        <v>0</v>
      </c>
      <c r="HS14" s="26">
        <v>0</v>
      </c>
      <c r="HT14" s="26">
        <v>0</v>
      </c>
    </row>
    <row r="15" spans="1:228" x14ac:dyDescent="0.2">
      <c r="B15" s="27">
        <v>401</v>
      </c>
      <c r="C15" s="26">
        <v>2844.6651299999999</v>
      </c>
      <c r="D15" s="26">
        <v>-5.6435249699999996</v>
      </c>
      <c r="E15" s="26">
        <v>426.69977</v>
      </c>
      <c r="F15" s="26">
        <v>0</v>
      </c>
      <c r="G15" s="26">
        <v>2417.9653600000001</v>
      </c>
      <c r="H15" s="26">
        <v>0</v>
      </c>
      <c r="I15" s="26">
        <v>0</v>
      </c>
      <c r="J15" s="26">
        <v>0</v>
      </c>
      <c r="K15" s="26">
        <v>0</v>
      </c>
      <c r="L15" s="26">
        <v>0</v>
      </c>
      <c r="M15" s="26">
        <v>0</v>
      </c>
      <c r="N15" s="26">
        <v>0</v>
      </c>
      <c r="O15" s="26">
        <v>0</v>
      </c>
      <c r="P15" s="26">
        <v>0</v>
      </c>
      <c r="Q15" s="26">
        <v>0</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W15" s="26">
        <v>0</v>
      </c>
      <c r="AX15" s="26">
        <v>0</v>
      </c>
      <c r="AY15" s="26">
        <v>0</v>
      </c>
      <c r="AZ15" s="26">
        <v>0</v>
      </c>
      <c r="BA15" s="26">
        <v>0</v>
      </c>
      <c r="BB15" s="26">
        <v>0</v>
      </c>
      <c r="BC15" s="26">
        <v>0</v>
      </c>
      <c r="BD15" s="26">
        <v>0</v>
      </c>
      <c r="BE15" s="26">
        <v>0</v>
      </c>
      <c r="BF15" s="26">
        <v>0</v>
      </c>
      <c r="BG15" s="26">
        <v>0</v>
      </c>
      <c r="BH15" s="26">
        <v>0</v>
      </c>
      <c r="BI15" s="26">
        <v>0</v>
      </c>
      <c r="BJ15" s="26">
        <v>0</v>
      </c>
      <c r="BK15" s="26">
        <v>0</v>
      </c>
      <c r="BL15" s="26">
        <v>0</v>
      </c>
      <c r="BM15" s="26">
        <v>0</v>
      </c>
      <c r="BN15" s="26">
        <v>0</v>
      </c>
      <c r="BO15" s="26">
        <v>37.106820200000001</v>
      </c>
      <c r="BP15" s="26">
        <v>2844.6651299999999</v>
      </c>
      <c r="BQ15" s="26">
        <v>16.375803399999999</v>
      </c>
      <c r="BR15" s="26">
        <v>28</v>
      </c>
      <c r="BS15" s="26">
        <v>1</v>
      </c>
      <c r="BT15" s="26">
        <v>0</v>
      </c>
      <c r="BU15" s="26">
        <v>1</v>
      </c>
      <c r="BV15" s="26">
        <v>0</v>
      </c>
      <c r="BW15" s="26">
        <v>-152088.61600000001</v>
      </c>
      <c r="BX15" s="26">
        <v>-1983.8978099999999</v>
      </c>
      <c r="BY15" s="26">
        <v>-5.6435249699999996</v>
      </c>
      <c r="BZ15" s="26">
        <v>-117.882704</v>
      </c>
      <c r="CA15" s="26">
        <v>-1.53770377</v>
      </c>
      <c r="CB15" s="26">
        <v>3.7765902499999997E-2</v>
      </c>
      <c r="CC15" s="26">
        <v>2.8951913800000004</v>
      </c>
      <c r="CD15" s="26">
        <v>76.661517099999998</v>
      </c>
      <c r="CE15" s="26">
        <v>41.262657900000001</v>
      </c>
      <c r="CF15" s="26">
        <v>0</v>
      </c>
      <c r="CG15" s="26">
        <v>0</v>
      </c>
      <c r="CH15" s="26">
        <v>0</v>
      </c>
      <c r="CI15" s="26">
        <v>0</v>
      </c>
      <c r="CJ15" s="26">
        <v>0</v>
      </c>
      <c r="CK15" s="26">
        <v>0</v>
      </c>
      <c r="CL15" s="26">
        <v>0</v>
      </c>
      <c r="CM15" s="26">
        <v>0</v>
      </c>
      <c r="CN15" s="26">
        <v>0</v>
      </c>
      <c r="CO15" s="26">
        <v>0</v>
      </c>
      <c r="CP15" s="26">
        <v>0</v>
      </c>
      <c r="CQ15" s="26">
        <v>0</v>
      </c>
      <c r="CR15" s="26">
        <v>0</v>
      </c>
      <c r="CS15" s="26">
        <v>0</v>
      </c>
      <c r="CT15" s="26">
        <v>0</v>
      </c>
      <c r="CU15" s="26">
        <v>0</v>
      </c>
      <c r="CV15" s="26">
        <v>0</v>
      </c>
      <c r="CW15" s="26">
        <v>0</v>
      </c>
      <c r="CX15" s="26">
        <v>0</v>
      </c>
      <c r="CY15" s="26">
        <v>0</v>
      </c>
      <c r="CZ15" s="26">
        <v>0</v>
      </c>
      <c r="DA15" s="26">
        <v>0</v>
      </c>
      <c r="DB15" s="26">
        <v>0</v>
      </c>
      <c r="DC15" s="26">
        <v>0</v>
      </c>
      <c r="DD15" s="26">
        <v>0</v>
      </c>
      <c r="DE15" s="26">
        <v>0</v>
      </c>
      <c r="DF15" s="26">
        <v>0</v>
      </c>
      <c r="DG15" s="26">
        <v>0</v>
      </c>
      <c r="DH15" s="26">
        <v>0</v>
      </c>
      <c r="DI15" s="26">
        <v>0</v>
      </c>
      <c r="DJ15" s="26">
        <v>0</v>
      </c>
      <c r="DK15" s="26">
        <v>0</v>
      </c>
      <c r="DL15" s="26">
        <v>0</v>
      </c>
      <c r="DM15" s="26">
        <v>0</v>
      </c>
      <c r="DN15" s="26">
        <v>0</v>
      </c>
      <c r="DO15" s="26">
        <v>0</v>
      </c>
      <c r="DP15" s="26">
        <v>0</v>
      </c>
      <c r="DQ15" s="26">
        <v>0</v>
      </c>
      <c r="DR15" s="26">
        <v>0</v>
      </c>
      <c r="DS15" s="26">
        <v>0</v>
      </c>
      <c r="DT15" s="26">
        <v>0</v>
      </c>
      <c r="DU15" s="26">
        <v>0</v>
      </c>
      <c r="DV15" s="26">
        <v>0</v>
      </c>
      <c r="DW15" s="26">
        <v>0</v>
      </c>
      <c r="DX15" s="26">
        <v>0</v>
      </c>
      <c r="DY15" s="26">
        <v>0</v>
      </c>
      <c r="DZ15" s="26">
        <v>0</v>
      </c>
      <c r="EA15" s="26">
        <v>0</v>
      </c>
      <c r="EB15" s="26">
        <v>0</v>
      </c>
      <c r="EC15" s="26">
        <v>0</v>
      </c>
      <c r="ED15" s="26">
        <v>0</v>
      </c>
      <c r="EE15" s="26">
        <v>0</v>
      </c>
      <c r="EF15" s="26">
        <v>0</v>
      </c>
      <c r="EG15" s="26">
        <v>0</v>
      </c>
      <c r="EH15" s="26">
        <v>0</v>
      </c>
      <c r="EI15" s="26">
        <v>0</v>
      </c>
      <c r="EJ15" s="26">
        <v>0</v>
      </c>
      <c r="EK15" s="26">
        <v>0</v>
      </c>
      <c r="EL15" s="26">
        <v>0</v>
      </c>
      <c r="EM15" s="26">
        <v>0</v>
      </c>
      <c r="EN15" s="26">
        <v>0</v>
      </c>
      <c r="EO15" s="26">
        <v>0</v>
      </c>
      <c r="EP15" s="26">
        <v>0</v>
      </c>
      <c r="EQ15" s="26">
        <v>0</v>
      </c>
      <c r="ER15" s="26">
        <v>0</v>
      </c>
      <c r="ES15" s="26">
        <v>28</v>
      </c>
      <c r="ET15" s="26">
        <v>1</v>
      </c>
      <c r="EU15" s="26">
        <v>0</v>
      </c>
      <c r="EV15" s="26">
        <v>0</v>
      </c>
      <c r="EW15" s="26">
        <v>0</v>
      </c>
      <c r="EX15" s="26">
        <v>0</v>
      </c>
      <c r="EY15" s="26">
        <v>0</v>
      </c>
      <c r="EZ15" s="26">
        <v>0</v>
      </c>
      <c r="FA15" s="26">
        <v>0</v>
      </c>
      <c r="FB15" s="26">
        <v>0</v>
      </c>
      <c r="FC15" s="26">
        <v>0</v>
      </c>
      <c r="FD15" s="26">
        <v>0</v>
      </c>
      <c r="FE15" s="26">
        <v>162.14240000000001</v>
      </c>
      <c r="FF15" s="26">
        <v>0</v>
      </c>
      <c r="FG15" s="26">
        <v>0.90587312200000003</v>
      </c>
      <c r="FH15" s="26">
        <v>-6568934.5791500006</v>
      </c>
      <c r="FI15" s="26">
        <v>2.2368973123396231E-2</v>
      </c>
      <c r="FJ15" s="26">
        <v>0</v>
      </c>
      <c r="FK15" s="26">
        <v>0</v>
      </c>
      <c r="FL15" s="26">
        <v>0</v>
      </c>
      <c r="FM15" s="26">
        <v>0</v>
      </c>
      <c r="FN15" s="26">
        <v>0</v>
      </c>
      <c r="FO15" s="26">
        <v>0</v>
      </c>
      <c r="FP15" s="26">
        <v>0</v>
      </c>
      <c r="FQ15" s="26">
        <v>0</v>
      </c>
      <c r="FR15" s="26">
        <v>0</v>
      </c>
      <c r="FS15" s="26">
        <v>0</v>
      </c>
      <c r="FT15" s="26">
        <v>0</v>
      </c>
      <c r="FU15" s="26">
        <v>0</v>
      </c>
      <c r="FV15" s="26">
        <v>0</v>
      </c>
      <c r="FW15" s="26">
        <v>0</v>
      </c>
      <c r="FX15" s="26">
        <v>0</v>
      </c>
      <c r="FY15" s="26">
        <v>0</v>
      </c>
      <c r="FZ15" s="26">
        <v>0</v>
      </c>
      <c r="GA15" s="26">
        <v>0</v>
      </c>
      <c r="GB15" s="26">
        <v>0</v>
      </c>
      <c r="GC15" s="26">
        <v>0</v>
      </c>
      <c r="GD15" s="26">
        <v>0</v>
      </c>
      <c r="GE15" s="26">
        <v>0</v>
      </c>
      <c r="GF15" s="26">
        <v>0</v>
      </c>
      <c r="GG15" s="26">
        <v>0</v>
      </c>
      <c r="GH15" s="26">
        <v>0</v>
      </c>
      <c r="GI15" s="26">
        <v>0</v>
      </c>
      <c r="GJ15" s="26">
        <v>0</v>
      </c>
      <c r="GK15" s="26">
        <v>0</v>
      </c>
      <c r="GL15" s="26">
        <v>0</v>
      </c>
      <c r="GM15" s="26">
        <v>0</v>
      </c>
      <c r="GN15" s="26">
        <v>0</v>
      </c>
      <c r="GO15" s="26">
        <v>0</v>
      </c>
      <c r="GP15" s="26">
        <v>0</v>
      </c>
      <c r="GQ15" s="26">
        <v>0</v>
      </c>
      <c r="GR15" s="26">
        <v>0</v>
      </c>
      <c r="GS15" s="26">
        <v>0</v>
      </c>
      <c r="GT15" s="26">
        <v>0</v>
      </c>
      <c r="GU15" s="26">
        <v>0</v>
      </c>
      <c r="GV15" s="26">
        <v>0</v>
      </c>
      <c r="GW15" s="26">
        <v>0</v>
      </c>
      <c r="GX15" s="26">
        <v>0</v>
      </c>
      <c r="GY15" s="26">
        <v>0</v>
      </c>
      <c r="GZ15" s="26">
        <v>0</v>
      </c>
      <c r="HA15" s="26">
        <v>0</v>
      </c>
      <c r="HB15" s="26">
        <v>0</v>
      </c>
      <c r="HC15" s="26">
        <v>0</v>
      </c>
      <c r="HD15" s="26">
        <v>0</v>
      </c>
      <c r="HE15" s="26">
        <v>0</v>
      </c>
      <c r="HF15" s="26">
        <v>0</v>
      </c>
      <c r="HG15" s="26">
        <v>0</v>
      </c>
      <c r="HH15" s="26">
        <v>0</v>
      </c>
      <c r="HI15" s="26">
        <v>0</v>
      </c>
      <c r="HJ15" s="26">
        <v>0</v>
      </c>
      <c r="HK15" s="26">
        <v>0</v>
      </c>
      <c r="HL15" s="26">
        <v>0</v>
      </c>
      <c r="HM15" s="26">
        <v>0</v>
      </c>
      <c r="HN15" s="26">
        <v>0</v>
      </c>
      <c r="HO15" s="26">
        <v>0</v>
      </c>
      <c r="HP15" s="26">
        <v>0</v>
      </c>
      <c r="HQ15" s="26">
        <v>0</v>
      </c>
      <c r="HR15" s="26">
        <v>0</v>
      </c>
      <c r="HS15" s="26">
        <v>0</v>
      </c>
      <c r="HT15" s="26">
        <v>0</v>
      </c>
    </row>
    <row r="16" spans="1:228" x14ac:dyDescent="0.2">
      <c r="B16" s="27">
        <v>422</v>
      </c>
      <c r="C16" s="26">
        <v>13836.505999999999</v>
      </c>
      <c r="D16" s="26">
        <v>-50.048173900000002</v>
      </c>
      <c r="E16" s="26">
        <v>13053.5304</v>
      </c>
      <c r="F16" s="26">
        <v>0</v>
      </c>
      <c r="G16" s="26">
        <v>0</v>
      </c>
      <c r="H16" s="26">
        <v>0</v>
      </c>
      <c r="I16" s="26">
        <v>0</v>
      </c>
      <c r="J16" s="26">
        <v>0</v>
      </c>
      <c r="K16" s="26">
        <v>0</v>
      </c>
      <c r="L16" s="26">
        <v>0</v>
      </c>
      <c r="M16" s="26">
        <v>0</v>
      </c>
      <c r="N16" s="26">
        <v>0</v>
      </c>
      <c r="O16" s="26">
        <v>0</v>
      </c>
      <c r="P16" s="26">
        <v>0</v>
      </c>
      <c r="Q16" s="26">
        <v>0</v>
      </c>
      <c r="R16" s="26">
        <v>0</v>
      </c>
      <c r="S16" s="26">
        <v>0</v>
      </c>
      <c r="T16" s="26">
        <v>0</v>
      </c>
      <c r="U16" s="26">
        <v>0</v>
      </c>
      <c r="V16" s="26">
        <v>0</v>
      </c>
      <c r="W16" s="26">
        <v>0</v>
      </c>
      <c r="X16" s="26">
        <v>40.711663899999998</v>
      </c>
      <c r="Y16" s="26">
        <v>0</v>
      </c>
      <c r="Z16" s="26">
        <v>0</v>
      </c>
      <c r="AA16" s="26">
        <v>0</v>
      </c>
      <c r="AB16" s="26">
        <v>0.20126190999999999</v>
      </c>
      <c r="AC16" s="26">
        <v>0</v>
      </c>
      <c r="AD16" s="26">
        <v>0</v>
      </c>
      <c r="AE16" s="26">
        <v>0</v>
      </c>
      <c r="AF16" s="26">
        <v>0</v>
      </c>
      <c r="AG16" s="26">
        <v>0</v>
      </c>
      <c r="AH16" s="26">
        <v>0</v>
      </c>
      <c r="AI16" s="26">
        <v>0</v>
      </c>
      <c r="AJ16" s="26">
        <v>0</v>
      </c>
      <c r="AK16" s="26">
        <v>0</v>
      </c>
      <c r="AL16" s="26">
        <v>0</v>
      </c>
      <c r="AM16" s="26">
        <v>13.357549499999999</v>
      </c>
      <c r="AN16" s="26">
        <v>7.8815718500000007E-2</v>
      </c>
      <c r="AO16" s="26">
        <v>0.174713493</v>
      </c>
      <c r="AP16" s="26">
        <v>0</v>
      </c>
      <c r="AQ16" s="26">
        <v>0</v>
      </c>
      <c r="AR16" s="26">
        <v>0</v>
      </c>
      <c r="AS16" s="26">
        <v>0.85319220100000004</v>
      </c>
      <c r="AT16" s="26">
        <v>0</v>
      </c>
      <c r="AU16" s="26">
        <v>0</v>
      </c>
      <c r="AV16" s="26">
        <v>2.1650779600000001E-3</v>
      </c>
      <c r="AW16" s="26">
        <v>0</v>
      </c>
      <c r="AX16" s="26">
        <v>0</v>
      </c>
      <c r="AY16" s="26">
        <v>0</v>
      </c>
      <c r="AZ16" s="26">
        <v>0</v>
      </c>
      <c r="BA16" s="26">
        <v>0</v>
      </c>
      <c r="BB16" s="26">
        <v>0</v>
      </c>
      <c r="BC16" s="26">
        <v>0</v>
      </c>
      <c r="BD16" s="26">
        <v>0</v>
      </c>
      <c r="BE16" s="26">
        <v>0</v>
      </c>
      <c r="BF16" s="26">
        <v>0</v>
      </c>
      <c r="BG16" s="26">
        <v>0</v>
      </c>
      <c r="BH16" s="26">
        <v>0</v>
      </c>
      <c r="BI16" s="26">
        <v>0</v>
      </c>
      <c r="BJ16" s="26">
        <v>0</v>
      </c>
      <c r="BK16" s="26">
        <v>0</v>
      </c>
      <c r="BL16" s="26">
        <v>0</v>
      </c>
      <c r="BM16" s="26">
        <v>0</v>
      </c>
      <c r="BN16" s="26">
        <v>0</v>
      </c>
      <c r="BO16" s="26">
        <v>725.120225</v>
      </c>
      <c r="BP16" s="26">
        <v>13108.9097</v>
      </c>
      <c r="BQ16" s="26">
        <v>220.55320599999999</v>
      </c>
      <c r="BR16" s="26">
        <v>28.655215699999985</v>
      </c>
      <c r="BS16" s="26">
        <v>1.9239300399999999</v>
      </c>
      <c r="BT16" s="26">
        <v>0</v>
      </c>
      <c r="BU16" s="26">
        <v>1</v>
      </c>
      <c r="BV16" s="26">
        <v>0</v>
      </c>
      <c r="BW16" s="26">
        <v>-68238.462299999999</v>
      </c>
      <c r="BX16" s="26">
        <v>-3774.6151399999999</v>
      </c>
      <c r="BY16" s="26">
        <v>-49.481089599999997</v>
      </c>
      <c r="BZ16" s="26">
        <v>-38.717150099999998</v>
      </c>
      <c r="CA16" s="26">
        <v>-2.1416417700000001</v>
      </c>
      <c r="CB16" s="26">
        <v>5.4795562200000002E-2</v>
      </c>
      <c r="CC16" s="26">
        <v>0.99060825200000002</v>
      </c>
      <c r="CD16" s="26">
        <v>18.0782569</v>
      </c>
      <c r="CE16" s="26">
        <v>218.821482</v>
      </c>
      <c r="CF16" s="26">
        <v>0</v>
      </c>
      <c r="CG16" s="26">
        <v>0</v>
      </c>
      <c r="CH16" s="26">
        <v>0</v>
      </c>
      <c r="CI16" s="26">
        <v>0</v>
      </c>
      <c r="CJ16" s="26">
        <v>0</v>
      </c>
      <c r="CK16" s="26">
        <v>0</v>
      </c>
      <c r="CL16" s="26">
        <v>0</v>
      </c>
      <c r="CM16" s="26">
        <v>0</v>
      </c>
      <c r="CN16" s="26">
        <v>0</v>
      </c>
      <c r="CO16" s="26">
        <v>0</v>
      </c>
      <c r="CP16" s="26">
        <v>0</v>
      </c>
      <c r="CQ16" s="26">
        <v>0</v>
      </c>
      <c r="CR16" s="26">
        <v>0</v>
      </c>
      <c r="CS16" s="26">
        <v>0</v>
      </c>
      <c r="CT16" s="26">
        <v>0</v>
      </c>
      <c r="CU16" s="26">
        <v>0</v>
      </c>
      <c r="CV16" s="26">
        <v>0</v>
      </c>
      <c r="CW16" s="26">
        <v>0</v>
      </c>
      <c r="CX16" s="26">
        <v>0</v>
      </c>
      <c r="CY16" s="26">
        <v>0</v>
      </c>
      <c r="CZ16" s="26">
        <v>0</v>
      </c>
      <c r="DA16" s="26">
        <v>0</v>
      </c>
      <c r="DB16" s="26">
        <v>0</v>
      </c>
      <c r="DC16" s="26">
        <v>0</v>
      </c>
      <c r="DD16" s="26">
        <v>0</v>
      </c>
      <c r="DE16" s="26">
        <v>0</v>
      </c>
      <c r="DF16" s="26">
        <v>0</v>
      </c>
      <c r="DG16" s="26">
        <v>0</v>
      </c>
      <c r="DH16" s="26">
        <v>0</v>
      </c>
      <c r="DI16" s="26">
        <v>0</v>
      </c>
      <c r="DJ16" s="26">
        <v>0</v>
      </c>
      <c r="DK16" s="26">
        <v>0</v>
      </c>
      <c r="DL16" s="26">
        <v>0</v>
      </c>
      <c r="DM16" s="26">
        <v>0</v>
      </c>
      <c r="DN16" s="26">
        <v>0</v>
      </c>
      <c r="DO16" s="26">
        <v>0</v>
      </c>
      <c r="DP16" s="26">
        <v>0</v>
      </c>
      <c r="DQ16" s="26">
        <v>0</v>
      </c>
      <c r="DR16" s="26">
        <v>0</v>
      </c>
      <c r="DS16" s="26">
        <v>0</v>
      </c>
      <c r="DT16" s="26">
        <v>0</v>
      </c>
      <c r="DU16" s="26">
        <v>0</v>
      </c>
      <c r="DV16" s="26">
        <v>0</v>
      </c>
      <c r="DW16" s="26">
        <v>0</v>
      </c>
      <c r="DX16" s="26">
        <v>0</v>
      </c>
      <c r="DY16" s="26">
        <v>0</v>
      </c>
      <c r="DZ16" s="26">
        <v>0</v>
      </c>
      <c r="EA16" s="26">
        <v>0</v>
      </c>
      <c r="EB16" s="26">
        <v>0</v>
      </c>
      <c r="EC16" s="26">
        <v>0</v>
      </c>
      <c r="ED16" s="26">
        <v>0</v>
      </c>
      <c r="EE16" s="26">
        <v>41.123660100000002</v>
      </c>
      <c r="EF16" s="26">
        <v>0</v>
      </c>
      <c r="EG16" s="26">
        <v>520.80320400000005</v>
      </c>
      <c r="EH16" s="26">
        <v>57.867214300000001</v>
      </c>
      <c r="EI16" s="26">
        <v>0</v>
      </c>
      <c r="EJ16" s="26">
        <v>107.802228</v>
      </c>
      <c r="EK16" s="26">
        <v>0</v>
      </c>
      <c r="EL16" s="26">
        <v>0</v>
      </c>
      <c r="EM16" s="26">
        <v>0</v>
      </c>
      <c r="EN16" s="26">
        <v>0</v>
      </c>
      <c r="EO16" s="26">
        <v>0</v>
      </c>
      <c r="EP16" s="26">
        <v>30.421773599999998</v>
      </c>
      <c r="EQ16" s="26">
        <v>727.59630700000002</v>
      </c>
      <c r="ER16" s="26">
        <v>7.7287230799999991</v>
      </c>
      <c r="ES16" s="26">
        <v>28.655215699999985</v>
      </c>
      <c r="ET16" s="26">
        <v>1.9239300399999999</v>
      </c>
      <c r="EU16" s="26">
        <v>0</v>
      </c>
      <c r="EV16" s="26">
        <v>0</v>
      </c>
      <c r="EW16" s="26">
        <v>1</v>
      </c>
      <c r="EX16" s="26">
        <v>-18640.738499999999</v>
      </c>
      <c r="EY16" s="26">
        <v>-779.394181</v>
      </c>
      <c r="EZ16" s="26">
        <v>-0.56708433199999997</v>
      </c>
      <c r="FA16" s="26">
        <v>-60.748799499999997</v>
      </c>
      <c r="FB16" s="26">
        <v>-2.53998846</v>
      </c>
      <c r="FC16" s="26">
        <v>6.5603276099999996E-2</v>
      </c>
      <c r="FD16" s="26">
        <v>1.5690308500000001</v>
      </c>
      <c r="FE16" s="26">
        <v>23.9169588</v>
      </c>
      <c r="FF16" s="26">
        <v>0</v>
      </c>
      <c r="FG16" s="26">
        <v>7.8107423999999995E-2</v>
      </c>
      <c r="FH16" s="26">
        <v>-58258164.349799998</v>
      </c>
      <c r="FI16" s="26">
        <v>6.1845966883656623E-4</v>
      </c>
      <c r="FJ16" s="26">
        <v>0</v>
      </c>
      <c r="FK16" s="26">
        <v>0</v>
      </c>
      <c r="FL16" s="26">
        <v>0</v>
      </c>
      <c r="FM16" s="26">
        <v>0</v>
      </c>
      <c r="FN16" s="26">
        <v>0</v>
      </c>
      <c r="FO16" s="26">
        <v>0</v>
      </c>
      <c r="FP16" s="26">
        <v>0</v>
      </c>
      <c r="FQ16" s="26">
        <v>0</v>
      </c>
      <c r="FR16" s="26">
        <v>0</v>
      </c>
      <c r="FS16" s="26">
        <v>0</v>
      </c>
      <c r="FT16" s="26">
        <v>0</v>
      </c>
      <c r="FU16" s="26">
        <v>0</v>
      </c>
      <c r="FV16" s="26">
        <v>0</v>
      </c>
      <c r="FW16" s="26">
        <v>0</v>
      </c>
      <c r="FX16" s="26">
        <v>0</v>
      </c>
      <c r="FY16" s="26">
        <v>0</v>
      </c>
      <c r="FZ16" s="26">
        <v>0</v>
      </c>
      <c r="GA16" s="26">
        <v>0</v>
      </c>
      <c r="GB16" s="26">
        <v>0</v>
      </c>
      <c r="GC16" s="26">
        <v>0</v>
      </c>
      <c r="GD16" s="26">
        <v>0</v>
      </c>
      <c r="GE16" s="26">
        <v>0</v>
      </c>
      <c r="GF16" s="26">
        <v>0</v>
      </c>
      <c r="GG16" s="26">
        <v>0</v>
      </c>
      <c r="GH16" s="26">
        <v>0</v>
      </c>
      <c r="GI16" s="26">
        <v>0</v>
      </c>
      <c r="GJ16" s="26">
        <v>0</v>
      </c>
      <c r="GK16" s="26">
        <v>0</v>
      </c>
      <c r="GL16" s="26">
        <v>0</v>
      </c>
      <c r="GM16" s="26">
        <v>0</v>
      </c>
      <c r="GN16" s="26">
        <v>0</v>
      </c>
      <c r="GO16" s="26">
        <v>0</v>
      </c>
      <c r="GP16" s="26">
        <v>0</v>
      </c>
      <c r="GQ16" s="26">
        <v>0</v>
      </c>
      <c r="GR16" s="26">
        <v>0</v>
      </c>
      <c r="GS16" s="26">
        <v>0</v>
      </c>
      <c r="GT16" s="26">
        <v>0</v>
      </c>
      <c r="GU16" s="26">
        <v>0</v>
      </c>
      <c r="GV16" s="26">
        <v>0</v>
      </c>
      <c r="GW16" s="26">
        <v>0</v>
      </c>
      <c r="GX16" s="26">
        <v>0</v>
      </c>
      <c r="GY16" s="26">
        <v>0</v>
      </c>
      <c r="GZ16" s="26">
        <v>0</v>
      </c>
      <c r="HA16" s="26">
        <v>0</v>
      </c>
      <c r="HB16" s="26">
        <v>0</v>
      </c>
      <c r="HC16" s="26">
        <v>0</v>
      </c>
      <c r="HD16" s="26">
        <v>0</v>
      </c>
      <c r="HE16" s="26">
        <v>0</v>
      </c>
      <c r="HF16" s="26">
        <v>0</v>
      </c>
      <c r="HG16" s="26">
        <v>0</v>
      </c>
      <c r="HH16" s="26">
        <v>0</v>
      </c>
      <c r="HI16" s="26">
        <v>0</v>
      </c>
      <c r="HJ16" s="26">
        <v>0</v>
      </c>
      <c r="HK16" s="26">
        <v>0</v>
      </c>
      <c r="HL16" s="26">
        <v>0</v>
      </c>
      <c r="HM16" s="26">
        <v>0</v>
      </c>
      <c r="HN16" s="26">
        <v>0</v>
      </c>
      <c r="HO16" s="26">
        <v>0</v>
      </c>
      <c r="HP16" s="26">
        <v>0</v>
      </c>
      <c r="HQ16" s="26">
        <v>0</v>
      </c>
      <c r="HR16" s="26">
        <v>0</v>
      </c>
      <c r="HS16" s="26">
        <v>0</v>
      </c>
      <c r="HT16" s="26">
        <v>8.4504927342706083E-3</v>
      </c>
    </row>
    <row r="17" spans="2:228" x14ac:dyDescent="0.2">
      <c r="B17" s="27">
        <v>501</v>
      </c>
      <c r="C17" s="26">
        <v>451055.005</v>
      </c>
      <c r="D17" s="26">
        <v>-1535.7954999999999</v>
      </c>
      <c r="E17" s="26">
        <v>378839.27</v>
      </c>
      <c r="F17" s="26">
        <v>21940.651900000001</v>
      </c>
      <c r="G17" s="26">
        <v>521.24161500000002</v>
      </c>
      <c r="H17" s="26">
        <v>1144.21875</v>
      </c>
      <c r="I17" s="26">
        <v>480.09178300000008</v>
      </c>
      <c r="J17" s="26">
        <v>1061.9190599999999</v>
      </c>
      <c r="K17" s="26">
        <v>220.06017499999999</v>
      </c>
      <c r="L17" s="26">
        <v>331.08546999999999</v>
      </c>
      <c r="M17" s="26">
        <v>0</v>
      </c>
      <c r="N17" s="26">
        <v>1133.1493700000001</v>
      </c>
      <c r="O17" s="26">
        <v>28.596618400000004</v>
      </c>
      <c r="P17" s="26">
        <v>11.998581100000001</v>
      </c>
      <c r="Q17" s="26">
        <v>390.551108</v>
      </c>
      <c r="R17" s="26">
        <v>47.594041799999999</v>
      </c>
      <c r="S17" s="26">
        <v>12208.3331</v>
      </c>
      <c r="T17" s="26">
        <v>656.53966200000002</v>
      </c>
      <c r="U17" s="26">
        <v>369.27255600000001</v>
      </c>
      <c r="V17" s="26">
        <v>336.23084699999998</v>
      </c>
      <c r="W17" s="26">
        <v>0</v>
      </c>
      <c r="X17" s="26">
        <v>1695.10571</v>
      </c>
      <c r="Y17" s="26">
        <v>754.94826699999999</v>
      </c>
      <c r="Z17" s="26">
        <v>174.36925400000001</v>
      </c>
      <c r="AA17" s="26">
        <v>457.71920699999998</v>
      </c>
      <c r="AB17" s="26">
        <v>0.20290461600000001</v>
      </c>
      <c r="AC17" s="26">
        <v>0</v>
      </c>
      <c r="AD17" s="26">
        <v>2481.5580500000001</v>
      </c>
      <c r="AE17" s="26">
        <v>1860.9805500000002</v>
      </c>
      <c r="AF17" s="26">
        <v>128.83242999999999</v>
      </c>
      <c r="AG17" s="26">
        <v>0</v>
      </c>
      <c r="AH17" s="26">
        <v>0</v>
      </c>
      <c r="AI17" s="26">
        <v>0</v>
      </c>
      <c r="AJ17" s="26">
        <v>0</v>
      </c>
      <c r="AK17" s="26">
        <v>0</v>
      </c>
      <c r="AL17" s="26">
        <v>0</v>
      </c>
      <c r="AM17" s="26">
        <v>13.3575797</v>
      </c>
      <c r="AN17" s="26">
        <v>0.195389127</v>
      </c>
      <c r="AO17" s="26">
        <v>1.0418795699999999E-4</v>
      </c>
      <c r="AP17" s="26">
        <v>0</v>
      </c>
      <c r="AQ17" s="26">
        <v>0</v>
      </c>
      <c r="AR17" s="26">
        <v>0</v>
      </c>
      <c r="AS17" s="26">
        <v>548.94283299999995</v>
      </c>
      <c r="AT17" s="26">
        <v>0</v>
      </c>
      <c r="AU17" s="26">
        <v>0</v>
      </c>
      <c r="AV17" s="26">
        <v>2.07910249E-3</v>
      </c>
      <c r="AW17" s="26">
        <v>0</v>
      </c>
      <c r="AX17" s="26">
        <v>0</v>
      </c>
      <c r="AY17" s="26">
        <v>0</v>
      </c>
      <c r="AZ17" s="26">
        <v>0</v>
      </c>
      <c r="BA17" s="26">
        <v>0</v>
      </c>
      <c r="BB17" s="26">
        <v>0</v>
      </c>
      <c r="BC17" s="26">
        <v>0</v>
      </c>
      <c r="BD17" s="26">
        <v>0</v>
      </c>
      <c r="BE17" s="26">
        <v>0</v>
      </c>
      <c r="BF17" s="26">
        <v>0</v>
      </c>
      <c r="BG17" s="26">
        <v>0</v>
      </c>
      <c r="BH17" s="26">
        <v>0</v>
      </c>
      <c r="BI17" s="26">
        <v>0</v>
      </c>
      <c r="BJ17" s="26">
        <v>0</v>
      </c>
      <c r="BK17" s="26">
        <v>0</v>
      </c>
      <c r="BL17" s="26">
        <v>0</v>
      </c>
      <c r="BM17" s="26">
        <v>0</v>
      </c>
      <c r="BN17" s="26">
        <v>0</v>
      </c>
      <c r="BO17" s="26">
        <v>21701.4948</v>
      </c>
      <c r="BP17" s="26">
        <v>427837.01899999997</v>
      </c>
      <c r="BQ17" s="26">
        <v>7167.2101199999997</v>
      </c>
      <c r="BR17" s="26">
        <v>32.398413199999993</v>
      </c>
      <c r="BS17" s="26">
        <v>6.0149875499999998</v>
      </c>
      <c r="BT17" s="26">
        <v>0</v>
      </c>
      <c r="BU17" s="26">
        <v>1</v>
      </c>
      <c r="BV17" s="26">
        <v>0</v>
      </c>
      <c r="BW17" s="26">
        <v>-69532.337199999994</v>
      </c>
      <c r="BX17" s="26">
        <v>-3526.9403699999998</v>
      </c>
      <c r="BY17" s="26">
        <v>-1508.9556700000001</v>
      </c>
      <c r="BZ17" s="26">
        <v>-40.273580699999997</v>
      </c>
      <c r="CA17" s="26">
        <v>-2.0428267400000002</v>
      </c>
      <c r="CB17" s="26">
        <v>5.0464765299999999E-2</v>
      </c>
      <c r="CC17" s="26">
        <v>0.99489435699999995</v>
      </c>
      <c r="CD17" s="26">
        <v>19.714633599999999</v>
      </c>
      <c r="CE17" s="26">
        <v>0</v>
      </c>
      <c r="CF17" s="26">
        <v>0</v>
      </c>
      <c r="CG17" s="26">
        <v>0</v>
      </c>
      <c r="CH17" s="26">
        <v>0</v>
      </c>
      <c r="CI17" s="26">
        <v>0</v>
      </c>
      <c r="CJ17" s="26">
        <v>0</v>
      </c>
      <c r="CK17" s="26">
        <v>0</v>
      </c>
      <c r="CL17" s="26">
        <v>0</v>
      </c>
      <c r="CM17" s="26">
        <v>0</v>
      </c>
      <c r="CN17" s="26">
        <v>0</v>
      </c>
      <c r="CO17" s="26">
        <v>0</v>
      </c>
      <c r="CP17" s="26">
        <v>0</v>
      </c>
      <c r="CQ17" s="26">
        <v>0</v>
      </c>
      <c r="CR17" s="26">
        <v>0</v>
      </c>
      <c r="CS17" s="26">
        <v>0</v>
      </c>
      <c r="CT17" s="26">
        <v>0</v>
      </c>
      <c r="CU17" s="26">
        <v>0</v>
      </c>
      <c r="CV17" s="26">
        <v>0</v>
      </c>
      <c r="CW17" s="26">
        <v>0</v>
      </c>
      <c r="CX17" s="26">
        <v>0</v>
      </c>
      <c r="CY17" s="26">
        <v>0</v>
      </c>
      <c r="CZ17" s="26">
        <v>0</v>
      </c>
      <c r="DA17" s="26">
        <v>0</v>
      </c>
      <c r="DB17" s="26">
        <v>0</v>
      </c>
      <c r="DC17" s="26">
        <v>0</v>
      </c>
      <c r="DD17" s="26">
        <v>0</v>
      </c>
      <c r="DE17" s="26">
        <v>0</v>
      </c>
      <c r="DF17" s="26">
        <v>0</v>
      </c>
      <c r="DG17" s="26">
        <v>0</v>
      </c>
      <c r="DH17" s="26">
        <v>0</v>
      </c>
      <c r="DI17" s="26">
        <v>0</v>
      </c>
      <c r="DJ17" s="26">
        <v>0</v>
      </c>
      <c r="DK17" s="26">
        <v>0</v>
      </c>
      <c r="DL17" s="26">
        <v>0</v>
      </c>
      <c r="DM17" s="26">
        <v>0</v>
      </c>
      <c r="DN17" s="26">
        <v>0</v>
      </c>
      <c r="DO17" s="26">
        <v>0</v>
      </c>
      <c r="DP17" s="26">
        <v>0</v>
      </c>
      <c r="DQ17" s="26">
        <v>0</v>
      </c>
      <c r="DR17" s="26">
        <v>0</v>
      </c>
      <c r="DS17" s="26">
        <v>0</v>
      </c>
      <c r="DT17" s="26">
        <v>0</v>
      </c>
      <c r="DU17" s="26">
        <v>0</v>
      </c>
      <c r="DV17" s="26">
        <v>0</v>
      </c>
      <c r="DW17" s="26">
        <v>0</v>
      </c>
      <c r="DX17" s="26">
        <v>1254.64166</v>
      </c>
      <c r="DY17" s="26">
        <v>30.979670600000002</v>
      </c>
      <c r="DZ17" s="26">
        <v>12.9984632</v>
      </c>
      <c r="EA17" s="26">
        <v>423.09997600000003</v>
      </c>
      <c r="EB17" s="26">
        <v>51.560570599999998</v>
      </c>
      <c r="EC17" s="26">
        <v>12475.191699999999</v>
      </c>
      <c r="ED17" s="26">
        <v>0</v>
      </c>
      <c r="EE17" s="26">
        <v>2866.1133199999999</v>
      </c>
      <c r="EF17" s="26">
        <v>4107.8476600000004</v>
      </c>
      <c r="EG17" s="26">
        <v>520.80320400000005</v>
      </c>
      <c r="EH17" s="26">
        <v>57.867106200000009</v>
      </c>
      <c r="EI17" s="26">
        <v>835.98422900000003</v>
      </c>
      <c r="EJ17" s="26">
        <v>107.802228</v>
      </c>
      <c r="EK17" s="26">
        <v>0</v>
      </c>
      <c r="EL17" s="26">
        <v>473.096316</v>
      </c>
      <c r="EM17" s="26">
        <v>0</v>
      </c>
      <c r="EN17" s="26">
        <v>0</v>
      </c>
      <c r="EO17" s="26">
        <v>0</v>
      </c>
      <c r="EP17" s="26">
        <v>358.05578400000002</v>
      </c>
      <c r="EQ17" s="26">
        <v>23217.986099999998</v>
      </c>
      <c r="ER17" s="26">
        <v>279.315539</v>
      </c>
      <c r="ES17" s="26">
        <v>32.398413199999993</v>
      </c>
      <c r="ET17" s="26">
        <v>6.0149875499999998</v>
      </c>
      <c r="EU17" s="26">
        <v>0</v>
      </c>
      <c r="EV17" s="26">
        <v>0</v>
      </c>
      <c r="EW17" s="26">
        <v>1</v>
      </c>
      <c r="EX17" s="26">
        <v>-74959.919800000003</v>
      </c>
      <c r="EY17" s="26">
        <v>-1155.99315</v>
      </c>
      <c r="EZ17" s="26">
        <v>-26.8398331</v>
      </c>
      <c r="FA17" s="26">
        <v>-149.15582900000001</v>
      </c>
      <c r="FB17" s="26">
        <v>-2.3002041200000001</v>
      </c>
      <c r="FC17" s="26">
        <v>2.1365070999999999E-2</v>
      </c>
      <c r="FD17" s="26">
        <v>1.38540961</v>
      </c>
      <c r="FE17" s="26">
        <v>64.844605700000002</v>
      </c>
      <c r="FF17" s="26">
        <v>0</v>
      </c>
      <c r="FG17" s="26">
        <v>0.22839479600000001</v>
      </c>
      <c r="FH17" s="26">
        <v>-1789422735.8</v>
      </c>
      <c r="FI17" s="26">
        <v>0.49403261784114982</v>
      </c>
      <c r="FJ17" s="26">
        <v>0</v>
      </c>
      <c r="FK17" s="26">
        <v>0</v>
      </c>
      <c r="FL17" s="26">
        <v>0</v>
      </c>
      <c r="FM17" s="26">
        <v>0</v>
      </c>
      <c r="FN17" s="26">
        <v>0</v>
      </c>
      <c r="FO17" s="26">
        <v>0</v>
      </c>
      <c r="FP17" s="26">
        <v>0</v>
      </c>
      <c r="FQ17" s="26">
        <v>0</v>
      </c>
      <c r="FR17" s="26">
        <v>0</v>
      </c>
      <c r="FS17" s="26">
        <v>0</v>
      </c>
      <c r="FT17" s="26">
        <v>0</v>
      </c>
      <c r="FU17" s="26">
        <v>0</v>
      </c>
      <c r="FV17" s="26">
        <v>0</v>
      </c>
      <c r="FW17" s="26">
        <v>0</v>
      </c>
      <c r="FX17" s="26">
        <v>0</v>
      </c>
      <c r="FY17" s="26">
        <v>0</v>
      </c>
      <c r="FZ17" s="26">
        <v>0</v>
      </c>
      <c r="GA17" s="26">
        <v>0</v>
      </c>
      <c r="GB17" s="26">
        <v>0</v>
      </c>
      <c r="GC17" s="26">
        <v>0</v>
      </c>
      <c r="GD17" s="26">
        <v>0</v>
      </c>
      <c r="GE17" s="26">
        <v>0</v>
      </c>
      <c r="GF17" s="26">
        <v>0</v>
      </c>
      <c r="GG17" s="26">
        <v>0</v>
      </c>
      <c r="GH17" s="26">
        <v>0</v>
      </c>
      <c r="GI17" s="26">
        <v>0</v>
      </c>
      <c r="GJ17" s="26">
        <v>0</v>
      </c>
      <c r="GK17" s="26">
        <v>0</v>
      </c>
      <c r="GL17" s="26">
        <v>0</v>
      </c>
      <c r="GM17" s="26">
        <v>0</v>
      </c>
      <c r="GN17" s="26">
        <v>0</v>
      </c>
      <c r="GO17" s="26">
        <v>0</v>
      </c>
      <c r="GP17" s="26">
        <v>0</v>
      </c>
      <c r="GQ17" s="26">
        <v>0</v>
      </c>
      <c r="GR17" s="26">
        <v>0</v>
      </c>
      <c r="GS17" s="26">
        <v>0</v>
      </c>
      <c r="GT17" s="26">
        <v>0</v>
      </c>
      <c r="GU17" s="26">
        <v>0</v>
      </c>
      <c r="GV17" s="26">
        <v>0</v>
      </c>
      <c r="GW17" s="26">
        <v>0</v>
      </c>
      <c r="GX17" s="26">
        <v>0</v>
      </c>
      <c r="GY17" s="26">
        <v>0</v>
      </c>
      <c r="GZ17" s="26">
        <v>0</v>
      </c>
      <c r="HA17" s="26">
        <v>0</v>
      </c>
      <c r="HB17" s="26">
        <v>0</v>
      </c>
      <c r="HC17" s="26">
        <v>0</v>
      </c>
      <c r="HD17" s="26">
        <v>0</v>
      </c>
      <c r="HE17" s="26">
        <v>0</v>
      </c>
      <c r="HF17" s="26">
        <v>0</v>
      </c>
      <c r="HG17" s="26">
        <v>0</v>
      </c>
      <c r="HH17" s="26">
        <v>0</v>
      </c>
      <c r="HI17" s="26">
        <v>0</v>
      </c>
      <c r="HJ17" s="26">
        <v>0</v>
      </c>
      <c r="HK17" s="26">
        <v>0</v>
      </c>
      <c r="HL17" s="26">
        <v>0</v>
      </c>
      <c r="HM17" s="26">
        <v>0</v>
      </c>
      <c r="HN17" s="26">
        <v>0</v>
      </c>
      <c r="HO17" s="26">
        <v>0</v>
      </c>
      <c r="HP17" s="26">
        <v>0</v>
      </c>
      <c r="HQ17" s="26">
        <v>0</v>
      </c>
      <c r="HR17" s="26">
        <v>0</v>
      </c>
      <c r="HS17" s="26">
        <v>0</v>
      </c>
      <c r="HT17" s="26">
        <v>0.25715947622394247</v>
      </c>
    </row>
    <row r="18" spans="2:228" x14ac:dyDescent="0.2">
      <c r="B18" s="27">
        <v>515</v>
      </c>
      <c r="C18" s="26">
        <v>21809.986700000001</v>
      </c>
      <c r="D18" s="26">
        <v>-31.466227000000003</v>
      </c>
      <c r="E18" s="26">
        <v>110.51614600000001</v>
      </c>
      <c r="F18" s="26">
        <v>21672.409500000002</v>
      </c>
      <c r="G18" s="26">
        <v>0</v>
      </c>
      <c r="H18" s="26">
        <v>0</v>
      </c>
      <c r="I18" s="26">
        <v>0</v>
      </c>
      <c r="J18" s="26">
        <v>0</v>
      </c>
      <c r="K18" s="26">
        <v>0</v>
      </c>
      <c r="L18" s="26">
        <v>0</v>
      </c>
      <c r="M18" s="26">
        <v>0</v>
      </c>
      <c r="N18" s="26">
        <v>0</v>
      </c>
      <c r="O18" s="26">
        <v>0</v>
      </c>
      <c r="P18" s="26">
        <v>0</v>
      </c>
      <c r="Q18" s="26">
        <v>0</v>
      </c>
      <c r="R18" s="26">
        <v>0</v>
      </c>
      <c r="S18" s="26">
        <v>0</v>
      </c>
      <c r="T18" s="26">
        <v>0</v>
      </c>
      <c r="U18" s="26">
        <v>0</v>
      </c>
      <c r="V18" s="26">
        <v>4.9639969599999997E-5</v>
      </c>
      <c r="W18" s="26">
        <v>0</v>
      </c>
      <c r="X18" s="26">
        <v>0</v>
      </c>
      <c r="Y18" s="26">
        <v>0</v>
      </c>
      <c r="Z18" s="26">
        <v>0</v>
      </c>
      <c r="AA18" s="26">
        <v>0</v>
      </c>
      <c r="AB18" s="26">
        <v>0.200425619</v>
      </c>
      <c r="AC18" s="26">
        <v>0</v>
      </c>
      <c r="AD18" s="26">
        <v>0</v>
      </c>
      <c r="AE18" s="26">
        <v>0</v>
      </c>
      <c r="AF18" s="26">
        <v>0</v>
      </c>
      <c r="AG18" s="26">
        <v>0</v>
      </c>
      <c r="AH18" s="26">
        <v>0</v>
      </c>
      <c r="AI18" s="26">
        <v>0</v>
      </c>
      <c r="AJ18" s="26">
        <v>0</v>
      </c>
      <c r="AK18" s="26">
        <v>0</v>
      </c>
      <c r="AL18" s="26">
        <v>0</v>
      </c>
      <c r="AM18" s="26">
        <v>0</v>
      </c>
      <c r="AN18" s="26">
        <v>1.43783719E-4</v>
      </c>
      <c r="AO18" s="26">
        <v>2.40057055E-8</v>
      </c>
      <c r="AP18" s="26">
        <v>0</v>
      </c>
      <c r="AQ18" s="26">
        <v>0</v>
      </c>
      <c r="AR18" s="26">
        <v>0</v>
      </c>
      <c r="AS18" s="26">
        <v>26.858380199999999</v>
      </c>
      <c r="AT18" s="26">
        <v>0</v>
      </c>
      <c r="AU18" s="26">
        <v>0</v>
      </c>
      <c r="AV18" s="26">
        <v>2.0271457700000001E-3</v>
      </c>
      <c r="AW18" s="26">
        <v>0</v>
      </c>
      <c r="AX18" s="26">
        <v>0</v>
      </c>
      <c r="AY18" s="26">
        <v>0</v>
      </c>
      <c r="AZ18" s="26">
        <v>0</v>
      </c>
      <c r="BA18" s="26">
        <v>0</v>
      </c>
      <c r="BB18" s="26">
        <v>0</v>
      </c>
      <c r="BC18" s="26">
        <v>0</v>
      </c>
      <c r="BD18" s="26">
        <v>0</v>
      </c>
      <c r="BE18" s="26">
        <v>0</v>
      </c>
      <c r="BF18" s="26">
        <v>0</v>
      </c>
      <c r="BG18" s="26">
        <v>0</v>
      </c>
      <c r="BH18" s="26">
        <v>0</v>
      </c>
      <c r="BI18" s="26">
        <v>0</v>
      </c>
      <c r="BJ18" s="26">
        <v>0</v>
      </c>
      <c r="BK18" s="26">
        <v>0</v>
      </c>
      <c r="BL18" s="26">
        <v>0</v>
      </c>
      <c r="BM18" s="26">
        <v>0</v>
      </c>
      <c r="BN18" s="26">
        <v>0</v>
      </c>
      <c r="BO18" s="26">
        <v>477.18994400000003</v>
      </c>
      <c r="BP18" s="26">
        <v>21809.986700000001</v>
      </c>
      <c r="BQ18" s="26">
        <v>463.42916200000002</v>
      </c>
      <c r="BR18" s="26">
        <v>38</v>
      </c>
      <c r="BS18" s="26">
        <v>1</v>
      </c>
      <c r="BT18" s="26">
        <v>0</v>
      </c>
      <c r="BU18" s="26">
        <v>1</v>
      </c>
      <c r="BV18" s="26">
        <v>0</v>
      </c>
      <c r="BW18" s="26">
        <v>-65940.674499999994</v>
      </c>
      <c r="BX18" s="26">
        <v>-1442.74397</v>
      </c>
      <c r="BY18" s="26">
        <v>-31.466227000000003</v>
      </c>
      <c r="BZ18" s="26">
        <v>-80.690886199999994</v>
      </c>
      <c r="CA18" s="26">
        <v>-1.7654700999999999</v>
      </c>
      <c r="CB18" s="26">
        <v>1.7161556299999998E-2</v>
      </c>
      <c r="CC18" s="26">
        <v>0.784369659</v>
      </c>
      <c r="CD18" s="26">
        <v>45.705042599999999</v>
      </c>
      <c r="CE18" s="26">
        <v>458.50700399999999</v>
      </c>
      <c r="CF18" s="26">
        <v>0</v>
      </c>
      <c r="CG18" s="26">
        <v>0</v>
      </c>
      <c r="CH18" s="26">
        <v>0</v>
      </c>
      <c r="CI18" s="26">
        <v>0</v>
      </c>
      <c r="CJ18" s="26">
        <v>0</v>
      </c>
      <c r="CK18" s="26">
        <v>0</v>
      </c>
      <c r="CL18" s="26">
        <v>0</v>
      </c>
      <c r="CM18" s="26">
        <v>0</v>
      </c>
      <c r="CN18" s="26">
        <v>0</v>
      </c>
      <c r="CO18" s="26">
        <v>0</v>
      </c>
      <c r="CP18" s="26">
        <v>0</v>
      </c>
      <c r="CQ18" s="26">
        <v>0</v>
      </c>
      <c r="CR18" s="26">
        <v>0</v>
      </c>
      <c r="CS18" s="26">
        <v>0</v>
      </c>
      <c r="CT18" s="26">
        <v>0</v>
      </c>
      <c r="CU18" s="26">
        <v>0</v>
      </c>
      <c r="CV18" s="26">
        <v>0</v>
      </c>
      <c r="CW18" s="26">
        <v>0</v>
      </c>
      <c r="CX18" s="26">
        <v>0</v>
      </c>
      <c r="CY18" s="26">
        <v>0</v>
      </c>
      <c r="CZ18" s="26">
        <v>0</v>
      </c>
      <c r="DA18" s="26">
        <v>0</v>
      </c>
      <c r="DB18" s="26">
        <v>0</v>
      </c>
      <c r="DC18" s="26">
        <v>0</v>
      </c>
      <c r="DD18" s="26">
        <v>0</v>
      </c>
      <c r="DE18" s="26">
        <v>0</v>
      </c>
      <c r="DF18" s="26">
        <v>0</v>
      </c>
      <c r="DG18" s="26">
        <v>0</v>
      </c>
      <c r="DH18" s="26">
        <v>0</v>
      </c>
      <c r="DI18" s="26">
        <v>0</v>
      </c>
      <c r="DJ18" s="26">
        <v>0</v>
      </c>
      <c r="DK18" s="26">
        <v>0</v>
      </c>
      <c r="DL18" s="26">
        <v>0</v>
      </c>
      <c r="DM18" s="26">
        <v>0</v>
      </c>
      <c r="DN18" s="26">
        <v>0</v>
      </c>
      <c r="DO18" s="26">
        <v>0</v>
      </c>
      <c r="DP18" s="26">
        <v>0</v>
      </c>
      <c r="DQ18" s="26">
        <v>0</v>
      </c>
      <c r="DR18" s="26">
        <v>0</v>
      </c>
      <c r="DS18" s="26">
        <v>0</v>
      </c>
      <c r="DT18" s="26">
        <v>0</v>
      </c>
      <c r="DU18" s="26">
        <v>0</v>
      </c>
      <c r="DV18" s="26">
        <v>0</v>
      </c>
      <c r="DW18" s="26">
        <v>0</v>
      </c>
      <c r="DX18" s="26">
        <v>0</v>
      </c>
      <c r="DY18" s="26">
        <v>0</v>
      </c>
      <c r="DZ18" s="26">
        <v>0</v>
      </c>
      <c r="EA18" s="26">
        <v>0</v>
      </c>
      <c r="EB18" s="26">
        <v>0</v>
      </c>
      <c r="EC18" s="26">
        <v>0</v>
      </c>
      <c r="ED18" s="26">
        <v>0</v>
      </c>
      <c r="EE18" s="26">
        <v>0</v>
      </c>
      <c r="EF18" s="26">
        <v>0</v>
      </c>
      <c r="EG18" s="26">
        <v>0</v>
      </c>
      <c r="EH18" s="26">
        <v>0</v>
      </c>
      <c r="EI18" s="26">
        <v>0</v>
      </c>
      <c r="EJ18" s="26">
        <v>0</v>
      </c>
      <c r="EK18" s="26">
        <v>0</v>
      </c>
      <c r="EL18" s="26">
        <v>0</v>
      </c>
      <c r="EM18" s="26">
        <v>0</v>
      </c>
      <c r="EN18" s="26">
        <v>0</v>
      </c>
      <c r="EO18" s="26">
        <v>0</v>
      </c>
      <c r="EP18" s="26">
        <v>0</v>
      </c>
      <c r="EQ18" s="26">
        <v>0</v>
      </c>
      <c r="ER18" s="26">
        <v>0</v>
      </c>
      <c r="ES18" s="26">
        <v>0</v>
      </c>
      <c r="ET18" s="26">
        <v>1</v>
      </c>
      <c r="EU18" s="26">
        <v>0</v>
      </c>
      <c r="EV18" s="26">
        <v>0</v>
      </c>
      <c r="EW18" s="26">
        <v>0</v>
      </c>
      <c r="EX18" s="26">
        <v>0</v>
      </c>
      <c r="EY18" s="26">
        <v>0</v>
      </c>
      <c r="EZ18" s="26">
        <v>0</v>
      </c>
      <c r="FA18" s="26">
        <v>0</v>
      </c>
      <c r="FB18" s="26">
        <v>0</v>
      </c>
      <c r="FC18" s="26">
        <v>0</v>
      </c>
      <c r="FD18" s="26">
        <v>0</v>
      </c>
      <c r="FE18" s="26">
        <v>0</v>
      </c>
      <c r="FF18" s="26">
        <v>0</v>
      </c>
      <c r="FG18" s="26">
        <v>2.07068422</v>
      </c>
      <c r="FH18" s="26">
        <v>-36816511.942299999</v>
      </c>
      <c r="FI18" s="26">
        <v>0.26152134709217079</v>
      </c>
      <c r="FJ18" s="26">
        <v>0</v>
      </c>
      <c r="FK18" s="26">
        <v>0</v>
      </c>
      <c r="FL18" s="26">
        <v>0</v>
      </c>
      <c r="FM18" s="26">
        <v>0</v>
      </c>
      <c r="FN18" s="26">
        <v>0</v>
      </c>
      <c r="FO18" s="26">
        <v>0</v>
      </c>
      <c r="FP18" s="26">
        <v>0</v>
      </c>
      <c r="FQ18" s="26">
        <v>0</v>
      </c>
      <c r="FR18" s="26">
        <v>0</v>
      </c>
      <c r="FS18" s="26">
        <v>0</v>
      </c>
      <c r="FT18" s="26">
        <v>0</v>
      </c>
      <c r="FU18" s="26">
        <v>0</v>
      </c>
      <c r="FV18" s="26">
        <v>0</v>
      </c>
      <c r="FW18" s="26">
        <v>0</v>
      </c>
      <c r="FX18" s="26">
        <v>0</v>
      </c>
      <c r="FY18" s="26">
        <v>0</v>
      </c>
      <c r="FZ18" s="26">
        <v>0</v>
      </c>
      <c r="GA18" s="26">
        <v>0</v>
      </c>
      <c r="GB18" s="26">
        <v>0</v>
      </c>
      <c r="GC18" s="26">
        <v>0</v>
      </c>
      <c r="GD18" s="26">
        <v>0</v>
      </c>
      <c r="GE18" s="26">
        <v>0</v>
      </c>
      <c r="GF18" s="26">
        <v>0</v>
      </c>
      <c r="GG18" s="26">
        <v>0</v>
      </c>
      <c r="GH18" s="26">
        <v>0</v>
      </c>
      <c r="GI18" s="26">
        <v>0</v>
      </c>
      <c r="GJ18" s="26">
        <v>0</v>
      </c>
      <c r="GK18" s="26">
        <v>0</v>
      </c>
      <c r="GL18" s="26">
        <v>0</v>
      </c>
      <c r="GM18" s="26">
        <v>0</v>
      </c>
      <c r="GN18" s="26">
        <v>0</v>
      </c>
      <c r="GO18" s="26">
        <v>0</v>
      </c>
      <c r="GP18" s="26">
        <v>0</v>
      </c>
      <c r="GQ18" s="26">
        <v>0</v>
      </c>
      <c r="GR18" s="26">
        <v>0</v>
      </c>
      <c r="GS18" s="26">
        <v>0</v>
      </c>
      <c r="GT18" s="26">
        <v>0</v>
      </c>
      <c r="GU18" s="26">
        <v>0</v>
      </c>
      <c r="GV18" s="26">
        <v>0</v>
      </c>
      <c r="GW18" s="26">
        <v>0</v>
      </c>
      <c r="GX18" s="26">
        <v>0</v>
      </c>
      <c r="GY18" s="26">
        <v>0</v>
      </c>
      <c r="GZ18" s="26">
        <v>0</v>
      </c>
      <c r="HA18" s="26">
        <v>0</v>
      </c>
      <c r="HB18" s="26">
        <v>0</v>
      </c>
      <c r="HC18" s="26">
        <v>0</v>
      </c>
      <c r="HD18" s="26">
        <v>0</v>
      </c>
      <c r="HE18" s="26">
        <v>0</v>
      </c>
      <c r="HF18" s="26">
        <v>0</v>
      </c>
      <c r="HG18" s="26">
        <v>0</v>
      </c>
      <c r="HH18" s="26">
        <v>0</v>
      </c>
      <c r="HI18" s="26">
        <v>0</v>
      </c>
      <c r="HJ18" s="26">
        <v>0</v>
      </c>
      <c r="HK18" s="26">
        <v>0</v>
      </c>
      <c r="HL18" s="26">
        <v>0</v>
      </c>
      <c r="HM18" s="26">
        <v>0</v>
      </c>
      <c r="HN18" s="26">
        <v>0</v>
      </c>
      <c r="HO18" s="26">
        <v>0</v>
      </c>
      <c r="HP18" s="26">
        <v>0</v>
      </c>
      <c r="HQ18" s="26">
        <v>0</v>
      </c>
      <c r="HR18" s="26">
        <v>0</v>
      </c>
      <c r="HS18" s="26">
        <v>0</v>
      </c>
      <c r="HT18" s="26">
        <v>0</v>
      </c>
    </row>
    <row r="19" spans="2:228" x14ac:dyDescent="0.2">
      <c r="B19" s="27">
        <v>516</v>
      </c>
      <c r="C19" s="26">
        <v>36845.0942</v>
      </c>
      <c r="D19" s="26">
        <v>-135.66282799999999</v>
      </c>
      <c r="E19" s="26">
        <v>36653.061500000003</v>
      </c>
      <c r="F19" s="26">
        <v>18.420235999999999</v>
      </c>
      <c r="G19" s="26">
        <v>3.9671217599999998E-6</v>
      </c>
      <c r="H19" s="26">
        <v>8.7085431599999996E-6</v>
      </c>
      <c r="I19" s="26">
        <v>3.65393419E-6</v>
      </c>
      <c r="J19" s="26">
        <v>1.7947588900000001E-4</v>
      </c>
      <c r="K19" s="26">
        <v>3.7192566700000002E-5</v>
      </c>
      <c r="L19" s="26">
        <v>1.47120573E-4</v>
      </c>
      <c r="M19" s="26">
        <v>0</v>
      </c>
      <c r="N19" s="26">
        <v>8.6242951099999992E-6</v>
      </c>
      <c r="O19" s="26">
        <v>2.1764621999999999E-7</v>
      </c>
      <c r="P19" s="26">
        <v>9.1320092300000001E-8</v>
      </c>
      <c r="Q19" s="26">
        <v>6.6007391399999996E-5</v>
      </c>
      <c r="R19" s="26">
        <v>8.0439114899999993E-6</v>
      </c>
      <c r="S19" s="26">
        <v>9.2916494799999994E-5</v>
      </c>
      <c r="T19" s="26">
        <v>4.20489925E-2</v>
      </c>
      <c r="U19" s="26">
        <v>0.53867153800000001</v>
      </c>
      <c r="V19" s="26">
        <v>171.972779</v>
      </c>
      <c r="W19" s="26">
        <v>0</v>
      </c>
      <c r="X19" s="26">
        <v>1.0522920899999999</v>
      </c>
      <c r="Y19" s="26">
        <v>4.82411889E-5</v>
      </c>
      <c r="Z19" s="26">
        <v>3.0722650799999999E-3</v>
      </c>
      <c r="AA19" s="26">
        <v>3.00849162E-3</v>
      </c>
      <c r="AB19" s="26">
        <v>1.9941296999999998E-8</v>
      </c>
      <c r="AC19" s="26">
        <v>0</v>
      </c>
      <c r="AD19" s="26">
        <v>0</v>
      </c>
      <c r="AE19" s="26">
        <v>0</v>
      </c>
      <c r="AF19" s="26">
        <v>0</v>
      </c>
      <c r="AG19" s="26">
        <v>0</v>
      </c>
      <c r="AH19" s="26">
        <v>0</v>
      </c>
      <c r="AI19" s="26">
        <v>0</v>
      </c>
      <c r="AJ19" s="26">
        <v>0</v>
      </c>
      <c r="AK19" s="26">
        <v>0</v>
      </c>
      <c r="AL19" s="26">
        <v>0</v>
      </c>
      <c r="AM19" s="26">
        <v>1.5842673999999999E-5</v>
      </c>
      <c r="AN19" s="26">
        <v>0</v>
      </c>
      <c r="AO19" s="26">
        <v>0</v>
      </c>
      <c r="AP19" s="26">
        <v>0</v>
      </c>
      <c r="AQ19" s="26">
        <v>0</v>
      </c>
      <c r="AR19" s="26">
        <v>0</v>
      </c>
      <c r="AS19" s="26">
        <v>0</v>
      </c>
      <c r="AT19" s="26">
        <v>0</v>
      </c>
      <c r="AU19" s="26">
        <v>0</v>
      </c>
      <c r="AV19" s="26">
        <v>5.5672503000000003E-17</v>
      </c>
      <c r="AW19" s="26">
        <v>0</v>
      </c>
      <c r="AX19" s="26">
        <v>0</v>
      </c>
      <c r="AY19" s="26">
        <v>0</v>
      </c>
      <c r="AZ19" s="26">
        <v>0</v>
      </c>
      <c r="BA19" s="26">
        <v>0</v>
      </c>
      <c r="BB19" s="26">
        <v>0</v>
      </c>
      <c r="BC19" s="26">
        <v>0</v>
      </c>
      <c r="BD19" s="26">
        <v>0</v>
      </c>
      <c r="BE19" s="26">
        <v>0</v>
      </c>
      <c r="BF19" s="26">
        <v>0</v>
      </c>
      <c r="BG19" s="26">
        <v>0</v>
      </c>
      <c r="BH19" s="26">
        <v>0</v>
      </c>
      <c r="BI19" s="26">
        <v>0</v>
      </c>
      <c r="BJ19" s="26">
        <v>0</v>
      </c>
      <c r="BK19" s="26">
        <v>0</v>
      </c>
      <c r="BL19" s="26">
        <v>0</v>
      </c>
      <c r="BM19" s="26">
        <v>0</v>
      </c>
      <c r="BN19" s="26">
        <v>0</v>
      </c>
      <c r="BO19" s="26">
        <v>2036.7599999999998</v>
      </c>
      <c r="BP19" s="26">
        <v>36845.0942</v>
      </c>
      <c r="BQ19" s="26">
        <v>679.188759</v>
      </c>
      <c r="BR19" s="26">
        <v>113.73433899999998</v>
      </c>
      <c r="BS19" s="26">
        <v>6.0910336200000001</v>
      </c>
      <c r="BT19" s="26">
        <v>0</v>
      </c>
      <c r="BU19" s="26">
        <v>1</v>
      </c>
      <c r="BV19" s="26">
        <v>0</v>
      </c>
      <c r="BW19" s="26">
        <v>-66607.173599999995</v>
      </c>
      <c r="BX19" s="26">
        <v>-3681.97802</v>
      </c>
      <c r="BY19" s="26">
        <v>-135.66282799999999</v>
      </c>
      <c r="BZ19" s="26">
        <v>-34.220331600000002</v>
      </c>
      <c r="CA19" s="26">
        <v>-1.89166575</v>
      </c>
      <c r="CB19" s="26">
        <v>4.9980214199999998E-2</v>
      </c>
      <c r="CC19" s="26">
        <v>0.90414466999999998</v>
      </c>
      <c r="CD19" s="26">
        <v>18.090051899999999</v>
      </c>
      <c r="CE19" s="26">
        <v>614.95098399999995</v>
      </c>
      <c r="CF19" s="26">
        <v>0</v>
      </c>
      <c r="CG19" s="26">
        <v>0</v>
      </c>
      <c r="CH19" s="26">
        <v>0</v>
      </c>
      <c r="CI19" s="26">
        <v>0</v>
      </c>
      <c r="CJ19" s="26">
        <v>0</v>
      </c>
      <c r="CK19" s="26">
        <v>0</v>
      </c>
      <c r="CL19" s="26">
        <v>0</v>
      </c>
      <c r="CM19" s="26">
        <v>0</v>
      </c>
      <c r="CN19" s="26">
        <v>0</v>
      </c>
      <c r="CO19" s="26">
        <v>0</v>
      </c>
      <c r="CP19" s="26">
        <v>0</v>
      </c>
      <c r="CQ19" s="26">
        <v>0</v>
      </c>
      <c r="CR19" s="26">
        <v>0</v>
      </c>
      <c r="CS19" s="26">
        <v>0</v>
      </c>
      <c r="CT19" s="26">
        <v>0</v>
      </c>
      <c r="CU19" s="26">
        <v>0</v>
      </c>
      <c r="CV19" s="26">
        <v>0</v>
      </c>
      <c r="CW19" s="26">
        <v>0</v>
      </c>
      <c r="CX19" s="26">
        <v>0</v>
      </c>
      <c r="CY19" s="26">
        <v>0</v>
      </c>
      <c r="CZ19" s="26">
        <v>0</v>
      </c>
      <c r="DA19" s="26">
        <v>0</v>
      </c>
      <c r="DB19" s="26">
        <v>0</v>
      </c>
      <c r="DC19" s="26">
        <v>0</v>
      </c>
      <c r="DD19" s="26">
        <v>0</v>
      </c>
      <c r="DE19" s="26">
        <v>0</v>
      </c>
      <c r="DF19" s="26">
        <v>0</v>
      </c>
      <c r="DG19" s="26">
        <v>0</v>
      </c>
      <c r="DH19" s="26">
        <v>0</v>
      </c>
      <c r="DI19" s="26">
        <v>0</v>
      </c>
      <c r="DJ19" s="26">
        <v>0</v>
      </c>
      <c r="DK19" s="26">
        <v>0</v>
      </c>
      <c r="DL19" s="26">
        <v>0</v>
      </c>
      <c r="DM19" s="26">
        <v>0</v>
      </c>
      <c r="DN19" s="26">
        <v>0</v>
      </c>
      <c r="DO19" s="26">
        <v>0</v>
      </c>
      <c r="DP19" s="26">
        <v>0</v>
      </c>
      <c r="DQ19" s="26">
        <v>0</v>
      </c>
      <c r="DR19" s="26">
        <v>0</v>
      </c>
      <c r="DS19" s="26">
        <v>0</v>
      </c>
      <c r="DT19" s="26">
        <v>0</v>
      </c>
      <c r="DU19" s="26">
        <v>0</v>
      </c>
      <c r="DV19" s="26">
        <v>0</v>
      </c>
      <c r="DW19" s="26">
        <v>0</v>
      </c>
      <c r="DX19" s="26">
        <v>0</v>
      </c>
      <c r="DY19" s="26">
        <v>0</v>
      </c>
      <c r="DZ19" s="26">
        <v>0</v>
      </c>
      <c r="EA19" s="26">
        <v>0</v>
      </c>
      <c r="EB19" s="26">
        <v>0</v>
      </c>
      <c r="EC19" s="26">
        <v>0</v>
      </c>
      <c r="ED19" s="26">
        <v>0</v>
      </c>
      <c r="EE19" s="26">
        <v>0</v>
      </c>
      <c r="EF19" s="26">
        <v>0</v>
      </c>
      <c r="EG19" s="26">
        <v>0</v>
      </c>
      <c r="EH19" s="26">
        <v>0</v>
      </c>
      <c r="EI19" s="26">
        <v>0</v>
      </c>
      <c r="EJ19" s="26">
        <v>0</v>
      </c>
      <c r="EK19" s="26">
        <v>0</v>
      </c>
      <c r="EL19" s="26">
        <v>0</v>
      </c>
      <c r="EM19" s="26">
        <v>0</v>
      </c>
      <c r="EN19" s="26">
        <v>0</v>
      </c>
      <c r="EO19" s="26">
        <v>0</v>
      </c>
      <c r="EP19" s="26">
        <v>0</v>
      </c>
      <c r="EQ19" s="26">
        <v>0</v>
      </c>
      <c r="ER19" s="26">
        <v>0</v>
      </c>
      <c r="ES19" s="26">
        <v>0</v>
      </c>
      <c r="ET19" s="26">
        <v>6.0910336200000001</v>
      </c>
      <c r="EU19" s="26">
        <v>0</v>
      </c>
      <c r="EV19" s="26">
        <v>0</v>
      </c>
      <c r="EW19" s="26">
        <v>0</v>
      </c>
      <c r="EX19" s="26">
        <v>0</v>
      </c>
      <c r="EY19" s="26">
        <v>0</v>
      </c>
      <c r="EZ19" s="26">
        <v>0</v>
      </c>
      <c r="FA19" s="26">
        <v>0</v>
      </c>
      <c r="FB19" s="26">
        <v>0</v>
      </c>
      <c r="FC19" s="26">
        <v>0</v>
      </c>
      <c r="FD19" s="26">
        <v>0</v>
      </c>
      <c r="FE19" s="26">
        <v>0</v>
      </c>
      <c r="FF19" s="26">
        <v>0</v>
      </c>
      <c r="FG19" s="26">
        <v>8.86888087E-3</v>
      </c>
      <c r="FH19" s="26">
        <v>-161576625.06999999</v>
      </c>
      <c r="FI19" s="26">
        <v>2.725480149581619E-3</v>
      </c>
      <c r="FJ19" s="26">
        <v>0</v>
      </c>
      <c r="FK19" s="26">
        <v>0</v>
      </c>
      <c r="FL19" s="26">
        <v>0</v>
      </c>
      <c r="FM19" s="26">
        <v>0</v>
      </c>
      <c r="FN19" s="26">
        <v>0</v>
      </c>
      <c r="FO19" s="26">
        <v>0</v>
      </c>
      <c r="FP19" s="26">
        <v>0</v>
      </c>
      <c r="FQ19" s="26">
        <v>0</v>
      </c>
      <c r="FR19" s="26">
        <v>0</v>
      </c>
      <c r="FS19" s="26">
        <v>0</v>
      </c>
      <c r="FT19" s="26">
        <v>0</v>
      </c>
      <c r="FU19" s="26">
        <v>0</v>
      </c>
      <c r="FV19" s="26">
        <v>0</v>
      </c>
      <c r="FW19" s="26">
        <v>0</v>
      </c>
      <c r="FX19" s="26">
        <v>0</v>
      </c>
      <c r="FY19" s="26">
        <v>0</v>
      </c>
      <c r="FZ19" s="26">
        <v>0</v>
      </c>
      <c r="GA19" s="26">
        <v>0</v>
      </c>
      <c r="GB19" s="26">
        <v>0</v>
      </c>
      <c r="GC19" s="26">
        <v>0</v>
      </c>
      <c r="GD19" s="26">
        <v>0</v>
      </c>
      <c r="GE19" s="26">
        <v>0</v>
      </c>
      <c r="GF19" s="26">
        <v>0</v>
      </c>
      <c r="GG19" s="26">
        <v>0</v>
      </c>
      <c r="GH19" s="26">
        <v>0</v>
      </c>
      <c r="GI19" s="26">
        <v>0</v>
      </c>
      <c r="GJ19" s="26">
        <v>0</v>
      </c>
      <c r="GK19" s="26">
        <v>0</v>
      </c>
      <c r="GL19" s="26">
        <v>0</v>
      </c>
      <c r="GM19" s="26">
        <v>0</v>
      </c>
      <c r="GN19" s="26">
        <v>0</v>
      </c>
      <c r="GO19" s="26">
        <v>0</v>
      </c>
      <c r="GP19" s="26">
        <v>0</v>
      </c>
      <c r="GQ19" s="26">
        <v>0</v>
      </c>
      <c r="GR19" s="26">
        <v>0</v>
      </c>
      <c r="GS19" s="26">
        <v>0</v>
      </c>
      <c r="GT19" s="26">
        <v>0</v>
      </c>
      <c r="GU19" s="26">
        <v>0</v>
      </c>
      <c r="GV19" s="26">
        <v>0</v>
      </c>
      <c r="GW19" s="26">
        <v>0</v>
      </c>
      <c r="GX19" s="26">
        <v>0</v>
      </c>
      <c r="GY19" s="26">
        <v>0</v>
      </c>
      <c r="GZ19" s="26">
        <v>0</v>
      </c>
      <c r="HA19" s="26">
        <v>0</v>
      </c>
      <c r="HB19" s="26">
        <v>0</v>
      </c>
      <c r="HC19" s="26">
        <v>0</v>
      </c>
      <c r="HD19" s="26">
        <v>0</v>
      </c>
      <c r="HE19" s="26">
        <v>0</v>
      </c>
      <c r="HF19" s="26">
        <v>0</v>
      </c>
      <c r="HG19" s="26">
        <v>0</v>
      </c>
      <c r="HH19" s="26">
        <v>0</v>
      </c>
      <c r="HI19" s="26">
        <v>0</v>
      </c>
      <c r="HJ19" s="26">
        <v>0</v>
      </c>
      <c r="HK19" s="26">
        <v>0</v>
      </c>
      <c r="HL19" s="26">
        <v>0</v>
      </c>
      <c r="HM19" s="26">
        <v>0</v>
      </c>
      <c r="HN19" s="26">
        <v>0</v>
      </c>
      <c r="HO19" s="26">
        <v>0</v>
      </c>
      <c r="HP19" s="26">
        <v>0</v>
      </c>
      <c r="HQ19" s="26">
        <v>0</v>
      </c>
      <c r="HR19" s="26">
        <v>0</v>
      </c>
      <c r="HS19" s="26">
        <v>0</v>
      </c>
      <c r="HT19" s="26">
        <v>0</v>
      </c>
    </row>
    <row r="20" spans="2:228" x14ac:dyDescent="0.2">
      <c r="B20" s="27">
        <v>535</v>
      </c>
      <c r="C20" s="26">
        <v>355313.18800000002</v>
      </c>
      <c r="D20" s="26">
        <v>-1283.789</v>
      </c>
      <c r="E20" s="26">
        <v>329317.86599999998</v>
      </c>
      <c r="F20" s="26">
        <v>177.424138</v>
      </c>
      <c r="G20" s="26">
        <v>501.83496400000001</v>
      </c>
      <c r="H20" s="26">
        <v>1101.6176700000001</v>
      </c>
      <c r="I20" s="26">
        <v>462.21720500000004</v>
      </c>
      <c r="J20" s="26">
        <v>1022.3819700000001</v>
      </c>
      <c r="K20" s="26">
        <v>211.866952</v>
      </c>
      <c r="L20" s="26">
        <v>318.75849399999998</v>
      </c>
      <c r="M20" s="26">
        <v>0</v>
      </c>
      <c r="N20" s="26">
        <v>1090.9604200000001</v>
      </c>
      <c r="O20" s="26">
        <v>27.531921000000001</v>
      </c>
      <c r="P20" s="26">
        <v>11.551855</v>
      </c>
      <c r="Q20" s="26">
        <v>376.01020999999997</v>
      </c>
      <c r="R20" s="26">
        <v>45.822032800000002</v>
      </c>
      <c r="S20" s="26">
        <v>11753.797500000001</v>
      </c>
      <c r="T20" s="26">
        <v>632.05517199999997</v>
      </c>
      <c r="U20" s="26">
        <v>355.00534099999999</v>
      </c>
      <c r="V20" s="26">
        <v>157.999549</v>
      </c>
      <c r="W20" s="26">
        <v>0</v>
      </c>
      <c r="X20" s="26">
        <v>1630.9811400000001</v>
      </c>
      <c r="Y20" s="26">
        <v>726.84030600000006</v>
      </c>
      <c r="Z20" s="26">
        <v>167.87425400000001</v>
      </c>
      <c r="AA20" s="26">
        <v>440.67470300000002</v>
      </c>
      <c r="AB20" s="26">
        <v>7.1539367600000005E-4</v>
      </c>
      <c r="AC20" s="26">
        <v>0</v>
      </c>
      <c r="AD20" s="26">
        <v>2389.1657300000002</v>
      </c>
      <c r="AE20" s="26">
        <v>1791.6933100000001</v>
      </c>
      <c r="AF20" s="26">
        <v>124.03579599999999</v>
      </c>
      <c r="AG20" s="26">
        <v>0</v>
      </c>
      <c r="AH20" s="26">
        <v>0</v>
      </c>
      <c r="AI20" s="26">
        <v>0</v>
      </c>
      <c r="AJ20" s="26">
        <v>0</v>
      </c>
      <c r="AK20" s="26">
        <v>0</v>
      </c>
      <c r="AL20" s="26">
        <v>0</v>
      </c>
      <c r="AM20" s="26">
        <v>12.8602407</v>
      </c>
      <c r="AN20" s="26">
        <v>0</v>
      </c>
      <c r="AO20" s="26">
        <v>0</v>
      </c>
      <c r="AP20" s="26">
        <v>0</v>
      </c>
      <c r="AQ20" s="26">
        <v>0</v>
      </c>
      <c r="AR20" s="26">
        <v>0</v>
      </c>
      <c r="AS20" s="26">
        <v>3.6965341900000001E-17</v>
      </c>
      <c r="AT20" s="26">
        <v>0</v>
      </c>
      <c r="AU20" s="26">
        <v>0</v>
      </c>
      <c r="AV20" s="26">
        <v>7.3288308700000004E-10</v>
      </c>
      <c r="AW20" s="26">
        <v>0</v>
      </c>
      <c r="AX20" s="26">
        <v>0</v>
      </c>
      <c r="AY20" s="26">
        <v>0</v>
      </c>
      <c r="AZ20" s="26">
        <v>0</v>
      </c>
      <c r="BA20" s="26">
        <v>0</v>
      </c>
      <c r="BB20" s="26">
        <v>0</v>
      </c>
      <c r="BC20" s="26">
        <v>0</v>
      </c>
      <c r="BD20" s="26">
        <v>0</v>
      </c>
      <c r="BE20" s="26">
        <v>0</v>
      </c>
      <c r="BF20" s="26">
        <v>0</v>
      </c>
      <c r="BG20" s="26">
        <v>0</v>
      </c>
      <c r="BH20" s="26">
        <v>0</v>
      </c>
      <c r="BI20" s="26">
        <v>0</v>
      </c>
      <c r="BJ20" s="26">
        <v>0</v>
      </c>
      <c r="BK20" s="26">
        <v>0</v>
      </c>
      <c r="BL20" s="26">
        <v>0</v>
      </c>
      <c r="BM20" s="26">
        <v>0</v>
      </c>
      <c r="BN20" s="26">
        <v>0</v>
      </c>
      <c r="BO20" s="26">
        <v>18459.153399999999</v>
      </c>
      <c r="BP20" s="26">
        <v>354848.82799999998</v>
      </c>
      <c r="BQ20" s="26">
        <v>5947.6234199999999</v>
      </c>
      <c r="BR20" s="26">
        <v>47.401204199999995</v>
      </c>
      <c r="BS20" s="26">
        <v>3.94997957</v>
      </c>
      <c r="BT20" s="26">
        <v>0</v>
      </c>
      <c r="BU20" s="26">
        <v>1</v>
      </c>
      <c r="BV20" s="26">
        <v>0</v>
      </c>
      <c r="BW20" s="26">
        <v>-69518.582999999999</v>
      </c>
      <c r="BX20" s="26">
        <v>-3616.34051</v>
      </c>
      <c r="BY20" s="26">
        <v>-1283.2542000000001</v>
      </c>
      <c r="BZ20" s="26">
        <v>-38.854247200000003</v>
      </c>
      <c r="CA20" s="26">
        <v>-2.0211888999999998</v>
      </c>
      <c r="CB20" s="26">
        <v>5.1726972599999997E-2</v>
      </c>
      <c r="CC20" s="26">
        <v>0.99437147299999995</v>
      </c>
      <c r="CD20" s="26">
        <v>19.2234616</v>
      </c>
      <c r="CE20" s="26">
        <v>0</v>
      </c>
      <c r="CF20" s="26">
        <v>0</v>
      </c>
      <c r="CG20" s="26">
        <v>0</v>
      </c>
      <c r="CH20" s="26">
        <v>0</v>
      </c>
      <c r="CI20" s="26">
        <v>0</v>
      </c>
      <c r="CJ20" s="26">
        <v>0</v>
      </c>
      <c r="CK20" s="26">
        <v>0</v>
      </c>
      <c r="CL20" s="26">
        <v>0</v>
      </c>
      <c r="CM20" s="26">
        <v>0</v>
      </c>
      <c r="CN20" s="26">
        <v>0</v>
      </c>
      <c r="CO20" s="26">
        <v>0</v>
      </c>
      <c r="CP20" s="26">
        <v>0</v>
      </c>
      <c r="CQ20" s="26">
        <v>0</v>
      </c>
      <c r="CR20" s="26">
        <v>0</v>
      </c>
      <c r="CS20" s="26">
        <v>0</v>
      </c>
      <c r="CT20" s="26">
        <v>0</v>
      </c>
      <c r="CU20" s="26">
        <v>0</v>
      </c>
      <c r="CV20" s="26">
        <v>0</v>
      </c>
      <c r="CW20" s="26">
        <v>0</v>
      </c>
      <c r="CX20" s="26">
        <v>0</v>
      </c>
      <c r="CY20" s="26">
        <v>0</v>
      </c>
      <c r="CZ20" s="26">
        <v>0</v>
      </c>
      <c r="DA20" s="26">
        <v>0</v>
      </c>
      <c r="DB20" s="26">
        <v>0</v>
      </c>
      <c r="DC20" s="26">
        <v>0</v>
      </c>
      <c r="DD20" s="26">
        <v>0</v>
      </c>
      <c r="DE20" s="26">
        <v>0</v>
      </c>
      <c r="DF20" s="26">
        <v>0</v>
      </c>
      <c r="DG20" s="26">
        <v>0</v>
      </c>
      <c r="DH20" s="26">
        <v>0</v>
      </c>
      <c r="DI20" s="26">
        <v>0</v>
      </c>
      <c r="DJ20" s="26">
        <v>0</v>
      </c>
      <c r="DK20" s="26">
        <v>0</v>
      </c>
      <c r="DL20" s="26">
        <v>0</v>
      </c>
      <c r="DM20" s="26">
        <v>0</v>
      </c>
      <c r="DN20" s="26">
        <v>0</v>
      </c>
      <c r="DO20" s="26">
        <v>0</v>
      </c>
      <c r="DP20" s="26">
        <v>0</v>
      </c>
      <c r="DQ20" s="26">
        <v>0</v>
      </c>
      <c r="DR20" s="26">
        <v>0</v>
      </c>
      <c r="DS20" s="26">
        <v>0</v>
      </c>
      <c r="DT20" s="26">
        <v>0</v>
      </c>
      <c r="DU20" s="26">
        <v>0</v>
      </c>
      <c r="DV20" s="26">
        <v>0</v>
      </c>
      <c r="DW20" s="26">
        <v>0</v>
      </c>
      <c r="DX20" s="26">
        <v>25.092833200000001</v>
      </c>
      <c r="DY20" s="26">
        <v>0.61959341099999998</v>
      </c>
      <c r="DZ20" s="26">
        <v>0.25996926399999998</v>
      </c>
      <c r="EA20" s="26">
        <v>8.4619995299999999</v>
      </c>
      <c r="EB20" s="26">
        <v>1.0312114100000001</v>
      </c>
      <c r="EC20" s="26">
        <v>249.50383400000001</v>
      </c>
      <c r="ED20" s="26">
        <v>0</v>
      </c>
      <c r="EE20" s="26">
        <v>57.32226639999999</v>
      </c>
      <c r="EF20" s="26">
        <v>82.156953099999996</v>
      </c>
      <c r="EG20" s="26">
        <v>10.4160641</v>
      </c>
      <c r="EH20" s="26">
        <v>1.15734212</v>
      </c>
      <c r="EI20" s="26">
        <v>16.719684600000001</v>
      </c>
      <c r="EJ20" s="26">
        <v>2.1560445600000002</v>
      </c>
      <c r="EK20" s="26">
        <v>0</v>
      </c>
      <c r="EL20" s="26">
        <v>9.4619263199999999</v>
      </c>
      <c r="EM20" s="26">
        <v>0</v>
      </c>
      <c r="EN20" s="26">
        <v>0</v>
      </c>
      <c r="EO20" s="26">
        <v>0</v>
      </c>
      <c r="EP20" s="26">
        <v>7.16111567</v>
      </c>
      <c r="EQ20" s="26">
        <v>464.35972200000003</v>
      </c>
      <c r="ER20" s="26">
        <v>5.5863107799999998</v>
      </c>
      <c r="ES20" s="26">
        <v>47.401204199999995</v>
      </c>
      <c r="ET20" s="26">
        <v>3.94997957</v>
      </c>
      <c r="EU20" s="26">
        <v>0</v>
      </c>
      <c r="EV20" s="26">
        <v>0</v>
      </c>
      <c r="EW20" s="26">
        <v>1</v>
      </c>
      <c r="EX20" s="26">
        <v>-74680.510200000004</v>
      </c>
      <c r="EY20" s="26">
        <v>-1151.68424</v>
      </c>
      <c r="EZ20" s="26">
        <v>-0.53479577599999994</v>
      </c>
      <c r="FA20" s="26">
        <v>-148.263204</v>
      </c>
      <c r="FB20" s="26">
        <v>-2.2864385199999999</v>
      </c>
      <c r="FC20" s="26">
        <v>2.1365070999999999E-2</v>
      </c>
      <c r="FD20" s="26">
        <v>1.38540961</v>
      </c>
      <c r="FE20" s="26">
        <v>64.844605700000002</v>
      </c>
      <c r="FF20" s="26">
        <v>0</v>
      </c>
      <c r="FG20" s="26">
        <v>7.2898075300000004E-2</v>
      </c>
      <c r="FH20" s="26">
        <v>-1501366755.5200002</v>
      </c>
      <c r="FI20" s="26">
        <v>0.21729497479391535</v>
      </c>
      <c r="FJ20" s="26">
        <v>0</v>
      </c>
      <c r="FK20" s="26">
        <v>0</v>
      </c>
      <c r="FL20" s="26">
        <v>0</v>
      </c>
      <c r="FM20" s="26">
        <v>0</v>
      </c>
      <c r="FN20" s="26">
        <v>0</v>
      </c>
      <c r="FO20" s="26">
        <v>0</v>
      </c>
      <c r="FP20" s="26">
        <v>0</v>
      </c>
      <c r="FQ20" s="26">
        <v>0</v>
      </c>
      <c r="FR20" s="26">
        <v>0</v>
      </c>
      <c r="FS20" s="26">
        <v>0</v>
      </c>
      <c r="FT20" s="26">
        <v>0</v>
      </c>
      <c r="FU20" s="26">
        <v>0</v>
      </c>
      <c r="FV20" s="26">
        <v>0</v>
      </c>
      <c r="FW20" s="26">
        <v>0</v>
      </c>
      <c r="FX20" s="26">
        <v>0</v>
      </c>
      <c r="FY20" s="26">
        <v>0</v>
      </c>
      <c r="FZ20" s="26">
        <v>0</v>
      </c>
      <c r="GA20" s="26">
        <v>0</v>
      </c>
      <c r="GB20" s="26">
        <v>0</v>
      </c>
      <c r="GC20" s="26">
        <v>0</v>
      </c>
      <c r="GD20" s="26">
        <v>0</v>
      </c>
      <c r="GE20" s="26">
        <v>0</v>
      </c>
      <c r="GF20" s="26">
        <v>0</v>
      </c>
      <c r="GG20" s="26">
        <v>0</v>
      </c>
      <c r="GH20" s="26">
        <v>0</v>
      </c>
      <c r="GI20" s="26">
        <v>0</v>
      </c>
      <c r="GJ20" s="26">
        <v>0</v>
      </c>
      <c r="GK20" s="26">
        <v>0</v>
      </c>
      <c r="GL20" s="26">
        <v>0</v>
      </c>
      <c r="GM20" s="26">
        <v>0</v>
      </c>
      <c r="GN20" s="26">
        <v>0</v>
      </c>
      <c r="GO20" s="26">
        <v>0</v>
      </c>
      <c r="GP20" s="26">
        <v>0</v>
      </c>
      <c r="GQ20" s="26">
        <v>0</v>
      </c>
      <c r="GR20" s="26">
        <v>0</v>
      </c>
      <c r="GS20" s="26">
        <v>0</v>
      </c>
      <c r="GT20" s="26">
        <v>0</v>
      </c>
      <c r="GU20" s="26">
        <v>0</v>
      </c>
      <c r="GV20" s="26">
        <v>0</v>
      </c>
      <c r="GW20" s="26">
        <v>0</v>
      </c>
      <c r="GX20" s="26">
        <v>0</v>
      </c>
      <c r="GY20" s="26">
        <v>0</v>
      </c>
      <c r="GZ20" s="26">
        <v>0</v>
      </c>
      <c r="HA20" s="26">
        <v>0</v>
      </c>
      <c r="HB20" s="26">
        <v>0</v>
      </c>
      <c r="HC20" s="26">
        <v>0</v>
      </c>
      <c r="HD20" s="26">
        <v>0</v>
      </c>
      <c r="HE20" s="26">
        <v>0</v>
      </c>
      <c r="HF20" s="26">
        <v>0</v>
      </c>
      <c r="HG20" s="26">
        <v>0</v>
      </c>
      <c r="HH20" s="26">
        <v>0</v>
      </c>
      <c r="HI20" s="26">
        <v>0</v>
      </c>
      <c r="HJ20" s="26">
        <v>0</v>
      </c>
      <c r="HK20" s="26">
        <v>0</v>
      </c>
      <c r="HL20" s="26">
        <v>0</v>
      </c>
      <c r="HM20" s="26">
        <v>0</v>
      </c>
      <c r="HN20" s="26">
        <v>0</v>
      </c>
      <c r="HO20" s="26">
        <v>0</v>
      </c>
      <c r="HP20" s="26">
        <v>0</v>
      </c>
      <c r="HQ20" s="26">
        <v>0</v>
      </c>
      <c r="HR20" s="26">
        <v>0</v>
      </c>
      <c r="HS20" s="26">
        <v>0</v>
      </c>
      <c r="HT20" s="26">
        <v>5.1431895133677383E-3</v>
      </c>
    </row>
    <row r="21" spans="2:228" x14ac:dyDescent="0.2">
      <c r="B21" s="27">
        <v>551</v>
      </c>
      <c r="C21" s="26">
        <v>27192.394899999999</v>
      </c>
      <c r="D21" s="26">
        <v>-101.701004</v>
      </c>
      <c r="E21" s="26">
        <v>26737.816500000001</v>
      </c>
      <c r="F21" s="26">
        <v>423.65937000000002</v>
      </c>
      <c r="G21" s="26">
        <v>0</v>
      </c>
      <c r="H21" s="26">
        <v>0</v>
      </c>
      <c r="I21" s="26">
        <v>0</v>
      </c>
      <c r="J21" s="26">
        <v>1.33988674E-9</v>
      </c>
      <c r="K21" s="26">
        <v>4.6315293900000007E-10</v>
      </c>
      <c r="L21" s="26">
        <v>5.7453129300000008E-8</v>
      </c>
      <c r="M21" s="26">
        <v>0</v>
      </c>
      <c r="N21" s="26">
        <v>0</v>
      </c>
      <c r="O21" s="26">
        <v>0</v>
      </c>
      <c r="P21" s="26">
        <v>0</v>
      </c>
      <c r="Q21" s="26">
        <v>4.6732016300000002E-10</v>
      </c>
      <c r="R21" s="26">
        <v>0</v>
      </c>
      <c r="S21" s="26">
        <v>0</v>
      </c>
      <c r="T21" s="26">
        <v>1.9397659099999998E-5</v>
      </c>
      <c r="U21" s="26">
        <v>1.22907121E-3</v>
      </c>
      <c r="V21" s="26">
        <v>2.7070171599999999</v>
      </c>
      <c r="W21" s="26">
        <v>0</v>
      </c>
      <c r="X21" s="26">
        <v>3.8075802599999998E-4</v>
      </c>
      <c r="Y21" s="26">
        <v>9.8207374799999997E-10</v>
      </c>
      <c r="Z21" s="26">
        <v>1.2351166500000001E-6</v>
      </c>
      <c r="AA21" s="26">
        <v>6.982452E-7</v>
      </c>
      <c r="AB21" s="26">
        <v>5.98315316E-3</v>
      </c>
      <c r="AC21" s="26">
        <v>0</v>
      </c>
      <c r="AD21" s="26">
        <v>0</v>
      </c>
      <c r="AE21" s="26">
        <v>0</v>
      </c>
      <c r="AF21" s="26">
        <v>0</v>
      </c>
      <c r="AG21" s="26">
        <v>0</v>
      </c>
      <c r="AH21" s="26">
        <v>0</v>
      </c>
      <c r="AI21" s="26">
        <v>0</v>
      </c>
      <c r="AJ21" s="26">
        <v>0</v>
      </c>
      <c r="AK21" s="26">
        <v>0</v>
      </c>
      <c r="AL21" s="26">
        <v>0</v>
      </c>
      <c r="AM21" s="26">
        <v>7.3886057200000002E-10</v>
      </c>
      <c r="AN21" s="26">
        <v>9.7753965999999998E-3</v>
      </c>
      <c r="AO21" s="26">
        <v>5.20442532E-6</v>
      </c>
      <c r="AP21" s="26">
        <v>0</v>
      </c>
      <c r="AQ21" s="26">
        <v>0</v>
      </c>
      <c r="AR21" s="26">
        <v>0</v>
      </c>
      <c r="AS21" s="26">
        <v>28.194529800000002</v>
      </c>
      <c r="AT21" s="26">
        <v>0</v>
      </c>
      <c r="AU21" s="26">
        <v>0</v>
      </c>
      <c r="AV21" s="26">
        <v>1.3093636999999999E-4</v>
      </c>
      <c r="AW21" s="26">
        <v>0</v>
      </c>
      <c r="AX21" s="26">
        <v>0</v>
      </c>
      <c r="AY21" s="26">
        <v>0</v>
      </c>
      <c r="AZ21" s="26">
        <v>0</v>
      </c>
      <c r="BA21" s="26">
        <v>0</v>
      </c>
      <c r="BB21" s="26">
        <v>0</v>
      </c>
      <c r="BC21" s="26">
        <v>0</v>
      </c>
      <c r="BD21" s="26">
        <v>0</v>
      </c>
      <c r="BE21" s="26">
        <v>0</v>
      </c>
      <c r="BF21" s="26">
        <v>0</v>
      </c>
      <c r="BG21" s="26">
        <v>0</v>
      </c>
      <c r="BH21" s="26">
        <v>0</v>
      </c>
      <c r="BI21" s="26">
        <v>0</v>
      </c>
      <c r="BJ21" s="26">
        <v>0</v>
      </c>
      <c r="BK21" s="26">
        <v>0</v>
      </c>
      <c r="BL21" s="26">
        <v>0</v>
      </c>
      <c r="BM21" s="26">
        <v>0</v>
      </c>
      <c r="BN21" s="26">
        <v>0</v>
      </c>
      <c r="BO21" s="26">
        <v>1494.0400199999999</v>
      </c>
      <c r="BP21" s="26">
        <v>27192.394899999999</v>
      </c>
      <c r="BQ21" s="26">
        <v>461.70022799999998</v>
      </c>
      <c r="BR21" s="26">
        <v>34.233848000000023</v>
      </c>
      <c r="BS21" s="26">
        <v>4.3022982000000001</v>
      </c>
      <c r="BT21" s="26">
        <v>0</v>
      </c>
      <c r="BU21" s="26">
        <v>1</v>
      </c>
      <c r="BV21" s="26">
        <v>0</v>
      </c>
      <c r="BW21" s="26">
        <v>-68071.137300000002</v>
      </c>
      <c r="BX21" s="26">
        <v>-3740.0531900000001</v>
      </c>
      <c r="BY21" s="26">
        <v>-101.701004</v>
      </c>
      <c r="BZ21" s="26">
        <v>-38.529875699999998</v>
      </c>
      <c r="CA21" s="26">
        <v>-2.1169586800000002</v>
      </c>
      <c r="CB21" s="26">
        <v>5.3932541600000002E-2</v>
      </c>
      <c r="CC21" s="26">
        <v>0.98160353700000003</v>
      </c>
      <c r="CD21" s="26">
        <v>18.200579999999999</v>
      </c>
      <c r="CE21" s="26">
        <v>456.01676300000003</v>
      </c>
      <c r="CF21" s="26">
        <v>0</v>
      </c>
      <c r="CG21" s="26">
        <v>0</v>
      </c>
      <c r="CH21" s="26">
        <v>0</v>
      </c>
      <c r="CI21" s="26">
        <v>0</v>
      </c>
      <c r="CJ21" s="26">
        <v>0</v>
      </c>
      <c r="CK21" s="26">
        <v>0</v>
      </c>
      <c r="CL21" s="26">
        <v>0</v>
      </c>
      <c r="CM21" s="26">
        <v>0</v>
      </c>
      <c r="CN21" s="26">
        <v>0</v>
      </c>
      <c r="CO21" s="26">
        <v>0</v>
      </c>
      <c r="CP21" s="26">
        <v>0</v>
      </c>
      <c r="CQ21" s="26">
        <v>0</v>
      </c>
      <c r="CR21" s="26">
        <v>0</v>
      </c>
      <c r="CS21" s="26">
        <v>0</v>
      </c>
      <c r="CT21" s="26">
        <v>0</v>
      </c>
      <c r="CU21" s="26">
        <v>0</v>
      </c>
      <c r="CV21" s="26">
        <v>0</v>
      </c>
      <c r="CW21" s="26">
        <v>0</v>
      </c>
      <c r="CX21" s="26">
        <v>0</v>
      </c>
      <c r="CY21" s="26">
        <v>0</v>
      </c>
      <c r="CZ21" s="26">
        <v>0</v>
      </c>
      <c r="DA21" s="26">
        <v>0</v>
      </c>
      <c r="DB21" s="26">
        <v>0</v>
      </c>
      <c r="DC21" s="26">
        <v>0</v>
      </c>
      <c r="DD21" s="26">
        <v>0</v>
      </c>
      <c r="DE21" s="26">
        <v>0</v>
      </c>
      <c r="DF21" s="26">
        <v>0</v>
      </c>
      <c r="DG21" s="26">
        <v>0</v>
      </c>
      <c r="DH21" s="26">
        <v>0</v>
      </c>
      <c r="DI21" s="26">
        <v>0</v>
      </c>
      <c r="DJ21" s="26">
        <v>0</v>
      </c>
      <c r="DK21" s="26">
        <v>0</v>
      </c>
      <c r="DL21" s="26">
        <v>0</v>
      </c>
      <c r="DM21" s="26">
        <v>0</v>
      </c>
      <c r="DN21" s="26">
        <v>0</v>
      </c>
      <c r="DO21" s="26">
        <v>0</v>
      </c>
      <c r="DP21" s="26">
        <v>0</v>
      </c>
      <c r="DQ21" s="26">
        <v>0</v>
      </c>
      <c r="DR21" s="26">
        <v>0</v>
      </c>
      <c r="DS21" s="26">
        <v>0</v>
      </c>
      <c r="DT21" s="26">
        <v>0</v>
      </c>
      <c r="DU21" s="26">
        <v>0</v>
      </c>
      <c r="DV21" s="26">
        <v>0</v>
      </c>
      <c r="DW21" s="26">
        <v>0</v>
      </c>
      <c r="DX21" s="26">
        <v>0</v>
      </c>
      <c r="DY21" s="26">
        <v>0</v>
      </c>
      <c r="DZ21" s="26">
        <v>0</v>
      </c>
      <c r="EA21" s="26">
        <v>0</v>
      </c>
      <c r="EB21" s="26">
        <v>0</v>
      </c>
      <c r="EC21" s="26">
        <v>0</v>
      </c>
      <c r="ED21" s="26">
        <v>0</v>
      </c>
      <c r="EE21" s="26">
        <v>0</v>
      </c>
      <c r="EF21" s="26">
        <v>0</v>
      </c>
      <c r="EG21" s="26">
        <v>0</v>
      </c>
      <c r="EH21" s="26">
        <v>0</v>
      </c>
      <c r="EI21" s="26">
        <v>0</v>
      </c>
      <c r="EJ21" s="26">
        <v>0</v>
      </c>
      <c r="EK21" s="26">
        <v>0</v>
      </c>
      <c r="EL21" s="26">
        <v>0</v>
      </c>
      <c r="EM21" s="26">
        <v>0</v>
      </c>
      <c r="EN21" s="26">
        <v>0</v>
      </c>
      <c r="EO21" s="26">
        <v>0</v>
      </c>
      <c r="EP21" s="26">
        <v>0</v>
      </c>
      <c r="EQ21" s="26">
        <v>0</v>
      </c>
      <c r="ER21" s="26">
        <v>0</v>
      </c>
      <c r="ES21" s="26">
        <v>0</v>
      </c>
      <c r="ET21" s="26">
        <v>4.3022982000000001</v>
      </c>
      <c r="EU21" s="26">
        <v>0</v>
      </c>
      <c r="EV21" s="26">
        <v>0</v>
      </c>
      <c r="EW21" s="26">
        <v>0</v>
      </c>
      <c r="EX21" s="26">
        <v>0</v>
      </c>
      <c r="EY21" s="26">
        <v>0</v>
      </c>
      <c r="EZ21" s="26">
        <v>0</v>
      </c>
      <c r="FA21" s="26">
        <v>0</v>
      </c>
      <c r="FB21" s="26">
        <v>0</v>
      </c>
      <c r="FC21" s="26">
        <v>0</v>
      </c>
      <c r="FD21" s="26">
        <v>0</v>
      </c>
      <c r="FE21" s="26">
        <v>0</v>
      </c>
      <c r="FF21" s="26">
        <v>0</v>
      </c>
      <c r="FG21" s="26">
        <v>3.2632053600000002E-2</v>
      </c>
      <c r="FH21" s="26">
        <v>-118546413.58399999</v>
      </c>
      <c r="FI21" s="26">
        <v>5.3260965148309936E-3</v>
      </c>
      <c r="FJ21" s="26">
        <v>0</v>
      </c>
      <c r="FK21" s="26">
        <v>0</v>
      </c>
      <c r="FL21" s="26">
        <v>0</v>
      </c>
      <c r="FM21" s="26">
        <v>0</v>
      </c>
      <c r="FN21" s="26">
        <v>0</v>
      </c>
      <c r="FO21" s="26">
        <v>0</v>
      </c>
      <c r="FP21" s="26">
        <v>0</v>
      </c>
      <c r="FQ21" s="26">
        <v>0</v>
      </c>
      <c r="FR21" s="26">
        <v>0</v>
      </c>
      <c r="FS21" s="26">
        <v>0</v>
      </c>
      <c r="FT21" s="26">
        <v>0</v>
      </c>
      <c r="FU21" s="26">
        <v>0</v>
      </c>
      <c r="FV21" s="26">
        <v>0</v>
      </c>
      <c r="FW21" s="26">
        <v>0</v>
      </c>
      <c r="FX21" s="26">
        <v>0</v>
      </c>
      <c r="FY21" s="26">
        <v>0</v>
      </c>
      <c r="FZ21" s="26">
        <v>0</v>
      </c>
      <c r="GA21" s="26">
        <v>0</v>
      </c>
      <c r="GB21" s="26">
        <v>0</v>
      </c>
      <c r="GC21" s="26">
        <v>0</v>
      </c>
      <c r="GD21" s="26">
        <v>0</v>
      </c>
      <c r="GE21" s="26">
        <v>0</v>
      </c>
      <c r="GF21" s="26">
        <v>0</v>
      </c>
      <c r="GG21" s="26">
        <v>0</v>
      </c>
      <c r="GH21" s="26">
        <v>0</v>
      </c>
      <c r="GI21" s="26">
        <v>0</v>
      </c>
      <c r="GJ21" s="26">
        <v>0</v>
      </c>
      <c r="GK21" s="26">
        <v>0</v>
      </c>
      <c r="GL21" s="26">
        <v>0</v>
      </c>
      <c r="GM21" s="26">
        <v>0</v>
      </c>
      <c r="GN21" s="26">
        <v>0</v>
      </c>
      <c r="GO21" s="26">
        <v>0</v>
      </c>
      <c r="GP21" s="26">
        <v>0</v>
      </c>
      <c r="GQ21" s="26">
        <v>0</v>
      </c>
      <c r="GR21" s="26">
        <v>0</v>
      </c>
      <c r="GS21" s="26">
        <v>0</v>
      </c>
      <c r="GT21" s="26">
        <v>0</v>
      </c>
      <c r="GU21" s="26">
        <v>0</v>
      </c>
      <c r="GV21" s="26">
        <v>0</v>
      </c>
      <c r="GW21" s="26">
        <v>0</v>
      </c>
      <c r="GX21" s="26">
        <v>0</v>
      </c>
      <c r="GY21" s="26">
        <v>0</v>
      </c>
      <c r="GZ21" s="26">
        <v>0</v>
      </c>
      <c r="HA21" s="26">
        <v>0</v>
      </c>
      <c r="HB21" s="26">
        <v>0</v>
      </c>
      <c r="HC21" s="26">
        <v>0</v>
      </c>
      <c r="HD21" s="26">
        <v>0</v>
      </c>
      <c r="HE21" s="26">
        <v>0</v>
      </c>
      <c r="HF21" s="26">
        <v>0</v>
      </c>
      <c r="HG21" s="26">
        <v>0</v>
      </c>
      <c r="HH21" s="26">
        <v>0</v>
      </c>
      <c r="HI21" s="26">
        <v>0</v>
      </c>
      <c r="HJ21" s="26">
        <v>0</v>
      </c>
      <c r="HK21" s="26">
        <v>0</v>
      </c>
      <c r="HL21" s="26">
        <v>0</v>
      </c>
      <c r="HM21" s="26">
        <v>0</v>
      </c>
      <c r="HN21" s="26">
        <v>0</v>
      </c>
      <c r="HO21" s="26">
        <v>0</v>
      </c>
      <c r="HP21" s="26">
        <v>0</v>
      </c>
      <c r="HQ21" s="26">
        <v>0</v>
      </c>
      <c r="HR21" s="26">
        <v>0</v>
      </c>
      <c r="HS21" s="26">
        <v>0</v>
      </c>
      <c r="HT21" s="26">
        <v>0</v>
      </c>
    </row>
    <row r="22" spans="2:228" x14ac:dyDescent="0.2">
      <c r="B22" s="27">
        <v>560</v>
      </c>
      <c r="C22" s="26">
        <v>12052.6684</v>
      </c>
      <c r="D22" s="26">
        <v>-0.48020229800000003</v>
      </c>
      <c r="E22" s="26">
        <v>175.638385</v>
      </c>
      <c r="F22" s="26">
        <v>1.17033893</v>
      </c>
      <c r="G22" s="26">
        <v>3.8042603699999999E-11</v>
      </c>
      <c r="H22" s="26">
        <v>8.3510332199999996E-11</v>
      </c>
      <c r="I22" s="26">
        <v>3.5039300199999999E-11</v>
      </c>
      <c r="J22" s="26">
        <v>8.2960939100000003E-9</v>
      </c>
      <c r="K22" s="26">
        <v>1.7191892899999999E-9</v>
      </c>
      <c r="L22" s="26">
        <v>1.00277823E-7</v>
      </c>
      <c r="M22" s="26">
        <v>0</v>
      </c>
      <c r="N22" s="26">
        <v>8.4100119200000003E-11</v>
      </c>
      <c r="O22" s="26">
        <v>2.1223848199999998E-12</v>
      </c>
      <c r="P22" s="26">
        <v>8.90511114E-13</v>
      </c>
      <c r="Q22" s="26">
        <v>3.05112582E-9</v>
      </c>
      <c r="R22" s="26">
        <v>3.7182178400000001E-10</v>
      </c>
      <c r="S22" s="26">
        <v>8.9102014100000014E-10</v>
      </c>
      <c r="T22" s="26">
        <v>2.9190697100000002E-5</v>
      </c>
      <c r="U22" s="26">
        <v>1.3830152399999999E-3</v>
      </c>
      <c r="V22" s="26">
        <v>0.65468875000000004</v>
      </c>
      <c r="W22" s="26">
        <v>0</v>
      </c>
      <c r="X22" s="26">
        <v>7.0237648400000002E-4</v>
      </c>
      <c r="Y22" s="26">
        <v>2.54165134E-9</v>
      </c>
      <c r="Z22" s="26">
        <v>1.8881181800000001E-6</v>
      </c>
      <c r="AA22" s="26">
        <v>1.30032075E-6</v>
      </c>
      <c r="AB22" s="26">
        <v>5.6050504500000004E-6</v>
      </c>
      <c r="AC22" s="26">
        <v>0</v>
      </c>
      <c r="AD22" s="26">
        <v>0</v>
      </c>
      <c r="AE22" s="26">
        <v>0</v>
      </c>
      <c r="AF22" s="26">
        <v>0</v>
      </c>
      <c r="AG22" s="26">
        <v>0</v>
      </c>
      <c r="AH22" s="26">
        <v>0</v>
      </c>
      <c r="AI22" s="26">
        <v>0</v>
      </c>
      <c r="AJ22" s="26">
        <v>0</v>
      </c>
      <c r="AK22" s="26">
        <v>0</v>
      </c>
      <c r="AL22" s="26">
        <v>0</v>
      </c>
      <c r="AM22" s="26">
        <v>2.8245544999999999E-9</v>
      </c>
      <c r="AN22" s="26">
        <v>2765.7482100000002</v>
      </c>
      <c r="AO22" s="26">
        <v>9109.4546599999994</v>
      </c>
      <c r="AP22" s="26">
        <v>0</v>
      </c>
      <c r="AQ22" s="26">
        <v>0</v>
      </c>
      <c r="AR22" s="26">
        <v>0</v>
      </c>
      <c r="AS22" s="26">
        <v>0</v>
      </c>
      <c r="AT22" s="26">
        <v>0</v>
      </c>
      <c r="AU22" s="26">
        <v>0</v>
      </c>
      <c r="AV22" s="26">
        <v>0</v>
      </c>
      <c r="AW22" s="26">
        <v>0</v>
      </c>
      <c r="AX22" s="26">
        <v>0</v>
      </c>
      <c r="AY22" s="26">
        <v>0</v>
      </c>
      <c r="AZ22" s="26">
        <v>0</v>
      </c>
      <c r="BA22" s="26">
        <v>0</v>
      </c>
      <c r="BB22" s="26">
        <v>0</v>
      </c>
      <c r="BC22" s="26">
        <v>0</v>
      </c>
      <c r="BD22" s="26">
        <v>0</v>
      </c>
      <c r="BE22" s="26">
        <v>0</v>
      </c>
      <c r="BF22" s="26">
        <v>0</v>
      </c>
      <c r="BG22" s="26">
        <v>0</v>
      </c>
      <c r="BH22" s="26">
        <v>0</v>
      </c>
      <c r="BI22" s="26">
        <v>0</v>
      </c>
      <c r="BJ22" s="26">
        <v>0</v>
      </c>
      <c r="BK22" s="26">
        <v>0</v>
      </c>
      <c r="BL22" s="26">
        <v>0</v>
      </c>
      <c r="BM22" s="26">
        <v>0</v>
      </c>
      <c r="BN22" s="26">
        <v>0</v>
      </c>
      <c r="BO22" s="26">
        <v>421.39563700000002</v>
      </c>
      <c r="BP22" s="26">
        <v>12052.6684</v>
      </c>
      <c r="BQ22" s="26">
        <v>27350.293900000001</v>
      </c>
      <c r="BR22" s="26">
        <v>55.274737099999982</v>
      </c>
      <c r="BS22" s="26">
        <v>6.9084628700000001</v>
      </c>
      <c r="BT22" s="26">
        <v>1</v>
      </c>
      <c r="BU22" s="26">
        <v>0</v>
      </c>
      <c r="BV22" s="26">
        <v>0</v>
      </c>
      <c r="BW22" s="26">
        <v>-1139.55213</v>
      </c>
      <c r="BX22" s="26">
        <v>-39.841989900000002</v>
      </c>
      <c r="BY22" s="26">
        <v>-0.48020229800000003</v>
      </c>
      <c r="BZ22" s="26">
        <v>-2.2239911999999999</v>
      </c>
      <c r="CA22" s="26">
        <v>-7.7757070600000006E-2</v>
      </c>
      <c r="CB22" s="26">
        <v>2.56789216E-4</v>
      </c>
      <c r="CC22" s="26">
        <v>7.3446305699999999E-3</v>
      </c>
      <c r="CD22" s="26">
        <v>28.601787399999999</v>
      </c>
      <c r="CE22" s="26">
        <v>0</v>
      </c>
      <c r="CF22" s="26">
        <v>0</v>
      </c>
      <c r="CG22" s="26">
        <v>0</v>
      </c>
      <c r="CH22" s="26">
        <v>0</v>
      </c>
      <c r="CI22" s="26">
        <v>0</v>
      </c>
      <c r="CJ22" s="26">
        <v>0</v>
      </c>
      <c r="CK22" s="26">
        <v>0</v>
      </c>
      <c r="CL22" s="26">
        <v>0</v>
      </c>
      <c r="CM22" s="26">
        <v>0</v>
      </c>
      <c r="CN22" s="26">
        <v>0</v>
      </c>
      <c r="CO22" s="26">
        <v>0</v>
      </c>
      <c r="CP22" s="26">
        <v>0</v>
      </c>
      <c r="CQ22" s="26">
        <v>0</v>
      </c>
      <c r="CR22" s="26">
        <v>0</v>
      </c>
      <c r="CS22" s="26">
        <v>0</v>
      </c>
      <c r="CT22" s="26">
        <v>0</v>
      </c>
      <c r="CU22" s="26">
        <v>0</v>
      </c>
      <c r="CV22" s="26">
        <v>0</v>
      </c>
      <c r="CW22" s="26">
        <v>0</v>
      </c>
      <c r="CX22" s="26">
        <v>0</v>
      </c>
      <c r="CY22" s="26">
        <v>0</v>
      </c>
      <c r="CZ22" s="26">
        <v>0</v>
      </c>
      <c r="DA22" s="26">
        <v>0</v>
      </c>
      <c r="DB22" s="26">
        <v>0</v>
      </c>
      <c r="DC22" s="26">
        <v>0</v>
      </c>
      <c r="DD22" s="26">
        <v>0</v>
      </c>
      <c r="DE22" s="26">
        <v>0</v>
      </c>
      <c r="DF22" s="26">
        <v>0</v>
      </c>
      <c r="DG22" s="26">
        <v>0</v>
      </c>
      <c r="DH22" s="26">
        <v>0</v>
      </c>
      <c r="DI22" s="26">
        <v>0</v>
      </c>
      <c r="DJ22" s="26">
        <v>0</v>
      </c>
      <c r="DK22" s="26">
        <v>0</v>
      </c>
      <c r="DL22" s="26">
        <v>0</v>
      </c>
      <c r="DM22" s="26">
        <v>0</v>
      </c>
      <c r="DN22" s="26">
        <v>0</v>
      </c>
      <c r="DO22" s="26">
        <v>0</v>
      </c>
      <c r="DP22" s="26">
        <v>0</v>
      </c>
      <c r="DQ22" s="26">
        <v>0</v>
      </c>
      <c r="DR22" s="26">
        <v>0</v>
      </c>
      <c r="DS22" s="26">
        <v>0</v>
      </c>
      <c r="DT22" s="26">
        <v>0</v>
      </c>
      <c r="DU22" s="26">
        <v>0</v>
      </c>
      <c r="DV22" s="26">
        <v>0</v>
      </c>
      <c r="DW22" s="26">
        <v>0</v>
      </c>
      <c r="DX22" s="26">
        <v>0</v>
      </c>
      <c r="DY22" s="26">
        <v>0</v>
      </c>
      <c r="DZ22" s="26">
        <v>0</v>
      </c>
      <c r="EA22" s="26">
        <v>0</v>
      </c>
      <c r="EB22" s="26">
        <v>0</v>
      </c>
      <c r="EC22" s="26">
        <v>0</v>
      </c>
      <c r="ED22" s="26">
        <v>0</v>
      </c>
      <c r="EE22" s="26">
        <v>0</v>
      </c>
      <c r="EF22" s="26">
        <v>0</v>
      </c>
      <c r="EG22" s="26">
        <v>0</v>
      </c>
      <c r="EH22" s="26">
        <v>0</v>
      </c>
      <c r="EI22" s="26">
        <v>0</v>
      </c>
      <c r="EJ22" s="26">
        <v>0</v>
      </c>
      <c r="EK22" s="26">
        <v>0</v>
      </c>
      <c r="EL22" s="26">
        <v>0</v>
      </c>
      <c r="EM22" s="26">
        <v>0</v>
      </c>
      <c r="EN22" s="26">
        <v>0</v>
      </c>
      <c r="EO22" s="26">
        <v>0</v>
      </c>
      <c r="EP22" s="26">
        <v>0</v>
      </c>
      <c r="EQ22" s="26">
        <v>0</v>
      </c>
      <c r="ER22" s="26">
        <v>0</v>
      </c>
      <c r="ES22" s="26">
        <v>0</v>
      </c>
      <c r="ET22" s="26">
        <v>6.9084628700000001</v>
      </c>
      <c r="EU22" s="26">
        <v>0</v>
      </c>
      <c r="EV22" s="26">
        <v>0</v>
      </c>
      <c r="EW22" s="26">
        <v>0</v>
      </c>
      <c r="EX22" s="26">
        <v>0</v>
      </c>
      <c r="EY22" s="26">
        <v>0</v>
      </c>
      <c r="EZ22" s="26">
        <v>0</v>
      </c>
      <c r="FA22" s="26">
        <v>0</v>
      </c>
      <c r="FB22" s="26">
        <v>0</v>
      </c>
      <c r="FC22" s="26">
        <v>0</v>
      </c>
      <c r="FD22" s="26">
        <v>0</v>
      </c>
      <c r="FE22" s="26">
        <v>0</v>
      </c>
      <c r="FF22" s="26">
        <v>0</v>
      </c>
      <c r="FG22" s="26">
        <v>2.9303655799999998E-4</v>
      </c>
      <c r="FH22" s="26">
        <v>-663828.24316099996</v>
      </c>
      <c r="FI22" s="26">
        <v>2.3601914438815315E-5</v>
      </c>
      <c r="FJ22" s="26">
        <v>2.7081699911098043E-3</v>
      </c>
      <c r="FK22" s="26">
        <v>7.0566729453422726E-6</v>
      </c>
      <c r="FL22" s="26">
        <v>5.8656339358139608E-17</v>
      </c>
      <c r="FM22" s="26">
        <v>1.2876117575231163E-16</v>
      </c>
      <c r="FN22" s="26">
        <v>5.4025668209983126E-17</v>
      </c>
      <c r="FO22" s="26">
        <v>1.5349690650575303E-14</v>
      </c>
      <c r="FP22" s="26">
        <v>3.180897442113846E-15</v>
      </c>
      <c r="FQ22" s="26">
        <v>8.1375824262117701E-14</v>
      </c>
      <c r="FR22" s="26">
        <v>0</v>
      </c>
      <c r="FS22" s="26">
        <v>1.4407794865262359E-16</v>
      </c>
      <c r="FT22" s="26">
        <v>3.6360097235325226E-18</v>
      </c>
      <c r="FU22" s="26">
        <v>1.525598487204788E-18</v>
      </c>
      <c r="FV22" s="26">
        <v>6.4150760513206084E-15</v>
      </c>
      <c r="FW22" s="26">
        <v>7.8176553958745769E-16</v>
      </c>
      <c r="FX22" s="26">
        <v>1.3738276193239542E-15</v>
      </c>
      <c r="FY22" s="26">
        <v>5.3293079037455744E-11</v>
      </c>
      <c r="FZ22" s="26">
        <v>3.0463159410371943E-9</v>
      </c>
      <c r="GA22" s="26">
        <v>1.8926671984746708E-6</v>
      </c>
      <c r="GB22" s="26">
        <v>0</v>
      </c>
      <c r="GC22" s="26">
        <v>2.1659313145496725E-9</v>
      </c>
      <c r="GD22" s="26">
        <v>4.6403344537893425E-15</v>
      </c>
      <c r="GE22" s="26">
        <v>5.6949766011153687E-12</v>
      </c>
      <c r="GF22" s="26">
        <v>3.0587055244696442E-12</v>
      </c>
      <c r="GG22" s="26">
        <v>9.142144906470492E-11</v>
      </c>
      <c r="GH22" s="26">
        <v>0</v>
      </c>
      <c r="GI22" s="26">
        <v>0</v>
      </c>
      <c r="GJ22" s="26">
        <v>0</v>
      </c>
      <c r="GK22" s="26">
        <v>0</v>
      </c>
      <c r="GL22" s="26">
        <v>0</v>
      </c>
      <c r="GM22" s="26">
        <v>0</v>
      </c>
      <c r="GN22" s="26">
        <v>0</v>
      </c>
      <c r="GO22" s="26">
        <v>0</v>
      </c>
      <c r="GP22" s="26">
        <v>0</v>
      </c>
      <c r="GQ22" s="26">
        <v>0</v>
      </c>
      <c r="GR22" s="26">
        <v>2.7776665749991104E-15</v>
      </c>
      <c r="GS22" s="26">
        <v>2.4009131553184165E-2</v>
      </c>
      <c r="GT22" s="26">
        <v>9.0328088222624697E-2</v>
      </c>
      <c r="GU22" s="26">
        <v>0</v>
      </c>
      <c r="GV22" s="26">
        <v>0</v>
      </c>
      <c r="GW22" s="26">
        <v>0</v>
      </c>
      <c r="GX22" s="26">
        <v>0</v>
      </c>
      <c r="GY22" s="26">
        <v>0</v>
      </c>
      <c r="GZ22" s="26">
        <v>0</v>
      </c>
      <c r="HA22" s="26">
        <v>0</v>
      </c>
      <c r="HB22" s="26">
        <v>0</v>
      </c>
      <c r="HC22" s="26">
        <v>0</v>
      </c>
      <c r="HD22" s="26">
        <v>0</v>
      </c>
      <c r="HE22" s="26">
        <v>0</v>
      </c>
      <c r="HF22" s="26">
        <v>0</v>
      </c>
      <c r="HG22" s="26">
        <v>0</v>
      </c>
      <c r="HH22" s="26">
        <v>0</v>
      </c>
      <c r="HI22" s="26">
        <v>0</v>
      </c>
      <c r="HJ22" s="26">
        <v>0</v>
      </c>
      <c r="HK22" s="26">
        <v>0</v>
      </c>
      <c r="HL22" s="26">
        <v>0</v>
      </c>
      <c r="HM22" s="26">
        <v>0</v>
      </c>
      <c r="HN22" s="26">
        <v>0</v>
      </c>
      <c r="HO22" s="26">
        <v>0</v>
      </c>
      <c r="HP22" s="26">
        <v>0</v>
      </c>
      <c r="HQ22" s="26">
        <v>0</v>
      </c>
      <c r="HR22" s="26">
        <v>0</v>
      </c>
      <c r="HS22" s="26">
        <v>0</v>
      </c>
      <c r="HT22" s="26">
        <v>0</v>
      </c>
    </row>
    <row r="23" spans="2:228" x14ac:dyDescent="0.2">
      <c r="B23" s="27">
        <v>571</v>
      </c>
      <c r="C23" s="26">
        <v>36537.4012</v>
      </c>
      <c r="D23" s="26">
        <v>-75.9268632</v>
      </c>
      <c r="E23" s="26">
        <v>12796.7947</v>
      </c>
      <c r="F23" s="26">
        <v>5.6908961199999997</v>
      </c>
      <c r="G23" s="26">
        <v>19.406647100000001</v>
      </c>
      <c r="H23" s="26">
        <v>42.601067899999997</v>
      </c>
      <c r="I23" s="26">
        <v>17.874573999999999</v>
      </c>
      <c r="J23" s="26">
        <v>39.536914400000001</v>
      </c>
      <c r="K23" s="26">
        <v>8.1931859300000003</v>
      </c>
      <c r="L23" s="26">
        <v>12.3268285</v>
      </c>
      <c r="M23" s="26">
        <v>0</v>
      </c>
      <c r="N23" s="26">
        <v>42.1889374</v>
      </c>
      <c r="O23" s="26">
        <v>1.06469719</v>
      </c>
      <c r="P23" s="26">
        <v>0.44672609200000002</v>
      </c>
      <c r="Q23" s="26">
        <v>14.5408311</v>
      </c>
      <c r="R23" s="26">
        <v>1.7720009199999998</v>
      </c>
      <c r="S23" s="26">
        <v>454.53548699999999</v>
      </c>
      <c r="T23" s="26">
        <v>24.442412099999999</v>
      </c>
      <c r="U23" s="26">
        <v>13.727160899999999</v>
      </c>
      <c r="V23" s="26">
        <v>5.4553707400000002</v>
      </c>
      <c r="W23" s="26">
        <v>0</v>
      </c>
      <c r="X23" s="26">
        <v>63.071577700000006</v>
      </c>
      <c r="Y23" s="26">
        <v>28.107912599999999</v>
      </c>
      <c r="Z23" s="26">
        <v>6.4919260200000002</v>
      </c>
      <c r="AA23" s="26">
        <v>17.041494499999999</v>
      </c>
      <c r="AB23" s="26">
        <v>2.2060205300000001E-5</v>
      </c>
      <c r="AC23" s="26">
        <v>0</v>
      </c>
      <c r="AD23" s="26">
        <v>92.392319200000003</v>
      </c>
      <c r="AE23" s="26">
        <v>69.287240199999999</v>
      </c>
      <c r="AF23" s="26">
        <v>4.7966345199999996</v>
      </c>
      <c r="AG23" s="26">
        <v>0</v>
      </c>
      <c r="AH23" s="26">
        <v>0</v>
      </c>
      <c r="AI23" s="26">
        <v>0</v>
      </c>
      <c r="AJ23" s="26">
        <v>0</v>
      </c>
      <c r="AK23" s="26">
        <v>0</v>
      </c>
      <c r="AL23" s="26">
        <v>0</v>
      </c>
      <c r="AM23" s="26">
        <v>0.49732316200000004</v>
      </c>
      <c r="AN23" s="26">
        <v>0.53546559800000004</v>
      </c>
      <c r="AO23" s="26">
        <v>0.95449282599999996</v>
      </c>
      <c r="AP23" s="26">
        <v>0</v>
      </c>
      <c r="AQ23" s="26">
        <v>0</v>
      </c>
      <c r="AR23" s="26">
        <v>0</v>
      </c>
      <c r="AS23" s="26">
        <v>0</v>
      </c>
      <c r="AT23" s="26">
        <v>0</v>
      </c>
      <c r="AU23" s="26">
        <v>0</v>
      </c>
      <c r="AV23" s="26">
        <v>0</v>
      </c>
      <c r="AW23" s="26">
        <v>0</v>
      </c>
      <c r="AX23" s="26">
        <v>0</v>
      </c>
      <c r="AY23" s="26">
        <v>0</v>
      </c>
      <c r="AZ23" s="26">
        <v>0</v>
      </c>
      <c r="BA23" s="26">
        <v>0</v>
      </c>
      <c r="BB23" s="26">
        <v>0</v>
      </c>
      <c r="BC23" s="26">
        <v>0</v>
      </c>
      <c r="BD23" s="26">
        <v>0</v>
      </c>
      <c r="BE23" s="26">
        <v>0</v>
      </c>
      <c r="BF23" s="26">
        <v>0</v>
      </c>
      <c r="BG23" s="26">
        <v>0</v>
      </c>
      <c r="BH23" s="26">
        <v>0</v>
      </c>
      <c r="BI23" s="26">
        <v>0</v>
      </c>
      <c r="BJ23" s="26">
        <v>0</v>
      </c>
      <c r="BK23" s="26">
        <v>0</v>
      </c>
      <c r="BL23" s="26">
        <v>0</v>
      </c>
      <c r="BM23" s="26">
        <v>0</v>
      </c>
      <c r="BN23" s="26">
        <v>0</v>
      </c>
      <c r="BO23" s="26">
        <v>717.27984100000003</v>
      </c>
      <c r="BP23" s="26">
        <v>13783.774799999999</v>
      </c>
      <c r="BQ23" s="26">
        <v>232.94771800000001</v>
      </c>
      <c r="BR23" s="26">
        <v>55.274737099999982</v>
      </c>
      <c r="BS23" s="26">
        <v>6.9084628700000001</v>
      </c>
      <c r="BT23" s="26">
        <v>0</v>
      </c>
      <c r="BU23" s="26">
        <v>1</v>
      </c>
      <c r="BV23" s="26">
        <v>0</v>
      </c>
      <c r="BW23" s="26">
        <v>-69393.101599999995</v>
      </c>
      <c r="BX23" s="26">
        <v>-3611.0770499999999</v>
      </c>
      <c r="BY23" s="26">
        <v>-49.774273299999997</v>
      </c>
      <c r="BZ23" s="26">
        <v>-38.493007800000001</v>
      </c>
      <c r="CA23" s="26">
        <v>-2.0030984900000002</v>
      </c>
      <c r="CB23" s="26">
        <v>5.13190855E-2</v>
      </c>
      <c r="CC23" s="26">
        <v>0.98618513500000005</v>
      </c>
      <c r="CD23" s="26">
        <v>19.216732400000001</v>
      </c>
      <c r="CE23" s="26">
        <v>0</v>
      </c>
      <c r="CF23" s="26">
        <v>0</v>
      </c>
      <c r="CG23" s="26">
        <v>0</v>
      </c>
      <c r="CH23" s="26">
        <v>0</v>
      </c>
      <c r="CI23" s="26">
        <v>0</v>
      </c>
      <c r="CJ23" s="26">
        <v>0</v>
      </c>
      <c r="CK23" s="26">
        <v>0</v>
      </c>
      <c r="CL23" s="26">
        <v>0</v>
      </c>
      <c r="CM23" s="26">
        <v>0</v>
      </c>
      <c r="CN23" s="26">
        <v>0</v>
      </c>
      <c r="CO23" s="26">
        <v>0</v>
      </c>
      <c r="CP23" s="26">
        <v>0</v>
      </c>
      <c r="CQ23" s="26">
        <v>0</v>
      </c>
      <c r="CR23" s="26">
        <v>0</v>
      </c>
      <c r="CS23" s="26">
        <v>0</v>
      </c>
      <c r="CT23" s="26">
        <v>0</v>
      </c>
      <c r="CU23" s="26">
        <v>0</v>
      </c>
      <c r="CV23" s="26">
        <v>0</v>
      </c>
      <c r="CW23" s="26">
        <v>0</v>
      </c>
      <c r="CX23" s="26">
        <v>0</v>
      </c>
      <c r="CY23" s="26">
        <v>0</v>
      </c>
      <c r="CZ23" s="26">
        <v>0</v>
      </c>
      <c r="DA23" s="26">
        <v>0</v>
      </c>
      <c r="DB23" s="26">
        <v>0</v>
      </c>
      <c r="DC23" s="26">
        <v>0</v>
      </c>
      <c r="DD23" s="26">
        <v>0</v>
      </c>
      <c r="DE23" s="26">
        <v>0</v>
      </c>
      <c r="DF23" s="26">
        <v>0</v>
      </c>
      <c r="DG23" s="26">
        <v>0</v>
      </c>
      <c r="DH23" s="26">
        <v>0</v>
      </c>
      <c r="DI23" s="26">
        <v>0</v>
      </c>
      <c r="DJ23" s="26">
        <v>0</v>
      </c>
      <c r="DK23" s="26">
        <v>0</v>
      </c>
      <c r="DL23" s="26">
        <v>0</v>
      </c>
      <c r="DM23" s="26">
        <v>0</v>
      </c>
      <c r="DN23" s="26">
        <v>0</v>
      </c>
      <c r="DO23" s="26">
        <v>0</v>
      </c>
      <c r="DP23" s="26">
        <v>0</v>
      </c>
      <c r="DQ23" s="26">
        <v>0</v>
      </c>
      <c r="DR23" s="26">
        <v>0</v>
      </c>
      <c r="DS23" s="26">
        <v>0</v>
      </c>
      <c r="DT23" s="26">
        <v>0</v>
      </c>
      <c r="DU23" s="26">
        <v>0</v>
      </c>
      <c r="DV23" s="26">
        <v>0</v>
      </c>
      <c r="DW23" s="26">
        <v>0</v>
      </c>
      <c r="DX23" s="26">
        <v>1229.54883</v>
      </c>
      <c r="DY23" s="26">
        <v>30.360077199999999</v>
      </c>
      <c r="DZ23" s="26">
        <v>12.7384939</v>
      </c>
      <c r="EA23" s="26">
        <v>414.63797699999998</v>
      </c>
      <c r="EB23" s="26">
        <v>50.529359200000002</v>
      </c>
      <c r="EC23" s="26">
        <v>12225.687900000001</v>
      </c>
      <c r="ED23" s="26">
        <v>0</v>
      </c>
      <c r="EE23" s="26">
        <v>2808.7910499999998</v>
      </c>
      <c r="EF23" s="26">
        <v>4025.6906999999997</v>
      </c>
      <c r="EG23" s="26">
        <v>510.38714000000004</v>
      </c>
      <c r="EH23" s="26">
        <v>56.709764099999994</v>
      </c>
      <c r="EI23" s="26">
        <v>819.264544</v>
      </c>
      <c r="EJ23" s="26">
        <v>105.64618299999999</v>
      </c>
      <c r="EK23" s="26">
        <v>0</v>
      </c>
      <c r="EL23" s="26">
        <v>463.63439</v>
      </c>
      <c r="EM23" s="26">
        <v>0</v>
      </c>
      <c r="EN23" s="26">
        <v>0</v>
      </c>
      <c r="EO23" s="26">
        <v>0</v>
      </c>
      <c r="EP23" s="26">
        <v>350.89466800000002</v>
      </c>
      <c r="EQ23" s="26">
        <v>22753.626400000001</v>
      </c>
      <c r="ER23" s="26">
        <v>273.72922799999998</v>
      </c>
      <c r="ES23" s="26">
        <v>55.274737099999982</v>
      </c>
      <c r="ET23" s="26">
        <v>6.9084628700000001</v>
      </c>
      <c r="EU23" s="26">
        <v>0</v>
      </c>
      <c r="EV23" s="26">
        <v>0</v>
      </c>
      <c r="EW23" s="26">
        <v>1</v>
      </c>
      <c r="EX23" s="26">
        <v>-74531.168900000004</v>
      </c>
      <c r="EY23" s="26">
        <v>-1149.3811700000001</v>
      </c>
      <c r="EZ23" s="26">
        <v>-26.15259</v>
      </c>
      <c r="FA23" s="26">
        <v>-147.80295599999999</v>
      </c>
      <c r="FB23" s="26">
        <v>-2.2793408099999999</v>
      </c>
      <c r="FC23" s="26">
        <v>2.1365070999999999E-2</v>
      </c>
      <c r="FD23" s="26">
        <v>1.38540961</v>
      </c>
      <c r="FE23" s="26">
        <v>64.844605700000002</v>
      </c>
      <c r="FF23" s="26">
        <v>0</v>
      </c>
      <c r="FG23" s="26">
        <v>0.86180874399999996</v>
      </c>
      <c r="FH23" s="26">
        <v>-88959507.9692</v>
      </c>
      <c r="FI23" s="26">
        <v>8.3794931225915012E-3</v>
      </c>
      <c r="FJ23" s="26">
        <v>0</v>
      </c>
      <c r="FK23" s="26">
        <v>0</v>
      </c>
      <c r="FL23" s="26">
        <v>0</v>
      </c>
      <c r="FM23" s="26">
        <v>0</v>
      </c>
      <c r="FN23" s="26">
        <v>0</v>
      </c>
      <c r="FO23" s="26">
        <v>0</v>
      </c>
      <c r="FP23" s="26">
        <v>0</v>
      </c>
      <c r="FQ23" s="26">
        <v>0</v>
      </c>
      <c r="FR23" s="26">
        <v>0</v>
      </c>
      <c r="FS23" s="26">
        <v>0</v>
      </c>
      <c r="FT23" s="26">
        <v>0</v>
      </c>
      <c r="FU23" s="26">
        <v>0</v>
      </c>
      <c r="FV23" s="26">
        <v>0</v>
      </c>
      <c r="FW23" s="26">
        <v>0</v>
      </c>
      <c r="FX23" s="26">
        <v>0</v>
      </c>
      <c r="FY23" s="26">
        <v>0</v>
      </c>
      <c r="FZ23" s="26">
        <v>0</v>
      </c>
      <c r="GA23" s="26">
        <v>0</v>
      </c>
      <c r="GB23" s="26">
        <v>0</v>
      </c>
      <c r="GC23" s="26">
        <v>0</v>
      </c>
      <c r="GD23" s="26">
        <v>0</v>
      </c>
      <c r="GE23" s="26">
        <v>0</v>
      </c>
      <c r="GF23" s="26">
        <v>0</v>
      </c>
      <c r="GG23" s="26">
        <v>0</v>
      </c>
      <c r="GH23" s="26">
        <v>0</v>
      </c>
      <c r="GI23" s="26">
        <v>0</v>
      </c>
      <c r="GJ23" s="26">
        <v>0</v>
      </c>
      <c r="GK23" s="26">
        <v>0</v>
      </c>
      <c r="GL23" s="26">
        <v>0</v>
      </c>
      <c r="GM23" s="26">
        <v>0</v>
      </c>
      <c r="GN23" s="26">
        <v>0</v>
      </c>
      <c r="GO23" s="26">
        <v>0</v>
      </c>
      <c r="GP23" s="26">
        <v>0</v>
      </c>
      <c r="GQ23" s="26">
        <v>0</v>
      </c>
      <c r="GR23" s="26">
        <v>0</v>
      </c>
      <c r="GS23" s="26">
        <v>0</v>
      </c>
      <c r="GT23" s="26">
        <v>0</v>
      </c>
      <c r="GU23" s="26">
        <v>0</v>
      </c>
      <c r="GV23" s="26">
        <v>0</v>
      </c>
      <c r="GW23" s="26">
        <v>0</v>
      </c>
      <c r="GX23" s="26">
        <v>0</v>
      </c>
      <c r="GY23" s="26">
        <v>0</v>
      </c>
      <c r="GZ23" s="26">
        <v>0</v>
      </c>
      <c r="HA23" s="26">
        <v>0</v>
      </c>
      <c r="HB23" s="26">
        <v>0</v>
      </c>
      <c r="HC23" s="26">
        <v>0</v>
      </c>
      <c r="HD23" s="26">
        <v>0</v>
      </c>
      <c r="HE23" s="26">
        <v>0</v>
      </c>
      <c r="HF23" s="26">
        <v>0</v>
      </c>
      <c r="HG23" s="26">
        <v>0</v>
      </c>
      <c r="HH23" s="26">
        <v>0</v>
      </c>
      <c r="HI23" s="26">
        <v>0</v>
      </c>
      <c r="HJ23" s="26">
        <v>0</v>
      </c>
      <c r="HK23" s="26">
        <v>0</v>
      </c>
      <c r="HL23" s="26">
        <v>0</v>
      </c>
      <c r="HM23" s="26">
        <v>0</v>
      </c>
      <c r="HN23" s="26">
        <v>0</v>
      </c>
      <c r="HO23" s="26">
        <v>0</v>
      </c>
      <c r="HP23" s="26">
        <v>0</v>
      </c>
      <c r="HQ23" s="26">
        <v>0</v>
      </c>
      <c r="HR23" s="26">
        <v>0</v>
      </c>
      <c r="HS23" s="26">
        <v>0</v>
      </c>
      <c r="HT23" s="26">
        <v>0.25201628646057478</v>
      </c>
    </row>
    <row r="24" spans="2:228" x14ac:dyDescent="0.2">
      <c r="B24" s="27">
        <v>615</v>
      </c>
      <c r="C24" s="26">
        <v>21861.0072</v>
      </c>
      <c r="D24" s="26">
        <v>-38.821829299999997</v>
      </c>
      <c r="E24" s="26">
        <v>750.78291100000001</v>
      </c>
      <c r="F24" s="26">
        <v>0.56513829500000001</v>
      </c>
      <c r="G24" s="26">
        <v>9.8317209299999996E-13</v>
      </c>
      <c r="H24" s="26">
        <v>2.1582385499999999E-12</v>
      </c>
      <c r="I24" s="26">
        <v>9.0555463499999994E-13</v>
      </c>
      <c r="J24" s="26">
        <v>3.0265161200000001E-10</v>
      </c>
      <c r="K24" s="26">
        <v>6.2717924299999998E-11</v>
      </c>
      <c r="L24" s="26">
        <v>1.06593838E-8</v>
      </c>
      <c r="M24" s="26">
        <v>0</v>
      </c>
      <c r="N24" s="26">
        <v>2.13735929E-12</v>
      </c>
      <c r="O24" s="26">
        <v>5.3939270000000001E-14</v>
      </c>
      <c r="P24" s="26">
        <v>2.26318615E-14</v>
      </c>
      <c r="Q24" s="26">
        <v>1.11307999E-10</v>
      </c>
      <c r="R24" s="26">
        <v>1.8515809199999999E-11</v>
      </c>
      <c r="S24" s="26">
        <v>2.3027498E-11</v>
      </c>
      <c r="T24" s="26">
        <v>5.4563352399999997E-6</v>
      </c>
      <c r="U24" s="26">
        <v>3.19678121E-4</v>
      </c>
      <c r="V24" s="26">
        <v>0.91085412600000004</v>
      </c>
      <c r="W24" s="26">
        <v>6.4739933800000002E-3</v>
      </c>
      <c r="X24" s="26">
        <v>7.7093178400000002E-5</v>
      </c>
      <c r="Y24" s="26">
        <v>1.9307955299999999E-10</v>
      </c>
      <c r="Z24" s="26">
        <v>2.1548929E-7</v>
      </c>
      <c r="AA24" s="26">
        <v>1.3350376900000001E-7</v>
      </c>
      <c r="AB24" s="26">
        <v>27.157800200000001</v>
      </c>
      <c r="AC24" s="26">
        <v>9.7561763699999999E-10</v>
      </c>
      <c r="AD24" s="26">
        <v>0</v>
      </c>
      <c r="AE24" s="26">
        <v>0</v>
      </c>
      <c r="AF24" s="26">
        <v>0</v>
      </c>
      <c r="AG24" s="26">
        <v>0</v>
      </c>
      <c r="AH24" s="26">
        <v>3.22774015E-3</v>
      </c>
      <c r="AI24" s="26">
        <v>0</v>
      </c>
      <c r="AJ24" s="26">
        <v>0</v>
      </c>
      <c r="AK24" s="26">
        <v>0</v>
      </c>
      <c r="AL24" s="26">
        <v>0</v>
      </c>
      <c r="AM24" s="26">
        <v>2.90392551E-10</v>
      </c>
      <c r="AN24" s="26">
        <v>1143.1691000000001</v>
      </c>
      <c r="AO24" s="26">
        <v>5.4242980200000002</v>
      </c>
      <c r="AP24" s="26">
        <v>0</v>
      </c>
      <c r="AQ24" s="26">
        <v>1.3674957499999999E-2</v>
      </c>
      <c r="AR24" s="26">
        <v>0</v>
      </c>
      <c r="AS24" s="26">
        <v>14269.2286</v>
      </c>
      <c r="AT24" s="26">
        <v>5378.3972999999996</v>
      </c>
      <c r="AU24" s="26">
        <v>285.346923</v>
      </c>
      <c r="AV24" s="26">
        <v>4.5108502299999996E-4</v>
      </c>
      <c r="AW24" s="26">
        <v>0</v>
      </c>
      <c r="AX24" s="26">
        <v>0</v>
      </c>
      <c r="AY24" s="26">
        <v>0</v>
      </c>
      <c r="AZ24" s="26">
        <v>0</v>
      </c>
      <c r="BA24" s="26">
        <v>0</v>
      </c>
      <c r="BB24" s="26">
        <v>0</v>
      </c>
      <c r="BC24" s="26">
        <v>0</v>
      </c>
      <c r="BD24" s="26">
        <v>0</v>
      </c>
      <c r="BE24" s="26">
        <v>0</v>
      </c>
      <c r="BF24" s="26">
        <v>0</v>
      </c>
      <c r="BG24" s="26">
        <v>0</v>
      </c>
      <c r="BH24" s="26">
        <v>0</v>
      </c>
      <c r="BI24" s="26">
        <v>0</v>
      </c>
      <c r="BJ24" s="26">
        <v>0</v>
      </c>
      <c r="BK24" s="26">
        <v>0</v>
      </c>
      <c r="BL24" s="26">
        <v>0</v>
      </c>
      <c r="BM24" s="26">
        <v>0</v>
      </c>
      <c r="BN24" s="26">
        <v>0</v>
      </c>
      <c r="BO24" s="26">
        <v>747.065337</v>
      </c>
      <c r="BP24" s="26">
        <v>21861.0072</v>
      </c>
      <c r="BQ24" s="26">
        <v>307708.815</v>
      </c>
      <c r="BR24" s="26">
        <v>38.274052900000015</v>
      </c>
      <c r="BS24" s="26">
        <v>1.03402298</v>
      </c>
      <c r="BT24" s="26">
        <v>1</v>
      </c>
      <c r="BU24" s="26">
        <v>0</v>
      </c>
      <c r="BV24" s="26">
        <v>0</v>
      </c>
      <c r="BW24" s="26">
        <v>-51965.774700000002</v>
      </c>
      <c r="BX24" s="26">
        <v>-1775.8481400000001</v>
      </c>
      <c r="BY24" s="26">
        <v>-38.821829299999997</v>
      </c>
      <c r="BZ24" s="26">
        <v>-6.3846825599999999</v>
      </c>
      <c r="CA24" s="26">
        <v>-0.21818642599999999</v>
      </c>
      <c r="CB24" s="26">
        <v>4.04638678E-5</v>
      </c>
      <c r="CC24" s="26">
        <v>1.1840743499999999E-3</v>
      </c>
      <c r="CD24" s="26">
        <v>29.2625104</v>
      </c>
      <c r="CE24" s="26">
        <v>0</v>
      </c>
      <c r="CF24" s="26">
        <v>0</v>
      </c>
      <c r="CG24" s="26">
        <v>0</v>
      </c>
      <c r="CH24" s="26">
        <v>0</v>
      </c>
      <c r="CI24" s="26">
        <v>0</v>
      </c>
      <c r="CJ24" s="26">
        <v>0</v>
      </c>
      <c r="CK24" s="26">
        <v>0</v>
      </c>
      <c r="CL24" s="26">
        <v>0</v>
      </c>
      <c r="CM24" s="26">
        <v>0</v>
      </c>
      <c r="CN24" s="26">
        <v>0</v>
      </c>
      <c r="CO24" s="26">
        <v>0</v>
      </c>
      <c r="CP24" s="26">
        <v>0</v>
      </c>
      <c r="CQ24" s="26">
        <v>0</v>
      </c>
      <c r="CR24" s="26">
        <v>0</v>
      </c>
      <c r="CS24" s="26">
        <v>0</v>
      </c>
      <c r="CT24" s="26">
        <v>0</v>
      </c>
      <c r="CU24" s="26">
        <v>0</v>
      </c>
      <c r="CV24" s="26">
        <v>0</v>
      </c>
      <c r="CW24" s="26">
        <v>0</v>
      </c>
      <c r="CX24" s="26">
        <v>0</v>
      </c>
      <c r="CY24" s="26">
        <v>0</v>
      </c>
      <c r="CZ24" s="26">
        <v>0</v>
      </c>
      <c r="DA24" s="26">
        <v>0</v>
      </c>
      <c r="DB24" s="26">
        <v>0</v>
      </c>
      <c r="DC24" s="26">
        <v>0</v>
      </c>
      <c r="DD24" s="26">
        <v>0</v>
      </c>
      <c r="DE24" s="26">
        <v>0</v>
      </c>
      <c r="DF24" s="26">
        <v>0</v>
      </c>
      <c r="DG24" s="26">
        <v>0</v>
      </c>
      <c r="DH24" s="26">
        <v>0</v>
      </c>
      <c r="DI24" s="26">
        <v>0</v>
      </c>
      <c r="DJ24" s="26">
        <v>0</v>
      </c>
      <c r="DK24" s="26">
        <v>0</v>
      </c>
      <c r="DL24" s="26">
        <v>0</v>
      </c>
      <c r="DM24" s="26">
        <v>0</v>
      </c>
      <c r="DN24" s="26">
        <v>0</v>
      </c>
      <c r="DO24" s="26">
        <v>0</v>
      </c>
      <c r="DP24" s="26">
        <v>0</v>
      </c>
      <c r="DQ24" s="26">
        <v>0</v>
      </c>
      <c r="DR24" s="26">
        <v>0</v>
      </c>
      <c r="DS24" s="26">
        <v>0</v>
      </c>
      <c r="DT24" s="26">
        <v>0</v>
      </c>
      <c r="DU24" s="26">
        <v>0</v>
      </c>
      <c r="DV24" s="26">
        <v>0</v>
      </c>
      <c r="DW24" s="26">
        <v>0</v>
      </c>
      <c r="DX24" s="26">
        <v>0</v>
      </c>
      <c r="DY24" s="26">
        <v>0</v>
      </c>
      <c r="DZ24" s="26">
        <v>0</v>
      </c>
      <c r="EA24" s="26">
        <v>0</v>
      </c>
      <c r="EB24" s="26">
        <v>0</v>
      </c>
      <c r="EC24" s="26">
        <v>0</v>
      </c>
      <c r="ED24" s="26">
        <v>0</v>
      </c>
      <c r="EE24" s="26">
        <v>0</v>
      </c>
      <c r="EF24" s="26">
        <v>0</v>
      </c>
      <c r="EG24" s="26">
        <v>0</v>
      </c>
      <c r="EH24" s="26">
        <v>0</v>
      </c>
      <c r="EI24" s="26">
        <v>0</v>
      </c>
      <c r="EJ24" s="26">
        <v>0</v>
      </c>
      <c r="EK24" s="26">
        <v>0</v>
      </c>
      <c r="EL24" s="26">
        <v>0</v>
      </c>
      <c r="EM24" s="26">
        <v>0</v>
      </c>
      <c r="EN24" s="26">
        <v>0</v>
      </c>
      <c r="EO24" s="26">
        <v>0</v>
      </c>
      <c r="EP24" s="26">
        <v>0</v>
      </c>
      <c r="EQ24" s="26">
        <v>0</v>
      </c>
      <c r="ER24" s="26">
        <v>0</v>
      </c>
      <c r="ES24" s="26">
        <v>0</v>
      </c>
      <c r="ET24" s="26">
        <v>1.03402298</v>
      </c>
      <c r="EU24" s="26">
        <v>0</v>
      </c>
      <c r="EV24" s="26">
        <v>0</v>
      </c>
      <c r="EW24" s="26">
        <v>0</v>
      </c>
      <c r="EX24" s="26">
        <v>0</v>
      </c>
      <c r="EY24" s="26">
        <v>0</v>
      </c>
      <c r="EZ24" s="26">
        <v>0</v>
      </c>
      <c r="FA24" s="26">
        <v>0</v>
      </c>
      <c r="FB24" s="26">
        <v>0</v>
      </c>
      <c r="FC24" s="26">
        <v>0</v>
      </c>
      <c r="FD24" s="26">
        <v>0</v>
      </c>
      <c r="FE24" s="26">
        <v>0</v>
      </c>
      <c r="FF24" s="26">
        <v>0</v>
      </c>
      <c r="FG24" s="26">
        <v>1.00611936</v>
      </c>
      <c r="FH24" s="26">
        <v>-45249467.508100003</v>
      </c>
      <c r="FI24" s="26">
        <v>0.18320957591012108</v>
      </c>
      <c r="FJ24" s="26">
        <v>1.1576329092610632E-2</v>
      </c>
      <c r="FK24" s="26">
        <v>3.4075565828160083E-6</v>
      </c>
      <c r="FL24" s="26">
        <v>1.5159129565717481E-18</v>
      </c>
      <c r="FM24" s="26">
        <v>3.3276999988438223E-18</v>
      </c>
      <c r="FN24" s="26">
        <v>1.39623776394768E-18</v>
      </c>
      <c r="FO24" s="26">
        <v>5.5997541559091442E-16</v>
      </c>
      <c r="FP24" s="26">
        <v>1.1604265176167456E-16</v>
      </c>
      <c r="FQ24" s="26">
        <v>8.6501293192010355E-15</v>
      </c>
      <c r="FR24" s="26">
        <v>0</v>
      </c>
      <c r="FS24" s="26">
        <v>3.6616635570710863E-18</v>
      </c>
      <c r="FT24" s="26">
        <v>9.2407233794813429E-20</v>
      </c>
      <c r="FU24" s="26">
        <v>3.8772265865733688E-20</v>
      </c>
      <c r="FV24" s="26">
        <v>2.3402813215000285E-16</v>
      </c>
      <c r="FW24" s="26">
        <v>3.8929998644773325E-17</v>
      </c>
      <c r="FX24" s="26">
        <v>3.5505160284041287E-17</v>
      </c>
      <c r="FY24" s="26">
        <v>9.9615608019147097E-12</v>
      </c>
      <c r="FZ24" s="26">
        <v>7.0414303896647764E-10</v>
      </c>
      <c r="GA24" s="26">
        <v>2.6332264377324782E-6</v>
      </c>
      <c r="GB24" s="26">
        <v>2.9945959128456562E-8</v>
      </c>
      <c r="GC24" s="26">
        <v>2.3773365579075816E-10</v>
      </c>
      <c r="GD24" s="26">
        <v>3.525085000422902E-16</v>
      </c>
      <c r="GE24" s="26">
        <v>6.4996273853303535E-13</v>
      </c>
      <c r="GF24" s="26">
        <v>3.1403691362340642E-13</v>
      </c>
      <c r="GG24" s="26">
        <v>4.4295862576589122E-4</v>
      </c>
      <c r="GH24" s="26">
        <v>2.7631151943271441E-15</v>
      </c>
      <c r="GI24" s="26">
        <v>0</v>
      </c>
      <c r="GJ24" s="26">
        <v>0</v>
      </c>
      <c r="GK24" s="26">
        <v>0</v>
      </c>
      <c r="GL24" s="26">
        <v>0</v>
      </c>
      <c r="GM24" s="26">
        <v>1.0548827001057283E-8</v>
      </c>
      <c r="GN24" s="26">
        <v>0</v>
      </c>
      <c r="GO24" s="26">
        <v>0</v>
      </c>
      <c r="GP24" s="26">
        <v>0</v>
      </c>
      <c r="GQ24" s="26">
        <v>0</v>
      </c>
      <c r="GR24" s="26">
        <v>2.85572002284576E-16</v>
      </c>
      <c r="GS24" s="26">
        <v>9.9237151071675002E-3</v>
      </c>
      <c r="GT24" s="26">
        <v>5.3786586263626028E-5</v>
      </c>
      <c r="GU24" s="26">
        <v>0</v>
      </c>
      <c r="GV24" s="26">
        <v>8.2568302049435303E-8</v>
      </c>
      <c r="GW24" s="26">
        <v>0</v>
      </c>
      <c r="GX24" s="26">
        <v>9.006345516495208E-2</v>
      </c>
      <c r="GY24" s="26">
        <v>9.3126074356119706E-2</v>
      </c>
      <c r="GZ24" s="26">
        <v>2.3256649824942087E-3</v>
      </c>
      <c r="HA24" s="26">
        <v>1.9558540156468319E-9</v>
      </c>
      <c r="HB24" s="26">
        <v>0</v>
      </c>
      <c r="HC24" s="26">
        <v>0</v>
      </c>
      <c r="HD24" s="26">
        <v>0</v>
      </c>
      <c r="HE24" s="26">
        <v>0</v>
      </c>
      <c r="HF24" s="26">
        <v>0</v>
      </c>
      <c r="HG24" s="26">
        <v>0</v>
      </c>
      <c r="HH24" s="26">
        <v>0</v>
      </c>
      <c r="HI24" s="26">
        <v>0</v>
      </c>
      <c r="HJ24" s="26">
        <v>0</v>
      </c>
      <c r="HK24" s="26">
        <v>0</v>
      </c>
      <c r="HL24" s="26">
        <v>0</v>
      </c>
      <c r="HM24" s="26">
        <v>0</v>
      </c>
      <c r="HN24" s="26">
        <v>0</v>
      </c>
      <c r="HO24" s="26">
        <v>0</v>
      </c>
      <c r="HP24" s="26">
        <v>0</v>
      </c>
      <c r="HQ24" s="26">
        <v>0</v>
      </c>
      <c r="HR24" s="26">
        <v>0</v>
      </c>
      <c r="HS24" s="26">
        <v>0</v>
      </c>
      <c r="HT24" s="26">
        <v>0</v>
      </c>
    </row>
    <row r="25" spans="2:228" x14ac:dyDescent="0.2">
      <c r="B25" s="27">
        <v>623</v>
      </c>
      <c r="C25" s="26">
        <v>9760.0353699999996</v>
      </c>
      <c r="D25" s="26">
        <v>-31.334807900000001</v>
      </c>
      <c r="E25" s="26">
        <v>7709.3452199999992</v>
      </c>
      <c r="F25" s="26">
        <v>7.9431267999999999E-2</v>
      </c>
      <c r="G25" s="26">
        <v>0.21714182500000001</v>
      </c>
      <c r="H25" s="26">
        <v>0.47666513199999999</v>
      </c>
      <c r="I25" s="26">
        <v>0.19999935599999999</v>
      </c>
      <c r="J25" s="26">
        <v>0.44238352199999997</v>
      </c>
      <c r="K25" s="26">
        <v>9.16743052E-2</v>
      </c>
      <c r="L25" s="26">
        <v>0.13792539700000001</v>
      </c>
      <c r="M25" s="26">
        <v>0</v>
      </c>
      <c r="N25" s="26">
        <v>0.47205377199999998</v>
      </c>
      <c r="O25" s="26">
        <v>1.19129414E-2</v>
      </c>
      <c r="P25" s="26">
        <v>4.9984369399999999E-3</v>
      </c>
      <c r="Q25" s="26">
        <v>0.16269804099999999</v>
      </c>
      <c r="R25" s="26">
        <v>2.2558180600000002E-2</v>
      </c>
      <c r="S25" s="26">
        <v>5.0858165900000003</v>
      </c>
      <c r="T25" s="26">
        <v>1.13052752</v>
      </c>
      <c r="U25" s="26">
        <v>0.15406335700000001</v>
      </c>
      <c r="V25" s="26">
        <v>0.20573044700000001</v>
      </c>
      <c r="W25" s="26">
        <v>2.5209660599999999E-2</v>
      </c>
      <c r="X25" s="26">
        <v>0.70571856899999996</v>
      </c>
      <c r="Y25" s="26">
        <v>0.31450060099999999</v>
      </c>
      <c r="Z25" s="26">
        <v>7.2638449800000005E-2</v>
      </c>
      <c r="AA25" s="26">
        <v>0.19067800300000001</v>
      </c>
      <c r="AB25" s="26">
        <v>3.2561289100000002</v>
      </c>
      <c r="AC25" s="26">
        <v>1.2895043E-3</v>
      </c>
      <c r="AD25" s="26">
        <v>0</v>
      </c>
      <c r="AE25" s="26">
        <v>6.4198205100000001</v>
      </c>
      <c r="AF25" s="26">
        <v>2.3496615099999998</v>
      </c>
      <c r="AG25" s="26">
        <v>0</v>
      </c>
      <c r="AH25" s="26">
        <v>72.871777600000001</v>
      </c>
      <c r="AI25" s="26">
        <v>0</v>
      </c>
      <c r="AJ25" s="26">
        <v>0</v>
      </c>
      <c r="AK25" s="26">
        <v>0</v>
      </c>
      <c r="AL25" s="26">
        <v>0</v>
      </c>
      <c r="AM25" s="26">
        <v>1.1531334799999999E-2</v>
      </c>
      <c r="AN25" s="26">
        <v>4.6645879600000002E-2</v>
      </c>
      <c r="AO25" s="26">
        <v>8.4118578499999999E-2</v>
      </c>
      <c r="AP25" s="26">
        <v>0</v>
      </c>
      <c r="AQ25" s="26">
        <v>8.0582939800000003E-2</v>
      </c>
      <c r="AR25" s="26">
        <v>0</v>
      </c>
      <c r="AS25" s="26">
        <v>1.01655681</v>
      </c>
      <c r="AT25" s="26">
        <v>1.56257536E-2</v>
      </c>
      <c r="AU25" s="26">
        <v>2.1241642999999999</v>
      </c>
      <c r="AV25" s="26">
        <v>1.6020150400000001E-3</v>
      </c>
      <c r="AW25" s="26">
        <v>0</v>
      </c>
      <c r="AX25" s="26">
        <v>0</v>
      </c>
      <c r="AY25" s="26">
        <v>0</v>
      </c>
      <c r="AZ25" s="26">
        <v>0</v>
      </c>
      <c r="BA25" s="26">
        <v>0</v>
      </c>
      <c r="BB25" s="26">
        <v>0</v>
      </c>
      <c r="BC25" s="26">
        <v>0</v>
      </c>
      <c r="BD25" s="26">
        <v>0</v>
      </c>
      <c r="BE25" s="26">
        <v>0</v>
      </c>
      <c r="BF25" s="26">
        <v>0</v>
      </c>
      <c r="BG25" s="26">
        <v>0</v>
      </c>
      <c r="BH25" s="26">
        <v>0</v>
      </c>
      <c r="BI25" s="26">
        <v>0</v>
      </c>
      <c r="BJ25" s="26">
        <v>0</v>
      </c>
      <c r="BK25" s="26">
        <v>0</v>
      </c>
      <c r="BL25" s="26">
        <v>0</v>
      </c>
      <c r="BM25" s="26">
        <v>0</v>
      </c>
      <c r="BN25" s="26">
        <v>0</v>
      </c>
      <c r="BO25" s="26">
        <v>429.24282699999998</v>
      </c>
      <c r="BP25" s="26">
        <v>7807.8290500000003</v>
      </c>
      <c r="BQ25" s="26">
        <v>132.605503</v>
      </c>
      <c r="BR25" s="26">
        <v>29.487460199999987</v>
      </c>
      <c r="BS25" s="26">
        <v>2</v>
      </c>
      <c r="BT25" s="26">
        <v>0</v>
      </c>
      <c r="BU25" s="26">
        <v>1</v>
      </c>
      <c r="BV25" s="26">
        <v>0</v>
      </c>
      <c r="BW25" s="26">
        <v>-68285.0533</v>
      </c>
      <c r="BX25" s="26">
        <v>-3754.03575</v>
      </c>
      <c r="BY25" s="26">
        <v>-29.310869600000004</v>
      </c>
      <c r="BZ25" s="26">
        <v>-38.743996199999998</v>
      </c>
      <c r="CA25" s="26">
        <v>-2.1299880400000002</v>
      </c>
      <c r="CB25" s="26">
        <v>5.3949850400000006E-2</v>
      </c>
      <c r="CC25" s="26">
        <v>0.98133546400000005</v>
      </c>
      <c r="CD25" s="26">
        <v>18.189771700000001</v>
      </c>
      <c r="CE25" s="26">
        <v>0</v>
      </c>
      <c r="CF25" s="26">
        <v>0</v>
      </c>
      <c r="CG25" s="26">
        <v>0</v>
      </c>
      <c r="CH25" s="26">
        <v>0</v>
      </c>
      <c r="CI25" s="26">
        <v>0</v>
      </c>
      <c r="CJ25" s="26">
        <v>0</v>
      </c>
      <c r="CK25" s="26">
        <v>0</v>
      </c>
      <c r="CL25" s="26">
        <v>0</v>
      </c>
      <c r="CM25" s="26">
        <v>0</v>
      </c>
      <c r="CN25" s="26">
        <v>0</v>
      </c>
      <c r="CO25" s="26">
        <v>0</v>
      </c>
      <c r="CP25" s="26">
        <v>0</v>
      </c>
      <c r="CQ25" s="26">
        <v>0</v>
      </c>
      <c r="CR25" s="26">
        <v>0</v>
      </c>
      <c r="CS25" s="26">
        <v>0</v>
      </c>
      <c r="CT25" s="26">
        <v>0</v>
      </c>
      <c r="CU25" s="26">
        <v>0</v>
      </c>
      <c r="CV25" s="26">
        <v>0</v>
      </c>
      <c r="CW25" s="26">
        <v>0</v>
      </c>
      <c r="CX25" s="26">
        <v>0</v>
      </c>
      <c r="CY25" s="26">
        <v>0</v>
      </c>
      <c r="CZ25" s="26">
        <v>0</v>
      </c>
      <c r="DA25" s="26">
        <v>0</v>
      </c>
      <c r="DB25" s="26">
        <v>0</v>
      </c>
      <c r="DC25" s="26">
        <v>0</v>
      </c>
      <c r="DD25" s="26">
        <v>0</v>
      </c>
      <c r="DE25" s="26">
        <v>0</v>
      </c>
      <c r="DF25" s="26">
        <v>0</v>
      </c>
      <c r="DG25" s="26">
        <v>0</v>
      </c>
      <c r="DH25" s="26">
        <v>0</v>
      </c>
      <c r="DI25" s="26">
        <v>0</v>
      </c>
      <c r="DJ25" s="26">
        <v>0</v>
      </c>
      <c r="DK25" s="26">
        <v>0</v>
      </c>
      <c r="DL25" s="26">
        <v>0</v>
      </c>
      <c r="DM25" s="26">
        <v>0</v>
      </c>
      <c r="DN25" s="26">
        <v>0</v>
      </c>
      <c r="DO25" s="26">
        <v>0</v>
      </c>
      <c r="DP25" s="26">
        <v>0</v>
      </c>
      <c r="DQ25" s="26">
        <v>0</v>
      </c>
      <c r="DR25" s="26">
        <v>0</v>
      </c>
      <c r="DS25" s="26">
        <v>0</v>
      </c>
      <c r="DT25" s="26">
        <v>0</v>
      </c>
      <c r="DU25" s="26">
        <v>0</v>
      </c>
      <c r="DV25" s="26">
        <v>0</v>
      </c>
      <c r="DW25" s="26">
        <v>0</v>
      </c>
      <c r="DX25" s="26">
        <v>25.092833200000001</v>
      </c>
      <c r="DY25" s="26">
        <v>0.61959341099999998</v>
      </c>
      <c r="DZ25" s="26">
        <v>0.25996926300000001</v>
      </c>
      <c r="EA25" s="26">
        <v>8.4619995299999999</v>
      </c>
      <c r="EB25" s="26">
        <v>1.0312114100000001</v>
      </c>
      <c r="EC25" s="26">
        <v>249.50383400000001</v>
      </c>
      <c r="ED25" s="26">
        <v>0</v>
      </c>
      <c r="EE25" s="26">
        <v>40.541946699999997</v>
      </c>
      <c r="EF25" s="26">
        <v>82.156953099999996</v>
      </c>
      <c r="EG25" s="26">
        <v>10.4160641</v>
      </c>
      <c r="EH25" s="26">
        <v>1.15734212</v>
      </c>
      <c r="EI25" s="26">
        <v>16.719684600000001</v>
      </c>
      <c r="EJ25" s="26">
        <v>2.1560445600000002</v>
      </c>
      <c r="EK25" s="26">
        <v>1504.6269199999999</v>
      </c>
      <c r="EL25" s="26">
        <v>9.4619263199999999</v>
      </c>
      <c r="EM25" s="26">
        <v>0</v>
      </c>
      <c r="EN25" s="26">
        <v>0</v>
      </c>
      <c r="EO25" s="26">
        <v>0</v>
      </c>
      <c r="EP25" s="26">
        <v>71.174967600000002</v>
      </c>
      <c r="EQ25" s="26">
        <v>1952.20632</v>
      </c>
      <c r="ER25" s="26">
        <v>22.116104400000001</v>
      </c>
      <c r="ES25" s="26">
        <v>29.487460199999987</v>
      </c>
      <c r="ET25" s="26">
        <v>2</v>
      </c>
      <c r="EU25" s="26">
        <v>0</v>
      </c>
      <c r="EV25" s="26">
        <v>0</v>
      </c>
      <c r="EW25" s="26">
        <v>1</v>
      </c>
      <c r="EX25" s="26">
        <v>-28436.097099999999</v>
      </c>
      <c r="EY25" s="26">
        <v>-1036.74405</v>
      </c>
      <c r="EZ25" s="26">
        <v>-2.0239383000000002</v>
      </c>
      <c r="FA25" s="26">
        <v>-84.508505299999996</v>
      </c>
      <c r="FB25" s="26">
        <v>-3.0810729700000001</v>
      </c>
      <c r="FC25" s="26">
        <v>5.3637359599999997E-2</v>
      </c>
      <c r="FD25" s="26">
        <v>1.4711800500000001</v>
      </c>
      <c r="FE25" s="26">
        <v>27.428271299999999</v>
      </c>
      <c r="FF25" s="26">
        <v>0</v>
      </c>
      <c r="FG25" s="26">
        <v>0.28595098499999999</v>
      </c>
      <c r="FH25" s="26">
        <v>-36483264.875599995</v>
      </c>
      <c r="FI25" s="26">
        <v>1.5629974819484241E-4</v>
      </c>
      <c r="FJ25" s="26">
        <v>0</v>
      </c>
      <c r="FK25" s="26">
        <v>0</v>
      </c>
      <c r="FL25" s="26">
        <v>0</v>
      </c>
      <c r="FM25" s="26">
        <v>0</v>
      </c>
      <c r="FN25" s="26">
        <v>0</v>
      </c>
      <c r="FO25" s="26">
        <v>0</v>
      </c>
      <c r="FP25" s="26">
        <v>0</v>
      </c>
      <c r="FQ25" s="26">
        <v>0</v>
      </c>
      <c r="FR25" s="26">
        <v>0</v>
      </c>
      <c r="FS25" s="26">
        <v>0</v>
      </c>
      <c r="FT25" s="26">
        <v>0</v>
      </c>
      <c r="FU25" s="26">
        <v>0</v>
      </c>
      <c r="FV25" s="26">
        <v>0</v>
      </c>
      <c r="FW25" s="26">
        <v>0</v>
      </c>
      <c r="FX25" s="26">
        <v>0</v>
      </c>
      <c r="FY25" s="26">
        <v>0</v>
      </c>
      <c r="FZ25" s="26">
        <v>0</v>
      </c>
      <c r="GA25" s="26">
        <v>0</v>
      </c>
      <c r="GB25" s="26">
        <v>0</v>
      </c>
      <c r="GC25" s="26">
        <v>0</v>
      </c>
      <c r="GD25" s="26">
        <v>0</v>
      </c>
      <c r="GE25" s="26">
        <v>0</v>
      </c>
      <c r="GF25" s="26">
        <v>0</v>
      </c>
      <c r="GG25" s="26">
        <v>0</v>
      </c>
      <c r="GH25" s="26">
        <v>0</v>
      </c>
      <c r="GI25" s="26">
        <v>0</v>
      </c>
      <c r="GJ25" s="26">
        <v>0</v>
      </c>
      <c r="GK25" s="26">
        <v>0</v>
      </c>
      <c r="GL25" s="26">
        <v>0</v>
      </c>
      <c r="GM25" s="26">
        <v>0</v>
      </c>
      <c r="GN25" s="26">
        <v>0</v>
      </c>
      <c r="GO25" s="26">
        <v>0</v>
      </c>
      <c r="GP25" s="26">
        <v>0</v>
      </c>
      <c r="GQ25" s="26">
        <v>0</v>
      </c>
      <c r="GR25" s="26">
        <v>0</v>
      </c>
      <c r="GS25" s="26">
        <v>0</v>
      </c>
      <c r="GT25" s="26">
        <v>0</v>
      </c>
      <c r="GU25" s="26">
        <v>0</v>
      </c>
      <c r="GV25" s="26">
        <v>0</v>
      </c>
      <c r="GW25" s="26">
        <v>0</v>
      </c>
      <c r="GX25" s="26">
        <v>0</v>
      </c>
      <c r="GY25" s="26">
        <v>0</v>
      </c>
      <c r="GZ25" s="26">
        <v>0</v>
      </c>
      <c r="HA25" s="26">
        <v>0</v>
      </c>
      <c r="HB25" s="26">
        <v>0</v>
      </c>
      <c r="HC25" s="26">
        <v>0</v>
      </c>
      <c r="HD25" s="26">
        <v>0</v>
      </c>
      <c r="HE25" s="26">
        <v>0</v>
      </c>
      <c r="HF25" s="26">
        <v>0</v>
      </c>
      <c r="HG25" s="26">
        <v>0</v>
      </c>
      <c r="HH25" s="26">
        <v>0</v>
      </c>
      <c r="HI25" s="26">
        <v>0</v>
      </c>
      <c r="HJ25" s="26">
        <v>0</v>
      </c>
      <c r="HK25" s="26">
        <v>0</v>
      </c>
      <c r="HL25" s="26">
        <v>0</v>
      </c>
      <c r="HM25" s="26">
        <v>0</v>
      </c>
      <c r="HN25" s="26">
        <v>0</v>
      </c>
      <c r="HO25" s="26">
        <v>0</v>
      </c>
      <c r="HP25" s="26">
        <v>0</v>
      </c>
      <c r="HQ25" s="26">
        <v>0</v>
      </c>
      <c r="HR25" s="26">
        <v>0</v>
      </c>
      <c r="HS25" s="26">
        <v>0</v>
      </c>
      <c r="HT25" s="26">
        <v>2.29248152111763E-2</v>
      </c>
    </row>
    <row r="26" spans="2:228" x14ac:dyDescent="0.2">
      <c r="B26" s="27">
        <v>701</v>
      </c>
      <c r="C26" s="26">
        <v>464.95049399999994</v>
      </c>
      <c r="D26" s="26">
        <v>-0.24978676</v>
      </c>
      <c r="E26" s="26">
        <v>0</v>
      </c>
      <c r="F26" s="26">
        <v>0</v>
      </c>
      <c r="G26" s="26">
        <v>0</v>
      </c>
      <c r="H26" s="26">
        <v>0</v>
      </c>
      <c r="I26" s="26">
        <v>0</v>
      </c>
      <c r="J26" s="26">
        <v>0</v>
      </c>
      <c r="K26" s="26">
        <v>0</v>
      </c>
      <c r="L26" s="26">
        <v>0</v>
      </c>
      <c r="M26" s="26">
        <v>0</v>
      </c>
      <c r="N26" s="26">
        <v>0</v>
      </c>
      <c r="O26" s="26">
        <v>0</v>
      </c>
      <c r="P26" s="26">
        <v>0</v>
      </c>
      <c r="Q26" s="26">
        <v>0</v>
      </c>
      <c r="R26" s="26">
        <v>0</v>
      </c>
      <c r="S26" s="26">
        <v>0</v>
      </c>
      <c r="T26" s="26">
        <v>0</v>
      </c>
      <c r="U26" s="26">
        <v>0</v>
      </c>
      <c r="V26" s="26">
        <v>0</v>
      </c>
      <c r="W26" s="26">
        <v>0</v>
      </c>
      <c r="X26" s="26">
        <v>0</v>
      </c>
      <c r="Y26" s="26">
        <v>0</v>
      </c>
      <c r="Z26" s="26">
        <v>0</v>
      </c>
      <c r="AA26" s="26">
        <v>0</v>
      </c>
      <c r="AB26" s="26">
        <v>0</v>
      </c>
      <c r="AC26" s="26">
        <v>0</v>
      </c>
      <c r="AD26" s="26">
        <v>0</v>
      </c>
      <c r="AE26" s="26">
        <v>0</v>
      </c>
      <c r="AF26" s="26">
        <v>0</v>
      </c>
      <c r="AG26" s="26">
        <v>0</v>
      </c>
      <c r="AH26" s="26">
        <v>0</v>
      </c>
      <c r="AI26" s="26">
        <v>0</v>
      </c>
      <c r="AJ26" s="26">
        <v>0</v>
      </c>
      <c r="AK26" s="26">
        <v>0</v>
      </c>
      <c r="AL26" s="26">
        <v>464.95049399999994</v>
      </c>
      <c r="AM26" s="26">
        <v>0</v>
      </c>
      <c r="AN26" s="26">
        <v>0</v>
      </c>
      <c r="AO26" s="26">
        <v>0</v>
      </c>
      <c r="AP26" s="26">
        <v>0</v>
      </c>
      <c r="AQ26" s="26">
        <v>0</v>
      </c>
      <c r="AR26" s="26">
        <v>0</v>
      </c>
      <c r="AS26" s="26">
        <v>0</v>
      </c>
      <c r="AT26" s="26">
        <v>0</v>
      </c>
      <c r="AU26" s="26">
        <v>0</v>
      </c>
      <c r="AV26" s="26">
        <v>0</v>
      </c>
      <c r="AW26" s="26">
        <v>0</v>
      </c>
      <c r="AX26" s="26">
        <v>0</v>
      </c>
      <c r="AY26" s="26">
        <v>0</v>
      </c>
      <c r="AZ26" s="26">
        <v>0</v>
      </c>
      <c r="BA26" s="26">
        <v>0</v>
      </c>
      <c r="BB26" s="26">
        <v>0</v>
      </c>
      <c r="BC26" s="26">
        <v>0</v>
      </c>
      <c r="BD26" s="26">
        <v>0</v>
      </c>
      <c r="BE26" s="26">
        <v>0</v>
      </c>
      <c r="BF26" s="26">
        <v>0</v>
      </c>
      <c r="BG26" s="26">
        <v>0</v>
      </c>
      <c r="BH26" s="26">
        <v>0</v>
      </c>
      <c r="BI26" s="26">
        <v>0</v>
      </c>
      <c r="BJ26" s="26">
        <v>0</v>
      </c>
      <c r="BK26" s="26">
        <v>0</v>
      </c>
      <c r="BL26" s="26">
        <v>0</v>
      </c>
      <c r="BM26" s="26">
        <v>0</v>
      </c>
      <c r="BN26" s="26">
        <v>0</v>
      </c>
      <c r="BO26" s="26">
        <v>4.6400374099999997</v>
      </c>
      <c r="BP26" s="26">
        <v>464.95049399999994</v>
      </c>
      <c r="BQ26" s="26">
        <v>11.284304499999999</v>
      </c>
      <c r="BR26" s="26">
        <v>20</v>
      </c>
      <c r="BS26" s="26">
        <v>1</v>
      </c>
      <c r="BT26" s="26">
        <v>0</v>
      </c>
      <c r="BU26" s="26">
        <v>1</v>
      </c>
      <c r="BV26" s="26">
        <v>0</v>
      </c>
      <c r="BW26" s="26">
        <v>-53832.919099999999</v>
      </c>
      <c r="BX26" s="26">
        <v>-537.23302000000001</v>
      </c>
      <c r="BY26" s="26">
        <v>-0.24978676</v>
      </c>
      <c r="BZ26" s="26">
        <v>-181.51075</v>
      </c>
      <c r="CA26" s="26">
        <v>-1.81141149</v>
      </c>
      <c r="CB26" s="26">
        <v>6.8532319500000001E-3</v>
      </c>
      <c r="CC26" s="26">
        <v>0.68672152799999997</v>
      </c>
      <c r="CD26" s="26">
        <v>100.20404000000001</v>
      </c>
      <c r="CE26" s="26">
        <v>11.2898295</v>
      </c>
      <c r="CF26" s="26">
        <v>0</v>
      </c>
      <c r="CG26" s="26">
        <v>0</v>
      </c>
      <c r="CH26" s="26">
        <v>0</v>
      </c>
      <c r="CI26" s="26">
        <v>0</v>
      </c>
      <c r="CJ26" s="26">
        <v>0</v>
      </c>
      <c r="CK26" s="26">
        <v>0</v>
      </c>
      <c r="CL26" s="26">
        <v>0</v>
      </c>
      <c r="CM26" s="26">
        <v>0</v>
      </c>
      <c r="CN26" s="26">
        <v>0</v>
      </c>
      <c r="CO26" s="26">
        <v>0</v>
      </c>
      <c r="CP26" s="26">
        <v>0</v>
      </c>
      <c r="CQ26" s="26">
        <v>0</v>
      </c>
      <c r="CR26" s="26">
        <v>0</v>
      </c>
      <c r="CS26" s="26">
        <v>0</v>
      </c>
      <c r="CT26" s="26">
        <v>0</v>
      </c>
      <c r="CU26" s="26">
        <v>0</v>
      </c>
      <c r="CV26" s="26">
        <v>0</v>
      </c>
      <c r="CW26" s="26">
        <v>0</v>
      </c>
      <c r="CX26" s="26">
        <v>0</v>
      </c>
      <c r="CY26" s="26">
        <v>0</v>
      </c>
      <c r="CZ26" s="26">
        <v>0</v>
      </c>
      <c r="DA26" s="26">
        <v>0</v>
      </c>
      <c r="DB26" s="26">
        <v>0</v>
      </c>
      <c r="DC26" s="26">
        <v>0</v>
      </c>
      <c r="DD26" s="26">
        <v>0</v>
      </c>
      <c r="DE26" s="26">
        <v>0</v>
      </c>
      <c r="DF26" s="26">
        <v>0</v>
      </c>
      <c r="DG26" s="26">
        <v>0</v>
      </c>
      <c r="DH26" s="26">
        <v>0</v>
      </c>
      <c r="DI26" s="26">
        <v>0</v>
      </c>
      <c r="DJ26" s="26">
        <v>0</v>
      </c>
      <c r="DK26" s="26">
        <v>0</v>
      </c>
      <c r="DL26" s="26">
        <v>0</v>
      </c>
      <c r="DM26" s="26">
        <v>0</v>
      </c>
      <c r="DN26" s="26">
        <v>0</v>
      </c>
      <c r="DO26" s="26">
        <v>0</v>
      </c>
      <c r="DP26" s="26">
        <v>0</v>
      </c>
      <c r="DQ26" s="26">
        <v>0</v>
      </c>
      <c r="DR26" s="26">
        <v>0</v>
      </c>
      <c r="DS26" s="26">
        <v>0</v>
      </c>
      <c r="DT26" s="26">
        <v>0</v>
      </c>
      <c r="DU26" s="26">
        <v>0</v>
      </c>
      <c r="DV26" s="26">
        <v>0</v>
      </c>
      <c r="DW26" s="26">
        <v>0</v>
      </c>
      <c r="DX26" s="26">
        <v>0</v>
      </c>
      <c r="DY26" s="26">
        <v>0</v>
      </c>
      <c r="DZ26" s="26">
        <v>0</v>
      </c>
      <c r="EA26" s="26">
        <v>0</v>
      </c>
      <c r="EB26" s="26">
        <v>0</v>
      </c>
      <c r="EC26" s="26">
        <v>0</v>
      </c>
      <c r="ED26" s="26">
        <v>0</v>
      </c>
      <c r="EE26" s="26">
        <v>0</v>
      </c>
      <c r="EF26" s="26">
        <v>0</v>
      </c>
      <c r="EG26" s="26">
        <v>0</v>
      </c>
      <c r="EH26" s="26">
        <v>0</v>
      </c>
      <c r="EI26" s="26">
        <v>0</v>
      </c>
      <c r="EJ26" s="26">
        <v>0</v>
      </c>
      <c r="EK26" s="26">
        <v>0</v>
      </c>
      <c r="EL26" s="26">
        <v>0</v>
      </c>
      <c r="EM26" s="26">
        <v>0</v>
      </c>
      <c r="EN26" s="26">
        <v>0</v>
      </c>
      <c r="EO26" s="26">
        <v>0</v>
      </c>
      <c r="EP26" s="26">
        <v>0</v>
      </c>
      <c r="EQ26" s="26">
        <v>0</v>
      </c>
      <c r="ER26" s="26">
        <v>0</v>
      </c>
      <c r="ES26" s="26">
        <v>0</v>
      </c>
      <c r="ET26" s="26">
        <v>1</v>
      </c>
      <c r="EU26" s="26">
        <v>0</v>
      </c>
      <c r="EV26" s="26">
        <v>0</v>
      </c>
      <c r="EW26" s="26">
        <v>0</v>
      </c>
      <c r="EX26" s="26">
        <v>0</v>
      </c>
      <c r="EY26" s="26">
        <v>0</v>
      </c>
      <c r="EZ26" s="26">
        <v>0</v>
      </c>
      <c r="FA26" s="26">
        <v>0</v>
      </c>
      <c r="FB26" s="26">
        <v>0</v>
      </c>
      <c r="FC26" s="26">
        <v>0</v>
      </c>
      <c r="FD26" s="26">
        <v>0</v>
      </c>
      <c r="FE26" s="26">
        <v>0</v>
      </c>
      <c r="FF26" s="26">
        <v>0</v>
      </c>
      <c r="FG26" s="26">
        <v>3.5128324200000001</v>
      </c>
      <c r="FH26" s="26">
        <v>-289073.90882300003</v>
      </c>
      <c r="FI26" s="26">
        <v>9.0222950166228052E-3</v>
      </c>
      <c r="FJ26" s="26">
        <v>0</v>
      </c>
      <c r="FK26" s="26">
        <v>0</v>
      </c>
      <c r="FL26" s="26">
        <v>0</v>
      </c>
      <c r="FM26" s="26">
        <v>0</v>
      </c>
      <c r="FN26" s="26">
        <v>0</v>
      </c>
      <c r="FO26" s="26">
        <v>0</v>
      </c>
      <c r="FP26" s="26">
        <v>0</v>
      </c>
      <c r="FQ26" s="26">
        <v>0</v>
      </c>
      <c r="FR26" s="26">
        <v>0</v>
      </c>
      <c r="FS26" s="26">
        <v>0</v>
      </c>
      <c r="FT26" s="26">
        <v>0</v>
      </c>
      <c r="FU26" s="26">
        <v>0</v>
      </c>
      <c r="FV26" s="26">
        <v>0</v>
      </c>
      <c r="FW26" s="26">
        <v>0</v>
      </c>
      <c r="FX26" s="26">
        <v>0</v>
      </c>
      <c r="FY26" s="26">
        <v>0</v>
      </c>
      <c r="FZ26" s="26">
        <v>0</v>
      </c>
      <c r="GA26" s="26">
        <v>0</v>
      </c>
      <c r="GB26" s="26">
        <v>0</v>
      </c>
      <c r="GC26" s="26">
        <v>0</v>
      </c>
      <c r="GD26" s="26">
        <v>0</v>
      </c>
      <c r="GE26" s="26">
        <v>0</v>
      </c>
      <c r="GF26" s="26">
        <v>0</v>
      </c>
      <c r="GG26" s="26">
        <v>0</v>
      </c>
      <c r="GH26" s="26">
        <v>0</v>
      </c>
      <c r="GI26" s="26">
        <v>0</v>
      </c>
      <c r="GJ26" s="26">
        <v>0</v>
      </c>
      <c r="GK26" s="26">
        <v>0</v>
      </c>
      <c r="GL26" s="26">
        <v>0</v>
      </c>
      <c r="GM26" s="26">
        <v>0</v>
      </c>
      <c r="GN26" s="26">
        <v>0</v>
      </c>
      <c r="GO26" s="26">
        <v>0</v>
      </c>
      <c r="GP26" s="26">
        <v>0</v>
      </c>
      <c r="GQ26" s="26">
        <v>0</v>
      </c>
      <c r="GR26" s="26">
        <v>0</v>
      </c>
      <c r="GS26" s="26">
        <v>0</v>
      </c>
      <c r="GT26" s="26">
        <v>0</v>
      </c>
      <c r="GU26" s="26">
        <v>0</v>
      </c>
      <c r="GV26" s="26">
        <v>0</v>
      </c>
      <c r="GW26" s="26">
        <v>0</v>
      </c>
      <c r="GX26" s="26">
        <v>0</v>
      </c>
      <c r="GY26" s="26">
        <v>0</v>
      </c>
      <c r="GZ26" s="26">
        <v>0</v>
      </c>
      <c r="HA26" s="26">
        <v>0</v>
      </c>
      <c r="HB26" s="26">
        <v>0</v>
      </c>
      <c r="HC26" s="26">
        <v>0</v>
      </c>
      <c r="HD26" s="26">
        <v>0</v>
      </c>
      <c r="HE26" s="26">
        <v>0</v>
      </c>
      <c r="HF26" s="26">
        <v>0</v>
      </c>
      <c r="HG26" s="26">
        <v>0</v>
      </c>
      <c r="HH26" s="26">
        <v>0</v>
      </c>
      <c r="HI26" s="26">
        <v>0</v>
      </c>
      <c r="HJ26" s="26">
        <v>0</v>
      </c>
      <c r="HK26" s="26">
        <v>0</v>
      </c>
      <c r="HL26" s="26">
        <v>0</v>
      </c>
      <c r="HM26" s="26">
        <v>0</v>
      </c>
      <c r="HN26" s="26">
        <v>0</v>
      </c>
      <c r="HO26" s="26">
        <v>0</v>
      </c>
      <c r="HP26" s="26">
        <v>0</v>
      </c>
      <c r="HQ26" s="26">
        <v>0</v>
      </c>
      <c r="HR26" s="26">
        <v>0</v>
      </c>
      <c r="HS26" s="26">
        <v>0</v>
      </c>
      <c r="HT26" s="26">
        <v>0</v>
      </c>
    </row>
    <row r="27" spans="2:228" x14ac:dyDescent="0.2">
      <c r="B27" s="27">
        <v>703</v>
      </c>
      <c r="C27" s="26">
        <v>22274.9372</v>
      </c>
      <c r="D27" s="26">
        <v>-31.973386600000001</v>
      </c>
      <c r="E27" s="26">
        <v>110.51614600000001</v>
      </c>
      <c r="F27" s="26">
        <v>21672.409500000002</v>
      </c>
      <c r="G27" s="26">
        <v>0</v>
      </c>
      <c r="H27" s="26">
        <v>0</v>
      </c>
      <c r="I27" s="26">
        <v>0</v>
      </c>
      <c r="J27" s="26">
        <v>0</v>
      </c>
      <c r="K27" s="26">
        <v>0</v>
      </c>
      <c r="L27" s="26">
        <v>0</v>
      </c>
      <c r="M27" s="26">
        <v>0</v>
      </c>
      <c r="N27" s="26">
        <v>0</v>
      </c>
      <c r="O27" s="26">
        <v>0</v>
      </c>
      <c r="P27" s="26">
        <v>0</v>
      </c>
      <c r="Q27" s="26">
        <v>0</v>
      </c>
      <c r="R27" s="26">
        <v>0</v>
      </c>
      <c r="S27" s="26">
        <v>0</v>
      </c>
      <c r="T27" s="26">
        <v>0</v>
      </c>
      <c r="U27" s="26">
        <v>0</v>
      </c>
      <c r="V27" s="26">
        <v>4.9639969599999997E-5</v>
      </c>
      <c r="W27" s="26">
        <v>0</v>
      </c>
      <c r="X27" s="26">
        <v>0</v>
      </c>
      <c r="Y27" s="26">
        <v>0</v>
      </c>
      <c r="Z27" s="26">
        <v>0</v>
      </c>
      <c r="AA27" s="26">
        <v>0</v>
      </c>
      <c r="AB27" s="26">
        <v>0.200425619</v>
      </c>
      <c r="AC27" s="26">
        <v>0</v>
      </c>
      <c r="AD27" s="26">
        <v>0</v>
      </c>
      <c r="AE27" s="26">
        <v>0</v>
      </c>
      <c r="AF27" s="26">
        <v>0</v>
      </c>
      <c r="AG27" s="26">
        <v>0</v>
      </c>
      <c r="AH27" s="26">
        <v>0</v>
      </c>
      <c r="AI27" s="26">
        <v>0</v>
      </c>
      <c r="AJ27" s="26">
        <v>0</v>
      </c>
      <c r="AK27" s="26">
        <v>0</v>
      </c>
      <c r="AL27" s="26">
        <v>464.95049399999994</v>
      </c>
      <c r="AM27" s="26">
        <v>0</v>
      </c>
      <c r="AN27" s="26">
        <v>1.43783719E-4</v>
      </c>
      <c r="AO27" s="26">
        <v>2.40057055E-8</v>
      </c>
      <c r="AP27" s="26">
        <v>0</v>
      </c>
      <c r="AQ27" s="26">
        <v>0</v>
      </c>
      <c r="AR27" s="26">
        <v>0</v>
      </c>
      <c r="AS27" s="26">
        <v>26.858380199999999</v>
      </c>
      <c r="AT27" s="26">
        <v>0</v>
      </c>
      <c r="AU27" s="26">
        <v>0</v>
      </c>
      <c r="AV27" s="26">
        <v>2.0271457700000001E-3</v>
      </c>
      <c r="AW27" s="26">
        <v>0</v>
      </c>
      <c r="AX27" s="26">
        <v>0</v>
      </c>
      <c r="AY27" s="26">
        <v>0</v>
      </c>
      <c r="AZ27" s="26">
        <v>0</v>
      </c>
      <c r="BA27" s="26">
        <v>0</v>
      </c>
      <c r="BB27" s="26">
        <v>0</v>
      </c>
      <c r="BC27" s="26">
        <v>0</v>
      </c>
      <c r="BD27" s="26">
        <v>0</v>
      </c>
      <c r="BE27" s="26">
        <v>0</v>
      </c>
      <c r="BF27" s="26">
        <v>0</v>
      </c>
      <c r="BG27" s="26">
        <v>0</v>
      </c>
      <c r="BH27" s="26">
        <v>0</v>
      </c>
      <c r="BI27" s="26">
        <v>0</v>
      </c>
      <c r="BJ27" s="26">
        <v>0</v>
      </c>
      <c r="BK27" s="26">
        <v>0</v>
      </c>
      <c r="BL27" s="26">
        <v>0</v>
      </c>
      <c r="BM27" s="26">
        <v>0</v>
      </c>
      <c r="BN27" s="26">
        <v>0</v>
      </c>
      <c r="BO27" s="26">
        <v>481.82998099999992</v>
      </c>
      <c r="BP27" s="26">
        <v>22274.9372</v>
      </c>
      <c r="BQ27" s="26">
        <v>462.54512199999999</v>
      </c>
      <c r="BR27" s="26">
        <v>20.297981199999981</v>
      </c>
      <c r="BS27" s="26">
        <v>1</v>
      </c>
      <c r="BT27" s="26">
        <v>0</v>
      </c>
      <c r="BU27" s="26">
        <v>1</v>
      </c>
      <c r="BV27" s="26">
        <v>0</v>
      </c>
      <c r="BW27" s="26">
        <v>-66358.233399999997</v>
      </c>
      <c r="BX27" s="26">
        <v>-1435.3973800000001</v>
      </c>
      <c r="BY27" s="26">
        <v>-31.973386600000001</v>
      </c>
      <c r="BZ27" s="26">
        <v>-83.307387300000002</v>
      </c>
      <c r="CA27" s="26">
        <v>-1.80202514</v>
      </c>
      <c r="CB27" s="26">
        <v>1.7361548500000001E-2</v>
      </c>
      <c r="CC27" s="26">
        <v>0.80262212499999996</v>
      </c>
      <c r="CD27" s="26">
        <v>46.229869600000001</v>
      </c>
      <c r="CE27" s="26">
        <v>469.79683299999999</v>
      </c>
      <c r="CF27" s="26">
        <v>0</v>
      </c>
      <c r="CG27" s="26">
        <v>0</v>
      </c>
      <c r="CH27" s="26">
        <v>0</v>
      </c>
      <c r="CI27" s="26">
        <v>0</v>
      </c>
      <c r="CJ27" s="26">
        <v>0</v>
      </c>
      <c r="CK27" s="26">
        <v>0</v>
      </c>
      <c r="CL27" s="26">
        <v>0</v>
      </c>
      <c r="CM27" s="26">
        <v>0</v>
      </c>
      <c r="CN27" s="26">
        <v>0</v>
      </c>
      <c r="CO27" s="26">
        <v>0</v>
      </c>
      <c r="CP27" s="26">
        <v>0</v>
      </c>
      <c r="CQ27" s="26">
        <v>0</v>
      </c>
      <c r="CR27" s="26">
        <v>0</v>
      </c>
      <c r="CS27" s="26">
        <v>0</v>
      </c>
      <c r="CT27" s="26">
        <v>0</v>
      </c>
      <c r="CU27" s="26">
        <v>0</v>
      </c>
      <c r="CV27" s="26">
        <v>0</v>
      </c>
      <c r="CW27" s="26">
        <v>0</v>
      </c>
      <c r="CX27" s="26">
        <v>0</v>
      </c>
      <c r="CY27" s="26">
        <v>0</v>
      </c>
      <c r="CZ27" s="26">
        <v>0</v>
      </c>
      <c r="DA27" s="26">
        <v>0</v>
      </c>
      <c r="DB27" s="26">
        <v>0</v>
      </c>
      <c r="DC27" s="26">
        <v>0</v>
      </c>
      <c r="DD27" s="26">
        <v>0</v>
      </c>
      <c r="DE27" s="26">
        <v>0</v>
      </c>
      <c r="DF27" s="26">
        <v>0</v>
      </c>
      <c r="DG27" s="26">
        <v>0</v>
      </c>
      <c r="DH27" s="26">
        <v>0</v>
      </c>
      <c r="DI27" s="26">
        <v>0</v>
      </c>
      <c r="DJ27" s="26">
        <v>0</v>
      </c>
      <c r="DK27" s="26">
        <v>0</v>
      </c>
      <c r="DL27" s="26">
        <v>0</v>
      </c>
      <c r="DM27" s="26">
        <v>0</v>
      </c>
      <c r="DN27" s="26">
        <v>0</v>
      </c>
      <c r="DO27" s="26">
        <v>0</v>
      </c>
      <c r="DP27" s="26">
        <v>0</v>
      </c>
      <c r="DQ27" s="26">
        <v>0</v>
      </c>
      <c r="DR27" s="26">
        <v>0</v>
      </c>
      <c r="DS27" s="26">
        <v>0</v>
      </c>
      <c r="DT27" s="26">
        <v>0</v>
      </c>
      <c r="DU27" s="26">
        <v>0</v>
      </c>
      <c r="DV27" s="26">
        <v>0</v>
      </c>
      <c r="DW27" s="26">
        <v>0</v>
      </c>
      <c r="DX27" s="26">
        <v>0</v>
      </c>
      <c r="DY27" s="26">
        <v>0</v>
      </c>
      <c r="DZ27" s="26">
        <v>0</v>
      </c>
      <c r="EA27" s="26">
        <v>0</v>
      </c>
      <c r="EB27" s="26">
        <v>0</v>
      </c>
      <c r="EC27" s="26">
        <v>0</v>
      </c>
      <c r="ED27" s="26">
        <v>0</v>
      </c>
      <c r="EE27" s="26">
        <v>0</v>
      </c>
      <c r="EF27" s="26">
        <v>0</v>
      </c>
      <c r="EG27" s="26">
        <v>0</v>
      </c>
      <c r="EH27" s="26">
        <v>0</v>
      </c>
      <c r="EI27" s="26">
        <v>0</v>
      </c>
      <c r="EJ27" s="26">
        <v>0</v>
      </c>
      <c r="EK27" s="26">
        <v>0</v>
      </c>
      <c r="EL27" s="26">
        <v>0</v>
      </c>
      <c r="EM27" s="26">
        <v>0</v>
      </c>
      <c r="EN27" s="26">
        <v>0</v>
      </c>
      <c r="EO27" s="26">
        <v>0</v>
      </c>
      <c r="EP27" s="26">
        <v>0</v>
      </c>
      <c r="EQ27" s="26">
        <v>0</v>
      </c>
      <c r="ER27" s="26">
        <v>0</v>
      </c>
      <c r="ES27" s="26">
        <v>0</v>
      </c>
      <c r="ET27" s="26">
        <v>1</v>
      </c>
      <c r="EU27" s="26">
        <v>0</v>
      </c>
      <c r="EV27" s="26">
        <v>0</v>
      </c>
      <c r="EW27" s="26">
        <v>0</v>
      </c>
      <c r="EX27" s="26">
        <v>0</v>
      </c>
      <c r="EY27" s="26">
        <v>0</v>
      </c>
      <c r="EZ27" s="26">
        <v>0</v>
      </c>
      <c r="FA27" s="26">
        <v>0</v>
      </c>
      <c r="FB27" s="26">
        <v>0</v>
      </c>
      <c r="FC27" s="26">
        <v>0</v>
      </c>
      <c r="FD27" s="26">
        <v>0</v>
      </c>
      <c r="FE27" s="26">
        <v>0</v>
      </c>
      <c r="FF27" s="26">
        <v>0</v>
      </c>
      <c r="FG27" s="26">
        <v>2.10078655</v>
      </c>
      <c r="FH27" s="26">
        <v>-37105642.115900002</v>
      </c>
      <c r="FI27" s="26">
        <v>0.27054364216434912</v>
      </c>
      <c r="FJ27" s="26">
        <v>0</v>
      </c>
      <c r="FK27" s="26">
        <v>0</v>
      </c>
      <c r="FL27" s="26">
        <v>0</v>
      </c>
      <c r="FM27" s="26">
        <v>0</v>
      </c>
      <c r="FN27" s="26">
        <v>0</v>
      </c>
      <c r="FO27" s="26">
        <v>0</v>
      </c>
      <c r="FP27" s="26">
        <v>0</v>
      </c>
      <c r="FQ27" s="26">
        <v>0</v>
      </c>
      <c r="FR27" s="26">
        <v>0</v>
      </c>
      <c r="FS27" s="26">
        <v>0</v>
      </c>
      <c r="FT27" s="26">
        <v>0</v>
      </c>
      <c r="FU27" s="26">
        <v>0</v>
      </c>
      <c r="FV27" s="26">
        <v>0</v>
      </c>
      <c r="FW27" s="26">
        <v>0</v>
      </c>
      <c r="FX27" s="26">
        <v>0</v>
      </c>
      <c r="FY27" s="26">
        <v>0</v>
      </c>
      <c r="FZ27" s="26">
        <v>0</v>
      </c>
      <c r="GA27" s="26">
        <v>0</v>
      </c>
      <c r="GB27" s="26">
        <v>0</v>
      </c>
      <c r="GC27" s="26">
        <v>0</v>
      </c>
      <c r="GD27" s="26">
        <v>0</v>
      </c>
      <c r="GE27" s="26">
        <v>0</v>
      </c>
      <c r="GF27" s="26">
        <v>0</v>
      </c>
      <c r="GG27" s="26">
        <v>0</v>
      </c>
      <c r="GH27" s="26">
        <v>0</v>
      </c>
      <c r="GI27" s="26">
        <v>0</v>
      </c>
      <c r="GJ27" s="26">
        <v>0</v>
      </c>
      <c r="GK27" s="26">
        <v>0</v>
      </c>
      <c r="GL27" s="26">
        <v>0</v>
      </c>
      <c r="GM27" s="26">
        <v>0</v>
      </c>
      <c r="GN27" s="26">
        <v>0</v>
      </c>
      <c r="GO27" s="26">
        <v>0</v>
      </c>
      <c r="GP27" s="26">
        <v>0</v>
      </c>
      <c r="GQ27" s="26">
        <v>0</v>
      </c>
      <c r="GR27" s="26">
        <v>0</v>
      </c>
      <c r="GS27" s="26">
        <v>0</v>
      </c>
      <c r="GT27" s="26">
        <v>0</v>
      </c>
      <c r="GU27" s="26">
        <v>0</v>
      </c>
      <c r="GV27" s="26">
        <v>0</v>
      </c>
      <c r="GW27" s="26">
        <v>0</v>
      </c>
      <c r="GX27" s="26">
        <v>0</v>
      </c>
      <c r="GY27" s="26">
        <v>0</v>
      </c>
      <c r="GZ27" s="26">
        <v>0</v>
      </c>
      <c r="HA27" s="26">
        <v>0</v>
      </c>
      <c r="HB27" s="26">
        <v>0</v>
      </c>
      <c r="HC27" s="26">
        <v>0</v>
      </c>
      <c r="HD27" s="26">
        <v>0</v>
      </c>
      <c r="HE27" s="26">
        <v>0</v>
      </c>
      <c r="HF27" s="26">
        <v>0</v>
      </c>
      <c r="HG27" s="26">
        <v>0</v>
      </c>
      <c r="HH27" s="26">
        <v>0</v>
      </c>
      <c r="HI27" s="26">
        <v>0</v>
      </c>
      <c r="HJ27" s="26">
        <v>0</v>
      </c>
      <c r="HK27" s="26">
        <v>0</v>
      </c>
      <c r="HL27" s="26">
        <v>0</v>
      </c>
      <c r="HM27" s="26">
        <v>0</v>
      </c>
      <c r="HN27" s="26">
        <v>0</v>
      </c>
      <c r="HO27" s="26">
        <v>0</v>
      </c>
      <c r="HP27" s="26">
        <v>0</v>
      </c>
      <c r="HQ27" s="26">
        <v>0</v>
      </c>
      <c r="HR27" s="26">
        <v>0</v>
      </c>
      <c r="HS27" s="26">
        <v>0</v>
      </c>
      <c r="HT27" s="26">
        <v>0</v>
      </c>
    </row>
    <row r="28" spans="2:228" x14ac:dyDescent="0.2">
      <c r="B28" s="27">
        <v>710</v>
      </c>
      <c r="C28" s="26">
        <v>1980.6120699999999</v>
      </c>
      <c r="D28" s="26">
        <v>-4.0863178900000001</v>
      </c>
      <c r="E28" s="26">
        <v>138.64284499999999</v>
      </c>
      <c r="F28" s="26">
        <v>0</v>
      </c>
      <c r="G28" s="26">
        <v>0</v>
      </c>
      <c r="H28" s="26">
        <v>0</v>
      </c>
      <c r="I28" s="26">
        <v>0</v>
      </c>
      <c r="J28" s="26">
        <v>0</v>
      </c>
      <c r="K28" s="26">
        <v>0</v>
      </c>
      <c r="L28" s="26">
        <v>0</v>
      </c>
      <c r="M28" s="26">
        <v>0</v>
      </c>
      <c r="N28" s="26">
        <v>0</v>
      </c>
      <c r="O28" s="26">
        <v>0</v>
      </c>
      <c r="P28" s="26">
        <v>0</v>
      </c>
      <c r="Q28" s="26">
        <v>0</v>
      </c>
      <c r="R28" s="26">
        <v>0</v>
      </c>
      <c r="S28" s="26">
        <v>0</v>
      </c>
      <c r="T28" s="26">
        <v>0</v>
      </c>
      <c r="U28" s="26">
        <v>0</v>
      </c>
      <c r="V28" s="26">
        <v>0</v>
      </c>
      <c r="W28" s="26">
        <v>0</v>
      </c>
      <c r="X28" s="26">
        <v>0</v>
      </c>
      <c r="Y28" s="26">
        <v>0</v>
      </c>
      <c r="Z28" s="26">
        <v>0</v>
      </c>
      <c r="AA28" s="26">
        <v>0</v>
      </c>
      <c r="AB28" s="26">
        <v>0</v>
      </c>
      <c r="AC28" s="26">
        <v>1841.9692200000002</v>
      </c>
      <c r="AD28" s="26">
        <v>0</v>
      </c>
      <c r="AE28" s="26">
        <v>0</v>
      </c>
      <c r="AF28" s="26">
        <v>0</v>
      </c>
      <c r="AG28" s="26">
        <v>0</v>
      </c>
      <c r="AH28" s="26">
        <v>0</v>
      </c>
      <c r="AI28" s="26">
        <v>0</v>
      </c>
      <c r="AJ28" s="26">
        <v>0</v>
      </c>
      <c r="AK28" s="26">
        <v>0</v>
      </c>
      <c r="AL28" s="26">
        <v>0</v>
      </c>
      <c r="AM28" s="26">
        <v>0</v>
      </c>
      <c r="AN28" s="26">
        <v>0</v>
      </c>
      <c r="AO28" s="26">
        <v>0</v>
      </c>
      <c r="AP28" s="26">
        <v>0</v>
      </c>
      <c r="AQ28" s="26">
        <v>0</v>
      </c>
      <c r="AR28" s="26">
        <v>0</v>
      </c>
      <c r="AS28" s="26">
        <v>0</v>
      </c>
      <c r="AT28" s="26">
        <v>0</v>
      </c>
      <c r="AU28" s="26">
        <v>0</v>
      </c>
      <c r="AV28" s="26">
        <v>0</v>
      </c>
      <c r="AW28" s="26">
        <v>0</v>
      </c>
      <c r="AX28" s="26">
        <v>0</v>
      </c>
      <c r="AY28" s="26">
        <v>0</v>
      </c>
      <c r="AZ28" s="26">
        <v>0</v>
      </c>
      <c r="BA28" s="26">
        <v>0</v>
      </c>
      <c r="BB28" s="26">
        <v>0</v>
      </c>
      <c r="BC28" s="26">
        <v>0</v>
      </c>
      <c r="BD28" s="26">
        <v>0</v>
      </c>
      <c r="BE28" s="26">
        <v>0</v>
      </c>
      <c r="BF28" s="26">
        <v>0</v>
      </c>
      <c r="BG28" s="26">
        <v>0</v>
      </c>
      <c r="BH28" s="26">
        <v>0</v>
      </c>
      <c r="BI28" s="26">
        <v>0</v>
      </c>
      <c r="BJ28" s="26">
        <v>0</v>
      </c>
      <c r="BK28" s="26">
        <v>0</v>
      </c>
      <c r="BL28" s="26">
        <v>0</v>
      </c>
      <c r="BM28" s="26">
        <v>0</v>
      </c>
      <c r="BN28" s="26">
        <v>0</v>
      </c>
      <c r="BO28" s="26">
        <v>26.476220399999999</v>
      </c>
      <c r="BP28" s="26">
        <v>1980.6120699999999</v>
      </c>
      <c r="BQ28" s="26">
        <v>20.8983952</v>
      </c>
      <c r="BR28" s="26">
        <v>20</v>
      </c>
      <c r="BS28" s="26">
        <v>1</v>
      </c>
      <c r="BT28" s="26">
        <v>0</v>
      </c>
      <c r="BU28" s="26">
        <v>1</v>
      </c>
      <c r="BV28" s="26">
        <v>0</v>
      </c>
      <c r="BW28" s="26">
        <v>-154339.16899999999</v>
      </c>
      <c r="BX28" s="26">
        <v>-2063.15913</v>
      </c>
      <c r="BY28" s="26">
        <v>-4.0863178900000001</v>
      </c>
      <c r="BZ28" s="26">
        <v>-66.555222900000004</v>
      </c>
      <c r="CA28" s="26">
        <v>-0.88968999999999998</v>
      </c>
      <c r="CB28" s="26">
        <v>2.11150344E-2</v>
      </c>
      <c r="CC28" s="26">
        <v>1.57955672</v>
      </c>
      <c r="CD28" s="26">
        <v>74.807205800000006</v>
      </c>
      <c r="CE28" s="26">
        <v>19.103944200000001</v>
      </c>
      <c r="CF28" s="26">
        <v>0</v>
      </c>
      <c r="CG28" s="26">
        <v>0</v>
      </c>
      <c r="CH28" s="26">
        <v>0</v>
      </c>
      <c r="CI28" s="26">
        <v>0</v>
      </c>
      <c r="CJ28" s="26">
        <v>0</v>
      </c>
      <c r="CK28" s="26">
        <v>0</v>
      </c>
      <c r="CL28" s="26">
        <v>0</v>
      </c>
      <c r="CM28" s="26">
        <v>0</v>
      </c>
      <c r="CN28" s="26">
        <v>0</v>
      </c>
      <c r="CO28" s="26">
        <v>0</v>
      </c>
      <c r="CP28" s="26">
        <v>0</v>
      </c>
      <c r="CQ28" s="26">
        <v>0</v>
      </c>
      <c r="CR28" s="26">
        <v>0</v>
      </c>
      <c r="CS28" s="26">
        <v>0</v>
      </c>
      <c r="CT28" s="26">
        <v>0</v>
      </c>
      <c r="CU28" s="26">
        <v>0</v>
      </c>
      <c r="CV28" s="26">
        <v>0</v>
      </c>
      <c r="CW28" s="26">
        <v>0</v>
      </c>
      <c r="CX28" s="26">
        <v>0</v>
      </c>
      <c r="CY28" s="26">
        <v>0</v>
      </c>
      <c r="CZ28" s="26">
        <v>0</v>
      </c>
      <c r="DA28" s="26">
        <v>0</v>
      </c>
      <c r="DB28" s="26">
        <v>0</v>
      </c>
      <c r="DC28" s="26">
        <v>0</v>
      </c>
      <c r="DD28" s="26">
        <v>0</v>
      </c>
      <c r="DE28" s="26">
        <v>0</v>
      </c>
      <c r="DF28" s="26">
        <v>0</v>
      </c>
      <c r="DG28" s="26">
        <v>0</v>
      </c>
      <c r="DH28" s="26">
        <v>0</v>
      </c>
      <c r="DI28" s="26">
        <v>0</v>
      </c>
      <c r="DJ28" s="26">
        <v>0</v>
      </c>
      <c r="DK28" s="26">
        <v>0</v>
      </c>
      <c r="DL28" s="26">
        <v>0</v>
      </c>
      <c r="DM28" s="26">
        <v>0</v>
      </c>
      <c r="DN28" s="26">
        <v>0</v>
      </c>
      <c r="DO28" s="26">
        <v>0</v>
      </c>
      <c r="DP28" s="26">
        <v>0</v>
      </c>
      <c r="DQ28" s="26">
        <v>0</v>
      </c>
      <c r="DR28" s="26">
        <v>0</v>
      </c>
      <c r="DS28" s="26">
        <v>0</v>
      </c>
      <c r="DT28" s="26">
        <v>0</v>
      </c>
      <c r="DU28" s="26">
        <v>0</v>
      </c>
      <c r="DV28" s="26">
        <v>0</v>
      </c>
      <c r="DW28" s="26">
        <v>0</v>
      </c>
      <c r="DX28" s="26">
        <v>0</v>
      </c>
      <c r="DY28" s="26">
        <v>0</v>
      </c>
      <c r="DZ28" s="26">
        <v>0</v>
      </c>
      <c r="EA28" s="26">
        <v>0</v>
      </c>
      <c r="EB28" s="26">
        <v>0</v>
      </c>
      <c r="EC28" s="26">
        <v>0</v>
      </c>
      <c r="ED28" s="26">
        <v>0</v>
      </c>
      <c r="EE28" s="26">
        <v>0</v>
      </c>
      <c r="EF28" s="26">
        <v>0</v>
      </c>
      <c r="EG28" s="26">
        <v>0</v>
      </c>
      <c r="EH28" s="26">
        <v>0</v>
      </c>
      <c r="EI28" s="26">
        <v>0</v>
      </c>
      <c r="EJ28" s="26">
        <v>0</v>
      </c>
      <c r="EK28" s="26">
        <v>0</v>
      </c>
      <c r="EL28" s="26">
        <v>0</v>
      </c>
      <c r="EM28" s="26">
        <v>0</v>
      </c>
      <c r="EN28" s="26">
        <v>0</v>
      </c>
      <c r="EO28" s="26">
        <v>0</v>
      </c>
      <c r="EP28" s="26">
        <v>0</v>
      </c>
      <c r="EQ28" s="26">
        <v>0</v>
      </c>
      <c r="ER28" s="26">
        <v>0</v>
      </c>
      <c r="ES28" s="26">
        <v>0</v>
      </c>
      <c r="ET28" s="26">
        <v>1</v>
      </c>
      <c r="EU28" s="26">
        <v>0</v>
      </c>
      <c r="EV28" s="26">
        <v>0</v>
      </c>
      <c r="EW28" s="26">
        <v>0</v>
      </c>
      <c r="EX28" s="26">
        <v>0</v>
      </c>
      <c r="EY28" s="26">
        <v>0</v>
      </c>
      <c r="EZ28" s="26">
        <v>0</v>
      </c>
      <c r="FA28" s="26">
        <v>0</v>
      </c>
      <c r="FB28" s="26">
        <v>0</v>
      </c>
      <c r="FC28" s="26">
        <v>0</v>
      </c>
      <c r="FD28" s="26">
        <v>0</v>
      </c>
      <c r="FE28" s="26">
        <v>0</v>
      </c>
      <c r="FF28" s="26">
        <v>0</v>
      </c>
      <c r="FG28" s="26">
        <v>0</v>
      </c>
      <c r="FH28" s="26">
        <v>-4749462.9122600006</v>
      </c>
      <c r="FI28" s="26">
        <v>0</v>
      </c>
      <c r="FJ28" s="26">
        <v>0</v>
      </c>
      <c r="FK28" s="26">
        <v>0</v>
      </c>
      <c r="FL28" s="26">
        <v>0</v>
      </c>
      <c r="FM28" s="26">
        <v>0</v>
      </c>
      <c r="FN28" s="26">
        <v>0</v>
      </c>
      <c r="FO28" s="26">
        <v>0</v>
      </c>
      <c r="FP28" s="26">
        <v>0</v>
      </c>
      <c r="FQ28" s="26">
        <v>0</v>
      </c>
      <c r="FR28" s="26">
        <v>0</v>
      </c>
      <c r="FS28" s="26">
        <v>0</v>
      </c>
      <c r="FT28" s="26">
        <v>0</v>
      </c>
      <c r="FU28" s="26">
        <v>0</v>
      </c>
      <c r="FV28" s="26">
        <v>0</v>
      </c>
      <c r="FW28" s="26">
        <v>0</v>
      </c>
      <c r="FX28" s="26">
        <v>0</v>
      </c>
      <c r="FY28" s="26">
        <v>0</v>
      </c>
      <c r="FZ28" s="26">
        <v>0</v>
      </c>
      <c r="GA28" s="26">
        <v>0</v>
      </c>
      <c r="GB28" s="26">
        <v>0</v>
      </c>
      <c r="GC28" s="26">
        <v>0</v>
      </c>
      <c r="GD28" s="26">
        <v>0</v>
      </c>
      <c r="GE28" s="26">
        <v>0</v>
      </c>
      <c r="GF28" s="26">
        <v>0</v>
      </c>
      <c r="GG28" s="26">
        <v>0</v>
      </c>
      <c r="GH28" s="26">
        <v>0</v>
      </c>
      <c r="GI28" s="26">
        <v>0</v>
      </c>
      <c r="GJ28" s="26">
        <v>0</v>
      </c>
      <c r="GK28" s="26">
        <v>0</v>
      </c>
      <c r="GL28" s="26">
        <v>0</v>
      </c>
      <c r="GM28" s="26">
        <v>0</v>
      </c>
      <c r="GN28" s="26">
        <v>0</v>
      </c>
      <c r="GO28" s="26">
        <v>0</v>
      </c>
      <c r="GP28" s="26">
        <v>0</v>
      </c>
      <c r="GQ28" s="26">
        <v>0</v>
      </c>
      <c r="GR28" s="26">
        <v>0</v>
      </c>
      <c r="GS28" s="26">
        <v>0</v>
      </c>
      <c r="GT28" s="26">
        <v>0</v>
      </c>
      <c r="GU28" s="26">
        <v>0</v>
      </c>
      <c r="GV28" s="26">
        <v>0</v>
      </c>
      <c r="GW28" s="26">
        <v>0</v>
      </c>
      <c r="GX28" s="26">
        <v>0</v>
      </c>
      <c r="GY28" s="26">
        <v>0</v>
      </c>
      <c r="GZ28" s="26">
        <v>0</v>
      </c>
      <c r="HA28" s="26">
        <v>0</v>
      </c>
      <c r="HB28" s="26">
        <v>0</v>
      </c>
      <c r="HC28" s="26">
        <v>0</v>
      </c>
      <c r="HD28" s="26">
        <v>0</v>
      </c>
      <c r="HE28" s="26">
        <v>0</v>
      </c>
      <c r="HF28" s="26">
        <v>0</v>
      </c>
      <c r="HG28" s="26">
        <v>0</v>
      </c>
      <c r="HH28" s="26">
        <v>0</v>
      </c>
      <c r="HI28" s="26">
        <v>0</v>
      </c>
      <c r="HJ28" s="26">
        <v>0</v>
      </c>
      <c r="HK28" s="26">
        <v>0</v>
      </c>
      <c r="HL28" s="26">
        <v>0</v>
      </c>
      <c r="HM28" s="26">
        <v>0</v>
      </c>
      <c r="HN28" s="26">
        <v>0</v>
      </c>
      <c r="HO28" s="26">
        <v>0</v>
      </c>
      <c r="HP28" s="26">
        <v>0</v>
      </c>
      <c r="HQ28" s="26">
        <v>0</v>
      </c>
      <c r="HR28" s="26">
        <v>0</v>
      </c>
      <c r="HS28" s="26">
        <v>0</v>
      </c>
      <c r="HT28" s="26">
        <v>0</v>
      </c>
    </row>
    <row r="29" spans="2:228" x14ac:dyDescent="0.2">
      <c r="B29" s="27">
        <v>717</v>
      </c>
      <c r="C29" s="26">
        <v>1165.79061</v>
      </c>
      <c r="D29" s="26">
        <v>-1.0837633099999999</v>
      </c>
      <c r="E29" s="26">
        <v>0</v>
      </c>
      <c r="F29" s="26">
        <v>0</v>
      </c>
      <c r="G29" s="26">
        <v>0</v>
      </c>
      <c r="H29" s="26">
        <v>0</v>
      </c>
      <c r="I29" s="26">
        <v>0</v>
      </c>
      <c r="J29" s="26">
        <v>0</v>
      </c>
      <c r="K29" s="26">
        <v>0</v>
      </c>
      <c r="L29" s="26">
        <v>0</v>
      </c>
      <c r="M29" s="26">
        <v>0</v>
      </c>
      <c r="N29" s="26">
        <v>0</v>
      </c>
      <c r="O29" s="26">
        <v>0</v>
      </c>
      <c r="P29" s="26">
        <v>0</v>
      </c>
      <c r="Q29" s="26">
        <v>0</v>
      </c>
      <c r="R29" s="26">
        <v>0</v>
      </c>
      <c r="S29" s="26">
        <v>0</v>
      </c>
      <c r="T29" s="26">
        <v>0</v>
      </c>
      <c r="U29" s="26">
        <v>0</v>
      </c>
      <c r="V29" s="26">
        <v>0</v>
      </c>
      <c r="W29" s="26">
        <v>0</v>
      </c>
      <c r="X29" s="26">
        <v>0</v>
      </c>
      <c r="Y29" s="26">
        <v>0</v>
      </c>
      <c r="Z29" s="26">
        <v>0</v>
      </c>
      <c r="AA29" s="26">
        <v>0</v>
      </c>
      <c r="AB29" s="26">
        <v>1165.79061</v>
      </c>
      <c r="AC29" s="26">
        <v>0</v>
      </c>
      <c r="AD29" s="26">
        <v>0</v>
      </c>
      <c r="AE29" s="26">
        <v>0</v>
      </c>
      <c r="AF29" s="26">
        <v>0</v>
      </c>
      <c r="AG29" s="26">
        <v>0</v>
      </c>
      <c r="AH29" s="26">
        <v>0</v>
      </c>
      <c r="AI29" s="26">
        <v>0</v>
      </c>
      <c r="AJ29" s="26">
        <v>0</v>
      </c>
      <c r="AK29" s="26">
        <v>0</v>
      </c>
      <c r="AL29" s="26">
        <v>0</v>
      </c>
      <c r="AM29" s="26">
        <v>0</v>
      </c>
      <c r="AN29" s="26">
        <v>0</v>
      </c>
      <c r="AO29" s="26">
        <v>0</v>
      </c>
      <c r="AP29" s="26">
        <v>0</v>
      </c>
      <c r="AQ29" s="26">
        <v>0</v>
      </c>
      <c r="AR29" s="26">
        <v>0</v>
      </c>
      <c r="AS29" s="26">
        <v>0</v>
      </c>
      <c r="AT29" s="26">
        <v>0</v>
      </c>
      <c r="AU29" s="26">
        <v>0</v>
      </c>
      <c r="AV29" s="26">
        <v>0</v>
      </c>
      <c r="AW29" s="26">
        <v>0</v>
      </c>
      <c r="AX29" s="26">
        <v>0</v>
      </c>
      <c r="AY29" s="26">
        <v>0</v>
      </c>
      <c r="AZ29" s="26">
        <v>0</v>
      </c>
      <c r="BA29" s="26">
        <v>0</v>
      </c>
      <c r="BB29" s="26">
        <v>0</v>
      </c>
      <c r="BC29" s="26">
        <v>0</v>
      </c>
      <c r="BD29" s="26">
        <v>0</v>
      </c>
      <c r="BE29" s="26">
        <v>0</v>
      </c>
      <c r="BF29" s="26">
        <v>0</v>
      </c>
      <c r="BG29" s="26">
        <v>0</v>
      </c>
      <c r="BH29" s="26">
        <v>0</v>
      </c>
      <c r="BI29" s="26">
        <v>0</v>
      </c>
      <c r="BJ29" s="26">
        <v>0</v>
      </c>
      <c r="BK29" s="26">
        <v>0</v>
      </c>
      <c r="BL29" s="26">
        <v>0</v>
      </c>
      <c r="BM29" s="26">
        <v>0</v>
      </c>
      <c r="BN29" s="26">
        <v>0</v>
      </c>
      <c r="BO29" s="26">
        <v>68.452864399999996</v>
      </c>
      <c r="BP29" s="26">
        <v>1165.79061</v>
      </c>
      <c r="BQ29" s="26">
        <v>31.893492899999995</v>
      </c>
      <c r="BR29" s="26">
        <v>20</v>
      </c>
      <c r="BS29" s="26">
        <v>17</v>
      </c>
      <c r="BT29" s="26">
        <v>0</v>
      </c>
      <c r="BU29" s="26">
        <v>1</v>
      </c>
      <c r="BV29" s="26">
        <v>0</v>
      </c>
      <c r="BW29" s="26">
        <v>-15832.2564</v>
      </c>
      <c r="BX29" s="26">
        <v>-929.63803600000006</v>
      </c>
      <c r="BY29" s="26">
        <v>-1.0837633099999999</v>
      </c>
      <c r="BZ29" s="26">
        <v>-44.475377799999997</v>
      </c>
      <c r="CA29" s="26">
        <v>-2.6115041300000001</v>
      </c>
      <c r="CB29" s="26">
        <v>3.5771593400000003E-2</v>
      </c>
      <c r="CC29" s="26">
        <v>0.60921026700000003</v>
      </c>
      <c r="CD29" s="26">
        <v>17.030560000000001</v>
      </c>
      <c r="CE29" s="26">
        <v>61.103079599999994</v>
      </c>
      <c r="CF29" s="26">
        <v>0</v>
      </c>
      <c r="CG29" s="26">
        <v>0</v>
      </c>
      <c r="CH29" s="26">
        <v>0</v>
      </c>
      <c r="CI29" s="26">
        <v>0</v>
      </c>
      <c r="CJ29" s="26">
        <v>0</v>
      </c>
      <c r="CK29" s="26">
        <v>0</v>
      </c>
      <c r="CL29" s="26">
        <v>0</v>
      </c>
      <c r="CM29" s="26">
        <v>0</v>
      </c>
      <c r="CN29" s="26">
        <v>0</v>
      </c>
      <c r="CO29" s="26">
        <v>0</v>
      </c>
      <c r="CP29" s="26">
        <v>0</v>
      </c>
      <c r="CQ29" s="26">
        <v>0</v>
      </c>
      <c r="CR29" s="26">
        <v>0</v>
      </c>
      <c r="CS29" s="26">
        <v>0</v>
      </c>
      <c r="CT29" s="26">
        <v>0</v>
      </c>
      <c r="CU29" s="26">
        <v>0</v>
      </c>
      <c r="CV29" s="26">
        <v>0</v>
      </c>
      <c r="CW29" s="26">
        <v>0</v>
      </c>
      <c r="CX29" s="26">
        <v>0</v>
      </c>
      <c r="CY29" s="26">
        <v>0</v>
      </c>
      <c r="CZ29" s="26">
        <v>0</v>
      </c>
      <c r="DA29" s="26">
        <v>0</v>
      </c>
      <c r="DB29" s="26">
        <v>0</v>
      </c>
      <c r="DC29" s="26">
        <v>0</v>
      </c>
      <c r="DD29" s="26">
        <v>0</v>
      </c>
      <c r="DE29" s="26">
        <v>0</v>
      </c>
      <c r="DF29" s="26">
        <v>0</v>
      </c>
      <c r="DG29" s="26">
        <v>0</v>
      </c>
      <c r="DH29" s="26">
        <v>0</v>
      </c>
      <c r="DI29" s="26">
        <v>0</v>
      </c>
      <c r="DJ29" s="26">
        <v>0</v>
      </c>
      <c r="DK29" s="26">
        <v>0</v>
      </c>
      <c r="DL29" s="26">
        <v>0</v>
      </c>
      <c r="DM29" s="26">
        <v>0</v>
      </c>
      <c r="DN29" s="26">
        <v>0</v>
      </c>
      <c r="DO29" s="26">
        <v>0</v>
      </c>
      <c r="DP29" s="26">
        <v>0</v>
      </c>
      <c r="DQ29" s="26">
        <v>0</v>
      </c>
      <c r="DR29" s="26">
        <v>0</v>
      </c>
      <c r="DS29" s="26">
        <v>0</v>
      </c>
      <c r="DT29" s="26">
        <v>0</v>
      </c>
      <c r="DU29" s="26">
        <v>0</v>
      </c>
      <c r="DV29" s="26">
        <v>0</v>
      </c>
      <c r="DW29" s="26">
        <v>0</v>
      </c>
      <c r="DX29" s="26">
        <v>0</v>
      </c>
      <c r="DY29" s="26">
        <v>0</v>
      </c>
      <c r="DZ29" s="26">
        <v>0</v>
      </c>
      <c r="EA29" s="26">
        <v>0</v>
      </c>
      <c r="EB29" s="26">
        <v>0</v>
      </c>
      <c r="EC29" s="26">
        <v>0</v>
      </c>
      <c r="ED29" s="26">
        <v>0</v>
      </c>
      <c r="EE29" s="26">
        <v>0</v>
      </c>
      <c r="EF29" s="26">
        <v>0</v>
      </c>
      <c r="EG29" s="26">
        <v>0</v>
      </c>
      <c r="EH29" s="26">
        <v>0</v>
      </c>
      <c r="EI29" s="26">
        <v>0</v>
      </c>
      <c r="EJ29" s="26">
        <v>0</v>
      </c>
      <c r="EK29" s="26">
        <v>0</v>
      </c>
      <c r="EL29" s="26">
        <v>0</v>
      </c>
      <c r="EM29" s="26">
        <v>0</v>
      </c>
      <c r="EN29" s="26">
        <v>0</v>
      </c>
      <c r="EO29" s="26">
        <v>0</v>
      </c>
      <c r="EP29" s="26">
        <v>0</v>
      </c>
      <c r="EQ29" s="26">
        <v>0</v>
      </c>
      <c r="ER29" s="26">
        <v>0</v>
      </c>
      <c r="ES29" s="26">
        <v>0</v>
      </c>
      <c r="ET29" s="26">
        <v>17</v>
      </c>
      <c r="EU29" s="26">
        <v>0</v>
      </c>
      <c r="EV29" s="26">
        <v>0</v>
      </c>
      <c r="EW29" s="26">
        <v>0</v>
      </c>
      <c r="EX29" s="26">
        <v>0</v>
      </c>
      <c r="EY29" s="26">
        <v>0</v>
      </c>
      <c r="EZ29" s="26">
        <v>0</v>
      </c>
      <c r="FA29" s="26">
        <v>0</v>
      </c>
      <c r="FB29" s="26">
        <v>0</v>
      </c>
      <c r="FC29" s="26">
        <v>0</v>
      </c>
      <c r="FD29" s="26">
        <v>0</v>
      </c>
      <c r="FE29" s="26">
        <v>0</v>
      </c>
      <c r="FF29" s="26">
        <v>0</v>
      </c>
      <c r="FG29" s="26">
        <v>0</v>
      </c>
      <c r="FH29" s="26">
        <v>-1250369.2701500002</v>
      </c>
      <c r="FI29" s="26">
        <v>0</v>
      </c>
      <c r="FJ29" s="26">
        <v>0</v>
      </c>
      <c r="FK29" s="26">
        <v>0</v>
      </c>
      <c r="FL29" s="26">
        <v>0</v>
      </c>
      <c r="FM29" s="26">
        <v>0</v>
      </c>
      <c r="FN29" s="26">
        <v>0</v>
      </c>
      <c r="FO29" s="26">
        <v>0</v>
      </c>
      <c r="FP29" s="26">
        <v>0</v>
      </c>
      <c r="FQ29" s="26">
        <v>0</v>
      </c>
      <c r="FR29" s="26">
        <v>0</v>
      </c>
      <c r="FS29" s="26">
        <v>0</v>
      </c>
      <c r="FT29" s="26">
        <v>0</v>
      </c>
      <c r="FU29" s="26">
        <v>0</v>
      </c>
      <c r="FV29" s="26">
        <v>0</v>
      </c>
      <c r="FW29" s="26">
        <v>0</v>
      </c>
      <c r="FX29" s="26">
        <v>0</v>
      </c>
      <c r="FY29" s="26">
        <v>0</v>
      </c>
      <c r="FZ29" s="26">
        <v>0</v>
      </c>
      <c r="GA29" s="26">
        <v>0</v>
      </c>
      <c r="GB29" s="26">
        <v>0</v>
      </c>
      <c r="GC29" s="26">
        <v>0</v>
      </c>
      <c r="GD29" s="26">
        <v>0</v>
      </c>
      <c r="GE29" s="26">
        <v>0</v>
      </c>
      <c r="GF29" s="26">
        <v>0</v>
      </c>
      <c r="GG29" s="26">
        <v>0</v>
      </c>
      <c r="GH29" s="26">
        <v>0</v>
      </c>
      <c r="GI29" s="26">
        <v>0</v>
      </c>
      <c r="GJ29" s="26">
        <v>0</v>
      </c>
      <c r="GK29" s="26">
        <v>0</v>
      </c>
      <c r="GL29" s="26">
        <v>0</v>
      </c>
      <c r="GM29" s="26">
        <v>0</v>
      </c>
      <c r="GN29" s="26">
        <v>0</v>
      </c>
      <c r="GO29" s="26">
        <v>0</v>
      </c>
      <c r="GP29" s="26">
        <v>0</v>
      </c>
      <c r="GQ29" s="26">
        <v>0</v>
      </c>
      <c r="GR29" s="26">
        <v>0</v>
      </c>
      <c r="GS29" s="26">
        <v>0</v>
      </c>
      <c r="GT29" s="26">
        <v>0</v>
      </c>
      <c r="GU29" s="26">
        <v>0</v>
      </c>
      <c r="GV29" s="26">
        <v>0</v>
      </c>
      <c r="GW29" s="26">
        <v>0</v>
      </c>
      <c r="GX29" s="26">
        <v>0</v>
      </c>
      <c r="GY29" s="26">
        <v>0</v>
      </c>
      <c r="GZ29" s="26">
        <v>0</v>
      </c>
      <c r="HA29" s="26">
        <v>0</v>
      </c>
      <c r="HB29" s="26">
        <v>0</v>
      </c>
      <c r="HC29" s="26">
        <v>0</v>
      </c>
      <c r="HD29" s="26">
        <v>0</v>
      </c>
      <c r="HE29" s="26">
        <v>0</v>
      </c>
      <c r="HF29" s="26">
        <v>0</v>
      </c>
      <c r="HG29" s="26">
        <v>0</v>
      </c>
      <c r="HH29" s="26">
        <v>0</v>
      </c>
      <c r="HI29" s="26">
        <v>0</v>
      </c>
      <c r="HJ29" s="26">
        <v>0</v>
      </c>
      <c r="HK29" s="26">
        <v>0</v>
      </c>
      <c r="HL29" s="26">
        <v>0</v>
      </c>
      <c r="HM29" s="26">
        <v>0</v>
      </c>
      <c r="HN29" s="26">
        <v>0</v>
      </c>
      <c r="HO29" s="26">
        <v>0</v>
      </c>
      <c r="HP29" s="26">
        <v>0</v>
      </c>
      <c r="HQ29" s="26">
        <v>0</v>
      </c>
      <c r="HR29" s="26">
        <v>0</v>
      </c>
      <c r="HS29" s="26">
        <v>0</v>
      </c>
      <c r="HT29" s="26">
        <v>0</v>
      </c>
    </row>
    <row r="30" spans="2:228" x14ac:dyDescent="0.2">
      <c r="B30" s="27">
        <v>735</v>
      </c>
      <c r="C30" s="26">
        <v>1323.8092200000001</v>
      </c>
      <c r="D30" s="26">
        <v>-3.3725479100000002</v>
      </c>
      <c r="E30" s="26">
        <v>665.21413099999995</v>
      </c>
      <c r="F30" s="26">
        <v>0</v>
      </c>
      <c r="G30" s="26">
        <v>0</v>
      </c>
      <c r="H30" s="26">
        <v>0</v>
      </c>
      <c r="I30" s="26">
        <v>0</v>
      </c>
      <c r="J30" s="26">
        <v>0</v>
      </c>
      <c r="K30" s="26">
        <v>0</v>
      </c>
      <c r="L30" s="26">
        <v>0</v>
      </c>
      <c r="M30" s="26">
        <v>0</v>
      </c>
      <c r="N30" s="26">
        <v>0</v>
      </c>
      <c r="O30" s="26">
        <v>0</v>
      </c>
      <c r="P30" s="26">
        <v>0</v>
      </c>
      <c r="Q30" s="26">
        <v>0</v>
      </c>
      <c r="R30" s="26">
        <v>0</v>
      </c>
      <c r="S30" s="26">
        <v>0</v>
      </c>
      <c r="T30" s="26">
        <v>0</v>
      </c>
      <c r="U30" s="26">
        <v>0</v>
      </c>
      <c r="V30" s="26">
        <v>0</v>
      </c>
      <c r="W30" s="26">
        <v>0</v>
      </c>
      <c r="X30" s="26">
        <v>327.64278100000001</v>
      </c>
      <c r="Y30" s="26">
        <v>0</v>
      </c>
      <c r="Z30" s="26">
        <v>0</v>
      </c>
      <c r="AA30" s="26">
        <v>0</v>
      </c>
      <c r="AB30" s="26">
        <v>0</v>
      </c>
      <c r="AC30" s="26">
        <v>0</v>
      </c>
      <c r="AD30" s="26">
        <v>0</v>
      </c>
      <c r="AE30" s="26">
        <v>0</v>
      </c>
      <c r="AF30" s="26">
        <v>0</v>
      </c>
      <c r="AG30" s="26">
        <v>0</v>
      </c>
      <c r="AH30" s="26">
        <v>0</v>
      </c>
      <c r="AI30" s="26">
        <v>0</v>
      </c>
      <c r="AJ30" s="26">
        <v>0</v>
      </c>
      <c r="AK30" s="26">
        <v>0</v>
      </c>
      <c r="AL30" s="26">
        <v>0</v>
      </c>
      <c r="AM30" s="26">
        <v>0</v>
      </c>
      <c r="AN30" s="26">
        <v>0</v>
      </c>
      <c r="AO30" s="26">
        <v>0</v>
      </c>
      <c r="AP30" s="26">
        <v>0</v>
      </c>
      <c r="AQ30" s="26">
        <v>0</v>
      </c>
      <c r="AR30" s="26">
        <v>0</v>
      </c>
      <c r="AS30" s="26">
        <v>0</v>
      </c>
      <c r="AT30" s="26">
        <v>0</v>
      </c>
      <c r="AU30" s="26">
        <v>0</v>
      </c>
      <c r="AV30" s="26">
        <v>0</v>
      </c>
      <c r="AW30" s="26">
        <v>0</v>
      </c>
      <c r="AX30" s="26">
        <v>0</v>
      </c>
      <c r="AY30" s="26">
        <v>0</v>
      </c>
      <c r="AZ30" s="26">
        <v>0</v>
      </c>
      <c r="BA30" s="26">
        <v>0</v>
      </c>
      <c r="BB30" s="26">
        <v>0</v>
      </c>
      <c r="BC30" s="26">
        <v>0</v>
      </c>
      <c r="BD30" s="26">
        <v>0</v>
      </c>
      <c r="BE30" s="26">
        <v>0</v>
      </c>
      <c r="BF30" s="26">
        <v>0</v>
      </c>
      <c r="BG30" s="26">
        <v>0</v>
      </c>
      <c r="BH30" s="26">
        <v>0</v>
      </c>
      <c r="BI30" s="26">
        <v>0</v>
      </c>
      <c r="BJ30" s="26">
        <v>0</v>
      </c>
      <c r="BK30" s="26">
        <v>0</v>
      </c>
      <c r="BL30" s="26">
        <v>0</v>
      </c>
      <c r="BM30" s="26">
        <v>0</v>
      </c>
      <c r="BN30" s="26">
        <v>0</v>
      </c>
      <c r="BO30" s="26">
        <v>40.562284400000003</v>
      </c>
      <c r="BP30" s="26">
        <v>992.85691100000008</v>
      </c>
      <c r="BQ30" s="26">
        <v>15.523377200000001</v>
      </c>
      <c r="BR30" s="26">
        <v>20</v>
      </c>
      <c r="BS30" s="26">
        <v>1</v>
      </c>
      <c r="BT30" s="26">
        <v>0</v>
      </c>
      <c r="BU30" s="26">
        <v>1</v>
      </c>
      <c r="BV30" s="26">
        <v>0</v>
      </c>
      <c r="BW30" s="26">
        <v>-76835.986900000004</v>
      </c>
      <c r="BX30" s="26">
        <v>-3139.0657799999999</v>
      </c>
      <c r="BY30" s="26">
        <v>-3.1166431800000001</v>
      </c>
      <c r="BZ30" s="26">
        <v>-46.320903999999999</v>
      </c>
      <c r="CA30" s="26">
        <v>-1.8923992599999999</v>
      </c>
      <c r="CB30" s="26">
        <v>4.3549677100000003E-2</v>
      </c>
      <c r="CC30" s="26">
        <v>1.0659803400000001</v>
      </c>
      <c r="CD30" s="26">
        <v>24.477342100000001</v>
      </c>
      <c r="CE30" s="26">
        <v>15.580928500000001</v>
      </c>
      <c r="CF30" s="26">
        <v>0</v>
      </c>
      <c r="CG30" s="26">
        <v>0</v>
      </c>
      <c r="CH30" s="26">
        <v>0</v>
      </c>
      <c r="CI30" s="26">
        <v>0</v>
      </c>
      <c r="CJ30" s="26">
        <v>0</v>
      </c>
      <c r="CK30" s="26">
        <v>0</v>
      </c>
      <c r="CL30" s="26">
        <v>0</v>
      </c>
      <c r="CM30" s="26">
        <v>0</v>
      </c>
      <c r="CN30" s="26">
        <v>0</v>
      </c>
      <c r="CO30" s="26">
        <v>0</v>
      </c>
      <c r="CP30" s="26">
        <v>0</v>
      </c>
      <c r="CQ30" s="26">
        <v>0</v>
      </c>
      <c r="CR30" s="26">
        <v>0</v>
      </c>
      <c r="CS30" s="26">
        <v>0</v>
      </c>
      <c r="CT30" s="26">
        <v>0</v>
      </c>
      <c r="CU30" s="26">
        <v>0</v>
      </c>
      <c r="CV30" s="26">
        <v>0</v>
      </c>
      <c r="CW30" s="26">
        <v>0</v>
      </c>
      <c r="CX30" s="26">
        <v>0</v>
      </c>
      <c r="CY30" s="26">
        <v>0</v>
      </c>
      <c r="CZ30" s="26">
        <v>0</v>
      </c>
      <c r="DA30" s="26">
        <v>0</v>
      </c>
      <c r="DB30" s="26">
        <v>0</v>
      </c>
      <c r="DC30" s="26">
        <v>0</v>
      </c>
      <c r="DD30" s="26">
        <v>0</v>
      </c>
      <c r="DE30" s="26">
        <v>0</v>
      </c>
      <c r="DF30" s="26">
        <v>0</v>
      </c>
      <c r="DG30" s="26">
        <v>0</v>
      </c>
      <c r="DH30" s="26">
        <v>0</v>
      </c>
      <c r="DI30" s="26">
        <v>0</v>
      </c>
      <c r="DJ30" s="26">
        <v>0</v>
      </c>
      <c r="DK30" s="26">
        <v>0</v>
      </c>
      <c r="DL30" s="26">
        <v>0</v>
      </c>
      <c r="DM30" s="26">
        <v>0</v>
      </c>
      <c r="DN30" s="26">
        <v>0</v>
      </c>
      <c r="DO30" s="26">
        <v>0</v>
      </c>
      <c r="DP30" s="26">
        <v>0</v>
      </c>
      <c r="DQ30" s="26">
        <v>0</v>
      </c>
      <c r="DR30" s="26">
        <v>0</v>
      </c>
      <c r="DS30" s="26">
        <v>0</v>
      </c>
      <c r="DT30" s="26">
        <v>0</v>
      </c>
      <c r="DU30" s="26">
        <v>0</v>
      </c>
      <c r="DV30" s="26">
        <v>0</v>
      </c>
      <c r="DW30" s="26">
        <v>0</v>
      </c>
      <c r="DX30" s="26">
        <v>0</v>
      </c>
      <c r="DY30" s="26">
        <v>0</v>
      </c>
      <c r="DZ30" s="26">
        <v>0</v>
      </c>
      <c r="EA30" s="26">
        <v>0</v>
      </c>
      <c r="EB30" s="26">
        <v>0</v>
      </c>
      <c r="EC30" s="26">
        <v>0</v>
      </c>
      <c r="ED30" s="26">
        <v>0</v>
      </c>
      <c r="EE30" s="26">
        <v>330.95230400000003</v>
      </c>
      <c r="EF30" s="26">
        <v>0</v>
      </c>
      <c r="EG30" s="26">
        <v>0</v>
      </c>
      <c r="EH30" s="26">
        <v>0</v>
      </c>
      <c r="EI30" s="26">
        <v>0</v>
      </c>
      <c r="EJ30" s="26">
        <v>0</v>
      </c>
      <c r="EK30" s="26">
        <v>0</v>
      </c>
      <c r="EL30" s="26">
        <v>0</v>
      </c>
      <c r="EM30" s="26">
        <v>0</v>
      </c>
      <c r="EN30" s="26">
        <v>0</v>
      </c>
      <c r="EO30" s="26">
        <v>0</v>
      </c>
      <c r="EP30" s="26">
        <v>14.490284600000001</v>
      </c>
      <c r="EQ30" s="26">
        <v>330.95230400000003</v>
      </c>
      <c r="ER30" s="26">
        <v>3.6708720499999994</v>
      </c>
      <c r="ES30" s="26">
        <v>20</v>
      </c>
      <c r="ET30" s="26">
        <v>1</v>
      </c>
      <c r="EU30" s="26">
        <v>0</v>
      </c>
      <c r="EV30" s="26">
        <v>0</v>
      </c>
      <c r="EW30" s="26">
        <v>1</v>
      </c>
      <c r="EX30" s="26">
        <v>-17660.434600000001</v>
      </c>
      <c r="EY30" s="26">
        <v>-773.23747200000003</v>
      </c>
      <c r="EZ30" s="26">
        <v>-0.255904725</v>
      </c>
      <c r="FA30" s="26">
        <v>-59.234594700000002</v>
      </c>
      <c r="FB30" s="26">
        <v>-2.5935040300000001</v>
      </c>
      <c r="FC30" s="26">
        <v>6.5789473700000003E-2</v>
      </c>
      <c r="FD30" s="26">
        <v>1.5026052599999999</v>
      </c>
      <c r="FE30" s="26">
        <v>22.839600000000001</v>
      </c>
      <c r="FF30" s="26">
        <v>0</v>
      </c>
      <c r="FG30" s="26">
        <v>0.62472096899999996</v>
      </c>
      <c r="FH30" s="26">
        <v>-3917082.7154399999</v>
      </c>
      <c r="FI30" s="26">
        <v>3.0310742464708163E-3</v>
      </c>
      <c r="FJ30" s="26">
        <v>0</v>
      </c>
      <c r="FK30" s="26">
        <v>0</v>
      </c>
      <c r="FL30" s="26">
        <v>0</v>
      </c>
      <c r="FM30" s="26">
        <v>0</v>
      </c>
      <c r="FN30" s="26">
        <v>0</v>
      </c>
      <c r="FO30" s="26">
        <v>0</v>
      </c>
      <c r="FP30" s="26">
        <v>0</v>
      </c>
      <c r="FQ30" s="26">
        <v>0</v>
      </c>
      <c r="FR30" s="26">
        <v>0</v>
      </c>
      <c r="FS30" s="26">
        <v>0</v>
      </c>
      <c r="FT30" s="26">
        <v>0</v>
      </c>
      <c r="FU30" s="26">
        <v>0</v>
      </c>
      <c r="FV30" s="26">
        <v>0</v>
      </c>
      <c r="FW30" s="26">
        <v>0</v>
      </c>
      <c r="FX30" s="26">
        <v>0</v>
      </c>
      <c r="FY30" s="26">
        <v>0</v>
      </c>
      <c r="FZ30" s="26">
        <v>0</v>
      </c>
      <c r="GA30" s="26">
        <v>0</v>
      </c>
      <c r="GB30" s="26">
        <v>0</v>
      </c>
      <c r="GC30" s="26">
        <v>0</v>
      </c>
      <c r="GD30" s="26">
        <v>0</v>
      </c>
      <c r="GE30" s="26">
        <v>0</v>
      </c>
      <c r="GF30" s="26">
        <v>0</v>
      </c>
      <c r="GG30" s="26">
        <v>0</v>
      </c>
      <c r="GH30" s="26">
        <v>0</v>
      </c>
      <c r="GI30" s="26">
        <v>0</v>
      </c>
      <c r="GJ30" s="26">
        <v>0</v>
      </c>
      <c r="GK30" s="26">
        <v>0</v>
      </c>
      <c r="GL30" s="26">
        <v>0</v>
      </c>
      <c r="GM30" s="26">
        <v>0</v>
      </c>
      <c r="GN30" s="26">
        <v>0</v>
      </c>
      <c r="GO30" s="26">
        <v>0</v>
      </c>
      <c r="GP30" s="26">
        <v>0</v>
      </c>
      <c r="GQ30" s="26">
        <v>0</v>
      </c>
      <c r="GR30" s="26">
        <v>0</v>
      </c>
      <c r="GS30" s="26">
        <v>0</v>
      </c>
      <c r="GT30" s="26">
        <v>0</v>
      </c>
      <c r="GU30" s="26">
        <v>0</v>
      </c>
      <c r="GV30" s="26">
        <v>0</v>
      </c>
      <c r="GW30" s="26">
        <v>0</v>
      </c>
      <c r="GX30" s="26">
        <v>0</v>
      </c>
      <c r="GY30" s="26">
        <v>0</v>
      </c>
      <c r="GZ30" s="26">
        <v>0</v>
      </c>
      <c r="HA30" s="26">
        <v>0</v>
      </c>
      <c r="HB30" s="26">
        <v>0</v>
      </c>
      <c r="HC30" s="26">
        <v>0</v>
      </c>
      <c r="HD30" s="26">
        <v>0</v>
      </c>
      <c r="HE30" s="26">
        <v>0</v>
      </c>
      <c r="HF30" s="26">
        <v>0</v>
      </c>
      <c r="HG30" s="26">
        <v>0</v>
      </c>
      <c r="HH30" s="26">
        <v>0</v>
      </c>
      <c r="HI30" s="26">
        <v>0</v>
      </c>
      <c r="HJ30" s="26">
        <v>0</v>
      </c>
      <c r="HK30" s="26">
        <v>0</v>
      </c>
      <c r="HL30" s="26">
        <v>0</v>
      </c>
      <c r="HM30" s="26">
        <v>0</v>
      </c>
      <c r="HN30" s="26">
        <v>0</v>
      </c>
      <c r="HO30" s="26">
        <v>0</v>
      </c>
      <c r="HP30" s="26">
        <v>0</v>
      </c>
      <c r="HQ30" s="26">
        <v>0</v>
      </c>
      <c r="HR30" s="26">
        <v>0</v>
      </c>
      <c r="HS30" s="26">
        <v>0</v>
      </c>
      <c r="HT30" s="26">
        <v>4.0250790877561886E-3</v>
      </c>
    </row>
    <row r="31" spans="2:228" x14ac:dyDescent="0.2">
      <c r="B31" s="27">
        <v>750</v>
      </c>
      <c r="C31" s="26">
        <v>2.0000000000000002E-5</v>
      </c>
      <c r="D31" s="26">
        <v>-4.53913175E-8</v>
      </c>
      <c r="E31" s="26">
        <v>1.0000000000000001E-5</v>
      </c>
      <c r="F31" s="26">
        <v>0</v>
      </c>
      <c r="G31" s="26">
        <v>0</v>
      </c>
      <c r="H31" s="26">
        <v>0</v>
      </c>
      <c r="I31" s="26">
        <v>0</v>
      </c>
      <c r="J31" s="26">
        <v>0</v>
      </c>
      <c r="K31" s="26">
        <v>0</v>
      </c>
      <c r="L31" s="26">
        <v>0</v>
      </c>
      <c r="M31" s="26">
        <v>0</v>
      </c>
      <c r="N31" s="26">
        <v>0</v>
      </c>
      <c r="O31" s="26">
        <v>0</v>
      </c>
      <c r="P31" s="26">
        <v>0</v>
      </c>
      <c r="Q31" s="26">
        <v>0</v>
      </c>
      <c r="R31" s="26">
        <v>0</v>
      </c>
      <c r="S31" s="26">
        <v>0</v>
      </c>
      <c r="T31" s="26">
        <v>0</v>
      </c>
      <c r="U31" s="26">
        <v>0</v>
      </c>
      <c r="V31" s="26">
        <v>0</v>
      </c>
      <c r="W31" s="26">
        <v>0</v>
      </c>
      <c r="X31" s="26">
        <v>0</v>
      </c>
      <c r="Y31" s="26">
        <v>0</v>
      </c>
      <c r="Z31" s="26">
        <v>0</v>
      </c>
      <c r="AA31" s="26">
        <v>0</v>
      </c>
      <c r="AB31" s="26">
        <v>0</v>
      </c>
      <c r="AC31" s="26">
        <v>0</v>
      </c>
      <c r="AD31" s="26">
        <v>0</v>
      </c>
      <c r="AE31" s="26">
        <v>0</v>
      </c>
      <c r="AF31" s="26">
        <v>0</v>
      </c>
      <c r="AG31" s="26">
        <v>0</v>
      </c>
      <c r="AH31" s="26">
        <v>0</v>
      </c>
      <c r="AI31" s="26">
        <v>0</v>
      </c>
      <c r="AJ31" s="26">
        <v>0</v>
      </c>
      <c r="AK31" s="26">
        <v>0</v>
      </c>
      <c r="AL31" s="26">
        <v>0</v>
      </c>
      <c r="AM31" s="26">
        <v>0</v>
      </c>
      <c r="AN31" s="26">
        <v>0</v>
      </c>
      <c r="AO31" s="26">
        <v>0</v>
      </c>
      <c r="AP31" s="26">
        <v>0</v>
      </c>
      <c r="AQ31" s="26">
        <v>0</v>
      </c>
      <c r="AR31" s="26">
        <v>0</v>
      </c>
      <c r="AS31" s="26">
        <v>0</v>
      </c>
      <c r="AT31" s="26">
        <v>0</v>
      </c>
      <c r="AU31" s="26">
        <v>0</v>
      </c>
      <c r="AV31" s="26">
        <v>0</v>
      </c>
      <c r="AW31" s="26">
        <v>0</v>
      </c>
      <c r="AX31" s="26">
        <v>0</v>
      </c>
      <c r="AY31" s="26">
        <v>0</v>
      </c>
      <c r="AZ31" s="26">
        <v>0</v>
      </c>
      <c r="BA31" s="26">
        <v>0</v>
      </c>
      <c r="BB31" s="26">
        <v>0</v>
      </c>
      <c r="BC31" s="26">
        <v>0</v>
      </c>
      <c r="BD31" s="26">
        <v>0</v>
      </c>
      <c r="BE31" s="26">
        <v>0</v>
      </c>
      <c r="BF31" s="26">
        <v>0</v>
      </c>
      <c r="BG31" s="26">
        <v>0</v>
      </c>
      <c r="BH31" s="26">
        <v>0</v>
      </c>
      <c r="BI31" s="26">
        <v>0</v>
      </c>
      <c r="BJ31" s="26">
        <v>0</v>
      </c>
      <c r="BK31" s="26">
        <v>0</v>
      </c>
      <c r="BL31" s="26">
        <v>0</v>
      </c>
      <c r="BM31" s="26">
        <v>0</v>
      </c>
      <c r="BN31" s="26">
        <v>0</v>
      </c>
      <c r="BO31" s="26">
        <v>5.5508435099999997E-7</v>
      </c>
      <c r="BP31" s="26">
        <v>1.0000000000000001E-5</v>
      </c>
      <c r="BQ31" s="26">
        <v>1.66872384E-7</v>
      </c>
      <c r="BR31" s="26">
        <v>20</v>
      </c>
      <c r="BS31" s="26">
        <v>1</v>
      </c>
      <c r="BT31" s="26">
        <v>0</v>
      </c>
      <c r="BU31" s="26">
        <v>1</v>
      </c>
      <c r="BV31" s="26">
        <v>0</v>
      </c>
      <c r="BW31" s="26">
        <v>-68314.175600000002</v>
      </c>
      <c r="BX31" s="26">
        <v>-3792.01298</v>
      </c>
      <c r="BY31" s="26">
        <v>-3.7920130100000002E-8</v>
      </c>
      <c r="BZ31" s="26">
        <v>-39.124202799999999</v>
      </c>
      <c r="CA31" s="26">
        <v>-2.1717232700000002</v>
      </c>
      <c r="CB31" s="26">
        <v>5.5440004600000002E-2</v>
      </c>
      <c r="CC31" s="26">
        <v>0.99876720600000002</v>
      </c>
      <c r="CD31" s="26">
        <v>18.015280000000001</v>
      </c>
      <c r="CE31" s="26">
        <v>1.66987873E-7</v>
      </c>
      <c r="CF31" s="26">
        <v>0</v>
      </c>
      <c r="CG31" s="26">
        <v>0</v>
      </c>
      <c r="CH31" s="26">
        <v>0</v>
      </c>
      <c r="CI31" s="26">
        <v>0</v>
      </c>
      <c r="CJ31" s="26">
        <v>0</v>
      </c>
      <c r="CK31" s="26">
        <v>0</v>
      </c>
      <c r="CL31" s="26">
        <v>0</v>
      </c>
      <c r="CM31" s="26">
        <v>0</v>
      </c>
      <c r="CN31" s="26">
        <v>0</v>
      </c>
      <c r="CO31" s="26">
        <v>0</v>
      </c>
      <c r="CP31" s="26">
        <v>0</v>
      </c>
      <c r="CQ31" s="26">
        <v>0</v>
      </c>
      <c r="CR31" s="26">
        <v>0</v>
      </c>
      <c r="CS31" s="26">
        <v>0</v>
      </c>
      <c r="CT31" s="26">
        <v>0</v>
      </c>
      <c r="CU31" s="26">
        <v>0</v>
      </c>
      <c r="CV31" s="26">
        <v>0</v>
      </c>
      <c r="CW31" s="26">
        <v>0</v>
      </c>
      <c r="CX31" s="26">
        <v>0</v>
      </c>
      <c r="CY31" s="26">
        <v>0</v>
      </c>
      <c r="CZ31" s="26">
        <v>0</v>
      </c>
      <c r="DA31" s="26">
        <v>0</v>
      </c>
      <c r="DB31" s="26">
        <v>0</v>
      </c>
      <c r="DC31" s="26">
        <v>0</v>
      </c>
      <c r="DD31" s="26">
        <v>0</v>
      </c>
      <c r="DE31" s="26">
        <v>0</v>
      </c>
      <c r="DF31" s="26">
        <v>0</v>
      </c>
      <c r="DG31" s="26">
        <v>0</v>
      </c>
      <c r="DH31" s="26">
        <v>0</v>
      </c>
      <c r="DI31" s="26">
        <v>0</v>
      </c>
      <c r="DJ31" s="26">
        <v>0</v>
      </c>
      <c r="DK31" s="26">
        <v>0</v>
      </c>
      <c r="DL31" s="26">
        <v>0</v>
      </c>
      <c r="DM31" s="26">
        <v>0</v>
      </c>
      <c r="DN31" s="26">
        <v>0</v>
      </c>
      <c r="DO31" s="26">
        <v>0</v>
      </c>
      <c r="DP31" s="26">
        <v>0</v>
      </c>
      <c r="DQ31" s="26">
        <v>0</v>
      </c>
      <c r="DR31" s="26">
        <v>0</v>
      </c>
      <c r="DS31" s="26">
        <v>0</v>
      </c>
      <c r="DT31" s="26">
        <v>0</v>
      </c>
      <c r="DU31" s="26">
        <v>0</v>
      </c>
      <c r="DV31" s="26">
        <v>0</v>
      </c>
      <c r="DW31" s="26">
        <v>0</v>
      </c>
      <c r="DX31" s="26">
        <v>0</v>
      </c>
      <c r="DY31" s="26">
        <v>0</v>
      </c>
      <c r="DZ31" s="26">
        <v>0</v>
      </c>
      <c r="EA31" s="26">
        <v>0</v>
      </c>
      <c r="EB31" s="26">
        <v>0</v>
      </c>
      <c r="EC31" s="26">
        <v>0</v>
      </c>
      <c r="ED31" s="26">
        <v>0</v>
      </c>
      <c r="EE31" s="26">
        <v>0</v>
      </c>
      <c r="EF31" s="26">
        <v>0</v>
      </c>
      <c r="EG31" s="26">
        <v>1.0000000000000001E-5</v>
      </c>
      <c r="EH31" s="26">
        <v>0</v>
      </c>
      <c r="EI31" s="26">
        <v>0</v>
      </c>
      <c r="EJ31" s="26">
        <v>0</v>
      </c>
      <c r="EK31" s="26">
        <v>0</v>
      </c>
      <c r="EL31" s="26">
        <v>0</v>
      </c>
      <c r="EM31" s="26">
        <v>0</v>
      </c>
      <c r="EN31" s="26">
        <v>0</v>
      </c>
      <c r="EO31" s="26">
        <v>0</v>
      </c>
      <c r="EP31" s="26">
        <v>4.1639600900000002E-7</v>
      </c>
      <c r="EQ31" s="26">
        <v>1.0000000000000001E-5</v>
      </c>
      <c r="ER31" s="26">
        <v>1.0548698800000001E-7</v>
      </c>
      <c r="ES31" s="26">
        <v>20</v>
      </c>
      <c r="ET31" s="26">
        <v>1</v>
      </c>
      <c r="EU31" s="26">
        <v>0</v>
      </c>
      <c r="EV31" s="26">
        <v>0</v>
      </c>
      <c r="EW31" s="26">
        <v>1</v>
      </c>
      <c r="EX31" s="26">
        <v>-17942.5046</v>
      </c>
      <c r="EY31" s="26">
        <v>-747.11872900000003</v>
      </c>
      <c r="EZ31" s="26">
        <v>-7.4711873500000005E-9</v>
      </c>
      <c r="FA31" s="26">
        <v>-60.180662099999999</v>
      </c>
      <c r="FB31" s="26">
        <v>-2.5058987500000001</v>
      </c>
      <c r="FC31" s="26">
        <v>6.5789473700000003E-2</v>
      </c>
      <c r="FD31" s="26">
        <v>1.5799736799999999</v>
      </c>
      <c r="FE31" s="26">
        <v>24.015599999999999</v>
      </c>
      <c r="FF31" s="26">
        <v>0</v>
      </c>
      <c r="FG31" s="26">
        <v>0.68122387100000004</v>
      </c>
      <c r="FH31" s="26">
        <v>-5.2716617167100001E-2</v>
      </c>
      <c r="FI31" s="26">
        <v>0</v>
      </c>
      <c r="FJ31" s="26">
        <v>0</v>
      </c>
      <c r="FK31" s="26">
        <v>0</v>
      </c>
      <c r="FL31" s="26">
        <v>0</v>
      </c>
      <c r="FM31" s="26">
        <v>0</v>
      </c>
      <c r="FN31" s="26">
        <v>0</v>
      </c>
      <c r="FO31" s="26">
        <v>0</v>
      </c>
      <c r="FP31" s="26">
        <v>0</v>
      </c>
      <c r="FQ31" s="26">
        <v>0</v>
      </c>
      <c r="FR31" s="26">
        <v>0</v>
      </c>
      <c r="FS31" s="26">
        <v>0</v>
      </c>
      <c r="FT31" s="26">
        <v>0</v>
      </c>
      <c r="FU31" s="26">
        <v>0</v>
      </c>
      <c r="FV31" s="26">
        <v>0</v>
      </c>
      <c r="FW31" s="26">
        <v>0</v>
      </c>
      <c r="FX31" s="26">
        <v>0</v>
      </c>
      <c r="FY31" s="26">
        <v>0</v>
      </c>
      <c r="FZ31" s="26">
        <v>0</v>
      </c>
      <c r="GA31" s="26">
        <v>0</v>
      </c>
      <c r="GB31" s="26">
        <v>0</v>
      </c>
      <c r="GC31" s="26">
        <v>0</v>
      </c>
      <c r="GD31" s="26">
        <v>0</v>
      </c>
      <c r="GE31" s="26">
        <v>0</v>
      </c>
      <c r="GF31" s="26">
        <v>0</v>
      </c>
      <c r="GG31" s="26">
        <v>0</v>
      </c>
      <c r="GH31" s="26">
        <v>0</v>
      </c>
      <c r="GI31" s="26">
        <v>0</v>
      </c>
      <c r="GJ31" s="26">
        <v>0</v>
      </c>
      <c r="GK31" s="26">
        <v>0</v>
      </c>
      <c r="GL31" s="26">
        <v>0</v>
      </c>
      <c r="GM31" s="26">
        <v>0</v>
      </c>
      <c r="GN31" s="26">
        <v>0</v>
      </c>
      <c r="GO31" s="26">
        <v>0</v>
      </c>
      <c r="GP31" s="26">
        <v>0</v>
      </c>
      <c r="GQ31" s="26">
        <v>0</v>
      </c>
      <c r="GR31" s="26">
        <v>0</v>
      </c>
      <c r="GS31" s="26">
        <v>0</v>
      </c>
      <c r="GT31" s="26">
        <v>0</v>
      </c>
      <c r="GU31" s="26">
        <v>0</v>
      </c>
      <c r="GV31" s="26">
        <v>0</v>
      </c>
      <c r="GW31" s="26">
        <v>0</v>
      </c>
      <c r="GX31" s="26">
        <v>0</v>
      </c>
      <c r="GY31" s="26">
        <v>0</v>
      </c>
      <c r="GZ31" s="26">
        <v>0</v>
      </c>
      <c r="HA31" s="26">
        <v>0</v>
      </c>
      <c r="HB31" s="26">
        <v>0</v>
      </c>
      <c r="HC31" s="26">
        <v>0</v>
      </c>
      <c r="HD31" s="26">
        <v>0</v>
      </c>
      <c r="HE31" s="26">
        <v>0</v>
      </c>
      <c r="HF31" s="26">
        <v>0</v>
      </c>
      <c r="HG31" s="26">
        <v>0</v>
      </c>
      <c r="HH31" s="26">
        <v>0</v>
      </c>
      <c r="HI31" s="26">
        <v>0</v>
      </c>
      <c r="HJ31" s="26">
        <v>0</v>
      </c>
      <c r="HK31" s="26">
        <v>0</v>
      </c>
      <c r="HL31" s="26">
        <v>0</v>
      </c>
      <c r="HM31" s="26">
        <v>0</v>
      </c>
      <c r="HN31" s="26">
        <v>0</v>
      </c>
      <c r="HO31" s="26">
        <v>0</v>
      </c>
      <c r="HP31" s="26">
        <v>0</v>
      </c>
      <c r="HQ31" s="26">
        <v>0</v>
      </c>
      <c r="HR31" s="26">
        <v>0</v>
      </c>
      <c r="HS31" s="26">
        <v>0</v>
      </c>
      <c r="HT31" s="26">
        <v>1.1566555898088003E-10</v>
      </c>
    </row>
    <row r="32" spans="2:228" x14ac:dyDescent="0.2">
      <c r="B32" s="27">
        <v>755</v>
      </c>
      <c r="C32" s="26">
        <v>142.28104400000001</v>
      </c>
      <c r="D32" s="26">
        <v>-0.30605237899999999</v>
      </c>
      <c r="E32" s="26">
        <v>0</v>
      </c>
      <c r="F32" s="26">
        <v>0</v>
      </c>
      <c r="G32" s="26">
        <v>0</v>
      </c>
      <c r="H32" s="26">
        <v>0</v>
      </c>
      <c r="I32" s="26">
        <v>0</v>
      </c>
      <c r="J32" s="26">
        <v>0</v>
      </c>
      <c r="K32" s="26">
        <v>0</v>
      </c>
      <c r="L32" s="26">
        <v>0</v>
      </c>
      <c r="M32" s="26">
        <v>0</v>
      </c>
      <c r="N32" s="26">
        <v>0</v>
      </c>
      <c r="O32" s="26">
        <v>0</v>
      </c>
      <c r="P32" s="26">
        <v>0</v>
      </c>
      <c r="Q32" s="26">
        <v>0</v>
      </c>
      <c r="R32" s="26">
        <v>0</v>
      </c>
      <c r="S32" s="26">
        <v>0</v>
      </c>
      <c r="T32" s="26">
        <v>0</v>
      </c>
      <c r="U32" s="26">
        <v>0</v>
      </c>
      <c r="V32" s="26">
        <v>0</v>
      </c>
      <c r="W32" s="26">
        <v>0</v>
      </c>
      <c r="X32" s="26">
        <v>0</v>
      </c>
      <c r="Y32" s="26">
        <v>0</v>
      </c>
      <c r="Z32" s="26">
        <v>0</v>
      </c>
      <c r="AA32" s="26">
        <v>0</v>
      </c>
      <c r="AB32" s="26">
        <v>0</v>
      </c>
      <c r="AC32" s="26">
        <v>0</v>
      </c>
      <c r="AD32" s="26">
        <v>0</v>
      </c>
      <c r="AE32" s="26">
        <v>0</v>
      </c>
      <c r="AF32" s="26">
        <v>142.28104400000001</v>
      </c>
      <c r="AG32" s="26">
        <v>0</v>
      </c>
      <c r="AH32" s="26">
        <v>0</v>
      </c>
      <c r="AI32" s="26">
        <v>0</v>
      </c>
      <c r="AJ32" s="26">
        <v>0</v>
      </c>
      <c r="AK32" s="26">
        <v>0</v>
      </c>
      <c r="AL32" s="26">
        <v>0</v>
      </c>
      <c r="AM32" s="26">
        <v>0</v>
      </c>
      <c r="AN32" s="26">
        <v>0</v>
      </c>
      <c r="AO32" s="26">
        <v>0</v>
      </c>
      <c r="AP32" s="26">
        <v>0</v>
      </c>
      <c r="AQ32" s="26">
        <v>0</v>
      </c>
      <c r="AR32" s="26">
        <v>0</v>
      </c>
      <c r="AS32" s="26">
        <v>0</v>
      </c>
      <c r="AT32" s="26">
        <v>0</v>
      </c>
      <c r="AU32" s="26">
        <v>0</v>
      </c>
      <c r="AV32" s="26">
        <v>0</v>
      </c>
      <c r="AW32" s="26">
        <v>0</v>
      </c>
      <c r="AX32" s="26">
        <v>0</v>
      </c>
      <c r="AY32" s="26">
        <v>0</v>
      </c>
      <c r="AZ32" s="26">
        <v>0</v>
      </c>
      <c r="BA32" s="26">
        <v>0</v>
      </c>
      <c r="BB32" s="26">
        <v>0</v>
      </c>
      <c r="BC32" s="26">
        <v>0</v>
      </c>
      <c r="BD32" s="26">
        <v>0</v>
      </c>
      <c r="BE32" s="26">
        <v>0</v>
      </c>
      <c r="BF32" s="26">
        <v>0</v>
      </c>
      <c r="BG32" s="26">
        <v>0</v>
      </c>
      <c r="BH32" s="26">
        <v>0</v>
      </c>
      <c r="BI32" s="26">
        <v>0</v>
      </c>
      <c r="BJ32" s="26">
        <v>0</v>
      </c>
      <c r="BK32" s="26">
        <v>0</v>
      </c>
      <c r="BL32" s="26">
        <v>0</v>
      </c>
      <c r="BM32" s="26">
        <v>0</v>
      </c>
      <c r="BN32" s="26">
        <v>0</v>
      </c>
      <c r="BO32" s="26">
        <v>1.0774271600000001</v>
      </c>
      <c r="BP32" s="26">
        <v>142.28104400000001</v>
      </c>
      <c r="BQ32" s="26">
        <v>2.34884944</v>
      </c>
      <c r="BR32" s="26">
        <v>20</v>
      </c>
      <c r="BS32" s="26">
        <v>1</v>
      </c>
      <c r="BT32" s="26">
        <v>0</v>
      </c>
      <c r="BU32" s="26">
        <v>1</v>
      </c>
      <c r="BV32" s="26">
        <v>0</v>
      </c>
      <c r="BW32" s="26">
        <v>-284058.53100000002</v>
      </c>
      <c r="BX32" s="26">
        <v>-2151.0411199999999</v>
      </c>
      <c r="BY32" s="26">
        <v>-0.30605237899999999</v>
      </c>
      <c r="BZ32" s="26">
        <v>-592.68957</v>
      </c>
      <c r="CA32" s="26">
        <v>-4.4881582399999997</v>
      </c>
      <c r="CB32" s="26">
        <v>7.64507031E-3</v>
      </c>
      <c r="CC32" s="26">
        <v>1.0095797</v>
      </c>
      <c r="CD32" s="26">
        <v>132.05629999999999</v>
      </c>
      <c r="CE32" s="26">
        <v>0</v>
      </c>
      <c r="CF32" s="26">
        <v>0</v>
      </c>
      <c r="CG32" s="26">
        <v>0</v>
      </c>
      <c r="CH32" s="26">
        <v>0</v>
      </c>
      <c r="CI32" s="26">
        <v>0</v>
      </c>
      <c r="CJ32" s="26">
        <v>0</v>
      </c>
      <c r="CK32" s="26">
        <v>0</v>
      </c>
      <c r="CL32" s="26">
        <v>0</v>
      </c>
      <c r="CM32" s="26">
        <v>0</v>
      </c>
      <c r="CN32" s="26">
        <v>0</v>
      </c>
      <c r="CO32" s="26">
        <v>0</v>
      </c>
      <c r="CP32" s="26">
        <v>0</v>
      </c>
      <c r="CQ32" s="26">
        <v>0</v>
      </c>
      <c r="CR32" s="26">
        <v>0</v>
      </c>
      <c r="CS32" s="26">
        <v>0</v>
      </c>
      <c r="CT32" s="26">
        <v>0</v>
      </c>
      <c r="CU32" s="26">
        <v>0</v>
      </c>
      <c r="CV32" s="26">
        <v>0</v>
      </c>
      <c r="CW32" s="26">
        <v>0</v>
      </c>
      <c r="CX32" s="26">
        <v>0</v>
      </c>
      <c r="CY32" s="26">
        <v>0</v>
      </c>
      <c r="CZ32" s="26">
        <v>0</v>
      </c>
      <c r="DA32" s="26">
        <v>0</v>
      </c>
      <c r="DB32" s="26">
        <v>0</v>
      </c>
      <c r="DC32" s="26">
        <v>0</v>
      </c>
      <c r="DD32" s="26">
        <v>0</v>
      </c>
      <c r="DE32" s="26">
        <v>0</v>
      </c>
      <c r="DF32" s="26">
        <v>0</v>
      </c>
      <c r="DG32" s="26">
        <v>0</v>
      </c>
      <c r="DH32" s="26">
        <v>0</v>
      </c>
      <c r="DI32" s="26">
        <v>0</v>
      </c>
      <c r="DJ32" s="26">
        <v>0</v>
      </c>
      <c r="DK32" s="26">
        <v>0</v>
      </c>
      <c r="DL32" s="26">
        <v>0</v>
      </c>
      <c r="DM32" s="26">
        <v>0</v>
      </c>
      <c r="DN32" s="26">
        <v>0</v>
      </c>
      <c r="DO32" s="26">
        <v>0</v>
      </c>
      <c r="DP32" s="26">
        <v>0</v>
      </c>
      <c r="DQ32" s="26">
        <v>0</v>
      </c>
      <c r="DR32" s="26">
        <v>0</v>
      </c>
      <c r="DS32" s="26">
        <v>0</v>
      </c>
      <c r="DT32" s="26">
        <v>0</v>
      </c>
      <c r="DU32" s="26">
        <v>0</v>
      </c>
      <c r="DV32" s="26">
        <v>0</v>
      </c>
      <c r="DW32" s="26">
        <v>0</v>
      </c>
      <c r="DX32" s="26">
        <v>0</v>
      </c>
      <c r="DY32" s="26">
        <v>0</v>
      </c>
      <c r="DZ32" s="26">
        <v>0</v>
      </c>
      <c r="EA32" s="26">
        <v>0</v>
      </c>
      <c r="EB32" s="26">
        <v>0</v>
      </c>
      <c r="EC32" s="26">
        <v>0</v>
      </c>
      <c r="ED32" s="26">
        <v>0</v>
      </c>
      <c r="EE32" s="26">
        <v>0</v>
      </c>
      <c r="EF32" s="26">
        <v>0</v>
      </c>
      <c r="EG32" s="26">
        <v>0</v>
      </c>
      <c r="EH32" s="26">
        <v>0</v>
      </c>
      <c r="EI32" s="26">
        <v>0</v>
      </c>
      <c r="EJ32" s="26">
        <v>0</v>
      </c>
      <c r="EK32" s="26">
        <v>0</v>
      </c>
      <c r="EL32" s="26">
        <v>0</v>
      </c>
      <c r="EM32" s="26">
        <v>0</v>
      </c>
      <c r="EN32" s="26">
        <v>0</v>
      </c>
      <c r="EO32" s="26">
        <v>0</v>
      </c>
      <c r="EP32" s="26">
        <v>0</v>
      </c>
      <c r="EQ32" s="26">
        <v>0</v>
      </c>
      <c r="ER32" s="26">
        <v>0</v>
      </c>
      <c r="ES32" s="26">
        <v>0</v>
      </c>
      <c r="ET32" s="26">
        <v>1</v>
      </c>
      <c r="EU32" s="26">
        <v>0</v>
      </c>
      <c r="EV32" s="26">
        <v>0</v>
      </c>
      <c r="EW32" s="26">
        <v>0</v>
      </c>
      <c r="EX32" s="26">
        <v>0</v>
      </c>
      <c r="EY32" s="26">
        <v>0</v>
      </c>
      <c r="EZ32" s="26">
        <v>0</v>
      </c>
      <c r="FA32" s="26">
        <v>0</v>
      </c>
      <c r="FB32" s="26">
        <v>0</v>
      </c>
      <c r="FC32" s="26">
        <v>0</v>
      </c>
      <c r="FD32" s="26">
        <v>0</v>
      </c>
      <c r="FE32" s="26">
        <v>0</v>
      </c>
      <c r="FF32" s="26">
        <v>0</v>
      </c>
      <c r="FG32" s="26">
        <v>0</v>
      </c>
      <c r="FH32" s="26">
        <v>-355860.372409</v>
      </c>
      <c r="FI32" s="26">
        <v>0</v>
      </c>
      <c r="FJ32" s="26">
        <v>0</v>
      </c>
      <c r="FK32" s="26">
        <v>0</v>
      </c>
      <c r="FL32" s="26">
        <v>0</v>
      </c>
      <c r="FM32" s="26">
        <v>0</v>
      </c>
      <c r="FN32" s="26">
        <v>0</v>
      </c>
      <c r="FO32" s="26">
        <v>0</v>
      </c>
      <c r="FP32" s="26">
        <v>0</v>
      </c>
      <c r="FQ32" s="26">
        <v>0</v>
      </c>
      <c r="FR32" s="26">
        <v>0</v>
      </c>
      <c r="FS32" s="26">
        <v>0</v>
      </c>
      <c r="FT32" s="26">
        <v>0</v>
      </c>
      <c r="FU32" s="26">
        <v>0</v>
      </c>
      <c r="FV32" s="26">
        <v>0</v>
      </c>
      <c r="FW32" s="26">
        <v>0</v>
      </c>
      <c r="FX32" s="26">
        <v>0</v>
      </c>
      <c r="FY32" s="26">
        <v>0</v>
      </c>
      <c r="FZ32" s="26">
        <v>0</v>
      </c>
      <c r="GA32" s="26">
        <v>0</v>
      </c>
      <c r="GB32" s="26">
        <v>0</v>
      </c>
      <c r="GC32" s="26">
        <v>0</v>
      </c>
      <c r="GD32" s="26">
        <v>0</v>
      </c>
      <c r="GE32" s="26">
        <v>0</v>
      </c>
      <c r="GF32" s="26">
        <v>0</v>
      </c>
      <c r="GG32" s="26">
        <v>0</v>
      </c>
      <c r="GH32" s="26">
        <v>0</v>
      </c>
      <c r="GI32" s="26">
        <v>0</v>
      </c>
      <c r="GJ32" s="26">
        <v>0</v>
      </c>
      <c r="GK32" s="26">
        <v>0</v>
      </c>
      <c r="GL32" s="26">
        <v>0</v>
      </c>
      <c r="GM32" s="26">
        <v>0</v>
      </c>
      <c r="GN32" s="26">
        <v>0</v>
      </c>
      <c r="GO32" s="26">
        <v>0</v>
      </c>
      <c r="GP32" s="26">
        <v>0</v>
      </c>
      <c r="GQ32" s="26">
        <v>0</v>
      </c>
      <c r="GR32" s="26">
        <v>0</v>
      </c>
      <c r="GS32" s="26">
        <v>0</v>
      </c>
      <c r="GT32" s="26">
        <v>0</v>
      </c>
      <c r="GU32" s="26">
        <v>0</v>
      </c>
      <c r="GV32" s="26">
        <v>0</v>
      </c>
      <c r="GW32" s="26">
        <v>0</v>
      </c>
      <c r="GX32" s="26">
        <v>0</v>
      </c>
      <c r="GY32" s="26">
        <v>0</v>
      </c>
      <c r="GZ32" s="26">
        <v>0</v>
      </c>
      <c r="HA32" s="26">
        <v>0</v>
      </c>
      <c r="HB32" s="26">
        <v>0</v>
      </c>
      <c r="HC32" s="26">
        <v>0</v>
      </c>
      <c r="HD32" s="26">
        <v>0</v>
      </c>
      <c r="HE32" s="26">
        <v>0</v>
      </c>
      <c r="HF32" s="26">
        <v>0</v>
      </c>
      <c r="HG32" s="26">
        <v>0</v>
      </c>
      <c r="HH32" s="26">
        <v>0</v>
      </c>
      <c r="HI32" s="26">
        <v>0</v>
      </c>
      <c r="HJ32" s="26">
        <v>0</v>
      </c>
      <c r="HK32" s="26">
        <v>0</v>
      </c>
      <c r="HL32" s="26">
        <v>0</v>
      </c>
      <c r="HM32" s="26">
        <v>0</v>
      </c>
      <c r="HN32" s="26">
        <v>0</v>
      </c>
      <c r="HO32" s="26">
        <v>0</v>
      </c>
      <c r="HP32" s="26">
        <v>0</v>
      </c>
      <c r="HQ32" s="26">
        <v>0</v>
      </c>
      <c r="HR32" s="26">
        <v>0</v>
      </c>
      <c r="HS32" s="26">
        <v>0</v>
      </c>
      <c r="HT32" s="26">
        <v>0</v>
      </c>
    </row>
    <row r="33" spans="2:228" x14ac:dyDescent="0.2">
      <c r="B33" s="27">
        <v>821</v>
      </c>
      <c r="C33" s="26">
        <v>4682.04054</v>
      </c>
      <c r="D33" s="26">
        <v>-17.389780999999999</v>
      </c>
      <c r="E33" s="26">
        <v>4682.04054</v>
      </c>
      <c r="F33" s="26">
        <v>0</v>
      </c>
      <c r="G33" s="26">
        <v>0</v>
      </c>
      <c r="H33" s="26">
        <v>0</v>
      </c>
      <c r="I33" s="26">
        <v>0</v>
      </c>
      <c r="J33" s="26">
        <v>0</v>
      </c>
      <c r="K33" s="26">
        <v>0</v>
      </c>
      <c r="L33" s="26">
        <v>0</v>
      </c>
      <c r="M33" s="26">
        <v>0</v>
      </c>
      <c r="N33" s="26">
        <v>0</v>
      </c>
      <c r="O33" s="26">
        <v>0</v>
      </c>
      <c r="P33" s="26">
        <v>0</v>
      </c>
      <c r="Q33" s="26">
        <v>0</v>
      </c>
      <c r="R33" s="26">
        <v>0</v>
      </c>
      <c r="S33" s="26">
        <v>0</v>
      </c>
      <c r="T33" s="26">
        <v>0</v>
      </c>
      <c r="U33" s="26">
        <v>0</v>
      </c>
      <c r="V33" s="26">
        <v>0</v>
      </c>
      <c r="W33" s="26">
        <v>0</v>
      </c>
      <c r="X33" s="26">
        <v>0</v>
      </c>
      <c r="Y33" s="26">
        <v>0</v>
      </c>
      <c r="Z33" s="26">
        <v>0</v>
      </c>
      <c r="AA33" s="26">
        <v>0</v>
      </c>
      <c r="AB33" s="26">
        <v>0</v>
      </c>
      <c r="AC33" s="26">
        <v>0</v>
      </c>
      <c r="AD33" s="26">
        <v>0</v>
      </c>
      <c r="AE33" s="26">
        <v>0</v>
      </c>
      <c r="AF33" s="26">
        <v>0</v>
      </c>
      <c r="AG33" s="26">
        <v>0</v>
      </c>
      <c r="AH33" s="26">
        <v>0</v>
      </c>
      <c r="AI33" s="26">
        <v>0</v>
      </c>
      <c r="AJ33" s="26">
        <v>0</v>
      </c>
      <c r="AK33" s="26">
        <v>0</v>
      </c>
      <c r="AL33" s="26">
        <v>0</v>
      </c>
      <c r="AM33" s="26">
        <v>0</v>
      </c>
      <c r="AN33" s="26">
        <v>0</v>
      </c>
      <c r="AO33" s="26">
        <v>0</v>
      </c>
      <c r="AP33" s="26">
        <v>0</v>
      </c>
      <c r="AQ33" s="26">
        <v>0</v>
      </c>
      <c r="AR33" s="26">
        <v>0</v>
      </c>
      <c r="AS33" s="26">
        <v>0</v>
      </c>
      <c r="AT33" s="26">
        <v>0</v>
      </c>
      <c r="AU33" s="26">
        <v>0</v>
      </c>
      <c r="AV33" s="26">
        <v>0</v>
      </c>
      <c r="AW33" s="26">
        <v>0</v>
      </c>
      <c r="AX33" s="26">
        <v>0</v>
      </c>
      <c r="AY33" s="26">
        <v>0</v>
      </c>
      <c r="AZ33" s="26">
        <v>0</v>
      </c>
      <c r="BA33" s="26">
        <v>0</v>
      </c>
      <c r="BB33" s="26">
        <v>0</v>
      </c>
      <c r="BC33" s="26">
        <v>0</v>
      </c>
      <c r="BD33" s="26">
        <v>0</v>
      </c>
      <c r="BE33" s="26">
        <v>0</v>
      </c>
      <c r="BF33" s="26">
        <v>0</v>
      </c>
      <c r="BG33" s="26">
        <v>0</v>
      </c>
      <c r="BH33" s="26">
        <v>0</v>
      </c>
      <c r="BI33" s="26">
        <v>0</v>
      </c>
      <c r="BJ33" s="26">
        <v>0</v>
      </c>
      <c r="BK33" s="26">
        <v>0</v>
      </c>
      <c r="BL33" s="26">
        <v>0</v>
      </c>
      <c r="BM33" s="26">
        <v>0</v>
      </c>
      <c r="BN33" s="26">
        <v>0</v>
      </c>
      <c r="BO33" s="26">
        <v>259.89274399999999</v>
      </c>
      <c r="BP33" s="26">
        <v>4682.04054</v>
      </c>
      <c r="BQ33" s="26">
        <v>81.442415400000002</v>
      </c>
      <c r="BR33" s="26">
        <v>100.27182199999999</v>
      </c>
      <c r="BS33" s="26">
        <v>5.4229876600000013</v>
      </c>
      <c r="BT33" s="26">
        <v>0</v>
      </c>
      <c r="BU33" s="26">
        <v>1</v>
      </c>
      <c r="BV33" s="26">
        <v>0</v>
      </c>
      <c r="BW33" s="26">
        <v>-66911.375100000005</v>
      </c>
      <c r="BX33" s="26">
        <v>-3714.14572</v>
      </c>
      <c r="BY33" s="26">
        <v>-17.389780999999999</v>
      </c>
      <c r="BZ33" s="26">
        <v>-34.916910199999997</v>
      </c>
      <c r="CA33" s="26">
        <v>-1.93818304</v>
      </c>
      <c r="CB33" s="26">
        <v>5.3185378300000002E-2</v>
      </c>
      <c r="CC33" s="26">
        <v>0.95814948200000005</v>
      </c>
      <c r="CD33" s="26">
        <v>18.015280000000001</v>
      </c>
      <c r="CE33" s="26">
        <v>78.184399400000004</v>
      </c>
      <c r="CF33" s="26">
        <v>0</v>
      </c>
      <c r="CG33" s="26">
        <v>0</v>
      </c>
      <c r="CH33" s="26">
        <v>0</v>
      </c>
      <c r="CI33" s="26">
        <v>0</v>
      </c>
      <c r="CJ33" s="26">
        <v>0</v>
      </c>
      <c r="CK33" s="26">
        <v>0</v>
      </c>
      <c r="CL33" s="26">
        <v>0</v>
      </c>
      <c r="CM33" s="26">
        <v>0</v>
      </c>
      <c r="CN33" s="26">
        <v>0</v>
      </c>
      <c r="CO33" s="26">
        <v>0</v>
      </c>
      <c r="CP33" s="26">
        <v>0</v>
      </c>
      <c r="CQ33" s="26">
        <v>0</v>
      </c>
      <c r="CR33" s="26">
        <v>0</v>
      </c>
      <c r="CS33" s="26">
        <v>0</v>
      </c>
      <c r="CT33" s="26">
        <v>0</v>
      </c>
      <c r="CU33" s="26">
        <v>0</v>
      </c>
      <c r="CV33" s="26">
        <v>0</v>
      </c>
      <c r="CW33" s="26">
        <v>0</v>
      </c>
      <c r="CX33" s="26">
        <v>0</v>
      </c>
      <c r="CY33" s="26">
        <v>0</v>
      </c>
      <c r="CZ33" s="26">
        <v>0</v>
      </c>
      <c r="DA33" s="26">
        <v>0</v>
      </c>
      <c r="DB33" s="26">
        <v>0</v>
      </c>
      <c r="DC33" s="26">
        <v>0</v>
      </c>
      <c r="DD33" s="26">
        <v>0</v>
      </c>
      <c r="DE33" s="26">
        <v>0</v>
      </c>
      <c r="DF33" s="26">
        <v>0</v>
      </c>
      <c r="DG33" s="26">
        <v>0</v>
      </c>
      <c r="DH33" s="26">
        <v>0</v>
      </c>
      <c r="DI33" s="26">
        <v>0</v>
      </c>
      <c r="DJ33" s="26">
        <v>0</v>
      </c>
      <c r="DK33" s="26">
        <v>0</v>
      </c>
      <c r="DL33" s="26">
        <v>0</v>
      </c>
      <c r="DM33" s="26">
        <v>0</v>
      </c>
      <c r="DN33" s="26">
        <v>0</v>
      </c>
      <c r="DO33" s="26">
        <v>0</v>
      </c>
      <c r="DP33" s="26">
        <v>0</v>
      </c>
      <c r="DQ33" s="26">
        <v>0</v>
      </c>
      <c r="DR33" s="26">
        <v>0</v>
      </c>
      <c r="DS33" s="26">
        <v>0</v>
      </c>
      <c r="DT33" s="26">
        <v>0</v>
      </c>
      <c r="DU33" s="26">
        <v>0</v>
      </c>
      <c r="DV33" s="26">
        <v>0</v>
      </c>
      <c r="DW33" s="26">
        <v>0</v>
      </c>
      <c r="DX33" s="26">
        <v>0</v>
      </c>
      <c r="DY33" s="26">
        <v>0</v>
      </c>
      <c r="DZ33" s="26">
        <v>0</v>
      </c>
      <c r="EA33" s="26">
        <v>0</v>
      </c>
      <c r="EB33" s="26">
        <v>0</v>
      </c>
      <c r="EC33" s="26">
        <v>0</v>
      </c>
      <c r="ED33" s="26">
        <v>0</v>
      </c>
      <c r="EE33" s="26">
        <v>0</v>
      </c>
      <c r="EF33" s="26">
        <v>0</v>
      </c>
      <c r="EG33" s="26">
        <v>0</v>
      </c>
      <c r="EH33" s="26">
        <v>0</v>
      </c>
      <c r="EI33" s="26">
        <v>0</v>
      </c>
      <c r="EJ33" s="26">
        <v>0</v>
      </c>
      <c r="EK33" s="26">
        <v>0</v>
      </c>
      <c r="EL33" s="26">
        <v>0</v>
      </c>
      <c r="EM33" s="26">
        <v>0</v>
      </c>
      <c r="EN33" s="26">
        <v>0</v>
      </c>
      <c r="EO33" s="26">
        <v>0</v>
      </c>
      <c r="EP33" s="26">
        <v>0</v>
      </c>
      <c r="EQ33" s="26">
        <v>0</v>
      </c>
      <c r="ER33" s="26">
        <v>0</v>
      </c>
      <c r="ES33" s="26">
        <v>0</v>
      </c>
      <c r="ET33" s="26">
        <v>5.4229876600000013</v>
      </c>
      <c r="EU33" s="26">
        <v>0</v>
      </c>
      <c r="EV33" s="26">
        <v>0</v>
      </c>
      <c r="EW33" s="26">
        <v>0</v>
      </c>
      <c r="EX33" s="26">
        <v>0</v>
      </c>
      <c r="EY33" s="26">
        <v>0</v>
      </c>
      <c r="EZ33" s="26">
        <v>0</v>
      </c>
      <c r="FA33" s="26">
        <v>0</v>
      </c>
      <c r="FB33" s="26">
        <v>0</v>
      </c>
      <c r="FC33" s="26">
        <v>0</v>
      </c>
      <c r="FD33" s="26">
        <v>0</v>
      </c>
      <c r="FE33" s="26">
        <v>0</v>
      </c>
      <c r="FF33" s="26">
        <v>0</v>
      </c>
      <c r="FG33" s="26">
        <v>0</v>
      </c>
      <c r="FH33" s="26">
        <v>-20633698.746199999</v>
      </c>
      <c r="FI33" s="26">
        <v>0</v>
      </c>
      <c r="FJ33" s="26">
        <v>0</v>
      </c>
      <c r="FK33" s="26">
        <v>0</v>
      </c>
      <c r="FL33" s="26">
        <v>0</v>
      </c>
      <c r="FM33" s="26">
        <v>0</v>
      </c>
      <c r="FN33" s="26">
        <v>0</v>
      </c>
      <c r="FO33" s="26">
        <v>0</v>
      </c>
      <c r="FP33" s="26">
        <v>0</v>
      </c>
      <c r="FQ33" s="26">
        <v>0</v>
      </c>
      <c r="FR33" s="26">
        <v>0</v>
      </c>
      <c r="FS33" s="26">
        <v>0</v>
      </c>
      <c r="FT33" s="26">
        <v>0</v>
      </c>
      <c r="FU33" s="26">
        <v>0</v>
      </c>
      <c r="FV33" s="26">
        <v>0</v>
      </c>
      <c r="FW33" s="26">
        <v>0</v>
      </c>
      <c r="FX33" s="26">
        <v>0</v>
      </c>
      <c r="FY33" s="26">
        <v>0</v>
      </c>
      <c r="FZ33" s="26">
        <v>0</v>
      </c>
      <c r="GA33" s="26">
        <v>0</v>
      </c>
      <c r="GB33" s="26">
        <v>0</v>
      </c>
      <c r="GC33" s="26">
        <v>0</v>
      </c>
      <c r="GD33" s="26">
        <v>0</v>
      </c>
      <c r="GE33" s="26">
        <v>0</v>
      </c>
      <c r="GF33" s="26">
        <v>0</v>
      </c>
      <c r="GG33" s="26">
        <v>0</v>
      </c>
      <c r="GH33" s="26">
        <v>0</v>
      </c>
      <c r="GI33" s="26">
        <v>0</v>
      </c>
      <c r="GJ33" s="26">
        <v>0</v>
      </c>
      <c r="GK33" s="26">
        <v>0</v>
      </c>
      <c r="GL33" s="26">
        <v>0</v>
      </c>
      <c r="GM33" s="26">
        <v>0</v>
      </c>
      <c r="GN33" s="26">
        <v>0</v>
      </c>
      <c r="GO33" s="26">
        <v>0</v>
      </c>
      <c r="GP33" s="26">
        <v>0</v>
      </c>
      <c r="GQ33" s="26">
        <v>0</v>
      </c>
      <c r="GR33" s="26">
        <v>0</v>
      </c>
      <c r="GS33" s="26">
        <v>0</v>
      </c>
      <c r="GT33" s="26">
        <v>0</v>
      </c>
      <c r="GU33" s="26">
        <v>0</v>
      </c>
      <c r="GV33" s="26">
        <v>0</v>
      </c>
      <c r="GW33" s="26">
        <v>0</v>
      </c>
      <c r="GX33" s="26">
        <v>0</v>
      </c>
      <c r="GY33" s="26">
        <v>0</v>
      </c>
      <c r="GZ33" s="26">
        <v>0</v>
      </c>
      <c r="HA33" s="26">
        <v>0</v>
      </c>
      <c r="HB33" s="26">
        <v>0</v>
      </c>
      <c r="HC33" s="26">
        <v>0</v>
      </c>
      <c r="HD33" s="26">
        <v>0</v>
      </c>
      <c r="HE33" s="26">
        <v>0</v>
      </c>
      <c r="HF33" s="26">
        <v>0</v>
      </c>
      <c r="HG33" s="26">
        <v>0</v>
      </c>
      <c r="HH33" s="26">
        <v>0</v>
      </c>
      <c r="HI33" s="26">
        <v>0</v>
      </c>
      <c r="HJ33" s="26">
        <v>0</v>
      </c>
      <c r="HK33" s="26">
        <v>0</v>
      </c>
      <c r="HL33" s="26">
        <v>0</v>
      </c>
      <c r="HM33" s="26">
        <v>0</v>
      </c>
      <c r="HN33" s="26">
        <v>0</v>
      </c>
      <c r="HO33" s="26">
        <v>0</v>
      </c>
      <c r="HP33" s="26">
        <v>0</v>
      </c>
      <c r="HQ33" s="26">
        <v>0</v>
      </c>
      <c r="HR33" s="26">
        <v>0</v>
      </c>
      <c r="HS33" s="26">
        <v>0</v>
      </c>
      <c r="HT33" s="26">
        <v>0</v>
      </c>
    </row>
    <row r="34" spans="2:228" x14ac:dyDescent="0.2">
      <c r="B34" s="27">
        <v>903</v>
      </c>
      <c r="C34" s="26">
        <v>147136.25899999999</v>
      </c>
      <c r="D34" s="26">
        <v>-558.87039600000003</v>
      </c>
      <c r="E34" s="26">
        <v>147136.25899999999</v>
      </c>
      <c r="F34" s="26">
        <v>0</v>
      </c>
      <c r="G34" s="26">
        <v>0</v>
      </c>
      <c r="H34" s="26">
        <v>0</v>
      </c>
      <c r="I34" s="26">
        <v>0</v>
      </c>
      <c r="J34" s="26">
        <v>0</v>
      </c>
      <c r="K34" s="26">
        <v>0</v>
      </c>
      <c r="L34" s="26">
        <v>0</v>
      </c>
      <c r="M34" s="26">
        <v>0</v>
      </c>
      <c r="N34" s="26">
        <v>0</v>
      </c>
      <c r="O34" s="26">
        <v>0</v>
      </c>
      <c r="P34" s="26">
        <v>0</v>
      </c>
      <c r="Q34" s="26">
        <v>0</v>
      </c>
      <c r="R34" s="26">
        <v>0</v>
      </c>
      <c r="S34" s="26">
        <v>0</v>
      </c>
      <c r="T34" s="26">
        <v>0</v>
      </c>
      <c r="U34" s="26">
        <v>0</v>
      </c>
      <c r="V34" s="26">
        <v>0</v>
      </c>
      <c r="W34" s="26">
        <v>0</v>
      </c>
      <c r="X34" s="26">
        <v>0</v>
      </c>
      <c r="Y34" s="26">
        <v>0</v>
      </c>
      <c r="Z34" s="26">
        <v>0</v>
      </c>
      <c r="AA34" s="26">
        <v>0</v>
      </c>
      <c r="AB34" s="26">
        <v>0</v>
      </c>
      <c r="AC34" s="26">
        <v>0</v>
      </c>
      <c r="AD34" s="26">
        <v>0</v>
      </c>
      <c r="AE34" s="26">
        <v>0</v>
      </c>
      <c r="AF34" s="26">
        <v>0</v>
      </c>
      <c r="AG34" s="26">
        <v>0</v>
      </c>
      <c r="AH34" s="26">
        <v>0</v>
      </c>
      <c r="AI34" s="26">
        <v>0</v>
      </c>
      <c r="AJ34" s="26">
        <v>0</v>
      </c>
      <c r="AK34" s="26">
        <v>0</v>
      </c>
      <c r="AL34" s="26">
        <v>0</v>
      </c>
      <c r="AM34" s="26">
        <v>0</v>
      </c>
      <c r="AN34" s="26">
        <v>0</v>
      </c>
      <c r="AO34" s="26">
        <v>0</v>
      </c>
      <c r="AP34" s="26">
        <v>0</v>
      </c>
      <c r="AQ34" s="26">
        <v>0</v>
      </c>
      <c r="AR34" s="26">
        <v>0</v>
      </c>
      <c r="AS34" s="26">
        <v>0</v>
      </c>
      <c r="AT34" s="26">
        <v>0</v>
      </c>
      <c r="AU34" s="26">
        <v>0</v>
      </c>
      <c r="AV34" s="26">
        <v>0</v>
      </c>
      <c r="AW34" s="26">
        <v>0</v>
      </c>
      <c r="AX34" s="26">
        <v>0</v>
      </c>
      <c r="AY34" s="26">
        <v>0</v>
      </c>
      <c r="AZ34" s="26">
        <v>0</v>
      </c>
      <c r="BA34" s="26">
        <v>0</v>
      </c>
      <c r="BB34" s="26">
        <v>0</v>
      </c>
      <c r="BC34" s="26">
        <v>0</v>
      </c>
      <c r="BD34" s="26">
        <v>0</v>
      </c>
      <c r="BE34" s="26">
        <v>0</v>
      </c>
      <c r="BF34" s="26">
        <v>0</v>
      </c>
      <c r="BG34" s="26">
        <v>0</v>
      </c>
      <c r="BH34" s="26">
        <v>0</v>
      </c>
      <c r="BI34" s="26">
        <v>0</v>
      </c>
      <c r="BJ34" s="26">
        <v>0</v>
      </c>
      <c r="BK34" s="26">
        <v>0</v>
      </c>
      <c r="BL34" s="26">
        <v>0</v>
      </c>
      <c r="BM34" s="26">
        <v>0</v>
      </c>
      <c r="BN34" s="26">
        <v>0</v>
      </c>
      <c r="BO34" s="26">
        <v>8167.3034899999993</v>
      </c>
      <c r="BP34" s="26">
        <v>147136.25899999999</v>
      </c>
      <c r="BQ34" s="26">
        <v>2438.95667</v>
      </c>
      <c r="BR34" s="26">
        <v>13</v>
      </c>
      <c r="BS34" s="26">
        <v>4</v>
      </c>
      <c r="BT34" s="26">
        <v>0</v>
      </c>
      <c r="BU34" s="26">
        <v>1</v>
      </c>
      <c r="BV34" s="26">
        <v>0</v>
      </c>
      <c r="BW34" s="26">
        <v>-68427.773300000001</v>
      </c>
      <c r="BX34" s="26">
        <v>-3798.3186099999998</v>
      </c>
      <c r="BY34" s="26">
        <v>-558.87039600000003</v>
      </c>
      <c r="BZ34" s="26">
        <v>-39.510725399999998</v>
      </c>
      <c r="CA34" s="26">
        <v>-2.19317853</v>
      </c>
      <c r="CB34" s="26">
        <v>5.5811456099999997E-2</v>
      </c>
      <c r="CC34" s="26">
        <v>1.00545901</v>
      </c>
      <c r="CD34" s="26">
        <v>18.015280000000001</v>
      </c>
      <c r="CE34" s="26">
        <v>2456.9971</v>
      </c>
      <c r="CF34" s="26">
        <v>0</v>
      </c>
      <c r="CG34" s="26">
        <v>0</v>
      </c>
      <c r="CH34" s="26">
        <v>0</v>
      </c>
      <c r="CI34" s="26">
        <v>0</v>
      </c>
      <c r="CJ34" s="26">
        <v>0</v>
      </c>
      <c r="CK34" s="26">
        <v>0</v>
      </c>
      <c r="CL34" s="26">
        <v>0</v>
      </c>
      <c r="CM34" s="26">
        <v>0</v>
      </c>
      <c r="CN34" s="26">
        <v>0</v>
      </c>
      <c r="CO34" s="26">
        <v>0</v>
      </c>
      <c r="CP34" s="26">
        <v>0</v>
      </c>
      <c r="CQ34" s="26">
        <v>0</v>
      </c>
      <c r="CR34" s="26">
        <v>0</v>
      </c>
      <c r="CS34" s="26">
        <v>0</v>
      </c>
      <c r="CT34" s="26">
        <v>0</v>
      </c>
      <c r="CU34" s="26">
        <v>0</v>
      </c>
      <c r="CV34" s="26">
        <v>0</v>
      </c>
      <c r="CW34" s="26">
        <v>0</v>
      </c>
      <c r="CX34" s="26">
        <v>0</v>
      </c>
      <c r="CY34" s="26">
        <v>0</v>
      </c>
      <c r="CZ34" s="26">
        <v>0</v>
      </c>
      <c r="DA34" s="26">
        <v>0</v>
      </c>
      <c r="DB34" s="26">
        <v>0</v>
      </c>
      <c r="DC34" s="26">
        <v>0</v>
      </c>
      <c r="DD34" s="26">
        <v>0</v>
      </c>
      <c r="DE34" s="26">
        <v>0</v>
      </c>
      <c r="DF34" s="26">
        <v>0</v>
      </c>
      <c r="DG34" s="26">
        <v>0</v>
      </c>
      <c r="DH34" s="26">
        <v>0</v>
      </c>
      <c r="DI34" s="26">
        <v>0</v>
      </c>
      <c r="DJ34" s="26">
        <v>0</v>
      </c>
      <c r="DK34" s="26">
        <v>0</v>
      </c>
      <c r="DL34" s="26">
        <v>0</v>
      </c>
      <c r="DM34" s="26">
        <v>0</v>
      </c>
      <c r="DN34" s="26">
        <v>0</v>
      </c>
      <c r="DO34" s="26">
        <v>0</v>
      </c>
      <c r="DP34" s="26">
        <v>0</v>
      </c>
      <c r="DQ34" s="26">
        <v>0</v>
      </c>
      <c r="DR34" s="26">
        <v>0</v>
      </c>
      <c r="DS34" s="26">
        <v>0</v>
      </c>
      <c r="DT34" s="26">
        <v>0</v>
      </c>
      <c r="DU34" s="26">
        <v>0</v>
      </c>
      <c r="DV34" s="26">
        <v>0</v>
      </c>
      <c r="DW34" s="26">
        <v>0</v>
      </c>
      <c r="DX34" s="26">
        <v>0</v>
      </c>
      <c r="DY34" s="26">
        <v>0</v>
      </c>
      <c r="DZ34" s="26">
        <v>0</v>
      </c>
      <c r="EA34" s="26">
        <v>0</v>
      </c>
      <c r="EB34" s="26">
        <v>0</v>
      </c>
      <c r="EC34" s="26">
        <v>0</v>
      </c>
      <c r="ED34" s="26">
        <v>0</v>
      </c>
      <c r="EE34" s="26">
        <v>0</v>
      </c>
      <c r="EF34" s="26">
        <v>0</v>
      </c>
      <c r="EG34" s="26">
        <v>0</v>
      </c>
      <c r="EH34" s="26">
        <v>0</v>
      </c>
      <c r="EI34" s="26">
        <v>0</v>
      </c>
      <c r="EJ34" s="26">
        <v>0</v>
      </c>
      <c r="EK34" s="26">
        <v>0</v>
      </c>
      <c r="EL34" s="26">
        <v>0</v>
      </c>
      <c r="EM34" s="26">
        <v>0</v>
      </c>
      <c r="EN34" s="26">
        <v>0</v>
      </c>
      <c r="EO34" s="26">
        <v>0</v>
      </c>
      <c r="EP34" s="26">
        <v>0</v>
      </c>
      <c r="EQ34" s="26">
        <v>0</v>
      </c>
      <c r="ER34" s="26">
        <v>0</v>
      </c>
      <c r="ES34" s="26">
        <v>0</v>
      </c>
      <c r="ET34" s="26">
        <v>4</v>
      </c>
      <c r="EU34" s="26">
        <v>0</v>
      </c>
      <c r="EV34" s="26">
        <v>0</v>
      </c>
      <c r="EW34" s="26">
        <v>0</v>
      </c>
      <c r="EX34" s="26">
        <v>0</v>
      </c>
      <c r="EY34" s="26">
        <v>0</v>
      </c>
      <c r="EZ34" s="26">
        <v>0</v>
      </c>
      <c r="FA34" s="26">
        <v>0</v>
      </c>
      <c r="FB34" s="26">
        <v>0</v>
      </c>
      <c r="FC34" s="26">
        <v>0</v>
      </c>
      <c r="FD34" s="26">
        <v>0</v>
      </c>
      <c r="FE34" s="26">
        <v>0</v>
      </c>
      <c r="FF34" s="26">
        <v>0</v>
      </c>
      <c r="FG34" s="26">
        <v>0</v>
      </c>
      <c r="FH34" s="26">
        <v>-648108383.86300004</v>
      </c>
      <c r="FI34" s="26">
        <v>0</v>
      </c>
      <c r="FJ34" s="26">
        <v>0</v>
      </c>
      <c r="FK34" s="26">
        <v>0</v>
      </c>
      <c r="FL34" s="26">
        <v>0</v>
      </c>
      <c r="FM34" s="26">
        <v>0</v>
      </c>
      <c r="FN34" s="26">
        <v>0</v>
      </c>
      <c r="FO34" s="26">
        <v>0</v>
      </c>
      <c r="FP34" s="26">
        <v>0</v>
      </c>
      <c r="FQ34" s="26">
        <v>0</v>
      </c>
      <c r="FR34" s="26">
        <v>0</v>
      </c>
      <c r="FS34" s="26">
        <v>0</v>
      </c>
      <c r="FT34" s="26">
        <v>0</v>
      </c>
      <c r="FU34" s="26">
        <v>0</v>
      </c>
      <c r="FV34" s="26">
        <v>0</v>
      </c>
      <c r="FW34" s="26">
        <v>0</v>
      </c>
      <c r="FX34" s="26">
        <v>0</v>
      </c>
      <c r="FY34" s="26">
        <v>0</v>
      </c>
      <c r="FZ34" s="26">
        <v>0</v>
      </c>
      <c r="GA34" s="26">
        <v>0</v>
      </c>
      <c r="GB34" s="26">
        <v>0</v>
      </c>
      <c r="GC34" s="26">
        <v>0</v>
      </c>
      <c r="GD34" s="26">
        <v>0</v>
      </c>
      <c r="GE34" s="26">
        <v>0</v>
      </c>
      <c r="GF34" s="26">
        <v>0</v>
      </c>
      <c r="GG34" s="26">
        <v>0</v>
      </c>
      <c r="GH34" s="26">
        <v>0</v>
      </c>
      <c r="GI34" s="26">
        <v>0</v>
      </c>
      <c r="GJ34" s="26">
        <v>0</v>
      </c>
      <c r="GK34" s="26">
        <v>0</v>
      </c>
      <c r="GL34" s="26">
        <v>0</v>
      </c>
      <c r="GM34" s="26">
        <v>0</v>
      </c>
      <c r="GN34" s="26">
        <v>0</v>
      </c>
      <c r="GO34" s="26">
        <v>0</v>
      </c>
      <c r="GP34" s="26">
        <v>0</v>
      </c>
      <c r="GQ34" s="26">
        <v>0</v>
      </c>
      <c r="GR34" s="26">
        <v>0</v>
      </c>
      <c r="GS34" s="26">
        <v>0</v>
      </c>
      <c r="GT34" s="26">
        <v>0</v>
      </c>
      <c r="GU34" s="26">
        <v>0</v>
      </c>
      <c r="GV34" s="26">
        <v>0</v>
      </c>
      <c r="GW34" s="26">
        <v>0</v>
      </c>
      <c r="GX34" s="26">
        <v>0</v>
      </c>
      <c r="GY34" s="26">
        <v>0</v>
      </c>
      <c r="GZ34" s="26">
        <v>0</v>
      </c>
      <c r="HA34" s="26">
        <v>0</v>
      </c>
      <c r="HB34" s="26">
        <v>0</v>
      </c>
      <c r="HC34" s="26">
        <v>0</v>
      </c>
      <c r="HD34" s="26">
        <v>0</v>
      </c>
      <c r="HE34" s="26">
        <v>0</v>
      </c>
      <c r="HF34" s="26">
        <v>0</v>
      </c>
      <c r="HG34" s="26">
        <v>0</v>
      </c>
      <c r="HH34" s="26">
        <v>0</v>
      </c>
      <c r="HI34" s="26">
        <v>0</v>
      </c>
      <c r="HJ34" s="26">
        <v>0</v>
      </c>
      <c r="HK34" s="26">
        <v>0</v>
      </c>
      <c r="HL34" s="26">
        <v>0</v>
      </c>
      <c r="HM34" s="26">
        <v>0</v>
      </c>
      <c r="HN34" s="26">
        <v>0</v>
      </c>
      <c r="HO34" s="26">
        <v>0</v>
      </c>
      <c r="HP34" s="26">
        <v>0</v>
      </c>
      <c r="HQ34" s="26">
        <v>0</v>
      </c>
      <c r="HR34" s="26">
        <v>0</v>
      </c>
      <c r="HS34" s="26">
        <v>0</v>
      </c>
      <c r="HT34" s="26">
        <v>0</v>
      </c>
    </row>
    <row r="35" spans="2:228" x14ac:dyDescent="0.2">
      <c r="B35" s="27">
        <v>944</v>
      </c>
      <c r="C35" s="26">
        <v>17677.4961</v>
      </c>
      <c r="D35" s="26">
        <v>-66.900939800000003</v>
      </c>
      <c r="E35" s="26">
        <v>17677.1695</v>
      </c>
      <c r="F35" s="26">
        <v>0</v>
      </c>
      <c r="G35" s="26">
        <v>0</v>
      </c>
      <c r="H35" s="26">
        <v>0</v>
      </c>
      <c r="I35" s="26">
        <v>0</v>
      </c>
      <c r="J35" s="26">
        <v>0</v>
      </c>
      <c r="K35" s="26">
        <v>0</v>
      </c>
      <c r="L35" s="26">
        <v>0</v>
      </c>
      <c r="M35" s="26">
        <v>0</v>
      </c>
      <c r="N35" s="26">
        <v>0</v>
      </c>
      <c r="O35" s="26">
        <v>0</v>
      </c>
      <c r="P35" s="26">
        <v>0</v>
      </c>
      <c r="Q35" s="26">
        <v>0</v>
      </c>
      <c r="R35" s="26">
        <v>0</v>
      </c>
      <c r="S35" s="26">
        <v>0</v>
      </c>
      <c r="T35" s="26">
        <v>0</v>
      </c>
      <c r="U35" s="26">
        <v>0</v>
      </c>
      <c r="V35" s="26">
        <v>0</v>
      </c>
      <c r="W35" s="26">
        <v>0</v>
      </c>
      <c r="X35" s="26">
        <v>0</v>
      </c>
      <c r="Y35" s="26">
        <v>0</v>
      </c>
      <c r="Z35" s="26">
        <v>0</v>
      </c>
      <c r="AA35" s="26">
        <v>0</v>
      </c>
      <c r="AB35" s="26">
        <v>0</v>
      </c>
      <c r="AC35" s="26">
        <v>0</v>
      </c>
      <c r="AD35" s="26">
        <v>0</v>
      </c>
      <c r="AE35" s="26">
        <v>0</v>
      </c>
      <c r="AF35" s="26">
        <v>0</v>
      </c>
      <c r="AG35" s="26">
        <v>0</v>
      </c>
      <c r="AH35" s="26">
        <v>0</v>
      </c>
      <c r="AI35" s="26">
        <v>0</v>
      </c>
      <c r="AJ35" s="26">
        <v>0</v>
      </c>
      <c r="AK35" s="26">
        <v>0</v>
      </c>
      <c r="AL35" s="26">
        <v>0</v>
      </c>
      <c r="AM35" s="26">
        <v>0</v>
      </c>
      <c r="AN35" s="26">
        <v>0.11970423400000002</v>
      </c>
      <c r="AO35" s="26">
        <v>0.20687404600000001</v>
      </c>
      <c r="AP35" s="26">
        <v>0</v>
      </c>
      <c r="AQ35" s="26">
        <v>0</v>
      </c>
      <c r="AR35" s="26">
        <v>0</v>
      </c>
      <c r="AS35" s="26">
        <v>0</v>
      </c>
      <c r="AT35" s="26">
        <v>0</v>
      </c>
      <c r="AU35" s="26">
        <v>0</v>
      </c>
      <c r="AV35" s="26">
        <v>0</v>
      </c>
      <c r="AW35" s="26">
        <v>0</v>
      </c>
      <c r="AX35" s="26">
        <v>0</v>
      </c>
      <c r="AY35" s="26">
        <v>0</v>
      </c>
      <c r="AZ35" s="26">
        <v>0</v>
      </c>
      <c r="BA35" s="26">
        <v>0</v>
      </c>
      <c r="BB35" s="26">
        <v>0</v>
      </c>
      <c r="BC35" s="26">
        <v>0</v>
      </c>
      <c r="BD35" s="26">
        <v>0</v>
      </c>
      <c r="BE35" s="26">
        <v>0</v>
      </c>
      <c r="BF35" s="26">
        <v>0</v>
      </c>
      <c r="BG35" s="26">
        <v>0</v>
      </c>
      <c r="BH35" s="26">
        <v>0</v>
      </c>
      <c r="BI35" s="26">
        <v>0</v>
      </c>
      <c r="BJ35" s="26">
        <v>0</v>
      </c>
      <c r="BK35" s="26">
        <v>0</v>
      </c>
      <c r="BL35" s="26">
        <v>0</v>
      </c>
      <c r="BM35" s="26">
        <v>0</v>
      </c>
      <c r="BN35" s="26">
        <v>0</v>
      </c>
      <c r="BO35" s="26">
        <v>981.24313999999993</v>
      </c>
      <c r="BP35" s="26">
        <v>17677.4961</v>
      </c>
      <c r="BQ35" s="26">
        <v>297.32125600000001</v>
      </c>
      <c r="BR35" s="26">
        <v>28.126799099999971</v>
      </c>
      <c r="BS35" s="26">
        <v>5.0999999999999996</v>
      </c>
      <c r="BT35" s="26">
        <v>0</v>
      </c>
      <c r="BU35" s="26">
        <v>1</v>
      </c>
      <c r="BV35" s="26">
        <v>0</v>
      </c>
      <c r="BW35" s="26">
        <v>-68179.777799999996</v>
      </c>
      <c r="BX35" s="26">
        <v>-3784.52576</v>
      </c>
      <c r="BY35" s="26">
        <v>-66.900939800000003</v>
      </c>
      <c r="BZ35" s="26">
        <v>-38.679050400000001</v>
      </c>
      <c r="CA35" s="26">
        <v>-2.1469982399999998</v>
      </c>
      <c r="CB35" s="26">
        <v>5.5004651799999998E-2</v>
      </c>
      <c r="CC35" s="26">
        <v>0.99093127400000003</v>
      </c>
      <c r="CD35" s="26">
        <v>18.015408600000001</v>
      </c>
      <c r="CE35" s="26">
        <v>295.197225</v>
      </c>
      <c r="CF35" s="26">
        <v>0</v>
      </c>
      <c r="CG35" s="26">
        <v>0</v>
      </c>
      <c r="CH35" s="26">
        <v>0</v>
      </c>
      <c r="CI35" s="26">
        <v>0</v>
      </c>
      <c r="CJ35" s="26">
        <v>0</v>
      </c>
      <c r="CK35" s="26">
        <v>0</v>
      </c>
      <c r="CL35" s="26">
        <v>0</v>
      </c>
      <c r="CM35" s="26">
        <v>0</v>
      </c>
      <c r="CN35" s="26">
        <v>0</v>
      </c>
      <c r="CO35" s="26">
        <v>0</v>
      </c>
      <c r="CP35" s="26">
        <v>0</v>
      </c>
      <c r="CQ35" s="26">
        <v>0</v>
      </c>
      <c r="CR35" s="26">
        <v>0</v>
      </c>
      <c r="CS35" s="26">
        <v>0</v>
      </c>
      <c r="CT35" s="26">
        <v>0</v>
      </c>
      <c r="CU35" s="26">
        <v>0</v>
      </c>
      <c r="CV35" s="26">
        <v>0</v>
      </c>
      <c r="CW35" s="26">
        <v>0</v>
      </c>
      <c r="CX35" s="26">
        <v>0</v>
      </c>
      <c r="CY35" s="26">
        <v>0</v>
      </c>
      <c r="CZ35" s="26">
        <v>0</v>
      </c>
      <c r="DA35" s="26">
        <v>0</v>
      </c>
      <c r="DB35" s="26">
        <v>0</v>
      </c>
      <c r="DC35" s="26">
        <v>0</v>
      </c>
      <c r="DD35" s="26">
        <v>0</v>
      </c>
      <c r="DE35" s="26">
        <v>0</v>
      </c>
      <c r="DF35" s="26">
        <v>0</v>
      </c>
      <c r="DG35" s="26">
        <v>0</v>
      </c>
      <c r="DH35" s="26">
        <v>0</v>
      </c>
      <c r="DI35" s="26">
        <v>0</v>
      </c>
      <c r="DJ35" s="26">
        <v>0</v>
      </c>
      <c r="DK35" s="26">
        <v>0</v>
      </c>
      <c r="DL35" s="26">
        <v>0</v>
      </c>
      <c r="DM35" s="26">
        <v>0</v>
      </c>
      <c r="DN35" s="26">
        <v>0</v>
      </c>
      <c r="DO35" s="26">
        <v>0</v>
      </c>
      <c r="DP35" s="26">
        <v>0</v>
      </c>
      <c r="DQ35" s="26">
        <v>0</v>
      </c>
      <c r="DR35" s="26">
        <v>0</v>
      </c>
      <c r="DS35" s="26">
        <v>0</v>
      </c>
      <c r="DT35" s="26">
        <v>0</v>
      </c>
      <c r="DU35" s="26">
        <v>0</v>
      </c>
      <c r="DV35" s="26">
        <v>0</v>
      </c>
      <c r="DW35" s="26">
        <v>0</v>
      </c>
      <c r="DX35" s="26">
        <v>0</v>
      </c>
      <c r="DY35" s="26">
        <v>0</v>
      </c>
      <c r="DZ35" s="26">
        <v>0</v>
      </c>
      <c r="EA35" s="26">
        <v>0</v>
      </c>
      <c r="EB35" s="26">
        <v>0</v>
      </c>
      <c r="EC35" s="26">
        <v>0</v>
      </c>
      <c r="ED35" s="26">
        <v>0</v>
      </c>
      <c r="EE35" s="26">
        <v>0</v>
      </c>
      <c r="EF35" s="26">
        <v>0</v>
      </c>
      <c r="EG35" s="26">
        <v>0</v>
      </c>
      <c r="EH35" s="26">
        <v>0</v>
      </c>
      <c r="EI35" s="26">
        <v>0</v>
      </c>
      <c r="EJ35" s="26">
        <v>0</v>
      </c>
      <c r="EK35" s="26">
        <v>0</v>
      </c>
      <c r="EL35" s="26">
        <v>0</v>
      </c>
      <c r="EM35" s="26">
        <v>0</v>
      </c>
      <c r="EN35" s="26">
        <v>0</v>
      </c>
      <c r="EO35" s="26">
        <v>0</v>
      </c>
      <c r="EP35" s="26">
        <v>0</v>
      </c>
      <c r="EQ35" s="26">
        <v>0</v>
      </c>
      <c r="ER35" s="26">
        <v>0</v>
      </c>
      <c r="ES35" s="26">
        <v>0</v>
      </c>
      <c r="ET35" s="26">
        <v>0</v>
      </c>
      <c r="EU35" s="26">
        <v>0</v>
      </c>
      <c r="EV35" s="26">
        <v>0</v>
      </c>
      <c r="EW35" s="26">
        <v>0</v>
      </c>
      <c r="EX35" s="26">
        <v>0</v>
      </c>
      <c r="EY35" s="26">
        <v>0</v>
      </c>
      <c r="EZ35" s="26">
        <v>0</v>
      </c>
      <c r="FA35" s="26">
        <v>0</v>
      </c>
      <c r="FB35" s="26">
        <v>0</v>
      </c>
      <c r="FC35" s="26">
        <v>0</v>
      </c>
      <c r="FD35" s="26">
        <v>0</v>
      </c>
      <c r="FE35" s="26">
        <v>0</v>
      </c>
      <c r="FF35" s="26">
        <v>0</v>
      </c>
      <c r="FG35" s="26">
        <v>0</v>
      </c>
      <c r="FH35" s="26">
        <v>-77864740.805399999</v>
      </c>
      <c r="FI35" s="26">
        <v>0</v>
      </c>
      <c r="FJ35" s="26">
        <v>0</v>
      </c>
      <c r="FK35" s="26">
        <v>0</v>
      </c>
      <c r="FL35" s="26">
        <v>0</v>
      </c>
      <c r="FM35" s="26">
        <v>0</v>
      </c>
      <c r="FN35" s="26">
        <v>0</v>
      </c>
      <c r="FO35" s="26">
        <v>0</v>
      </c>
      <c r="FP35" s="26">
        <v>0</v>
      </c>
      <c r="FQ35" s="26">
        <v>0</v>
      </c>
      <c r="FR35" s="26">
        <v>0</v>
      </c>
      <c r="FS35" s="26">
        <v>0</v>
      </c>
      <c r="FT35" s="26">
        <v>0</v>
      </c>
      <c r="FU35" s="26">
        <v>0</v>
      </c>
      <c r="FV35" s="26">
        <v>0</v>
      </c>
      <c r="FW35" s="26">
        <v>0</v>
      </c>
      <c r="FX35" s="26">
        <v>0</v>
      </c>
      <c r="FY35" s="26">
        <v>0</v>
      </c>
      <c r="FZ35" s="26">
        <v>0</v>
      </c>
      <c r="GA35" s="26">
        <v>0</v>
      </c>
      <c r="GB35" s="26">
        <v>0</v>
      </c>
      <c r="GC35" s="26">
        <v>0</v>
      </c>
      <c r="GD35" s="26">
        <v>0</v>
      </c>
      <c r="GE35" s="26">
        <v>0</v>
      </c>
      <c r="GF35" s="26">
        <v>0</v>
      </c>
      <c r="GG35" s="26">
        <v>0</v>
      </c>
      <c r="GH35" s="26">
        <v>0</v>
      </c>
      <c r="GI35" s="26">
        <v>0</v>
      </c>
      <c r="GJ35" s="26">
        <v>0</v>
      </c>
      <c r="GK35" s="26">
        <v>0</v>
      </c>
      <c r="GL35" s="26">
        <v>0</v>
      </c>
      <c r="GM35" s="26">
        <v>0</v>
      </c>
      <c r="GN35" s="26">
        <v>0</v>
      </c>
      <c r="GO35" s="26">
        <v>0</v>
      </c>
      <c r="GP35" s="26">
        <v>0</v>
      </c>
      <c r="GQ35" s="26">
        <v>0</v>
      </c>
      <c r="GR35" s="26">
        <v>0</v>
      </c>
      <c r="GS35" s="26">
        <v>0</v>
      </c>
      <c r="GT35" s="26">
        <v>0</v>
      </c>
      <c r="GU35" s="26">
        <v>0</v>
      </c>
      <c r="GV35" s="26">
        <v>0</v>
      </c>
      <c r="GW35" s="26">
        <v>0</v>
      </c>
      <c r="GX35" s="26">
        <v>0</v>
      </c>
      <c r="GY35" s="26">
        <v>0</v>
      </c>
      <c r="GZ35" s="26">
        <v>0</v>
      </c>
      <c r="HA35" s="26">
        <v>0</v>
      </c>
      <c r="HB35" s="26">
        <v>0</v>
      </c>
      <c r="HC35" s="26">
        <v>0</v>
      </c>
      <c r="HD35" s="26">
        <v>0</v>
      </c>
      <c r="HE35" s="26">
        <v>0</v>
      </c>
      <c r="HF35" s="26">
        <v>0</v>
      </c>
      <c r="HG35" s="26">
        <v>0</v>
      </c>
      <c r="HH35" s="26">
        <v>0</v>
      </c>
      <c r="HI35" s="26">
        <v>0</v>
      </c>
      <c r="HJ35" s="26">
        <v>0</v>
      </c>
      <c r="HK35" s="26">
        <v>0</v>
      </c>
      <c r="HL35" s="26">
        <v>0</v>
      </c>
      <c r="HM35" s="26">
        <v>0</v>
      </c>
      <c r="HN35" s="26">
        <v>0</v>
      </c>
      <c r="HO35" s="26">
        <v>0</v>
      </c>
      <c r="HP35" s="26">
        <v>0</v>
      </c>
      <c r="HQ35" s="26">
        <v>0</v>
      </c>
      <c r="HR35" s="26">
        <v>0</v>
      </c>
      <c r="HS35" s="26">
        <v>0</v>
      </c>
      <c r="HT35" s="26">
        <v>0</v>
      </c>
    </row>
    <row r="36" spans="2:228" x14ac:dyDescent="0.2">
      <c r="B36" s="27" t="s">
        <v>2456</v>
      </c>
      <c r="C36" s="26">
        <v>0</v>
      </c>
      <c r="D36" s="26">
        <v>0</v>
      </c>
      <c r="E36" s="26">
        <v>0</v>
      </c>
      <c r="F36" s="26">
        <v>0</v>
      </c>
      <c r="G36" s="26">
        <v>0</v>
      </c>
      <c r="H36" s="26">
        <v>0</v>
      </c>
      <c r="I36" s="26">
        <v>0</v>
      </c>
      <c r="J36" s="26">
        <v>0</v>
      </c>
      <c r="K36" s="26">
        <v>0</v>
      </c>
      <c r="L36" s="26">
        <v>0</v>
      </c>
      <c r="M36" s="26">
        <v>0</v>
      </c>
      <c r="N36" s="26">
        <v>0</v>
      </c>
      <c r="O36" s="26">
        <v>0</v>
      </c>
      <c r="P36" s="26">
        <v>0</v>
      </c>
      <c r="Q36" s="26">
        <v>0</v>
      </c>
      <c r="R36" s="26">
        <v>0</v>
      </c>
      <c r="S36" s="26">
        <v>0</v>
      </c>
      <c r="T36" s="26">
        <v>0</v>
      </c>
      <c r="U36" s="26">
        <v>0</v>
      </c>
      <c r="V36" s="26">
        <v>0</v>
      </c>
      <c r="W36" s="26">
        <v>0</v>
      </c>
      <c r="X36" s="26">
        <v>0</v>
      </c>
      <c r="Y36" s="26">
        <v>0</v>
      </c>
      <c r="Z36" s="26">
        <v>0</v>
      </c>
      <c r="AA36" s="26">
        <v>0</v>
      </c>
      <c r="AB36" s="26">
        <v>0</v>
      </c>
      <c r="AC36" s="26">
        <v>0</v>
      </c>
      <c r="AD36" s="26">
        <v>0</v>
      </c>
      <c r="AE36" s="26">
        <v>0</v>
      </c>
      <c r="AF36" s="26">
        <v>0</v>
      </c>
      <c r="AG36" s="26">
        <v>0</v>
      </c>
      <c r="AH36" s="26">
        <v>0</v>
      </c>
      <c r="AI36" s="26">
        <v>0</v>
      </c>
      <c r="AJ36" s="26">
        <v>0</v>
      </c>
      <c r="AK36" s="26">
        <v>0</v>
      </c>
      <c r="AL36" s="26">
        <v>0</v>
      </c>
      <c r="AM36" s="26">
        <v>0</v>
      </c>
      <c r="AN36" s="26">
        <v>0</v>
      </c>
      <c r="AO36" s="26">
        <v>0</v>
      </c>
      <c r="AP36" s="26">
        <v>0</v>
      </c>
      <c r="AQ36" s="26">
        <v>0</v>
      </c>
      <c r="AR36" s="26">
        <v>0</v>
      </c>
      <c r="AS36" s="26">
        <v>0</v>
      </c>
      <c r="AT36" s="26">
        <v>0</v>
      </c>
      <c r="AU36" s="26">
        <v>0</v>
      </c>
      <c r="AV36" s="26">
        <v>0</v>
      </c>
      <c r="AW36" s="26">
        <v>0</v>
      </c>
      <c r="AX36" s="26">
        <v>0</v>
      </c>
      <c r="AY36" s="26">
        <v>0</v>
      </c>
      <c r="AZ36" s="26">
        <v>0</v>
      </c>
      <c r="BA36" s="26">
        <v>0</v>
      </c>
      <c r="BB36" s="26">
        <v>0</v>
      </c>
      <c r="BC36" s="26">
        <v>0</v>
      </c>
      <c r="BD36" s="26">
        <v>0</v>
      </c>
      <c r="BE36" s="26">
        <v>0</v>
      </c>
      <c r="BF36" s="26">
        <v>0</v>
      </c>
      <c r="BG36" s="26">
        <v>0</v>
      </c>
      <c r="BH36" s="26">
        <v>0</v>
      </c>
      <c r="BI36" s="26">
        <v>0</v>
      </c>
      <c r="BJ36" s="26">
        <v>0</v>
      </c>
      <c r="BK36" s="26">
        <v>0</v>
      </c>
      <c r="BL36" s="26">
        <v>0</v>
      </c>
      <c r="BM36" s="26">
        <v>0</v>
      </c>
      <c r="BN36" s="26">
        <v>0</v>
      </c>
      <c r="BO36" s="26">
        <v>0</v>
      </c>
      <c r="BP36" s="26">
        <v>0</v>
      </c>
      <c r="BQ36" s="26">
        <v>0</v>
      </c>
      <c r="BR36" s="26">
        <v>0</v>
      </c>
      <c r="BS36" s="26">
        <v>0</v>
      </c>
      <c r="BT36" s="26">
        <v>0</v>
      </c>
      <c r="BU36" s="26">
        <v>0</v>
      </c>
      <c r="BV36" s="26">
        <v>0</v>
      </c>
      <c r="BW36" s="26">
        <v>0</v>
      </c>
      <c r="BX36" s="26">
        <v>0</v>
      </c>
      <c r="BY36" s="26">
        <v>0</v>
      </c>
      <c r="BZ36" s="26">
        <v>0</v>
      </c>
      <c r="CA36" s="26">
        <v>0</v>
      </c>
      <c r="CB36" s="26">
        <v>0</v>
      </c>
      <c r="CC36" s="26">
        <v>0</v>
      </c>
      <c r="CD36" s="26">
        <v>0</v>
      </c>
      <c r="CE36" s="26">
        <v>0</v>
      </c>
      <c r="CF36" s="26">
        <v>0</v>
      </c>
      <c r="CG36" s="26">
        <v>0</v>
      </c>
      <c r="CH36" s="26">
        <v>0</v>
      </c>
      <c r="CI36" s="26">
        <v>0</v>
      </c>
      <c r="CJ36" s="26">
        <v>0</v>
      </c>
      <c r="CK36" s="26">
        <v>0</v>
      </c>
      <c r="CL36" s="26">
        <v>0</v>
      </c>
      <c r="CM36" s="26">
        <v>0</v>
      </c>
      <c r="CN36" s="26">
        <v>0</v>
      </c>
      <c r="CO36" s="26">
        <v>0</v>
      </c>
      <c r="CP36" s="26">
        <v>0</v>
      </c>
      <c r="CQ36" s="26">
        <v>0</v>
      </c>
      <c r="CR36" s="26">
        <v>0</v>
      </c>
      <c r="CS36" s="26">
        <v>0</v>
      </c>
      <c r="CT36" s="26">
        <v>0</v>
      </c>
      <c r="CU36" s="26">
        <v>0</v>
      </c>
      <c r="CV36" s="26">
        <v>0</v>
      </c>
      <c r="CW36" s="26">
        <v>0</v>
      </c>
      <c r="CX36" s="26">
        <v>0</v>
      </c>
      <c r="CY36" s="26">
        <v>0</v>
      </c>
      <c r="CZ36" s="26">
        <v>0</v>
      </c>
      <c r="DA36" s="26">
        <v>0</v>
      </c>
      <c r="DB36" s="26">
        <v>0</v>
      </c>
      <c r="DC36" s="26">
        <v>0</v>
      </c>
      <c r="DD36" s="26">
        <v>0</v>
      </c>
      <c r="DE36" s="26">
        <v>0</v>
      </c>
      <c r="DF36" s="26">
        <v>0</v>
      </c>
      <c r="DG36" s="26">
        <v>0</v>
      </c>
      <c r="DH36" s="26">
        <v>0</v>
      </c>
      <c r="DI36" s="26">
        <v>0</v>
      </c>
      <c r="DJ36" s="26">
        <v>0</v>
      </c>
      <c r="DK36" s="26">
        <v>0</v>
      </c>
      <c r="DL36" s="26">
        <v>0</v>
      </c>
      <c r="DM36" s="26">
        <v>0</v>
      </c>
      <c r="DN36" s="26">
        <v>0</v>
      </c>
      <c r="DO36" s="26">
        <v>0</v>
      </c>
      <c r="DP36" s="26">
        <v>0</v>
      </c>
      <c r="DQ36" s="26">
        <v>0</v>
      </c>
      <c r="DR36" s="26">
        <v>0</v>
      </c>
      <c r="DS36" s="26">
        <v>0</v>
      </c>
      <c r="DT36" s="26">
        <v>0</v>
      </c>
      <c r="DU36" s="26">
        <v>0</v>
      </c>
      <c r="DV36" s="26">
        <v>0</v>
      </c>
      <c r="DW36" s="26">
        <v>0</v>
      </c>
      <c r="DX36" s="26">
        <v>0</v>
      </c>
      <c r="DY36" s="26">
        <v>0</v>
      </c>
      <c r="DZ36" s="26">
        <v>0</v>
      </c>
      <c r="EA36" s="26">
        <v>0</v>
      </c>
      <c r="EB36" s="26">
        <v>0</v>
      </c>
      <c r="EC36" s="26">
        <v>0</v>
      </c>
      <c r="ED36" s="26">
        <v>0</v>
      </c>
      <c r="EE36" s="26">
        <v>0</v>
      </c>
      <c r="EF36" s="26">
        <v>0</v>
      </c>
      <c r="EG36" s="26">
        <v>0</v>
      </c>
      <c r="EH36" s="26">
        <v>0</v>
      </c>
      <c r="EI36" s="26">
        <v>0</v>
      </c>
      <c r="EJ36" s="26">
        <v>0</v>
      </c>
      <c r="EK36" s="26">
        <v>0</v>
      </c>
      <c r="EL36" s="26">
        <v>0</v>
      </c>
      <c r="EM36" s="26">
        <v>0</v>
      </c>
      <c r="EN36" s="26">
        <v>0</v>
      </c>
      <c r="EO36" s="26">
        <v>0</v>
      </c>
      <c r="EP36" s="26">
        <v>0</v>
      </c>
      <c r="EQ36" s="26">
        <v>0</v>
      </c>
      <c r="ER36" s="26">
        <v>0</v>
      </c>
      <c r="ES36" s="26">
        <v>0</v>
      </c>
      <c r="ET36" s="26">
        <v>0</v>
      </c>
      <c r="EU36" s="26">
        <v>0</v>
      </c>
      <c r="EV36" s="26">
        <v>0</v>
      </c>
      <c r="EW36" s="26">
        <v>0</v>
      </c>
      <c r="EX36" s="26">
        <v>0</v>
      </c>
      <c r="EY36" s="26">
        <v>0</v>
      </c>
      <c r="EZ36" s="26">
        <v>0</v>
      </c>
      <c r="FA36" s="26">
        <v>0</v>
      </c>
      <c r="FB36" s="26">
        <v>0</v>
      </c>
      <c r="FC36" s="26">
        <v>0</v>
      </c>
      <c r="FD36" s="26">
        <v>0</v>
      </c>
      <c r="FE36" s="26">
        <v>0</v>
      </c>
      <c r="FF36" s="26">
        <v>0</v>
      </c>
      <c r="FG36" s="26">
        <v>0</v>
      </c>
      <c r="FH36" s="26">
        <v>0</v>
      </c>
      <c r="FI36" s="26">
        <v>0</v>
      </c>
      <c r="FJ36" s="26">
        <v>0</v>
      </c>
      <c r="FK36" s="26">
        <v>0</v>
      </c>
      <c r="FL36" s="26">
        <v>0</v>
      </c>
      <c r="FM36" s="26">
        <v>0</v>
      </c>
      <c r="FN36" s="26">
        <v>0</v>
      </c>
      <c r="FO36" s="26">
        <v>0</v>
      </c>
      <c r="FP36" s="26">
        <v>0</v>
      </c>
      <c r="FQ36" s="26">
        <v>0</v>
      </c>
      <c r="FR36" s="26">
        <v>0</v>
      </c>
      <c r="FS36" s="26">
        <v>0</v>
      </c>
      <c r="FT36" s="26">
        <v>0</v>
      </c>
      <c r="FU36" s="26">
        <v>0</v>
      </c>
      <c r="FV36" s="26">
        <v>0</v>
      </c>
      <c r="FW36" s="26">
        <v>0</v>
      </c>
      <c r="FX36" s="26">
        <v>0</v>
      </c>
      <c r="FY36" s="26">
        <v>0</v>
      </c>
      <c r="FZ36" s="26">
        <v>0</v>
      </c>
      <c r="GA36" s="26">
        <v>0</v>
      </c>
      <c r="GB36" s="26">
        <v>0</v>
      </c>
      <c r="GC36" s="26">
        <v>0</v>
      </c>
      <c r="GD36" s="26">
        <v>0</v>
      </c>
      <c r="GE36" s="26">
        <v>0</v>
      </c>
      <c r="GF36" s="26">
        <v>0</v>
      </c>
      <c r="GG36" s="26">
        <v>0</v>
      </c>
      <c r="GH36" s="26">
        <v>0</v>
      </c>
      <c r="GI36" s="26">
        <v>0</v>
      </c>
      <c r="GJ36" s="26">
        <v>0</v>
      </c>
      <c r="GK36" s="26">
        <v>0</v>
      </c>
      <c r="GL36" s="26">
        <v>0</v>
      </c>
      <c r="GM36" s="26">
        <v>0</v>
      </c>
      <c r="GN36" s="26">
        <v>0</v>
      </c>
      <c r="GO36" s="26">
        <v>0</v>
      </c>
      <c r="GP36" s="26">
        <v>0</v>
      </c>
      <c r="GQ36" s="26">
        <v>0</v>
      </c>
      <c r="GR36" s="26">
        <v>0</v>
      </c>
      <c r="GS36" s="26">
        <v>0</v>
      </c>
      <c r="GT36" s="26">
        <v>0</v>
      </c>
      <c r="GU36" s="26">
        <v>0</v>
      </c>
      <c r="GV36" s="26">
        <v>0</v>
      </c>
      <c r="GW36" s="26">
        <v>0</v>
      </c>
      <c r="GX36" s="26">
        <v>0</v>
      </c>
      <c r="GY36" s="26">
        <v>0</v>
      </c>
      <c r="GZ36" s="26">
        <v>0</v>
      </c>
      <c r="HA36" s="26">
        <v>0</v>
      </c>
      <c r="HB36" s="26">
        <v>0</v>
      </c>
      <c r="HC36" s="26">
        <v>0</v>
      </c>
      <c r="HD36" s="26">
        <v>0</v>
      </c>
      <c r="HE36" s="26">
        <v>0</v>
      </c>
      <c r="HF36" s="26">
        <v>0</v>
      </c>
      <c r="HG36" s="26">
        <v>0</v>
      </c>
      <c r="HH36" s="26">
        <v>0</v>
      </c>
      <c r="HI36" s="26">
        <v>0</v>
      </c>
      <c r="HJ36" s="26">
        <v>0</v>
      </c>
      <c r="HK36" s="26">
        <v>0</v>
      </c>
      <c r="HL36" s="26">
        <v>0</v>
      </c>
      <c r="HM36" s="26">
        <v>0</v>
      </c>
      <c r="HN36" s="26">
        <v>0</v>
      </c>
      <c r="HO36" s="26">
        <v>0</v>
      </c>
      <c r="HP36" s="26">
        <v>0</v>
      </c>
      <c r="HQ36" s="26">
        <v>0</v>
      </c>
      <c r="HR36" s="26">
        <v>0</v>
      </c>
      <c r="HS36" s="26">
        <v>0</v>
      </c>
      <c r="HT36" s="26">
        <v>0</v>
      </c>
    </row>
    <row r="37" spans="2:228" x14ac:dyDescent="0.2">
      <c r="B37" s="27" t="s">
        <v>1321</v>
      </c>
      <c r="C37" s="26">
        <v>104166.667</v>
      </c>
      <c r="D37" s="26">
        <v>-194.94873999999999</v>
      </c>
      <c r="E37" s="26">
        <v>20833.333299999998</v>
      </c>
      <c r="F37" s="26">
        <v>0</v>
      </c>
      <c r="G37" s="26">
        <v>0</v>
      </c>
      <c r="H37" s="26">
        <v>0</v>
      </c>
      <c r="I37" s="26">
        <v>0</v>
      </c>
      <c r="J37" s="26">
        <v>0</v>
      </c>
      <c r="K37" s="26">
        <v>0</v>
      </c>
      <c r="L37" s="26">
        <v>0</v>
      </c>
      <c r="M37" s="26">
        <v>641.66666699999996</v>
      </c>
      <c r="N37" s="26">
        <v>0</v>
      </c>
      <c r="O37" s="26">
        <v>0</v>
      </c>
      <c r="P37" s="26">
        <v>0</v>
      </c>
      <c r="Q37" s="26">
        <v>0</v>
      </c>
      <c r="R37" s="26">
        <v>0</v>
      </c>
      <c r="S37" s="26">
        <v>12208.3333</v>
      </c>
      <c r="T37" s="26">
        <v>0</v>
      </c>
      <c r="U37" s="26">
        <v>0</v>
      </c>
      <c r="V37" s="26">
        <v>0</v>
      </c>
      <c r="W37" s="26">
        <v>0</v>
      </c>
      <c r="X37" s="26">
        <v>0</v>
      </c>
      <c r="Y37" s="26">
        <v>0</v>
      </c>
      <c r="Z37" s="26">
        <v>0</v>
      </c>
      <c r="AA37" s="26">
        <v>0</v>
      </c>
      <c r="AB37" s="26">
        <v>0</v>
      </c>
      <c r="AC37" s="26">
        <v>0</v>
      </c>
      <c r="AD37" s="26">
        <v>0</v>
      </c>
      <c r="AE37" s="26">
        <v>0</v>
      </c>
      <c r="AF37" s="26">
        <v>0</v>
      </c>
      <c r="AG37" s="26">
        <v>0</v>
      </c>
      <c r="AH37" s="26">
        <v>0</v>
      </c>
      <c r="AI37" s="26">
        <v>0</v>
      </c>
      <c r="AJ37" s="26">
        <v>0</v>
      </c>
      <c r="AK37" s="26">
        <v>0</v>
      </c>
      <c r="AL37" s="26">
        <v>0</v>
      </c>
      <c r="AM37" s="26">
        <v>0</v>
      </c>
      <c r="AN37" s="26">
        <v>0</v>
      </c>
      <c r="AO37" s="26">
        <v>0</v>
      </c>
      <c r="AP37" s="26">
        <v>0</v>
      </c>
      <c r="AQ37" s="26">
        <v>0</v>
      </c>
      <c r="AR37" s="26">
        <v>0</v>
      </c>
      <c r="AS37" s="26">
        <v>0</v>
      </c>
      <c r="AT37" s="26">
        <v>0</v>
      </c>
      <c r="AU37" s="26">
        <v>0</v>
      </c>
      <c r="AV37" s="26">
        <v>0</v>
      </c>
      <c r="AW37" s="26">
        <v>0</v>
      </c>
      <c r="AX37" s="26">
        <v>0</v>
      </c>
      <c r="AY37" s="26">
        <v>0</v>
      </c>
      <c r="AZ37" s="26">
        <v>0</v>
      </c>
      <c r="BA37" s="26">
        <v>0</v>
      </c>
      <c r="BB37" s="26">
        <v>0</v>
      </c>
      <c r="BC37" s="26">
        <v>0</v>
      </c>
      <c r="BD37" s="26">
        <v>0</v>
      </c>
      <c r="BE37" s="26">
        <v>0</v>
      </c>
      <c r="BF37" s="26">
        <v>0</v>
      </c>
      <c r="BG37" s="26">
        <v>0</v>
      </c>
      <c r="BH37" s="26">
        <v>0</v>
      </c>
      <c r="BI37" s="26">
        <v>0</v>
      </c>
      <c r="BJ37" s="26">
        <v>0</v>
      </c>
      <c r="BK37" s="26">
        <v>0</v>
      </c>
      <c r="BL37" s="26">
        <v>0</v>
      </c>
      <c r="BM37" s="26">
        <v>0</v>
      </c>
      <c r="BN37" s="26">
        <v>0</v>
      </c>
      <c r="BO37" s="26">
        <v>1226.06502</v>
      </c>
      <c r="BP37" s="26">
        <v>33683.333299999998</v>
      </c>
      <c r="BQ37" s="26">
        <v>435.67472099999998</v>
      </c>
      <c r="BR37" s="26">
        <v>25</v>
      </c>
      <c r="BS37" s="26">
        <v>1</v>
      </c>
      <c r="BT37" s="26">
        <v>0</v>
      </c>
      <c r="BU37" s="26">
        <v>1</v>
      </c>
      <c r="BV37" s="26">
        <v>0</v>
      </c>
      <c r="BW37" s="26">
        <v>-81696.595799999996</v>
      </c>
      <c r="BX37" s="26">
        <v>-2973.7359099999999</v>
      </c>
      <c r="BY37" s="26">
        <v>-100.165339</v>
      </c>
      <c r="BZ37" s="26">
        <v>-51.328981499999998</v>
      </c>
      <c r="CA37" s="26">
        <v>-1.8683622499999999</v>
      </c>
      <c r="CB37" s="26">
        <v>4.6902920200000003E-2</v>
      </c>
      <c r="CC37" s="26">
        <v>1.2885505100000001</v>
      </c>
      <c r="CD37" s="26">
        <v>27.472713800000001</v>
      </c>
      <c r="CE37" s="26">
        <v>527.31302700000003</v>
      </c>
      <c r="CF37" s="26">
        <v>0</v>
      </c>
      <c r="CG37" s="26">
        <v>0</v>
      </c>
      <c r="CH37" s="26">
        <v>0</v>
      </c>
      <c r="CI37" s="26">
        <v>0</v>
      </c>
      <c r="CJ37" s="26">
        <v>0</v>
      </c>
      <c r="CK37" s="26">
        <v>0</v>
      </c>
      <c r="CL37" s="26">
        <v>0</v>
      </c>
      <c r="CM37" s="26">
        <v>0</v>
      </c>
      <c r="CN37" s="26">
        <v>0</v>
      </c>
      <c r="CO37" s="26">
        <v>0</v>
      </c>
      <c r="CP37" s="26">
        <v>0</v>
      </c>
      <c r="CQ37" s="26">
        <v>0</v>
      </c>
      <c r="CR37" s="26">
        <v>0</v>
      </c>
      <c r="CS37" s="26">
        <v>0</v>
      </c>
      <c r="CT37" s="26">
        <v>0</v>
      </c>
      <c r="CU37" s="26">
        <v>0</v>
      </c>
      <c r="CV37" s="26">
        <v>0</v>
      </c>
      <c r="CW37" s="26">
        <v>0</v>
      </c>
      <c r="CX37" s="26">
        <v>0</v>
      </c>
      <c r="CY37" s="26">
        <v>0</v>
      </c>
      <c r="CZ37" s="26">
        <v>0</v>
      </c>
      <c r="DA37" s="26">
        <v>0</v>
      </c>
      <c r="DB37" s="26">
        <v>0</v>
      </c>
      <c r="DC37" s="26">
        <v>0</v>
      </c>
      <c r="DD37" s="26">
        <v>0</v>
      </c>
      <c r="DE37" s="26">
        <v>0</v>
      </c>
      <c r="DF37" s="26">
        <v>0</v>
      </c>
      <c r="DG37" s="26">
        <v>0</v>
      </c>
      <c r="DH37" s="26">
        <v>0</v>
      </c>
      <c r="DI37" s="26">
        <v>0</v>
      </c>
      <c r="DJ37" s="26">
        <v>0</v>
      </c>
      <c r="DK37" s="26">
        <v>0</v>
      </c>
      <c r="DL37" s="26">
        <v>0</v>
      </c>
      <c r="DM37" s="26">
        <v>0</v>
      </c>
      <c r="DN37" s="26">
        <v>0</v>
      </c>
      <c r="DO37" s="26">
        <v>0</v>
      </c>
      <c r="DP37" s="26">
        <v>0</v>
      </c>
      <c r="DQ37" s="26">
        <v>0</v>
      </c>
      <c r="DR37" s="26">
        <v>0</v>
      </c>
      <c r="DS37" s="26">
        <v>0</v>
      </c>
      <c r="DT37" s="26">
        <v>0</v>
      </c>
      <c r="DU37" s="26">
        <v>0</v>
      </c>
      <c r="DV37" s="26">
        <v>0</v>
      </c>
      <c r="DW37" s="26">
        <v>0</v>
      </c>
      <c r="DX37" s="26">
        <v>29204.880399999995</v>
      </c>
      <c r="DY37" s="26">
        <v>1191.5257899999999</v>
      </c>
      <c r="DZ37" s="26">
        <v>499.94089100000008</v>
      </c>
      <c r="EA37" s="26">
        <v>16273.076000000001</v>
      </c>
      <c r="EB37" s="26">
        <v>1983.09887</v>
      </c>
      <c r="EC37" s="26">
        <v>13131.780699999999</v>
      </c>
      <c r="ED37" s="26">
        <v>1508.1550199999999</v>
      </c>
      <c r="EE37" s="26">
        <v>2583.0279399999999</v>
      </c>
      <c r="EF37" s="26">
        <v>4107.8476600000004</v>
      </c>
      <c r="EG37" s="26">
        <v>0</v>
      </c>
      <c r="EH37" s="26">
        <v>0</v>
      </c>
      <c r="EI37" s="26">
        <v>0</v>
      </c>
      <c r="EJ37" s="26">
        <v>0</v>
      </c>
      <c r="EK37" s="26">
        <v>0</v>
      </c>
      <c r="EL37" s="26">
        <v>0</v>
      </c>
      <c r="EM37" s="26">
        <v>0</v>
      </c>
      <c r="EN37" s="26">
        <v>0</v>
      </c>
      <c r="EO37" s="26">
        <v>0</v>
      </c>
      <c r="EP37" s="26">
        <v>626.50221799999997</v>
      </c>
      <c r="EQ37" s="26">
        <v>70483.333299999998</v>
      </c>
      <c r="ER37" s="26">
        <v>561.380898</v>
      </c>
      <c r="ES37" s="26">
        <v>25</v>
      </c>
      <c r="ET37" s="26">
        <v>1</v>
      </c>
      <c r="EU37" s="26">
        <v>0</v>
      </c>
      <c r="EV37" s="26">
        <v>0</v>
      </c>
      <c r="EW37" s="26">
        <v>1</v>
      </c>
      <c r="EX37" s="26">
        <v>-151289.80799999999</v>
      </c>
      <c r="EY37" s="26">
        <v>-1344.7633000000001</v>
      </c>
      <c r="EZ37" s="26">
        <v>-94.783400900000004</v>
      </c>
      <c r="FA37" s="26">
        <v>-447.31152200000002</v>
      </c>
      <c r="FB37" s="26">
        <v>-3.9759989600000001</v>
      </c>
      <c r="FC37" s="26">
        <v>1.8600033500000002E-2</v>
      </c>
      <c r="FD37" s="26">
        <v>2.09255821</v>
      </c>
      <c r="FE37" s="26">
        <v>112.502927</v>
      </c>
      <c r="FF37" s="26">
        <v>0</v>
      </c>
      <c r="FG37" s="26">
        <v>0.97188512999999999</v>
      </c>
      <c r="FH37" s="26">
        <v>-226725384.61999997</v>
      </c>
      <c r="FI37" s="26">
        <v>0.1191897662312959</v>
      </c>
      <c r="FJ37" s="26">
        <v>0</v>
      </c>
      <c r="FK37" s="26">
        <v>0</v>
      </c>
      <c r="FL37" s="26">
        <v>0</v>
      </c>
      <c r="FM37" s="26">
        <v>0</v>
      </c>
      <c r="FN37" s="26">
        <v>0</v>
      </c>
      <c r="FO37" s="26">
        <v>0</v>
      </c>
      <c r="FP37" s="26">
        <v>0</v>
      </c>
      <c r="FQ37" s="26">
        <v>0</v>
      </c>
      <c r="FR37" s="26">
        <v>0</v>
      </c>
      <c r="FS37" s="26">
        <v>0</v>
      </c>
      <c r="FT37" s="26">
        <v>0</v>
      </c>
      <c r="FU37" s="26">
        <v>0</v>
      </c>
      <c r="FV37" s="26">
        <v>0</v>
      </c>
      <c r="FW37" s="26">
        <v>0</v>
      </c>
      <c r="FX37" s="26">
        <v>0</v>
      </c>
      <c r="FY37" s="26">
        <v>0</v>
      </c>
      <c r="FZ37" s="26">
        <v>0</v>
      </c>
      <c r="GA37" s="26">
        <v>0</v>
      </c>
      <c r="GB37" s="26">
        <v>0</v>
      </c>
      <c r="GC37" s="26">
        <v>0</v>
      </c>
      <c r="GD37" s="26">
        <v>0</v>
      </c>
      <c r="GE37" s="26">
        <v>0</v>
      </c>
      <c r="GF37" s="26">
        <v>0</v>
      </c>
      <c r="GG37" s="26">
        <v>0</v>
      </c>
      <c r="GH37" s="26">
        <v>0</v>
      </c>
      <c r="GI37" s="26">
        <v>0</v>
      </c>
      <c r="GJ37" s="26">
        <v>0</v>
      </c>
      <c r="GK37" s="26">
        <v>0</v>
      </c>
      <c r="GL37" s="26">
        <v>0</v>
      </c>
      <c r="GM37" s="26">
        <v>0</v>
      </c>
      <c r="GN37" s="26">
        <v>0</v>
      </c>
      <c r="GO37" s="26">
        <v>0</v>
      </c>
      <c r="GP37" s="26">
        <v>0</v>
      </c>
      <c r="GQ37" s="26">
        <v>0</v>
      </c>
      <c r="GR37" s="26">
        <v>0</v>
      </c>
      <c r="GS37" s="26">
        <v>0</v>
      </c>
      <c r="GT37" s="26">
        <v>0</v>
      </c>
      <c r="GU37" s="26">
        <v>0</v>
      </c>
      <c r="GV37" s="26">
        <v>0</v>
      </c>
      <c r="GW37" s="26">
        <v>0</v>
      </c>
      <c r="GX37" s="26">
        <v>0</v>
      </c>
      <c r="GY37" s="26">
        <v>0</v>
      </c>
      <c r="GZ37" s="26">
        <v>0</v>
      </c>
      <c r="HA37" s="26">
        <v>0</v>
      </c>
      <c r="HB37" s="26">
        <v>0</v>
      </c>
      <c r="HC37" s="26">
        <v>0</v>
      </c>
      <c r="HD37" s="26">
        <v>0</v>
      </c>
      <c r="HE37" s="26">
        <v>0</v>
      </c>
      <c r="HF37" s="26">
        <v>0</v>
      </c>
      <c r="HG37" s="26">
        <v>0</v>
      </c>
      <c r="HH37" s="26">
        <v>0</v>
      </c>
      <c r="HI37" s="26">
        <v>0</v>
      </c>
      <c r="HJ37" s="26">
        <v>0</v>
      </c>
      <c r="HK37" s="26">
        <v>0</v>
      </c>
      <c r="HL37" s="26">
        <v>0</v>
      </c>
      <c r="HM37" s="26">
        <v>0</v>
      </c>
      <c r="HN37" s="26">
        <v>0</v>
      </c>
      <c r="HO37" s="26">
        <v>0</v>
      </c>
      <c r="HP37" s="26">
        <v>0</v>
      </c>
      <c r="HQ37" s="26">
        <v>0</v>
      </c>
      <c r="HR37" s="26">
        <v>0</v>
      </c>
      <c r="HS37" s="26">
        <v>0</v>
      </c>
      <c r="HT37" s="26">
        <v>0.74666720041778212</v>
      </c>
    </row>
    <row r="38" spans="2:228" x14ac:dyDescent="0.2">
      <c r="B38" s="27" t="s">
        <v>1322</v>
      </c>
      <c r="C38" s="26">
        <v>104166.667</v>
      </c>
      <c r="D38" s="26">
        <v>-194.94873999999999</v>
      </c>
      <c r="E38" s="26">
        <v>20833.333299999998</v>
      </c>
      <c r="F38" s="26">
        <v>0</v>
      </c>
      <c r="G38" s="26">
        <v>0</v>
      </c>
      <c r="H38" s="26">
        <v>0</v>
      </c>
      <c r="I38" s="26">
        <v>0</v>
      </c>
      <c r="J38" s="26">
        <v>0</v>
      </c>
      <c r="K38" s="26">
        <v>0</v>
      </c>
      <c r="L38" s="26">
        <v>0</v>
      </c>
      <c r="M38" s="26">
        <v>641.66666699999996</v>
      </c>
      <c r="N38" s="26">
        <v>0</v>
      </c>
      <c r="O38" s="26">
        <v>0</v>
      </c>
      <c r="P38" s="26">
        <v>0</v>
      </c>
      <c r="Q38" s="26">
        <v>0</v>
      </c>
      <c r="R38" s="26">
        <v>0</v>
      </c>
      <c r="S38" s="26">
        <v>12208.3333</v>
      </c>
      <c r="T38" s="26">
        <v>0</v>
      </c>
      <c r="U38" s="26">
        <v>0</v>
      </c>
      <c r="V38" s="26">
        <v>0</v>
      </c>
      <c r="W38" s="26">
        <v>0</v>
      </c>
      <c r="X38" s="26">
        <v>0</v>
      </c>
      <c r="Y38" s="26">
        <v>0</v>
      </c>
      <c r="Z38" s="26">
        <v>0</v>
      </c>
      <c r="AA38" s="26">
        <v>0</v>
      </c>
      <c r="AB38" s="26">
        <v>0</v>
      </c>
      <c r="AC38" s="26">
        <v>0</v>
      </c>
      <c r="AD38" s="26">
        <v>0</v>
      </c>
      <c r="AE38" s="26">
        <v>0</v>
      </c>
      <c r="AF38" s="26">
        <v>0</v>
      </c>
      <c r="AG38" s="26">
        <v>0</v>
      </c>
      <c r="AH38" s="26">
        <v>0</v>
      </c>
      <c r="AI38" s="26">
        <v>0</v>
      </c>
      <c r="AJ38" s="26">
        <v>0</v>
      </c>
      <c r="AK38" s="26">
        <v>0</v>
      </c>
      <c r="AL38" s="26">
        <v>0</v>
      </c>
      <c r="AM38" s="26">
        <v>0</v>
      </c>
      <c r="AN38" s="26">
        <v>0</v>
      </c>
      <c r="AO38" s="26">
        <v>0</v>
      </c>
      <c r="AP38" s="26">
        <v>0</v>
      </c>
      <c r="AQ38" s="26">
        <v>0</v>
      </c>
      <c r="AR38" s="26">
        <v>0</v>
      </c>
      <c r="AS38" s="26">
        <v>0</v>
      </c>
      <c r="AT38" s="26">
        <v>0</v>
      </c>
      <c r="AU38" s="26">
        <v>0</v>
      </c>
      <c r="AV38" s="26">
        <v>0</v>
      </c>
      <c r="AW38" s="26">
        <v>0</v>
      </c>
      <c r="AX38" s="26">
        <v>0</v>
      </c>
      <c r="AY38" s="26">
        <v>0</v>
      </c>
      <c r="AZ38" s="26">
        <v>0</v>
      </c>
      <c r="BA38" s="26">
        <v>0</v>
      </c>
      <c r="BB38" s="26">
        <v>0</v>
      </c>
      <c r="BC38" s="26">
        <v>0</v>
      </c>
      <c r="BD38" s="26">
        <v>0</v>
      </c>
      <c r="BE38" s="26">
        <v>0</v>
      </c>
      <c r="BF38" s="26">
        <v>0</v>
      </c>
      <c r="BG38" s="26">
        <v>0</v>
      </c>
      <c r="BH38" s="26">
        <v>0</v>
      </c>
      <c r="BI38" s="26">
        <v>0</v>
      </c>
      <c r="BJ38" s="26">
        <v>0</v>
      </c>
      <c r="BK38" s="26">
        <v>0</v>
      </c>
      <c r="BL38" s="26">
        <v>0</v>
      </c>
      <c r="BM38" s="26">
        <v>0</v>
      </c>
      <c r="BN38" s="26">
        <v>0</v>
      </c>
      <c r="BO38" s="26">
        <v>1226.06502</v>
      </c>
      <c r="BP38" s="26">
        <v>33683.333299999998</v>
      </c>
      <c r="BQ38" s="26">
        <v>435.67472099999998</v>
      </c>
      <c r="BR38" s="26">
        <v>25</v>
      </c>
      <c r="BS38" s="26">
        <v>1</v>
      </c>
      <c r="BT38" s="26">
        <v>0</v>
      </c>
      <c r="BU38" s="26">
        <v>1</v>
      </c>
      <c r="BV38" s="26">
        <v>0</v>
      </c>
      <c r="BW38" s="26">
        <v>-81696.595799999996</v>
      </c>
      <c r="BX38" s="26">
        <v>-2973.7359099999999</v>
      </c>
      <c r="BY38" s="26">
        <v>-100.165339</v>
      </c>
      <c r="BZ38" s="26">
        <v>-51.328981499999998</v>
      </c>
      <c r="CA38" s="26">
        <v>-1.8683622499999999</v>
      </c>
      <c r="CB38" s="26">
        <v>4.6902920200000003E-2</v>
      </c>
      <c r="CC38" s="26">
        <v>1.2885505100000001</v>
      </c>
      <c r="CD38" s="26">
        <v>27.472713800000001</v>
      </c>
      <c r="CE38" s="26">
        <v>527.31302700000003</v>
      </c>
      <c r="CF38" s="26">
        <v>0</v>
      </c>
      <c r="CG38" s="26">
        <v>0</v>
      </c>
      <c r="CH38" s="26">
        <v>0</v>
      </c>
      <c r="CI38" s="26">
        <v>0</v>
      </c>
      <c r="CJ38" s="26">
        <v>0</v>
      </c>
      <c r="CK38" s="26">
        <v>0</v>
      </c>
      <c r="CL38" s="26">
        <v>0</v>
      </c>
      <c r="CM38" s="26">
        <v>0</v>
      </c>
      <c r="CN38" s="26">
        <v>0</v>
      </c>
      <c r="CO38" s="26">
        <v>0</v>
      </c>
      <c r="CP38" s="26">
        <v>0</v>
      </c>
      <c r="CQ38" s="26">
        <v>0</v>
      </c>
      <c r="CR38" s="26">
        <v>0</v>
      </c>
      <c r="CS38" s="26">
        <v>0</v>
      </c>
      <c r="CT38" s="26">
        <v>0</v>
      </c>
      <c r="CU38" s="26">
        <v>0</v>
      </c>
      <c r="CV38" s="26">
        <v>0</v>
      </c>
      <c r="CW38" s="26">
        <v>0</v>
      </c>
      <c r="CX38" s="26">
        <v>0</v>
      </c>
      <c r="CY38" s="26">
        <v>0</v>
      </c>
      <c r="CZ38" s="26">
        <v>0</v>
      </c>
      <c r="DA38" s="26">
        <v>0</v>
      </c>
      <c r="DB38" s="26">
        <v>0</v>
      </c>
      <c r="DC38" s="26">
        <v>0</v>
      </c>
      <c r="DD38" s="26">
        <v>0</v>
      </c>
      <c r="DE38" s="26">
        <v>0</v>
      </c>
      <c r="DF38" s="26">
        <v>0</v>
      </c>
      <c r="DG38" s="26">
        <v>0</v>
      </c>
      <c r="DH38" s="26">
        <v>0</v>
      </c>
      <c r="DI38" s="26">
        <v>0</v>
      </c>
      <c r="DJ38" s="26">
        <v>0</v>
      </c>
      <c r="DK38" s="26">
        <v>0</v>
      </c>
      <c r="DL38" s="26">
        <v>0</v>
      </c>
      <c r="DM38" s="26">
        <v>0</v>
      </c>
      <c r="DN38" s="26">
        <v>0</v>
      </c>
      <c r="DO38" s="26">
        <v>0</v>
      </c>
      <c r="DP38" s="26">
        <v>0</v>
      </c>
      <c r="DQ38" s="26">
        <v>0</v>
      </c>
      <c r="DR38" s="26">
        <v>0</v>
      </c>
      <c r="DS38" s="26">
        <v>0</v>
      </c>
      <c r="DT38" s="26">
        <v>0</v>
      </c>
      <c r="DU38" s="26">
        <v>0</v>
      </c>
      <c r="DV38" s="26">
        <v>0</v>
      </c>
      <c r="DW38" s="26">
        <v>0</v>
      </c>
      <c r="DX38" s="26">
        <v>29204.880399999995</v>
      </c>
      <c r="DY38" s="26">
        <v>1191.5257899999999</v>
      </c>
      <c r="DZ38" s="26">
        <v>499.94089100000008</v>
      </c>
      <c r="EA38" s="26">
        <v>16273.076000000001</v>
      </c>
      <c r="EB38" s="26">
        <v>1983.09887</v>
      </c>
      <c r="EC38" s="26">
        <v>13131.780699999999</v>
      </c>
      <c r="ED38" s="26">
        <v>1508.1550199999999</v>
      </c>
      <c r="EE38" s="26">
        <v>2583.0279399999999</v>
      </c>
      <c r="EF38" s="26">
        <v>4107.8476600000004</v>
      </c>
      <c r="EG38" s="26">
        <v>0</v>
      </c>
      <c r="EH38" s="26">
        <v>0</v>
      </c>
      <c r="EI38" s="26">
        <v>0</v>
      </c>
      <c r="EJ38" s="26">
        <v>0</v>
      </c>
      <c r="EK38" s="26">
        <v>0</v>
      </c>
      <c r="EL38" s="26">
        <v>0</v>
      </c>
      <c r="EM38" s="26">
        <v>0</v>
      </c>
      <c r="EN38" s="26">
        <v>0</v>
      </c>
      <c r="EO38" s="26">
        <v>0</v>
      </c>
      <c r="EP38" s="26">
        <v>626.50221799999997</v>
      </c>
      <c r="EQ38" s="26">
        <v>70483.333299999998</v>
      </c>
      <c r="ER38" s="26">
        <v>561.380898</v>
      </c>
      <c r="ES38" s="26">
        <v>25</v>
      </c>
      <c r="ET38" s="26">
        <v>1</v>
      </c>
      <c r="EU38" s="26">
        <v>0</v>
      </c>
      <c r="EV38" s="26">
        <v>0</v>
      </c>
      <c r="EW38" s="26">
        <v>1</v>
      </c>
      <c r="EX38" s="26">
        <v>-151289.80799999999</v>
      </c>
      <c r="EY38" s="26">
        <v>-1344.7633000000001</v>
      </c>
      <c r="EZ38" s="26">
        <v>-94.783400900000004</v>
      </c>
      <c r="FA38" s="26">
        <v>-447.31152200000002</v>
      </c>
      <c r="FB38" s="26">
        <v>-3.9759989600000001</v>
      </c>
      <c r="FC38" s="26">
        <v>1.8600033500000002E-2</v>
      </c>
      <c r="FD38" s="26">
        <v>2.09255821</v>
      </c>
      <c r="FE38" s="26">
        <v>112.502927</v>
      </c>
      <c r="FF38" s="26">
        <v>0</v>
      </c>
      <c r="FG38" s="26">
        <v>0.97188512999999999</v>
      </c>
      <c r="FH38" s="26">
        <v>-226725384.61999997</v>
      </c>
      <c r="FI38" s="26">
        <v>0.1191897662312959</v>
      </c>
      <c r="FJ38" s="26">
        <v>0</v>
      </c>
      <c r="FK38" s="26">
        <v>0</v>
      </c>
      <c r="FL38" s="26">
        <v>0</v>
      </c>
      <c r="FM38" s="26">
        <v>0</v>
      </c>
      <c r="FN38" s="26">
        <v>0</v>
      </c>
      <c r="FO38" s="26">
        <v>0</v>
      </c>
      <c r="FP38" s="26">
        <v>0</v>
      </c>
      <c r="FQ38" s="26">
        <v>0</v>
      </c>
      <c r="FR38" s="26">
        <v>0</v>
      </c>
      <c r="FS38" s="26">
        <v>0</v>
      </c>
      <c r="FT38" s="26">
        <v>0</v>
      </c>
      <c r="FU38" s="26">
        <v>0</v>
      </c>
      <c r="FV38" s="26">
        <v>0</v>
      </c>
      <c r="FW38" s="26">
        <v>0</v>
      </c>
      <c r="FX38" s="26">
        <v>0</v>
      </c>
      <c r="FY38" s="26">
        <v>0</v>
      </c>
      <c r="FZ38" s="26">
        <v>0</v>
      </c>
      <c r="GA38" s="26">
        <v>0</v>
      </c>
      <c r="GB38" s="26">
        <v>0</v>
      </c>
      <c r="GC38" s="26">
        <v>0</v>
      </c>
      <c r="GD38" s="26">
        <v>0</v>
      </c>
      <c r="GE38" s="26">
        <v>0</v>
      </c>
      <c r="GF38" s="26">
        <v>0</v>
      </c>
      <c r="GG38" s="26">
        <v>0</v>
      </c>
      <c r="GH38" s="26">
        <v>0</v>
      </c>
      <c r="GI38" s="26">
        <v>0</v>
      </c>
      <c r="GJ38" s="26">
        <v>0</v>
      </c>
      <c r="GK38" s="26">
        <v>0</v>
      </c>
      <c r="GL38" s="26">
        <v>0</v>
      </c>
      <c r="GM38" s="26">
        <v>0</v>
      </c>
      <c r="GN38" s="26">
        <v>0</v>
      </c>
      <c r="GO38" s="26">
        <v>0</v>
      </c>
      <c r="GP38" s="26">
        <v>0</v>
      </c>
      <c r="GQ38" s="26">
        <v>0</v>
      </c>
      <c r="GR38" s="26">
        <v>0</v>
      </c>
      <c r="GS38" s="26">
        <v>0</v>
      </c>
      <c r="GT38" s="26">
        <v>0</v>
      </c>
      <c r="GU38" s="26">
        <v>0</v>
      </c>
      <c r="GV38" s="26">
        <v>0</v>
      </c>
      <c r="GW38" s="26">
        <v>0</v>
      </c>
      <c r="GX38" s="26">
        <v>0</v>
      </c>
      <c r="GY38" s="26">
        <v>0</v>
      </c>
      <c r="GZ38" s="26">
        <v>0</v>
      </c>
      <c r="HA38" s="26">
        <v>0</v>
      </c>
      <c r="HB38" s="26">
        <v>0</v>
      </c>
      <c r="HC38" s="26">
        <v>0</v>
      </c>
      <c r="HD38" s="26">
        <v>0</v>
      </c>
      <c r="HE38" s="26">
        <v>0</v>
      </c>
      <c r="HF38" s="26">
        <v>0</v>
      </c>
      <c r="HG38" s="26">
        <v>0</v>
      </c>
      <c r="HH38" s="26">
        <v>0</v>
      </c>
      <c r="HI38" s="26">
        <v>0</v>
      </c>
      <c r="HJ38" s="26">
        <v>0</v>
      </c>
      <c r="HK38" s="26">
        <v>0</v>
      </c>
      <c r="HL38" s="26">
        <v>0</v>
      </c>
      <c r="HM38" s="26">
        <v>0</v>
      </c>
      <c r="HN38" s="26">
        <v>0</v>
      </c>
      <c r="HO38" s="26">
        <v>0</v>
      </c>
      <c r="HP38" s="26">
        <v>0</v>
      </c>
      <c r="HQ38" s="26">
        <v>0</v>
      </c>
      <c r="HR38" s="26">
        <v>0</v>
      </c>
      <c r="HS38" s="26">
        <v>0</v>
      </c>
      <c r="HT38" s="26">
        <v>0.74666720041778212</v>
      </c>
    </row>
    <row r="39" spans="2:228" x14ac:dyDescent="0.2">
      <c r="B39" s="27" t="s">
        <v>1340</v>
      </c>
      <c r="C39" s="26">
        <v>104166.667</v>
      </c>
      <c r="D39" s="26">
        <v>-194.94873999999999</v>
      </c>
      <c r="E39" s="26">
        <v>20833.333299999998</v>
      </c>
      <c r="F39" s="26">
        <v>0</v>
      </c>
      <c r="G39" s="26">
        <v>0</v>
      </c>
      <c r="H39" s="26">
        <v>0</v>
      </c>
      <c r="I39" s="26">
        <v>0</v>
      </c>
      <c r="J39" s="26">
        <v>0</v>
      </c>
      <c r="K39" s="26">
        <v>0</v>
      </c>
      <c r="L39" s="26">
        <v>0</v>
      </c>
      <c r="M39" s="26">
        <v>641.66666699999996</v>
      </c>
      <c r="N39" s="26">
        <v>0</v>
      </c>
      <c r="O39" s="26">
        <v>0</v>
      </c>
      <c r="P39" s="26">
        <v>0</v>
      </c>
      <c r="Q39" s="26">
        <v>0</v>
      </c>
      <c r="R39" s="26">
        <v>0</v>
      </c>
      <c r="S39" s="26">
        <v>12208.3333</v>
      </c>
      <c r="T39" s="26">
        <v>0</v>
      </c>
      <c r="U39" s="26">
        <v>0</v>
      </c>
      <c r="V39" s="26">
        <v>0</v>
      </c>
      <c r="W39" s="26">
        <v>0</v>
      </c>
      <c r="X39" s="26">
        <v>0</v>
      </c>
      <c r="Y39" s="26">
        <v>0</v>
      </c>
      <c r="Z39" s="26">
        <v>0</v>
      </c>
      <c r="AA39" s="26">
        <v>0</v>
      </c>
      <c r="AB39" s="26">
        <v>0</v>
      </c>
      <c r="AC39" s="26">
        <v>0</v>
      </c>
      <c r="AD39" s="26">
        <v>0</v>
      </c>
      <c r="AE39" s="26">
        <v>0</v>
      </c>
      <c r="AF39" s="26">
        <v>0</v>
      </c>
      <c r="AG39" s="26">
        <v>0</v>
      </c>
      <c r="AH39" s="26">
        <v>0</v>
      </c>
      <c r="AI39" s="26">
        <v>0</v>
      </c>
      <c r="AJ39" s="26">
        <v>0</v>
      </c>
      <c r="AK39" s="26">
        <v>0</v>
      </c>
      <c r="AL39" s="26">
        <v>0</v>
      </c>
      <c r="AM39" s="26">
        <v>0</v>
      </c>
      <c r="AN39" s="26">
        <v>0</v>
      </c>
      <c r="AO39" s="26">
        <v>0</v>
      </c>
      <c r="AP39" s="26">
        <v>0</v>
      </c>
      <c r="AQ39" s="26">
        <v>0</v>
      </c>
      <c r="AR39" s="26">
        <v>0</v>
      </c>
      <c r="AS39" s="26">
        <v>0</v>
      </c>
      <c r="AT39" s="26">
        <v>0</v>
      </c>
      <c r="AU39" s="26">
        <v>0</v>
      </c>
      <c r="AV39" s="26">
        <v>0</v>
      </c>
      <c r="AW39" s="26">
        <v>0</v>
      </c>
      <c r="AX39" s="26">
        <v>0</v>
      </c>
      <c r="AY39" s="26">
        <v>0</v>
      </c>
      <c r="AZ39" s="26">
        <v>0</v>
      </c>
      <c r="BA39" s="26">
        <v>0</v>
      </c>
      <c r="BB39" s="26">
        <v>0</v>
      </c>
      <c r="BC39" s="26">
        <v>0</v>
      </c>
      <c r="BD39" s="26">
        <v>0</v>
      </c>
      <c r="BE39" s="26">
        <v>0</v>
      </c>
      <c r="BF39" s="26">
        <v>0</v>
      </c>
      <c r="BG39" s="26">
        <v>0</v>
      </c>
      <c r="BH39" s="26">
        <v>0</v>
      </c>
      <c r="BI39" s="26">
        <v>0</v>
      </c>
      <c r="BJ39" s="26">
        <v>0</v>
      </c>
      <c r="BK39" s="26">
        <v>0</v>
      </c>
      <c r="BL39" s="26">
        <v>0</v>
      </c>
      <c r="BM39" s="26">
        <v>0</v>
      </c>
      <c r="BN39" s="26">
        <v>0</v>
      </c>
      <c r="BO39" s="26">
        <v>1226.06502</v>
      </c>
      <c r="BP39" s="26">
        <v>33683.333299999998</v>
      </c>
      <c r="BQ39" s="26">
        <v>435.67472099999998</v>
      </c>
      <c r="BR39" s="26">
        <v>25</v>
      </c>
      <c r="BS39" s="26">
        <v>1</v>
      </c>
      <c r="BT39" s="26">
        <v>0</v>
      </c>
      <c r="BU39" s="26">
        <v>1</v>
      </c>
      <c r="BV39" s="26">
        <v>0</v>
      </c>
      <c r="BW39" s="26">
        <v>-81696.595799999996</v>
      </c>
      <c r="BX39" s="26">
        <v>-2973.7359099999999</v>
      </c>
      <c r="BY39" s="26">
        <v>-100.165339</v>
      </c>
      <c r="BZ39" s="26">
        <v>-51.328981499999998</v>
      </c>
      <c r="CA39" s="26">
        <v>-1.8683622499999999</v>
      </c>
      <c r="CB39" s="26">
        <v>4.6902920200000003E-2</v>
      </c>
      <c r="CC39" s="26">
        <v>1.2885505100000001</v>
      </c>
      <c r="CD39" s="26">
        <v>27.472713800000001</v>
      </c>
      <c r="CE39" s="26">
        <v>527.31302700000003</v>
      </c>
      <c r="CF39" s="26">
        <v>0</v>
      </c>
      <c r="CG39" s="26">
        <v>0</v>
      </c>
      <c r="CH39" s="26">
        <v>0</v>
      </c>
      <c r="CI39" s="26">
        <v>0</v>
      </c>
      <c r="CJ39" s="26">
        <v>0</v>
      </c>
      <c r="CK39" s="26">
        <v>0</v>
      </c>
      <c r="CL39" s="26">
        <v>0</v>
      </c>
      <c r="CM39" s="26">
        <v>0</v>
      </c>
      <c r="CN39" s="26">
        <v>0</v>
      </c>
      <c r="CO39" s="26">
        <v>0</v>
      </c>
      <c r="CP39" s="26">
        <v>0</v>
      </c>
      <c r="CQ39" s="26">
        <v>0</v>
      </c>
      <c r="CR39" s="26">
        <v>0</v>
      </c>
      <c r="CS39" s="26">
        <v>0</v>
      </c>
      <c r="CT39" s="26">
        <v>0</v>
      </c>
      <c r="CU39" s="26">
        <v>0</v>
      </c>
      <c r="CV39" s="26">
        <v>0</v>
      </c>
      <c r="CW39" s="26">
        <v>0</v>
      </c>
      <c r="CX39" s="26">
        <v>0</v>
      </c>
      <c r="CY39" s="26">
        <v>0</v>
      </c>
      <c r="CZ39" s="26">
        <v>0</v>
      </c>
      <c r="DA39" s="26">
        <v>0</v>
      </c>
      <c r="DB39" s="26">
        <v>0</v>
      </c>
      <c r="DC39" s="26">
        <v>0</v>
      </c>
      <c r="DD39" s="26">
        <v>0</v>
      </c>
      <c r="DE39" s="26">
        <v>0</v>
      </c>
      <c r="DF39" s="26">
        <v>0</v>
      </c>
      <c r="DG39" s="26">
        <v>0</v>
      </c>
      <c r="DH39" s="26">
        <v>0</v>
      </c>
      <c r="DI39" s="26">
        <v>0</v>
      </c>
      <c r="DJ39" s="26">
        <v>0</v>
      </c>
      <c r="DK39" s="26">
        <v>0</v>
      </c>
      <c r="DL39" s="26">
        <v>0</v>
      </c>
      <c r="DM39" s="26">
        <v>0</v>
      </c>
      <c r="DN39" s="26">
        <v>0</v>
      </c>
      <c r="DO39" s="26">
        <v>0</v>
      </c>
      <c r="DP39" s="26">
        <v>0</v>
      </c>
      <c r="DQ39" s="26">
        <v>0</v>
      </c>
      <c r="DR39" s="26">
        <v>0</v>
      </c>
      <c r="DS39" s="26">
        <v>0</v>
      </c>
      <c r="DT39" s="26">
        <v>0</v>
      </c>
      <c r="DU39" s="26">
        <v>0</v>
      </c>
      <c r="DV39" s="26">
        <v>0</v>
      </c>
      <c r="DW39" s="26">
        <v>0</v>
      </c>
      <c r="DX39" s="26">
        <v>29204.880399999995</v>
      </c>
      <c r="DY39" s="26">
        <v>1191.5257899999999</v>
      </c>
      <c r="DZ39" s="26">
        <v>499.94089100000008</v>
      </c>
      <c r="EA39" s="26">
        <v>16273.076000000001</v>
      </c>
      <c r="EB39" s="26">
        <v>1983.09887</v>
      </c>
      <c r="EC39" s="26">
        <v>13131.780699999999</v>
      </c>
      <c r="ED39" s="26">
        <v>1508.1550199999999</v>
      </c>
      <c r="EE39" s="26">
        <v>2583.0279399999999</v>
      </c>
      <c r="EF39" s="26">
        <v>4107.8476600000004</v>
      </c>
      <c r="EG39" s="26">
        <v>0</v>
      </c>
      <c r="EH39" s="26">
        <v>0</v>
      </c>
      <c r="EI39" s="26">
        <v>0</v>
      </c>
      <c r="EJ39" s="26">
        <v>0</v>
      </c>
      <c r="EK39" s="26">
        <v>0</v>
      </c>
      <c r="EL39" s="26">
        <v>0</v>
      </c>
      <c r="EM39" s="26">
        <v>0</v>
      </c>
      <c r="EN39" s="26">
        <v>0</v>
      </c>
      <c r="EO39" s="26">
        <v>0</v>
      </c>
      <c r="EP39" s="26">
        <v>626.50221799999997</v>
      </c>
      <c r="EQ39" s="26">
        <v>70483.333299999998</v>
      </c>
      <c r="ER39" s="26">
        <v>561.380898</v>
      </c>
      <c r="ES39" s="26">
        <v>25</v>
      </c>
      <c r="ET39" s="26">
        <v>1</v>
      </c>
      <c r="EU39" s="26">
        <v>0</v>
      </c>
      <c r="EV39" s="26">
        <v>0</v>
      </c>
      <c r="EW39" s="26">
        <v>1</v>
      </c>
      <c r="EX39" s="26">
        <v>-151289.80799999999</v>
      </c>
      <c r="EY39" s="26">
        <v>-1344.7633000000001</v>
      </c>
      <c r="EZ39" s="26">
        <v>-94.783400900000004</v>
      </c>
      <c r="FA39" s="26">
        <v>-447.31152200000002</v>
      </c>
      <c r="FB39" s="26">
        <v>-3.9759989600000001</v>
      </c>
      <c r="FC39" s="26">
        <v>1.8600033500000002E-2</v>
      </c>
      <c r="FD39" s="26">
        <v>2.09255821</v>
      </c>
      <c r="FE39" s="26">
        <v>112.502927</v>
      </c>
      <c r="FF39" s="26">
        <v>0</v>
      </c>
      <c r="FG39" s="26">
        <v>0.97188512999999999</v>
      </c>
      <c r="FH39" s="26">
        <v>-226725384.61999997</v>
      </c>
      <c r="FI39" s="26">
        <v>0.1191897662312959</v>
      </c>
      <c r="FJ39" s="26">
        <v>0</v>
      </c>
      <c r="FK39" s="26">
        <v>0</v>
      </c>
      <c r="FL39" s="26">
        <v>0</v>
      </c>
      <c r="FM39" s="26">
        <v>0</v>
      </c>
      <c r="FN39" s="26">
        <v>0</v>
      </c>
      <c r="FO39" s="26">
        <v>0</v>
      </c>
      <c r="FP39" s="26">
        <v>0</v>
      </c>
      <c r="FQ39" s="26">
        <v>0</v>
      </c>
      <c r="FR39" s="26">
        <v>0</v>
      </c>
      <c r="FS39" s="26">
        <v>0</v>
      </c>
      <c r="FT39" s="26">
        <v>0</v>
      </c>
      <c r="FU39" s="26">
        <v>0</v>
      </c>
      <c r="FV39" s="26">
        <v>0</v>
      </c>
      <c r="FW39" s="26">
        <v>0</v>
      </c>
      <c r="FX39" s="26">
        <v>0</v>
      </c>
      <c r="FY39" s="26">
        <v>0</v>
      </c>
      <c r="FZ39" s="26">
        <v>0</v>
      </c>
      <c r="GA39" s="26">
        <v>0</v>
      </c>
      <c r="GB39" s="26">
        <v>0</v>
      </c>
      <c r="GC39" s="26">
        <v>0</v>
      </c>
      <c r="GD39" s="26">
        <v>0</v>
      </c>
      <c r="GE39" s="26">
        <v>0</v>
      </c>
      <c r="GF39" s="26">
        <v>0</v>
      </c>
      <c r="GG39" s="26">
        <v>0</v>
      </c>
      <c r="GH39" s="26">
        <v>0</v>
      </c>
      <c r="GI39" s="26">
        <v>0</v>
      </c>
      <c r="GJ39" s="26">
        <v>0</v>
      </c>
      <c r="GK39" s="26">
        <v>0</v>
      </c>
      <c r="GL39" s="26">
        <v>0</v>
      </c>
      <c r="GM39" s="26">
        <v>0</v>
      </c>
      <c r="GN39" s="26">
        <v>0</v>
      </c>
      <c r="GO39" s="26">
        <v>0</v>
      </c>
      <c r="GP39" s="26">
        <v>0</v>
      </c>
      <c r="GQ39" s="26">
        <v>0</v>
      </c>
      <c r="GR39" s="26">
        <v>0</v>
      </c>
      <c r="GS39" s="26">
        <v>0</v>
      </c>
      <c r="GT39" s="26">
        <v>0</v>
      </c>
      <c r="GU39" s="26">
        <v>0</v>
      </c>
      <c r="GV39" s="26">
        <v>0</v>
      </c>
      <c r="GW39" s="26">
        <v>0</v>
      </c>
      <c r="GX39" s="26">
        <v>0</v>
      </c>
      <c r="GY39" s="26">
        <v>0</v>
      </c>
      <c r="GZ39" s="26">
        <v>0</v>
      </c>
      <c r="HA39" s="26">
        <v>0</v>
      </c>
      <c r="HB39" s="26">
        <v>0</v>
      </c>
      <c r="HC39" s="26">
        <v>0</v>
      </c>
      <c r="HD39" s="26">
        <v>0</v>
      </c>
      <c r="HE39" s="26">
        <v>0</v>
      </c>
      <c r="HF39" s="26">
        <v>0</v>
      </c>
      <c r="HG39" s="26">
        <v>0</v>
      </c>
      <c r="HH39" s="26">
        <v>0</v>
      </c>
      <c r="HI39" s="26">
        <v>0</v>
      </c>
      <c r="HJ39" s="26">
        <v>0</v>
      </c>
      <c r="HK39" s="26">
        <v>0</v>
      </c>
      <c r="HL39" s="26">
        <v>0</v>
      </c>
      <c r="HM39" s="26">
        <v>0</v>
      </c>
      <c r="HN39" s="26">
        <v>0</v>
      </c>
      <c r="HO39" s="26">
        <v>0</v>
      </c>
      <c r="HP39" s="26">
        <v>0</v>
      </c>
      <c r="HQ39" s="26">
        <v>0</v>
      </c>
      <c r="HR39" s="26">
        <v>0</v>
      </c>
      <c r="HS39" s="26">
        <v>0</v>
      </c>
      <c r="HT39" s="26">
        <v>0.74666720041778212</v>
      </c>
    </row>
    <row r="40" spans="2:228" x14ac:dyDescent="0.2">
      <c r="B40" s="27" t="s">
        <v>2870</v>
      </c>
      <c r="C40" s="26">
        <v>248657.12700000001</v>
      </c>
      <c r="D40" s="26">
        <v>-726.65923299999997</v>
      </c>
      <c r="E40" s="26">
        <v>165323.79399999999</v>
      </c>
      <c r="F40" s="26">
        <v>0</v>
      </c>
      <c r="G40" s="26">
        <v>0</v>
      </c>
      <c r="H40" s="26">
        <v>0</v>
      </c>
      <c r="I40" s="26">
        <v>0</v>
      </c>
      <c r="J40" s="26">
        <v>0</v>
      </c>
      <c r="K40" s="26">
        <v>0</v>
      </c>
      <c r="L40" s="26">
        <v>0</v>
      </c>
      <c r="M40" s="26">
        <v>641.66666699999996</v>
      </c>
      <c r="N40" s="26">
        <v>0</v>
      </c>
      <c r="O40" s="26">
        <v>0</v>
      </c>
      <c r="P40" s="26">
        <v>0</v>
      </c>
      <c r="Q40" s="26">
        <v>0</v>
      </c>
      <c r="R40" s="26">
        <v>0</v>
      </c>
      <c r="S40" s="26">
        <v>12208.3333</v>
      </c>
      <c r="T40" s="26">
        <v>0</v>
      </c>
      <c r="U40" s="26">
        <v>0</v>
      </c>
      <c r="V40" s="26">
        <v>0</v>
      </c>
      <c r="W40" s="26">
        <v>0</v>
      </c>
      <c r="X40" s="26">
        <v>0</v>
      </c>
      <c r="Y40" s="26">
        <v>0</v>
      </c>
      <c r="Z40" s="26">
        <v>0</v>
      </c>
      <c r="AA40" s="26">
        <v>0</v>
      </c>
      <c r="AB40" s="26">
        <v>0</v>
      </c>
      <c r="AC40" s="26">
        <v>0</v>
      </c>
      <c r="AD40" s="26">
        <v>0</v>
      </c>
      <c r="AE40" s="26">
        <v>0</v>
      </c>
      <c r="AF40" s="26">
        <v>0</v>
      </c>
      <c r="AG40" s="26">
        <v>0</v>
      </c>
      <c r="AH40" s="26">
        <v>0</v>
      </c>
      <c r="AI40" s="26">
        <v>0</v>
      </c>
      <c r="AJ40" s="26">
        <v>0</v>
      </c>
      <c r="AK40" s="26">
        <v>0</v>
      </c>
      <c r="AL40" s="26">
        <v>0</v>
      </c>
      <c r="AM40" s="26">
        <v>0</v>
      </c>
      <c r="AN40" s="26">
        <v>0</v>
      </c>
      <c r="AO40" s="26">
        <v>0</v>
      </c>
      <c r="AP40" s="26">
        <v>0</v>
      </c>
      <c r="AQ40" s="26">
        <v>0</v>
      </c>
      <c r="AR40" s="26">
        <v>0</v>
      </c>
      <c r="AS40" s="26">
        <v>0</v>
      </c>
      <c r="AT40" s="26">
        <v>0</v>
      </c>
      <c r="AU40" s="26">
        <v>0</v>
      </c>
      <c r="AV40" s="26">
        <v>0</v>
      </c>
      <c r="AW40" s="26">
        <v>0</v>
      </c>
      <c r="AX40" s="26">
        <v>0</v>
      </c>
      <c r="AY40" s="26">
        <v>0</v>
      </c>
      <c r="AZ40" s="26">
        <v>0</v>
      </c>
      <c r="BA40" s="26">
        <v>0</v>
      </c>
      <c r="BB40" s="26">
        <v>0</v>
      </c>
      <c r="BC40" s="26">
        <v>0</v>
      </c>
      <c r="BD40" s="26">
        <v>0</v>
      </c>
      <c r="BE40" s="26">
        <v>0</v>
      </c>
      <c r="BF40" s="26">
        <v>0</v>
      </c>
      <c r="BG40" s="26">
        <v>0</v>
      </c>
      <c r="BH40" s="26">
        <v>0</v>
      </c>
      <c r="BI40" s="26">
        <v>0</v>
      </c>
      <c r="BJ40" s="26">
        <v>0</v>
      </c>
      <c r="BK40" s="26">
        <v>0</v>
      </c>
      <c r="BL40" s="26">
        <v>0</v>
      </c>
      <c r="BM40" s="26">
        <v>0</v>
      </c>
      <c r="BN40" s="26">
        <v>0</v>
      </c>
      <c r="BO40" s="26">
        <v>9246.5043700000006</v>
      </c>
      <c r="BP40" s="26">
        <v>178173.79399999999</v>
      </c>
      <c r="BQ40" s="26">
        <v>3140.6321499999999</v>
      </c>
      <c r="BR40" s="26">
        <v>108.52427899999998</v>
      </c>
      <c r="BS40" s="26">
        <v>294.761999</v>
      </c>
      <c r="BT40" s="26">
        <v>0</v>
      </c>
      <c r="BU40" s="26">
        <v>1</v>
      </c>
      <c r="BV40" s="26">
        <v>0</v>
      </c>
      <c r="BW40" s="26">
        <v>-68470.305900000007</v>
      </c>
      <c r="BX40" s="26">
        <v>-3553.3339000000001</v>
      </c>
      <c r="BY40" s="26">
        <v>-633.11098700000002</v>
      </c>
      <c r="BZ40" s="26">
        <v>-35.943821</v>
      </c>
      <c r="CA40" s="26">
        <v>-1.86533996</v>
      </c>
      <c r="CB40" s="26">
        <v>4.9069230999999998E-2</v>
      </c>
      <c r="CC40" s="26">
        <v>0.94553040899999996</v>
      </c>
      <c r="CD40" s="26">
        <v>19.269313799999999</v>
      </c>
      <c r="CE40" s="26">
        <v>2940.1284999999998</v>
      </c>
      <c r="CF40" s="26">
        <v>0</v>
      </c>
      <c r="CG40" s="26">
        <v>0</v>
      </c>
      <c r="CH40" s="26">
        <v>0</v>
      </c>
      <c r="CI40" s="26">
        <v>0</v>
      </c>
      <c r="CJ40" s="26">
        <v>0</v>
      </c>
      <c r="CK40" s="26">
        <v>0</v>
      </c>
      <c r="CL40" s="26">
        <v>0</v>
      </c>
      <c r="CM40" s="26">
        <v>0</v>
      </c>
      <c r="CN40" s="26">
        <v>0</v>
      </c>
      <c r="CO40" s="26">
        <v>0</v>
      </c>
      <c r="CP40" s="26">
        <v>0</v>
      </c>
      <c r="CQ40" s="26">
        <v>0</v>
      </c>
      <c r="CR40" s="26">
        <v>0</v>
      </c>
      <c r="CS40" s="26">
        <v>0</v>
      </c>
      <c r="CT40" s="26">
        <v>0</v>
      </c>
      <c r="CU40" s="26">
        <v>0</v>
      </c>
      <c r="CV40" s="26">
        <v>0</v>
      </c>
      <c r="CW40" s="26">
        <v>0</v>
      </c>
      <c r="CX40" s="26">
        <v>0</v>
      </c>
      <c r="CY40" s="26">
        <v>0</v>
      </c>
      <c r="CZ40" s="26">
        <v>0</v>
      </c>
      <c r="DA40" s="26">
        <v>0</v>
      </c>
      <c r="DB40" s="26">
        <v>0</v>
      </c>
      <c r="DC40" s="26">
        <v>0</v>
      </c>
      <c r="DD40" s="26">
        <v>0</v>
      </c>
      <c r="DE40" s="26">
        <v>0</v>
      </c>
      <c r="DF40" s="26">
        <v>0</v>
      </c>
      <c r="DG40" s="26">
        <v>0</v>
      </c>
      <c r="DH40" s="26">
        <v>0</v>
      </c>
      <c r="DI40" s="26">
        <v>0</v>
      </c>
      <c r="DJ40" s="26">
        <v>0</v>
      </c>
      <c r="DK40" s="26">
        <v>0</v>
      </c>
      <c r="DL40" s="26">
        <v>0</v>
      </c>
      <c r="DM40" s="26">
        <v>0</v>
      </c>
      <c r="DN40" s="26">
        <v>0</v>
      </c>
      <c r="DO40" s="26">
        <v>0</v>
      </c>
      <c r="DP40" s="26">
        <v>0</v>
      </c>
      <c r="DQ40" s="26">
        <v>0</v>
      </c>
      <c r="DR40" s="26">
        <v>0</v>
      </c>
      <c r="DS40" s="26">
        <v>0</v>
      </c>
      <c r="DT40" s="26">
        <v>0</v>
      </c>
      <c r="DU40" s="26">
        <v>0</v>
      </c>
      <c r="DV40" s="26">
        <v>0</v>
      </c>
      <c r="DW40" s="26">
        <v>0</v>
      </c>
      <c r="DX40" s="26">
        <v>29204.880399999995</v>
      </c>
      <c r="DY40" s="26">
        <v>1191.5257899999999</v>
      </c>
      <c r="DZ40" s="26">
        <v>499.94089100000008</v>
      </c>
      <c r="EA40" s="26">
        <v>16273.076000000001</v>
      </c>
      <c r="EB40" s="26">
        <v>1983.09887</v>
      </c>
      <c r="EC40" s="26">
        <v>13131.780699999999</v>
      </c>
      <c r="ED40" s="26">
        <v>1508.1550199999999</v>
      </c>
      <c r="EE40" s="26">
        <v>2583.0279399999999</v>
      </c>
      <c r="EF40" s="26">
        <v>4107.8476600000004</v>
      </c>
      <c r="EG40" s="26">
        <v>0</v>
      </c>
      <c r="EH40" s="26">
        <v>0</v>
      </c>
      <c r="EI40" s="26">
        <v>0</v>
      </c>
      <c r="EJ40" s="26">
        <v>0</v>
      </c>
      <c r="EK40" s="26">
        <v>0</v>
      </c>
      <c r="EL40" s="26">
        <v>0</v>
      </c>
      <c r="EM40" s="26">
        <v>0</v>
      </c>
      <c r="EN40" s="26">
        <v>0</v>
      </c>
      <c r="EO40" s="26">
        <v>0</v>
      </c>
      <c r="EP40" s="26">
        <v>626.50221799999997</v>
      </c>
      <c r="EQ40" s="26">
        <v>70483.333299999998</v>
      </c>
      <c r="ER40" s="26">
        <v>562.17721100000006</v>
      </c>
      <c r="ES40" s="26">
        <v>108.52427899999998</v>
      </c>
      <c r="ET40" s="26">
        <v>294.761999</v>
      </c>
      <c r="EU40" s="26">
        <v>0</v>
      </c>
      <c r="EV40" s="26">
        <v>0</v>
      </c>
      <c r="EW40" s="26">
        <v>1</v>
      </c>
      <c r="EX40" s="26">
        <v>-149318.29800000001</v>
      </c>
      <c r="EY40" s="26">
        <v>-1327.2392299999999</v>
      </c>
      <c r="EZ40" s="26">
        <v>-93.548245800000004</v>
      </c>
      <c r="FA40" s="26">
        <v>-441.503581</v>
      </c>
      <c r="FB40" s="26">
        <v>-3.9243741700000006</v>
      </c>
      <c r="FC40" s="26">
        <v>1.8573686900000001E-2</v>
      </c>
      <c r="FD40" s="26">
        <v>2.0895941499999999</v>
      </c>
      <c r="FE40" s="26">
        <v>112.502927</v>
      </c>
      <c r="FF40" s="26">
        <v>0</v>
      </c>
      <c r="FG40" s="26">
        <v>0.40713908100000001</v>
      </c>
      <c r="FH40" s="26">
        <v>-863179508.30299997</v>
      </c>
      <c r="FI40" s="26">
        <v>0.1191897662312959</v>
      </c>
      <c r="FJ40" s="26">
        <v>0</v>
      </c>
      <c r="FK40" s="26">
        <v>0</v>
      </c>
      <c r="FL40" s="26">
        <v>0</v>
      </c>
      <c r="FM40" s="26">
        <v>0</v>
      </c>
      <c r="FN40" s="26">
        <v>0</v>
      </c>
      <c r="FO40" s="26">
        <v>0</v>
      </c>
      <c r="FP40" s="26">
        <v>0</v>
      </c>
      <c r="FQ40" s="26">
        <v>0</v>
      </c>
      <c r="FR40" s="26">
        <v>0</v>
      </c>
      <c r="FS40" s="26">
        <v>0</v>
      </c>
      <c r="FT40" s="26">
        <v>0</v>
      </c>
      <c r="FU40" s="26">
        <v>0</v>
      </c>
      <c r="FV40" s="26">
        <v>0</v>
      </c>
      <c r="FW40" s="26">
        <v>0</v>
      </c>
      <c r="FX40" s="26">
        <v>0</v>
      </c>
      <c r="FY40" s="26">
        <v>0</v>
      </c>
      <c r="FZ40" s="26">
        <v>0</v>
      </c>
      <c r="GA40" s="26">
        <v>0</v>
      </c>
      <c r="GB40" s="26">
        <v>0</v>
      </c>
      <c r="GC40" s="26">
        <v>0</v>
      </c>
      <c r="GD40" s="26">
        <v>0</v>
      </c>
      <c r="GE40" s="26">
        <v>0</v>
      </c>
      <c r="GF40" s="26">
        <v>0</v>
      </c>
      <c r="GG40" s="26">
        <v>0</v>
      </c>
      <c r="GH40" s="26">
        <v>0</v>
      </c>
      <c r="GI40" s="26">
        <v>0</v>
      </c>
      <c r="GJ40" s="26">
        <v>0</v>
      </c>
      <c r="GK40" s="26">
        <v>0</v>
      </c>
      <c r="GL40" s="26">
        <v>0</v>
      </c>
      <c r="GM40" s="26">
        <v>0</v>
      </c>
      <c r="GN40" s="26">
        <v>0</v>
      </c>
      <c r="GO40" s="26">
        <v>0</v>
      </c>
      <c r="GP40" s="26">
        <v>0</v>
      </c>
      <c r="GQ40" s="26">
        <v>0</v>
      </c>
      <c r="GR40" s="26">
        <v>0</v>
      </c>
      <c r="GS40" s="26">
        <v>0</v>
      </c>
      <c r="GT40" s="26">
        <v>0</v>
      </c>
      <c r="GU40" s="26">
        <v>0</v>
      </c>
      <c r="GV40" s="26">
        <v>0</v>
      </c>
      <c r="GW40" s="26">
        <v>0</v>
      </c>
      <c r="GX40" s="26">
        <v>0</v>
      </c>
      <c r="GY40" s="26">
        <v>0</v>
      </c>
      <c r="GZ40" s="26">
        <v>0</v>
      </c>
      <c r="HA40" s="26">
        <v>0</v>
      </c>
      <c r="HB40" s="26">
        <v>0</v>
      </c>
      <c r="HC40" s="26">
        <v>0</v>
      </c>
      <c r="HD40" s="26">
        <v>0</v>
      </c>
      <c r="HE40" s="26">
        <v>0</v>
      </c>
      <c r="HF40" s="26">
        <v>0</v>
      </c>
      <c r="HG40" s="26">
        <v>0</v>
      </c>
      <c r="HH40" s="26">
        <v>0</v>
      </c>
      <c r="HI40" s="26">
        <v>0</v>
      </c>
      <c r="HJ40" s="26">
        <v>0</v>
      </c>
      <c r="HK40" s="26">
        <v>0</v>
      </c>
      <c r="HL40" s="26">
        <v>0</v>
      </c>
      <c r="HM40" s="26">
        <v>0</v>
      </c>
      <c r="HN40" s="26">
        <v>0</v>
      </c>
      <c r="HO40" s="26">
        <v>0</v>
      </c>
      <c r="HP40" s="26">
        <v>0</v>
      </c>
      <c r="HQ40" s="26">
        <v>0</v>
      </c>
      <c r="HR40" s="26">
        <v>0</v>
      </c>
      <c r="HS40" s="26">
        <v>0</v>
      </c>
      <c r="HT40" s="26">
        <v>0.74666720041778212</v>
      </c>
    </row>
    <row r="41" spans="2:228" x14ac:dyDescent="0.2">
      <c r="B41" s="27" t="s">
        <v>2869</v>
      </c>
      <c r="C41" s="26">
        <v>245166.11</v>
      </c>
      <c r="D41" s="26">
        <v>-717.57506599999999</v>
      </c>
      <c r="E41" s="26">
        <v>161832.77600000001</v>
      </c>
      <c r="F41" s="26">
        <v>0</v>
      </c>
      <c r="G41" s="26">
        <v>0</v>
      </c>
      <c r="H41" s="26">
        <v>0</v>
      </c>
      <c r="I41" s="26">
        <v>0</v>
      </c>
      <c r="J41" s="26">
        <v>0</v>
      </c>
      <c r="K41" s="26">
        <v>0</v>
      </c>
      <c r="L41" s="26">
        <v>0</v>
      </c>
      <c r="M41" s="26">
        <v>641.66666699999996</v>
      </c>
      <c r="N41" s="26">
        <v>0</v>
      </c>
      <c r="O41" s="26">
        <v>0</v>
      </c>
      <c r="P41" s="26">
        <v>0</v>
      </c>
      <c r="Q41" s="26">
        <v>0</v>
      </c>
      <c r="R41" s="26">
        <v>0</v>
      </c>
      <c r="S41" s="26">
        <v>12208.3333</v>
      </c>
      <c r="T41" s="26">
        <v>0</v>
      </c>
      <c r="U41" s="26">
        <v>0</v>
      </c>
      <c r="V41" s="26">
        <v>0</v>
      </c>
      <c r="W41" s="26">
        <v>0</v>
      </c>
      <c r="X41" s="26">
        <v>0</v>
      </c>
      <c r="Y41" s="26">
        <v>0</v>
      </c>
      <c r="Z41" s="26">
        <v>0</v>
      </c>
      <c r="AA41" s="26">
        <v>0</v>
      </c>
      <c r="AB41" s="26">
        <v>0</v>
      </c>
      <c r="AC41" s="26">
        <v>0</v>
      </c>
      <c r="AD41" s="26">
        <v>0</v>
      </c>
      <c r="AE41" s="26">
        <v>0</v>
      </c>
      <c r="AF41" s="26">
        <v>0</v>
      </c>
      <c r="AG41" s="26">
        <v>0</v>
      </c>
      <c r="AH41" s="26">
        <v>0</v>
      </c>
      <c r="AI41" s="26">
        <v>0</v>
      </c>
      <c r="AJ41" s="26">
        <v>0</v>
      </c>
      <c r="AK41" s="26">
        <v>0</v>
      </c>
      <c r="AL41" s="26">
        <v>0</v>
      </c>
      <c r="AM41" s="26">
        <v>0</v>
      </c>
      <c r="AN41" s="26">
        <v>0</v>
      </c>
      <c r="AO41" s="26">
        <v>0</v>
      </c>
      <c r="AP41" s="26">
        <v>0</v>
      </c>
      <c r="AQ41" s="26">
        <v>0</v>
      </c>
      <c r="AR41" s="26">
        <v>0</v>
      </c>
      <c r="AS41" s="26">
        <v>0</v>
      </c>
      <c r="AT41" s="26">
        <v>0</v>
      </c>
      <c r="AU41" s="26">
        <v>0</v>
      </c>
      <c r="AV41" s="26">
        <v>0</v>
      </c>
      <c r="AW41" s="26">
        <v>0</v>
      </c>
      <c r="AX41" s="26">
        <v>0</v>
      </c>
      <c r="AY41" s="26">
        <v>0</v>
      </c>
      <c r="AZ41" s="26">
        <v>0</v>
      </c>
      <c r="BA41" s="26">
        <v>0</v>
      </c>
      <c r="BB41" s="26">
        <v>0</v>
      </c>
      <c r="BC41" s="26">
        <v>0</v>
      </c>
      <c r="BD41" s="26">
        <v>0</v>
      </c>
      <c r="BE41" s="26">
        <v>0</v>
      </c>
      <c r="BF41" s="26">
        <v>0</v>
      </c>
      <c r="BG41" s="26">
        <v>0</v>
      </c>
      <c r="BH41" s="26">
        <v>0</v>
      </c>
      <c r="BI41" s="26">
        <v>0</v>
      </c>
      <c r="BJ41" s="26">
        <v>0</v>
      </c>
      <c r="BK41" s="26">
        <v>0</v>
      </c>
      <c r="BL41" s="26">
        <v>0</v>
      </c>
      <c r="BM41" s="26">
        <v>0</v>
      </c>
      <c r="BN41" s="26">
        <v>0</v>
      </c>
      <c r="BO41" s="26">
        <v>9052.7234399999998</v>
      </c>
      <c r="BP41" s="26">
        <v>174682.77600000001</v>
      </c>
      <c r="BQ41" s="26">
        <v>3006.3946999999998</v>
      </c>
      <c r="BR41" s="26">
        <v>88.83566380000002</v>
      </c>
      <c r="BS41" s="26">
        <v>300.26088199999998</v>
      </c>
      <c r="BT41" s="26">
        <v>0</v>
      </c>
      <c r="BU41" s="26">
        <v>1</v>
      </c>
      <c r="BV41" s="26">
        <v>0</v>
      </c>
      <c r="BW41" s="26">
        <v>-68898.121499999994</v>
      </c>
      <c r="BX41" s="26">
        <v>-3570.5617499999998</v>
      </c>
      <c r="BY41" s="26">
        <v>-623.71564499999999</v>
      </c>
      <c r="BZ41" s="26">
        <v>-37.011660399999997</v>
      </c>
      <c r="CA41" s="26">
        <v>-1.9180845</v>
      </c>
      <c r="CB41" s="26">
        <v>5.0185932799999999E-2</v>
      </c>
      <c r="CC41" s="26">
        <v>0.96839565800000005</v>
      </c>
      <c r="CD41" s="26">
        <v>19.296157399999998</v>
      </c>
      <c r="CE41" s="26">
        <v>2881.8327399999998</v>
      </c>
      <c r="CF41" s="26">
        <v>0</v>
      </c>
      <c r="CG41" s="26">
        <v>0</v>
      </c>
      <c r="CH41" s="26">
        <v>0</v>
      </c>
      <c r="CI41" s="26">
        <v>0</v>
      </c>
      <c r="CJ41" s="26">
        <v>0</v>
      </c>
      <c r="CK41" s="26">
        <v>0</v>
      </c>
      <c r="CL41" s="26">
        <v>0</v>
      </c>
      <c r="CM41" s="26">
        <v>0</v>
      </c>
      <c r="CN41" s="26">
        <v>0</v>
      </c>
      <c r="CO41" s="26">
        <v>0</v>
      </c>
      <c r="CP41" s="26">
        <v>0</v>
      </c>
      <c r="CQ41" s="26">
        <v>0</v>
      </c>
      <c r="CR41" s="26">
        <v>0</v>
      </c>
      <c r="CS41" s="26">
        <v>0</v>
      </c>
      <c r="CT41" s="26">
        <v>0</v>
      </c>
      <c r="CU41" s="26">
        <v>0</v>
      </c>
      <c r="CV41" s="26">
        <v>0</v>
      </c>
      <c r="CW41" s="26">
        <v>0</v>
      </c>
      <c r="CX41" s="26">
        <v>0</v>
      </c>
      <c r="CY41" s="26">
        <v>0</v>
      </c>
      <c r="CZ41" s="26">
        <v>0</v>
      </c>
      <c r="DA41" s="26">
        <v>0</v>
      </c>
      <c r="DB41" s="26">
        <v>0</v>
      </c>
      <c r="DC41" s="26">
        <v>0</v>
      </c>
      <c r="DD41" s="26">
        <v>0</v>
      </c>
      <c r="DE41" s="26">
        <v>0</v>
      </c>
      <c r="DF41" s="26">
        <v>0</v>
      </c>
      <c r="DG41" s="26">
        <v>0</v>
      </c>
      <c r="DH41" s="26">
        <v>0</v>
      </c>
      <c r="DI41" s="26">
        <v>0</v>
      </c>
      <c r="DJ41" s="26">
        <v>0</v>
      </c>
      <c r="DK41" s="26">
        <v>0</v>
      </c>
      <c r="DL41" s="26">
        <v>0</v>
      </c>
      <c r="DM41" s="26">
        <v>0</v>
      </c>
      <c r="DN41" s="26">
        <v>0</v>
      </c>
      <c r="DO41" s="26">
        <v>0</v>
      </c>
      <c r="DP41" s="26">
        <v>0</v>
      </c>
      <c r="DQ41" s="26">
        <v>0</v>
      </c>
      <c r="DR41" s="26">
        <v>0</v>
      </c>
      <c r="DS41" s="26">
        <v>0</v>
      </c>
      <c r="DT41" s="26">
        <v>0</v>
      </c>
      <c r="DU41" s="26">
        <v>0</v>
      </c>
      <c r="DV41" s="26">
        <v>0</v>
      </c>
      <c r="DW41" s="26">
        <v>0</v>
      </c>
      <c r="DX41" s="26">
        <v>29204.880399999995</v>
      </c>
      <c r="DY41" s="26">
        <v>1191.5257899999999</v>
      </c>
      <c r="DZ41" s="26">
        <v>499.94089100000008</v>
      </c>
      <c r="EA41" s="26">
        <v>16273.076000000001</v>
      </c>
      <c r="EB41" s="26">
        <v>1983.09887</v>
      </c>
      <c r="EC41" s="26">
        <v>13131.780699999999</v>
      </c>
      <c r="ED41" s="26">
        <v>1508.1550199999999</v>
      </c>
      <c r="EE41" s="26">
        <v>2583.0279399999999</v>
      </c>
      <c r="EF41" s="26">
        <v>4107.8476600000004</v>
      </c>
      <c r="EG41" s="26">
        <v>0</v>
      </c>
      <c r="EH41" s="26">
        <v>0</v>
      </c>
      <c r="EI41" s="26">
        <v>0</v>
      </c>
      <c r="EJ41" s="26">
        <v>0</v>
      </c>
      <c r="EK41" s="26">
        <v>0</v>
      </c>
      <c r="EL41" s="26">
        <v>0</v>
      </c>
      <c r="EM41" s="26">
        <v>0</v>
      </c>
      <c r="EN41" s="26">
        <v>0</v>
      </c>
      <c r="EO41" s="26">
        <v>0</v>
      </c>
      <c r="EP41" s="26">
        <v>626.50221799999997</v>
      </c>
      <c r="EQ41" s="26">
        <v>70483.333299999998</v>
      </c>
      <c r="ER41" s="26">
        <v>561.98382400000003</v>
      </c>
      <c r="ES41" s="26">
        <v>88.83566380000002</v>
      </c>
      <c r="ET41" s="26">
        <v>300.26088199999998</v>
      </c>
      <c r="EU41" s="26">
        <v>0</v>
      </c>
      <c r="EV41" s="26">
        <v>0</v>
      </c>
      <c r="EW41" s="26">
        <v>1</v>
      </c>
      <c r="EX41" s="26">
        <v>-149814.986</v>
      </c>
      <c r="EY41" s="26">
        <v>-1331.6541099999999</v>
      </c>
      <c r="EZ41" s="26">
        <v>-93.859421499999996</v>
      </c>
      <c r="FA41" s="26">
        <v>-442.839451</v>
      </c>
      <c r="FB41" s="26">
        <v>-3.9362482599999997</v>
      </c>
      <c r="FC41" s="26">
        <v>1.8580078399999998E-2</v>
      </c>
      <c r="FD41" s="26">
        <v>2.0903132100000001</v>
      </c>
      <c r="FE41" s="26">
        <v>112.502927</v>
      </c>
      <c r="FF41" s="26">
        <v>0</v>
      </c>
      <c r="FG41" s="26">
        <v>0.41293649700000001</v>
      </c>
      <c r="FH41" s="26">
        <v>-847802212.98100007</v>
      </c>
      <c r="FI41" s="26">
        <v>0.1191897662312959</v>
      </c>
      <c r="FJ41" s="26">
        <v>0</v>
      </c>
      <c r="FK41" s="26">
        <v>0</v>
      </c>
      <c r="FL41" s="26">
        <v>0</v>
      </c>
      <c r="FM41" s="26">
        <v>0</v>
      </c>
      <c r="FN41" s="26">
        <v>0</v>
      </c>
      <c r="FO41" s="26">
        <v>0</v>
      </c>
      <c r="FP41" s="26">
        <v>0</v>
      </c>
      <c r="FQ41" s="26">
        <v>0</v>
      </c>
      <c r="FR41" s="26">
        <v>0</v>
      </c>
      <c r="FS41" s="26">
        <v>0</v>
      </c>
      <c r="FT41" s="26">
        <v>0</v>
      </c>
      <c r="FU41" s="26">
        <v>0</v>
      </c>
      <c r="FV41" s="26">
        <v>0</v>
      </c>
      <c r="FW41" s="26">
        <v>0</v>
      </c>
      <c r="FX41" s="26">
        <v>0</v>
      </c>
      <c r="FY41" s="26">
        <v>0</v>
      </c>
      <c r="FZ41" s="26">
        <v>0</v>
      </c>
      <c r="GA41" s="26">
        <v>0</v>
      </c>
      <c r="GB41" s="26">
        <v>0</v>
      </c>
      <c r="GC41" s="26">
        <v>0</v>
      </c>
      <c r="GD41" s="26">
        <v>0</v>
      </c>
      <c r="GE41" s="26">
        <v>0</v>
      </c>
      <c r="GF41" s="26">
        <v>0</v>
      </c>
      <c r="GG41" s="26">
        <v>0</v>
      </c>
      <c r="GH41" s="26">
        <v>0</v>
      </c>
      <c r="GI41" s="26">
        <v>0</v>
      </c>
      <c r="GJ41" s="26">
        <v>0</v>
      </c>
      <c r="GK41" s="26">
        <v>0</v>
      </c>
      <c r="GL41" s="26">
        <v>0</v>
      </c>
      <c r="GM41" s="26">
        <v>0</v>
      </c>
      <c r="GN41" s="26">
        <v>0</v>
      </c>
      <c r="GO41" s="26">
        <v>0</v>
      </c>
      <c r="GP41" s="26">
        <v>0</v>
      </c>
      <c r="GQ41" s="26">
        <v>0</v>
      </c>
      <c r="GR41" s="26">
        <v>0</v>
      </c>
      <c r="GS41" s="26">
        <v>0</v>
      </c>
      <c r="GT41" s="26">
        <v>0</v>
      </c>
      <c r="GU41" s="26">
        <v>0</v>
      </c>
      <c r="GV41" s="26">
        <v>0</v>
      </c>
      <c r="GW41" s="26">
        <v>0</v>
      </c>
      <c r="GX41" s="26">
        <v>0</v>
      </c>
      <c r="GY41" s="26">
        <v>0</v>
      </c>
      <c r="GZ41" s="26">
        <v>0</v>
      </c>
      <c r="HA41" s="26">
        <v>0</v>
      </c>
      <c r="HB41" s="26">
        <v>0</v>
      </c>
      <c r="HC41" s="26">
        <v>0</v>
      </c>
      <c r="HD41" s="26">
        <v>0</v>
      </c>
      <c r="HE41" s="26">
        <v>0</v>
      </c>
      <c r="HF41" s="26">
        <v>0</v>
      </c>
      <c r="HG41" s="26">
        <v>0</v>
      </c>
      <c r="HH41" s="26">
        <v>0</v>
      </c>
      <c r="HI41" s="26">
        <v>0</v>
      </c>
      <c r="HJ41" s="26">
        <v>0</v>
      </c>
      <c r="HK41" s="26">
        <v>0</v>
      </c>
      <c r="HL41" s="26">
        <v>0</v>
      </c>
      <c r="HM41" s="26">
        <v>0</v>
      </c>
      <c r="HN41" s="26">
        <v>0</v>
      </c>
      <c r="HO41" s="26">
        <v>0</v>
      </c>
      <c r="HP41" s="26">
        <v>0</v>
      </c>
      <c r="HQ41" s="26">
        <v>0</v>
      </c>
      <c r="HR41" s="26">
        <v>0</v>
      </c>
      <c r="HS41" s="26">
        <v>0</v>
      </c>
      <c r="HT41" s="26">
        <v>0.74666720041778212</v>
      </c>
    </row>
    <row r="42" spans="2:228" x14ac:dyDescent="0.2">
      <c r="B42" s="27" t="s">
        <v>3163</v>
      </c>
      <c r="C42" s="26">
        <v>245166.11</v>
      </c>
      <c r="D42" s="26">
        <v>-717.57506599999999</v>
      </c>
      <c r="E42" s="26">
        <v>161832.77600000001</v>
      </c>
      <c r="F42" s="26">
        <v>0</v>
      </c>
      <c r="G42" s="26">
        <v>0</v>
      </c>
      <c r="H42" s="26">
        <v>0</v>
      </c>
      <c r="I42" s="26">
        <v>0</v>
      </c>
      <c r="J42" s="26">
        <v>0</v>
      </c>
      <c r="K42" s="26">
        <v>0</v>
      </c>
      <c r="L42" s="26">
        <v>0</v>
      </c>
      <c r="M42" s="26">
        <v>641.66666699999996</v>
      </c>
      <c r="N42" s="26">
        <v>0</v>
      </c>
      <c r="O42" s="26">
        <v>0</v>
      </c>
      <c r="P42" s="26">
        <v>0</v>
      </c>
      <c r="Q42" s="26">
        <v>0</v>
      </c>
      <c r="R42" s="26">
        <v>0</v>
      </c>
      <c r="S42" s="26">
        <v>12208.3333</v>
      </c>
      <c r="T42" s="26">
        <v>0</v>
      </c>
      <c r="U42" s="26">
        <v>0</v>
      </c>
      <c r="V42" s="26">
        <v>0</v>
      </c>
      <c r="W42" s="26">
        <v>0</v>
      </c>
      <c r="X42" s="26">
        <v>0</v>
      </c>
      <c r="Y42" s="26">
        <v>0</v>
      </c>
      <c r="Z42" s="26">
        <v>0</v>
      </c>
      <c r="AA42" s="26">
        <v>0</v>
      </c>
      <c r="AB42" s="26">
        <v>0</v>
      </c>
      <c r="AC42" s="26">
        <v>0</v>
      </c>
      <c r="AD42" s="26">
        <v>0</v>
      </c>
      <c r="AE42" s="26">
        <v>0</v>
      </c>
      <c r="AF42" s="26">
        <v>0</v>
      </c>
      <c r="AG42" s="26">
        <v>0</v>
      </c>
      <c r="AH42" s="26">
        <v>0</v>
      </c>
      <c r="AI42" s="26">
        <v>0</v>
      </c>
      <c r="AJ42" s="26">
        <v>0</v>
      </c>
      <c r="AK42" s="26">
        <v>0</v>
      </c>
      <c r="AL42" s="26">
        <v>0</v>
      </c>
      <c r="AM42" s="26">
        <v>0</v>
      </c>
      <c r="AN42" s="26">
        <v>0</v>
      </c>
      <c r="AO42" s="26">
        <v>0</v>
      </c>
      <c r="AP42" s="26">
        <v>0</v>
      </c>
      <c r="AQ42" s="26">
        <v>0</v>
      </c>
      <c r="AR42" s="26">
        <v>0</v>
      </c>
      <c r="AS42" s="26">
        <v>0</v>
      </c>
      <c r="AT42" s="26">
        <v>0</v>
      </c>
      <c r="AU42" s="26">
        <v>0</v>
      </c>
      <c r="AV42" s="26">
        <v>0</v>
      </c>
      <c r="AW42" s="26">
        <v>0</v>
      </c>
      <c r="AX42" s="26">
        <v>0</v>
      </c>
      <c r="AY42" s="26">
        <v>0</v>
      </c>
      <c r="AZ42" s="26">
        <v>0</v>
      </c>
      <c r="BA42" s="26">
        <v>0</v>
      </c>
      <c r="BB42" s="26">
        <v>0</v>
      </c>
      <c r="BC42" s="26">
        <v>0</v>
      </c>
      <c r="BD42" s="26">
        <v>0</v>
      </c>
      <c r="BE42" s="26">
        <v>0</v>
      </c>
      <c r="BF42" s="26">
        <v>0</v>
      </c>
      <c r="BG42" s="26">
        <v>0</v>
      </c>
      <c r="BH42" s="26">
        <v>0</v>
      </c>
      <c r="BI42" s="26">
        <v>0</v>
      </c>
      <c r="BJ42" s="26">
        <v>0</v>
      </c>
      <c r="BK42" s="26">
        <v>0</v>
      </c>
      <c r="BL42" s="26">
        <v>0</v>
      </c>
      <c r="BM42" s="26">
        <v>0</v>
      </c>
      <c r="BN42" s="26">
        <v>0</v>
      </c>
      <c r="BO42" s="26">
        <v>9052.7234399999998</v>
      </c>
      <c r="BP42" s="26">
        <v>174682.77600000001</v>
      </c>
      <c r="BQ42" s="26">
        <v>3006.3946999999998</v>
      </c>
      <c r="BR42" s="26">
        <v>88.83566380000002</v>
      </c>
      <c r="BS42" s="26">
        <v>9</v>
      </c>
      <c r="BT42" s="26">
        <v>0</v>
      </c>
      <c r="BU42" s="26">
        <v>1</v>
      </c>
      <c r="BV42" s="26">
        <v>0</v>
      </c>
      <c r="BW42" s="26">
        <v>-68898.121499999994</v>
      </c>
      <c r="BX42" s="26">
        <v>-3570.5617499999998</v>
      </c>
      <c r="BY42" s="26">
        <v>-623.71564499999999</v>
      </c>
      <c r="BZ42" s="26">
        <v>-37.011660399999997</v>
      </c>
      <c r="CA42" s="26">
        <v>-1.9180845</v>
      </c>
      <c r="CB42" s="26">
        <v>5.0185932799999999E-2</v>
      </c>
      <c r="CC42" s="26">
        <v>0.96839565800000005</v>
      </c>
      <c r="CD42" s="26">
        <v>19.296157399999998</v>
      </c>
      <c r="CE42" s="26">
        <v>2881.8327399999998</v>
      </c>
      <c r="CF42" s="26">
        <v>0</v>
      </c>
      <c r="CG42" s="26">
        <v>0</v>
      </c>
      <c r="CH42" s="26">
        <v>0</v>
      </c>
      <c r="CI42" s="26">
        <v>0</v>
      </c>
      <c r="CJ42" s="26">
        <v>0</v>
      </c>
      <c r="CK42" s="26">
        <v>0</v>
      </c>
      <c r="CL42" s="26">
        <v>0</v>
      </c>
      <c r="CM42" s="26">
        <v>0</v>
      </c>
      <c r="CN42" s="26">
        <v>0</v>
      </c>
      <c r="CO42" s="26">
        <v>0</v>
      </c>
      <c r="CP42" s="26">
        <v>0</v>
      </c>
      <c r="CQ42" s="26">
        <v>0</v>
      </c>
      <c r="CR42" s="26">
        <v>0</v>
      </c>
      <c r="CS42" s="26">
        <v>0</v>
      </c>
      <c r="CT42" s="26">
        <v>0</v>
      </c>
      <c r="CU42" s="26">
        <v>0</v>
      </c>
      <c r="CV42" s="26">
        <v>0</v>
      </c>
      <c r="CW42" s="26">
        <v>0</v>
      </c>
      <c r="CX42" s="26">
        <v>0</v>
      </c>
      <c r="CY42" s="26">
        <v>0</v>
      </c>
      <c r="CZ42" s="26">
        <v>0</v>
      </c>
      <c r="DA42" s="26">
        <v>0</v>
      </c>
      <c r="DB42" s="26">
        <v>0</v>
      </c>
      <c r="DC42" s="26">
        <v>0</v>
      </c>
      <c r="DD42" s="26">
        <v>0</v>
      </c>
      <c r="DE42" s="26">
        <v>0</v>
      </c>
      <c r="DF42" s="26">
        <v>0</v>
      </c>
      <c r="DG42" s="26">
        <v>0</v>
      </c>
      <c r="DH42" s="26">
        <v>0</v>
      </c>
      <c r="DI42" s="26">
        <v>0</v>
      </c>
      <c r="DJ42" s="26">
        <v>0</v>
      </c>
      <c r="DK42" s="26">
        <v>0</v>
      </c>
      <c r="DL42" s="26">
        <v>0</v>
      </c>
      <c r="DM42" s="26">
        <v>0</v>
      </c>
      <c r="DN42" s="26">
        <v>0</v>
      </c>
      <c r="DO42" s="26">
        <v>0</v>
      </c>
      <c r="DP42" s="26">
        <v>0</v>
      </c>
      <c r="DQ42" s="26">
        <v>0</v>
      </c>
      <c r="DR42" s="26">
        <v>0</v>
      </c>
      <c r="DS42" s="26">
        <v>0</v>
      </c>
      <c r="DT42" s="26">
        <v>0</v>
      </c>
      <c r="DU42" s="26">
        <v>0</v>
      </c>
      <c r="DV42" s="26">
        <v>0</v>
      </c>
      <c r="DW42" s="26">
        <v>0</v>
      </c>
      <c r="DX42" s="26">
        <v>29204.880399999995</v>
      </c>
      <c r="DY42" s="26">
        <v>1191.5257899999999</v>
      </c>
      <c r="DZ42" s="26">
        <v>499.94089100000008</v>
      </c>
      <c r="EA42" s="26">
        <v>16273.076000000001</v>
      </c>
      <c r="EB42" s="26">
        <v>1983.09887</v>
      </c>
      <c r="EC42" s="26">
        <v>13131.780699999999</v>
      </c>
      <c r="ED42" s="26">
        <v>1508.1550199999999</v>
      </c>
      <c r="EE42" s="26">
        <v>2583.0279399999999</v>
      </c>
      <c r="EF42" s="26">
        <v>4107.8476600000004</v>
      </c>
      <c r="EG42" s="26">
        <v>0</v>
      </c>
      <c r="EH42" s="26">
        <v>0</v>
      </c>
      <c r="EI42" s="26">
        <v>0</v>
      </c>
      <c r="EJ42" s="26">
        <v>0</v>
      </c>
      <c r="EK42" s="26">
        <v>0</v>
      </c>
      <c r="EL42" s="26">
        <v>0</v>
      </c>
      <c r="EM42" s="26">
        <v>0</v>
      </c>
      <c r="EN42" s="26">
        <v>0</v>
      </c>
      <c r="EO42" s="26">
        <v>0</v>
      </c>
      <c r="EP42" s="26">
        <v>626.50221799999997</v>
      </c>
      <c r="EQ42" s="26">
        <v>70483.333299999998</v>
      </c>
      <c r="ER42" s="26">
        <v>561.98382400000003</v>
      </c>
      <c r="ES42" s="26">
        <v>88.83566380000002</v>
      </c>
      <c r="ET42" s="26">
        <v>9</v>
      </c>
      <c r="EU42" s="26">
        <v>0</v>
      </c>
      <c r="EV42" s="26">
        <v>0</v>
      </c>
      <c r="EW42" s="26">
        <v>1</v>
      </c>
      <c r="EX42" s="26">
        <v>-149814.986</v>
      </c>
      <c r="EY42" s="26">
        <v>-1331.6541099999999</v>
      </c>
      <c r="EZ42" s="26">
        <v>-93.859421499999996</v>
      </c>
      <c r="FA42" s="26">
        <v>-442.839451</v>
      </c>
      <c r="FB42" s="26">
        <v>-3.9362482599999997</v>
      </c>
      <c r="FC42" s="26">
        <v>1.8580078399999998E-2</v>
      </c>
      <c r="FD42" s="26">
        <v>2.0903132100000001</v>
      </c>
      <c r="FE42" s="26">
        <v>112.502927</v>
      </c>
      <c r="FF42" s="26">
        <v>0</v>
      </c>
      <c r="FG42" s="26">
        <v>0.41293649700000001</v>
      </c>
      <c r="FH42" s="26">
        <v>-847802212.98100007</v>
      </c>
      <c r="FI42" s="26">
        <v>0.1191897662312959</v>
      </c>
      <c r="FJ42" s="26">
        <v>0</v>
      </c>
      <c r="FK42" s="26">
        <v>0</v>
      </c>
      <c r="FL42" s="26">
        <v>0</v>
      </c>
      <c r="FM42" s="26">
        <v>0</v>
      </c>
      <c r="FN42" s="26">
        <v>0</v>
      </c>
      <c r="FO42" s="26">
        <v>0</v>
      </c>
      <c r="FP42" s="26">
        <v>0</v>
      </c>
      <c r="FQ42" s="26">
        <v>0</v>
      </c>
      <c r="FR42" s="26">
        <v>0</v>
      </c>
      <c r="FS42" s="26">
        <v>0</v>
      </c>
      <c r="FT42" s="26">
        <v>0</v>
      </c>
      <c r="FU42" s="26">
        <v>0</v>
      </c>
      <c r="FV42" s="26">
        <v>0</v>
      </c>
      <c r="FW42" s="26">
        <v>0</v>
      </c>
      <c r="FX42" s="26">
        <v>0</v>
      </c>
      <c r="FY42" s="26">
        <v>0</v>
      </c>
      <c r="FZ42" s="26">
        <v>0</v>
      </c>
      <c r="GA42" s="26">
        <v>0</v>
      </c>
      <c r="GB42" s="26">
        <v>0</v>
      </c>
      <c r="GC42" s="26">
        <v>0</v>
      </c>
      <c r="GD42" s="26">
        <v>0</v>
      </c>
      <c r="GE42" s="26">
        <v>0</v>
      </c>
      <c r="GF42" s="26">
        <v>0</v>
      </c>
      <c r="GG42" s="26">
        <v>0</v>
      </c>
      <c r="GH42" s="26">
        <v>0</v>
      </c>
      <c r="GI42" s="26">
        <v>0</v>
      </c>
      <c r="GJ42" s="26">
        <v>0</v>
      </c>
      <c r="GK42" s="26">
        <v>0</v>
      </c>
      <c r="GL42" s="26">
        <v>0</v>
      </c>
      <c r="GM42" s="26">
        <v>0</v>
      </c>
      <c r="GN42" s="26">
        <v>0</v>
      </c>
      <c r="GO42" s="26">
        <v>0</v>
      </c>
      <c r="GP42" s="26">
        <v>0</v>
      </c>
      <c r="GQ42" s="26">
        <v>0</v>
      </c>
      <c r="GR42" s="26">
        <v>0</v>
      </c>
      <c r="GS42" s="26">
        <v>0</v>
      </c>
      <c r="GT42" s="26">
        <v>0</v>
      </c>
      <c r="GU42" s="26">
        <v>0</v>
      </c>
      <c r="GV42" s="26">
        <v>0</v>
      </c>
      <c r="GW42" s="26">
        <v>0</v>
      </c>
      <c r="GX42" s="26">
        <v>0</v>
      </c>
      <c r="GY42" s="26">
        <v>0</v>
      </c>
      <c r="GZ42" s="26">
        <v>0</v>
      </c>
      <c r="HA42" s="26">
        <v>0</v>
      </c>
      <c r="HB42" s="26">
        <v>0</v>
      </c>
      <c r="HC42" s="26">
        <v>0</v>
      </c>
      <c r="HD42" s="26">
        <v>0</v>
      </c>
      <c r="HE42" s="26">
        <v>0</v>
      </c>
      <c r="HF42" s="26">
        <v>0</v>
      </c>
      <c r="HG42" s="26">
        <v>0</v>
      </c>
      <c r="HH42" s="26">
        <v>0</v>
      </c>
      <c r="HI42" s="26">
        <v>0</v>
      </c>
      <c r="HJ42" s="26">
        <v>0</v>
      </c>
      <c r="HK42" s="26">
        <v>0</v>
      </c>
      <c r="HL42" s="26">
        <v>0</v>
      </c>
      <c r="HM42" s="26">
        <v>0</v>
      </c>
      <c r="HN42" s="26">
        <v>0</v>
      </c>
      <c r="HO42" s="26">
        <v>0</v>
      </c>
      <c r="HP42" s="26">
        <v>0</v>
      </c>
      <c r="HQ42" s="26">
        <v>0</v>
      </c>
      <c r="HR42" s="26">
        <v>0</v>
      </c>
      <c r="HS42" s="26">
        <v>0</v>
      </c>
      <c r="HT42" s="26">
        <v>0.74666720041778212</v>
      </c>
    </row>
    <row r="43" spans="2:228" x14ac:dyDescent="0.2">
      <c r="B43" s="27" t="s">
        <v>3164</v>
      </c>
      <c r="C43" s="26">
        <v>248657.12700000001</v>
      </c>
      <c r="D43" s="26">
        <v>-728.378918</v>
      </c>
      <c r="E43" s="26">
        <v>165323.79399999999</v>
      </c>
      <c r="F43" s="26">
        <v>0</v>
      </c>
      <c r="G43" s="26">
        <v>0</v>
      </c>
      <c r="H43" s="26">
        <v>0</v>
      </c>
      <c r="I43" s="26">
        <v>0</v>
      </c>
      <c r="J43" s="26">
        <v>0</v>
      </c>
      <c r="K43" s="26">
        <v>0</v>
      </c>
      <c r="L43" s="26">
        <v>0</v>
      </c>
      <c r="M43" s="26">
        <v>641.66666699999996</v>
      </c>
      <c r="N43" s="26">
        <v>0</v>
      </c>
      <c r="O43" s="26">
        <v>0</v>
      </c>
      <c r="P43" s="26">
        <v>0</v>
      </c>
      <c r="Q43" s="26">
        <v>0</v>
      </c>
      <c r="R43" s="26">
        <v>0</v>
      </c>
      <c r="S43" s="26">
        <v>12208.3333</v>
      </c>
      <c r="T43" s="26">
        <v>0</v>
      </c>
      <c r="U43" s="26">
        <v>0</v>
      </c>
      <c r="V43" s="26">
        <v>0</v>
      </c>
      <c r="W43" s="26">
        <v>0</v>
      </c>
      <c r="X43" s="26">
        <v>0</v>
      </c>
      <c r="Y43" s="26">
        <v>0</v>
      </c>
      <c r="Z43" s="26">
        <v>0</v>
      </c>
      <c r="AA43" s="26">
        <v>0</v>
      </c>
      <c r="AB43" s="26">
        <v>0</v>
      </c>
      <c r="AC43" s="26">
        <v>0</v>
      </c>
      <c r="AD43" s="26">
        <v>0</v>
      </c>
      <c r="AE43" s="26">
        <v>0</v>
      </c>
      <c r="AF43" s="26">
        <v>0</v>
      </c>
      <c r="AG43" s="26">
        <v>0</v>
      </c>
      <c r="AH43" s="26">
        <v>0</v>
      </c>
      <c r="AI43" s="26">
        <v>0</v>
      </c>
      <c r="AJ43" s="26">
        <v>0</v>
      </c>
      <c r="AK43" s="26">
        <v>0</v>
      </c>
      <c r="AL43" s="26">
        <v>0</v>
      </c>
      <c r="AM43" s="26">
        <v>0</v>
      </c>
      <c r="AN43" s="26">
        <v>0</v>
      </c>
      <c r="AO43" s="26">
        <v>0</v>
      </c>
      <c r="AP43" s="26">
        <v>0</v>
      </c>
      <c r="AQ43" s="26">
        <v>0</v>
      </c>
      <c r="AR43" s="26">
        <v>0</v>
      </c>
      <c r="AS43" s="26">
        <v>0</v>
      </c>
      <c r="AT43" s="26">
        <v>0</v>
      </c>
      <c r="AU43" s="26">
        <v>0</v>
      </c>
      <c r="AV43" s="26">
        <v>0</v>
      </c>
      <c r="AW43" s="26">
        <v>0</v>
      </c>
      <c r="AX43" s="26">
        <v>0</v>
      </c>
      <c r="AY43" s="26">
        <v>0</v>
      </c>
      <c r="AZ43" s="26">
        <v>0</v>
      </c>
      <c r="BA43" s="26">
        <v>0</v>
      </c>
      <c r="BB43" s="26">
        <v>0</v>
      </c>
      <c r="BC43" s="26">
        <v>0</v>
      </c>
      <c r="BD43" s="26">
        <v>0</v>
      </c>
      <c r="BE43" s="26">
        <v>0</v>
      </c>
      <c r="BF43" s="26">
        <v>0</v>
      </c>
      <c r="BG43" s="26">
        <v>0</v>
      </c>
      <c r="BH43" s="26">
        <v>0</v>
      </c>
      <c r="BI43" s="26">
        <v>0</v>
      </c>
      <c r="BJ43" s="26">
        <v>0</v>
      </c>
      <c r="BK43" s="26">
        <v>0</v>
      </c>
      <c r="BL43" s="26">
        <v>0</v>
      </c>
      <c r="BM43" s="26">
        <v>0</v>
      </c>
      <c r="BN43" s="26">
        <v>0</v>
      </c>
      <c r="BO43" s="26">
        <v>9246.5043700000006</v>
      </c>
      <c r="BP43" s="26">
        <v>178173.79399999999</v>
      </c>
      <c r="BQ43" s="26">
        <v>3108.9576499999998</v>
      </c>
      <c r="BR43" s="26">
        <v>100</v>
      </c>
      <c r="BS43" s="26">
        <v>7</v>
      </c>
      <c r="BT43" s="26">
        <v>0</v>
      </c>
      <c r="BU43" s="26">
        <v>1</v>
      </c>
      <c r="BV43" s="26">
        <v>0</v>
      </c>
      <c r="BW43" s="26">
        <v>-68641.553700000004</v>
      </c>
      <c r="BX43" s="26">
        <v>-3562.2209800000001</v>
      </c>
      <c r="BY43" s="26">
        <v>-634.69443100000001</v>
      </c>
      <c r="BZ43" s="26">
        <v>-36.390165000000003</v>
      </c>
      <c r="CA43" s="26">
        <v>-1.8885034199999999</v>
      </c>
      <c r="CB43" s="26">
        <v>4.9569155199999999E-2</v>
      </c>
      <c r="CC43" s="26">
        <v>0.95516360600000005</v>
      </c>
      <c r="CD43" s="26">
        <v>19.269313799999999</v>
      </c>
      <c r="CE43" s="26">
        <v>2940.1284999999998</v>
      </c>
      <c r="CF43" s="26">
        <v>0</v>
      </c>
      <c r="CG43" s="26">
        <v>0</v>
      </c>
      <c r="CH43" s="26">
        <v>0</v>
      </c>
      <c r="CI43" s="26">
        <v>0</v>
      </c>
      <c r="CJ43" s="26">
        <v>0</v>
      </c>
      <c r="CK43" s="26">
        <v>0</v>
      </c>
      <c r="CL43" s="26">
        <v>0</v>
      </c>
      <c r="CM43" s="26">
        <v>0</v>
      </c>
      <c r="CN43" s="26">
        <v>0</v>
      </c>
      <c r="CO43" s="26">
        <v>0</v>
      </c>
      <c r="CP43" s="26">
        <v>0</v>
      </c>
      <c r="CQ43" s="26">
        <v>0</v>
      </c>
      <c r="CR43" s="26">
        <v>0</v>
      </c>
      <c r="CS43" s="26">
        <v>0</v>
      </c>
      <c r="CT43" s="26">
        <v>0</v>
      </c>
      <c r="CU43" s="26">
        <v>0</v>
      </c>
      <c r="CV43" s="26">
        <v>0</v>
      </c>
      <c r="CW43" s="26">
        <v>0</v>
      </c>
      <c r="CX43" s="26">
        <v>0</v>
      </c>
      <c r="CY43" s="26">
        <v>0</v>
      </c>
      <c r="CZ43" s="26">
        <v>0</v>
      </c>
      <c r="DA43" s="26">
        <v>0</v>
      </c>
      <c r="DB43" s="26">
        <v>0</v>
      </c>
      <c r="DC43" s="26">
        <v>0</v>
      </c>
      <c r="DD43" s="26">
        <v>0</v>
      </c>
      <c r="DE43" s="26">
        <v>0</v>
      </c>
      <c r="DF43" s="26">
        <v>0</v>
      </c>
      <c r="DG43" s="26">
        <v>0</v>
      </c>
      <c r="DH43" s="26">
        <v>0</v>
      </c>
      <c r="DI43" s="26">
        <v>0</v>
      </c>
      <c r="DJ43" s="26">
        <v>0</v>
      </c>
      <c r="DK43" s="26">
        <v>0</v>
      </c>
      <c r="DL43" s="26">
        <v>0</v>
      </c>
      <c r="DM43" s="26">
        <v>0</v>
      </c>
      <c r="DN43" s="26">
        <v>0</v>
      </c>
      <c r="DO43" s="26">
        <v>0</v>
      </c>
      <c r="DP43" s="26">
        <v>0</v>
      </c>
      <c r="DQ43" s="26">
        <v>0</v>
      </c>
      <c r="DR43" s="26">
        <v>0</v>
      </c>
      <c r="DS43" s="26">
        <v>0</v>
      </c>
      <c r="DT43" s="26">
        <v>0</v>
      </c>
      <c r="DU43" s="26">
        <v>0</v>
      </c>
      <c r="DV43" s="26">
        <v>0</v>
      </c>
      <c r="DW43" s="26">
        <v>0</v>
      </c>
      <c r="DX43" s="26">
        <v>29204.880399999995</v>
      </c>
      <c r="DY43" s="26">
        <v>1191.5257899999999</v>
      </c>
      <c r="DZ43" s="26">
        <v>499.94089100000008</v>
      </c>
      <c r="EA43" s="26">
        <v>16273.076000000001</v>
      </c>
      <c r="EB43" s="26">
        <v>1983.09887</v>
      </c>
      <c r="EC43" s="26">
        <v>13131.780699999999</v>
      </c>
      <c r="ED43" s="26">
        <v>1508.1550199999999</v>
      </c>
      <c r="EE43" s="26">
        <v>2583.0279399999999</v>
      </c>
      <c r="EF43" s="26">
        <v>4107.8476600000004</v>
      </c>
      <c r="EG43" s="26">
        <v>0</v>
      </c>
      <c r="EH43" s="26">
        <v>0</v>
      </c>
      <c r="EI43" s="26">
        <v>0</v>
      </c>
      <c r="EJ43" s="26">
        <v>0</v>
      </c>
      <c r="EK43" s="26">
        <v>0</v>
      </c>
      <c r="EL43" s="26">
        <v>0</v>
      </c>
      <c r="EM43" s="26">
        <v>0</v>
      </c>
      <c r="EN43" s="26">
        <v>0</v>
      </c>
      <c r="EO43" s="26">
        <v>0</v>
      </c>
      <c r="EP43" s="26">
        <v>626.50221799999997</v>
      </c>
      <c r="EQ43" s="26">
        <v>70483.333299999998</v>
      </c>
      <c r="ER43" s="26">
        <v>562.09303699999998</v>
      </c>
      <c r="ES43" s="26">
        <v>100</v>
      </c>
      <c r="ET43" s="26">
        <v>7</v>
      </c>
      <c r="EU43" s="26">
        <v>0</v>
      </c>
      <c r="EV43" s="26">
        <v>0</v>
      </c>
      <c r="EW43" s="26">
        <v>1</v>
      </c>
      <c r="EX43" s="26">
        <v>-149535.761</v>
      </c>
      <c r="EY43" s="26">
        <v>-1329.17218</v>
      </c>
      <c r="EZ43" s="26">
        <v>-93.684486800000002</v>
      </c>
      <c r="FA43" s="26">
        <v>-442.07978200000002</v>
      </c>
      <c r="FB43" s="26">
        <v>-3.9294958200000001</v>
      </c>
      <c r="FC43" s="26">
        <v>1.8576468299999999E-2</v>
      </c>
      <c r="FD43" s="26">
        <v>2.0899070599999998</v>
      </c>
      <c r="FE43" s="26">
        <v>112.502927</v>
      </c>
      <c r="FF43" s="26">
        <v>0</v>
      </c>
      <c r="FG43" s="26">
        <v>0.40713908100000001</v>
      </c>
      <c r="FH43" s="26">
        <v>-863179508.30299997</v>
      </c>
      <c r="FI43" s="26">
        <v>0.1191897662312959</v>
      </c>
      <c r="FJ43" s="26">
        <v>0</v>
      </c>
      <c r="FK43" s="26">
        <v>0</v>
      </c>
      <c r="FL43" s="26">
        <v>0</v>
      </c>
      <c r="FM43" s="26">
        <v>0</v>
      </c>
      <c r="FN43" s="26">
        <v>0</v>
      </c>
      <c r="FO43" s="26">
        <v>0</v>
      </c>
      <c r="FP43" s="26">
        <v>0</v>
      </c>
      <c r="FQ43" s="26">
        <v>0</v>
      </c>
      <c r="FR43" s="26">
        <v>0</v>
      </c>
      <c r="FS43" s="26">
        <v>0</v>
      </c>
      <c r="FT43" s="26">
        <v>0</v>
      </c>
      <c r="FU43" s="26">
        <v>0</v>
      </c>
      <c r="FV43" s="26">
        <v>0</v>
      </c>
      <c r="FW43" s="26">
        <v>0</v>
      </c>
      <c r="FX43" s="26">
        <v>0</v>
      </c>
      <c r="FY43" s="26">
        <v>0</v>
      </c>
      <c r="FZ43" s="26">
        <v>0</v>
      </c>
      <c r="GA43" s="26">
        <v>0</v>
      </c>
      <c r="GB43" s="26">
        <v>0</v>
      </c>
      <c r="GC43" s="26">
        <v>0</v>
      </c>
      <c r="GD43" s="26">
        <v>0</v>
      </c>
      <c r="GE43" s="26">
        <v>0</v>
      </c>
      <c r="GF43" s="26">
        <v>0</v>
      </c>
      <c r="GG43" s="26">
        <v>0</v>
      </c>
      <c r="GH43" s="26">
        <v>0</v>
      </c>
      <c r="GI43" s="26">
        <v>0</v>
      </c>
      <c r="GJ43" s="26">
        <v>0</v>
      </c>
      <c r="GK43" s="26">
        <v>0</v>
      </c>
      <c r="GL43" s="26">
        <v>0</v>
      </c>
      <c r="GM43" s="26">
        <v>0</v>
      </c>
      <c r="GN43" s="26">
        <v>0</v>
      </c>
      <c r="GO43" s="26">
        <v>0</v>
      </c>
      <c r="GP43" s="26">
        <v>0</v>
      </c>
      <c r="GQ43" s="26">
        <v>0</v>
      </c>
      <c r="GR43" s="26">
        <v>0</v>
      </c>
      <c r="GS43" s="26">
        <v>0</v>
      </c>
      <c r="GT43" s="26">
        <v>0</v>
      </c>
      <c r="GU43" s="26">
        <v>0</v>
      </c>
      <c r="GV43" s="26">
        <v>0</v>
      </c>
      <c r="GW43" s="26">
        <v>0</v>
      </c>
      <c r="GX43" s="26">
        <v>0</v>
      </c>
      <c r="GY43" s="26">
        <v>0</v>
      </c>
      <c r="GZ43" s="26">
        <v>0</v>
      </c>
      <c r="HA43" s="26">
        <v>0</v>
      </c>
      <c r="HB43" s="26">
        <v>0</v>
      </c>
      <c r="HC43" s="26">
        <v>0</v>
      </c>
      <c r="HD43" s="26">
        <v>0</v>
      </c>
      <c r="HE43" s="26">
        <v>0</v>
      </c>
      <c r="HF43" s="26">
        <v>0</v>
      </c>
      <c r="HG43" s="26">
        <v>0</v>
      </c>
      <c r="HH43" s="26">
        <v>0</v>
      </c>
      <c r="HI43" s="26">
        <v>0</v>
      </c>
      <c r="HJ43" s="26">
        <v>0</v>
      </c>
      <c r="HK43" s="26">
        <v>0</v>
      </c>
      <c r="HL43" s="26">
        <v>0</v>
      </c>
      <c r="HM43" s="26">
        <v>0</v>
      </c>
      <c r="HN43" s="26">
        <v>0</v>
      </c>
      <c r="HO43" s="26">
        <v>0</v>
      </c>
      <c r="HP43" s="26">
        <v>0</v>
      </c>
      <c r="HQ43" s="26">
        <v>0</v>
      </c>
      <c r="HR43" s="26">
        <v>0</v>
      </c>
      <c r="HS43" s="26">
        <v>0</v>
      </c>
      <c r="HT43" s="26">
        <v>0.74666720041778212</v>
      </c>
    </row>
    <row r="44" spans="2:228" x14ac:dyDescent="0.2">
      <c r="B44" s="27" t="s">
        <v>3166</v>
      </c>
      <c r="C44" s="26">
        <v>248657.12700000001</v>
      </c>
      <c r="D44" s="26">
        <v>-726.65923299999997</v>
      </c>
      <c r="E44" s="26">
        <v>165323.79399999999</v>
      </c>
      <c r="F44" s="26">
        <v>0</v>
      </c>
      <c r="G44" s="26">
        <v>0</v>
      </c>
      <c r="H44" s="26">
        <v>0</v>
      </c>
      <c r="I44" s="26">
        <v>0</v>
      </c>
      <c r="J44" s="26">
        <v>0</v>
      </c>
      <c r="K44" s="26">
        <v>0</v>
      </c>
      <c r="L44" s="26">
        <v>0</v>
      </c>
      <c r="M44" s="26">
        <v>641.66666699999996</v>
      </c>
      <c r="N44" s="26">
        <v>0</v>
      </c>
      <c r="O44" s="26">
        <v>0</v>
      </c>
      <c r="P44" s="26">
        <v>0</v>
      </c>
      <c r="Q44" s="26">
        <v>0</v>
      </c>
      <c r="R44" s="26">
        <v>0</v>
      </c>
      <c r="S44" s="26">
        <v>12208.3333</v>
      </c>
      <c r="T44" s="26">
        <v>0</v>
      </c>
      <c r="U44" s="26">
        <v>0</v>
      </c>
      <c r="V44" s="26">
        <v>0</v>
      </c>
      <c r="W44" s="26">
        <v>0</v>
      </c>
      <c r="X44" s="26">
        <v>0</v>
      </c>
      <c r="Y44" s="26">
        <v>0</v>
      </c>
      <c r="Z44" s="26">
        <v>0</v>
      </c>
      <c r="AA44" s="26">
        <v>0</v>
      </c>
      <c r="AB44" s="26">
        <v>0</v>
      </c>
      <c r="AC44" s="26">
        <v>0</v>
      </c>
      <c r="AD44" s="26">
        <v>0</v>
      </c>
      <c r="AE44" s="26">
        <v>0</v>
      </c>
      <c r="AF44" s="26">
        <v>0</v>
      </c>
      <c r="AG44" s="26">
        <v>0</v>
      </c>
      <c r="AH44" s="26">
        <v>0</v>
      </c>
      <c r="AI44" s="26">
        <v>0</v>
      </c>
      <c r="AJ44" s="26">
        <v>0</v>
      </c>
      <c r="AK44" s="26">
        <v>0</v>
      </c>
      <c r="AL44" s="26">
        <v>0</v>
      </c>
      <c r="AM44" s="26">
        <v>0</v>
      </c>
      <c r="AN44" s="26">
        <v>0</v>
      </c>
      <c r="AO44" s="26">
        <v>0</v>
      </c>
      <c r="AP44" s="26">
        <v>0</v>
      </c>
      <c r="AQ44" s="26">
        <v>0</v>
      </c>
      <c r="AR44" s="26">
        <v>0</v>
      </c>
      <c r="AS44" s="26">
        <v>0</v>
      </c>
      <c r="AT44" s="26">
        <v>0</v>
      </c>
      <c r="AU44" s="26">
        <v>0</v>
      </c>
      <c r="AV44" s="26">
        <v>0</v>
      </c>
      <c r="AW44" s="26">
        <v>0</v>
      </c>
      <c r="AX44" s="26">
        <v>0</v>
      </c>
      <c r="AY44" s="26">
        <v>0</v>
      </c>
      <c r="AZ44" s="26">
        <v>0</v>
      </c>
      <c r="BA44" s="26">
        <v>0</v>
      </c>
      <c r="BB44" s="26">
        <v>0</v>
      </c>
      <c r="BC44" s="26">
        <v>0</v>
      </c>
      <c r="BD44" s="26">
        <v>0</v>
      </c>
      <c r="BE44" s="26">
        <v>0</v>
      </c>
      <c r="BF44" s="26">
        <v>0</v>
      </c>
      <c r="BG44" s="26">
        <v>0</v>
      </c>
      <c r="BH44" s="26">
        <v>0</v>
      </c>
      <c r="BI44" s="26">
        <v>0</v>
      </c>
      <c r="BJ44" s="26">
        <v>0</v>
      </c>
      <c r="BK44" s="26">
        <v>0</v>
      </c>
      <c r="BL44" s="26">
        <v>0</v>
      </c>
      <c r="BM44" s="26">
        <v>0</v>
      </c>
      <c r="BN44" s="26">
        <v>0</v>
      </c>
      <c r="BO44" s="26">
        <v>9246.5043700000006</v>
      </c>
      <c r="BP44" s="26">
        <v>178173.79399999999</v>
      </c>
      <c r="BQ44" s="26">
        <v>3140.6321499999999</v>
      </c>
      <c r="BR44" s="26">
        <v>108.52427899999998</v>
      </c>
      <c r="BS44" s="26">
        <v>11</v>
      </c>
      <c r="BT44" s="26">
        <v>0</v>
      </c>
      <c r="BU44" s="26">
        <v>1</v>
      </c>
      <c r="BV44" s="26">
        <v>0</v>
      </c>
      <c r="BW44" s="26">
        <v>-68470.305900000007</v>
      </c>
      <c r="BX44" s="26">
        <v>-3553.3339000000001</v>
      </c>
      <c r="BY44" s="26">
        <v>-633.11098700000002</v>
      </c>
      <c r="BZ44" s="26">
        <v>-35.943821</v>
      </c>
      <c r="CA44" s="26">
        <v>-1.86533996</v>
      </c>
      <c r="CB44" s="26">
        <v>4.9069230999999998E-2</v>
      </c>
      <c r="CC44" s="26">
        <v>0.94553040899999996</v>
      </c>
      <c r="CD44" s="26">
        <v>19.269313799999999</v>
      </c>
      <c r="CE44" s="26">
        <v>2940.1284999999998</v>
      </c>
      <c r="CF44" s="26">
        <v>0</v>
      </c>
      <c r="CG44" s="26">
        <v>0</v>
      </c>
      <c r="CH44" s="26">
        <v>0</v>
      </c>
      <c r="CI44" s="26">
        <v>0</v>
      </c>
      <c r="CJ44" s="26">
        <v>0</v>
      </c>
      <c r="CK44" s="26">
        <v>0</v>
      </c>
      <c r="CL44" s="26">
        <v>0</v>
      </c>
      <c r="CM44" s="26">
        <v>0</v>
      </c>
      <c r="CN44" s="26">
        <v>0</v>
      </c>
      <c r="CO44" s="26">
        <v>0</v>
      </c>
      <c r="CP44" s="26">
        <v>0</v>
      </c>
      <c r="CQ44" s="26">
        <v>0</v>
      </c>
      <c r="CR44" s="26">
        <v>0</v>
      </c>
      <c r="CS44" s="26">
        <v>0</v>
      </c>
      <c r="CT44" s="26">
        <v>0</v>
      </c>
      <c r="CU44" s="26">
        <v>0</v>
      </c>
      <c r="CV44" s="26">
        <v>0</v>
      </c>
      <c r="CW44" s="26">
        <v>0</v>
      </c>
      <c r="CX44" s="26">
        <v>0</v>
      </c>
      <c r="CY44" s="26">
        <v>0</v>
      </c>
      <c r="CZ44" s="26">
        <v>0</v>
      </c>
      <c r="DA44" s="26">
        <v>0</v>
      </c>
      <c r="DB44" s="26">
        <v>0</v>
      </c>
      <c r="DC44" s="26">
        <v>0</v>
      </c>
      <c r="DD44" s="26">
        <v>0</v>
      </c>
      <c r="DE44" s="26">
        <v>0</v>
      </c>
      <c r="DF44" s="26">
        <v>0</v>
      </c>
      <c r="DG44" s="26">
        <v>0</v>
      </c>
      <c r="DH44" s="26">
        <v>0</v>
      </c>
      <c r="DI44" s="26">
        <v>0</v>
      </c>
      <c r="DJ44" s="26">
        <v>0</v>
      </c>
      <c r="DK44" s="26">
        <v>0</v>
      </c>
      <c r="DL44" s="26">
        <v>0</v>
      </c>
      <c r="DM44" s="26">
        <v>0</v>
      </c>
      <c r="DN44" s="26">
        <v>0</v>
      </c>
      <c r="DO44" s="26">
        <v>0</v>
      </c>
      <c r="DP44" s="26">
        <v>0</v>
      </c>
      <c r="DQ44" s="26">
        <v>0</v>
      </c>
      <c r="DR44" s="26">
        <v>0</v>
      </c>
      <c r="DS44" s="26">
        <v>0</v>
      </c>
      <c r="DT44" s="26">
        <v>0</v>
      </c>
      <c r="DU44" s="26">
        <v>0</v>
      </c>
      <c r="DV44" s="26">
        <v>0</v>
      </c>
      <c r="DW44" s="26">
        <v>0</v>
      </c>
      <c r="DX44" s="26">
        <v>29204.880399999995</v>
      </c>
      <c r="DY44" s="26">
        <v>1191.5257899999999</v>
      </c>
      <c r="DZ44" s="26">
        <v>499.94089100000008</v>
      </c>
      <c r="EA44" s="26">
        <v>16273.076000000001</v>
      </c>
      <c r="EB44" s="26">
        <v>1983.09887</v>
      </c>
      <c r="EC44" s="26">
        <v>13131.780699999999</v>
      </c>
      <c r="ED44" s="26">
        <v>1508.1550199999999</v>
      </c>
      <c r="EE44" s="26">
        <v>2583.0279399999999</v>
      </c>
      <c r="EF44" s="26">
        <v>4107.8476600000004</v>
      </c>
      <c r="EG44" s="26">
        <v>0</v>
      </c>
      <c r="EH44" s="26">
        <v>0</v>
      </c>
      <c r="EI44" s="26">
        <v>0</v>
      </c>
      <c r="EJ44" s="26">
        <v>0</v>
      </c>
      <c r="EK44" s="26">
        <v>0</v>
      </c>
      <c r="EL44" s="26">
        <v>0</v>
      </c>
      <c r="EM44" s="26">
        <v>0</v>
      </c>
      <c r="EN44" s="26">
        <v>0</v>
      </c>
      <c r="EO44" s="26">
        <v>0</v>
      </c>
      <c r="EP44" s="26">
        <v>626.50221799999997</v>
      </c>
      <c r="EQ44" s="26">
        <v>70483.333299999998</v>
      </c>
      <c r="ER44" s="26">
        <v>562.17721100000006</v>
      </c>
      <c r="ES44" s="26">
        <v>108.52427899999998</v>
      </c>
      <c r="ET44" s="26">
        <v>11</v>
      </c>
      <c r="EU44" s="26">
        <v>0</v>
      </c>
      <c r="EV44" s="26">
        <v>0</v>
      </c>
      <c r="EW44" s="26">
        <v>1</v>
      </c>
      <c r="EX44" s="26">
        <v>-149318.29800000001</v>
      </c>
      <c r="EY44" s="26">
        <v>-1327.2392299999999</v>
      </c>
      <c r="EZ44" s="26">
        <v>-93.548245800000004</v>
      </c>
      <c r="FA44" s="26">
        <v>-441.503581</v>
      </c>
      <c r="FB44" s="26">
        <v>-3.9243741700000006</v>
      </c>
      <c r="FC44" s="26">
        <v>1.8573686900000001E-2</v>
      </c>
      <c r="FD44" s="26">
        <v>2.0895941499999999</v>
      </c>
      <c r="FE44" s="26">
        <v>112.502927</v>
      </c>
      <c r="FF44" s="26">
        <v>0</v>
      </c>
      <c r="FG44" s="26">
        <v>0.40713908100000001</v>
      </c>
      <c r="FH44" s="26">
        <v>-863179508.30299997</v>
      </c>
      <c r="FI44" s="26">
        <v>0.1191897662312959</v>
      </c>
      <c r="FJ44" s="26">
        <v>0</v>
      </c>
      <c r="FK44" s="26">
        <v>0</v>
      </c>
      <c r="FL44" s="26">
        <v>0</v>
      </c>
      <c r="FM44" s="26">
        <v>0</v>
      </c>
      <c r="FN44" s="26">
        <v>0</v>
      </c>
      <c r="FO44" s="26">
        <v>0</v>
      </c>
      <c r="FP44" s="26">
        <v>0</v>
      </c>
      <c r="FQ44" s="26">
        <v>0</v>
      </c>
      <c r="FR44" s="26">
        <v>0</v>
      </c>
      <c r="FS44" s="26">
        <v>0</v>
      </c>
      <c r="FT44" s="26">
        <v>0</v>
      </c>
      <c r="FU44" s="26">
        <v>0</v>
      </c>
      <c r="FV44" s="26">
        <v>0</v>
      </c>
      <c r="FW44" s="26">
        <v>0</v>
      </c>
      <c r="FX44" s="26">
        <v>0</v>
      </c>
      <c r="FY44" s="26">
        <v>0</v>
      </c>
      <c r="FZ44" s="26">
        <v>0</v>
      </c>
      <c r="GA44" s="26">
        <v>0</v>
      </c>
      <c r="GB44" s="26">
        <v>0</v>
      </c>
      <c r="GC44" s="26">
        <v>0</v>
      </c>
      <c r="GD44" s="26">
        <v>0</v>
      </c>
      <c r="GE44" s="26">
        <v>0</v>
      </c>
      <c r="GF44" s="26">
        <v>0</v>
      </c>
      <c r="GG44" s="26">
        <v>0</v>
      </c>
      <c r="GH44" s="26">
        <v>0</v>
      </c>
      <c r="GI44" s="26">
        <v>0</v>
      </c>
      <c r="GJ44" s="26">
        <v>0</v>
      </c>
      <c r="GK44" s="26">
        <v>0</v>
      </c>
      <c r="GL44" s="26">
        <v>0</v>
      </c>
      <c r="GM44" s="26">
        <v>0</v>
      </c>
      <c r="GN44" s="26">
        <v>0</v>
      </c>
      <c r="GO44" s="26">
        <v>0</v>
      </c>
      <c r="GP44" s="26">
        <v>0</v>
      </c>
      <c r="GQ44" s="26">
        <v>0</v>
      </c>
      <c r="GR44" s="26">
        <v>0</v>
      </c>
      <c r="GS44" s="26">
        <v>0</v>
      </c>
      <c r="GT44" s="26">
        <v>0</v>
      </c>
      <c r="GU44" s="26">
        <v>0</v>
      </c>
      <c r="GV44" s="26">
        <v>0</v>
      </c>
      <c r="GW44" s="26">
        <v>0</v>
      </c>
      <c r="GX44" s="26">
        <v>0</v>
      </c>
      <c r="GY44" s="26">
        <v>0</v>
      </c>
      <c r="GZ44" s="26">
        <v>0</v>
      </c>
      <c r="HA44" s="26">
        <v>0</v>
      </c>
      <c r="HB44" s="26">
        <v>0</v>
      </c>
      <c r="HC44" s="26">
        <v>0</v>
      </c>
      <c r="HD44" s="26">
        <v>0</v>
      </c>
      <c r="HE44" s="26">
        <v>0</v>
      </c>
      <c r="HF44" s="26">
        <v>0</v>
      </c>
      <c r="HG44" s="26">
        <v>0</v>
      </c>
      <c r="HH44" s="26">
        <v>0</v>
      </c>
      <c r="HI44" s="26">
        <v>0</v>
      </c>
      <c r="HJ44" s="26">
        <v>0</v>
      </c>
      <c r="HK44" s="26">
        <v>0</v>
      </c>
      <c r="HL44" s="26">
        <v>0</v>
      </c>
      <c r="HM44" s="26">
        <v>0</v>
      </c>
      <c r="HN44" s="26">
        <v>0</v>
      </c>
      <c r="HO44" s="26">
        <v>0</v>
      </c>
      <c r="HP44" s="26">
        <v>0</v>
      </c>
      <c r="HQ44" s="26">
        <v>0</v>
      </c>
      <c r="HR44" s="26">
        <v>0</v>
      </c>
      <c r="HS44" s="26">
        <v>0</v>
      </c>
      <c r="HT44" s="26">
        <v>0.74666720041778212</v>
      </c>
    </row>
    <row r="45" spans="2:228" x14ac:dyDescent="0.2">
      <c r="B45" s="27" t="s">
        <v>1326</v>
      </c>
      <c r="C45" s="26">
        <v>140999.443</v>
      </c>
      <c r="D45" s="26">
        <v>-532.99097099999994</v>
      </c>
      <c r="E45" s="26">
        <v>140999.443</v>
      </c>
      <c r="F45" s="26">
        <v>0</v>
      </c>
      <c r="G45" s="26">
        <v>0</v>
      </c>
      <c r="H45" s="26">
        <v>0</v>
      </c>
      <c r="I45" s="26">
        <v>0</v>
      </c>
      <c r="J45" s="26">
        <v>0</v>
      </c>
      <c r="K45" s="26">
        <v>0</v>
      </c>
      <c r="L45" s="26">
        <v>0</v>
      </c>
      <c r="M45" s="26">
        <v>0</v>
      </c>
      <c r="N45" s="26">
        <v>0</v>
      </c>
      <c r="O45" s="26">
        <v>0</v>
      </c>
      <c r="P45" s="26">
        <v>0</v>
      </c>
      <c r="Q45" s="26">
        <v>0</v>
      </c>
      <c r="R45" s="26">
        <v>0</v>
      </c>
      <c r="S45" s="26">
        <v>0</v>
      </c>
      <c r="T45" s="26">
        <v>0</v>
      </c>
      <c r="U45" s="26">
        <v>0</v>
      </c>
      <c r="V45" s="26">
        <v>0</v>
      </c>
      <c r="W45" s="26">
        <v>0</v>
      </c>
      <c r="X45" s="26">
        <v>0</v>
      </c>
      <c r="Y45" s="26">
        <v>0</v>
      </c>
      <c r="Z45" s="26">
        <v>0</v>
      </c>
      <c r="AA45" s="26">
        <v>0</v>
      </c>
      <c r="AB45" s="26">
        <v>0</v>
      </c>
      <c r="AC45" s="26">
        <v>0</v>
      </c>
      <c r="AD45" s="26">
        <v>0</v>
      </c>
      <c r="AE45" s="26">
        <v>0</v>
      </c>
      <c r="AF45" s="26">
        <v>0</v>
      </c>
      <c r="AG45" s="26">
        <v>0</v>
      </c>
      <c r="AH45" s="26">
        <v>0</v>
      </c>
      <c r="AI45" s="26">
        <v>0</v>
      </c>
      <c r="AJ45" s="26">
        <v>0</v>
      </c>
      <c r="AK45" s="26">
        <v>0</v>
      </c>
      <c r="AL45" s="26">
        <v>0</v>
      </c>
      <c r="AM45" s="26">
        <v>0</v>
      </c>
      <c r="AN45" s="26">
        <v>0</v>
      </c>
      <c r="AO45" s="26">
        <v>0</v>
      </c>
      <c r="AP45" s="26">
        <v>0</v>
      </c>
      <c r="AQ45" s="26">
        <v>0</v>
      </c>
      <c r="AR45" s="26">
        <v>0</v>
      </c>
      <c r="AS45" s="26">
        <v>0</v>
      </c>
      <c r="AT45" s="26">
        <v>0</v>
      </c>
      <c r="AU45" s="26">
        <v>0</v>
      </c>
      <c r="AV45" s="26">
        <v>0</v>
      </c>
      <c r="AW45" s="26">
        <v>0</v>
      </c>
      <c r="AX45" s="26">
        <v>0</v>
      </c>
      <c r="AY45" s="26">
        <v>0</v>
      </c>
      <c r="AZ45" s="26">
        <v>0</v>
      </c>
      <c r="BA45" s="26">
        <v>0</v>
      </c>
      <c r="BB45" s="26">
        <v>0</v>
      </c>
      <c r="BC45" s="26">
        <v>0</v>
      </c>
      <c r="BD45" s="26">
        <v>0</v>
      </c>
      <c r="BE45" s="26">
        <v>0</v>
      </c>
      <c r="BF45" s="26">
        <v>0</v>
      </c>
      <c r="BG45" s="26">
        <v>0</v>
      </c>
      <c r="BH45" s="26">
        <v>0</v>
      </c>
      <c r="BI45" s="26">
        <v>0</v>
      </c>
      <c r="BJ45" s="26">
        <v>0</v>
      </c>
      <c r="BK45" s="26">
        <v>0</v>
      </c>
      <c r="BL45" s="26">
        <v>0</v>
      </c>
      <c r="BM45" s="26">
        <v>0</v>
      </c>
      <c r="BN45" s="26">
        <v>0</v>
      </c>
      <c r="BO45" s="26">
        <v>7826.6584200000007</v>
      </c>
      <c r="BP45" s="26">
        <v>140999.443</v>
      </c>
      <c r="BQ45" s="26">
        <v>2382.8588599999998</v>
      </c>
      <c r="BR45" s="26">
        <v>33</v>
      </c>
      <c r="BS45" s="26">
        <v>5</v>
      </c>
      <c r="BT45" s="26">
        <v>0</v>
      </c>
      <c r="BU45" s="26">
        <v>1</v>
      </c>
      <c r="BV45" s="26">
        <v>0</v>
      </c>
      <c r="BW45" s="26">
        <v>-68099.428700000004</v>
      </c>
      <c r="BX45" s="26">
        <v>-3780.0927200000001</v>
      </c>
      <c r="BY45" s="26">
        <v>-532.99097099999994</v>
      </c>
      <c r="BZ45" s="26">
        <v>-38.4147356</v>
      </c>
      <c r="CA45" s="26">
        <v>-2.1323418599999999</v>
      </c>
      <c r="CB45" s="26">
        <v>5.4742774600000002E-2</v>
      </c>
      <c r="CC45" s="26">
        <v>0.986206413</v>
      </c>
      <c r="CD45" s="26">
        <v>18.015280000000001</v>
      </c>
      <c r="CE45" s="26">
        <v>2354.51971</v>
      </c>
      <c r="CF45" s="26">
        <v>0</v>
      </c>
      <c r="CG45" s="26">
        <v>0</v>
      </c>
      <c r="CH45" s="26">
        <v>0</v>
      </c>
      <c r="CI45" s="26">
        <v>0</v>
      </c>
      <c r="CJ45" s="26">
        <v>0</v>
      </c>
      <c r="CK45" s="26">
        <v>0</v>
      </c>
      <c r="CL45" s="26">
        <v>0</v>
      </c>
      <c r="CM45" s="26">
        <v>0</v>
      </c>
      <c r="CN45" s="26">
        <v>0</v>
      </c>
      <c r="CO45" s="26">
        <v>0</v>
      </c>
      <c r="CP45" s="26">
        <v>0</v>
      </c>
      <c r="CQ45" s="26">
        <v>0</v>
      </c>
      <c r="CR45" s="26">
        <v>0</v>
      </c>
      <c r="CS45" s="26">
        <v>0</v>
      </c>
      <c r="CT45" s="26">
        <v>0</v>
      </c>
      <c r="CU45" s="26">
        <v>0</v>
      </c>
      <c r="CV45" s="26">
        <v>0</v>
      </c>
      <c r="CW45" s="26">
        <v>0</v>
      </c>
      <c r="CX45" s="26">
        <v>0</v>
      </c>
      <c r="CY45" s="26">
        <v>0</v>
      </c>
      <c r="CZ45" s="26">
        <v>0</v>
      </c>
      <c r="DA45" s="26">
        <v>0</v>
      </c>
      <c r="DB45" s="26">
        <v>0</v>
      </c>
      <c r="DC45" s="26">
        <v>0</v>
      </c>
      <c r="DD45" s="26">
        <v>0</v>
      </c>
      <c r="DE45" s="26">
        <v>0</v>
      </c>
      <c r="DF45" s="26">
        <v>0</v>
      </c>
      <c r="DG45" s="26">
        <v>0</v>
      </c>
      <c r="DH45" s="26">
        <v>0</v>
      </c>
      <c r="DI45" s="26">
        <v>0</v>
      </c>
      <c r="DJ45" s="26">
        <v>0</v>
      </c>
      <c r="DK45" s="26">
        <v>0</v>
      </c>
      <c r="DL45" s="26">
        <v>0</v>
      </c>
      <c r="DM45" s="26">
        <v>0</v>
      </c>
      <c r="DN45" s="26">
        <v>0</v>
      </c>
      <c r="DO45" s="26">
        <v>0</v>
      </c>
      <c r="DP45" s="26">
        <v>0</v>
      </c>
      <c r="DQ45" s="26">
        <v>0</v>
      </c>
      <c r="DR45" s="26">
        <v>0</v>
      </c>
      <c r="DS45" s="26">
        <v>0</v>
      </c>
      <c r="DT45" s="26">
        <v>0</v>
      </c>
      <c r="DU45" s="26">
        <v>0</v>
      </c>
      <c r="DV45" s="26">
        <v>0</v>
      </c>
      <c r="DW45" s="26">
        <v>0</v>
      </c>
      <c r="DX45" s="26">
        <v>0</v>
      </c>
      <c r="DY45" s="26">
        <v>0</v>
      </c>
      <c r="DZ45" s="26">
        <v>0</v>
      </c>
      <c r="EA45" s="26">
        <v>0</v>
      </c>
      <c r="EB45" s="26">
        <v>0</v>
      </c>
      <c r="EC45" s="26">
        <v>0</v>
      </c>
      <c r="ED45" s="26">
        <v>0</v>
      </c>
      <c r="EE45" s="26">
        <v>0</v>
      </c>
      <c r="EF45" s="26">
        <v>0</v>
      </c>
      <c r="EG45" s="26">
        <v>0</v>
      </c>
      <c r="EH45" s="26">
        <v>0</v>
      </c>
      <c r="EI45" s="26">
        <v>0</v>
      </c>
      <c r="EJ45" s="26">
        <v>0</v>
      </c>
      <c r="EK45" s="26">
        <v>0</v>
      </c>
      <c r="EL45" s="26">
        <v>0</v>
      </c>
      <c r="EM45" s="26">
        <v>0</v>
      </c>
      <c r="EN45" s="26">
        <v>0</v>
      </c>
      <c r="EO45" s="26">
        <v>0</v>
      </c>
      <c r="EP45" s="26">
        <v>0</v>
      </c>
      <c r="EQ45" s="26">
        <v>0</v>
      </c>
      <c r="ER45" s="26">
        <v>0</v>
      </c>
      <c r="ES45" s="26">
        <v>0</v>
      </c>
      <c r="ET45" s="26">
        <v>5</v>
      </c>
      <c r="EU45" s="26">
        <v>0</v>
      </c>
      <c r="EV45" s="26">
        <v>0</v>
      </c>
      <c r="EW45" s="26">
        <v>0</v>
      </c>
      <c r="EX45" s="26">
        <v>0</v>
      </c>
      <c r="EY45" s="26">
        <v>0</v>
      </c>
      <c r="EZ45" s="26">
        <v>0</v>
      </c>
      <c r="FA45" s="26">
        <v>0</v>
      </c>
      <c r="FB45" s="26">
        <v>0</v>
      </c>
      <c r="FC45" s="26">
        <v>0</v>
      </c>
      <c r="FD45" s="26">
        <v>0</v>
      </c>
      <c r="FE45" s="26">
        <v>0</v>
      </c>
      <c r="FF45" s="26">
        <v>0</v>
      </c>
      <c r="FG45" s="26">
        <v>0</v>
      </c>
      <c r="FH45" s="26">
        <v>-621076828.36099994</v>
      </c>
      <c r="FI45" s="26">
        <v>0</v>
      </c>
      <c r="FJ45" s="26">
        <v>0</v>
      </c>
      <c r="FK45" s="26">
        <v>0</v>
      </c>
      <c r="FL45" s="26">
        <v>0</v>
      </c>
      <c r="FM45" s="26">
        <v>0</v>
      </c>
      <c r="FN45" s="26">
        <v>0</v>
      </c>
      <c r="FO45" s="26">
        <v>0</v>
      </c>
      <c r="FP45" s="26">
        <v>0</v>
      </c>
      <c r="FQ45" s="26">
        <v>0</v>
      </c>
      <c r="FR45" s="26">
        <v>0</v>
      </c>
      <c r="FS45" s="26">
        <v>0</v>
      </c>
      <c r="FT45" s="26">
        <v>0</v>
      </c>
      <c r="FU45" s="26">
        <v>0</v>
      </c>
      <c r="FV45" s="26">
        <v>0</v>
      </c>
      <c r="FW45" s="26">
        <v>0</v>
      </c>
      <c r="FX45" s="26">
        <v>0</v>
      </c>
      <c r="FY45" s="26">
        <v>0</v>
      </c>
      <c r="FZ45" s="26">
        <v>0</v>
      </c>
      <c r="GA45" s="26">
        <v>0</v>
      </c>
      <c r="GB45" s="26">
        <v>0</v>
      </c>
      <c r="GC45" s="26">
        <v>0</v>
      </c>
      <c r="GD45" s="26">
        <v>0</v>
      </c>
      <c r="GE45" s="26">
        <v>0</v>
      </c>
      <c r="GF45" s="26">
        <v>0</v>
      </c>
      <c r="GG45" s="26">
        <v>0</v>
      </c>
      <c r="GH45" s="26">
        <v>0</v>
      </c>
      <c r="GI45" s="26">
        <v>0</v>
      </c>
      <c r="GJ45" s="26">
        <v>0</v>
      </c>
      <c r="GK45" s="26">
        <v>0</v>
      </c>
      <c r="GL45" s="26">
        <v>0</v>
      </c>
      <c r="GM45" s="26">
        <v>0</v>
      </c>
      <c r="GN45" s="26">
        <v>0</v>
      </c>
      <c r="GO45" s="26">
        <v>0</v>
      </c>
      <c r="GP45" s="26">
        <v>0</v>
      </c>
      <c r="GQ45" s="26">
        <v>0</v>
      </c>
      <c r="GR45" s="26">
        <v>0</v>
      </c>
      <c r="GS45" s="26">
        <v>0</v>
      </c>
      <c r="GT45" s="26">
        <v>0</v>
      </c>
      <c r="GU45" s="26">
        <v>0</v>
      </c>
      <c r="GV45" s="26">
        <v>0</v>
      </c>
      <c r="GW45" s="26">
        <v>0</v>
      </c>
      <c r="GX45" s="26">
        <v>0</v>
      </c>
      <c r="GY45" s="26">
        <v>0</v>
      </c>
      <c r="GZ45" s="26">
        <v>0</v>
      </c>
      <c r="HA45" s="26">
        <v>0</v>
      </c>
      <c r="HB45" s="26">
        <v>0</v>
      </c>
      <c r="HC45" s="26">
        <v>0</v>
      </c>
      <c r="HD45" s="26">
        <v>0</v>
      </c>
      <c r="HE45" s="26">
        <v>0</v>
      </c>
      <c r="HF45" s="26">
        <v>0</v>
      </c>
      <c r="HG45" s="26">
        <v>0</v>
      </c>
      <c r="HH45" s="26">
        <v>0</v>
      </c>
      <c r="HI45" s="26">
        <v>0</v>
      </c>
      <c r="HJ45" s="26">
        <v>0</v>
      </c>
      <c r="HK45" s="26">
        <v>0</v>
      </c>
      <c r="HL45" s="26">
        <v>0</v>
      </c>
      <c r="HM45" s="26">
        <v>0</v>
      </c>
      <c r="HN45" s="26">
        <v>0</v>
      </c>
      <c r="HO45" s="26">
        <v>0</v>
      </c>
      <c r="HP45" s="26">
        <v>0</v>
      </c>
      <c r="HQ45" s="26">
        <v>0</v>
      </c>
      <c r="HR45" s="26">
        <v>0</v>
      </c>
      <c r="HS45" s="26">
        <v>0</v>
      </c>
      <c r="HT45" s="26">
        <v>0</v>
      </c>
    </row>
    <row r="46" spans="2:228" x14ac:dyDescent="0.2">
      <c r="B46" s="27" t="s">
        <v>1328</v>
      </c>
      <c r="C46" s="26">
        <v>140999.443</v>
      </c>
      <c r="D46" s="26">
        <v>-524.34601099999998</v>
      </c>
      <c r="E46" s="26">
        <v>140999.443</v>
      </c>
      <c r="F46" s="26">
        <v>0</v>
      </c>
      <c r="G46" s="26">
        <v>0</v>
      </c>
      <c r="H46" s="26">
        <v>0</v>
      </c>
      <c r="I46" s="26">
        <v>0</v>
      </c>
      <c r="J46" s="26">
        <v>0</v>
      </c>
      <c r="K46" s="26">
        <v>0</v>
      </c>
      <c r="L46" s="26">
        <v>0</v>
      </c>
      <c r="M46" s="26">
        <v>0</v>
      </c>
      <c r="N46" s="26">
        <v>0</v>
      </c>
      <c r="O46" s="26">
        <v>0</v>
      </c>
      <c r="P46" s="26">
        <v>0</v>
      </c>
      <c r="Q46" s="26">
        <v>0</v>
      </c>
      <c r="R46" s="26">
        <v>0</v>
      </c>
      <c r="S46" s="26">
        <v>0</v>
      </c>
      <c r="T46" s="26">
        <v>0</v>
      </c>
      <c r="U46" s="26">
        <v>0</v>
      </c>
      <c r="V46" s="26">
        <v>0</v>
      </c>
      <c r="W46" s="26">
        <v>0</v>
      </c>
      <c r="X46" s="26">
        <v>0</v>
      </c>
      <c r="Y46" s="26">
        <v>0</v>
      </c>
      <c r="Z46" s="26">
        <v>0</v>
      </c>
      <c r="AA46" s="26">
        <v>0</v>
      </c>
      <c r="AB46" s="26">
        <v>0</v>
      </c>
      <c r="AC46" s="26">
        <v>0</v>
      </c>
      <c r="AD46" s="26">
        <v>0</v>
      </c>
      <c r="AE46" s="26">
        <v>0</v>
      </c>
      <c r="AF46" s="26">
        <v>0</v>
      </c>
      <c r="AG46" s="26">
        <v>0</v>
      </c>
      <c r="AH46" s="26">
        <v>0</v>
      </c>
      <c r="AI46" s="26">
        <v>0</v>
      </c>
      <c r="AJ46" s="26">
        <v>0</v>
      </c>
      <c r="AK46" s="26">
        <v>0</v>
      </c>
      <c r="AL46" s="26">
        <v>0</v>
      </c>
      <c r="AM46" s="26">
        <v>0</v>
      </c>
      <c r="AN46" s="26">
        <v>0</v>
      </c>
      <c r="AO46" s="26">
        <v>0</v>
      </c>
      <c r="AP46" s="26">
        <v>0</v>
      </c>
      <c r="AQ46" s="26">
        <v>0</v>
      </c>
      <c r="AR46" s="26">
        <v>0</v>
      </c>
      <c r="AS46" s="26">
        <v>0</v>
      </c>
      <c r="AT46" s="26">
        <v>0</v>
      </c>
      <c r="AU46" s="26">
        <v>0</v>
      </c>
      <c r="AV46" s="26">
        <v>0</v>
      </c>
      <c r="AW46" s="26">
        <v>0</v>
      </c>
      <c r="AX46" s="26">
        <v>0</v>
      </c>
      <c r="AY46" s="26">
        <v>0</v>
      </c>
      <c r="AZ46" s="26">
        <v>0</v>
      </c>
      <c r="BA46" s="26">
        <v>0</v>
      </c>
      <c r="BB46" s="26">
        <v>0</v>
      </c>
      <c r="BC46" s="26">
        <v>0</v>
      </c>
      <c r="BD46" s="26">
        <v>0</v>
      </c>
      <c r="BE46" s="26">
        <v>0</v>
      </c>
      <c r="BF46" s="26">
        <v>0</v>
      </c>
      <c r="BG46" s="26">
        <v>0</v>
      </c>
      <c r="BH46" s="26">
        <v>0</v>
      </c>
      <c r="BI46" s="26">
        <v>0</v>
      </c>
      <c r="BJ46" s="26">
        <v>0</v>
      </c>
      <c r="BK46" s="26">
        <v>0</v>
      </c>
      <c r="BL46" s="26">
        <v>0</v>
      </c>
      <c r="BM46" s="26">
        <v>0</v>
      </c>
      <c r="BN46" s="26">
        <v>0</v>
      </c>
      <c r="BO46" s="26">
        <v>7826.6584200000007</v>
      </c>
      <c r="BP46" s="26">
        <v>140999.443</v>
      </c>
      <c r="BQ46" s="26">
        <v>2544.4659799999999</v>
      </c>
      <c r="BR46" s="26">
        <v>95</v>
      </c>
      <c r="BS46" s="26">
        <v>4.6597701799999998</v>
      </c>
      <c r="BT46" s="26">
        <v>0</v>
      </c>
      <c r="BU46" s="26">
        <v>1</v>
      </c>
      <c r="BV46" s="26">
        <v>0</v>
      </c>
      <c r="BW46" s="26">
        <v>-66994.875599999999</v>
      </c>
      <c r="BX46" s="26">
        <v>-3718.7806999999998</v>
      </c>
      <c r="BY46" s="26">
        <v>-524.34601099999998</v>
      </c>
      <c r="BZ46" s="26">
        <v>-35.160419400000002</v>
      </c>
      <c r="CA46" s="26">
        <v>-1.95169986</v>
      </c>
      <c r="CB46" s="26">
        <v>5.1265887000000003E-2</v>
      </c>
      <c r="CC46" s="26">
        <v>0.92356930800000003</v>
      </c>
      <c r="CD46" s="26">
        <v>18.015280000000001</v>
      </c>
      <c r="CE46" s="26">
        <v>2354.51971</v>
      </c>
      <c r="CF46" s="26">
        <v>0</v>
      </c>
      <c r="CG46" s="26">
        <v>0</v>
      </c>
      <c r="CH46" s="26">
        <v>0</v>
      </c>
      <c r="CI46" s="26">
        <v>0</v>
      </c>
      <c r="CJ46" s="26">
        <v>0</v>
      </c>
      <c r="CK46" s="26">
        <v>0</v>
      </c>
      <c r="CL46" s="26">
        <v>0</v>
      </c>
      <c r="CM46" s="26">
        <v>0</v>
      </c>
      <c r="CN46" s="26">
        <v>0</v>
      </c>
      <c r="CO46" s="26">
        <v>0</v>
      </c>
      <c r="CP46" s="26">
        <v>0</v>
      </c>
      <c r="CQ46" s="26">
        <v>0</v>
      </c>
      <c r="CR46" s="26">
        <v>0</v>
      </c>
      <c r="CS46" s="26">
        <v>0</v>
      </c>
      <c r="CT46" s="26">
        <v>0</v>
      </c>
      <c r="CU46" s="26">
        <v>0</v>
      </c>
      <c r="CV46" s="26">
        <v>0</v>
      </c>
      <c r="CW46" s="26">
        <v>0</v>
      </c>
      <c r="CX46" s="26">
        <v>0</v>
      </c>
      <c r="CY46" s="26">
        <v>0</v>
      </c>
      <c r="CZ46" s="26">
        <v>0</v>
      </c>
      <c r="DA46" s="26">
        <v>0</v>
      </c>
      <c r="DB46" s="26">
        <v>0</v>
      </c>
      <c r="DC46" s="26">
        <v>0</v>
      </c>
      <c r="DD46" s="26">
        <v>0</v>
      </c>
      <c r="DE46" s="26">
        <v>0</v>
      </c>
      <c r="DF46" s="26">
        <v>0</v>
      </c>
      <c r="DG46" s="26">
        <v>0</v>
      </c>
      <c r="DH46" s="26">
        <v>0</v>
      </c>
      <c r="DI46" s="26">
        <v>0</v>
      </c>
      <c r="DJ46" s="26">
        <v>0</v>
      </c>
      <c r="DK46" s="26">
        <v>0</v>
      </c>
      <c r="DL46" s="26">
        <v>0</v>
      </c>
      <c r="DM46" s="26">
        <v>0</v>
      </c>
      <c r="DN46" s="26">
        <v>0</v>
      </c>
      <c r="DO46" s="26">
        <v>0</v>
      </c>
      <c r="DP46" s="26">
        <v>0</v>
      </c>
      <c r="DQ46" s="26">
        <v>0</v>
      </c>
      <c r="DR46" s="26">
        <v>0</v>
      </c>
      <c r="DS46" s="26">
        <v>0</v>
      </c>
      <c r="DT46" s="26">
        <v>0</v>
      </c>
      <c r="DU46" s="26">
        <v>0</v>
      </c>
      <c r="DV46" s="26">
        <v>0</v>
      </c>
      <c r="DW46" s="26">
        <v>0</v>
      </c>
      <c r="DX46" s="26">
        <v>0</v>
      </c>
      <c r="DY46" s="26">
        <v>0</v>
      </c>
      <c r="DZ46" s="26">
        <v>0</v>
      </c>
      <c r="EA46" s="26">
        <v>0</v>
      </c>
      <c r="EB46" s="26">
        <v>0</v>
      </c>
      <c r="EC46" s="26">
        <v>0</v>
      </c>
      <c r="ED46" s="26">
        <v>0</v>
      </c>
      <c r="EE46" s="26">
        <v>0</v>
      </c>
      <c r="EF46" s="26">
        <v>0</v>
      </c>
      <c r="EG46" s="26">
        <v>0</v>
      </c>
      <c r="EH46" s="26">
        <v>0</v>
      </c>
      <c r="EI46" s="26">
        <v>0</v>
      </c>
      <c r="EJ46" s="26">
        <v>0</v>
      </c>
      <c r="EK46" s="26">
        <v>0</v>
      </c>
      <c r="EL46" s="26">
        <v>0</v>
      </c>
      <c r="EM46" s="26">
        <v>0</v>
      </c>
      <c r="EN46" s="26">
        <v>0</v>
      </c>
      <c r="EO46" s="26">
        <v>0</v>
      </c>
      <c r="EP46" s="26">
        <v>0</v>
      </c>
      <c r="EQ46" s="26">
        <v>0</v>
      </c>
      <c r="ER46" s="26">
        <v>0</v>
      </c>
      <c r="ES46" s="26">
        <v>0</v>
      </c>
      <c r="ET46" s="26">
        <v>4.6597701799999998</v>
      </c>
      <c r="EU46" s="26">
        <v>0</v>
      </c>
      <c r="EV46" s="26">
        <v>0</v>
      </c>
      <c r="EW46" s="26">
        <v>0</v>
      </c>
      <c r="EX46" s="26">
        <v>0</v>
      </c>
      <c r="EY46" s="26">
        <v>0</v>
      </c>
      <c r="EZ46" s="26">
        <v>0</v>
      </c>
      <c r="FA46" s="26">
        <v>0</v>
      </c>
      <c r="FB46" s="26">
        <v>0</v>
      </c>
      <c r="FC46" s="26">
        <v>0</v>
      </c>
      <c r="FD46" s="26">
        <v>0</v>
      </c>
      <c r="FE46" s="26">
        <v>0</v>
      </c>
      <c r="FF46" s="26">
        <v>0</v>
      </c>
      <c r="FG46" s="26">
        <v>0</v>
      </c>
      <c r="FH46" s="26">
        <v>-621076828.36099994</v>
      </c>
      <c r="FI46" s="26">
        <v>0</v>
      </c>
      <c r="FJ46" s="26">
        <v>0</v>
      </c>
      <c r="FK46" s="26">
        <v>0</v>
      </c>
      <c r="FL46" s="26">
        <v>0</v>
      </c>
      <c r="FM46" s="26">
        <v>0</v>
      </c>
      <c r="FN46" s="26">
        <v>0</v>
      </c>
      <c r="FO46" s="26">
        <v>0</v>
      </c>
      <c r="FP46" s="26">
        <v>0</v>
      </c>
      <c r="FQ46" s="26">
        <v>0</v>
      </c>
      <c r="FR46" s="26">
        <v>0</v>
      </c>
      <c r="FS46" s="26">
        <v>0</v>
      </c>
      <c r="FT46" s="26">
        <v>0</v>
      </c>
      <c r="FU46" s="26">
        <v>0</v>
      </c>
      <c r="FV46" s="26">
        <v>0</v>
      </c>
      <c r="FW46" s="26">
        <v>0</v>
      </c>
      <c r="FX46" s="26">
        <v>0</v>
      </c>
      <c r="FY46" s="26">
        <v>0</v>
      </c>
      <c r="FZ46" s="26">
        <v>0</v>
      </c>
      <c r="GA46" s="26">
        <v>0</v>
      </c>
      <c r="GB46" s="26">
        <v>0</v>
      </c>
      <c r="GC46" s="26">
        <v>0</v>
      </c>
      <c r="GD46" s="26">
        <v>0</v>
      </c>
      <c r="GE46" s="26">
        <v>0</v>
      </c>
      <c r="GF46" s="26">
        <v>0</v>
      </c>
      <c r="GG46" s="26">
        <v>0</v>
      </c>
      <c r="GH46" s="26">
        <v>0</v>
      </c>
      <c r="GI46" s="26">
        <v>0</v>
      </c>
      <c r="GJ46" s="26">
        <v>0</v>
      </c>
      <c r="GK46" s="26">
        <v>0</v>
      </c>
      <c r="GL46" s="26">
        <v>0</v>
      </c>
      <c r="GM46" s="26">
        <v>0</v>
      </c>
      <c r="GN46" s="26">
        <v>0</v>
      </c>
      <c r="GO46" s="26">
        <v>0</v>
      </c>
      <c r="GP46" s="26">
        <v>0</v>
      </c>
      <c r="GQ46" s="26">
        <v>0</v>
      </c>
      <c r="GR46" s="26">
        <v>0</v>
      </c>
      <c r="GS46" s="26">
        <v>0</v>
      </c>
      <c r="GT46" s="26">
        <v>0</v>
      </c>
      <c r="GU46" s="26">
        <v>0</v>
      </c>
      <c r="GV46" s="26">
        <v>0</v>
      </c>
      <c r="GW46" s="26">
        <v>0</v>
      </c>
      <c r="GX46" s="26">
        <v>0</v>
      </c>
      <c r="GY46" s="26">
        <v>0</v>
      </c>
      <c r="GZ46" s="26">
        <v>0</v>
      </c>
      <c r="HA46" s="26">
        <v>0</v>
      </c>
      <c r="HB46" s="26">
        <v>0</v>
      </c>
      <c r="HC46" s="26">
        <v>0</v>
      </c>
      <c r="HD46" s="26">
        <v>0</v>
      </c>
      <c r="HE46" s="26">
        <v>0</v>
      </c>
      <c r="HF46" s="26">
        <v>0</v>
      </c>
      <c r="HG46" s="26">
        <v>0</v>
      </c>
      <c r="HH46" s="26">
        <v>0</v>
      </c>
      <c r="HI46" s="26">
        <v>0</v>
      </c>
      <c r="HJ46" s="26">
        <v>0</v>
      </c>
      <c r="HK46" s="26">
        <v>0</v>
      </c>
      <c r="HL46" s="26">
        <v>0</v>
      </c>
      <c r="HM46" s="26">
        <v>0</v>
      </c>
      <c r="HN46" s="26">
        <v>0</v>
      </c>
      <c r="HO46" s="26">
        <v>0</v>
      </c>
      <c r="HP46" s="26">
        <v>0</v>
      </c>
      <c r="HQ46" s="26">
        <v>0</v>
      </c>
      <c r="HR46" s="26">
        <v>0</v>
      </c>
      <c r="HS46" s="26">
        <v>0</v>
      </c>
      <c r="HT46" s="26">
        <v>0</v>
      </c>
    </row>
    <row r="47" spans="2:228" x14ac:dyDescent="0.2">
      <c r="B47" s="27" t="s">
        <v>1336</v>
      </c>
      <c r="C47" s="26">
        <v>38825.381000000001</v>
      </c>
      <c r="D47" s="26">
        <v>-139.747615</v>
      </c>
      <c r="E47" s="26">
        <v>36791.681600000004</v>
      </c>
      <c r="F47" s="26">
        <v>18.420235999999999</v>
      </c>
      <c r="G47" s="26">
        <v>3.9671217599999998E-6</v>
      </c>
      <c r="H47" s="26">
        <v>8.7085431599999996E-6</v>
      </c>
      <c r="I47" s="26">
        <v>3.65393419E-6</v>
      </c>
      <c r="J47" s="26">
        <v>1.7947588900000001E-4</v>
      </c>
      <c r="K47" s="26">
        <v>3.7192566700000002E-5</v>
      </c>
      <c r="L47" s="26">
        <v>1.47120573E-4</v>
      </c>
      <c r="M47" s="26">
        <v>0</v>
      </c>
      <c r="N47" s="26">
        <v>8.6242951099999992E-6</v>
      </c>
      <c r="O47" s="26">
        <v>2.1764621999999999E-7</v>
      </c>
      <c r="P47" s="26">
        <v>9.1320092300000001E-8</v>
      </c>
      <c r="Q47" s="26">
        <v>6.6007391399999996E-5</v>
      </c>
      <c r="R47" s="26">
        <v>8.0439114899999993E-6</v>
      </c>
      <c r="S47" s="26">
        <v>9.2916494799999994E-5</v>
      </c>
      <c r="T47" s="26">
        <v>4.20489925E-2</v>
      </c>
      <c r="U47" s="26">
        <v>0.53867153800000001</v>
      </c>
      <c r="V47" s="26">
        <v>171.972779</v>
      </c>
      <c r="W47" s="26">
        <v>0</v>
      </c>
      <c r="X47" s="26">
        <v>1.0522920899999999</v>
      </c>
      <c r="Y47" s="26">
        <v>4.82411889E-5</v>
      </c>
      <c r="Z47" s="26">
        <v>3.0722650799999999E-3</v>
      </c>
      <c r="AA47" s="26">
        <v>3.00849162E-3</v>
      </c>
      <c r="AB47" s="26">
        <v>1.9941296999999998E-8</v>
      </c>
      <c r="AC47" s="26">
        <v>1841.6666700000001</v>
      </c>
      <c r="AD47" s="26">
        <v>0</v>
      </c>
      <c r="AE47" s="26">
        <v>0</v>
      </c>
      <c r="AF47" s="26">
        <v>0</v>
      </c>
      <c r="AG47" s="26">
        <v>0</v>
      </c>
      <c r="AH47" s="26">
        <v>0</v>
      </c>
      <c r="AI47" s="26">
        <v>0</v>
      </c>
      <c r="AJ47" s="26">
        <v>0</v>
      </c>
      <c r="AK47" s="26">
        <v>0</v>
      </c>
      <c r="AL47" s="26">
        <v>0</v>
      </c>
      <c r="AM47" s="26">
        <v>1.5842673999999999E-5</v>
      </c>
      <c r="AN47" s="26">
        <v>0</v>
      </c>
      <c r="AO47" s="26">
        <v>0</v>
      </c>
      <c r="AP47" s="26">
        <v>0</v>
      </c>
      <c r="AQ47" s="26">
        <v>0</v>
      </c>
      <c r="AR47" s="26">
        <v>0</v>
      </c>
      <c r="AS47" s="26">
        <v>0</v>
      </c>
      <c r="AT47" s="26">
        <v>0</v>
      </c>
      <c r="AU47" s="26">
        <v>0</v>
      </c>
      <c r="AV47" s="26">
        <v>5.5672503000000003E-17</v>
      </c>
      <c r="AW47" s="26">
        <v>0</v>
      </c>
      <c r="AX47" s="26">
        <v>0</v>
      </c>
      <c r="AY47" s="26">
        <v>0</v>
      </c>
      <c r="AZ47" s="26">
        <v>0</v>
      </c>
      <c r="BA47" s="26">
        <v>0</v>
      </c>
      <c r="BB47" s="26">
        <v>0</v>
      </c>
      <c r="BC47" s="26">
        <v>0</v>
      </c>
      <c r="BD47" s="26">
        <v>0</v>
      </c>
      <c r="BE47" s="26">
        <v>0</v>
      </c>
      <c r="BF47" s="26">
        <v>0</v>
      </c>
      <c r="BG47" s="26">
        <v>0</v>
      </c>
      <c r="BH47" s="26">
        <v>0</v>
      </c>
      <c r="BI47" s="26">
        <v>0</v>
      </c>
      <c r="BJ47" s="26">
        <v>0</v>
      </c>
      <c r="BK47" s="26">
        <v>0</v>
      </c>
      <c r="BL47" s="26">
        <v>0</v>
      </c>
      <c r="BM47" s="26">
        <v>0</v>
      </c>
      <c r="BN47" s="26">
        <v>0</v>
      </c>
      <c r="BO47" s="26">
        <v>2063.2318700000001</v>
      </c>
      <c r="BP47" s="26">
        <v>38825.381000000001</v>
      </c>
      <c r="BQ47" s="26">
        <v>706.66815299999996</v>
      </c>
      <c r="BR47" s="26">
        <v>112.531432</v>
      </c>
      <c r="BS47" s="26">
        <v>6.0910336200000001</v>
      </c>
      <c r="BT47" s="26">
        <v>0</v>
      </c>
      <c r="BU47" s="26">
        <v>1</v>
      </c>
      <c r="BV47" s="26">
        <v>0</v>
      </c>
      <c r="BW47" s="26">
        <v>-67732.384099999996</v>
      </c>
      <c r="BX47" s="26">
        <v>-3599.3880899999999</v>
      </c>
      <c r="BY47" s="26">
        <v>-139.747615</v>
      </c>
      <c r="BZ47" s="26">
        <v>-34.588892299999998</v>
      </c>
      <c r="CA47" s="26">
        <v>-1.8380992899999999</v>
      </c>
      <c r="CB47" s="26">
        <v>4.8661026199999999E-2</v>
      </c>
      <c r="CC47" s="26">
        <v>0.91569100999999997</v>
      </c>
      <c r="CD47" s="26">
        <v>18.8177497</v>
      </c>
      <c r="CE47" s="26">
        <v>634.05178999999998</v>
      </c>
      <c r="CF47" s="26">
        <v>0</v>
      </c>
      <c r="CG47" s="26">
        <v>0</v>
      </c>
      <c r="CH47" s="26">
        <v>0</v>
      </c>
      <c r="CI47" s="26">
        <v>0</v>
      </c>
      <c r="CJ47" s="26">
        <v>0</v>
      </c>
      <c r="CK47" s="26">
        <v>0</v>
      </c>
      <c r="CL47" s="26">
        <v>0</v>
      </c>
      <c r="CM47" s="26">
        <v>0</v>
      </c>
      <c r="CN47" s="26">
        <v>0</v>
      </c>
      <c r="CO47" s="26">
        <v>0</v>
      </c>
      <c r="CP47" s="26">
        <v>0</v>
      </c>
      <c r="CQ47" s="26">
        <v>0</v>
      </c>
      <c r="CR47" s="26">
        <v>0</v>
      </c>
      <c r="CS47" s="26">
        <v>0</v>
      </c>
      <c r="CT47" s="26">
        <v>0</v>
      </c>
      <c r="CU47" s="26">
        <v>0</v>
      </c>
      <c r="CV47" s="26">
        <v>0</v>
      </c>
      <c r="CW47" s="26">
        <v>0</v>
      </c>
      <c r="CX47" s="26">
        <v>0</v>
      </c>
      <c r="CY47" s="26">
        <v>0</v>
      </c>
      <c r="CZ47" s="26">
        <v>0</v>
      </c>
      <c r="DA47" s="26">
        <v>0</v>
      </c>
      <c r="DB47" s="26">
        <v>0</v>
      </c>
      <c r="DC47" s="26">
        <v>0</v>
      </c>
      <c r="DD47" s="26">
        <v>0</v>
      </c>
      <c r="DE47" s="26">
        <v>0</v>
      </c>
      <c r="DF47" s="26">
        <v>0</v>
      </c>
      <c r="DG47" s="26">
        <v>0</v>
      </c>
      <c r="DH47" s="26">
        <v>0</v>
      </c>
      <c r="DI47" s="26">
        <v>0</v>
      </c>
      <c r="DJ47" s="26">
        <v>0</v>
      </c>
      <c r="DK47" s="26">
        <v>0</v>
      </c>
      <c r="DL47" s="26">
        <v>0</v>
      </c>
      <c r="DM47" s="26">
        <v>0</v>
      </c>
      <c r="DN47" s="26">
        <v>0</v>
      </c>
      <c r="DO47" s="26">
        <v>0</v>
      </c>
      <c r="DP47" s="26">
        <v>0</v>
      </c>
      <c r="DQ47" s="26">
        <v>0</v>
      </c>
      <c r="DR47" s="26">
        <v>0</v>
      </c>
      <c r="DS47" s="26">
        <v>0</v>
      </c>
      <c r="DT47" s="26">
        <v>0</v>
      </c>
      <c r="DU47" s="26">
        <v>0</v>
      </c>
      <c r="DV47" s="26">
        <v>0</v>
      </c>
      <c r="DW47" s="26">
        <v>0</v>
      </c>
      <c r="DX47" s="26">
        <v>0</v>
      </c>
      <c r="DY47" s="26">
        <v>0</v>
      </c>
      <c r="DZ47" s="26">
        <v>0</v>
      </c>
      <c r="EA47" s="26">
        <v>0</v>
      </c>
      <c r="EB47" s="26">
        <v>0</v>
      </c>
      <c r="EC47" s="26">
        <v>0</v>
      </c>
      <c r="ED47" s="26">
        <v>0</v>
      </c>
      <c r="EE47" s="26">
        <v>0</v>
      </c>
      <c r="EF47" s="26">
        <v>0</v>
      </c>
      <c r="EG47" s="26">
        <v>0</v>
      </c>
      <c r="EH47" s="26">
        <v>0</v>
      </c>
      <c r="EI47" s="26">
        <v>0</v>
      </c>
      <c r="EJ47" s="26">
        <v>0</v>
      </c>
      <c r="EK47" s="26">
        <v>0</v>
      </c>
      <c r="EL47" s="26">
        <v>0</v>
      </c>
      <c r="EM47" s="26">
        <v>0</v>
      </c>
      <c r="EN47" s="26">
        <v>0</v>
      </c>
      <c r="EO47" s="26">
        <v>0</v>
      </c>
      <c r="EP47" s="26">
        <v>0</v>
      </c>
      <c r="EQ47" s="26">
        <v>0</v>
      </c>
      <c r="ER47" s="26">
        <v>0</v>
      </c>
      <c r="ES47" s="26">
        <v>0</v>
      </c>
      <c r="ET47" s="26">
        <v>6.0910336200000001</v>
      </c>
      <c r="EU47" s="26">
        <v>0</v>
      </c>
      <c r="EV47" s="26">
        <v>0</v>
      </c>
      <c r="EW47" s="26">
        <v>0</v>
      </c>
      <c r="EX47" s="26">
        <v>0</v>
      </c>
      <c r="EY47" s="26">
        <v>0</v>
      </c>
      <c r="EZ47" s="26">
        <v>0</v>
      </c>
      <c r="FA47" s="26">
        <v>0</v>
      </c>
      <c r="FB47" s="26">
        <v>0</v>
      </c>
      <c r="FC47" s="26">
        <v>0</v>
      </c>
      <c r="FD47" s="26">
        <v>0</v>
      </c>
      <c r="FE47" s="26">
        <v>0</v>
      </c>
      <c r="FF47" s="26">
        <v>0</v>
      </c>
      <c r="FG47" s="26">
        <v>8.4165240100000007E-3</v>
      </c>
      <c r="FH47" s="26">
        <v>-166326029.80900002</v>
      </c>
      <c r="FI47" s="26">
        <v>2.725480149581619E-3</v>
      </c>
      <c r="FJ47" s="26">
        <v>0</v>
      </c>
      <c r="FK47" s="26">
        <v>0</v>
      </c>
      <c r="FL47" s="26">
        <v>0</v>
      </c>
      <c r="FM47" s="26">
        <v>0</v>
      </c>
      <c r="FN47" s="26">
        <v>0</v>
      </c>
      <c r="FO47" s="26">
        <v>0</v>
      </c>
      <c r="FP47" s="26">
        <v>0</v>
      </c>
      <c r="FQ47" s="26">
        <v>0</v>
      </c>
      <c r="FR47" s="26">
        <v>0</v>
      </c>
      <c r="FS47" s="26">
        <v>0</v>
      </c>
      <c r="FT47" s="26">
        <v>0</v>
      </c>
      <c r="FU47" s="26">
        <v>0</v>
      </c>
      <c r="FV47" s="26">
        <v>0</v>
      </c>
      <c r="FW47" s="26">
        <v>0</v>
      </c>
      <c r="FX47" s="26">
        <v>0</v>
      </c>
      <c r="FY47" s="26">
        <v>0</v>
      </c>
      <c r="FZ47" s="26">
        <v>0</v>
      </c>
      <c r="GA47" s="26">
        <v>0</v>
      </c>
      <c r="GB47" s="26">
        <v>0</v>
      </c>
      <c r="GC47" s="26">
        <v>0</v>
      </c>
      <c r="GD47" s="26">
        <v>0</v>
      </c>
      <c r="GE47" s="26">
        <v>0</v>
      </c>
      <c r="GF47" s="26">
        <v>0</v>
      </c>
      <c r="GG47" s="26">
        <v>0</v>
      </c>
      <c r="GH47" s="26">
        <v>0</v>
      </c>
      <c r="GI47" s="26">
        <v>0</v>
      </c>
      <c r="GJ47" s="26">
        <v>0</v>
      </c>
      <c r="GK47" s="26">
        <v>0</v>
      </c>
      <c r="GL47" s="26">
        <v>0</v>
      </c>
      <c r="GM47" s="26">
        <v>0</v>
      </c>
      <c r="GN47" s="26">
        <v>0</v>
      </c>
      <c r="GO47" s="26">
        <v>0</v>
      </c>
      <c r="GP47" s="26">
        <v>0</v>
      </c>
      <c r="GQ47" s="26">
        <v>0</v>
      </c>
      <c r="GR47" s="26">
        <v>0</v>
      </c>
      <c r="GS47" s="26">
        <v>0</v>
      </c>
      <c r="GT47" s="26">
        <v>0</v>
      </c>
      <c r="GU47" s="26">
        <v>0</v>
      </c>
      <c r="GV47" s="26">
        <v>0</v>
      </c>
      <c r="GW47" s="26">
        <v>0</v>
      </c>
      <c r="GX47" s="26">
        <v>0</v>
      </c>
      <c r="GY47" s="26">
        <v>0</v>
      </c>
      <c r="GZ47" s="26">
        <v>0</v>
      </c>
      <c r="HA47" s="26">
        <v>0</v>
      </c>
      <c r="HB47" s="26">
        <v>0</v>
      </c>
      <c r="HC47" s="26">
        <v>0</v>
      </c>
      <c r="HD47" s="26">
        <v>0</v>
      </c>
      <c r="HE47" s="26">
        <v>0</v>
      </c>
      <c r="HF47" s="26">
        <v>0</v>
      </c>
      <c r="HG47" s="26">
        <v>0</v>
      </c>
      <c r="HH47" s="26">
        <v>0</v>
      </c>
      <c r="HI47" s="26">
        <v>0</v>
      </c>
      <c r="HJ47" s="26">
        <v>0</v>
      </c>
      <c r="HK47" s="26">
        <v>0</v>
      </c>
      <c r="HL47" s="26">
        <v>0</v>
      </c>
      <c r="HM47" s="26">
        <v>0</v>
      </c>
      <c r="HN47" s="26">
        <v>0</v>
      </c>
      <c r="HO47" s="26">
        <v>0</v>
      </c>
      <c r="HP47" s="26">
        <v>0</v>
      </c>
      <c r="HQ47" s="26">
        <v>0</v>
      </c>
      <c r="HR47" s="26">
        <v>0</v>
      </c>
      <c r="HS47" s="26">
        <v>0</v>
      </c>
      <c r="HT47" s="26">
        <v>0</v>
      </c>
    </row>
    <row r="48" spans="2:228" x14ac:dyDescent="0.2">
      <c r="B48" s="27" t="s">
        <v>1341</v>
      </c>
      <c r="C48" s="26">
        <v>3491.0177199999998</v>
      </c>
      <c r="D48" s="26">
        <v>-10.8038519</v>
      </c>
      <c r="E48" s="26">
        <v>3491.0177199999998</v>
      </c>
      <c r="F48" s="26">
        <v>0</v>
      </c>
      <c r="G48" s="26">
        <v>0</v>
      </c>
      <c r="H48" s="26">
        <v>0</v>
      </c>
      <c r="I48" s="26">
        <v>0</v>
      </c>
      <c r="J48" s="26">
        <v>0</v>
      </c>
      <c r="K48" s="26">
        <v>0</v>
      </c>
      <c r="L48" s="26">
        <v>0</v>
      </c>
      <c r="M48" s="26">
        <v>0</v>
      </c>
      <c r="N48" s="26">
        <v>0</v>
      </c>
      <c r="O48" s="26">
        <v>0</v>
      </c>
      <c r="P48" s="26">
        <v>0</v>
      </c>
      <c r="Q48" s="26">
        <v>0</v>
      </c>
      <c r="R48" s="26">
        <v>0</v>
      </c>
      <c r="S48" s="26">
        <v>0</v>
      </c>
      <c r="T48" s="26">
        <v>0</v>
      </c>
      <c r="U48" s="26">
        <v>0</v>
      </c>
      <c r="V48" s="26">
        <v>0</v>
      </c>
      <c r="W48" s="26">
        <v>0</v>
      </c>
      <c r="X48" s="26">
        <v>0</v>
      </c>
      <c r="Y48" s="26">
        <v>0</v>
      </c>
      <c r="Z48" s="26">
        <v>0</v>
      </c>
      <c r="AA48" s="26">
        <v>0</v>
      </c>
      <c r="AB48" s="26">
        <v>0</v>
      </c>
      <c r="AC48" s="26">
        <v>0</v>
      </c>
      <c r="AD48" s="26">
        <v>0</v>
      </c>
      <c r="AE48" s="26">
        <v>0</v>
      </c>
      <c r="AF48" s="26">
        <v>0</v>
      </c>
      <c r="AG48" s="26">
        <v>0</v>
      </c>
      <c r="AH48" s="26">
        <v>0</v>
      </c>
      <c r="AI48" s="26">
        <v>0</v>
      </c>
      <c r="AJ48" s="26">
        <v>0</v>
      </c>
      <c r="AK48" s="26">
        <v>0</v>
      </c>
      <c r="AL48" s="26">
        <v>0</v>
      </c>
      <c r="AM48" s="26">
        <v>0</v>
      </c>
      <c r="AN48" s="26">
        <v>0</v>
      </c>
      <c r="AO48" s="26">
        <v>0</v>
      </c>
      <c r="AP48" s="26">
        <v>0</v>
      </c>
      <c r="AQ48" s="26">
        <v>0</v>
      </c>
      <c r="AR48" s="26">
        <v>0</v>
      </c>
      <c r="AS48" s="26">
        <v>0</v>
      </c>
      <c r="AT48" s="26">
        <v>0</v>
      </c>
      <c r="AU48" s="26">
        <v>0</v>
      </c>
      <c r="AV48" s="26">
        <v>0</v>
      </c>
      <c r="AW48" s="26">
        <v>0</v>
      </c>
      <c r="AX48" s="26">
        <v>0</v>
      </c>
      <c r="AY48" s="26">
        <v>0</v>
      </c>
      <c r="AZ48" s="26">
        <v>0</v>
      </c>
      <c r="BA48" s="26">
        <v>0</v>
      </c>
      <c r="BB48" s="26">
        <v>0</v>
      </c>
      <c r="BC48" s="26">
        <v>0</v>
      </c>
      <c r="BD48" s="26">
        <v>0</v>
      </c>
      <c r="BE48" s="26">
        <v>0</v>
      </c>
      <c r="BF48" s="26">
        <v>0</v>
      </c>
      <c r="BG48" s="26">
        <v>0</v>
      </c>
      <c r="BH48" s="26">
        <v>0</v>
      </c>
      <c r="BI48" s="26">
        <v>0</v>
      </c>
      <c r="BJ48" s="26">
        <v>0</v>
      </c>
      <c r="BK48" s="26">
        <v>0</v>
      </c>
      <c r="BL48" s="26">
        <v>0</v>
      </c>
      <c r="BM48" s="26">
        <v>0</v>
      </c>
      <c r="BN48" s="26">
        <v>0</v>
      </c>
      <c r="BO48" s="26">
        <v>193.78093100000001</v>
      </c>
      <c r="BP48" s="26">
        <v>3491.0177199999998</v>
      </c>
      <c r="BQ48" s="26">
        <v>11035.6173</v>
      </c>
      <c r="BR48" s="26">
        <v>268.1893</v>
      </c>
      <c r="BS48" s="26">
        <v>13</v>
      </c>
      <c r="BT48" s="26">
        <v>1</v>
      </c>
      <c r="BU48" s="26">
        <v>0</v>
      </c>
      <c r="BV48" s="26">
        <v>0</v>
      </c>
      <c r="BW48" s="26">
        <v>-55752.915300000001</v>
      </c>
      <c r="BX48" s="26">
        <v>-3094.7570799999999</v>
      </c>
      <c r="BY48" s="26">
        <v>-10.8038519</v>
      </c>
      <c r="BZ48" s="26">
        <v>-10.788657799999999</v>
      </c>
      <c r="CA48" s="26">
        <v>-0.59886151300000001</v>
      </c>
      <c r="CB48" s="26">
        <v>2.9265985300000002E-4</v>
      </c>
      <c r="CC48" s="26">
        <v>5.2723491900000001E-3</v>
      </c>
      <c r="CD48" s="26">
        <v>18.015280000000001</v>
      </c>
      <c r="CE48" s="26">
        <v>58.295762600000003</v>
      </c>
      <c r="CF48" s="26">
        <v>0</v>
      </c>
      <c r="CG48" s="26">
        <v>0</v>
      </c>
      <c r="CH48" s="26">
        <v>0</v>
      </c>
      <c r="CI48" s="26">
        <v>0</v>
      </c>
      <c r="CJ48" s="26">
        <v>0</v>
      </c>
      <c r="CK48" s="26">
        <v>0</v>
      </c>
      <c r="CL48" s="26">
        <v>0</v>
      </c>
      <c r="CM48" s="26">
        <v>0</v>
      </c>
      <c r="CN48" s="26">
        <v>0</v>
      </c>
      <c r="CO48" s="26">
        <v>0</v>
      </c>
      <c r="CP48" s="26">
        <v>0</v>
      </c>
      <c r="CQ48" s="26">
        <v>0</v>
      </c>
      <c r="CR48" s="26">
        <v>0</v>
      </c>
      <c r="CS48" s="26">
        <v>0</v>
      </c>
      <c r="CT48" s="26">
        <v>0</v>
      </c>
      <c r="CU48" s="26">
        <v>0</v>
      </c>
      <c r="CV48" s="26">
        <v>0</v>
      </c>
      <c r="CW48" s="26">
        <v>0</v>
      </c>
      <c r="CX48" s="26">
        <v>0</v>
      </c>
      <c r="CY48" s="26">
        <v>0</v>
      </c>
      <c r="CZ48" s="26">
        <v>0</v>
      </c>
      <c r="DA48" s="26">
        <v>0</v>
      </c>
      <c r="DB48" s="26">
        <v>0</v>
      </c>
      <c r="DC48" s="26">
        <v>0</v>
      </c>
      <c r="DD48" s="26">
        <v>0</v>
      </c>
      <c r="DE48" s="26">
        <v>0</v>
      </c>
      <c r="DF48" s="26">
        <v>0</v>
      </c>
      <c r="DG48" s="26">
        <v>0</v>
      </c>
      <c r="DH48" s="26">
        <v>0</v>
      </c>
      <c r="DI48" s="26">
        <v>0</v>
      </c>
      <c r="DJ48" s="26">
        <v>0</v>
      </c>
      <c r="DK48" s="26">
        <v>0</v>
      </c>
      <c r="DL48" s="26">
        <v>0</v>
      </c>
      <c r="DM48" s="26">
        <v>0</v>
      </c>
      <c r="DN48" s="26">
        <v>0</v>
      </c>
      <c r="DO48" s="26">
        <v>0</v>
      </c>
      <c r="DP48" s="26">
        <v>0</v>
      </c>
      <c r="DQ48" s="26">
        <v>0</v>
      </c>
      <c r="DR48" s="26">
        <v>0</v>
      </c>
      <c r="DS48" s="26">
        <v>0</v>
      </c>
      <c r="DT48" s="26">
        <v>0</v>
      </c>
      <c r="DU48" s="26">
        <v>0</v>
      </c>
      <c r="DV48" s="26">
        <v>0</v>
      </c>
      <c r="DW48" s="26">
        <v>0</v>
      </c>
      <c r="DX48" s="26">
        <v>0</v>
      </c>
      <c r="DY48" s="26">
        <v>0</v>
      </c>
      <c r="DZ48" s="26">
        <v>0</v>
      </c>
      <c r="EA48" s="26">
        <v>0</v>
      </c>
      <c r="EB48" s="26">
        <v>0</v>
      </c>
      <c r="EC48" s="26">
        <v>0</v>
      </c>
      <c r="ED48" s="26">
        <v>0</v>
      </c>
      <c r="EE48" s="26">
        <v>0</v>
      </c>
      <c r="EF48" s="26">
        <v>0</v>
      </c>
      <c r="EG48" s="26">
        <v>0</v>
      </c>
      <c r="EH48" s="26">
        <v>0</v>
      </c>
      <c r="EI48" s="26">
        <v>0</v>
      </c>
      <c r="EJ48" s="26">
        <v>0</v>
      </c>
      <c r="EK48" s="26">
        <v>0</v>
      </c>
      <c r="EL48" s="26">
        <v>0</v>
      </c>
      <c r="EM48" s="26">
        <v>0</v>
      </c>
      <c r="EN48" s="26">
        <v>0</v>
      </c>
      <c r="EO48" s="26">
        <v>0</v>
      </c>
      <c r="EP48" s="26">
        <v>0</v>
      </c>
      <c r="EQ48" s="26">
        <v>0</v>
      </c>
      <c r="ER48" s="26">
        <v>0</v>
      </c>
      <c r="ES48" s="26">
        <v>0</v>
      </c>
      <c r="ET48" s="26">
        <v>13</v>
      </c>
      <c r="EU48" s="26">
        <v>0</v>
      </c>
      <c r="EV48" s="26">
        <v>0</v>
      </c>
      <c r="EW48" s="26">
        <v>0</v>
      </c>
      <c r="EX48" s="26">
        <v>0</v>
      </c>
      <c r="EY48" s="26">
        <v>0</v>
      </c>
      <c r="EZ48" s="26">
        <v>0</v>
      </c>
      <c r="FA48" s="26">
        <v>0</v>
      </c>
      <c r="FB48" s="26">
        <v>0</v>
      </c>
      <c r="FC48" s="26">
        <v>0</v>
      </c>
      <c r="FD48" s="26">
        <v>0</v>
      </c>
      <c r="FE48" s="26">
        <v>0</v>
      </c>
      <c r="FF48" s="26">
        <v>0</v>
      </c>
      <c r="FG48" s="26">
        <v>0</v>
      </c>
      <c r="FH48" s="26">
        <v>-13016372.874299999</v>
      </c>
      <c r="FI48" s="26">
        <v>0</v>
      </c>
      <c r="FJ48" s="26">
        <v>5.3828036819513189E-2</v>
      </c>
      <c r="FK48" s="26">
        <v>0</v>
      </c>
      <c r="FL48" s="26">
        <v>0</v>
      </c>
      <c r="FM48" s="26">
        <v>0</v>
      </c>
      <c r="FN48" s="26">
        <v>0</v>
      </c>
      <c r="FO48" s="26">
        <v>0</v>
      </c>
      <c r="FP48" s="26">
        <v>0</v>
      </c>
      <c r="FQ48" s="26">
        <v>0</v>
      </c>
      <c r="FR48" s="26">
        <v>0</v>
      </c>
      <c r="FS48" s="26">
        <v>0</v>
      </c>
      <c r="FT48" s="26">
        <v>0</v>
      </c>
      <c r="FU48" s="26">
        <v>0</v>
      </c>
      <c r="FV48" s="26">
        <v>0</v>
      </c>
      <c r="FW48" s="26">
        <v>0</v>
      </c>
      <c r="FX48" s="26">
        <v>0</v>
      </c>
      <c r="FY48" s="26">
        <v>0</v>
      </c>
      <c r="FZ48" s="26">
        <v>0</v>
      </c>
      <c r="GA48" s="26">
        <v>0</v>
      </c>
      <c r="GB48" s="26">
        <v>0</v>
      </c>
      <c r="GC48" s="26">
        <v>0</v>
      </c>
      <c r="GD48" s="26">
        <v>0</v>
      </c>
      <c r="GE48" s="26">
        <v>0</v>
      </c>
      <c r="GF48" s="26">
        <v>0</v>
      </c>
      <c r="GG48" s="26">
        <v>0</v>
      </c>
      <c r="GH48" s="26">
        <v>0</v>
      </c>
      <c r="GI48" s="26">
        <v>0</v>
      </c>
      <c r="GJ48" s="26">
        <v>0</v>
      </c>
      <c r="GK48" s="26">
        <v>0</v>
      </c>
      <c r="GL48" s="26">
        <v>0</v>
      </c>
      <c r="GM48" s="26">
        <v>0</v>
      </c>
      <c r="GN48" s="26">
        <v>0</v>
      </c>
      <c r="GO48" s="26">
        <v>0</v>
      </c>
      <c r="GP48" s="26">
        <v>0</v>
      </c>
      <c r="GQ48" s="26">
        <v>0</v>
      </c>
      <c r="GR48" s="26">
        <v>0</v>
      </c>
      <c r="GS48" s="26">
        <v>0</v>
      </c>
      <c r="GT48" s="26">
        <v>0</v>
      </c>
      <c r="GU48" s="26">
        <v>0</v>
      </c>
      <c r="GV48" s="26">
        <v>0</v>
      </c>
      <c r="GW48" s="26">
        <v>0</v>
      </c>
      <c r="GX48" s="26">
        <v>0</v>
      </c>
      <c r="GY48" s="26">
        <v>0</v>
      </c>
      <c r="GZ48" s="26">
        <v>0</v>
      </c>
      <c r="HA48" s="26">
        <v>0</v>
      </c>
      <c r="HB48" s="26">
        <v>0</v>
      </c>
      <c r="HC48" s="26">
        <v>0</v>
      </c>
      <c r="HD48" s="26">
        <v>0</v>
      </c>
      <c r="HE48" s="26">
        <v>0</v>
      </c>
      <c r="HF48" s="26">
        <v>0</v>
      </c>
      <c r="HG48" s="26">
        <v>0</v>
      </c>
      <c r="HH48" s="26">
        <v>0</v>
      </c>
      <c r="HI48" s="26">
        <v>0</v>
      </c>
      <c r="HJ48" s="26">
        <v>0</v>
      </c>
      <c r="HK48" s="26">
        <v>0</v>
      </c>
      <c r="HL48" s="26">
        <v>0</v>
      </c>
      <c r="HM48" s="26">
        <v>0</v>
      </c>
      <c r="HN48" s="26">
        <v>0</v>
      </c>
      <c r="HO48" s="26">
        <v>0</v>
      </c>
      <c r="HP48" s="26">
        <v>0</v>
      </c>
      <c r="HQ48" s="26">
        <v>0</v>
      </c>
      <c r="HR48" s="26">
        <v>0</v>
      </c>
      <c r="HS48" s="26">
        <v>0</v>
      </c>
      <c r="HT48" s="26">
        <v>0</v>
      </c>
    </row>
    <row r="49" spans="2:228" x14ac:dyDescent="0.2">
      <c r="B49" s="27" t="s">
        <v>1344</v>
      </c>
      <c r="C49" s="26">
        <v>24555.056100000002</v>
      </c>
      <c r="D49" s="26">
        <v>-75.991934200000003</v>
      </c>
      <c r="E49" s="26">
        <v>24555.056100000002</v>
      </c>
      <c r="F49" s="26">
        <v>0</v>
      </c>
      <c r="G49" s="26">
        <v>0</v>
      </c>
      <c r="H49" s="26">
        <v>0</v>
      </c>
      <c r="I49" s="26">
        <v>0</v>
      </c>
      <c r="J49" s="26">
        <v>0</v>
      </c>
      <c r="K49" s="26">
        <v>0</v>
      </c>
      <c r="L49" s="26">
        <v>0</v>
      </c>
      <c r="M49" s="26">
        <v>0</v>
      </c>
      <c r="N49" s="26">
        <v>0</v>
      </c>
      <c r="O49" s="26">
        <v>0</v>
      </c>
      <c r="P49" s="26">
        <v>0</v>
      </c>
      <c r="Q49" s="26">
        <v>0</v>
      </c>
      <c r="R49" s="26">
        <v>0</v>
      </c>
      <c r="S49" s="26">
        <v>0</v>
      </c>
      <c r="T49" s="26">
        <v>0</v>
      </c>
      <c r="U49" s="26">
        <v>0</v>
      </c>
      <c r="V49" s="26">
        <v>0</v>
      </c>
      <c r="W49" s="26">
        <v>0</v>
      </c>
      <c r="X49" s="26">
        <v>0</v>
      </c>
      <c r="Y49" s="26">
        <v>0</v>
      </c>
      <c r="Z49" s="26">
        <v>0</v>
      </c>
      <c r="AA49" s="26">
        <v>0</v>
      </c>
      <c r="AB49" s="26">
        <v>0</v>
      </c>
      <c r="AC49" s="26">
        <v>0</v>
      </c>
      <c r="AD49" s="26">
        <v>0</v>
      </c>
      <c r="AE49" s="26">
        <v>0</v>
      </c>
      <c r="AF49" s="26">
        <v>0</v>
      </c>
      <c r="AG49" s="26">
        <v>0</v>
      </c>
      <c r="AH49" s="26">
        <v>0</v>
      </c>
      <c r="AI49" s="26">
        <v>0</v>
      </c>
      <c r="AJ49" s="26">
        <v>0</v>
      </c>
      <c r="AK49" s="26">
        <v>0</v>
      </c>
      <c r="AL49" s="26">
        <v>0</v>
      </c>
      <c r="AM49" s="26">
        <v>0</v>
      </c>
      <c r="AN49" s="26">
        <v>0</v>
      </c>
      <c r="AO49" s="26">
        <v>0</v>
      </c>
      <c r="AP49" s="26">
        <v>0</v>
      </c>
      <c r="AQ49" s="26">
        <v>0</v>
      </c>
      <c r="AR49" s="26">
        <v>0</v>
      </c>
      <c r="AS49" s="26">
        <v>0</v>
      </c>
      <c r="AT49" s="26">
        <v>0</v>
      </c>
      <c r="AU49" s="26">
        <v>0</v>
      </c>
      <c r="AV49" s="26">
        <v>0</v>
      </c>
      <c r="AW49" s="26">
        <v>0</v>
      </c>
      <c r="AX49" s="26">
        <v>0</v>
      </c>
      <c r="AY49" s="26">
        <v>0</v>
      </c>
      <c r="AZ49" s="26">
        <v>0</v>
      </c>
      <c r="BA49" s="26">
        <v>0</v>
      </c>
      <c r="BB49" s="26">
        <v>0</v>
      </c>
      <c r="BC49" s="26">
        <v>0</v>
      </c>
      <c r="BD49" s="26">
        <v>0</v>
      </c>
      <c r="BE49" s="26">
        <v>0</v>
      </c>
      <c r="BF49" s="26">
        <v>0</v>
      </c>
      <c r="BG49" s="26">
        <v>0</v>
      </c>
      <c r="BH49" s="26">
        <v>0</v>
      </c>
      <c r="BI49" s="26">
        <v>0</v>
      </c>
      <c r="BJ49" s="26">
        <v>0</v>
      </c>
      <c r="BK49" s="26">
        <v>0</v>
      </c>
      <c r="BL49" s="26">
        <v>0</v>
      </c>
      <c r="BM49" s="26">
        <v>0</v>
      </c>
      <c r="BN49" s="26">
        <v>0</v>
      </c>
      <c r="BO49" s="26">
        <v>1363.0127399999999</v>
      </c>
      <c r="BP49" s="26">
        <v>24555.056100000002</v>
      </c>
      <c r="BQ49" s="26">
        <v>77622.121499999994</v>
      </c>
      <c r="BR49" s="26">
        <v>268.1893</v>
      </c>
      <c r="BS49" s="26">
        <v>13</v>
      </c>
      <c r="BT49" s="26">
        <v>1</v>
      </c>
      <c r="BU49" s="26">
        <v>0</v>
      </c>
      <c r="BV49" s="26">
        <v>0</v>
      </c>
      <c r="BW49" s="26">
        <v>-55752.915300000001</v>
      </c>
      <c r="BX49" s="26">
        <v>-3094.7570799999999</v>
      </c>
      <c r="BY49" s="26">
        <v>-75.991934200000003</v>
      </c>
      <c r="BZ49" s="26">
        <v>-10.788657799999999</v>
      </c>
      <c r="CA49" s="26">
        <v>-0.59886151300000001</v>
      </c>
      <c r="CB49" s="26">
        <v>2.9265985300000002E-4</v>
      </c>
      <c r="CC49" s="26">
        <v>5.2723491900000001E-3</v>
      </c>
      <c r="CD49" s="26">
        <v>18.015280000000001</v>
      </c>
      <c r="CE49" s="26">
        <v>410.03966000000003</v>
      </c>
      <c r="CF49" s="26">
        <v>0</v>
      </c>
      <c r="CG49" s="26">
        <v>0</v>
      </c>
      <c r="CH49" s="26">
        <v>0</v>
      </c>
      <c r="CI49" s="26">
        <v>0</v>
      </c>
      <c r="CJ49" s="26">
        <v>0</v>
      </c>
      <c r="CK49" s="26">
        <v>0</v>
      </c>
      <c r="CL49" s="26">
        <v>0</v>
      </c>
      <c r="CM49" s="26">
        <v>0</v>
      </c>
      <c r="CN49" s="26">
        <v>0</v>
      </c>
      <c r="CO49" s="26">
        <v>0</v>
      </c>
      <c r="CP49" s="26">
        <v>0</v>
      </c>
      <c r="CQ49" s="26">
        <v>0</v>
      </c>
      <c r="CR49" s="26">
        <v>0</v>
      </c>
      <c r="CS49" s="26">
        <v>0</v>
      </c>
      <c r="CT49" s="26">
        <v>0</v>
      </c>
      <c r="CU49" s="26">
        <v>0</v>
      </c>
      <c r="CV49" s="26">
        <v>0</v>
      </c>
      <c r="CW49" s="26">
        <v>0</v>
      </c>
      <c r="CX49" s="26">
        <v>0</v>
      </c>
      <c r="CY49" s="26">
        <v>0</v>
      </c>
      <c r="CZ49" s="26">
        <v>0</v>
      </c>
      <c r="DA49" s="26">
        <v>0</v>
      </c>
      <c r="DB49" s="26">
        <v>0</v>
      </c>
      <c r="DC49" s="26">
        <v>0</v>
      </c>
      <c r="DD49" s="26">
        <v>0</v>
      </c>
      <c r="DE49" s="26">
        <v>0</v>
      </c>
      <c r="DF49" s="26">
        <v>0</v>
      </c>
      <c r="DG49" s="26">
        <v>0</v>
      </c>
      <c r="DH49" s="26">
        <v>0</v>
      </c>
      <c r="DI49" s="26">
        <v>0</v>
      </c>
      <c r="DJ49" s="26">
        <v>0</v>
      </c>
      <c r="DK49" s="26">
        <v>0</v>
      </c>
      <c r="DL49" s="26">
        <v>0</v>
      </c>
      <c r="DM49" s="26">
        <v>0</v>
      </c>
      <c r="DN49" s="26">
        <v>0</v>
      </c>
      <c r="DO49" s="26">
        <v>0</v>
      </c>
      <c r="DP49" s="26">
        <v>0</v>
      </c>
      <c r="DQ49" s="26">
        <v>0</v>
      </c>
      <c r="DR49" s="26">
        <v>0</v>
      </c>
      <c r="DS49" s="26">
        <v>0</v>
      </c>
      <c r="DT49" s="26">
        <v>0</v>
      </c>
      <c r="DU49" s="26">
        <v>0</v>
      </c>
      <c r="DV49" s="26">
        <v>0</v>
      </c>
      <c r="DW49" s="26">
        <v>0</v>
      </c>
      <c r="DX49" s="26">
        <v>0</v>
      </c>
      <c r="DY49" s="26">
        <v>0</v>
      </c>
      <c r="DZ49" s="26">
        <v>0</v>
      </c>
      <c r="EA49" s="26">
        <v>0</v>
      </c>
      <c r="EB49" s="26">
        <v>0</v>
      </c>
      <c r="EC49" s="26">
        <v>0</v>
      </c>
      <c r="ED49" s="26">
        <v>0</v>
      </c>
      <c r="EE49" s="26">
        <v>0</v>
      </c>
      <c r="EF49" s="26">
        <v>0</v>
      </c>
      <c r="EG49" s="26">
        <v>0</v>
      </c>
      <c r="EH49" s="26">
        <v>0</v>
      </c>
      <c r="EI49" s="26">
        <v>0</v>
      </c>
      <c r="EJ49" s="26">
        <v>0</v>
      </c>
      <c r="EK49" s="26">
        <v>0</v>
      </c>
      <c r="EL49" s="26">
        <v>0</v>
      </c>
      <c r="EM49" s="26">
        <v>0</v>
      </c>
      <c r="EN49" s="26">
        <v>0</v>
      </c>
      <c r="EO49" s="26">
        <v>0</v>
      </c>
      <c r="EP49" s="26">
        <v>0</v>
      </c>
      <c r="EQ49" s="26">
        <v>0</v>
      </c>
      <c r="ER49" s="26">
        <v>0</v>
      </c>
      <c r="ES49" s="26">
        <v>0</v>
      </c>
      <c r="ET49" s="26">
        <v>13</v>
      </c>
      <c r="EU49" s="26">
        <v>0</v>
      </c>
      <c r="EV49" s="26">
        <v>0</v>
      </c>
      <c r="EW49" s="26">
        <v>0</v>
      </c>
      <c r="EX49" s="26">
        <v>0</v>
      </c>
      <c r="EY49" s="26">
        <v>0</v>
      </c>
      <c r="EZ49" s="26">
        <v>0</v>
      </c>
      <c r="FA49" s="26">
        <v>0</v>
      </c>
      <c r="FB49" s="26">
        <v>0</v>
      </c>
      <c r="FC49" s="26">
        <v>0</v>
      </c>
      <c r="FD49" s="26">
        <v>0</v>
      </c>
      <c r="FE49" s="26">
        <v>0</v>
      </c>
      <c r="FF49" s="26">
        <v>0</v>
      </c>
      <c r="FG49" s="26">
        <v>0</v>
      </c>
      <c r="FH49" s="26">
        <v>-91554323.440300003</v>
      </c>
      <c r="FI49" s="26">
        <v>0</v>
      </c>
      <c r="FJ49" s="26">
        <v>0.37861465302891723</v>
      </c>
      <c r="FK49" s="26">
        <v>0</v>
      </c>
      <c r="FL49" s="26">
        <v>0</v>
      </c>
      <c r="FM49" s="26">
        <v>0</v>
      </c>
      <c r="FN49" s="26">
        <v>0</v>
      </c>
      <c r="FO49" s="26">
        <v>0</v>
      </c>
      <c r="FP49" s="26">
        <v>0</v>
      </c>
      <c r="FQ49" s="26">
        <v>0</v>
      </c>
      <c r="FR49" s="26">
        <v>0</v>
      </c>
      <c r="FS49" s="26">
        <v>0</v>
      </c>
      <c r="FT49" s="26">
        <v>0</v>
      </c>
      <c r="FU49" s="26">
        <v>0</v>
      </c>
      <c r="FV49" s="26">
        <v>0</v>
      </c>
      <c r="FW49" s="26">
        <v>0</v>
      </c>
      <c r="FX49" s="26">
        <v>0</v>
      </c>
      <c r="FY49" s="26">
        <v>0</v>
      </c>
      <c r="FZ49" s="26">
        <v>0</v>
      </c>
      <c r="GA49" s="26">
        <v>0</v>
      </c>
      <c r="GB49" s="26">
        <v>0</v>
      </c>
      <c r="GC49" s="26">
        <v>0</v>
      </c>
      <c r="GD49" s="26">
        <v>0</v>
      </c>
      <c r="GE49" s="26">
        <v>0</v>
      </c>
      <c r="GF49" s="26">
        <v>0</v>
      </c>
      <c r="GG49" s="26">
        <v>0</v>
      </c>
      <c r="GH49" s="26">
        <v>0</v>
      </c>
      <c r="GI49" s="26">
        <v>0</v>
      </c>
      <c r="GJ49" s="26">
        <v>0</v>
      </c>
      <c r="GK49" s="26">
        <v>0</v>
      </c>
      <c r="GL49" s="26">
        <v>0</v>
      </c>
      <c r="GM49" s="26">
        <v>0</v>
      </c>
      <c r="GN49" s="26">
        <v>0</v>
      </c>
      <c r="GO49" s="26">
        <v>0</v>
      </c>
      <c r="GP49" s="26">
        <v>0</v>
      </c>
      <c r="GQ49" s="26">
        <v>0</v>
      </c>
      <c r="GR49" s="26">
        <v>0</v>
      </c>
      <c r="GS49" s="26">
        <v>0</v>
      </c>
      <c r="GT49" s="26">
        <v>0</v>
      </c>
      <c r="GU49" s="26">
        <v>0</v>
      </c>
      <c r="GV49" s="26">
        <v>0</v>
      </c>
      <c r="GW49" s="26">
        <v>0</v>
      </c>
      <c r="GX49" s="26">
        <v>0</v>
      </c>
      <c r="GY49" s="26">
        <v>0</v>
      </c>
      <c r="GZ49" s="26">
        <v>0</v>
      </c>
      <c r="HA49" s="26">
        <v>0</v>
      </c>
      <c r="HB49" s="26">
        <v>0</v>
      </c>
      <c r="HC49" s="26">
        <v>0</v>
      </c>
      <c r="HD49" s="26">
        <v>0</v>
      </c>
      <c r="HE49" s="26">
        <v>0</v>
      </c>
      <c r="HF49" s="26">
        <v>0</v>
      </c>
      <c r="HG49" s="26">
        <v>0</v>
      </c>
      <c r="HH49" s="26">
        <v>0</v>
      </c>
      <c r="HI49" s="26">
        <v>0</v>
      </c>
      <c r="HJ49" s="26">
        <v>0</v>
      </c>
      <c r="HK49" s="26">
        <v>0</v>
      </c>
      <c r="HL49" s="26">
        <v>0</v>
      </c>
      <c r="HM49" s="26">
        <v>0</v>
      </c>
      <c r="HN49" s="26">
        <v>0</v>
      </c>
      <c r="HO49" s="26">
        <v>0</v>
      </c>
      <c r="HP49" s="26">
        <v>0</v>
      </c>
      <c r="HQ49" s="26">
        <v>0</v>
      </c>
      <c r="HR49" s="26">
        <v>0</v>
      </c>
      <c r="HS49" s="26">
        <v>0</v>
      </c>
      <c r="HT49" s="26">
        <v>0</v>
      </c>
    </row>
    <row r="50" spans="2:228" x14ac:dyDescent="0.2">
      <c r="B50" s="27" t="s">
        <v>1346</v>
      </c>
      <c r="C50" s="26">
        <v>312037.44099999999</v>
      </c>
      <c r="D50" s="26">
        <v>-942.39840100000015</v>
      </c>
      <c r="E50" s="26">
        <v>224197.481</v>
      </c>
      <c r="F50" s="26">
        <v>18.420235999999999</v>
      </c>
      <c r="G50" s="26">
        <v>3550.2460000000001</v>
      </c>
      <c r="H50" s="26">
        <v>1191.5222100000001</v>
      </c>
      <c r="I50" s="26">
        <v>499.93939</v>
      </c>
      <c r="J50" s="26">
        <v>16642.746500000001</v>
      </c>
      <c r="K50" s="26">
        <v>2028.14833</v>
      </c>
      <c r="L50" s="26">
        <v>1.47120573E-4</v>
      </c>
      <c r="M50" s="26">
        <v>0</v>
      </c>
      <c r="N50" s="26">
        <v>87.614649799999995</v>
      </c>
      <c r="O50" s="26">
        <v>28.596619199999999</v>
      </c>
      <c r="P50" s="26">
        <v>11.9985815</v>
      </c>
      <c r="Q50" s="26">
        <v>390.551289</v>
      </c>
      <c r="R50" s="26">
        <v>47.594063900000002</v>
      </c>
      <c r="S50" s="26">
        <v>12208.3334</v>
      </c>
      <c r="T50" s="26">
        <v>656.63108599999998</v>
      </c>
      <c r="U50" s="26">
        <v>370.32564500000001</v>
      </c>
      <c r="V50" s="26">
        <v>663.86414600000001</v>
      </c>
      <c r="W50" s="26">
        <v>1508.1550199999999</v>
      </c>
      <c r="X50" s="26">
        <v>1.0522920899999999</v>
      </c>
      <c r="Y50" s="26">
        <v>4.82411889E-5</v>
      </c>
      <c r="Z50" s="26">
        <v>3.0722650799999999E-3</v>
      </c>
      <c r="AA50" s="26">
        <v>3.00849162E-3</v>
      </c>
      <c r="AB50" s="26">
        <v>1.9941296999999998E-8</v>
      </c>
      <c r="AC50" s="26">
        <v>1841.6666700000001</v>
      </c>
      <c r="AD50" s="26">
        <v>0</v>
      </c>
      <c r="AE50" s="26">
        <v>0</v>
      </c>
      <c r="AF50" s="26">
        <v>0</v>
      </c>
      <c r="AG50" s="26">
        <v>0</v>
      </c>
      <c r="AH50" s="26">
        <v>0</v>
      </c>
      <c r="AI50" s="26">
        <v>0</v>
      </c>
      <c r="AJ50" s="26">
        <v>0</v>
      </c>
      <c r="AK50" s="26">
        <v>0</v>
      </c>
      <c r="AL50" s="26">
        <v>0</v>
      </c>
      <c r="AM50" s="26">
        <v>1.5842673999999999E-5</v>
      </c>
      <c r="AN50" s="26">
        <v>0</v>
      </c>
      <c r="AO50" s="26">
        <v>0</v>
      </c>
      <c r="AP50" s="26">
        <v>0</v>
      </c>
      <c r="AQ50" s="26">
        <v>0</v>
      </c>
      <c r="AR50" s="26">
        <v>0</v>
      </c>
      <c r="AS50" s="26">
        <v>0</v>
      </c>
      <c r="AT50" s="26">
        <v>0</v>
      </c>
      <c r="AU50" s="26">
        <v>0</v>
      </c>
      <c r="AV50" s="26">
        <v>0</v>
      </c>
      <c r="AW50" s="26">
        <v>0</v>
      </c>
      <c r="AX50" s="26">
        <v>0</v>
      </c>
      <c r="AY50" s="26">
        <v>0</v>
      </c>
      <c r="AZ50" s="26">
        <v>0</v>
      </c>
      <c r="BA50" s="26">
        <v>0</v>
      </c>
      <c r="BB50" s="26">
        <v>0</v>
      </c>
      <c r="BC50" s="26">
        <v>0</v>
      </c>
      <c r="BD50" s="26">
        <v>0</v>
      </c>
      <c r="BE50" s="26">
        <v>0</v>
      </c>
      <c r="BF50" s="26">
        <v>0</v>
      </c>
      <c r="BG50" s="26">
        <v>0</v>
      </c>
      <c r="BH50" s="26">
        <v>0</v>
      </c>
      <c r="BI50" s="26">
        <v>0</v>
      </c>
      <c r="BJ50" s="26">
        <v>0</v>
      </c>
      <c r="BK50" s="26">
        <v>0</v>
      </c>
      <c r="BL50" s="26">
        <v>0</v>
      </c>
      <c r="BM50" s="26">
        <v>0</v>
      </c>
      <c r="BN50" s="26">
        <v>0</v>
      </c>
      <c r="BO50" s="26">
        <v>12728.646000000001</v>
      </c>
      <c r="BP50" s="26">
        <v>265944.89399999997</v>
      </c>
      <c r="BQ50" s="26">
        <v>4753.7545799999998</v>
      </c>
      <c r="BR50" s="26">
        <v>158</v>
      </c>
      <c r="BS50" s="26">
        <v>5.67590605</v>
      </c>
      <c r="BT50" s="26">
        <v>0</v>
      </c>
      <c r="BU50" s="26">
        <v>1</v>
      </c>
      <c r="BV50" s="26">
        <v>0</v>
      </c>
      <c r="BW50" s="26">
        <v>-69360.782600000006</v>
      </c>
      <c r="BX50" s="26">
        <v>-3319.7435700000001</v>
      </c>
      <c r="BY50" s="26">
        <v>-882.86885700000005</v>
      </c>
      <c r="BZ50" s="26">
        <v>-35.5624629</v>
      </c>
      <c r="CA50" s="26">
        <v>-1.7020894600000001</v>
      </c>
      <c r="CB50" s="26">
        <v>4.4626640699999998E-2</v>
      </c>
      <c r="CC50" s="26">
        <v>0.93240295900000003</v>
      </c>
      <c r="CD50" s="26">
        <v>20.8934158</v>
      </c>
      <c r="CE50" s="26">
        <v>4255.6123600000001</v>
      </c>
      <c r="CF50" s="26">
        <v>0</v>
      </c>
      <c r="CG50" s="26">
        <v>0</v>
      </c>
      <c r="CH50" s="26">
        <v>0</v>
      </c>
      <c r="CI50" s="26">
        <v>0</v>
      </c>
      <c r="CJ50" s="26">
        <v>0</v>
      </c>
      <c r="CK50" s="26">
        <v>0</v>
      </c>
      <c r="CL50" s="26">
        <v>0</v>
      </c>
      <c r="CM50" s="26">
        <v>0</v>
      </c>
      <c r="CN50" s="26">
        <v>0</v>
      </c>
      <c r="CO50" s="26">
        <v>0</v>
      </c>
      <c r="CP50" s="26">
        <v>0</v>
      </c>
      <c r="CQ50" s="26">
        <v>0</v>
      </c>
      <c r="CR50" s="26">
        <v>0</v>
      </c>
      <c r="CS50" s="26">
        <v>0</v>
      </c>
      <c r="CT50" s="26">
        <v>0</v>
      </c>
      <c r="CU50" s="26">
        <v>0</v>
      </c>
      <c r="CV50" s="26">
        <v>0</v>
      </c>
      <c r="CW50" s="26">
        <v>0</v>
      </c>
      <c r="CX50" s="26">
        <v>0</v>
      </c>
      <c r="CY50" s="26">
        <v>0</v>
      </c>
      <c r="CZ50" s="26">
        <v>0</v>
      </c>
      <c r="DA50" s="26">
        <v>0</v>
      </c>
      <c r="DB50" s="26">
        <v>0</v>
      </c>
      <c r="DC50" s="26">
        <v>0</v>
      </c>
      <c r="DD50" s="26">
        <v>0</v>
      </c>
      <c r="DE50" s="26">
        <v>0</v>
      </c>
      <c r="DF50" s="26">
        <v>0</v>
      </c>
      <c r="DG50" s="26">
        <v>0</v>
      </c>
      <c r="DH50" s="26">
        <v>0</v>
      </c>
      <c r="DI50" s="26">
        <v>0</v>
      </c>
      <c r="DJ50" s="26">
        <v>0</v>
      </c>
      <c r="DK50" s="26">
        <v>0</v>
      </c>
      <c r="DL50" s="26">
        <v>0</v>
      </c>
      <c r="DM50" s="26">
        <v>0</v>
      </c>
      <c r="DN50" s="26">
        <v>0</v>
      </c>
      <c r="DO50" s="26">
        <v>0</v>
      </c>
      <c r="DP50" s="26">
        <v>0</v>
      </c>
      <c r="DQ50" s="26">
        <v>0</v>
      </c>
      <c r="DR50" s="26">
        <v>0</v>
      </c>
      <c r="DS50" s="26">
        <v>0</v>
      </c>
      <c r="DT50" s="26">
        <v>0</v>
      </c>
      <c r="DU50" s="26">
        <v>0</v>
      </c>
      <c r="DV50" s="26">
        <v>0</v>
      </c>
      <c r="DW50" s="26">
        <v>0</v>
      </c>
      <c r="DX50" s="26">
        <v>26138.367999999999</v>
      </c>
      <c r="DY50" s="26">
        <v>30.979670600000002</v>
      </c>
      <c r="DZ50" s="26">
        <v>12.9984632</v>
      </c>
      <c r="EA50" s="26">
        <v>423.09997600000003</v>
      </c>
      <c r="EB50" s="26">
        <v>51.560570599999998</v>
      </c>
      <c r="EC50" s="26">
        <v>12475.191699999999</v>
      </c>
      <c r="ED50" s="26">
        <v>0</v>
      </c>
      <c r="EE50" s="26">
        <v>2583.0279399999999</v>
      </c>
      <c r="EF50" s="26">
        <v>4107.8476600000004</v>
      </c>
      <c r="EG50" s="26">
        <v>0</v>
      </c>
      <c r="EH50" s="26">
        <v>0</v>
      </c>
      <c r="EI50" s="26">
        <v>0</v>
      </c>
      <c r="EJ50" s="26">
        <v>0</v>
      </c>
      <c r="EK50" s="26">
        <v>0</v>
      </c>
      <c r="EL50" s="26">
        <v>269.47290700000002</v>
      </c>
      <c r="EM50" s="26">
        <v>0</v>
      </c>
      <c r="EN50" s="26">
        <v>0</v>
      </c>
      <c r="EO50" s="26">
        <v>0</v>
      </c>
      <c r="EP50" s="26">
        <v>435.20543700000002</v>
      </c>
      <c r="EQ50" s="26">
        <v>46092.546900000001</v>
      </c>
      <c r="ER50" s="26">
        <v>326.770308</v>
      </c>
      <c r="ES50" s="26">
        <v>158</v>
      </c>
      <c r="ET50" s="26">
        <v>5.67590605</v>
      </c>
      <c r="EU50" s="26">
        <v>0</v>
      </c>
      <c r="EV50" s="26">
        <v>0</v>
      </c>
      <c r="EW50" s="26">
        <v>1</v>
      </c>
      <c r="EX50" s="26">
        <v>-136784.927</v>
      </c>
      <c r="EY50" s="26">
        <v>-1291.5221200000001</v>
      </c>
      <c r="EZ50" s="26">
        <v>-59.529544299999998</v>
      </c>
      <c r="FA50" s="26">
        <v>-376.10808800000001</v>
      </c>
      <c r="FB50" s="26">
        <v>-3.55120938</v>
      </c>
      <c r="FC50" s="26">
        <v>2.2197316200000001E-2</v>
      </c>
      <c r="FD50" s="26">
        <v>2.35091465</v>
      </c>
      <c r="FE50" s="26">
        <v>105.90985999999999</v>
      </c>
      <c r="FF50" s="26">
        <v>0</v>
      </c>
      <c r="FG50" s="26">
        <v>0.32548917500000002</v>
      </c>
      <c r="FH50" s="26">
        <v>-1137483040.332</v>
      </c>
      <c r="FI50" s="26">
        <v>0.37834902802679221</v>
      </c>
      <c r="FJ50" s="26">
        <v>0</v>
      </c>
      <c r="FK50" s="26">
        <v>0</v>
      </c>
      <c r="FL50" s="26">
        <v>0</v>
      </c>
      <c r="FM50" s="26">
        <v>0</v>
      </c>
      <c r="FN50" s="26">
        <v>0</v>
      </c>
      <c r="FO50" s="26">
        <v>0</v>
      </c>
      <c r="FP50" s="26">
        <v>0</v>
      </c>
      <c r="FQ50" s="26">
        <v>0</v>
      </c>
      <c r="FR50" s="26">
        <v>0</v>
      </c>
      <c r="FS50" s="26">
        <v>0</v>
      </c>
      <c r="FT50" s="26">
        <v>0</v>
      </c>
      <c r="FU50" s="26">
        <v>0</v>
      </c>
      <c r="FV50" s="26">
        <v>0</v>
      </c>
      <c r="FW50" s="26">
        <v>0</v>
      </c>
      <c r="FX50" s="26">
        <v>0</v>
      </c>
      <c r="FY50" s="26">
        <v>0</v>
      </c>
      <c r="FZ50" s="26">
        <v>0</v>
      </c>
      <c r="GA50" s="26">
        <v>0</v>
      </c>
      <c r="GB50" s="26">
        <v>0</v>
      </c>
      <c r="GC50" s="26">
        <v>0</v>
      </c>
      <c r="GD50" s="26">
        <v>0</v>
      </c>
      <c r="GE50" s="26">
        <v>0</v>
      </c>
      <c r="GF50" s="26">
        <v>0</v>
      </c>
      <c r="GG50" s="26">
        <v>0</v>
      </c>
      <c r="GH50" s="26">
        <v>0</v>
      </c>
      <c r="GI50" s="26">
        <v>0</v>
      </c>
      <c r="GJ50" s="26">
        <v>0</v>
      </c>
      <c r="GK50" s="26">
        <v>0</v>
      </c>
      <c r="GL50" s="26">
        <v>0</v>
      </c>
      <c r="GM50" s="26">
        <v>0</v>
      </c>
      <c r="GN50" s="26">
        <v>0</v>
      </c>
      <c r="GO50" s="26">
        <v>0</v>
      </c>
      <c r="GP50" s="26">
        <v>0</v>
      </c>
      <c r="GQ50" s="26">
        <v>0</v>
      </c>
      <c r="GR50" s="26">
        <v>0</v>
      </c>
      <c r="GS50" s="26">
        <v>0</v>
      </c>
      <c r="GT50" s="26">
        <v>0</v>
      </c>
      <c r="GU50" s="26">
        <v>0</v>
      </c>
      <c r="GV50" s="26">
        <v>0</v>
      </c>
      <c r="GW50" s="26">
        <v>0</v>
      </c>
      <c r="GX50" s="26">
        <v>0</v>
      </c>
      <c r="GY50" s="26">
        <v>0</v>
      </c>
      <c r="GZ50" s="26">
        <v>0</v>
      </c>
      <c r="HA50" s="26">
        <v>0</v>
      </c>
      <c r="HB50" s="26">
        <v>0</v>
      </c>
      <c r="HC50" s="26">
        <v>0</v>
      </c>
      <c r="HD50" s="26">
        <v>0</v>
      </c>
      <c r="HE50" s="26">
        <v>0</v>
      </c>
      <c r="HF50" s="26">
        <v>0</v>
      </c>
      <c r="HG50" s="26">
        <v>0</v>
      </c>
      <c r="HH50" s="26">
        <v>0</v>
      </c>
      <c r="HI50" s="26">
        <v>0</v>
      </c>
      <c r="HJ50" s="26">
        <v>0</v>
      </c>
      <c r="HK50" s="26">
        <v>0</v>
      </c>
      <c r="HL50" s="26">
        <v>0</v>
      </c>
      <c r="HM50" s="26">
        <v>0</v>
      </c>
      <c r="HN50" s="26">
        <v>0</v>
      </c>
      <c r="HO50" s="26">
        <v>0</v>
      </c>
      <c r="HP50" s="26">
        <v>0</v>
      </c>
      <c r="HQ50" s="26">
        <v>0</v>
      </c>
      <c r="HR50" s="26">
        <v>0</v>
      </c>
      <c r="HS50" s="26">
        <v>0</v>
      </c>
      <c r="HT50" s="26">
        <v>0.49023342058853403</v>
      </c>
    </row>
    <row r="51" spans="2:228" x14ac:dyDescent="0.2">
      <c r="B51" s="27" t="s">
        <v>1347</v>
      </c>
      <c r="C51" s="26">
        <v>19796.793000000001</v>
      </c>
      <c r="D51" s="26">
        <v>-62.008616500000002</v>
      </c>
      <c r="E51" s="26">
        <v>19547.879199999999</v>
      </c>
      <c r="F51" s="26">
        <v>8.2510693699999997</v>
      </c>
      <c r="G51" s="26">
        <v>9.8258750000000005E-5</v>
      </c>
      <c r="H51" s="26">
        <v>3.2977287600000001E-5</v>
      </c>
      <c r="I51" s="26">
        <v>1.3836624199999999E-5</v>
      </c>
      <c r="J51" s="26">
        <v>6.9501912800000003E-3</v>
      </c>
      <c r="K51" s="26">
        <v>8.4697672199999998E-4</v>
      </c>
      <c r="L51" s="26">
        <v>9.8745549999999998E-11</v>
      </c>
      <c r="M51" s="26">
        <v>0</v>
      </c>
      <c r="N51" s="26">
        <v>2.35390292E-6</v>
      </c>
      <c r="O51" s="26">
        <v>7.6829235200000001E-7</v>
      </c>
      <c r="P51" s="26">
        <v>3.22360427E-7</v>
      </c>
      <c r="Q51" s="26">
        <v>1.6309844999999999E-4</v>
      </c>
      <c r="R51" s="26">
        <v>1.9875796799999999E-5</v>
      </c>
      <c r="S51" s="26">
        <v>3.3788520100000002E-4</v>
      </c>
      <c r="T51" s="26">
        <v>7.0016331599999995E-2</v>
      </c>
      <c r="U51" s="26">
        <v>0.72564463300000004</v>
      </c>
      <c r="V51" s="26">
        <v>204.25187199999999</v>
      </c>
      <c r="W51" s="26">
        <v>35.5507323</v>
      </c>
      <c r="X51" s="26">
        <v>1.01296658E-3</v>
      </c>
      <c r="Y51" s="26">
        <v>8.3523747499999998E-12</v>
      </c>
      <c r="Z51" s="26">
        <v>8.6222536000000002E-8</v>
      </c>
      <c r="AA51" s="26">
        <v>3.5836605400000002E-8</v>
      </c>
      <c r="AB51" s="26">
        <v>7.4045465700000007E-9</v>
      </c>
      <c r="AC51" s="26">
        <v>5.4963581800000008E-2</v>
      </c>
      <c r="AD51" s="26">
        <v>0</v>
      </c>
      <c r="AE51" s="26">
        <v>0</v>
      </c>
      <c r="AF51" s="26">
        <v>0</v>
      </c>
      <c r="AG51" s="26">
        <v>0</v>
      </c>
      <c r="AH51" s="26">
        <v>0</v>
      </c>
      <c r="AI51" s="26">
        <v>0</v>
      </c>
      <c r="AJ51" s="26">
        <v>0</v>
      </c>
      <c r="AK51" s="26">
        <v>0</v>
      </c>
      <c r="AL51" s="26">
        <v>0</v>
      </c>
      <c r="AM51" s="26">
        <v>4.0086630200000001E-11</v>
      </c>
      <c r="AN51" s="26">
        <v>0</v>
      </c>
      <c r="AO51" s="26">
        <v>0</v>
      </c>
      <c r="AP51" s="26">
        <v>0</v>
      </c>
      <c r="AQ51" s="26">
        <v>0</v>
      </c>
      <c r="AR51" s="26">
        <v>0</v>
      </c>
      <c r="AS51" s="26">
        <v>0</v>
      </c>
      <c r="AT51" s="26">
        <v>0</v>
      </c>
      <c r="AU51" s="26">
        <v>0</v>
      </c>
      <c r="AV51" s="26">
        <v>0</v>
      </c>
      <c r="AW51" s="26">
        <v>0</v>
      </c>
      <c r="AX51" s="26">
        <v>0</v>
      </c>
      <c r="AY51" s="26">
        <v>0</v>
      </c>
      <c r="AZ51" s="26">
        <v>0</v>
      </c>
      <c r="BA51" s="26">
        <v>0</v>
      </c>
      <c r="BB51" s="26">
        <v>0</v>
      </c>
      <c r="BC51" s="26">
        <v>0</v>
      </c>
      <c r="BD51" s="26">
        <v>0</v>
      </c>
      <c r="BE51" s="26">
        <v>0</v>
      </c>
      <c r="BF51" s="26">
        <v>0</v>
      </c>
      <c r="BG51" s="26">
        <v>0</v>
      </c>
      <c r="BH51" s="26">
        <v>0</v>
      </c>
      <c r="BI51" s="26">
        <v>0</v>
      </c>
      <c r="BJ51" s="26">
        <v>0</v>
      </c>
      <c r="BK51" s="26">
        <v>0</v>
      </c>
      <c r="BL51" s="26">
        <v>0</v>
      </c>
      <c r="BM51" s="26">
        <v>0</v>
      </c>
      <c r="BN51" s="26">
        <v>0</v>
      </c>
      <c r="BO51" s="26">
        <v>1087.97585</v>
      </c>
      <c r="BP51" s="26">
        <v>19796.793000000001</v>
      </c>
      <c r="BQ51" s="26">
        <v>225034.41500000001</v>
      </c>
      <c r="BR51" s="26">
        <v>130</v>
      </c>
      <c r="BS51" s="26">
        <v>2.60088886</v>
      </c>
      <c r="BT51" s="26">
        <v>1</v>
      </c>
      <c r="BU51" s="26">
        <v>0</v>
      </c>
      <c r="BV51" s="26">
        <v>0</v>
      </c>
      <c r="BW51" s="26">
        <v>-56994.478300000002</v>
      </c>
      <c r="BX51" s="26">
        <v>-3132.2556100000002</v>
      </c>
      <c r="BY51" s="26">
        <v>-62.008616500000002</v>
      </c>
      <c r="BZ51" s="26">
        <v>-10.303796800000001</v>
      </c>
      <c r="CA51" s="26">
        <v>-0.56626758399999999</v>
      </c>
      <c r="CB51" s="26">
        <v>8.0578478000000001E-5</v>
      </c>
      <c r="CC51" s="26">
        <v>1.46620483E-3</v>
      </c>
      <c r="CD51" s="26">
        <v>18.195985700000001</v>
      </c>
      <c r="CE51" s="26">
        <v>330.12369999999999</v>
      </c>
      <c r="CF51" s="26">
        <v>0</v>
      </c>
      <c r="CG51" s="26">
        <v>0</v>
      </c>
      <c r="CH51" s="26">
        <v>0</v>
      </c>
      <c r="CI51" s="26">
        <v>0</v>
      </c>
      <c r="CJ51" s="26">
        <v>0</v>
      </c>
      <c r="CK51" s="26">
        <v>0</v>
      </c>
      <c r="CL51" s="26">
        <v>0</v>
      </c>
      <c r="CM51" s="26">
        <v>0</v>
      </c>
      <c r="CN51" s="26">
        <v>0</v>
      </c>
      <c r="CO51" s="26">
        <v>0</v>
      </c>
      <c r="CP51" s="26">
        <v>0</v>
      </c>
      <c r="CQ51" s="26">
        <v>0</v>
      </c>
      <c r="CR51" s="26">
        <v>0</v>
      </c>
      <c r="CS51" s="26">
        <v>0</v>
      </c>
      <c r="CT51" s="26">
        <v>0</v>
      </c>
      <c r="CU51" s="26">
        <v>0</v>
      </c>
      <c r="CV51" s="26">
        <v>0</v>
      </c>
      <c r="CW51" s="26">
        <v>0</v>
      </c>
      <c r="CX51" s="26">
        <v>0</v>
      </c>
      <c r="CY51" s="26">
        <v>0</v>
      </c>
      <c r="CZ51" s="26">
        <v>0</v>
      </c>
      <c r="DA51" s="26">
        <v>0</v>
      </c>
      <c r="DB51" s="26">
        <v>0</v>
      </c>
      <c r="DC51" s="26">
        <v>0</v>
      </c>
      <c r="DD51" s="26">
        <v>0</v>
      </c>
      <c r="DE51" s="26">
        <v>0</v>
      </c>
      <c r="DF51" s="26">
        <v>0</v>
      </c>
      <c r="DG51" s="26">
        <v>0</v>
      </c>
      <c r="DH51" s="26">
        <v>0</v>
      </c>
      <c r="DI51" s="26">
        <v>0</v>
      </c>
      <c r="DJ51" s="26">
        <v>0</v>
      </c>
      <c r="DK51" s="26">
        <v>0</v>
      </c>
      <c r="DL51" s="26">
        <v>0</v>
      </c>
      <c r="DM51" s="26">
        <v>0</v>
      </c>
      <c r="DN51" s="26">
        <v>0</v>
      </c>
      <c r="DO51" s="26">
        <v>0</v>
      </c>
      <c r="DP51" s="26">
        <v>0</v>
      </c>
      <c r="DQ51" s="26">
        <v>0</v>
      </c>
      <c r="DR51" s="26">
        <v>0</v>
      </c>
      <c r="DS51" s="26">
        <v>0</v>
      </c>
      <c r="DT51" s="26">
        <v>0</v>
      </c>
      <c r="DU51" s="26">
        <v>0</v>
      </c>
      <c r="DV51" s="26">
        <v>0</v>
      </c>
      <c r="DW51" s="26">
        <v>0</v>
      </c>
      <c r="DX51" s="26">
        <v>0</v>
      </c>
      <c r="DY51" s="26">
        <v>0</v>
      </c>
      <c r="DZ51" s="26">
        <v>0</v>
      </c>
      <c r="EA51" s="26">
        <v>0</v>
      </c>
      <c r="EB51" s="26">
        <v>0</v>
      </c>
      <c r="EC51" s="26">
        <v>0</v>
      </c>
      <c r="ED51" s="26">
        <v>0</v>
      </c>
      <c r="EE51" s="26">
        <v>0</v>
      </c>
      <c r="EF51" s="26">
        <v>0</v>
      </c>
      <c r="EG51" s="26">
        <v>0</v>
      </c>
      <c r="EH51" s="26">
        <v>0</v>
      </c>
      <c r="EI51" s="26">
        <v>0</v>
      </c>
      <c r="EJ51" s="26">
        <v>0</v>
      </c>
      <c r="EK51" s="26">
        <v>0</v>
      </c>
      <c r="EL51" s="26">
        <v>0</v>
      </c>
      <c r="EM51" s="26">
        <v>0</v>
      </c>
      <c r="EN51" s="26">
        <v>0</v>
      </c>
      <c r="EO51" s="26">
        <v>0</v>
      </c>
      <c r="EP51" s="26">
        <v>0</v>
      </c>
      <c r="EQ51" s="26">
        <v>0</v>
      </c>
      <c r="ER51" s="26">
        <v>0</v>
      </c>
      <c r="ES51" s="26">
        <v>0</v>
      </c>
      <c r="ET51" s="26">
        <v>2.60088886</v>
      </c>
      <c r="EU51" s="26">
        <v>0</v>
      </c>
      <c r="EV51" s="26">
        <v>0</v>
      </c>
      <c r="EW51" s="26">
        <v>0</v>
      </c>
      <c r="EX51" s="26">
        <v>0</v>
      </c>
      <c r="EY51" s="26">
        <v>0</v>
      </c>
      <c r="EZ51" s="26">
        <v>0</v>
      </c>
      <c r="FA51" s="26">
        <v>0</v>
      </c>
      <c r="FB51" s="26">
        <v>0</v>
      </c>
      <c r="FC51" s="26">
        <v>0</v>
      </c>
      <c r="FD51" s="26">
        <v>0</v>
      </c>
      <c r="FE51" s="26">
        <v>0</v>
      </c>
      <c r="FF51" s="26">
        <v>0</v>
      </c>
      <c r="FG51" s="26">
        <v>2.0025372100000001E-2</v>
      </c>
      <c r="FH51" s="26">
        <v>-73947562.468099996</v>
      </c>
      <c r="FI51" s="26">
        <v>3.3914888326874665E-3</v>
      </c>
      <c r="FJ51" s="26">
        <v>0.30140894130016038</v>
      </c>
      <c r="FK51" s="26">
        <v>4.9750629286893925E-5</v>
      </c>
      <c r="FL51" s="26">
        <v>1.515011595453426E-10</v>
      </c>
      <c r="FM51" s="26">
        <v>5.0846334851215122E-11</v>
      </c>
      <c r="FN51" s="26">
        <v>2.1334126559561902E-11</v>
      </c>
      <c r="FO51" s="26">
        <v>1.2859459825097901E-8</v>
      </c>
      <c r="FP51" s="26">
        <v>1.5671026430923767E-9</v>
      </c>
      <c r="FQ51" s="26">
        <v>8.0132378696614576E-17</v>
      </c>
      <c r="FR51" s="26">
        <v>0</v>
      </c>
      <c r="FS51" s="26">
        <v>4.0326400044833424E-12</v>
      </c>
      <c r="FT51" s="26">
        <v>1.3162167577519562E-12</v>
      </c>
      <c r="FU51" s="26">
        <v>5.5225877941807031E-13</v>
      </c>
      <c r="FV51" s="26">
        <v>3.4291898329890743E-10</v>
      </c>
      <c r="FW51" s="26">
        <v>4.1789410056537498E-11</v>
      </c>
      <c r="FX51" s="26">
        <v>5.2097141250110464E-10</v>
      </c>
      <c r="FY51" s="26">
        <v>1.2782791296706776E-7</v>
      </c>
      <c r="FZ51" s="26">
        <v>1.5983502905645802E-6</v>
      </c>
      <c r="GA51" s="26">
        <v>5.9048031305717588E-4</v>
      </c>
      <c r="GB51" s="26">
        <v>1.6444267298220807E-4</v>
      </c>
      <c r="GC51" s="26">
        <v>3.1237037194340744E-9</v>
      </c>
      <c r="GD51" s="26">
        <v>1.5249067316436982E-17</v>
      </c>
      <c r="GE51" s="26">
        <v>2.600659909694168E-13</v>
      </c>
      <c r="GF51" s="26">
        <v>8.4297372896601216E-14</v>
      </c>
      <c r="GG51" s="26">
        <v>1.2077221818839997E-13</v>
      </c>
      <c r="GH51" s="26">
        <v>1.5566621818977419E-7</v>
      </c>
      <c r="GI51" s="26">
        <v>0</v>
      </c>
      <c r="GJ51" s="26">
        <v>0</v>
      </c>
      <c r="GK51" s="26">
        <v>0</v>
      </c>
      <c r="GL51" s="26">
        <v>0</v>
      </c>
      <c r="GM51" s="26">
        <v>0</v>
      </c>
      <c r="GN51" s="26">
        <v>0</v>
      </c>
      <c r="GO51" s="26">
        <v>0</v>
      </c>
      <c r="GP51" s="26">
        <v>0</v>
      </c>
      <c r="GQ51" s="26">
        <v>0</v>
      </c>
      <c r="GR51" s="26">
        <v>3.9421187537591721E-17</v>
      </c>
      <c r="GS51" s="26">
        <v>0</v>
      </c>
      <c r="GT51" s="26">
        <v>0</v>
      </c>
      <c r="GU51" s="26">
        <v>0</v>
      </c>
      <c r="GV51" s="26">
        <v>0</v>
      </c>
      <c r="GW51" s="26">
        <v>0</v>
      </c>
      <c r="GX51" s="26">
        <v>0</v>
      </c>
      <c r="GY51" s="26">
        <v>0</v>
      </c>
      <c r="GZ51" s="26">
        <v>0</v>
      </c>
      <c r="HA51" s="26">
        <v>0</v>
      </c>
      <c r="HB51" s="26">
        <v>0</v>
      </c>
      <c r="HC51" s="26">
        <v>0</v>
      </c>
      <c r="HD51" s="26">
        <v>0</v>
      </c>
      <c r="HE51" s="26">
        <v>0</v>
      </c>
      <c r="HF51" s="26">
        <v>0</v>
      </c>
      <c r="HG51" s="26">
        <v>0</v>
      </c>
      <c r="HH51" s="26">
        <v>0</v>
      </c>
      <c r="HI51" s="26">
        <v>0</v>
      </c>
      <c r="HJ51" s="26">
        <v>0</v>
      </c>
      <c r="HK51" s="26">
        <v>0</v>
      </c>
      <c r="HL51" s="26">
        <v>0</v>
      </c>
      <c r="HM51" s="26">
        <v>0</v>
      </c>
      <c r="HN51" s="26">
        <v>0</v>
      </c>
      <c r="HO51" s="26">
        <v>0</v>
      </c>
      <c r="HP51" s="26">
        <v>0</v>
      </c>
      <c r="HQ51" s="26">
        <v>0</v>
      </c>
      <c r="HR51" s="26">
        <v>0</v>
      </c>
      <c r="HS51" s="26">
        <v>0</v>
      </c>
      <c r="HT51" s="26">
        <v>0</v>
      </c>
    </row>
    <row r="52" spans="2:228" x14ac:dyDescent="0.2">
      <c r="B52" s="27" t="s">
        <v>2379</v>
      </c>
      <c r="C52" s="26">
        <v>19796.793000000001</v>
      </c>
      <c r="D52" s="26">
        <v>-64.270421200000001</v>
      </c>
      <c r="E52" s="26">
        <v>19547.879199999999</v>
      </c>
      <c r="F52" s="26">
        <v>8.2510693699999997</v>
      </c>
      <c r="G52" s="26">
        <v>9.8258750000000005E-5</v>
      </c>
      <c r="H52" s="26">
        <v>3.2977287600000001E-5</v>
      </c>
      <c r="I52" s="26">
        <v>1.3836624199999999E-5</v>
      </c>
      <c r="J52" s="26">
        <v>6.9501912800000003E-3</v>
      </c>
      <c r="K52" s="26">
        <v>8.4697672199999998E-4</v>
      </c>
      <c r="L52" s="26">
        <v>9.8745549999999998E-11</v>
      </c>
      <c r="M52" s="26">
        <v>0</v>
      </c>
      <c r="N52" s="26">
        <v>2.35390292E-6</v>
      </c>
      <c r="O52" s="26">
        <v>7.6829235200000001E-7</v>
      </c>
      <c r="P52" s="26">
        <v>3.22360427E-7</v>
      </c>
      <c r="Q52" s="26">
        <v>1.6309844999999999E-4</v>
      </c>
      <c r="R52" s="26">
        <v>1.9875796799999999E-5</v>
      </c>
      <c r="S52" s="26">
        <v>3.3788520100000002E-4</v>
      </c>
      <c r="T52" s="26">
        <v>7.0016331599999995E-2</v>
      </c>
      <c r="U52" s="26">
        <v>0.72564463300000004</v>
      </c>
      <c r="V52" s="26">
        <v>204.25187199999999</v>
      </c>
      <c r="W52" s="26">
        <v>35.5507323</v>
      </c>
      <c r="X52" s="26">
        <v>1.01296658E-3</v>
      </c>
      <c r="Y52" s="26">
        <v>8.3523747499999998E-12</v>
      </c>
      <c r="Z52" s="26">
        <v>8.6222536000000002E-8</v>
      </c>
      <c r="AA52" s="26">
        <v>3.5836605400000002E-8</v>
      </c>
      <c r="AB52" s="26">
        <v>7.4045465700000007E-9</v>
      </c>
      <c r="AC52" s="26">
        <v>5.4963581800000008E-2</v>
      </c>
      <c r="AD52" s="26">
        <v>0</v>
      </c>
      <c r="AE52" s="26">
        <v>0</v>
      </c>
      <c r="AF52" s="26">
        <v>0</v>
      </c>
      <c r="AG52" s="26">
        <v>0</v>
      </c>
      <c r="AH52" s="26">
        <v>0</v>
      </c>
      <c r="AI52" s="26">
        <v>0</v>
      </c>
      <c r="AJ52" s="26">
        <v>0</v>
      </c>
      <c r="AK52" s="26">
        <v>0</v>
      </c>
      <c r="AL52" s="26">
        <v>0</v>
      </c>
      <c r="AM52" s="26">
        <v>4.0086630200000001E-11</v>
      </c>
      <c r="AN52" s="26">
        <v>0</v>
      </c>
      <c r="AO52" s="26">
        <v>0</v>
      </c>
      <c r="AP52" s="26">
        <v>0</v>
      </c>
      <c r="AQ52" s="26">
        <v>0</v>
      </c>
      <c r="AR52" s="26">
        <v>0</v>
      </c>
      <c r="AS52" s="26">
        <v>0</v>
      </c>
      <c r="AT52" s="26">
        <v>0</v>
      </c>
      <c r="AU52" s="26">
        <v>0</v>
      </c>
      <c r="AV52" s="26">
        <v>0</v>
      </c>
      <c r="AW52" s="26">
        <v>0</v>
      </c>
      <c r="AX52" s="26">
        <v>0</v>
      </c>
      <c r="AY52" s="26">
        <v>0</v>
      </c>
      <c r="AZ52" s="26">
        <v>0</v>
      </c>
      <c r="BA52" s="26">
        <v>0</v>
      </c>
      <c r="BB52" s="26">
        <v>0</v>
      </c>
      <c r="BC52" s="26">
        <v>0</v>
      </c>
      <c r="BD52" s="26">
        <v>0</v>
      </c>
      <c r="BE52" s="26">
        <v>0</v>
      </c>
      <c r="BF52" s="26">
        <v>0</v>
      </c>
      <c r="BG52" s="26">
        <v>0</v>
      </c>
      <c r="BH52" s="26">
        <v>0</v>
      </c>
      <c r="BI52" s="26">
        <v>0</v>
      </c>
      <c r="BJ52" s="26">
        <v>0</v>
      </c>
      <c r="BK52" s="26">
        <v>0</v>
      </c>
      <c r="BL52" s="26">
        <v>0</v>
      </c>
      <c r="BM52" s="26">
        <v>0</v>
      </c>
      <c r="BN52" s="26">
        <v>0</v>
      </c>
      <c r="BO52" s="26">
        <v>1087.97585</v>
      </c>
      <c r="BP52" s="26">
        <v>19796.793000000001</v>
      </c>
      <c r="BQ52" s="26">
        <v>441882.99400000001</v>
      </c>
      <c r="BR52" s="26">
        <v>99.998973400000011</v>
      </c>
      <c r="BS52" s="26">
        <v>1</v>
      </c>
      <c r="BT52" s="26">
        <v>0.80807931799999999</v>
      </c>
      <c r="BU52" s="26">
        <v>0.19192068200000001</v>
      </c>
      <c r="BV52" s="26">
        <v>0</v>
      </c>
      <c r="BW52" s="26">
        <v>-59073.389000000003</v>
      </c>
      <c r="BX52" s="26">
        <v>-3246.50668</v>
      </c>
      <c r="BY52" s="26">
        <v>-64.270421200000001</v>
      </c>
      <c r="BZ52" s="26">
        <v>-13.992464500000001</v>
      </c>
      <c r="CA52" s="26">
        <v>-0.76898634399999999</v>
      </c>
      <c r="CB52" s="26">
        <v>4.10355929E-5</v>
      </c>
      <c r="CC52" s="26">
        <v>7.4668306000000002E-4</v>
      </c>
      <c r="CD52" s="26">
        <v>18.195985700000001</v>
      </c>
      <c r="CE52" s="26">
        <v>330.12369999999999</v>
      </c>
      <c r="CF52" s="26">
        <v>0</v>
      </c>
      <c r="CG52" s="26">
        <v>0</v>
      </c>
      <c r="CH52" s="26">
        <v>0</v>
      </c>
      <c r="CI52" s="26">
        <v>0</v>
      </c>
      <c r="CJ52" s="26">
        <v>0</v>
      </c>
      <c r="CK52" s="26">
        <v>0</v>
      </c>
      <c r="CL52" s="26">
        <v>0</v>
      </c>
      <c r="CM52" s="26">
        <v>0</v>
      </c>
      <c r="CN52" s="26">
        <v>0</v>
      </c>
      <c r="CO52" s="26">
        <v>0</v>
      </c>
      <c r="CP52" s="26">
        <v>0</v>
      </c>
      <c r="CQ52" s="26">
        <v>0</v>
      </c>
      <c r="CR52" s="26">
        <v>0</v>
      </c>
      <c r="CS52" s="26">
        <v>0</v>
      </c>
      <c r="CT52" s="26">
        <v>0</v>
      </c>
      <c r="CU52" s="26">
        <v>0</v>
      </c>
      <c r="CV52" s="26">
        <v>0</v>
      </c>
      <c r="CW52" s="26">
        <v>0</v>
      </c>
      <c r="CX52" s="26">
        <v>0</v>
      </c>
      <c r="CY52" s="26">
        <v>0</v>
      </c>
      <c r="CZ52" s="26">
        <v>0</v>
      </c>
      <c r="DA52" s="26">
        <v>0</v>
      </c>
      <c r="DB52" s="26">
        <v>0</v>
      </c>
      <c r="DC52" s="26">
        <v>0</v>
      </c>
      <c r="DD52" s="26">
        <v>0</v>
      </c>
      <c r="DE52" s="26">
        <v>0</v>
      </c>
      <c r="DF52" s="26">
        <v>0</v>
      </c>
      <c r="DG52" s="26">
        <v>0</v>
      </c>
      <c r="DH52" s="26">
        <v>0</v>
      </c>
      <c r="DI52" s="26">
        <v>0</v>
      </c>
      <c r="DJ52" s="26">
        <v>0</v>
      </c>
      <c r="DK52" s="26">
        <v>0</v>
      </c>
      <c r="DL52" s="26">
        <v>0</v>
      </c>
      <c r="DM52" s="26">
        <v>0</v>
      </c>
      <c r="DN52" s="26">
        <v>0</v>
      </c>
      <c r="DO52" s="26">
        <v>0</v>
      </c>
      <c r="DP52" s="26">
        <v>0</v>
      </c>
      <c r="DQ52" s="26">
        <v>0</v>
      </c>
      <c r="DR52" s="26">
        <v>0</v>
      </c>
      <c r="DS52" s="26">
        <v>0</v>
      </c>
      <c r="DT52" s="26">
        <v>0</v>
      </c>
      <c r="DU52" s="26">
        <v>0</v>
      </c>
      <c r="DV52" s="26">
        <v>0</v>
      </c>
      <c r="DW52" s="26">
        <v>0</v>
      </c>
      <c r="DX52" s="26">
        <v>0</v>
      </c>
      <c r="DY52" s="26">
        <v>0</v>
      </c>
      <c r="DZ52" s="26">
        <v>0</v>
      </c>
      <c r="EA52" s="26">
        <v>0</v>
      </c>
      <c r="EB52" s="26">
        <v>0</v>
      </c>
      <c r="EC52" s="26">
        <v>0</v>
      </c>
      <c r="ED52" s="26">
        <v>0</v>
      </c>
      <c r="EE52" s="26">
        <v>0</v>
      </c>
      <c r="EF52" s="26">
        <v>0</v>
      </c>
      <c r="EG52" s="26">
        <v>0</v>
      </c>
      <c r="EH52" s="26">
        <v>0</v>
      </c>
      <c r="EI52" s="26">
        <v>0</v>
      </c>
      <c r="EJ52" s="26">
        <v>0</v>
      </c>
      <c r="EK52" s="26">
        <v>0</v>
      </c>
      <c r="EL52" s="26">
        <v>0</v>
      </c>
      <c r="EM52" s="26">
        <v>0</v>
      </c>
      <c r="EN52" s="26">
        <v>0</v>
      </c>
      <c r="EO52" s="26">
        <v>0</v>
      </c>
      <c r="EP52" s="26">
        <v>0</v>
      </c>
      <c r="EQ52" s="26">
        <v>0</v>
      </c>
      <c r="ER52" s="26">
        <v>0</v>
      </c>
      <c r="ES52" s="26">
        <v>0</v>
      </c>
      <c r="ET52" s="26">
        <v>1</v>
      </c>
      <c r="EU52" s="26">
        <v>0</v>
      </c>
      <c r="EV52" s="26">
        <v>0</v>
      </c>
      <c r="EW52" s="26">
        <v>0</v>
      </c>
      <c r="EX52" s="26">
        <v>0</v>
      </c>
      <c r="EY52" s="26">
        <v>0</v>
      </c>
      <c r="EZ52" s="26">
        <v>0</v>
      </c>
      <c r="FA52" s="26">
        <v>0</v>
      </c>
      <c r="FB52" s="26">
        <v>0</v>
      </c>
      <c r="FC52" s="26">
        <v>0</v>
      </c>
      <c r="FD52" s="26">
        <v>0</v>
      </c>
      <c r="FE52" s="26">
        <v>0</v>
      </c>
      <c r="FF52" s="26">
        <v>0</v>
      </c>
      <c r="FG52" s="26">
        <v>2.0025372100000001E-2</v>
      </c>
      <c r="FH52" s="26">
        <v>-75961524.916099995</v>
      </c>
      <c r="FI52" s="26">
        <v>3.3914888326874665E-3</v>
      </c>
      <c r="FJ52" s="26">
        <v>0.2435153341703449</v>
      </c>
      <c r="FK52" s="26">
        <v>4.8692528722873569E-5</v>
      </c>
      <c r="FL52" s="26">
        <v>1.1966163929062645E-17</v>
      </c>
      <c r="FM52" s="26">
        <v>4.0160456987950329E-18</v>
      </c>
      <c r="FN52" s="26">
        <v>1.6850541357026553E-18</v>
      </c>
      <c r="FO52" s="26">
        <v>3.3664395269315166E-14</v>
      </c>
      <c r="FP52" s="26">
        <v>4.102471116153102E-15</v>
      </c>
      <c r="FQ52" s="26">
        <v>0</v>
      </c>
      <c r="FR52" s="26">
        <v>0</v>
      </c>
      <c r="FS52" s="26">
        <v>3.1273961083525022E-19</v>
      </c>
      <c r="FT52" s="26">
        <v>1.0207534442771387E-19</v>
      </c>
      <c r="FU52" s="26">
        <v>4.2828815898186086E-20</v>
      </c>
      <c r="FV52" s="26">
        <v>8.9771734607062763E-16</v>
      </c>
      <c r="FW52" s="26">
        <v>1.0939924670852731E-16</v>
      </c>
      <c r="FX52" s="26">
        <v>4.1148393384742702E-17</v>
      </c>
      <c r="FY52" s="26">
        <v>2.3839381468492833E-10</v>
      </c>
      <c r="FZ52" s="26">
        <v>1.0674230224282731E-7</v>
      </c>
      <c r="GA52" s="26">
        <v>5.7131305734828221E-4</v>
      </c>
      <c r="GB52" s="26">
        <v>7.866172229596044E-5</v>
      </c>
      <c r="GC52" s="26">
        <v>5.5856740724631704E-11</v>
      </c>
      <c r="GD52" s="26">
        <v>0</v>
      </c>
      <c r="GE52" s="26">
        <v>1.244891648848022E-16</v>
      </c>
      <c r="GF52" s="26">
        <v>1.3887752972213137E-17</v>
      </c>
      <c r="GG52" s="26">
        <v>1.1802834399978232E-13</v>
      </c>
      <c r="GH52" s="26">
        <v>6.3103478004827825E-11</v>
      </c>
      <c r="GI52" s="26">
        <v>0</v>
      </c>
      <c r="GJ52" s="26">
        <v>0</v>
      </c>
      <c r="GK52" s="26">
        <v>0</v>
      </c>
      <c r="GL52" s="26">
        <v>0</v>
      </c>
      <c r="GM52" s="26">
        <v>0</v>
      </c>
      <c r="GN52" s="26">
        <v>0</v>
      </c>
      <c r="GO52" s="26">
        <v>0</v>
      </c>
      <c r="GP52" s="26">
        <v>0</v>
      </c>
      <c r="GQ52" s="26">
        <v>0</v>
      </c>
      <c r="GR52" s="26">
        <v>0</v>
      </c>
      <c r="GS52" s="26">
        <v>0</v>
      </c>
      <c r="GT52" s="26">
        <v>0</v>
      </c>
      <c r="GU52" s="26">
        <v>0</v>
      </c>
      <c r="GV52" s="26">
        <v>0</v>
      </c>
      <c r="GW52" s="26">
        <v>0</v>
      </c>
      <c r="GX52" s="26">
        <v>0</v>
      </c>
      <c r="GY52" s="26">
        <v>0</v>
      </c>
      <c r="GZ52" s="26">
        <v>0</v>
      </c>
      <c r="HA52" s="26">
        <v>0</v>
      </c>
      <c r="HB52" s="26">
        <v>0</v>
      </c>
      <c r="HC52" s="26">
        <v>0</v>
      </c>
      <c r="HD52" s="26">
        <v>0</v>
      </c>
      <c r="HE52" s="26">
        <v>0</v>
      </c>
      <c r="HF52" s="26">
        <v>0</v>
      </c>
      <c r="HG52" s="26">
        <v>0</v>
      </c>
      <c r="HH52" s="26">
        <v>0</v>
      </c>
      <c r="HI52" s="26">
        <v>0</v>
      </c>
      <c r="HJ52" s="26">
        <v>0</v>
      </c>
      <c r="HK52" s="26">
        <v>0</v>
      </c>
      <c r="HL52" s="26">
        <v>0</v>
      </c>
      <c r="HM52" s="26">
        <v>0</v>
      </c>
      <c r="HN52" s="26">
        <v>0</v>
      </c>
      <c r="HO52" s="26">
        <v>0</v>
      </c>
      <c r="HP52" s="26">
        <v>0</v>
      </c>
      <c r="HQ52" s="26">
        <v>0</v>
      </c>
      <c r="HR52" s="26">
        <v>0</v>
      </c>
      <c r="HS52" s="26">
        <v>0</v>
      </c>
      <c r="HT52" s="26">
        <v>0</v>
      </c>
    </row>
    <row r="53" spans="2:228" x14ac:dyDescent="0.2">
      <c r="B53" s="27" t="s">
        <v>1329</v>
      </c>
      <c r="C53" s="26">
        <v>292240.64799999999</v>
      </c>
      <c r="D53" s="26">
        <v>-880.18866800000001</v>
      </c>
      <c r="E53" s="26">
        <v>204649.60200000001</v>
      </c>
      <c r="F53" s="26">
        <v>10.1691666</v>
      </c>
      <c r="G53" s="26">
        <v>3550.2458999999999</v>
      </c>
      <c r="H53" s="26">
        <v>1191.5221799999999</v>
      </c>
      <c r="I53" s="26">
        <v>499.93937699999998</v>
      </c>
      <c r="J53" s="26">
        <v>16642.739600000001</v>
      </c>
      <c r="K53" s="26">
        <v>2028.1474899999998</v>
      </c>
      <c r="L53" s="26">
        <v>1.4712047399999999E-4</v>
      </c>
      <c r="M53" s="26">
        <v>0</v>
      </c>
      <c r="N53" s="26">
        <v>87.614647500000004</v>
      </c>
      <c r="O53" s="26">
        <v>28.596618400000004</v>
      </c>
      <c r="P53" s="26">
        <v>11.9985812</v>
      </c>
      <c r="Q53" s="26">
        <v>390.55112600000001</v>
      </c>
      <c r="R53" s="26">
        <v>47.594043999999997</v>
      </c>
      <c r="S53" s="26">
        <v>12208.3331</v>
      </c>
      <c r="T53" s="26">
        <v>656.56106999999997</v>
      </c>
      <c r="U53" s="26">
        <v>369.60000100000002</v>
      </c>
      <c r="V53" s="26">
        <v>459.61227399999996</v>
      </c>
      <c r="W53" s="26">
        <v>1472.60429</v>
      </c>
      <c r="X53" s="26">
        <v>1.05127912</v>
      </c>
      <c r="Y53" s="26">
        <v>4.8241180499999998E-5</v>
      </c>
      <c r="Z53" s="26">
        <v>3.0721788500000001E-3</v>
      </c>
      <c r="AA53" s="26">
        <v>3.0084557800000001E-3</v>
      </c>
      <c r="AB53" s="26">
        <v>1.25367504E-8</v>
      </c>
      <c r="AC53" s="26">
        <v>1841.6116999999999</v>
      </c>
      <c r="AD53" s="26">
        <v>0</v>
      </c>
      <c r="AE53" s="26">
        <v>0</v>
      </c>
      <c r="AF53" s="26">
        <v>0</v>
      </c>
      <c r="AG53" s="26">
        <v>0</v>
      </c>
      <c r="AH53" s="26">
        <v>0</v>
      </c>
      <c r="AI53" s="26">
        <v>0</v>
      </c>
      <c r="AJ53" s="26">
        <v>0</v>
      </c>
      <c r="AK53" s="26">
        <v>0</v>
      </c>
      <c r="AL53" s="26">
        <v>0</v>
      </c>
      <c r="AM53" s="26">
        <v>1.5842633900000001E-5</v>
      </c>
      <c r="AN53" s="26">
        <v>0</v>
      </c>
      <c r="AO53" s="26">
        <v>0</v>
      </c>
      <c r="AP53" s="26">
        <v>0</v>
      </c>
      <c r="AQ53" s="26">
        <v>0</v>
      </c>
      <c r="AR53" s="26">
        <v>0</v>
      </c>
      <c r="AS53" s="26">
        <v>0</v>
      </c>
      <c r="AT53" s="26">
        <v>0</v>
      </c>
      <c r="AU53" s="26">
        <v>0</v>
      </c>
      <c r="AV53" s="26">
        <v>0</v>
      </c>
      <c r="AW53" s="26">
        <v>0</v>
      </c>
      <c r="AX53" s="26">
        <v>0</v>
      </c>
      <c r="AY53" s="26">
        <v>0</v>
      </c>
      <c r="AZ53" s="26">
        <v>0</v>
      </c>
      <c r="BA53" s="26">
        <v>0</v>
      </c>
      <c r="BB53" s="26">
        <v>0</v>
      </c>
      <c r="BC53" s="26">
        <v>0</v>
      </c>
      <c r="BD53" s="26">
        <v>0</v>
      </c>
      <c r="BE53" s="26">
        <v>0</v>
      </c>
      <c r="BF53" s="26">
        <v>0</v>
      </c>
      <c r="BG53" s="26">
        <v>0</v>
      </c>
      <c r="BH53" s="26">
        <v>0</v>
      </c>
      <c r="BI53" s="26">
        <v>0</v>
      </c>
      <c r="BJ53" s="26">
        <v>0</v>
      </c>
      <c r="BK53" s="26">
        <v>0</v>
      </c>
      <c r="BL53" s="26">
        <v>0</v>
      </c>
      <c r="BM53" s="26">
        <v>0</v>
      </c>
      <c r="BN53" s="26">
        <v>0</v>
      </c>
      <c r="BO53" s="26">
        <v>11640.6702</v>
      </c>
      <c r="BP53" s="26">
        <v>246148.10100000002</v>
      </c>
      <c r="BQ53" s="26">
        <v>4207.3059899999998</v>
      </c>
      <c r="BR53" s="26">
        <v>130.12111600000003</v>
      </c>
      <c r="BS53" s="26">
        <v>9.6008888599999995</v>
      </c>
      <c r="BT53" s="26">
        <v>0</v>
      </c>
      <c r="BU53" s="26">
        <v>1</v>
      </c>
      <c r="BV53" s="26">
        <v>0</v>
      </c>
      <c r="BW53" s="26">
        <v>-70478.381299999994</v>
      </c>
      <c r="BX53" s="26">
        <v>-3333.0161400000002</v>
      </c>
      <c r="BY53" s="26">
        <v>-820.41559800000005</v>
      </c>
      <c r="BZ53" s="26">
        <v>-37.652300199999999</v>
      </c>
      <c r="CA53" s="26">
        <v>-1.78062722</v>
      </c>
      <c r="CB53" s="26">
        <v>4.6112920699999997E-2</v>
      </c>
      <c r="CC53" s="26">
        <v>0.97508198999999995</v>
      </c>
      <c r="CD53" s="26">
        <v>21.1455266</v>
      </c>
      <c r="CE53" s="26">
        <v>3925.4886600000004</v>
      </c>
      <c r="CF53" s="26">
        <v>0</v>
      </c>
      <c r="CG53" s="26">
        <v>0</v>
      </c>
      <c r="CH53" s="26">
        <v>0</v>
      </c>
      <c r="CI53" s="26">
        <v>0</v>
      </c>
      <c r="CJ53" s="26">
        <v>0</v>
      </c>
      <c r="CK53" s="26">
        <v>0</v>
      </c>
      <c r="CL53" s="26">
        <v>0</v>
      </c>
      <c r="CM53" s="26">
        <v>0</v>
      </c>
      <c r="CN53" s="26">
        <v>0</v>
      </c>
      <c r="CO53" s="26">
        <v>0</v>
      </c>
      <c r="CP53" s="26">
        <v>0</v>
      </c>
      <c r="CQ53" s="26">
        <v>0</v>
      </c>
      <c r="CR53" s="26">
        <v>0</v>
      </c>
      <c r="CS53" s="26">
        <v>0</v>
      </c>
      <c r="CT53" s="26">
        <v>0</v>
      </c>
      <c r="CU53" s="26">
        <v>0</v>
      </c>
      <c r="CV53" s="26">
        <v>0</v>
      </c>
      <c r="CW53" s="26">
        <v>0</v>
      </c>
      <c r="CX53" s="26">
        <v>0</v>
      </c>
      <c r="CY53" s="26">
        <v>0</v>
      </c>
      <c r="CZ53" s="26">
        <v>0</v>
      </c>
      <c r="DA53" s="26">
        <v>0</v>
      </c>
      <c r="DB53" s="26">
        <v>0</v>
      </c>
      <c r="DC53" s="26">
        <v>0</v>
      </c>
      <c r="DD53" s="26">
        <v>0</v>
      </c>
      <c r="DE53" s="26">
        <v>0</v>
      </c>
      <c r="DF53" s="26">
        <v>0</v>
      </c>
      <c r="DG53" s="26">
        <v>0</v>
      </c>
      <c r="DH53" s="26">
        <v>0</v>
      </c>
      <c r="DI53" s="26">
        <v>0</v>
      </c>
      <c r="DJ53" s="26">
        <v>0</v>
      </c>
      <c r="DK53" s="26">
        <v>0</v>
      </c>
      <c r="DL53" s="26">
        <v>0</v>
      </c>
      <c r="DM53" s="26">
        <v>0</v>
      </c>
      <c r="DN53" s="26">
        <v>0</v>
      </c>
      <c r="DO53" s="26">
        <v>0</v>
      </c>
      <c r="DP53" s="26">
        <v>0</v>
      </c>
      <c r="DQ53" s="26">
        <v>0</v>
      </c>
      <c r="DR53" s="26">
        <v>0</v>
      </c>
      <c r="DS53" s="26">
        <v>0</v>
      </c>
      <c r="DT53" s="26">
        <v>0</v>
      </c>
      <c r="DU53" s="26">
        <v>0</v>
      </c>
      <c r="DV53" s="26">
        <v>0</v>
      </c>
      <c r="DW53" s="26">
        <v>0</v>
      </c>
      <c r="DX53" s="26">
        <v>26138.367999999999</v>
      </c>
      <c r="DY53" s="26">
        <v>30.979670600000002</v>
      </c>
      <c r="DZ53" s="26">
        <v>12.9984632</v>
      </c>
      <c r="EA53" s="26">
        <v>423.09997600000003</v>
      </c>
      <c r="EB53" s="26">
        <v>51.560570599999998</v>
      </c>
      <c r="EC53" s="26">
        <v>12475.191699999999</v>
      </c>
      <c r="ED53" s="26">
        <v>0</v>
      </c>
      <c r="EE53" s="26">
        <v>2583.0279399999999</v>
      </c>
      <c r="EF53" s="26">
        <v>4107.8476600000004</v>
      </c>
      <c r="EG53" s="26">
        <v>0</v>
      </c>
      <c r="EH53" s="26">
        <v>0</v>
      </c>
      <c r="EI53" s="26">
        <v>0</v>
      </c>
      <c r="EJ53" s="26">
        <v>0</v>
      </c>
      <c r="EK53" s="26">
        <v>0</v>
      </c>
      <c r="EL53" s="26">
        <v>269.47290700000002</v>
      </c>
      <c r="EM53" s="26">
        <v>0</v>
      </c>
      <c r="EN53" s="26">
        <v>0</v>
      </c>
      <c r="EO53" s="26">
        <v>0</v>
      </c>
      <c r="EP53" s="26">
        <v>435.20543700000002</v>
      </c>
      <c r="EQ53" s="26">
        <v>46092.546900000001</v>
      </c>
      <c r="ER53" s="26">
        <v>326.770308</v>
      </c>
      <c r="ES53" s="26">
        <v>130.12111600000003</v>
      </c>
      <c r="ET53" s="26">
        <v>9.6008888599999995</v>
      </c>
      <c r="EU53" s="26">
        <v>0</v>
      </c>
      <c r="EV53" s="26">
        <v>0</v>
      </c>
      <c r="EW53" s="26">
        <v>1</v>
      </c>
      <c r="EX53" s="26">
        <v>-137344.49100000001</v>
      </c>
      <c r="EY53" s="26">
        <v>-1296.8055199999999</v>
      </c>
      <c r="EZ53" s="26">
        <v>-59.773069700000008</v>
      </c>
      <c r="FA53" s="26">
        <v>-377.44953800000002</v>
      </c>
      <c r="FB53" s="26">
        <v>-3.5638753400000001</v>
      </c>
      <c r="FC53" s="26">
        <v>2.2197316200000001E-2</v>
      </c>
      <c r="FD53" s="26">
        <v>2.35091465</v>
      </c>
      <c r="FE53" s="26">
        <v>105.90985999999999</v>
      </c>
      <c r="FF53" s="26">
        <v>0</v>
      </c>
      <c r="FG53" s="26">
        <v>0.346181723</v>
      </c>
      <c r="FH53" s="26">
        <v>-1051481416.314</v>
      </c>
      <c r="FI53" s="26">
        <v>0.37495753911077145</v>
      </c>
      <c r="FJ53" s="26">
        <v>0</v>
      </c>
      <c r="FK53" s="26">
        <v>0</v>
      </c>
      <c r="FL53" s="26">
        <v>0</v>
      </c>
      <c r="FM53" s="26">
        <v>0</v>
      </c>
      <c r="FN53" s="26">
        <v>0</v>
      </c>
      <c r="FO53" s="26">
        <v>0</v>
      </c>
      <c r="FP53" s="26">
        <v>0</v>
      </c>
      <c r="FQ53" s="26">
        <v>0</v>
      </c>
      <c r="FR53" s="26">
        <v>0</v>
      </c>
      <c r="FS53" s="26">
        <v>0</v>
      </c>
      <c r="FT53" s="26">
        <v>0</v>
      </c>
      <c r="FU53" s="26">
        <v>0</v>
      </c>
      <c r="FV53" s="26">
        <v>0</v>
      </c>
      <c r="FW53" s="26">
        <v>0</v>
      </c>
      <c r="FX53" s="26">
        <v>0</v>
      </c>
      <c r="FY53" s="26">
        <v>0</v>
      </c>
      <c r="FZ53" s="26">
        <v>0</v>
      </c>
      <c r="GA53" s="26">
        <v>0</v>
      </c>
      <c r="GB53" s="26">
        <v>0</v>
      </c>
      <c r="GC53" s="26">
        <v>0</v>
      </c>
      <c r="GD53" s="26">
        <v>0</v>
      </c>
      <c r="GE53" s="26">
        <v>0</v>
      </c>
      <c r="GF53" s="26">
        <v>0</v>
      </c>
      <c r="GG53" s="26">
        <v>0</v>
      </c>
      <c r="GH53" s="26">
        <v>0</v>
      </c>
      <c r="GI53" s="26">
        <v>0</v>
      </c>
      <c r="GJ53" s="26">
        <v>0</v>
      </c>
      <c r="GK53" s="26">
        <v>0</v>
      </c>
      <c r="GL53" s="26">
        <v>0</v>
      </c>
      <c r="GM53" s="26">
        <v>0</v>
      </c>
      <c r="GN53" s="26">
        <v>0</v>
      </c>
      <c r="GO53" s="26">
        <v>0</v>
      </c>
      <c r="GP53" s="26">
        <v>0</v>
      </c>
      <c r="GQ53" s="26">
        <v>0</v>
      </c>
      <c r="GR53" s="26">
        <v>0</v>
      </c>
      <c r="GS53" s="26">
        <v>0</v>
      </c>
      <c r="GT53" s="26">
        <v>0</v>
      </c>
      <c r="GU53" s="26">
        <v>0</v>
      </c>
      <c r="GV53" s="26">
        <v>0</v>
      </c>
      <c r="GW53" s="26">
        <v>0</v>
      </c>
      <c r="GX53" s="26">
        <v>0</v>
      </c>
      <c r="GY53" s="26">
        <v>0</v>
      </c>
      <c r="GZ53" s="26">
        <v>0</v>
      </c>
      <c r="HA53" s="26">
        <v>0</v>
      </c>
      <c r="HB53" s="26">
        <v>0</v>
      </c>
      <c r="HC53" s="26">
        <v>0</v>
      </c>
      <c r="HD53" s="26">
        <v>0</v>
      </c>
      <c r="HE53" s="26">
        <v>0</v>
      </c>
      <c r="HF53" s="26">
        <v>0</v>
      </c>
      <c r="HG53" s="26">
        <v>0</v>
      </c>
      <c r="HH53" s="26">
        <v>0</v>
      </c>
      <c r="HI53" s="26">
        <v>0</v>
      </c>
      <c r="HJ53" s="26">
        <v>0</v>
      </c>
      <c r="HK53" s="26">
        <v>0</v>
      </c>
      <c r="HL53" s="26">
        <v>0</v>
      </c>
      <c r="HM53" s="26">
        <v>0</v>
      </c>
      <c r="HN53" s="26">
        <v>0</v>
      </c>
      <c r="HO53" s="26">
        <v>0</v>
      </c>
      <c r="HP53" s="26">
        <v>0</v>
      </c>
      <c r="HQ53" s="26">
        <v>0</v>
      </c>
      <c r="HR53" s="26">
        <v>0</v>
      </c>
      <c r="HS53" s="26">
        <v>0</v>
      </c>
      <c r="HT53" s="26">
        <v>0.49023342058853403</v>
      </c>
    </row>
    <row r="54" spans="2:228" x14ac:dyDescent="0.2">
      <c r="B54" s="27" t="s">
        <v>2871</v>
      </c>
      <c r="C54" s="26">
        <v>292240.64799999999</v>
      </c>
      <c r="D54" s="26">
        <v>-880.24360799999999</v>
      </c>
      <c r="E54" s="26">
        <v>204649.60200000001</v>
      </c>
      <c r="F54" s="26">
        <v>10.1691666</v>
      </c>
      <c r="G54" s="26">
        <v>3550.2458999999999</v>
      </c>
      <c r="H54" s="26">
        <v>1191.5221799999999</v>
      </c>
      <c r="I54" s="26">
        <v>499.93937699999998</v>
      </c>
      <c r="J54" s="26">
        <v>16642.739600000001</v>
      </c>
      <c r="K54" s="26">
        <v>2028.1474899999998</v>
      </c>
      <c r="L54" s="26">
        <v>1.4712047399999999E-4</v>
      </c>
      <c r="M54" s="26">
        <v>0</v>
      </c>
      <c r="N54" s="26">
        <v>87.614647500000004</v>
      </c>
      <c r="O54" s="26">
        <v>28.596618400000004</v>
      </c>
      <c r="P54" s="26">
        <v>11.9985812</v>
      </c>
      <c r="Q54" s="26">
        <v>390.55112600000001</v>
      </c>
      <c r="R54" s="26">
        <v>47.594043999999997</v>
      </c>
      <c r="S54" s="26">
        <v>12208.3331</v>
      </c>
      <c r="T54" s="26">
        <v>656.56106999999997</v>
      </c>
      <c r="U54" s="26">
        <v>369.60000100000002</v>
      </c>
      <c r="V54" s="26">
        <v>459.61227399999996</v>
      </c>
      <c r="W54" s="26">
        <v>1472.60429</v>
      </c>
      <c r="X54" s="26">
        <v>1.05127912</v>
      </c>
      <c r="Y54" s="26">
        <v>4.8241180499999998E-5</v>
      </c>
      <c r="Z54" s="26">
        <v>3.0721788500000001E-3</v>
      </c>
      <c r="AA54" s="26">
        <v>3.0084557800000001E-3</v>
      </c>
      <c r="AB54" s="26">
        <v>1.25367504E-8</v>
      </c>
      <c r="AC54" s="26">
        <v>1841.6116999999999</v>
      </c>
      <c r="AD54" s="26">
        <v>0</v>
      </c>
      <c r="AE54" s="26">
        <v>0</v>
      </c>
      <c r="AF54" s="26">
        <v>0</v>
      </c>
      <c r="AG54" s="26">
        <v>0</v>
      </c>
      <c r="AH54" s="26">
        <v>0</v>
      </c>
      <c r="AI54" s="26">
        <v>0</v>
      </c>
      <c r="AJ54" s="26">
        <v>0</v>
      </c>
      <c r="AK54" s="26">
        <v>0</v>
      </c>
      <c r="AL54" s="26">
        <v>0</v>
      </c>
      <c r="AM54" s="26">
        <v>1.5842633900000001E-5</v>
      </c>
      <c r="AN54" s="26">
        <v>0</v>
      </c>
      <c r="AO54" s="26">
        <v>0</v>
      </c>
      <c r="AP54" s="26">
        <v>0</v>
      </c>
      <c r="AQ54" s="26">
        <v>0</v>
      </c>
      <c r="AR54" s="26">
        <v>0</v>
      </c>
      <c r="AS54" s="26">
        <v>0</v>
      </c>
      <c r="AT54" s="26">
        <v>0</v>
      </c>
      <c r="AU54" s="26">
        <v>0</v>
      </c>
      <c r="AV54" s="26">
        <v>0</v>
      </c>
      <c r="AW54" s="26">
        <v>0</v>
      </c>
      <c r="AX54" s="26">
        <v>0</v>
      </c>
      <c r="AY54" s="26">
        <v>0</v>
      </c>
      <c r="AZ54" s="26">
        <v>0</v>
      </c>
      <c r="BA54" s="26">
        <v>0</v>
      </c>
      <c r="BB54" s="26">
        <v>0</v>
      </c>
      <c r="BC54" s="26">
        <v>0</v>
      </c>
      <c r="BD54" s="26">
        <v>0</v>
      </c>
      <c r="BE54" s="26">
        <v>0</v>
      </c>
      <c r="BF54" s="26">
        <v>0</v>
      </c>
      <c r="BG54" s="26">
        <v>0</v>
      </c>
      <c r="BH54" s="26">
        <v>0</v>
      </c>
      <c r="BI54" s="26">
        <v>0</v>
      </c>
      <c r="BJ54" s="26">
        <v>0</v>
      </c>
      <c r="BK54" s="26">
        <v>0</v>
      </c>
      <c r="BL54" s="26">
        <v>0</v>
      </c>
      <c r="BM54" s="26">
        <v>0</v>
      </c>
      <c r="BN54" s="26">
        <v>0</v>
      </c>
      <c r="BO54" s="26">
        <v>11640.6702</v>
      </c>
      <c r="BP54" s="26">
        <v>246148.10100000002</v>
      </c>
      <c r="BQ54" s="26">
        <v>4206.6570099999999</v>
      </c>
      <c r="BR54" s="26">
        <v>130</v>
      </c>
      <c r="BS54" s="26">
        <v>2.60088886</v>
      </c>
      <c r="BT54" s="26">
        <v>0</v>
      </c>
      <c r="BU54" s="26">
        <v>1</v>
      </c>
      <c r="BV54" s="26">
        <v>0</v>
      </c>
      <c r="BW54" s="26">
        <v>-70483.011700000003</v>
      </c>
      <c r="BX54" s="26">
        <v>-3333.2351100000001</v>
      </c>
      <c r="BY54" s="26">
        <v>-820.46949900000004</v>
      </c>
      <c r="BZ54" s="26">
        <v>-37.655659200000002</v>
      </c>
      <c r="CA54" s="26">
        <v>-1.78078607</v>
      </c>
      <c r="CB54" s="26">
        <v>4.61200347E-2</v>
      </c>
      <c r="CC54" s="26">
        <v>0.97523241900000002</v>
      </c>
      <c r="CD54" s="26">
        <v>21.1455266</v>
      </c>
      <c r="CE54" s="26">
        <v>3925.4886600000004</v>
      </c>
      <c r="CF54" s="26">
        <v>0</v>
      </c>
      <c r="CG54" s="26">
        <v>0</v>
      </c>
      <c r="CH54" s="26">
        <v>0</v>
      </c>
      <c r="CI54" s="26">
        <v>0</v>
      </c>
      <c r="CJ54" s="26">
        <v>0</v>
      </c>
      <c r="CK54" s="26">
        <v>0</v>
      </c>
      <c r="CL54" s="26">
        <v>0</v>
      </c>
      <c r="CM54" s="26">
        <v>0</v>
      </c>
      <c r="CN54" s="26">
        <v>0</v>
      </c>
      <c r="CO54" s="26">
        <v>0</v>
      </c>
      <c r="CP54" s="26">
        <v>0</v>
      </c>
      <c r="CQ54" s="26">
        <v>0</v>
      </c>
      <c r="CR54" s="26">
        <v>0</v>
      </c>
      <c r="CS54" s="26">
        <v>0</v>
      </c>
      <c r="CT54" s="26">
        <v>0</v>
      </c>
      <c r="CU54" s="26">
        <v>0</v>
      </c>
      <c r="CV54" s="26">
        <v>0</v>
      </c>
      <c r="CW54" s="26">
        <v>0</v>
      </c>
      <c r="CX54" s="26">
        <v>0</v>
      </c>
      <c r="CY54" s="26">
        <v>0</v>
      </c>
      <c r="CZ54" s="26">
        <v>0</v>
      </c>
      <c r="DA54" s="26">
        <v>0</v>
      </c>
      <c r="DB54" s="26">
        <v>0</v>
      </c>
      <c r="DC54" s="26">
        <v>0</v>
      </c>
      <c r="DD54" s="26">
        <v>0</v>
      </c>
      <c r="DE54" s="26">
        <v>0</v>
      </c>
      <c r="DF54" s="26">
        <v>0</v>
      </c>
      <c r="DG54" s="26">
        <v>0</v>
      </c>
      <c r="DH54" s="26">
        <v>0</v>
      </c>
      <c r="DI54" s="26">
        <v>0</v>
      </c>
      <c r="DJ54" s="26">
        <v>0</v>
      </c>
      <c r="DK54" s="26">
        <v>0</v>
      </c>
      <c r="DL54" s="26">
        <v>0</v>
      </c>
      <c r="DM54" s="26">
        <v>0</v>
      </c>
      <c r="DN54" s="26">
        <v>0</v>
      </c>
      <c r="DO54" s="26">
        <v>0</v>
      </c>
      <c r="DP54" s="26">
        <v>0</v>
      </c>
      <c r="DQ54" s="26">
        <v>0</v>
      </c>
      <c r="DR54" s="26">
        <v>0</v>
      </c>
      <c r="DS54" s="26">
        <v>0</v>
      </c>
      <c r="DT54" s="26">
        <v>0</v>
      </c>
      <c r="DU54" s="26">
        <v>0</v>
      </c>
      <c r="DV54" s="26">
        <v>0</v>
      </c>
      <c r="DW54" s="26">
        <v>0</v>
      </c>
      <c r="DX54" s="26">
        <v>26138.367999999999</v>
      </c>
      <c r="DY54" s="26">
        <v>30.979670600000002</v>
      </c>
      <c r="DZ54" s="26">
        <v>12.9984632</v>
      </c>
      <c r="EA54" s="26">
        <v>423.09997600000003</v>
      </c>
      <c r="EB54" s="26">
        <v>51.560570599999998</v>
      </c>
      <c r="EC54" s="26">
        <v>12475.191699999999</v>
      </c>
      <c r="ED54" s="26">
        <v>0</v>
      </c>
      <c r="EE54" s="26">
        <v>2583.0279399999999</v>
      </c>
      <c r="EF54" s="26">
        <v>4107.8476600000004</v>
      </c>
      <c r="EG54" s="26">
        <v>0</v>
      </c>
      <c r="EH54" s="26">
        <v>0</v>
      </c>
      <c r="EI54" s="26">
        <v>0</v>
      </c>
      <c r="EJ54" s="26">
        <v>0</v>
      </c>
      <c r="EK54" s="26">
        <v>0</v>
      </c>
      <c r="EL54" s="26">
        <v>269.47290700000002</v>
      </c>
      <c r="EM54" s="26">
        <v>0</v>
      </c>
      <c r="EN54" s="26">
        <v>0</v>
      </c>
      <c r="EO54" s="26">
        <v>0</v>
      </c>
      <c r="EP54" s="26">
        <v>435.20543700000002</v>
      </c>
      <c r="EQ54" s="26">
        <v>46092.546900000001</v>
      </c>
      <c r="ER54" s="26">
        <v>326.770308</v>
      </c>
      <c r="ES54" s="26">
        <v>130</v>
      </c>
      <c r="ET54" s="26">
        <v>2.60088886</v>
      </c>
      <c r="EU54" s="26">
        <v>0</v>
      </c>
      <c r="EV54" s="26">
        <v>0</v>
      </c>
      <c r="EW54" s="26">
        <v>1</v>
      </c>
      <c r="EX54" s="26">
        <v>-137346.88099999999</v>
      </c>
      <c r="EY54" s="26">
        <v>-1296.82808</v>
      </c>
      <c r="EZ54" s="26">
        <v>-59.774109700000004</v>
      </c>
      <c r="FA54" s="26">
        <v>-377.455465</v>
      </c>
      <c r="FB54" s="26">
        <v>-3.5639313000000001</v>
      </c>
      <c r="FC54" s="26">
        <v>2.2197316200000001E-2</v>
      </c>
      <c r="FD54" s="26">
        <v>2.35091465</v>
      </c>
      <c r="FE54" s="26">
        <v>105.90985999999999</v>
      </c>
      <c r="FF54" s="26">
        <v>0</v>
      </c>
      <c r="FG54" s="26">
        <v>0.346181723</v>
      </c>
      <c r="FH54" s="26">
        <v>-1051518284.577</v>
      </c>
      <c r="FI54" s="26">
        <v>0.37495753911077145</v>
      </c>
      <c r="FJ54" s="26">
        <v>0</v>
      </c>
      <c r="FK54" s="26">
        <v>0</v>
      </c>
      <c r="FL54" s="26">
        <v>0</v>
      </c>
      <c r="FM54" s="26">
        <v>0</v>
      </c>
      <c r="FN54" s="26">
        <v>0</v>
      </c>
      <c r="FO54" s="26">
        <v>0</v>
      </c>
      <c r="FP54" s="26">
        <v>0</v>
      </c>
      <c r="FQ54" s="26">
        <v>0</v>
      </c>
      <c r="FR54" s="26">
        <v>0</v>
      </c>
      <c r="FS54" s="26">
        <v>0</v>
      </c>
      <c r="FT54" s="26">
        <v>0</v>
      </c>
      <c r="FU54" s="26">
        <v>0</v>
      </c>
      <c r="FV54" s="26">
        <v>0</v>
      </c>
      <c r="FW54" s="26">
        <v>0</v>
      </c>
      <c r="FX54" s="26">
        <v>0</v>
      </c>
      <c r="FY54" s="26">
        <v>0</v>
      </c>
      <c r="FZ54" s="26">
        <v>0</v>
      </c>
      <c r="GA54" s="26">
        <v>0</v>
      </c>
      <c r="GB54" s="26">
        <v>0</v>
      </c>
      <c r="GC54" s="26">
        <v>0</v>
      </c>
      <c r="GD54" s="26">
        <v>0</v>
      </c>
      <c r="GE54" s="26">
        <v>0</v>
      </c>
      <c r="GF54" s="26">
        <v>0</v>
      </c>
      <c r="GG54" s="26">
        <v>0</v>
      </c>
      <c r="GH54" s="26">
        <v>0</v>
      </c>
      <c r="GI54" s="26">
        <v>0</v>
      </c>
      <c r="GJ54" s="26">
        <v>0</v>
      </c>
      <c r="GK54" s="26">
        <v>0</v>
      </c>
      <c r="GL54" s="26">
        <v>0</v>
      </c>
      <c r="GM54" s="26">
        <v>0</v>
      </c>
      <c r="GN54" s="26">
        <v>0</v>
      </c>
      <c r="GO54" s="26">
        <v>0</v>
      </c>
      <c r="GP54" s="26">
        <v>0</v>
      </c>
      <c r="GQ54" s="26">
        <v>0</v>
      </c>
      <c r="GR54" s="26">
        <v>0</v>
      </c>
      <c r="GS54" s="26">
        <v>0</v>
      </c>
      <c r="GT54" s="26">
        <v>0</v>
      </c>
      <c r="GU54" s="26">
        <v>0</v>
      </c>
      <c r="GV54" s="26">
        <v>0</v>
      </c>
      <c r="GW54" s="26">
        <v>0</v>
      </c>
      <c r="GX54" s="26">
        <v>0</v>
      </c>
      <c r="GY54" s="26">
        <v>0</v>
      </c>
      <c r="GZ54" s="26">
        <v>0</v>
      </c>
      <c r="HA54" s="26">
        <v>0</v>
      </c>
      <c r="HB54" s="26">
        <v>0</v>
      </c>
      <c r="HC54" s="26">
        <v>0</v>
      </c>
      <c r="HD54" s="26">
        <v>0</v>
      </c>
      <c r="HE54" s="26">
        <v>0</v>
      </c>
      <c r="HF54" s="26">
        <v>0</v>
      </c>
      <c r="HG54" s="26">
        <v>0</v>
      </c>
      <c r="HH54" s="26">
        <v>0</v>
      </c>
      <c r="HI54" s="26">
        <v>0</v>
      </c>
      <c r="HJ54" s="26">
        <v>0</v>
      </c>
      <c r="HK54" s="26">
        <v>0</v>
      </c>
      <c r="HL54" s="26">
        <v>0</v>
      </c>
      <c r="HM54" s="26">
        <v>0</v>
      </c>
      <c r="HN54" s="26">
        <v>0</v>
      </c>
      <c r="HO54" s="26">
        <v>0</v>
      </c>
      <c r="HP54" s="26">
        <v>0</v>
      </c>
      <c r="HQ54" s="26">
        <v>0</v>
      </c>
      <c r="HR54" s="26">
        <v>0</v>
      </c>
      <c r="HS54" s="26">
        <v>0</v>
      </c>
      <c r="HT54" s="26">
        <v>0.49023342058853403</v>
      </c>
    </row>
    <row r="55" spans="2:228" x14ac:dyDescent="0.2">
      <c r="B55" s="27" t="s">
        <v>1332</v>
      </c>
      <c r="C55" s="26">
        <v>292240.64799999999</v>
      </c>
      <c r="D55" s="26">
        <v>-880.07946800000002</v>
      </c>
      <c r="E55" s="26">
        <v>204649.60200000001</v>
      </c>
      <c r="F55" s="26">
        <v>10.1691666</v>
      </c>
      <c r="G55" s="26">
        <v>3550.2458999999999</v>
      </c>
      <c r="H55" s="26">
        <v>1191.5221799999999</v>
      </c>
      <c r="I55" s="26">
        <v>499.93937699999998</v>
      </c>
      <c r="J55" s="26">
        <v>16642.739600000001</v>
      </c>
      <c r="K55" s="26">
        <v>2028.1474899999998</v>
      </c>
      <c r="L55" s="26">
        <v>1.4712047399999999E-4</v>
      </c>
      <c r="M55" s="26">
        <v>0</v>
      </c>
      <c r="N55" s="26">
        <v>87.614647500000004</v>
      </c>
      <c r="O55" s="26">
        <v>28.596618400000004</v>
      </c>
      <c r="P55" s="26">
        <v>11.9985812</v>
      </c>
      <c r="Q55" s="26">
        <v>390.55112600000001</v>
      </c>
      <c r="R55" s="26">
        <v>47.594043999999997</v>
      </c>
      <c r="S55" s="26">
        <v>12208.3331</v>
      </c>
      <c r="T55" s="26">
        <v>656.56106999999997</v>
      </c>
      <c r="U55" s="26">
        <v>369.60000100000002</v>
      </c>
      <c r="V55" s="26">
        <v>459.61227399999996</v>
      </c>
      <c r="W55" s="26">
        <v>1472.60429</v>
      </c>
      <c r="X55" s="26">
        <v>1.05127912</v>
      </c>
      <c r="Y55" s="26">
        <v>4.8241180499999998E-5</v>
      </c>
      <c r="Z55" s="26">
        <v>3.0721788500000001E-3</v>
      </c>
      <c r="AA55" s="26">
        <v>3.0084557800000001E-3</v>
      </c>
      <c r="AB55" s="26">
        <v>1.25367504E-8</v>
      </c>
      <c r="AC55" s="26">
        <v>1841.6116999999999</v>
      </c>
      <c r="AD55" s="26">
        <v>0</v>
      </c>
      <c r="AE55" s="26">
        <v>0</v>
      </c>
      <c r="AF55" s="26">
        <v>0</v>
      </c>
      <c r="AG55" s="26">
        <v>0</v>
      </c>
      <c r="AH55" s="26">
        <v>0</v>
      </c>
      <c r="AI55" s="26">
        <v>0</v>
      </c>
      <c r="AJ55" s="26">
        <v>0</v>
      </c>
      <c r="AK55" s="26">
        <v>0</v>
      </c>
      <c r="AL55" s="26">
        <v>0</v>
      </c>
      <c r="AM55" s="26">
        <v>1.5842633900000001E-5</v>
      </c>
      <c r="AN55" s="26">
        <v>0</v>
      </c>
      <c r="AO55" s="26">
        <v>0</v>
      </c>
      <c r="AP55" s="26">
        <v>0</v>
      </c>
      <c r="AQ55" s="26">
        <v>0</v>
      </c>
      <c r="AR55" s="26">
        <v>0</v>
      </c>
      <c r="AS55" s="26">
        <v>0</v>
      </c>
      <c r="AT55" s="26">
        <v>0</v>
      </c>
      <c r="AU55" s="26">
        <v>0</v>
      </c>
      <c r="AV55" s="26">
        <v>0</v>
      </c>
      <c r="AW55" s="26">
        <v>0</v>
      </c>
      <c r="AX55" s="26">
        <v>0</v>
      </c>
      <c r="AY55" s="26">
        <v>0</v>
      </c>
      <c r="AZ55" s="26">
        <v>0</v>
      </c>
      <c r="BA55" s="26">
        <v>0</v>
      </c>
      <c r="BB55" s="26">
        <v>0</v>
      </c>
      <c r="BC55" s="26">
        <v>0</v>
      </c>
      <c r="BD55" s="26">
        <v>0</v>
      </c>
      <c r="BE55" s="26">
        <v>0</v>
      </c>
      <c r="BF55" s="26">
        <v>0</v>
      </c>
      <c r="BG55" s="26">
        <v>0</v>
      </c>
      <c r="BH55" s="26">
        <v>0</v>
      </c>
      <c r="BI55" s="26">
        <v>0</v>
      </c>
      <c r="BJ55" s="26">
        <v>0</v>
      </c>
      <c r="BK55" s="26">
        <v>0</v>
      </c>
      <c r="BL55" s="26">
        <v>0</v>
      </c>
      <c r="BM55" s="26">
        <v>0</v>
      </c>
      <c r="BN55" s="26">
        <v>0</v>
      </c>
      <c r="BO55" s="26">
        <v>11640.6702</v>
      </c>
      <c r="BP55" s="26">
        <v>246148.10100000002</v>
      </c>
      <c r="BQ55" s="26">
        <v>4209.96821</v>
      </c>
      <c r="BR55" s="26">
        <v>130.61730799999998</v>
      </c>
      <c r="BS55" s="26">
        <v>5.7</v>
      </c>
      <c r="BT55" s="26">
        <v>0</v>
      </c>
      <c r="BU55" s="26">
        <v>1</v>
      </c>
      <c r="BV55" s="26">
        <v>0</v>
      </c>
      <c r="BW55" s="26">
        <v>-70469.366599999994</v>
      </c>
      <c r="BX55" s="26">
        <v>-3332.5898200000001</v>
      </c>
      <c r="BY55" s="26">
        <v>-820.31065999999998</v>
      </c>
      <c r="BZ55" s="26">
        <v>-37.625440699999999</v>
      </c>
      <c r="CA55" s="26">
        <v>-1.7793570000000001</v>
      </c>
      <c r="CB55" s="26">
        <v>4.6083760600000002E-2</v>
      </c>
      <c r="CC55" s="26">
        <v>0.97446538599999999</v>
      </c>
      <c r="CD55" s="26">
        <v>21.1455266</v>
      </c>
      <c r="CE55" s="26">
        <v>3925.4886600000004</v>
      </c>
      <c r="CF55" s="26">
        <v>0</v>
      </c>
      <c r="CG55" s="26">
        <v>0</v>
      </c>
      <c r="CH55" s="26">
        <v>0</v>
      </c>
      <c r="CI55" s="26">
        <v>0</v>
      </c>
      <c r="CJ55" s="26">
        <v>0</v>
      </c>
      <c r="CK55" s="26">
        <v>0</v>
      </c>
      <c r="CL55" s="26">
        <v>0</v>
      </c>
      <c r="CM55" s="26">
        <v>0</v>
      </c>
      <c r="CN55" s="26">
        <v>0</v>
      </c>
      <c r="CO55" s="26">
        <v>0</v>
      </c>
      <c r="CP55" s="26">
        <v>0</v>
      </c>
      <c r="CQ55" s="26">
        <v>0</v>
      </c>
      <c r="CR55" s="26">
        <v>0</v>
      </c>
      <c r="CS55" s="26">
        <v>0</v>
      </c>
      <c r="CT55" s="26">
        <v>0</v>
      </c>
      <c r="CU55" s="26">
        <v>0</v>
      </c>
      <c r="CV55" s="26">
        <v>0</v>
      </c>
      <c r="CW55" s="26">
        <v>0</v>
      </c>
      <c r="CX55" s="26">
        <v>0</v>
      </c>
      <c r="CY55" s="26">
        <v>0</v>
      </c>
      <c r="CZ55" s="26">
        <v>0</v>
      </c>
      <c r="DA55" s="26">
        <v>0</v>
      </c>
      <c r="DB55" s="26">
        <v>0</v>
      </c>
      <c r="DC55" s="26">
        <v>0</v>
      </c>
      <c r="DD55" s="26">
        <v>0</v>
      </c>
      <c r="DE55" s="26">
        <v>0</v>
      </c>
      <c r="DF55" s="26">
        <v>0</v>
      </c>
      <c r="DG55" s="26">
        <v>0</v>
      </c>
      <c r="DH55" s="26">
        <v>0</v>
      </c>
      <c r="DI55" s="26">
        <v>0</v>
      </c>
      <c r="DJ55" s="26">
        <v>0</v>
      </c>
      <c r="DK55" s="26">
        <v>0</v>
      </c>
      <c r="DL55" s="26">
        <v>0</v>
      </c>
      <c r="DM55" s="26">
        <v>0</v>
      </c>
      <c r="DN55" s="26">
        <v>0</v>
      </c>
      <c r="DO55" s="26">
        <v>0</v>
      </c>
      <c r="DP55" s="26">
        <v>0</v>
      </c>
      <c r="DQ55" s="26">
        <v>0</v>
      </c>
      <c r="DR55" s="26">
        <v>0</v>
      </c>
      <c r="DS55" s="26">
        <v>0</v>
      </c>
      <c r="DT55" s="26">
        <v>0</v>
      </c>
      <c r="DU55" s="26">
        <v>0</v>
      </c>
      <c r="DV55" s="26">
        <v>0</v>
      </c>
      <c r="DW55" s="26">
        <v>0</v>
      </c>
      <c r="DX55" s="26">
        <v>26138.367999999999</v>
      </c>
      <c r="DY55" s="26">
        <v>30.979670600000002</v>
      </c>
      <c r="DZ55" s="26">
        <v>12.9984632</v>
      </c>
      <c r="EA55" s="26">
        <v>423.09997600000003</v>
      </c>
      <c r="EB55" s="26">
        <v>51.560570599999998</v>
      </c>
      <c r="EC55" s="26">
        <v>12475.191699999999</v>
      </c>
      <c r="ED55" s="26">
        <v>0</v>
      </c>
      <c r="EE55" s="26">
        <v>2583.0279399999999</v>
      </c>
      <c r="EF55" s="26">
        <v>4107.8476600000004</v>
      </c>
      <c r="EG55" s="26">
        <v>0</v>
      </c>
      <c r="EH55" s="26">
        <v>0</v>
      </c>
      <c r="EI55" s="26">
        <v>0</v>
      </c>
      <c r="EJ55" s="26">
        <v>0</v>
      </c>
      <c r="EK55" s="26">
        <v>0</v>
      </c>
      <c r="EL55" s="26">
        <v>269.47290700000002</v>
      </c>
      <c r="EM55" s="26">
        <v>0</v>
      </c>
      <c r="EN55" s="26">
        <v>0</v>
      </c>
      <c r="EO55" s="26">
        <v>0</v>
      </c>
      <c r="EP55" s="26">
        <v>435.20543700000002</v>
      </c>
      <c r="EQ55" s="26">
        <v>46092.546900000001</v>
      </c>
      <c r="ER55" s="26">
        <v>326.770308</v>
      </c>
      <c r="ES55" s="26">
        <v>130.61730799999998</v>
      </c>
      <c r="ET55" s="26">
        <v>5.7</v>
      </c>
      <c r="EU55" s="26">
        <v>0</v>
      </c>
      <c r="EV55" s="26">
        <v>0</v>
      </c>
      <c r="EW55" s="26">
        <v>1</v>
      </c>
      <c r="EX55" s="26">
        <v>-137334.69699999999</v>
      </c>
      <c r="EY55" s="26">
        <v>-1296.7130400000001</v>
      </c>
      <c r="EZ55" s="26">
        <v>-59.768807199999998</v>
      </c>
      <c r="FA55" s="26">
        <v>-377.42526700000002</v>
      </c>
      <c r="FB55" s="26">
        <v>-3.5636461700000002</v>
      </c>
      <c r="FC55" s="26">
        <v>2.2197316200000001E-2</v>
      </c>
      <c r="FD55" s="26">
        <v>2.35091465</v>
      </c>
      <c r="FE55" s="26">
        <v>105.90985999999999</v>
      </c>
      <c r="FF55" s="26">
        <v>0</v>
      </c>
      <c r="FG55" s="26">
        <v>0.346181723</v>
      </c>
      <c r="FH55" s="26">
        <v>-1051501961.8720001</v>
      </c>
      <c r="FI55" s="26">
        <v>0.37495753911077145</v>
      </c>
      <c r="FJ55" s="26">
        <v>0</v>
      </c>
      <c r="FK55" s="26">
        <v>0</v>
      </c>
      <c r="FL55" s="26">
        <v>0</v>
      </c>
      <c r="FM55" s="26">
        <v>0</v>
      </c>
      <c r="FN55" s="26">
        <v>0</v>
      </c>
      <c r="FO55" s="26">
        <v>0</v>
      </c>
      <c r="FP55" s="26">
        <v>0</v>
      </c>
      <c r="FQ55" s="26">
        <v>0</v>
      </c>
      <c r="FR55" s="26">
        <v>0</v>
      </c>
      <c r="FS55" s="26">
        <v>0</v>
      </c>
      <c r="FT55" s="26">
        <v>0</v>
      </c>
      <c r="FU55" s="26">
        <v>0</v>
      </c>
      <c r="FV55" s="26">
        <v>0</v>
      </c>
      <c r="FW55" s="26">
        <v>0</v>
      </c>
      <c r="FX55" s="26">
        <v>0</v>
      </c>
      <c r="FY55" s="26">
        <v>0</v>
      </c>
      <c r="FZ55" s="26">
        <v>0</v>
      </c>
      <c r="GA55" s="26">
        <v>0</v>
      </c>
      <c r="GB55" s="26">
        <v>0</v>
      </c>
      <c r="GC55" s="26">
        <v>0</v>
      </c>
      <c r="GD55" s="26">
        <v>0</v>
      </c>
      <c r="GE55" s="26">
        <v>0</v>
      </c>
      <c r="GF55" s="26">
        <v>0</v>
      </c>
      <c r="GG55" s="26">
        <v>0</v>
      </c>
      <c r="GH55" s="26">
        <v>0</v>
      </c>
      <c r="GI55" s="26">
        <v>0</v>
      </c>
      <c r="GJ55" s="26">
        <v>0</v>
      </c>
      <c r="GK55" s="26">
        <v>0</v>
      </c>
      <c r="GL55" s="26">
        <v>0</v>
      </c>
      <c r="GM55" s="26">
        <v>0</v>
      </c>
      <c r="GN55" s="26">
        <v>0</v>
      </c>
      <c r="GO55" s="26">
        <v>0</v>
      </c>
      <c r="GP55" s="26">
        <v>0</v>
      </c>
      <c r="GQ55" s="26">
        <v>0</v>
      </c>
      <c r="GR55" s="26">
        <v>0</v>
      </c>
      <c r="GS55" s="26">
        <v>0</v>
      </c>
      <c r="GT55" s="26">
        <v>0</v>
      </c>
      <c r="GU55" s="26">
        <v>0</v>
      </c>
      <c r="GV55" s="26">
        <v>0</v>
      </c>
      <c r="GW55" s="26">
        <v>0</v>
      </c>
      <c r="GX55" s="26">
        <v>0</v>
      </c>
      <c r="GY55" s="26">
        <v>0</v>
      </c>
      <c r="GZ55" s="26">
        <v>0</v>
      </c>
      <c r="HA55" s="26">
        <v>0</v>
      </c>
      <c r="HB55" s="26">
        <v>0</v>
      </c>
      <c r="HC55" s="26">
        <v>0</v>
      </c>
      <c r="HD55" s="26">
        <v>0</v>
      </c>
      <c r="HE55" s="26">
        <v>0</v>
      </c>
      <c r="HF55" s="26">
        <v>0</v>
      </c>
      <c r="HG55" s="26">
        <v>0</v>
      </c>
      <c r="HH55" s="26">
        <v>0</v>
      </c>
      <c r="HI55" s="26">
        <v>0</v>
      </c>
      <c r="HJ55" s="26">
        <v>0</v>
      </c>
      <c r="HK55" s="26">
        <v>0</v>
      </c>
      <c r="HL55" s="26">
        <v>0</v>
      </c>
      <c r="HM55" s="26">
        <v>0</v>
      </c>
      <c r="HN55" s="26">
        <v>0</v>
      </c>
      <c r="HO55" s="26">
        <v>0</v>
      </c>
      <c r="HP55" s="26">
        <v>0</v>
      </c>
      <c r="HQ55" s="26">
        <v>0</v>
      </c>
      <c r="HR55" s="26">
        <v>0</v>
      </c>
      <c r="HS55" s="26">
        <v>0</v>
      </c>
      <c r="HT55" s="26">
        <v>0.49023342058853403</v>
      </c>
    </row>
    <row r="56" spans="2:228" x14ac:dyDescent="0.2">
      <c r="B56" s="27" t="s">
        <v>2872</v>
      </c>
      <c r="C56" s="26">
        <v>292240.64799999999</v>
      </c>
      <c r="D56" s="26">
        <v>-879.99307099999999</v>
      </c>
      <c r="E56" s="26">
        <v>204649.60200000001</v>
      </c>
      <c r="F56" s="26">
        <v>10.1691666</v>
      </c>
      <c r="G56" s="26">
        <v>3550.2458999999999</v>
      </c>
      <c r="H56" s="26">
        <v>1191.5221799999999</v>
      </c>
      <c r="I56" s="26">
        <v>499.93937699999998</v>
      </c>
      <c r="J56" s="26">
        <v>16642.739600000001</v>
      </c>
      <c r="K56" s="26">
        <v>2028.1474899999998</v>
      </c>
      <c r="L56" s="26">
        <v>1.4712047399999999E-4</v>
      </c>
      <c r="M56" s="26">
        <v>0</v>
      </c>
      <c r="N56" s="26">
        <v>87.614647500000004</v>
      </c>
      <c r="O56" s="26">
        <v>28.596618400000004</v>
      </c>
      <c r="P56" s="26">
        <v>11.9985812</v>
      </c>
      <c r="Q56" s="26">
        <v>390.55112600000001</v>
      </c>
      <c r="R56" s="26">
        <v>47.594043999999997</v>
      </c>
      <c r="S56" s="26">
        <v>12208.3331</v>
      </c>
      <c r="T56" s="26">
        <v>656.56106999999997</v>
      </c>
      <c r="U56" s="26">
        <v>369.60000100000002</v>
      </c>
      <c r="V56" s="26">
        <v>459.61227399999996</v>
      </c>
      <c r="W56" s="26">
        <v>1472.60429</v>
      </c>
      <c r="X56" s="26">
        <v>1.05127912</v>
      </c>
      <c r="Y56" s="26">
        <v>4.8241180499999998E-5</v>
      </c>
      <c r="Z56" s="26">
        <v>3.0721788500000001E-3</v>
      </c>
      <c r="AA56" s="26">
        <v>3.0084557800000001E-3</v>
      </c>
      <c r="AB56" s="26">
        <v>1.25367504E-8</v>
      </c>
      <c r="AC56" s="26">
        <v>1841.6116999999999</v>
      </c>
      <c r="AD56" s="26">
        <v>0</v>
      </c>
      <c r="AE56" s="26">
        <v>0</v>
      </c>
      <c r="AF56" s="26">
        <v>0</v>
      </c>
      <c r="AG56" s="26">
        <v>0</v>
      </c>
      <c r="AH56" s="26">
        <v>0</v>
      </c>
      <c r="AI56" s="26">
        <v>0</v>
      </c>
      <c r="AJ56" s="26">
        <v>0</v>
      </c>
      <c r="AK56" s="26">
        <v>0</v>
      </c>
      <c r="AL56" s="26">
        <v>0</v>
      </c>
      <c r="AM56" s="26">
        <v>1.5842633900000001E-5</v>
      </c>
      <c r="AN56" s="26">
        <v>0</v>
      </c>
      <c r="AO56" s="26">
        <v>0</v>
      </c>
      <c r="AP56" s="26">
        <v>0</v>
      </c>
      <c r="AQ56" s="26">
        <v>0</v>
      </c>
      <c r="AR56" s="26">
        <v>0</v>
      </c>
      <c r="AS56" s="26">
        <v>0</v>
      </c>
      <c r="AT56" s="26">
        <v>0</v>
      </c>
      <c r="AU56" s="26">
        <v>0</v>
      </c>
      <c r="AV56" s="26">
        <v>0</v>
      </c>
      <c r="AW56" s="26">
        <v>0</v>
      </c>
      <c r="AX56" s="26">
        <v>0</v>
      </c>
      <c r="AY56" s="26">
        <v>0</v>
      </c>
      <c r="AZ56" s="26">
        <v>0</v>
      </c>
      <c r="BA56" s="26">
        <v>0</v>
      </c>
      <c r="BB56" s="26">
        <v>0</v>
      </c>
      <c r="BC56" s="26">
        <v>0</v>
      </c>
      <c r="BD56" s="26">
        <v>0</v>
      </c>
      <c r="BE56" s="26">
        <v>0</v>
      </c>
      <c r="BF56" s="26">
        <v>0</v>
      </c>
      <c r="BG56" s="26">
        <v>0</v>
      </c>
      <c r="BH56" s="26">
        <v>0</v>
      </c>
      <c r="BI56" s="26">
        <v>0</v>
      </c>
      <c r="BJ56" s="26">
        <v>0</v>
      </c>
      <c r="BK56" s="26">
        <v>0</v>
      </c>
      <c r="BL56" s="26">
        <v>0</v>
      </c>
      <c r="BM56" s="26">
        <v>0</v>
      </c>
      <c r="BN56" s="26">
        <v>0</v>
      </c>
      <c r="BO56" s="26">
        <v>11640.6702</v>
      </c>
      <c r="BP56" s="26">
        <v>246148.10100000002</v>
      </c>
      <c r="BQ56" s="26">
        <v>4210.99341</v>
      </c>
      <c r="BR56" s="26">
        <v>130.80811</v>
      </c>
      <c r="BS56" s="26">
        <v>16.7</v>
      </c>
      <c r="BT56" s="26">
        <v>0</v>
      </c>
      <c r="BU56" s="26">
        <v>1</v>
      </c>
      <c r="BV56" s="26">
        <v>0</v>
      </c>
      <c r="BW56" s="26">
        <v>-70462.085500000001</v>
      </c>
      <c r="BX56" s="26">
        <v>-3332.2454899999998</v>
      </c>
      <c r="BY56" s="26">
        <v>-820.22590400000001</v>
      </c>
      <c r="BZ56" s="26">
        <v>-37.620167600000002</v>
      </c>
      <c r="CA56" s="26">
        <v>-1.7791076299999999</v>
      </c>
      <c r="CB56" s="26">
        <v>4.6072541199999997E-2</v>
      </c>
      <c r="CC56" s="26">
        <v>0.97422814499999999</v>
      </c>
      <c r="CD56" s="26">
        <v>21.1455266</v>
      </c>
      <c r="CE56" s="26">
        <v>3925.4886600000004</v>
      </c>
      <c r="CF56" s="26">
        <v>0</v>
      </c>
      <c r="CG56" s="26">
        <v>0</v>
      </c>
      <c r="CH56" s="26">
        <v>0</v>
      </c>
      <c r="CI56" s="26">
        <v>0</v>
      </c>
      <c r="CJ56" s="26">
        <v>0</v>
      </c>
      <c r="CK56" s="26">
        <v>0</v>
      </c>
      <c r="CL56" s="26">
        <v>0</v>
      </c>
      <c r="CM56" s="26">
        <v>0</v>
      </c>
      <c r="CN56" s="26">
        <v>0</v>
      </c>
      <c r="CO56" s="26">
        <v>0</v>
      </c>
      <c r="CP56" s="26">
        <v>0</v>
      </c>
      <c r="CQ56" s="26">
        <v>0</v>
      </c>
      <c r="CR56" s="26">
        <v>0</v>
      </c>
      <c r="CS56" s="26">
        <v>0</v>
      </c>
      <c r="CT56" s="26">
        <v>0</v>
      </c>
      <c r="CU56" s="26">
        <v>0</v>
      </c>
      <c r="CV56" s="26">
        <v>0</v>
      </c>
      <c r="CW56" s="26">
        <v>0</v>
      </c>
      <c r="CX56" s="26">
        <v>0</v>
      </c>
      <c r="CY56" s="26">
        <v>0</v>
      </c>
      <c r="CZ56" s="26">
        <v>0</v>
      </c>
      <c r="DA56" s="26">
        <v>0</v>
      </c>
      <c r="DB56" s="26">
        <v>0</v>
      </c>
      <c r="DC56" s="26">
        <v>0</v>
      </c>
      <c r="DD56" s="26">
        <v>0</v>
      </c>
      <c r="DE56" s="26">
        <v>0</v>
      </c>
      <c r="DF56" s="26">
        <v>0</v>
      </c>
      <c r="DG56" s="26">
        <v>0</v>
      </c>
      <c r="DH56" s="26">
        <v>0</v>
      </c>
      <c r="DI56" s="26">
        <v>0</v>
      </c>
      <c r="DJ56" s="26">
        <v>0</v>
      </c>
      <c r="DK56" s="26">
        <v>0</v>
      </c>
      <c r="DL56" s="26">
        <v>0</v>
      </c>
      <c r="DM56" s="26">
        <v>0</v>
      </c>
      <c r="DN56" s="26">
        <v>0</v>
      </c>
      <c r="DO56" s="26">
        <v>0</v>
      </c>
      <c r="DP56" s="26">
        <v>0</v>
      </c>
      <c r="DQ56" s="26">
        <v>0</v>
      </c>
      <c r="DR56" s="26">
        <v>0</v>
      </c>
      <c r="DS56" s="26">
        <v>0</v>
      </c>
      <c r="DT56" s="26">
        <v>0</v>
      </c>
      <c r="DU56" s="26">
        <v>0</v>
      </c>
      <c r="DV56" s="26">
        <v>0</v>
      </c>
      <c r="DW56" s="26">
        <v>0</v>
      </c>
      <c r="DX56" s="26">
        <v>26138.367999999999</v>
      </c>
      <c r="DY56" s="26">
        <v>30.979670600000002</v>
      </c>
      <c r="DZ56" s="26">
        <v>12.9984632</v>
      </c>
      <c r="EA56" s="26">
        <v>423.09997600000003</v>
      </c>
      <c r="EB56" s="26">
        <v>51.560570599999998</v>
      </c>
      <c r="EC56" s="26">
        <v>12475.191699999999</v>
      </c>
      <c r="ED56" s="26">
        <v>0</v>
      </c>
      <c r="EE56" s="26">
        <v>2583.0279399999999</v>
      </c>
      <c r="EF56" s="26">
        <v>4107.8476600000004</v>
      </c>
      <c r="EG56" s="26">
        <v>0</v>
      </c>
      <c r="EH56" s="26">
        <v>0</v>
      </c>
      <c r="EI56" s="26">
        <v>0</v>
      </c>
      <c r="EJ56" s="26">
        <v>0</v>
      </c>
      <c r="EK56" s="26">
        <v>0</v>
      </c>
      <c r="EL56" s="26">
        <v>269.47290700000002</v>
      </c>
      <c r="EM56" s="26">
        <v>0</v>
      </c>
      <c r="EN56" s="26">
        <v>0</v>
      </c>
      <c r="EO56" s="26">
        <v>0</v>
      </c>
      <c r="EP56" s="26">
        <v>435.20543700000002</v>
      </c>
      <c r="EQ56" s="26">
        <v>46092.546900000001</v>
      </c>
      <c r="ER56" s="26">
        <v>326.770308</v>
      </c>
      <c r="ES56" s="26">
        <v>130.80811</v>
      </c>
      <c r="ET56" s="26">
        <v>16.7</v>
      </c>
      <c r="EU56" s="26">
        <v>0</v>
      </c>
      <c r="EV56" s="26">
        <v>0</v>
      </c>
      <c r="EW56" s="26">
        <v>1</v>
      </c>
      <c r="EX56" s="26">
        <v>-137330.929</v>
      </c>
      <c r="EY56" s="26">
        <v>-1296.6774700000001</v>
      </c>
      <c r="EZ56" s="26">
        <v>-59.767167499999992</v>
      </c>
      <c r="FA56" s="26">
        <v>-377.41593699999999</v>
      </c>
      <c r="FB56" s="26">
        <v>-3.56355808</v>
      </c>
      <c r="FC56" s="26">
        <v>2.2197316200000001E-2</v>
      </c>
      <c r="FD56" s="26">
        <v>2.35091465</v>
      </c>
      <c r="FE56" s="26">
        <v>105.90985999999999</v>
      </c>
      <c r="FF56" s="26">
        <v>0</v>
      </c>
      <c r="FG56" s="26">
        <v>0.346181723</v>
      </c>
      <c r="FH56" s="26">
        <v>-1051444024.701</v>
      </c>
      <c r="FI56" s="26">
        <v>0.37495753911077145</v>
      </c>
      <c r="FJ56" s="26">
        <v>0</v>
      </c>
      <c r="FK56" s="26">
        <v>0</v>
      </c>
      <c r="FL56" s="26">
        <v>0</v>
      </c>
      <c r="FM56" s="26">
        <v>0</v>
      </c>
      <c r="FN56" s="26">
        <v>0</v>
      </c>
      <c r="FO56" s="26">
        <v>0</v>
      </c>
      <c r="FP56" s="26">
        <v>0</v>
      </c>
      <c r="FQ56" s="26">
        <v>0</v>
      </c>
      <c r="FR56" s="26">
        <v>0</v>
      </c>
      <c r="FS56" s="26">
        <v>0</v>
      </c>
      <c r="FT56" s="26">
        <v>0</v>
      </c>
      <c r="FU56" s="26">
        <v>0</v>
      </c>
      <c r="FV56" s="26">
        <v>0</v>
      </c>
      <c r="FW56" s="26">
        <v>0</v>
      </c>
      <c r="FX56" s="26">
        <v>0</v>
      </c>
      <c r="FY56" s="26">
        <v>0</v>
      </c>
      <c r="FZ56" s="26">
        <v>0</v>
      </c>
      <c r="GA56" s="26">
        <v>0</v>
      </c>
      <c r="GB56" s="26">
        <v>0</v>
      </c>
      <c r="GC56" s="26">
        <v>0</v>
      </c>
      <c r="GD56" s="26">
        <v>0</v>
      </c>
      <c r="GE56" s="26">
        <v>0</v>
      </c>
      <c r="GF56" s="26">
        <v>0</v>
      </c>
      <c r="GG56" s="26">
        <v>0</v>
      </c>
      <c r="GH56" s="26">
        <v>0</v>
      </c>
      <c r="GI56" s="26">
        <v>0</v>
      </c>
      <c r="GJ56" s="26">
        <v>0</v>
      </c>
      <c r="GK56" s="26">
        <v>0</v>
      </c>
      <c r="GL56" s="26">
        <v>0</v>
      </c>
      <c r="GM56" s="26">
        <v>0</v>
      </c>
      <c r="GN56" s="26">
        <v>0</v>
      </c>
      <c r="GO56" s="26">
        <v>0</v>
      </c>
      <c r="GP56" s="26">
        <v>0</v>
      </c>
      <c r="GQ56" s="26">
        <v>0</v>
      </c>
      <c r="GR56" s="26">
        <v>0</v>
      </c>
      <c r="GS56" s="26">
        <v>0</v>
      </c>
      <c r="GT56" s="26">
        <v>0</v>
      </c>
      <c r="GU56" s="26">
        <v>0</v>
      </c>
      <c r="GV56" s="26">
        <v>0</v>
      </c>
      <c r="GW56" s="26">
        <v>0</v>
      </c>
      <c r="GX56" s="26">
        <v>0</v>
      </c>
      <c r="GY56" s="26">
        <v>0</v>
      </c>
      <c r="GZ56" s="26">
        <v>0</v>
      </c>
      <c r="HA56" s="26">
        <v>0</v>
      </c>
      <c r="HB56" s="26">
        <v>0</v>
      </c>
      <c r="HC56" s="26">
        <v>0</v>
      </c>
      <c r="HD56" s="26">
        <v>0</v>
      </c>
      <c r="HE56" s="26">
        <v>0</v>
      </c>
      <c r="HF56" s="26">
        <v>0</v>
      </c>
      <c r="HG56" s="26">
        <v>0</v>
      </c>
      <c r="HH56" s="26">
        <v>0</v>
      </c>
      <c r="HI56" s="26">
        <v>0</v>
      </c>
      <c r="HJ56" s="26">
        <v>0</v>
      </c>
      <c r="HK56" s="26">
        <v>0</v>
      </c>
      <c r="HL56" s="26">
        <v>0</v>
      </c>
      <c r="HM56" s="26">
        <v>0</v>
      </c>
      <c r="HN56" s="26">
        <v>0</v>
      </c>
      <c r="HO56" s="26">
        <v>0</v>
      </c>
      <c r="HP56" s="26">
        <v>0</v>
      </c>
      <c r="HQ56" s="26">
        <v>0</v>
      </c>
      <c r="HR56" s="26">
        <v>0</v>
      </c>
      <c r="HS56" s="26">
        <v>0</v>
      </c>
      <c r="HT56" s="26">
        <v>0.49023342058853403</v>
      </c>
    </row>
    <row r="57" spans="2:228" x14ac:dyDescent="0.2">
      <c r="B57" s="27" t="s">
        <v>1337</v>
      </c>
      <c r="C57" s="26">
        <v>13876.749</v>
      </c>
      <c r="D57" s="26">
        <v>-43.680701800000001</v>
      </c>
      <c r="E57" s="26">
        <v>13725.786099999999</v>
      </c>
      <c r="F57" s="26">
        <v>4.2912629300000003</v>
      </c>
      <c r="G57" s="26">
        <v>5.1192346900000003E-6</v>
      </c>
      <c r="H57" s="26">
        <v>1.71810118E-6</v>
      </c>
      <c r="I57" s="26">
        <v>7.2088161499999996E-7</v>
      </c>
      <c r="J57" s="26">
        <v>7.8143008900000003E-4</v>
      </c>
      <c r="K57" s="26">
        <v>9.5228040299999994E-5</v>
      </c>
      <c r="L57" s="26">
        <v>2.85821841E-11</v>
      </c>
      <c r="M57" s="26">
        <v>0</v>
      </c>
      <c r="N57" s="26">
        <v>1.2406961199999999E-7</v>
      </c>
      <c r="O57" s="26">
        <v>4.0495185000000002E-8</v>
      </c>
      <c r="P57" s="26">
        <v>1.69909867E-8</v>
      </c>
      <c r="Q57" s="26">
        <v>1.8337630099999999E-5</v>
      </c>
      <c r="R57" s="26">
        <v>2.2346932699999999E-6</v>
      </c>
      <c r="S57" s="26">
        <v>1.7603660100000001E-5</v>
      </c>
      <c r="T57" s="26">
        <v>2.1408137300000001E-2</v>
      </c>
      <c r="U57" s="26">
        <v>0.32744488399999999</v>
      </c>
      <c r="V57" s="26">
        <v>123.52410400000001</v>
      </c>
      <c r="W57" s="26">
        <v>22.78435</v>
      </c>
      <c r="X57" s="26">
        <v>3.3368077299999999E-4</v>
      </c>
      <c r="Y57" s="26">
        <v>7.6370381300000003E-13</v>
      </c>
      <c r="Z57" s="26">
        <v>2.6143419199999999E-8</v>
      </c>
      <c r="AA57" s="26">
        <v>8.70019415E-9</v>
      </c>
      <c r="AB57" s="26">
        <v>5.3050979400000001E-9</v>
      </c>
      <c r="AC57" s="26">
        <v>1.3107796200000001E-2</v>
      </c>
      <c r="AD57" s="26">
        <v>0</v>
      </c>
      <c r="AE57" s="26">
        <v>0</v>
      </c>
      <c r="AF57" s="26">
        <v>0</v>
      </c>
      <c r="AG57" s="26">
        <v>0</v>
      </c>
      <c r="AH57" s="26">
        <v>0</v>
      </c>
      <c r="AI57" s="26">
        <v>0</v>
      </c>
      <c r="AJ57" s="26">
        <v>0</v>
      </c>
      <c r="AK57" s="26">
        <v>0</v>
      </c>
      <c r="AL57" s="26">
        <v>0</v>
      </c>
      <c r="AM57" s="26">
        <v>7.0289187099999996E-12</v>
      </c>
      <c r="AN57" s="26">
        <v>0</v>
      </c>
      <c r="AO57" s="26">
        <v>0</v>
      </c>
      <c r="AP57" s="26">
        <v>0</v>
      </c>
      <c r="AQ57" s="26">
        <v>0</v>
      </c>
      <c r="AR57" s="26">
        <v>0</v>
      </c>
      <c r="AS57" s="26">
        <v>0</v>
      </c>
      <c r="AT57" s="26">
        <v>0</v>
      </c>
      <c r="AU57" s="26">
        <v>0</v>
      </c>
      <c r="AV57" s="26">
        <v>0</v>
      </c>
      <c r="AW57" s="26">
        <v>0</v>
      </c>
      <c r="AX57" s="26">
        <v>0</v>
      </c>
      <c r="AY57" s="26">
        <v>0</v>
      </c>
      <c r="AZ57" s="26">
        <v>0</v>
      </c>
      <c r="BA57" s="26">
        <v>0</v>
      </c>
      <c r="BB57" s="26">
        <v>0</v>
      </c>
      <c r="BC57" s="26">
        <v>0</v>
      </c>
      <c r="BD57" s="26">
        <v>0</v>
      </c>
      <c r="BE57" s="26">
        <v>0</v>
      </c>
      <c r="BF57" s="26">
        <v>0</v>
      </c>
      <c r="BG57" s="26">
        <v>0</v>
      </c>
      <c r="BH57" s="26">
        <v>0</v>
      </c>
      <c r="BI57" s="26">
        <v>0</v>
      </c>
      <c r="BJ57" s="26">
        <v>0</v>
      </c>
      <c r="BK57" s="26">
        <v>0</v>
      </c>
      <c r="BL57" s="26">
        <v>0</v>
      </c>
      <c r="BM57" s="26">
        <v>0</v>
      </c>
      <c r="BN57" s="26">
        <v>0</v>
      </c>
      <c r="BO57" s="26">
        <v>763.65790600000003</v>
      </c>
      <c r="BP57" s="26">
        <v>13876.749</v>
      </c>
      <c r="BQ57" s="26">
        <v>384553.51299999998</v>
      </c>
      <c r="BR57" s="26">
        <v>100.69906600000002</v>
      </c>
      <c r="BS57" s="26">
        <v>1</v>
      </c>
      <c r="BT57" s="26">
        <v>1</v>
      </c>
      <c r="BU57" s="26">
        <v>0</v>
      </c>
      <c r="BV57" s="26">
        <v>0</v>
      </c>
      <c r="BW57" s="26">
        <v>-57199.304900000003</v>
      </c>
      <c r="BX57" s="26">
        <v>-3147.7618699999998</v>
      </c>
      <c r="BY57" s="26">
        <v>-43.680701800000001</v>
      </c>
      <c r="BZ57" s="26">
        <v>-8.9538918400000007</v>
      </c>
      <c r="CA57" s="26">
        <v>-0.49274583499999997</v>
      </c>
      <c r="CB57" s="26">
        <v>3.3097166399999999E-5</v>
      </c>
      <c r="CC57" s="26">
        <v>6.0142253300000004E-4</v>
      </c>
      <c r="CD57" s="26">
        <v>18.171420600000001</v>
      </c>
      <c r="CE57" s="26">
        <v>231.44477599999999</v>
      </c>
      <c r="CF57" s="26">
        <v>0</v>
      </c>
      <c r="CG57" s="26">
        <v>0</v>
      </c>
      <c r="CH57" s="26">
        <v>0</v>
      </c>
      <c r="CI57" s="26">
        <v>0</v>
      </c>
      <c r="CJ57" s="26">
        <v>0</v>
      </c>
      <c r="CK57" s="26">
        <v>0</v>
      </c>
      <c r="CL57" s="26">
        <v>0</v>
      </c>
      <c r="CM57" s="26">
        <v>0</v>
      </c>
      <c r="CN57" s="26">
        <v>0</v>
      </c>
      <c r="CO57" s="26">
        <v>0</v>
      </c>
      <c r="CP57" s="26">
        <v>0</v>
      </c>
      <c r="CQ57" s="26">
        <v>0</v>
      </c>
      <c r="CR57" s="26">
        <v>0</v>
      </c>
      <c r="CS57" s="26">
        <v>0</v>
      </c>
      <c r="CT57" s="26">
        <v>0</v>
      </c>
      <c r="CU57" s="26">
        <v>0</v>
      </c>
      <c r="CV57" s="26">
        <v>0</v>
      </c>
      <c r="CW57" s="26">
        <v>0</v>
      </c>
      <c r="CX57" s="26">
        <v>0</v>
      </c>
      <c r="CY57" s="26">
        <v>0</v>
      </c>
      <c r="CZ57" s="26">
        <v>0</v>
      </c>
      <c r="DA57" s="26">
        <v>0</v>
      </c>
      <c r="DB57" s="26">
        <v>0</v>
      </c>
      <c r="DC57" s="26">
        <v>0</v>
      </c>
      <c r="DD57" s="26">
        <v>0</v>
      </c>
      <c r="DE57" s="26">
        <v>0</v>
      </c>
      <c r="DF57" s="26">
        <v>0</v>
      </c>
      <c r="DG57" s="26">
        <v>0</v>
      </c>
      <c r="DH57" s="26">
        <v>0</v>
      </c>
      <c r="DI57" s="26">
        <v>0</v>
      </c>
      <c r="DJ57" s="26">
        <v>0</v>
      </c>
      <c r="DK57" s="26">
        <v>0</v>
      </c>
      <c r="DL57" s="26">
        <v>0</v>
      </c>
      <c r="DM57" s="26">
        <v>0</v>
      </c>
      <c r="DN57" s="26">
        <v>0</v>
      </c>
      <c r="DO57" s="26">
        <v>0</v>
      </c>
      <c r="DP57" s="26">
        <v>0</v>
      </c>
      <c r="DQ57" s="26">
        <v>0</v>
      </c>
      <c r="DR57" s="26">
        <v>0</v>
      </c>
      <c r="DS57" s="26">
        <v>0</v>
      </c>
      <c r="DT57" s="26">
        <v>0</v>
      </c>
      <c r="DU57" s="26">
        <v>0</v>
      </c>
      <c r="DV57" s="26">
        <v>0</v>
      </c>
      <c r="DW57" s="26">
        <v>0</v>
      </c>
      <c r="DX57" s="26">
        <v>0</v>
      </c>
      <c r="DY57" s="26">
        <v>0</v>
      </c>
      <c r="DZ57" s="26">
        <v>0</v>
      </c>
      <c r="EA57" s="26">
        <v>0</v>
      </c>
      <c r="EB57" s="26">
        <v>0</v>
      </c>
      <c r="EC57" s="26">
        <v>0</v>
      </c>
      <c r="ED57" s="26">
        <v>0</v>
      </c>
      <c r="EE57" s="26">
        <v>0</v>
      </c>
      <c r="EF57" s="26">
        <v>0</v>
      </c>
      <c r="EG57" s="26">
        <v>0</v>
      </c>
      <c r="EH57" s="26">
        <v>0</v>
      </c>
      <c r="EI57" s="26">
        <v>0</v>
      </c>
      <c r="EJ57" s="26">
        <v>0</v>
      </c>
      <c r="EK57" s="26">
        <v>0</v>
      </c>
      <c r="EL57" s="26">
        <v>0</v>
      </c>
      <c r="EM57" s="26">
        <v>0</v>
      </c>
      <c r="EN57" s="26">
        <v>0</v>
      </c>
      <c r="EO57" s="26">
        <v>0</v>
      </c>
      <c r="EP57" s="26">
        <v>0</v>
      </c>
      <c r="EQ57" s="26">
        <v>0</v>
      </c>
      <c r="ER57" s="26">
        <v>0</v>
      </c>
      <c r="ES57" s="26">
        <v>0</v>
      </c>
      <c r="ET57" s="26">
        <v>1</v>
      </c>
      <c r="EU57" s="26">
        <v>0</v>
      </c>
      <c r="EV57" s="26">
        <v>0</v>
      </c>
      <c r="EW57" s="26">
        <v>0</v>
      </c>
      <c r="EX57" s="26">
        <v>0</v>
      </c>
      <c r="EY57" s="26">
        <v>0</v>
      </c>
      <c r="EZ57" s="26">
        <v>0</v>
      </c>
      <c r="FA57" s="26">
        <v>0</v>
      </c>
      <c r="FB57" s="26">
        <v>0</v>
      </c>
      <c r="FC57" s="26">
        <v>0</v>
      </c>
      <c r="FD57" s="26">
        <v>0</v>
      </c>
      <c r="FE57" s="26">
        <v>0</v>
      </c>
      <c r="FF57" s="26">
        <v>0</v>
      </c>
      <c r="FG57" s="26">
        <v>1.7255671399999999E-2</v>
      </c>
      <c r="FH57" s="26">
        <v>-51593301.983499996</v>
      </c>
      <c r="FI57" s="26">
        <v>2.0526876636437234E-3</v>
      </c>
      <c r="FJ57" s="26">
        <v>0.21163803113754867</v>
      </c>
      <c r="FK57" s="26">
        <v>2.5874589290330048E-5</v>
      </c>
      <c r="FL57" s="26">
        <v>7.8931392020340024E-12</v>
      </c>
      <c r="FM57" s="26">
        <v>2.6490701517481168E-12</v>
      </c>
      <c r="FN57" s="26">
        <v>1.1114979644475393E-12</v>
      </c>
      <c r="FO57" s="26">
        <v>1.4458262254554988E-9</v>
      </c>
      <c r="FP57" s="26">
        <v>1.7619387835399548E-10</v>
      </c>
      <c r="FQ57" s="26">
        <v>2.319454799111194E-17</v>
      </c>
      <c r="FR57" s="26">
        <v>0</v>
      </c>
      <c r="FS57" s="26">
        <v>2.1255255531153154E-13</v>
      </c>
      <c r="FT57" s="26">
        <v>6.9375207221668326E-14</v>
      </c>
      <c r="FU57" s="26">
        <v>2.9108478566201164E-14</v>
      </c>
      <c r="FV57" s="26">
        <v>3.8555372252887425E-11</v>
      </c>
      <c r="FW57" s="26">
        <v>4.6985041209213669E-12</v>
      </c>
      <c r="FX57" s="26">
        <v>2.7142365717138925E-11</v>
      </c>
      <c r="FY57" s="26">
        <v>3.9084560034898705E-8</v>
      </c>
      <c r="FZ57" s="26">
        <v>7.2125059743667145E-7</v>
      </c>
      <c r="GA57" s="26">
        <v>3.5710101952347482E-4</v>
      </c>
      <c r="GB57" s="26">
        <v>1.0539078028757069E-4</v>
      </c>
      <c r="GC57" s="26">
        <v>1.0289775526762649E-9</v>
      </c>
      <c r="GD57" s="26">
        <v>1.3943065555988968E-18</v>
      </c>
      <c r="GE57" s="26">
        <v>7.8854259519722967E-14</v>
      </c>
      <c r="GF57" s="26">
        <v>2.0465205941499424E-14</v>
      </c>
      <c r="GG57" s="26">
        <v>8.6529058747788014E-14</v>
      </c>
      <c r="GH57" s="26">
        <v>3.7123509741432524E-8</v>
      </c>
      <c r="GI57" s="26">
        <v>0</v>
      </c>
      <c r="GJ57" s="26">
        <v>0</v>
      </c>
      <c r="GK57" s="26">
        <v>0</v>
      </c>
      <c r="GL57" s="26">
        <v>0</v>
      </c>
      <c r="GM57" s="26">
        <v>0</v>
      </c>
      <c r="GN57" s="26">
        <v>0</v>
      </c>
      <c r="GO57" s="26">
        <v>0</v>
      </c>
      <c r="GP57" s="26">
        <v>0</v>
      </c>
      <c r="GQ57" s="26">
        <v>0</v>
      </c>
      <c r="GR57" s="26">
        <v>6.9122378608534582E-18</v>
      </c>
      <c r="GS57" s="26">
        <v>0</v>
      </c>
      <c r="GT57" s="26">
        <v>0</v>
      </c>
      <c r="GU57" s="26">
        <v>0</v>
      </c>
      <c r="GV57" s="26">
        <v>0</v>
      </c>
      <c r="GW57" s="26">
        <v>0</v>
      </c>
      <c r="GX57" s="26">
        <v>0</v>
      </c>
      <c r="GY57" s="26">
        <v>0</v>
      </c>
      <c r="GZ57" s="26">
        <v>0</v>
      </c>
      <c r="HA57" s="26">
        <v>0</v>
      </c>
      <c r="HB57" s="26">
        <v>0</v>
      </c>
      <c r="HC57" s="26">
        <v>0</v>
      </c>
      <c r="HD57" s="26">
        <v>0</v>
      </c>
      <c r="HE57" s="26">
        <v>0</v>
      </c>
      <c r="HF57" s="26">
        <v>0</v>
      </c>
      <c r="HG57" s="26">
        <v>0</v>
      </c>
      <c r="HH57" s="26">
        <v>0</v>
      </c>
      <c r="HI57" s="26">
        <v>0</v>
      </c>
      <c r="HJ57" s="26">
        <v>0</v>
      </c>
      <c r="HK57" s="26">
        <v>0</v>
      </c>
      <c r="HL57" s="26">
        <v>0</v>
      </c>
      <c r="HM57" s="26">
        <v>0</v>
      </c>
      <c r="HN57" s="26">
        <v>0</v>
      </c>
      <c r="HO57" s="26">
        <v>0</v>
      </c>
      <c r="HP57" s="26">
        <v>0</v>
      </c>
      <c r="HQ57" s="26">
        <v>0</v>
      </c>
      <c r="HR57" s="26">
        <v>0</v>
      </c>
      <c r="HS57" s="26">
        <v>0</v>
      </c>
      <c r="HT57" s="26">
        <v>0</v>
      </c>
    </row>
    <row r="58" spans="2:228" x14ac:dyDescent="0.2">
      <c r="B58" s="27" t="s">
        <v>2387</v>
      </c>
      <c r="C58" s="26">
        <v>29751.628799999999</v>
      </c>
      <c r="D58" s="26">
        <v>-102.07914100000001</v>
      </c>
      <c r="E58" s="26">
        <v>29370.83</v>
      </c>
      <c r="F58" s="26">
        <v>12.3652576</v>
      </c>
      <c r="G58" s="26">
        <v>5.1192419099999998E-6</v>
      </c>
      <c r="H58" s="26">
        <v>1.7181036100000001E-6</v>
      </c>
      <c r="I58" s="26">
        <v>7.2088263200000005E-7</v>
      </c>
      <c r="J58" s="26">
        <v>7.8144744900000005E-4</v>
      </c>
      <c r="K58" s="26">
        <v>9.5230155900000003E-5</v>
      </c>
      <c r="L58" s="26">
        <v>2.85821841E-11</v>
      </c>
      <c r="M58" s="26">
        <v>0</v>
      </c>
      <c r="N58" s="26">
        <v>1.2406978500000001E-7</v>
      </c>
      <c r="O58" s="26">
        <v>4.0495241500000002E-8</v>
      </c>
      <c r="P58" s="26">
        <v>1.69910104E-8</v>
      </c>
      <c r="Q58" s="26">
        <v>1.8338037499999999E-5</v>
      </c>
      <c r="R58" s="26">
        <v>2.2347429199999998E-6</v>
      </c>
      <c r="S58" s="26">
        <v>1.7603685000000001E-5</v>
      </c>
      <c r="T58" s="26">
        <v>2.1529500900000002E-2</v>
      </c>
      <c r="U58" s="26">
        <v>0.37397702799999999</v>
      </c>
      <c r="V58" s="26">
        <v>320.704701</v>
      </c>
      <c r="W58" s="26">
        <v>47.318997500000002</v>
      </c>
      <c r="X58" s="26">
        <v>3.5089192700000002E-4</v>
      </c>
      <c r="Y58" s="26">
        <v>7.6370381300000003E-13</v>
      </c>
      <c r="Z58" s="26">
        <v>2.6181730900000001E-8</v>
      </c>
      <c r="AA58" s="26">
        <v>8.7057780300000002E-9</v>
      </c>
      <c r="AB58" s="26">
        <v>1.2581626E-8</v>
      </c>
      <c r="AC58" s="26">
        <v>1.31286713E-2</v>
      </c>
      <c r="AD58" s="26">
        <v>0</v>
      </c>
      <c r="AE58" s="26">
        <v>0</v>
      </c>
      <c r="AF58" s="26">
        <v>0</v>
      </c>
      <c r="AG58" s="26">
        <v>0</v>
      </c>
      <c r="AH58" s="26">
        <v>0</v>
      </c>
      <c r="AI58" s="26">
        <v>0</v>
      </c>
      <c r="AJ58" s="26">
        <v>0</v>
      </c>
      <c r="AK58" s="26">
        <v>0</v>
      </c>
      <c r="AL58" s="26">
        <v>0</v>
      </c>
      <c r="AM58" s="26">
        <v>7.0289187099999996E-12</v>
      </c>
      <c r="AN58" s="26">
        <v>0</v>
      </c>
      <c r="AO58" s="26">
        <v>0</v>
      </c>
      <c r="AP58" s="26">
        <v>0</v>
      </c>
      <c r="AQ58" s="26">
        <v>0</v>
      </c>
      <c r="AR58" s="26">
        <v>0</v>
      </c>
      <c r="AS58" s="26">
        <v>0</v>
      </c>
      <c r="AT58" s="26">
        <v>0</v>
      </c>
      <c r="AU58" s="26">
        <v>0</v>
      </c>
      <c r="AV58" s="26">
        <v>0</v>
      </c>
      <c r="AW58" s="26">
        <v>0</v>
      </c>
      <c r="AX58" s="26">
        <v>0</v>
      </c>
      <c r="AY58" s="26">
        <v>0</v>
      </c>
      <c r="AZ58" s="26">
        <v>0</v>
      </c>
      <c r="BA58" s="26">
        <v>0</v>
      </c>
      <c r="BB58" s="26">
        <v>0</v>
      </c>
      <c r="BC58" s="26">
        <v>0</v>
      </c>
      <c r="BD58" s="26">
        <v>0</v>
      </c>
      <c r="BE58" s="26">
        <v>0</v>
      </c>
      <c r="BF58" s="26">
        <v>0</v>
      </c>
      <c r="BG58" s="26">
        <v>0</v>
      </c>
      <c r="BH58" s="26">
        <v>0</v>
      </c>
      <c r="BI58" s="26">
        <v>0</v>
      </c>
      <c r="BJ58" s="26">
        <v>0</v>
      </c>
      <c r="BK58" s="26">
        <v>0</v>
      </c>
      <c r="BL58" s="26">
        <v>0</v>
      </c>
      <c r="BM58" s="26">
        <v>0</v>
      </c>
      <c r="BN58" s="26">
        <v>0</v>
      </c>
      <c r="BO58" s="26">
        <v>1634.72612</v>
      </c>
      <c r="BP58" s="26">
        <v>29751.628799999999</v>
      </c>
      <c r="BQ58" s="26">
        <v>379695.68</v>
      </c>
      <c r="BR58" s="26">
        <v>99.943029499999966</v>
      </c>
      <c r="BS58" s="26">
        <v>1</v>
      </c>
      <c r="BT58" s="26">
        <v>0.46192663</v>
      </c>
      <c r="BU58" s="26">
        <v>0.53807337</v>
      </c>
      <c r="BV58" s="26">
        <v>0</v>
      </c>
      <c r="BW58" s="26">
        <v>-62444.1849</v>
      </c>
      <c r="BX58" s="26">
        <v>-3431.04376</v>
      </c>
      <c r="BY58" s="26">
        <v>-102.07914100000001</v>
      </c>
      <c r="BZ58" s="26">
        <v>-23.0389938</v>
      </c>
      <c r="CA58" s="26">
        <v>-1.2658952299999999</v>
      </c>
      <c r="CB58" s="26">
        <v>7.17559785E-5</v>
      </c>
      <c r="CC58" s="26">
        <v>1.30594184E-3</v>
      </c>
      <c r="CD58" s="26">
        <v>18.1997635</v>
      </c>
      <c r="CE58" s="26">
        <v>496.10719899999998</v>
      </c>
      <c r="CF58" s="26">
        <v>0</v>
      </c>
      <c r="CG58" s="26">
        <v>0</v>
      </c>
      <c r="CH58" s="26">
        <v>0</v>
      </c>
      <c r="CI58" s="26">
        <v>0</v>
      </c>
      <c r="CJ58" s="26">
        <v>0</v>
      </c>
      <c r="CK58" s="26">
        <v>0</v>
      </c>
      <c r="CL58" s="26">
        <v>0</v>
      </c>
      <c r="CM58" s="26">
        <v>0</v>
      </c>
      <c r="CN58" s="26">
        <v>0</v>
      </c>
      <c r="CO58" s="26">
        <v>0</v>
      </c>
      <c r="CP58" s="26">
        <v>0</v>
      </c>
      <c r="CQ58" s="26">
        <v>0</v>
      </c>
      <c r="CR58" s="26">
        <v>0</v>
      </c>
      <c r="CS58" s="26">
        <v>0</v>
      </c>
      <c r="CT58" s="26">
        <v>0</v>
      </c>
      <c r="CU58" s="26">
        <v>0</v>
      </c>
      <c r="CV58" s="26">
        <v>0</v>
      </c>
      <c r="CW58" s="26">
        <v>0</v>
      </c>
      <c r="CX58" s="26">
        <v>0</v>
      </c>
      <c r="CY58" s="26">
        <v>0</v>
      </c>
      <c r="CZ58" s="26">
        <v>0</v>
      </c>
      <c r="DA58" s="26">
        <v>0</v>
      </c>
      <c r="DB58" s="26">
        <v>0</v>
      </c>
      <c r="DC58" s="26">
        <v>0</v>
      </c>
      <c r="DD58" s="26">
        <v>0</v>
      </c>
      <c r="DE58" s="26">
        <v>0</v>
      </c>
      <c r="DF58" s="26">
        <v>0</v>
      </c>
      <c r="DG58" s="26">
        <v>0</v>
      </c>
      <c r="DH58" s="26">
        <v>0</v>
      </c>
      <c r="DI58" s="26">
        <v>0</v>
      </c>
      <c r="DJ58" s="26">
        <v>0</v>
      </c>
      <c r="DK58" s="26">
        <v>0</v>
      </c>
      <c r="DL58" s="26">
        <v>0</v>
      </c>
      <c r="DM58" s="26">
        <v>0</v>
      </c>
      <c r="DN58" s="26">
        <v>0</v>
      </c>
      <c r="DO58" s="26">
        <v>0</v>
      </c>
      <c r="DP58" s="26">
        <v>0</v>
      </c>
      <c r="DQ58" s="26">
        <v>0</v>
      </c>
      <c r="DR58" s="26">
        <v>0</v>
      </c>
      <c r="DS58" s="26">
        <v>0</v>
      </c>
      <c r="DT58" s="26">
        <v>0</v>
      </c>
      <c r="DU58" s="26">
        <v>0</v>
      </c>
      <c r="DV58" s="26">
        <v>0</v>
      </c>
      <c r="DW58" s="26">
        <v>0</v>
      </c>
      <c r="DX58" s="26">
        <v>0</v>
      </c>
      <c r="DY58" s="26">
        <v>0</v>
      </c>
      <c r="DZ58" s="26">
        <v>0</v>
      </c>
      <c r="EA58" s="26">
        <v>0</v>
      </c>
      <c r="EB58" s="26">
        <v>0</v>
      </c>
      <c r="EC58" s="26">
        <v>0</v>
      </c>
      <c r="ED58" s="26">
        <v>0</v>
      </c>
      <c r="EE58" s="26">
        <v>0</v>
      </c>
      <c r="EF58" s="26">
        <v>0</v>
      </c>
      <c r="EG58" s="26">
        <v>0</v>
      </c>
      <c r="EH58" s="26">
        <v>0</v>
      </c>
      <c r="EI58" s="26">
        <v>0</v>
      </c>
      <c r="EJ58" s="26">
        <v>0</v>
      </c>
      <c r="EK58" s="26">
        <v>0</v>
      </c>
      <c r="EL58" s="26">
        <v>0</v>
      </c>
      <c r="EM58" s="26">
        <v>0</v>
      </c>
      <c r="EN58" s="26">
        <v>0</v>
      </c>
      <c r="EO58" s="26">
        <v>0</v>
      </c>
      <c r="EP58" s="26">
        <v>0</v>
      </c>
      <c r="EQ58" s="26">
        <v>0</v>
      </c>
      <c r="ER58" s="26">
        <v>0</v>
      </c>
      <c r="ES58" s="26">
        <v>0</v>
      </c>
      <c r="ET58" s="26">
        <v>1</v>
      </c>
      <c r="EU58" s="26">
        <v>0</v>
      </c>
      <c r="EV58" s="26">
        <v>0</v>
      </c>
      <c r="EW58" s="26">
        <v>0</v>
      </c>
      <c r="EX58" s="26">
        <v>0</v>
      </c>
      <c r="EY58" s="26">
        <v>0</v>
      </c>
      <c r="EZ58" s="26">
        <v>0</v>
      </c>
      <c r="FA58" s="26">
        <v>0</v>
      </c>
      <c r="FB58" s="26">
        <v>0</v>
      </c>
      <c r="FC58" s="26">
        <v>0</v>
      </c>
      <c r="FD58" s="26">
        <v>0</v>
      </c>
      <c r="FE58" s="26">
        <v>0</v>
      </c>
      <c r="FF58" s="26">
        <v>0</v>
      </c>
      <c r="FG58" s="26">
        <v>2.05312323E-2</v>
      </c>
      <c r="FH58" s="26">
        <v>-120797861.795</v>
      </c>
      <c r="FI58" s="26">
        <v>5.2278326251559946E-3</v>
      </c>
      <c r="FJ58" s="26">
        <v>0.20885834111531118</v>
      </c>
      <c r="FK58" s="26">
        <v>6.7365305538922453E-5</v>
      </c>
      <c r="FL58" s="26">
        <v>1.2585084989569569E-19</v>
      </c>
      <c r="FM58" s="26">
        <v>4.2237660060123508E-20</v>
      </c>
      <c r="FN58" s="26">
        <v>1.7722095086221206E-20</v>
      </c>
      <c r="FO58" s="26">
        <v>7.6514724778784472E-16</v>
      </c>
      <c r="FP58" s="26">
        <v>9.3243751301505569E-17</v>
      </c>
      <c r="FQ58" s="26">
        <v>0</v>
      </c>
      <c r="FR58" s="26">
        <v>0</v>
      </c>
      <c r="FS58" s="26">
        <v>3.3273873321746544E-21</v>
      </c>
      <c r="FT58" s="26">
        <v>1.086028747577119E-21</v>
      </c>
      <c r="FU58" s="26">
        <v>4.5567639808985562E-22</v>
      </c>
      <c r="FV58" s="26">
        <v>2.0403929829898105E-17</v>
      </c>
      <c r="FW58" s="26">
        <v>2.486500408780892E-18</v>
      </c>
      <c r="FX58" s="26">
        <v>4.3276695068435781E-19</v>
      </c>
      <c r="FY58" s="26">
        <v>1.4873615174544479E-11</v>
      </c>
      <c r="FZ58" s="26">
        <v>1.1874292567216562E-8</v>
      </c>
      <c r="GA58" s="26">
        <v>7.9654919803906032E-4</v>
      </c>
      <c r="GB58" s="26">
        <v>3.4270221940828443E-5</v>
      </c>
      <c r="GC58" s="26">
        <v>3.9767390318139117E-12</v>
      </c>
      <c r="GD58" s="26">
        <v>0</v>
      </c>
      <c r="GE58" s="26">
        <v>7.6581428945984763E-18</v>
      </c>
      <c r="GF58" s="26">
        <v>6.8329704991082087E-19</v>
      </c>
      <c r="GG58" s="26">
        <v>1.8413467036196626E-13</v>
      </c>
      <c r="GH58" s="26">
        <v>3.053385913315976E-12</v>
      </c>
      <c r="GI58" s="26">
        <v>0</v>
      </c>
      <c r="GJ58" s="26">
        <v>0</v>
      </c>
      <c r="GK58" s="26">
        <v>0</v>
      </c>
      <c r="GL58" s="26">
        <v>0</v>
      </c>
      <c r="GM58" s="26">
        <v>0</v>
      </c>
      <c r="GN58" s="26">
        <v>0</v>
      </c>
      <c r="GO58" s="26">
        <v>0</v>
      </c>
      <c r="GP58" s="26">
        <v>0</v>
      </c>
      <c r="GQ58" s="26">
        <v>0</v>
      </c>
      <c r="GR58" s="26">
        <v>0</v>
      </c>
      <c r="GS58" s="26">
        <v>0</v>
      </c>
      <c r="GT58" s="26">
        <v>0</v>
      </c>
      <c r="GU58" s="26">
        <v>0</v>
      </c>
      <c r="GV58" s="26">
        <v>0</v>
      </c>
      <c r="GW58" s="26">
        <v>0</v>
      </c>
      <c r="GX58" s="26">
        <v>0</v>
      </c>
      <c r="GY58" s="26">
        <v>0</v>
      </c>
      <c r="GZ58" s="26">
        <v>0</v>
      </c>
      <c r="HA58" s="26">
        <v>0</v>
      </c>
      <c r="HB58" s="26">
        <v>0</v>
      </c>
      <c r="HC58" s="26">
        <v>0</v>
      </c>
      <c r="HD58" s="26">
        <v>0</v>
      </c>
      <c r="HE58" s="26">
        <v>0</v>
      </c>
      <c r="HF58" s="26">
        <v>0</v>
      </c>
      <c r="HG58" s="26">
        <v>0</v>
      </c>
      <c r="HH58" s="26">
        <v>0</v>
      </c>
      <c r="HI58" s="26">
        <v>0</v>
      </c>
      <c r="HJ58" s="26">
        <v>0</v>
      </c>
      <c r="HK58" s="26">
        <v>0</v>
      </c>
      <c r="HL58" s="26">
        <v>0</v>
      </c>
      <c r="HM58" s="26">
        <v>0</v>
      </c>
      <c r="HN58" s="26">
        <v>0</v>
      </c>
      <c r="HO58" s="26">
        <v>0</v>
      </c>
      <c r="HP58" s="26">
        <v>0</v>
      </c>
      <c r="HQ58" s="26">
        <v>0</v>
      </c>
      <c r="HR58" s="26">
        <v>0</v>
      </c>
      <c r="HS58" s="26">
        <v>0</v>
      </c>
      <c r="HT58" s="26">
        <v>0</v>
      </c>
    </row>
    <row r="59" spans="2:228" x14ac:dyDescent="0.2">
      <c r="B59" s="27" t="s">
        <v>1348</v>
      </c>
      <c r="C59" s="26">
        <v>429873.11499999999</v>
      </c>
      <c r="D59" s="26">
        <v>-1405.7238299999999</v>
      </c>
      <c r="E59" s="26">
        <v>341382.21500000003</v>
      </c>
      <c r="F59" s="26">
        <v>5.8779036800000002</v>
      </c>
      <c r="G59" s="26">
        <v>3550.2458900000001</v>
      </c>
      <c r="H59" s="26">
        <v>1179.6069600000001</v>
      </c>
      <c r="I59" s="26">
        <v>494.93998199999999</v>
      </c>
      <c r="J59" s="26">
        <v>16476.311399999999</v>
      </c>
      <c r="K59" s="26">
        <v>2007.8659200000002</v>
      </c>
      <c r="L59" s="26">
        <v>1.4712044599999999E-4</v>
      </c>
      <c r="M59" s="26">
        <v>0</v>
      </c>
      <c r="N59" s="26">
        <v>87.614647399999996</v>
      </c>
      <c r="O59" s="26">
        <v>28.596618400000004</v>
      </c>
      <c r="P59" s="26">
        <v>11.998581100000001</v>
      </c>
      <c r="Q59" s="26">
        <v>390.551108</v>
      </c>
      <c r="R59" s="26">
        <v>47.594041799999999</v>
      </c>
      <c r="S59" s="26">
        <v>12208.3331</v>
      </c>
      <c r="T59" s="26">
        <v>656.53966200000002</v>
      </c>
      <c r="U59" s="26">
        <v>369.27255600000001</v>
      </c>
      <c r="V59" s="26">
        <v>336.08816999999999</v>
      </c>
      <c r="W59" s="26">
        <v>0</v>
      </c>
      <c r="X59" s="26">
        <v>1.05094544</v>
      </c>
      <c r="Y59" s="26">
        <v>4.8241179799999997E-5</v>
      </c>
      <c r="Z59" s="26">
        <v>3.0721527100000001E-3</v>
      </c>
      <c r="AA59" s="26">
        <v>3.0084470800000001E-3</v>
      </c>
      <c r="AB59" s="26">
        <v>0.10507124800000001</v>
      </c>
      <c r="AC59" s="26">
        <v>0</v>
      </c>
      <c r="AD59" s="26">
        <v>2481.1504199999999</v>
      </c>
      <c r="AE59" s="26">
        <v>1860.9805199999998</v>
      </c>
      <c r="AF59" s="26">
        <v>0</v>
      </c>
      <c r="AG59" s="26">
        <v>0</v>
      </c>
      <c r="AH59" s="26">
        <v>0</v>
      </c>
      <c r="AI59" s="26">
        <v>0</v>
      </c>
      <c r="AJ59" s="26">
        <v>0</v>
      </c>
      <c r="AK59" s="26">
        <v>0</v>
      </c>
      <c r="AL59" s="26">
        <v>0</v>
      </c>
      <c r="AM59" s="26">
        <v>1.5842626899999999E-5</v>
      </c>
      <c r="AN59" s="26">
        <v>0</v>
      </c>
      <c r="AO59" s="26">
        <v>0</v>
      </c>
      <c r="AP59" s="26">
        <v>0</v>
      </c>
      <c r="AQ59" s="26">
        <v>0</v>
      </c>
      <c r="AR59" s="26">
        <v>0</v>
      </c>
      <c r="AS59" s="26">
        <v>0</v>
      </c>
      <c r="AT59" s="26">
        <v>0</v>
      </c>
      <c r="AU59" s="26">
        <v>0</v>
      </c>
      <c r="AV59" s="26">
        <v>0</v>
      </c>
      <c r="AW59" s="26">
        <v>0</v>
      </c>
      <c r="AX59" s="26">
        <v>0</v>
      </c>
      <c r="AY59" s="26">
        <v>0</v>
      </c>
      <c r="AZ59" s="26">
        <v>0</v>
      </c>
      <c r="BA59" s="26">
        <v>0</v>
      </c>
      <c r="BB59" s="26">
        <v>0</v>
      </c>
      <c r="BC59" s="26">
        <v>0</v>
      </c>
      <c r="BD59" s="26">
        <v>0</v>
      </c>
      <c r="BE59" s="26">
        <v>0</v>
      </c>
      <c r="BF59" s="26">
        <v>0</v>
      </c>
      <c r="BG59" s="26">
        <v>0</v>
      </c>
      <c r="BH59" s="26">
        <v>0</v>
      </c>
      <c r="BI59" s="26">
        <v>0</v>
      </c>
      <c r="BJ59" s="26">
        <v>0</v>
      </c>
      <c r="BK59" s="26">
        <v>0</v>
      </c>
      <c r="BL59" s="26">
        <v>0</v>
      </c>
      <c r="BM59" s="26">
        <v>0</v>
      </c>
      <c r="BN59" s="26">
        <v>0</v>
      </c>
      <c r="BO59" s="26">
        <v>19227.391199999998</v>
      </c>
      <c r="BP59" s="26">
        <v>383576.94500000001</v>
      </c>
      <c r="BQ59" s="26">
        <v>6443.0387899999996</v>
      </c>
      <c r="BR59" s="26">
        <v>77.454853500000013</v>
      </c>
      <c r="BS59" s="26">
        <v>7.6745926600000001</v>
      </c>
      <c r="BT59" s="26">
        <v>0</v>
      </c>
      <c r="BU59" s="26">
        <v>1</v>
      </c>
      <c r="BV59" s="26">
        <v>0</v>
      </c>
      <c r="BW59" s="26">
        <v>-69966.2788</v>
      </c>
      <c r="BX59" s="26">
        <v>-3507.1685900000002</v>
      </c>
      <c r="BY59" s="26">
        <v>-1345.2690299999999</v>
      </c>
      <c r="BZ59" s="26">
        <v>-38.494391999999998</v>
      </c>
      <c r="CA59" s="26">
        <v>-1.9295913</v>
      </c>
      <c r="CB59" s="26">
        <v>4.9736859699999997E-2</v>
      </c>
      <c r="CC59" s="26">
        <v>0.99222575099999999</v>
      </c>
      <c r="CD59" s="26">
        <v>19.9495054</v>
      </c>
      <c r="CE59" s="26">
        <v>0</v>
      </c>
      <c r="CF59" s="26">
        <v>0</v>
      </c>
      <c r="CG59" s="26">
        <v>0</v>
      </c>
      <c r="CH59" s="26">
        <v>0</v>
      </c>
      <c r="CI59" s="26">
        <v>0</v>
      </c>
      <c r="CJ59" s="26">
        <v>0</v>
      </c>
      <c r="CK59" s="26">
        <v>0</v>
      </c>
      <c r="CL59" s="26">
        <v>0</v>
      </c>
      <c r="CM59" s="26">
        <v>0</v>
      </c>
      <c r="CN59" s="26">
        <v>0</v>
      </c>
      <c r="CO59" s="26">
        <v>0</v>
      </c>
      <c r="CP59" s="26">
        <v>0</v>
      </c>
      <c r="CQ59" s="26">
        <v>0</v>
      </c>
      <c r="CR59" s="26">
        <v>0</v>
      </c>
      <c r="CS59" s="26">
        <v>0</v>
      </c>
      <c r="CT59" s="26">
        <v>0</v>
      </c>
      <c r="CU59" s="26">
        <v>0</v>
      </c>
      <c r="CV59" s="26">
        <v>0</v>
      </c>
      <c r="CW59" s="26">
        <v>0</v>
      </c>
      <c r="CX59" s="26">
        <v>0</v>
      </c>
      <c r="CY59" s="26">
        <v>0</v>
      </c>
      <c r="CZ59" s="26">
        <v>0</v>
      </c>
      <c r="DA59" s="26">
        <v>0</v>
      </c>
      <c r="DB59" s="26">
        <v>0</v>
      </c>
      <c r="DC59" s="26">
        <v>0</v>
      </c>
      <c r="DD59" s="26">
        <v>0</v>
      </c>
      <c r="DE59" s="26">
        <v>0</v>
      </c>
      <c r="DF59" s="26">
        <v>0</v>
      </c>
      <c r="DG59" s="26">
        <v>0</v>
      </c>
      <c r="DH59" s="26">
        <v>0</v>
      </c>
      <c r="DI59" s="26">
        <v>0</v>
      </c>
      <c r="DJ59" s="26">
        <v>0</v>
      </c>
      <c r="DK59" s="26">
        <v>0</v>
      </c>
      <c r="DL59" s="26">
        <v>0</v>
      </c>
      <c r="DM59" s="26">
        <v>0</v>
      </c>
      <c r="DN59" s="26">
        <v>0</v>
      </c>
      <c r="DO59" s="26">
        <v>0</v>
      </c>
      <c r="DP59" s="26">
        <v>0</v>
      </c>
      <c r="DQ59" s="26">
        <v>0</v>
      </c>
      <c r="DR59" s="26">
        <v>0</v>
      </c>
      <c r="DS59" s="26">
        <v>0</v>
      </c>
      <c r="DT59" s="26">
        <v>0</v>
      </c>
      <c r="DU59" s="26">
        <v>0</v>
      </c>
      <c r="DV59" s="26">
        <v>0</v>
      </c>
      <c r="DW59" s="26">
        <v>0</v>
      </c>
      <c r="DX59" s="26">
        <v>26138.367999999999</v>
      </c>
      <c r="DY59" s="26">
        <v>30.979670600000002</v>
      </c>
      <c r="DZ59" s="26">
        <v>12.9984632</v>
      </c>
      <c r="EA59" s="26">
        <v>423.09997600000003</v>
      </c>
      <c r="EB59" s="26">
        <v>51.560570599999998</v>
      </c>
      <c r="EC59" s="26">
        <v>12475.191699999999</v>
      </c>
      <c r="ED59" s="26">
        <v>0</v>
      </c>
      <c r="EE59" s="26">
        <v>2583.0279399999999</v>
      </c>
      <c r="EF59" s="26">
        <v>4107.8476600000004</v>
      </c>
      <c r="EG59" s="26">
        <v>0</v>
      </c>
      <c r="EH59" s="26">
        <v>0</v>
      </c>
      <c r="EI59" s="26">
        <v>0</v>
      </c>
      <c r="EJ59" s="26">
        <v>0</v>
      </c>
      <c r="EK59" s="26">
        <v>0</v>
      </c>
      <c r="EL59" s="26">
        <v>473.096384</v>
      </c>
      <c r="EM59" s="26">
        <v>0</v>
      </c>
      <c r="EN59" s="26">
        <v>0</v>
      </c>
      <c r="EO59" s="26">
        <v>0</v>
      </c>
      <c r="EP59" s="26">
        <v>436.56173899999999</v>
      </c>
      <c r="EQ59" s="26">
        <v>46296.170299999998</v>
      </c>
      <c r="ER59" s="26">
        <v>328.72338300000001</v>
      </c>
      <c r="ES59" s="26">
        <v>77.454853500000013</v>
      </c>
      <c r="ET59" s="26">
        <v>7.6745926600000001</v>
      </c>
      <c r="EU59" s="26">
        <v>0</v>
      </c>
      <c r="EV59" s="26">
        <v>0</v>
      </c>
      <c r="EW59" s="26">
        <v>1</v>
      </c>
      <c r="EX59" s="26">
        <v>-138479.38699999999</v>
      </c>
      <c r="EY59" s="26">
        <v>-1305.82728</v>
      </c>
      <c r="EZ59" s="26">
        <v>-60.454802500000007</v>
      </c>
      <c r="FA59" s="26">
        <v>-380.78381100000001</v>
      </c>
      <c r="FB59" s="26">
        <v>-3.5906996499999999</v>
      </c>
      <c r="FC59" s="26">
        <v>2.2134199399999999E-2</v>
      </c>
      <c r="FD59" s="26">
        <v>2.3472708999999998</v>
      </c>
      <c r="FE59" s="26">
        <v>106.047247</v>
      </c>
      <c r="FF59" s="26">
        <v>0</v>
      </c>
      <c r="FG59" s="26">
        <v>0.23478769599999999</v>
      </c>
      <c r="FH59" s="26">
        <v>-1656683335.3800001</v>
      </c>
      <c r="FI59" s="26">
        <v>0.37102110019039103</v>
      </c>
      <c r="FJ59" s="26">
        <v>0</v>
      </c>
      <c r="FK59" s="26">
        <v>0</v>
      </c>
      <c r="FL59" s="26">
        <v>0</v>
      </c>
      <c r="FM59" s="26">
        <v>0</v>
      </c>
      <c r="FN59" s="26">
        <v>0</v>
      </c>
      <c r="FO59" s="26">
        <v>0</v>
      </c>
      <c r="FP59" s="26">
        <v>0</v>
      </c>
      <c r="FQ59" s="26">
        <v>0</v>
      </c>
      <c r="FR59" s="26">
        <v>0</v>
      </c>
      <c r="FS59" s="26">
        <v>0</v>
      </c>
      <c r="FT59" s="26">
        <v>0</v>
      </c>
      <c r="FU59" s="26">
        <v>0</v>
      </c>
      <c r="FV59" s="26">
        <v>0</v>
      </c>
      <c r="FW59" s="26">
        <v>0</v>
      </c>
      <c r="FX59" s="26">
        <v>0</v>
      </c>
      <c r="FY59" s="26">
        <v>0</v>
      </c>
      <c r="FZ59" s="26">
        <v>0</v>
      </c>
      <c r="GA59" s="26">
        <v>0</v>
      </c>
      <c r="GB59" s="26">
        <v>0</v>
      </c>
      <c r="GC59" s="26">
        <v>0</v>
      </c>
      <c r="GD59" s="26">
        <v>0</v>
      </c>
      <c r="GE59" s="26">
        <v>0</v>
      </c>
      <c r="GF59" s="26">
        <v>0</v>
      </c>
      <c r="GG59" s="26">
        <v>0</v>
      </c>
      <c r="GH59" s="26">
        <v>0</v>
      </c>
      <c r="GI59" s="26">
        <v>0</v>
      </c>
      <c r="GJ59" s="26">
        <v>0</v>
      </c>
      <c r="GK59" s="26">
        <v>0</v>
      </c>
      <c r="GL59" s="26">
        <v>0</v>
      </c>
      <c r="GM59" s="26">
        <v>0</v>
      </c>
      <c r="GN59" s="26">
        <v>0</v>
      </c>
      <c r="GO59" s="26">
        <v>0</v>
      </c>
      <c r="GP59" s="26">
        <v>0</v>
      </c>
      <c r="GQ59" s="26">
        <v>0</v>
      </c>
      <c r="GR59" s="26">
        <v>0</v>
      </c>
      <c r="GS59" s="26">
        <v>0</v>
      </c>
      <c r="GT59" s="26">
        <v>0</v>
      </c>
      <c r="GU59" s="26">
        <v>0</v>
      </c>
      <c r="GV59" s="26">
        <v>0</v>
      </c>
      <c r="GW59" s="26">
        <v>0</v>
      </c>
      <c r="GX59" s="26">
        <v>0</v>
      </c>
      <c r="GY59" s="26">
        <v>0</v>
      </c>
      <c r="GZ59" s="26">
        <v>0</v>
      </c>
      <c r="HA59" s="26">
        <v>0</v>
      </c>
      <c r="HB59" s="26">
        <v>0</v>
      </c>
      <c r="HC59" s="26">
        <v>0</v>
      </c>
      <c r="HD59" s="26">
        <v>0</v>
      </c>
      <c r="HE59" s="26">
        <v>0</v>
      </c>
      <c r="HF59" s="26">
        <v>0</v>
      </c>
      <c r="HG59" s="26">
        <v>0</v>
      </c>
      <c r="HH59" s="26">
        <v>0</v>
      </c>
      <c r="HI59" s="26">
        <v>0</v>
      </c>
      <c r="HJ59" s="26">
        <v>0</v>
      </c>
      <c r="HK59" s="26">
        <v>0</v>
      </c>
      <c r="HL59" s="26">
        <v>0</v>
      </c>
      <c r="HM59" s="26">
        <v>0</v>
      </c>
      <c r="HN59" s="26">
        <v>0</v>
      </c>
      <c r="HO59" s="26">
        <v>0</v>
      </c>
      <c r="HP59" s="26">
        <v>0</v>
      </c>
      <c r="HQ59" s="26">
        <v>0</v>
      </c>
      <c r="HR59" s="26">
        <v>0</v>
      </c>
      <c r="HS59" s="26">
        <v>0</v>
      </c>
      <c r="HT59" s="26">
        <v>0.49211717060360399</v>
      </c>
    </row>
    <row r="60" spans="2:228" x14ac:dyDescent="0.2">
      <c r="B60" s="27" t="s">
        <v>2875</v>
      </c>
      <c r="C60" s="26">
        <v>429873.11499999999</v>
      </c>
      <c r="D60" s="26">
        <v>-1405.8012100000001</v>
      </c>
      <c r="E60" s="26">
        <v>341382.21500000003</v>
      </c>
      <c r="F60" s="26">
        <v>5.8779036800000002</v>
      </c>
      <c r="G60" s="26">
        <v>3550.2458900000001</v>
      </c>
      <c r="H60" s="26">
        <v>1179.6069600000001</v>
      </c>
      <c r="I60" s="26">
        <v>494.93998199999999</v>
      </c>
      <c r="J60" s="26">
        <v>16476.311399999999</v>
      </c>
      <c r="K60" s="26">
        <v>2007.8659200000002</v>
      </c>
      <c r="L60" s="26">
        <v>1.4712044599999999E-4</v>
      </c>
      <c r="M60" s="26">
        <v>0</v>
      </c>
      <c r="N60" s="26">
        <v>87.614647399999996</v>
      </c>
      <c r="O60" s="26">
        <v>28.596618400000004</v>
      </c>
      <c r="P60" s="26">
        <v>11.998581100000001</v>
      </c>
      <c r="Q60" s="26">
        <v>390.551108</v>
      </c>
      <c r="R60" s="26">
        <v>47.594041799999999</v>
      </c>
      <c r="S60" s="26">
        <v>12208.3331</v>
      </c>
      <c r="T60" s="26">
        <v>656.53966200000002</v>
      </c>
      <c r="U60" s="26">
        <v>369.27255600000001</v>
      </c>
      <c r="V60" s="26">
        <v>336.08816999999999</v>
      </c>
      <c r="W60" s="26">
        <v>0</v>
      </c>
      <c r="X60" s="26">
        <v>1.05094544</v>
      </c>
      <c r="Y60" s="26">
        <v>4.8241179799999997E-5</v>
      </c>
      <c r="Z60" s="26">
        <v>3.0721527100000001E-3</v>
      </c>
      <c r="AA60" s="26">
        <v>3.0084470800000001E-3</v>
      </c>
      <c r="AB60" s="26">
        <v>0.10507124800000001</v>
      </c>
      <c r="AC60" s="26">
        <v>0</v>
      </c>
      <c r="AD60" s="26">
        <v>2481.1504199999999</v>
      </c>
      <c r="AE60" s="26">
        <v>1860.9805199999998</v>
      </c>
      <c r="AF60" s="26">
        <v>0</v>
      </c>
      <c r="AG60" s="26">
        <v>0</v>
      </c>
      <c r="AH60" s="26">
        <v>0</v>
      </c>
      <c r="AI60" s="26">
        <v>0</v>
      </c>
      <c r="AJ60" s="26">
        <v>0</v>
      </c>
      <c r="AK60" s="26">
        <v>0</v>
      </c>
      <c r="AL60" s="26">
        <v>0</v>
      </c>
      <c r="AM60" s="26">
        <v>1.5842626899999999E-5</v>
      </c>
      <c r="AN60" s="26">
        <v>0</v>
      </c>
      <c r="AO60" s="26">
        <v>0</v>
      </c>
      <c r="AP60" s="26">
        <v>0</v>
      </c>
      <c r="AQ60" s="26">
        <v>0</v>
      </c>
      <c r="AR60" s="26">
        <v>0</v>
      </c>
      <c r="AS60" s="26">
        <v>0</v>
      </c>
      <c r="AT60" s="26">
        <v>0</v>
      </c>
      <c r="AU60" s="26">
        <v>0</v>
      </c>
      <c r="AV60" s="26">
        <v>0</v>
      </c>
      <c r="AW60" s="26">
        <v>0</v>
      </c>
      <c r="AX60" s="26">
        <v>0</v>
      </c>
      <c r="AY60" s="26">
        <v>0</v>
      </c>
      <c r="AZ60" s="26">
        <v>0</v>
      </c>
      <c r="BA60" s="26">
        <v>0</v>
      </c>
      <c r="BB60" s="26">
        <v>0</v>
      </c>
      <c r="BC60" s="26">
        <v>0</v>
      </c>
      <c r="BD60" s="26">
        <v>0</v>
      </c>
      <c r="BE60" s="26">
        <v>0</v>
      </c>
      <c r="BF60" s="26">
        <v>0</v>
      </c>
      <c r="BG60" s="26">
        <v>0</v>
      </c>
      <c r="BH60" s="26">
        <v>0</v>
      </c>
      <c r="BI60" s="26">
        <v>0</v>
      </c>
      <c r="BJ60" s="26">
        <v>0</v>
      </c>
      <c r="BK60" s="26">
        <v>0</v>
      </c>
      <c r="BL60" s="26">
        <v>0</v>
      </c>
      <c r="BM60" s="26">
        <v>0</v>
      </c>
      <c r="BN60" s="26">
        <v>0</v>
      </c>
      <c r="BO60" s="26">
        <v>19227.391199999998</v>
      </c>
      <c r="BP60" s="26">
        <v>383576.94500000001</v>
      </c>
      <c r="BQ60" s="26">
        <v>6441.5901599999997</v>
      </c>
      <c r="BR60" s="26">
        <v>77.249599100000012</v>
      </c>
      <c r="BS60" s="26">
        <v>1</v>
      </c>
      <c r="BT60" s="26">
        <v>0</v>
      </c>
      <c r="BU60" s="26">
        <v>1</v>
      </c>
      <c r="BV60" s="26">
        <v>0</v>
      </c>
      <c r="BW60" s="26">
        <v>-69970.217199999999</v>
      </c>
      <c r="BX60" s="26">
        <v>-3507.3660100000002</v>
      </c>
      <c r="BY60" s="26">
        <v>-1345.34475</v>
      </c>
      <c r="BZ60" s="26">
        <v>-38.505581499999998</v>
      </c>
      <c r="CA60" s="26">
        <v>-1.93015219</v>
      </c>
      <c r="CB60" s="26">
        <v>4.9748044900000003E-2</v>
      </c>
      <c r="CC60" s="26">
        <v>0.992448891</v>
      </c>
      <c r="CD60" s="26">
        <v>19.9495054</v>
      </c>
      <c r="CE60" s="26">
        <v>0</v>
      </c>
      <c r="CF60" s="26">
        <v>0</v>
      </c>
      <c r="CG60" s="26">
        <v>0</v>
      </c>
      <c r="CH60" s="26">
        <v>0</v>
      </c>
      <c r="CI60" s="26">
        <v>0</v>
      </c>
      <c r="CJ60" s="26">
        <v>0</v>
      </c>
      <c r="CK60" s="26">
        <v>0</v>
      </c>
      <c r="CL60" s="26">
        <v>0</v>
      </c>
      <c r="CM60" s="26">
        <v>0</v>
      </c>
      <c r="CN60" s="26">
        <v>0</v>
      </c>
      <c r="CO60" s="26">
        <v>0</v>
      </c>
      <c r="CP60" s="26">
        <v>0</v>
      </c>
      <c r="CQ60" s="26">
        <v>0</v>
      </c>
      <c r="CR60" s="26">
        <v>0</v>
      </c>
      <c r="CS60" s="26">
        <v>0</v>
      </c>
      <c r="CT60" s="26">
        <v>0</v>
      </c>
      <c r="CU60" s="26">
        <v>0</v>
      </c>
      <c r="CV60" s="26">
        <v>0</v>
      </c>
      <c r="CW60" s="26">
        <v>0</v>
      </c>
      <c r="CX60" s="26">
        <v>0</v>
      </c>
      <c r="CY60" s="26">
        <v>0</v>
      </c>
      <c r="CZ60" s="26">
        <v>0</v>
      </c>
      <c r="DA60" s="26">
        <v>0</v>
      </c>
      <c r="DB60" s="26">
        <v>0</v>
      </c>
      <c r="DC60" s="26">
        <v>0</v>
      </c>
      <c r="DD60" s="26">
        <v>0</v>
      </c>
      <c r="DE60" s="26">
        <v>0</v>
      </c>
      <c r="DF60" s="26">
        <v>0</v>
      </c>
      <c r="DG60" s="26">
        <v>0</v>
      </c>
      <c r="DH60" s="26">
        <v>0</v>
      </c>
      <c r="DI60" s="26">
        <v>0</v>
      </c>
      <c r="DJ60" s="26">
        <v>0</v>
      </c>
      <c r="DK60" s="26">
        <v>0</v>
      </c>
      <c r="DL60" s="26">
        <v>0</v>
      </c>
      <c r="DM60" s="26">
        <v>0</v>
      </c>
      <c r="DN60" s="26">
        <v>0</v>
      </c>
      <c r="DO60" s="26">
        <v>0</v>
      </c>
      <c r="DP60" s="26">
        <v>0</v>
      </c>
      <c r="DQ60" s="26">
        <v>0</v>
      </c>
      <c r="DR60" s="26">
        <v>0</v>
      </c>
      <c r="DS60" s="26">
        <v>0</v>
      </c>
      <c r="DT60" s="26">
        <v>0</v>
      </c>
      <c r="DU60" s="26">
        <v>0</v>
      </c>
      <c r="DV60" s="26">
        <v>0</v>
      </c>
      <c r="DW60" s="26">
        <v>0</v>
      </c>
      <c r="DX60" s="26">
        <v>26138.367999999999</v>
      </c>
      <c r="DY60" s="26">
        <v>30.979670600000002</v>
      </c>
      <c r="DZ60" s="26">
        <v>12.9984632</v>
      </c>
      <c r="EA60" s="26">
        <v>423.09997600000003</v>
      </c>
      <c r="EB60" s="26">
        <v>51.560570599999998</v>
      </c>
      <c r="EC60" s="26">
        <v>12475.191699999999</v>
      </c>
      <c r="ED60" s="26">
        <v>0</v>
      </c>
      <c r="EE60" s="26">
        <v>2583.0279399999999</v>
      </c>
      <c r="EF60" s="26">
        <v>4107.8476600000004</v>
      </c>
      <c r="EG60" s="26">
        <v>0</v>
      </c>
      <c r="EH60" s="26">
        <v>0</v>
      </c>
      <c r="EI60" s="26">
        <v>0</v>
      </c>
      <c r="EJ60" s="26">
        <v>0</v>
      </c>
      <c r="EK60" s="26">
        <v>0</v>
      </c>
      <c r="EL60" s="26">
        <v>473.096384</v>
      </c>
      <c r="EM60" s="26">
        <v>0</v>
      </c>
      <c r="EN60" s="26">
        <v>0</v>
      </c>
      <c r="EO60" s="26">
        <v>0</v>
      </c>
      <c r="EP60" s="26">
        <v>436.56173899999999</v>
      </c>
      <c r="EQ60" s="26">
        <v>46296.170299999998</v>
      </c>
      <c r="ER60" s="26">
        <v>328.72338300000001</v>
      </c>
      <c r="ES60" s="26">
        <v>77.249599100000012</v>
      </c>
      <c r="ET60" s="26">
        <v>1</v>
      </c>
      <c r="EU60" s="26">
        <v>0</v>
      </c>
      <c r="EV60" s="26">
        <v>0</v>
      </c>
      <c r="EW60" s="26">
        <v>1</v>
      </c>
      <c r="EX60" s="26">
        <v>-138483.19</v>
      </c>
      <c r="EY60" s="26">
        <v>-1305.8631399999999</v>
      </c>
      <c r="EZ60" s="26">
        <v>-60.456462700000003</v>
      </c>
      <c r="FA60" s="26">
        <v>-380.79466100000002</v>
      </c>
      <c r="FB60" s="26">
        <v>-3.5908019599999998</v>
      </c>
      <c r="FC60" s="26">
        <v>2.2134199399999999E-2</v>
      </c>
      <c r="FD60" s="26">
        <v>2.3472708999999998</v>
      </c>
      <c r="FE60" s="26">
        <v>106.047247</v>
      </c>
      <c r="FF60" s="26">
        <v>0</v>
      </c>
      <c r="FG60" s="26">
        <v>0.23478769599999999</v>
      </c>
      <c r="FH60" s="26">
        <v>-1656683335.3800001</v>
      </c>
      <c r="FI60" s="26">
        <v>0.37102110019039103</v>
      </c>
      <c r="FJ60" s="26">
        <v>0</v>
      </c>
      <c r="FK60" s="26">
        <v>0</v>
      </c>
      <c r="FL60" s="26">
        <v>0</v>
      </c>
      <c r="FM60" s="26">
        <v>0</v>
      </c>
      <c r="FN60" s="26">
        <v>0</v>
      </c>
      <c r="FO60" s="26">
        <v>0</v>
      </c>
      <c r="FP60" s="26">
        <v>0</v>
      </c>
      <c r="FQ60" s="26">
        <v>0</v>
      </c>
      <c r="FR60" s="26">
        <v>0</v>
      </c>
      <c r="FS60" s="26">
        <v>0</v>
      </c>
      <c r="FT60" s="26">
        <v>0</v>
      </c>
      <c r="FU60" s="26">
        <v>0</v>
      </c>
      <c r="FV60" s="26">
        <v>0</v>
      </c>
      <c r="FW60" s="26">
        <v>0</v>
      </c>
      <c r="FX60" s="26">
        <v>0</v>
      </c>
      <c r="FY60" s="26">
        <v>0</v>
      </c>
      <c r="FZ60" s="26">
        <v>0</v>
      </c>
      <c r="GA60" s="26">
        <v>0</v>
      </c>
      <c r="GB60" s="26">
        <v>0</v>
      </c>
      <c r="GC60" s="26">
        <v>0</v>
      </c>
      <c r="GD60" s="26">
        <v>0</v>
      </c>
      <c r="GE60" s="26">
        <v>0</v>
      </c>
      <c r="GF60" s="26">
        <v>0</v>
      </c>
      <c r="GG60" s="26">
        <v>0</v>
      </c>
      <c r="GH60" s="26">
        <v>0</v>
      </c>
      <c r="GI60" s="26">
        <v>0</v>
      </c>
      <c r="GJ60" s="26">
        <v>0</v>
      </c>
      <c r="GK60" s="26">
        <v>0</v>
      </c>
      <c r="GL60" s="26">
        <v>0</v>
      </c>
      <c r="GM60" s="26">
        <v>0</v>
      </c>
      <c r="GN60" s="26">
        <v>0</v>
      </c>
      <c r="GO60" s="26">
        <v>0</v>
      </c>
      <c r="GP60" s="26">
        <v>0</v>
      </c>
      <c r="GQ60" s="26">
        <v>0</v>
      </c>
      <c r="GR60" s="26">
        <v>0</v>
      </c>
      <c r="GS60" s="26">
        <v>0</v>
      </c>
      <c r="GT60" s="26">
        <v>0</v>
      </c>
      <c r="GU60" s="26">
        <v>0</v>
      </c>
      <c r="GV60" s="26">
        <v>0</v>
      </c>
      <c r="GW60" s="26">
        <v>0</v>
      </c>
      <c r="GX60" s="26">
        <v>0</v>
      </c>
      <c r="GY60" s="26">
        <v>0</v>
      </c>
      <c r="GZ60" s="26">
        <v>0</v>
      </c>
      <c r="HA60" s="26">
        <v>0</v>
      </c>
      <c r="HB60" s="26">
        <v>0</v>
      </c>
      <c r="HC60" s="26">
        <v>0</v>
      </c>
      <c r="HD60" s="26">
        <v>0</v>
      </c>
      <c r="HE60" s="26">
        <v>0</v>
      </c>
      <c r="HF60" s="26">
        <v>0</v>
      </c>
      <c r="HG60" s="26">
        <v>0</v>
      </c>
      <c r="HH60" s="26">
        <v>0</v>
      </c>
      <c r="HI60" s="26">
        <v>0</v>
      </c>
      <c r="HJ60" s="26">
        <v>0</v>
      </c>
      <c r="HK60" s="26">
        <v>0</v>
      </c>
      <c r="HL60" s="26">
        <v>0</v>
      </c>
      <c r="HM60" s="26">
        <v>0</v>
      </c>
      <c r="HN60" s="26">
        <v>0</v>
      </c>
      <c r="HO60" s="26">
        <v>0</v>
      </c>
      <c r="HP60" s="26">
        <v>0</v>
      </c>
      <c r="HQ60" s="26">
        <v>0</v>
      </c>
      <c r="HR60" s="26">
        <v>0</v>
      </c>
      <c r="HS60" s="26">
        <v>0</v>
      </c>
      <c r="HT60" s="26">
        <v>0.49211717060360399</v>
      </c>
    </row>
    <row r="61" spans="2:228" x14ac:dyDescent="0.2">
      <c r="B61" s="27" t="s">
        <v>1330</v>
      </c>
      <c r="C61" s="26">
        <v>1980.28674</v>
      </c>
      <c r="D61" s="26">
        <v>-4.0847868399999996</v>
      </c>
      <c r="E61" s="26">
        <v>138.62007199999999</v>
      </c>
      <c r="F61" s="26">
        <v>0</v>
      </c>
      <c r="G61" s="26">
        <v>0</v>
      </c>
      <c r="H61" s="26">
        <v>0</v>
      </c>
      <c r="I61" s="26">
        <v>0</v>
      </c>
      <c r="J61" s="26">
        <v>0</v>
      </c>
      <c r="K61" s="26">
        <v>0</v>
      </c>
      <c r="L61" s="26">
        <v>0</v>
      </c>
      <c r="M61" s="26">
        <v>0</v>
      </c>
      <c r="N61" s="26">
        <v>0</v>
      </c>
      <c r="O61" s="26">
        <v>0</v>
      </c>
      <c r="P61" s="26">
        <v>0</v>
      </c>
      <c r="Q61" s="26">
        <v>0</v>
      </c>
      <c r="R61" s="26">
        <v>0</v>
      </c>
      <c r="S61" s="26">
        <v>0</v>
      </c>
      <c r="T61" s="26">
        <v>0</v>
      </c>
      <c r="U61" s="26">
        <v>0</v>
      </c>
      <c r="V61" s="26">
        <v>0</v>
      </c>
      <c r="W61" s="26">
        <v>0</v>
      </c>
      <c r="X61" s="26">
        <v>0</v>
      </c>
      <c r="Y61" s="26">
        <v>0</v>
      </c>
      <c r="Z61" s="26">
        <v>0</v>
      </c>
      <c r="AA61" s="26">
        <v>0</v>
      </c>
      <c r="AB61" s="26">
        <v>0</v>
      </c>
      <c r="AC61" s="26">
        <v>1841.6666700000001</v>
      </c>
      <c r="AD61" s="26">
        <v>0</v>
      </c>
      <c r="AE61" s="26">
        <v>0</v>
      </c>
      <c r="AF61" s="26">
        <v>0</v>
      </c>
      <c r="AG61" s="26">
        <v>0</v>
      </c>
      <c r="AH61" s="26">
        <v>0</v>
      </c>
      <c r="AI61" s="26">
        <v>0</v>
      </c>
      <c r="AJ61" s="26">
        <v>0</v>
      </c>
      <c r="AK61" s="26">
        <v>0</v>
      </c>
      <c r="AL61" s="26">
        <v>0</v>
      </c>
      <c r="AM61" s="26">
        <v>0</v>
      </c>
      <c r="AN61" s="26">
        <v>0</v>
      </c>
      <c r="AO61" s="26">
        <v>0</v>
      </c>
      <c r="AP61" s="26">
        <v>0</v>
      </c>
      <c r="AQ61" s="26">
        <v>0</v>
      </c>
      <c r="AR61" s="26">
        <v>0</v>
      </c>
      <c r="AS61" s="26">
        <v>0</v>
      </c>
      <c r="AT61" s="26">
        <v>0</v>
      </c>
      <c r="AU61" s="26">
        <v>0</v>
      </c>
      <c r="AV61" s="26">
        <v>0</v>
      </c>
      <c r="AW61" s="26">
        <v>0</v>
      </c>
      <c r="AX61" s="26">
        <v>0</v>
      </c>
      <c r="AY61" s="26">
        <v>0</v>
      </c>
      <c r="AZ61" s="26">
        <v>0</v>
      </c>
      <c r="BA61" s="26">
        <v>0</v>
      </c>
      <c r="BB61" s="26">
        <v>0</v>
      </c>
      <c r="BC61" s="26">
        <v>0</v>
      </c>
      <c r="BD61" s="26">
        <v>0</v>
      </c>
      <c r="BE61" s="26">
        <v>0</v>
      </c>
      <c r="BF61" s="26">
        <v>0</v>
      </c>
      <c r="BG61" s="26">
        <v>0</v>
      </c>
      <c r="BH61" s="26">
        <v>0</v>
      </c>
      <c r="BI61" s="26">
        <v>0</v>
      </c>
      <c r="BJ61" s="26">
        <v>0</v>
      </c>
      <c r="BK61" s="26">
        <v>0</v>
      </c>
      <c r="BL61" s="26">
        <v>0</v>
      </c>
      <c r="BM61" s="26">
        <v>0</v>
      </c>
      <c r="BN61" s="26">
        <v>0</v>
      </c>
      <c r="BO61" s="26">
        <v>26.471871499999999</v>
      </c>
      <c r="BP61" s="26">
        <v>1980.28674</v>
      </c>
      <c r="BQ61" s="26">
        <v>20.9193502</v>
      </c>
      <c r="BR61" s="26">
        <v>21.714874099999975</v>
      </c>
      <c r="BS61" s="26">
        <v>11.7811041</v>
      </c>
      <c r="BT61" s="26">
        <v>0</v>
      </c>
      <c r="BU61" s="26">
        <v>1</v>
      </c>
      <c r="BV61" s="26">
        <v>0</v>
      </c>
      <c r="BW61" s="26">
        <v>-154306.68799999999</v>
      </c>
      <c r="BX61" s="26">
        <v>-2062.7249200000001</v>
      </c>
      <c r="BY61" s="26">
        <v>-4.0847868399999996</v>
      </c>
      <c r="BZ61" s="26">
        <v>-66.541719799999996</v>
      </c>
      <c r="CA61" s="26">
        <v>-0.88950949499999998</v>
      </c>
      <c r="CB61" s="26">
        <v>2.1090418600000001E-2</v>
      </c>
      <c r="CC61" s="26">
        <v>1.5777152800000001</v>
      </c>
      <c r="CD61" s="26">
        <v>74.807205800000006</v>
      </c>
      <c r="CE61" s="26">
        <v>19.100806299999999</v>
      </c>
      <c r="CF61" s="26">
        <v>0</v>
      </c>
      <c r="CG61" s="26">
        <v>0</v>
      </c>
      <c r="CH61" s="26">
        <v>0</v>
      </c>
      <c r="CI61" s="26">
        <v>0</v>
      </c>
      <c r="CJ61" s="26">
        <v>0</v>
      </c>
      <c r="CK61" s="26">
        <v>0</v>
      </c>
      <c r="CL61" s="26">
        <v>0</v>
      </c>
      <c r="CM61" s="26">
        <v>0</v>
      </c>
      <c r="CN61" s="26">
        <v>0</v>
      </c>
      <c r="CO61" s="26">
        <v>0</v>
      </c>
      <c r="CP61" s="26">
        <v>0</v>
      </c>
      <c r="CQ61" s="26">
        <v>0</v>
      </c>
      <c r="CR61" s="26">
        <v>0</v>
      </c>
      <c r="CS61" s="26">
        <v>0</v>
      </c>
      <c r="CT61" s="26">
        <v>0</v>
      </c>
      <c r="CU61" s="26">
        <v>0</v>
      </c>
      <c r="CV61" s="26">
        <v>0</v>
      </c>
      <c r="CW61" s="26">
        <v>0</v>
      </c>
      <c r="CX61" s="26">
        <v>0</v>
      </c>
      <c r="CY61" s="26">
        <v>0</v>
      </c>
      <c r="CZ61" s="26">
        <v>0</v>
      </c>
      <c r="DA61" s="26">
        <v>0</v>
      </c>
      <c r="DB61" s="26">
        <v>0</v>
      </c>
      <c r="DC61" s="26">
        <v>0</v>
      </c>
      <c r="DD61" s="26">
        <v>0</v>
      </c>
      <c r="DE61" s="26">
        <v>0</v>
      </c>
      <c r="DF61" s="26">
        <v>0</v>
      </c>
      <c r="DG61" s="26">
        <v>0</v>
      </c>
      <c r="DH61" s="26">
        <v>0</v>
      </c>
      <c r="DI61" s="26">
        <v>0</v>
      </c>
      <c r="DJ61" s="26">
        <v>0</v>
      </c>
      <c r="DK61" s="26">
        <v>0</v>
      </c>
      <c r="DL61" s="26">
        <v>0</v>
      </c>
      <c r="DM61" s="26">
        <v>0</v>
      </c>
      <c r="DN61" s="26">
        <v>0</v>
      </c>
      <c r="DO61" s="26">
        <v>0</v>
      </c>
      <c r="DP61" s="26">
        <v>0</v>
      </c>
      <c r="DQ61" s="26">
        <v>0</v>
      </c>
      <c r="DR61" s="26">
        <v>0</v>
      </c>
      <c r="DS61" s="26">
        <v>0</v>
      </c>
      <c r="DT61" s="26">
        <v>0</v>
      </c>
      <c r="DU61" s="26">
        <v>0</v>
      </c>
      <c r="DV61" s="26">
        <v>0</v>
      </c>
      <c r="DW61" s="26">
        <v>0</v>
      </c>
      <c r="DX61" s="26">
        <v>0</v>
      </c>
      <c r="DY61" s="26">
        <v>0</v>
      </c>
      <c r="DZ61" s="26">
        <v>0</v>
      </c>
      <c r="EA61" s="26">
        <v>0</v>
      </c>
      <c r="EB61" s="26">
        <v>0</v>
      </c>
      <c r="EC61" s="26">
        <v>0</v>
      </c>
      <c r="ED61" s="26">
        <v>0</v>
      </c>
      <c r="EE61" s="26">
        <v>0</v>
      </c>
      <c r="EF61" s="26">
        <v>0</v>
      </c>
      <c r="EG61" s="26">
        <v>0</v>
      </c>
      <c r="EH61" s="26">
        <v>0</v>
      </c>
      <c r="EI61" s="26">
        <v>0</v>
      </c>
      <c r="EJ61" s="26">
        <v>0</v>
      </c>
      <c r="EK61" s="26">
        <v>0</v>
      </c>
      <c r="EL61" s="26">
        <v>0</v>
      </c>
      <c r="EM61" s="26">
        <v>0</v>
      </c>
      <c r="EN61" s="26">
        <v>0</v>
      </c>
      <c r="EO61" s="26">
        <v>0</v>
      </c>
      <c r="EP61" s="26">
        <v>0</v>
      </c>
      <c r="EQ61" s="26">
        <v>0</v>
      </c>
      <c r="ER61" s="26">
        <v>0</v>
      </c>
      <c r="ES61" s="26">
        <v>0</v>
      </c>
      <c r="ET61" s="26">
        <v>11.7811041</v>
      </c>
      <c r="EU61" s="26">
        <v>0</v>
      </c>
      <c r="EV61" s="26">
        <v>0</v>
      </c>
      <c r="EW61" s="26">
        <v>0</v>
      </c>
      <c r="EX61" s="26">
        <v>0</v>
      </c>
      <c r="EY61" s="26">
        <v>0</v>
      </c>
      <c r="EZ61" s="26">
        <v>0</v>
      </c>
      <c r="FA61" s="26">
        <v>0</v>
      </c>
      <c r="FB61" s="26">
        <v>0</v>
      </c>
      <c r="FC61" s="26">
        <v>0</v>
      </c>
      <c r="FD61" s="26">
        <v>0</v>
      </c>
      <c r="FE61" s="26">
        <v>0</v>
      </c>
      <c r="FF61" s="26">
        <v>0</v>
      </c>
      <c r="FG61" s="26">
        <v>0</v>
      </c>
      <c r="FH61" s="26">
        <v>-4748682.7834900003</v>
      </c>
      <c r="FI61" s="26">
        <v>0</v>
      </c>
      <c r="FJ61" s="26">
        <v>0</v>
      </c>
      <c r="FK61" s="26">
        <v>0</v>
      </c>
      <c r="FL61" s="26">
        <v>0</v>
      </c>
      <c r="FM61" s="26">
        <v>0</v>
      </c>
      <c r="FN61" s="26">
        <v>0</v>
      </c>
      <c r="FO61" s="26">
        <v>0</v>
      </c>
      <c r="FP61" s="26">
        <v>0</v>
      </c>
      <c r="FQ61" s="26">
        <v>0</v>
      </c>
      <c r="FR61" s="26">
        <v>0</v>
      </c>
      <c r="FS61" s="26">
        <v>0</v>
      </c>
      <c r="FT61" s="26">
        <v>0</v>
      </c>
      <c r="FU61" s="26">
        <v>0</v>
      </c>
      <c r="FV61" s="26">
        <v>0</v>
      </c>
      <c r="FW61" s="26">
        <v>0</v>
      </c>
      <c r="FX61" s="26">
        <v>0</v>
      </c>
      <c r="FY61" s="26">
        <v>0</v>
      </c>
      <c r="FZ61" s="26">
        <v>0</v>
      </c>
      <c r="GA61" s="26">
        <v>0</v>
      </c>
      <c r="GB61" s="26">
        <v>0</v>
      </c>
      <c r="GC61" s="26">
        <v>0</v>
      </c>
      <c r="GD61" s="26">
        <v>0</v>
      </c>
      <c r="GE61" s="26">
        <v>0</v>
      </c>
      <c r="GF61" s="26">
        <v>0</v>
      </c>
      <c r="GG61" s="26">
        <v>0</v>
      </c>
      <c r="GH61" s="26">
        <v>0</v>
      </c>
      <c r="GI61" s="26">
        <v>0</v>
      </c>
      <c r="GJ61" s="26">
        <v>0</v>
      </c>
      <c r="GK61" s="26">
        <v>0</v>
      </c>
      <c r="GL61" s="26">
        <v>0</v>
      </c>
      <c r="GM61" s="26">
        <v>0</v>
      </c>
      <c r="GN61" s="26">
        <v>0</v>
      </c>
      <c r="GO61" s="26">
        <v>0</v>
      </c>
      <c r="GP61" s="26">
        <v>0</v>
      </c>
      <c r="GQ61" s="26">
        <v>0</v>
      </c>
      <c r="GR61" s="26">
        <v>0</v>
      </c>
      <c r="GS61" s="26">
        <v>0</v>
      </c>
      <c r="GT61" s="26">
        <v>0</v>
      </c>
      <c r="GU61" s="26">
        <v>0</v>
      </c>
      <c r="GV61" s="26">
        <v>0</v>
      </c>
      <c r="GW61" s="26">
        <v>0</v>
      </c>
      <c r="GX61" s="26">
        <v>0</v>
      </c>
      <c r="GY61" s="26">
        <v>0</v>
      </c>
      <c r="GZ61" s="26">
        <v>0</v>
      </c>
      <c r="HA61" s="26">
        <v>0</v>
      </c>
      <c r="HB61" s="26">
        <v>0</v>
      </c>
      <c r="HC61" s="26">
        <v>0</v>
      </c>
      <c r="HD61" s="26">
        <v>0</v>
      </c>
      <c r="HE61" s="26">
        <v>0</v>
      </c>
      <c r="HF61" s="26">
        <v>0</v>
      </c>
      <c r="HG61" s="26">
        <v>0</v>
      </c>
      <c r="HH61" s="26">
        <v>0</v>
      </c>
      <c r="HI61" s="26">
        <v>0</v>
      </c>
      <c r="HJ61" s="26">
        <v>0</v>
      </c>
      <c r="HK61" s="26">
        <v>0</v>
      </c>
      <c r="HL61" s="26">
        <v>0</v>
      </c>
      <c r="HM61" s="26">
        <v>0</v>
      </c>
      <c r="HN61" s="26">
        <v>0</v>
      </c>
      <c r="HO61" s="26">
        <v>0</v>
      </c>
      <c r="HP61" s="26">
        <v>0</v>
      </c>
      <c r="HQ61" s="26">
        <v>0</v>
      </c>
      <c r="HR61" s="26">
        <v>0</v>
      </c>
      <c r="HS61" s="26">
        <v>0</v>
      </c>
      <c r="HT61" s="26">
        <v>0</v>
      </c>
    </row>
    <row r="62" spans="2:228" x14ac:dyDescent="0.2">
      <c r="B62" s="27" t="s">
        <v>3165</v>
      </c>
      <c r="C62" s="26">
        <v>1980.28674</v>
      </c>
      <c r="D62" s="26">
        <v>-4.0856466899999999</v>
      </c>
      <c r="E62" s="26">
        <v>138.62007199999999</v>
      </c>
      <c r="F62" s="26">
        <v>0</v>
      </c>
      <c r="G62" s="26">
        <v>0</v>
      </c>
      <c r="H62" s="26">
        <v>0</v>
      </c>
      <c r="I62" s="26">
        <v>0</v>
      </c>
      <c r="J62" s="26">
        <v>0</v>
      </c>
      <c r="K62" s="26">
        <v>0</v>
      </c>
      <c r="L62" s="26">
        <v>0</v>
      </c>
      <c r="M62" s="26">
        <v>0</v>
      </c>
      <c r="N62" s="26">
        <v>0</v>
      </c>
      <c r="O62" s="26">
        <v>0</v>
      </c>
      <c r="P62" s="26">
        <v>0</v>
      </c>
      <c r="Q62" s="26">
        <v>0</v>
      </c>
      <c r="R62" s="26">
        <v>0</v>
      </c>
      <c r="S62" s="26">
        <v>0</v>
      </c>
      <c r="T62" s="26">
        <v>0</v>
      </c>
      <c r="U62" s="26">
        <v>0</v>
      </c>
      <c r="V62" s="26">
        <v>0</v>
      </c>
      <c r="W62" s="26">
        <v>0</v>
      </c>
      <c r="X62" s="26">
        <v>0</v>
      </c>
      <c r="Y62" s="26">
        <v>0</v>
      </c>
      <c r="Z62" s="26">
        <v>0</v>
      </c>
      <c r="AA62" s="26">
        <v>0</v>
      </c>
      <c r="AB62" s="26">
        <v>0</v>
      </c>
      <c r="AC62" s="26">
        <v>1841.6666700000001</v>
      </c>
      <c r="AD62" s="26">
        <v>0</v>
      </c>
      <c r="AE62" s="26">
        <v>0</v>
      </c>
      <c r="AF62" s="26">
        <v>0</v>
      </c>
      <c r="AG62" s="26">
        <v>0</v>
      </c>
      <c r="AH62" s="26">
        <v>0</v>
      </c>
      <c r="AI62" s="26">
        <v>0</v>
      </c>
      <c r="AJ62" s="26">
        <v>0</v>
      </c>
      <c r="AK62" s="26">
        <v>0</v>
      </c>
      <c r="AL62" s="26">
        <v>0</v>
      </c>
      <c r="AM62" s="26">
        <v>0</v>
      </c>
      <c r="AN62" s="26">
        <v>0</v>
      </c>
      <c r="AO62" s="26">
        <v>0</v>
      </c>
      <c r="AP62" s="26">
        <v>0</v>
      </c>
      <c r="AQ62" s="26">
        <v>0</v>
      </c>
      <c r="AR62" s="26">
        <v>0</v>
      </c>
      <c r="AS62" s="26">
        <v>0</v>
      </c>
      <c r="AT62" s="26">
        <v>0</v>
      </c>
      <c r="AU62" s="26">
        <v>0</v>
      </c>
      <c r="AV62" s="26">
        <v>0</v>
      </c>
      <c r="AW62" s="26">
        <v>0</v>
      </c>
      <c r="AX62" s="26">
        <v>0</v>
      </c>
      <c r="AY62" s="26">
        <v>0</v>
      </c>
      <c r="AZ62" s="26">
        <v>0</v>
      </c>
      <c r="BA62" s="26">
        <v>0</v>
      </c>
      <c r="BB62" s="26">
        <v>0</v>
      </c>
      <c r="BC62" s="26">
        <v>0</v>
      </c>
      <c r="BD62" s="26">
        <v>0</v>
      </c>
      <c r="BE62" s="26">
        <v>0</v>
      </c>
      <c r="BF62" s="26">
        <v>0</v>
      </c>
      <c r="BG62" s="26">
        <v>0</v>
      </c>
      <c r="BH62" s="26">
        <v>0</v>
      </c>
      <c r="BI62" s="26">
        <v>0</v>
      </c>
      <c r="BJ62" s="26">
        <v>0</v>
      </c>
      <c r="BK62" s="26">
        <v>0</v>
      </c>
      <c r="BL62" s="26">
        <v>0</v>
      </c>
      <c r="BM62" s="26">
        <v>0</v>
      </c>
      <c r="BN62" s="26">
        <v>0</v>
      </c>
      <c r="BO62" s="26">
        <v>26.471871499999999</v>
      </c>
      <c r="BP62" s="26">
        <v>1980.28674</v>
      </c>
      <c r="BQ62" s="26">
        <v>20.894962499999998</v>
      </c>
      <c r="BR62" s="26">
        <v>20</v>
      </c>
      <c r="BS62" s="26">
        <v>3.4022981999999997</v>
      </c>
      <c r="BT62" s="26">
        <v>0</v>
      </c>
      <c r="BU62" s="26">
        <v>1</v>
      </c>
      <c r="BV62" s="26">
        <v>0</v>
      </c>
      <c r="BW62" s="26">
        <v>-154339.16899999999</v>
      </c>
      <c r="BX62" s="26">
        <v>-2063.15913</v>
      </c>
      <c r="BY62" s="26">
        <v>-4.0856466899999999</v>
      </c>
      <c r="BZ62" s="26">
        <v>-66.555222900000004</v>
      </c>
      <c r="CA62" s="26">
        <v>-0.88968999999999998</v>
      </c>
      <c r="CB62" s="26">
        <v>2.11150344E-2</v>
      </c>
      <c r="CC62" s="26">
        <v>1.57955672</v>
      </c>
      <c r="CD62" s="26">
        <v>74.807205800000006</v>
      </c>
      <c r="CE62" s="26">
        <v>19.100806299999999</v>
      </c>
      <c r="CF62" s="26">
        <v>0</v>
      </c>
      <c r="CG62" s="26">
        <v>0</v>
      </c>
      <c r="CH62" s="26">
        <v>0</v>
      </c>
      <c r="CI62" s="26">
        <v>0</v>
      </c>
      <c r="CJ62" s="26">
        <v>0</v>
      </c>
      <c r="CK62" s="26">
        <v>0</v>
      </c>
      <c r="CL62" s="26">
        <v>0</v>
      </c>
      <c r="CM62" s="26">
        <v>0</v>
      </c>
      <c r="CN62" s="26">
        <v>0</v>
      </c>
      <c r="CO62" s="26">
        <v>0</v>
      </c>
      <c r="CP62" s="26">
        <v>0</v>
      </c>
      <c r="CQ62" s="26">
        <v>0</v>
      </c>
      <c r="CR62" s="26">
        <v>0</v>
      </c>
      <c r="CS62" s="26">
        <v>0</v>
      </c>
      <c r="CT62" s="26">
        <v>0</v>
      </c>
      <c r="CU62" s="26">
        <v>0</v>
      </c>
      <c r="CV62" s="26">
        <v>0</v>
      </c>
      <c r="CW62" s="26">
        <v>0</v>
      </c>
      <c r="CX62" s="26">
        <v>0</v>
      </c>
      <c r="CY62" s="26">
        <v>0</v>
      </c>
      <c r="CZ62" s="26">
        <v>0</v>
      </c>
      <c r="DA62" s="26">
        <v>0</v>
      </c>
      <c r="DB62" s="26">
        <v>0</v>
      </c>
      <c r="DC62" s="26">
        <v>0</v>
      </c>
      <c r="DD62" s="26">
        <v>0</v>
      </c>
      <c r="DE62" s="26">
        <v>0</v>
      </c>
      <c r="DF62" s="26">
        <v>0</v>
      </c>
      <c r="DG62" s="26">
        <v>0</v>
      </c>
      <c r="DH62" s="26">
        <v>0</v>
      </c>
      <c r="DI62" s="26">
        <v>0</v>
      </c>
      <c r="DJ62" s="26">
        <v>0</v>
      </c>
      <c r="DK62" s="26">
        <v>0</v>
      </c>
      <c r="DL62" s="26">
        <v>0</v>
      </c>
      <c r="DM62" s="26">
        <v>0</v>
      </c>
      <c r="DN62" s="26">
        <v>0</v>
      </c>
      <c r="DO62" s="26">
        <v>0</v>
      </c>
      <c r="DP62" s="26">
        <v>0</v>
      </c>
      <c r="DQ62" s="26">
        <v>0</v>
      </c>
      <c r="DR62" s="26">
        <v>0</v>
      </c>
      <c r="DS62" s="26">
        <v>0</v>
      </c>
      <c r="DT62" s="26">
        <v>0</v>
      </c>
      <c r="DU62" s="26">
        <v>0</v>
      </c>
      <c r="DV62" s="26">
        <v>0</v>
      </c>
      <c r="DW62" s="26">
        <v>0</v>
      </c>
      <c r="DX62" s="26">
        <v>0</v>
      </c>
      <c r="DY62" s="26">
        <v>0</v>
      </c>
      <c r="DZ62" s="26">
        <v>0</v>
      </c>
      <c r="EA62" s="26">
        <v>0</v>
      </c>
      <c r="EB62" s="26">
        <v>0</v>
      </c>
      <c r="EC62" s="26">
        <v>0</v>
      </c>
      <c r="ED62" s="26">
        <v>0</v>
      </c>
      <c r="EE62" s="26">
        <v>0</v>
      </c>
      <c r="EF62" s="26">
        <v>0</v>
      </c>
      <c r="EG62" s="26">
        <v>0</v>
      </c>
      <c r="EH62" s="26">
        <v>0</v>
      </c>
      <c r="EI62" s="26">
        <v>0</v>
      </c>
      <c r="EJ62" s="26">
        <v>0</v>
      </c>
      <c r="EK62" s="26">
        <v>0</v>
      </c>
      <c r="EL62" s="26">
        <v>0</v>
      </c>
      <c r="EM62" s="26">
        <v>0</v>
      </c>
      <c r="EN62" s="26">
        <v>0</v>
      </c>
      <c r="EO62" s="26">
        <v>0</v>
      </c>
      <c r="EP62" s="26">
        <v>0</v>
      </c>
      <c r="EQ62" s="26">
        <v>0</v>
      </c>
      <c r="ER62" s="26">
        <v>0</v>
      </c>
      <c r="ES62" s="26">
        <v>0</v>
      </c>
      <c r="ET62" s="26">
        <v>3.4022981999999997</v>
      </c>
      <c r="EU62" s="26">
        <v>0</v>
      </c>
      <c r="EV62" s="26">
        <v>0</v>
      </c>
      <c r="EW62" s="26">
        <v>0</v>
      </c>
      <c r="EX62" s="26">
        <v>0</v>
      </c>
      <c r="EY62" s="26">
        <v>0</v>
      </c>
      <c r="EZ62" s="26">
        <v>0</v>
      </c>
      <c r="FA62" s="26">
        <v>0</v>
      </c>
      <c r="FB62" s="26">
        <v>0</v>
      </c>
      <c r="FC62" s="26">
        <v>0</v>
      </c>
      <c r="FD62" s="26">
        <v>0</v>
      </c>
      <c r="FE62" s="26">
        <v>0</v>
      </c>
      <c r="FF62" s="26">
        <v>0</v>
      </c>
      <c r="FG62" s="26">
        <v>0</v>
      </c>
      <c r="FH62" s="26">
        <v>-4748682.7834900003</v>
      </c>
      <c r="FI62" s="26">
        <v>0</v>
      </c>
      <c r="FJ62" s="26">
        <v>0</v>
      </c>
      <c r="FK62" s="26">
        <v>0</v>
      </c>
      <c r="FL62" s="26">
        <v>0</v>
      </c>
      <c r="FM62" s="26">
        <v>0</v>
      </c>
      <c r="FN62" s="26">
        <v>0</v>
      </c>
      <c r="FO62" s="26">
        <v>0</v>
      </c>
      <c r="FP62" s="26">
        <v>0</v>
      </c>
      <c r="FQ62" s="26">
        <v>0</v>
      </c>
      <c r="FR62" s="26">
        <v>0</v>
      </c>
      <c r="FS62" s="26">
        <v>0</v>
      </c>
      <c r="FT62" s="26">
        <v>0</v>
      </c>
      <c r="FU62" s="26">
        <v>0</v>
      </c>
      <c r="FV62" s="26">
        <v>0</v>
      </c>
      <c r="FW62" s="26">
        <v>0</v>
      </c>
      <c r="FX62" s="26">
        <v>0</v>
      </c>
      <c r="FY62" s="26">
        <v>0</v>
      </c>
      <c r="FZ62" s="26">
        <v>0</v>
      </c>
      <c r="GA62" s="26">
        <v>0</v>
      </c>
      <c r="GB62" s="26">
        <v>0</v>
      </c>
      <c r="GC62" s="26">
        <v>0</v>
      </c>
      <c r="GD62" s="26">
        <v>0</v>
      </c>
      <c r="GE62" s="26">
        <v>0</v>
      </c>
      <c r="GF62" s="26">
        <v>0</v>
      </c>
      <c r="GG62" s="26">
        <v>0</v>
      </c>
      <c r="GH62" s="26">
        <v>0</v>
      </c>
      <c r="GI62" s="26">
        <v>0</v>
      </c>
      <c r="GJ62" s="26">
        <v>0</v>
      </c>
      <c r="GK62" s="26">
        <v>0</v>
      </c>
      <c r="GL62" s="26">
        <v>0</v>
      </c>
      <c r="GM62" s="26">
        <v>0</v>
      </c>
      <c r="GN62" s="26">
        <v>0</v>
      </c>
      <c r="GO62" s="26">
        <v>0</v>
      </c>
      <c r="GP62" s="26">
        <v>0</v>
      </c>
      <c r="GQ62" s="26">
        <v>0</v>
      </c>
      <c r="GR62" s="26">
        <v>0</v>
      </c>
      <c r="GS62" s="26">
        <v>0</v>
      </c>
      <c r="GT62" s="26">
        <v>0</v>
      </c>
      <c r="GU62" s="26">
        <v>0</v>
      </c>
      <c r="GV62" s="26">
        <v>0</v>
      </c>
      <c r="GW62" s="26">
        <v>0</v>
      </c>
      <c r="GX62" s="26">
        <v>0</v>
      </c>
      <c r="GY62" s="26">
        <v>0</v>
      </c>
      <c r="GZ62" s="26">
        <v>0</v>
      </c>
      <c r="HA62" s="26">
        <v>0</v>
      </c>
      <c r="HB62" s="26">
        <v>0</v>
      </c>
      <c r="HC62" s="26">
        <v>0</v>
      </c>
      <c r="HD62" s="26">
        <v>0</v>
      </c>
      <c r="HE62" s="26">
        <v>0</v>
      </c>
      <c r="HF62" s="26">
        <v>0</v>
      </c>
      <c r="HG62" s="26">
        <v>0</v>
      </c>
      <c r="HH62" s="26">
        <v>0</v>
      </c>
      <c r="HI62" s="26">
        <v>0</v>
      </c>
      <c r="HJ62" s="26">
        <v>0</v>
      </c>
      <c r="HK62" s="26">
        <v>0</v>
      </c>
      <c r="HL62" s="26">
        <v>0</v>
      </c>
      <c r="HM62" s="26">
        <v>0</v>
      </c>
      <c r="HN62" s="26">
        <v>0</v>
      </c>
      <c r="HO62" s="26">
        <v>0</v>
      </c>
      <c r="HP62" s="26">
        <v>0</v>
      </c>
      <c r="HQ62" s="26">
        <v>0</v>
      </c>
      <c r="HR62" s="26">
        <v>0</v>
      </c>
      <c r="HS62" s="26">
        <v>0</v>
      </c>
      <c r="HT62" s="26">
        <v>0</v>
      </c>
    </row>
    <row r="63" spans="2:228" x14ac:dyDescent="0.2">
      <c r="B63" s="27" t="s">
        <v>1333</v>
      </c>
      <c r="C63" s="26">
        <v>0.32532704899999998</v>
      </c>
      <c r="D63" s="26">
        <v>-6.7120147500000001E-4</v>
      </c>
      <c r="E63" s="26">
        <v>2.2772893400000001E-2</v>
      </c>
      <c r="F63" s="26">
        <v>0</v>
      </c>
      <c r="G63" s="26">
        <v>0</v>
      </c>
      <c r="H63" s="26">
        <v>0</v>
      </c>
      <c r="I63" s="26">
        <v>0</v>
      </c>
      <c r="J63" s="26">
        <v>0</v>
      </c>
      <c r="K63" s="26">
        <v>0</v>
      </c>
      <c r="L63" s="26">
        <v>0</v>
      </c>
      <c r="M63" s="26">
        <v>0</v>
      </c>
      <c r="N63" s="26">
        <v>0</v>
      </c>
      <c r="O63" s="26">
        <v>0</v>
      </c>
      <c r="P63" s="26">
        <v>0</v>
      </c>
      <c r="Q63" s="26">
        <v>0</v>
      </c>
      <c r="R63" s="26">
        <v>0</v>
      </c>
      <c r="S63" s="26">
        <v>0</v>
      </c>
      <c r="T63" s="26">
        <v>0</v>
      </c>
      <c r="U63" s="26">
        <v>0</v>
      </c>
      <c r="V63" s="26">
        <v>0</v>
      </c>
      <c r="W63" s="26">
        <v>0</v>
      </c>
      <c r="X63" s="26">
        <v>0</v>
      </c>
      <c r="Y63" s="26">
        <v>0</v>
      </c>
      <c r="Z63" s="26">
        <v>0</v>
      </c>
      <c r="AA63" s="26">
        <v>0</v>
      </c>
      <c r="AB63" s="26">
        <v>0</v>
      </c>
      <c r="AC63" s="26">
        <v>0.30255415499999999</v>
      </c>
      <c r="AD63" s="26">
        <v>0</v>
      </c>
      <c r="AE63" s="26">
        <v>0</v>
      </c>
      <c r="AF63" s="26">
        <v>0</v>
      </c>
      <c r="AG63" s="26">
        <v>0</v>
      </c>
      <c r="AH63" s="26">
        <v>0</v>
      </c>
      <c r="AI63" s="26">
        <v>0</v>
      </c>
      <c r="AJ63" s="26">
        <v>0</v>
      </c>
      <c r="AK63" s="26">
        <v>0</v>
      </c>
      <c r="AL63" s="26">
        <v>0</v>
      </c>
      <c r="AM63" s="26">
        <v>0</v>
      </c>
      <c r="AN63" s="26">
        <v>0</v>
      </c>
      <c r="AO63" s="26">
        <v>0</v>
      </c>
      <c r="AP63" s="26">
        <v>0</v>
      </c>
      <c r="AQ63" s="26">
        <v>0</v>
      </c>
      <c r="AR63" s="26">
        <v>0</v>
      </c>
      <c r="AS63" s="26">
        <v>0</v>
      </c>
      <c r="AT63" s="26">
        <v>0</v>
      </c>
      <c r="AU63" s="26">
        <v>0</v>
      </c>
      <c r="AV63" s="26">
        <v>0</v>
      </c>
      <c r="AW63" s="26">
        <v>0</v>
      </c>
      <c r="AX63" s="26">
        <v>0</v>
      </c>
      <c r="AY63" s="26">
        <v>0</v>
      </c>
      <c r="AZ63" s="26">
        <v>0</v>
      </c>
      <c r="BA63" s="26">
        <v>0</v>
      </c>
      <c r="BB63" s="26">
        <v>0</v>
      </c>
      <c r="BC63" s="26">
        <v>0</v>
      </c>
      <c r="BD63" s="26">
        <v>0</v>
      </c>
      <c r="BE63" s="26">
        <v>0</v>
      </c>
      <c r="BF63" s="26">
        <v>0</v>
      </c>
      <c r="BG63" s="26">
        <v>0</v>
      </c>
      <c r="BH63" s="26">
        <v>0</v>
      </c>
      <c r="BI63" s="26">
        <v>0</v>
      </c>
      <c r="BJ63" s="26">
        <v>0</v>
      </c>
      <c r="BK63" s="26">
        <v>0</v>
      </c>
      <c r="BL63" s="26">
        <v>0</v>
      </c>
      <c r="BM63" s="26">
        <v>0</v>
      </c>
      <c r="BN63" s="26">
        <v>0</v>
      </c>
      <c r="BO63" s="26">
        <v>4.3488731499999999E-3</v>
      </c>
      <c r="BP63" s="26">
        <v>0.32532704899999998</v>
      </c>
      <c r="BQ63" s="26">
        <v>3.43268294E-3</v>
      </c>
      <c r="BR63" s="26">
        <v>20</v>
      </c>
      <c r="BS63" s="26">
        <v>3.4</v>
      </c>
      <c r="BT63" s="26">
        <v>0</v>
      </c>
      <c r="BU63" s="26">
        <v>1</v>
      </c>
      <c r="BV63" s="26">
        <v>0</v>
      </c>
      <c r="BW63" s="26">
        <v>-154339.16899999999</v>
      </c>
      <c r="BX63" s="26">
        <v>-2063.15913</v>
      </c>
      <c r="BY63" s="26">
        <v>-6.7120147500000001E-4</v>
      </c>
      <c r="BZ63" s="26">
        <v>-66.555222900000004</v>
      </c>
      <c r="CA63" s="26">
        <v>-0.88968999999999998</v>
      </c>
      <c r="CB63" s="26">
        <v>2.11150344E-2</v>
      </c>
      <c r="CC63" s="26">
        <v>1.57955672</v>
      </c>
      <c r="CD63" s="26">
        <v>74.807205800000006</v>
      </c>
      <c r="CE63" s="26">
        <v>3.1379339300000001E-3</v>
      </c>
      <c r="CF63" s="26">
        <v>0</v>
      </c>
      <c r="CG63" s="26">
        <v>0</v>
      </c>
      <c r="CH63" s="26">
        <v>0</v>
      </c>
      <c r="CI63" s="26">
        <v>0</v>
      </c>
      <c r="CJ63" s="26">
        <v>0</v>
      </c>
      <c r="CK63" s="26">
        <v>0</v>
      </c>
      <c r="CL63" s="26">
        <v>0</v>
      </c>
      <c r="CM63" s="26">
        <v>0</v>
      </c>
      <c r="CN63" s="26">
        <v>0</v>
      </c>
      <c r="CO63" s="26">
        <v>0</v>
      </c>
      <c r="CP63" s="26">
        <v>0</v>
      </c>
      <c r="CQ63" s="26">
        <v>0</v>
      </c>
      <c r="CR63" s="26">
        <v>0</v>
      </c>
      <c r="CS63" s="26">
        <v>0</v>
      </c>
      <c r="CT63" s="26">
        <v>0</v>
      </c>
      <c r="CU63" s="26">
        <v>0</v>
      </c>
      <c r="CV63" s="26">
        <v>0</v>
      </c>
      <c r="CW63" s="26">
        <v>0</v>
      </c>
      <c r="CX63" s="26">
        <v>0</v>
      </c>
      <c r="CY63" s="26">
        <v>0</v>
      </c>
      <c r="CZ63" s="26">
        <v>0</v>
      </c>
      <c r="DA63" s="26">
        <v>0</v>
      </c>
      <c r="DB63" s="26">
        <v>0</v>
      </c>
      <c r="DC63" s="26">
        <v>0</v>
      </c>
      <c r="DD63" s="26">
        <v>0</v>
      </c>
      <c r="DE63" s="26">
        <v>0</v>
      </c>
      <c r="DF63" s="26">
        <v>0</v>
      </c>
      <c r="DG63" s="26">
        <v>0</v>
      </c>
      <c r="DH63" s="26">
        <v>0</v>
      </c>
      <c r="DI63" s="26">
        <v>0</v>
      </c>
      <c r="DJ63" s="26">
        <v>0</v>
      </c>
      <c r="DK63" s="26">
        <v>0</v>
      </c>
      <c r="DL63" s="26">
        <v>0</v>
      </c>
      <c r="DM63" s="26">
        <v>0</v>
      </c>
      <c r="DN63" s="26">
        <v>0</v>
      </c>
      <c r="DO63" s="26">
        <v>0</v>
      </c>
      <c r="DP63" s="26">
        <v>0</v>
      </c>
      <c r="DQ63" s="26">
        <v>0</v>
      </c>
      <c r="DR63" s="26">
        <v>0</v>
      </c>
      <c r="DS63" s="26">
        <v>0</v>
      </c>
      <c r="DT63" s="26">
        <v>0</v>
      </c>
      <c r="DU63" s="26">
        <v>0</v>
      </c>
      <c r="DV63" s="26">
        <v>0</v>
      </c>
      <c r="DW63" s="26">
        <v>0</v>
      </c>
      <c r="DX63" s="26">
        <v>0</v>
      </c>
      <c r="DY63" s="26">
        <v>0</v>
      </c>
      <c r="DZ63" s="26">
        <v>0</v>
      </c>
      <c r="EA63" s="26">
        <v>0</v>
      </c>
      <c r="EB63" s="26">
        <v>0</v>
      </c>
      <c r="EC63" s="26">
        <v>0</v>
      </c>
      <c r="ED63" s="26">
        <v>0</v>
      </c>
      <c r="EE63" s="26">
        <v>0</v>
      </c>
      <c r="EF63" s="26">
        <v>0</v>
      </c>
      <c r="EG63" s="26">
        <v>0</v>
      </c>
      <c r="EH63" s="26">
        <v>0</v>
      </c>
      <c r="EI63" s="26">
        <v>0</v>
      </c>
      <c r="EJ63" s="26">
        <v>0</v>
      </c>
      <c r="EK63" s="26">
        <v>0</v>
      </c>
      <c r="EL63" s="26">
        <v>0</v>
      </c>
      <c r="EM63" s="26">
        <v>0</v>
      </c>
      <c r="EN63" s="26">
        <v>0</v>
      </c>
      <c r="EO63" s="26">
        <v>0</v>
      </c>
      <c r="EP63" s="26">
        <v>0</v>
      </c>
      <c r="EQ63" s="26">
        <v>0</v>
      </c>
      <c r="ER63" s="26">
        <v>0</v>
      </c>
      <c r="ES63" s="26">
        <v>0</v>
      </c>
      <c r="ET63" s="26">
        <v>3.4</v>
      </c>
      <c r="EU63" s="26">
        <v>0</v>
      </c>
      <c r="EV63" s="26">
        <v>0</v>
      </c>
      <c r="EW63" s="26">
        <v>0</v>
      </c>
      <c r="EX63" s="26">
        <v>0</v>
      </c>
      <c r="EY63" s="26">
        <v>0</v>
      </c>
      <c r="EZ63" s="26">
        <v>0</v>
      </c>
      <c r="FA63" s="26">
        <v>0</v>
      </c>
      <c r="FB63" s="26">
        <v>0</v>
      </c>
      <c r="FC63" s="26">
        <v>0</v>
      </c>
      <c r="FD63" s="26">
        <v>0</v>
      </c>
      <c r="FE63" s="26">
        <v>0</v>
      </c>
      <c r="FF63" s="26">
        <v>0</v>
      </c>
      <c r="FG63" s="26">
        <v>0</v>
      </c>
      <c r="FH63" s="26">
        <v>-780.12690105900003</v>
      </c>
      <c r="FI63" s="26">
        <v>0</v>
      </c>
      <c r="FJ63" s="26">
        <v>0</v>
      </c>
      <c r="FK63" s="26">
        <v>0</v>
      </c>
      <c r="FL63" s="26">
        <v>0</v>
      </c>
      <c r="FM63" s="26">
        <v>0</v>
      </c>
      <c r="FN63" s="26">
        <v>0</v>
      </c>
      <c r="FO63" s="26">
        <v>0</v>
      </c>
      <c r="FP63" s="26">
        <v>0</v>
      </c>
      <c r="FQ63" s="26">
        <v>0</v>
      </c>
      <c r="FR63" s="26">
        <v>0</v>
      </c>
      <c r="FS63" s="26">
        <v>0</v>
      </c>
      <c r="FT63" s="26">
        <v>0</v>
      </c>
      <c r="FU63" s="26">
        <v>0</v>
      </c>
      <c r="FV63" s="26">
        <v>0</v>
      </c>
      <c r="FW63" s="26">
        <v>0</v>
      </c>
      <c r="FX63" s="26">
        <v>0</v>
      </c>
      <c r="FY63" s="26">
        <v>0</v>
      </c>
      <c r="FZ63" s="26">
        <v>0</v>
      </c>
      <c r="GA63" s="26">
        <v>0</v>
      </c>
      <c r="GB63" s="26">
        <v>0</v>
      </c>
      <c r="GC63" s="26">
        <v>0</v>
      </c>
      <c r="GD63" s="26">
        <v>0</v>
      </c>
      <c r="GE63" s="26">
        <v>0</v>
      </c>
      <c r="GF63" s="26">
        <v>0</v>
      </c>
      <c r="GG63" s="26">
        <v>0</v>
      </c>
      <c r="GH63" s="26">
        <v>0</v>
      </c>
      <c r="GI63" s="26">
        <v>0</v>
      </c>
      <c r="GJ63" s="26">
        <v>0</v>
      </c>
      <c r="GK63" s="26">
        <v>0</v>
      </c>
      <c r="GL63" s="26">
        <v>0</v>
      </c>
      <c r="GM63" s="26">
        <v>0</v>
      </c>
      <c r="GN63" s="26">
        <v>0</v>
      </c>
      <c r="GO63" s="26">
        <v>0</v>
      </c>
      <c r="GP63" s="26">
        <v>0</v>
      </c>
      <c r="GQ63" s="26">
        <v>0</v>
      </c>
      <c r="GR63" s="26">
        <v>0</v>
      </c>
      <c r="GS63" s="26">
        <v>0</v>
      </c>
      <c r="GT63" s="26">
        <v>0</v>
      </c>
      <c r="GU63" s="26">
        <v>0</v>
      </c>
      <c r="GV63" s="26">
        <v>0</v>
      </c>
      <c r="GW63" s="26">
        <v>0</v>
      </c>
      <c r="GX63" s="26">
        <v>0</v>
      </c>
      <c r="GY63" s="26">
        <v>0</v>
      </c>
      <c r="GZ63" s="26">
        <v>0</v>
      </c>
      <c r="HA63" s="26">
        <v>0</v>
      </c>
      <c r="HB63" s="26">
        <v>0</v>
      </c>
      <c r="HC63" s="26">
        <v>0</v>
      </c>
      <c r="HD63" s="26">
        <v>0</v>
      </c>
      <c r="HE63" s="26">
        <v>0</v>
      </c>
      <c r="HF63" s="26">
        <v>0</v>
      </c>
      <c r="HG63" s="26">
        <v>0</v>
      </c>
      <c r="HH63" s="26">
        <v>0</v>
      </c>
      <c r="HI63" s="26">
        <v>0</v>
      </c>
      <c r="HJ63" s="26">
        <v>0</v>
      </c>
      <c r="HK63" s="26">
        <v>0</v>
      </c>
      <c r="HL63" s="26">
        <v>0</v>
      </c>
      <c r="HM63" s="26">
        <v>0</v>
      </c>
      <c r="HN63" s="26">
        <v>0</v>
      </c>
      <c r="HO63" s="26">
        <v>0</v>
      </c>
      <c r="HP63" s="26">
        <v>0</v>
      </c>
      <c r="HQ63" s="26">
        <v>0</v>
      </c>
      <c r="HR63" s="26">
        <v>0</v>
      </c>
      <c r="HS63" s="26">
        <v>0</v>
      </c>
      <c r="HT63" s="26">
        <v>0</v>
      </c>
    </row>
    <row r="64" spans="2:228" x14ac:dyDescent="0.2">
      <c r="B64" s="27" t="s">
        <v>1349</v>
      </c>
      <c r="C64" s="26">
        <v>429873.44099999999</v>
      </c>
      <c r="D64" s="26">
        <v>-1405.7180499999999</v>
      </c>
      <c r="E64" s="26">
        <v>341382.23800000001</v>
      </c>
      <c r="F64" s="26">
        <v>5.8779036800000002</v>
      </c>
      <c r="G64" s="26">
        <v>3550.2458900000001</v>
      </c>
      <c r="H64" s="26">
        <v>1179.6069600000001</v>
      </c>
      <c r="I64" s="26">
        <v>494.93998199999999</v>
      </c>
      <c r="J64" s="26">
        <v>16476.311399999999</v>
      </c>
      <c r="K64" s="26">
        <v>2007.8659200000002</v>
      </c>
      <c r="L64" s="26">
        <v>1.4712044599999999E-4</v>
      </c>
      <c r="M64" s="26">
        <v>0</v>
      </c>
      <c r="N64" s="26">
        <v>87.614647399999996</v>
      </c>
      <c r="O64" s="26">
        <v>28.596618400000004</v>
      </c>
      <c r="P64" s="26">
        <v>11.998581100000001</v>
      </c>
      <c r="Q64" s="26">
        <v>390.551108</v>
      </c>
      <c r="R64" s="26">
        <v>47.594041799999999</v>
      </c>
      <c r="S64" s="26">
        <v>12208.3331</v>
      </c>
      <c r="T64" s="26">
        <v>656.53966200000002</v>
      </c>
      <c r="U64" s="26">
        <v>369.27255600000001</v>
      </c>
      <c r="V64" s="26">
        <v>336.08816999999999</v>
      </c>
      <c r="W64" s="26">
        <v>0</v>
      </c>
      <c r="X64" s="26">
        <v>1.05094544</v>
      </c>
      <c r="Y64" s="26">
        <v>4.8241179799999997E-5</v>
      </c>
      <c r="Z64" s="26">
        <v>3.0721527100000001E-3</v>
      </c>
      <c r="AA64" s="26">
        <v>3.0084470800000001E-3</v>
      </c>
      <c r="AB64" s="26">
        <v>0</v>
      </c>
      <c r="AC64" s="26">
        <v>0</v>
      </c>
      <c r="AD64" s="26">
        <v>2481.5580500000001</v>
      </c>
      <c r="AE64" s="26">
        <v>1860.9805199999998</v>
      </c>
      <c r="AF64" s="26">
        <v>0</v>
      </c>
      <c r="AG64" s="26">
        <v>0</v>
      </c>
      <c r="AH64" s="26">
        <v>0</v>
      </c>
      <c r="AI64" s="26">
        <v>0</v>
      </c>
      <c r="AJ64" s="26">
        <v>0</v>
      </c>
      <c r="AK64" s="26">
        <v>0</v>
      </c>
      <c r="AL64" s="26">
        <v>0</v>
      </c>
      <c r="AM64" s="26">
        <v>1.5842626899999999E-5</v>
      </c>
      <c r="AN64" s="26">
        <v>0</v>
      </c>
      <c r="AO64" s="26">
        <v>0</v>
      </c>
      <c r="AP64" s="26">
        <v>0</v>
      </c>
      <c r="AQ64" s="26">
        <v>0</v>
      </c>
      <c r="AR64" s="26">
        <v>0</v>
      </c>
      <c r="AS64" s="26">
        <v>0</v>
      </c>
      <c r="AT64" s="26">
        <v>0</v>
      </c>
      <c r="AU64" s="26">
        <v>0</v>
      </c>
      <c r="AV64" s="26">
        <v>0</v>
      </c>
      <c r="AW64" s="26">
        <v>0</v>
      </c>
      <c r="AX64" s="26">
        <v>0</v>
      </c>
      <c r="AY64" s="26">
        <v>0</v>
      </c>
      <c r="AZ64" s="26">
        <v>0</v>
      </c>
      <c r="BA64" s="26">
        <v>0</v>
      </c>
      <c r="BB64" s="26">
        <v>0</v>
      </c>
      <c r="BC64" s="26">
        <v>0</v>
      </c>
      <c r="BD64" s="26">
        <v>0</v>
      </c>
      <c r="BE64" s="26">
        <v>0</v>
      </c>
      <c r="BF64" s="26">
        <v>0</v>
      </c>
      <c r="BG64" s="26">
        <v>0</v>
      </c>
      <c r="BH64" s="26">
        <v>0</v>
      </c>
      <c r="BI64" s="26">
        <v>0</v>
      </c>
      <c r="BJ64" s="26">
        <v>0</v>
      </c>
      <c r="BK64" s="26">
        <v>0</v>
      </c>
      <c r="BL64" s="26">
        <v>0</v>
      </c>
      <c r="BM64" s="26">
        <v>0</v>
      </c>
      <c r="BN64" s="26">
        <v>0</v>
      </c>
      <c r="BO64" s="26">
        <v>19227.3894</v>
      </c>
      <c r="BP64" s="26">
        <v>383577.27</v>
      </c>
      <c r="BQ64" s="26">
        <v>6443.1716800000004</v>
      </c>
      <c r="BR64" s="26">
        <v>77.472480399999995</v>
      </c>
      <c r="BS64" s="26">
        <v>3.4</v>
      </c>
      <c r="BT64" s="26">
        <v>0</v>
      </c>
      <c r="BU64" s="26">
        <v>1</v>
      </c>
      <c r="BV64" s="26">
        <v>0</v>
      </c>
      <c r="BW64" s="26">
        <v>-69965.992400000003</v>
      </c>
      <c r="BX64" s="26">
        <v>-3507.1509299999998</v>
      </c>
      <c r="BY64" s="26">
        <v>-1345.2633900000001</v>
      </c>
      <c r="BZ64" s="26">
        <v>-38.493411600000002</v>
      </c>
      <c r="CA64" s="26">
        <v>-1.92954033</v>
      </c>
      <c r="CB64" s="26">
        <v>4.9735829199999998E-2</v>
      </c>
      <c r="CC64" s="26">
        <v>0.99220612900000005</v>
      </c>
      <c r="CD64" s="26">
        <v>19.949524199999999</v>
      </c>
      <c r="CE64" s="26">
        <v>0</v>
      </c>
      <c r="CF64" s="26">
        <v>0</v>
      </c>
      <c r="CG64" s="26">
        <v>0</v>
      </c>
      <c r="CH64" s="26">
        <v>0</v>
      </c>
      <c r="CI64" s="26">
        <v>0</v>
      </c>
      <c r="CJ64" s="26">
        <v>0</v>
      </c>
      <c r="CK64" s="26">
        <v>0</v>
      </c>
      <c r="CL64" s="26">
        <v>0</v>
      </c>
      <c r="CM64" s="26">
        <v>0</v>
      </c>
      <c r="CN64" s="26">
        <v>0</v>
      </c>
      <c r="CO64" s="26">
        <v>0</v>
      </c>
      <c r="CP64" s="26">
        <v>0</v>
      </c>
      <c r="CQ64" s="26">
        <v>0</v>
      </c>
      <c r="CR64" s="26">
        <v>0</v>
      </c>
      <c r="CS64" s="26">
        <v>0</v>
      </c>
      <c r="CT64" s="26">
        <v>0</v>
      </c>
      <c r="CU64" s="26">
        <v>0</v>
      </c>
      <c r="CV64" s="26">
        <v>0</v>
      </c>
      <c r="CW64" s="26">
        <v>0</v>
      </c>
      <c r="CX64" s="26">
        <v>0</v>
      </c>
      <c r="CY64" s="26">
        <v>0</v>
      </c>
      <c r="CZ64" s="26">
        <v>0</v>
      </c>
      <c r="DA64" s="26">
        <v>0</v>
      </c>
      <c r="DB64" s="26">
        <v>0</v>
      </c>
      <c r="DC64" s="26">
        <v>0</v>
      </c>
      <c r="DD64" s="26">
        <v>0</v>
      </c>
      <c r="DE64" s="26">
        <v>0</v>
      </c>
      <c r="DF64" s="26">
        <v>0</v>
      </c>
      <c r="DG64" s="26">
        <v>0</v>
      </c>
      <c r="DH64" s="26">
        <v>0</v>
      </c>
      <c r="DI64" s="26">
        <v>0</v>
      </c>
      <c r="DJ64" s="26">
        <v>0</v>
      </c>
      <c r="DK64" s="26">
        <v>0</v>
      </c>
      <c r="DL64" s="26">
        <v>0</v>
      </c>
      <c r="DM64" s="26">
        <v>0</v>
      </c>
      <c r="DN64" s="26">
        <v>0</v>
      </c>
      <c r="DO64" s="26">
        <v>0</v>
      </c>
      <c r="DP64" s="26">
        <v>0</v>
      </c>
      <c r="DQ64" s="26">
        <v>0</v>
      </c>
      <c r="DR64" s="26">
        <v>0</v>
      </c>
      <c r="DS64" s="26">
        <v>0</v>
      </c>
      <c r="DT64" s="26">
        <v>0</v>
      </c>
      <c r="DU64" s="26">
        <v>0</v>
      </c>
      <c r="DV64" s="26">
        <v>0</v>
      </c>
      <c r="DW64" s="26">
        <v>0</v>
      </c>
      <c r="DX64" s="26">
        <v>26138.367999999999</v>
      </c>
      <c r="DY64" s="26">
        <v>30.979670600000002</v>
      </c>
      <c r="DZ64" s="26">
        <v>12.9984632</v>
      </c>
      <c r="EA64" s="26">
        <v>423.09997600000003</v>
      </c>
      <c r="EB64" s="26">
        <v>51.560570599999998</v>
      </c>
      <c r="EC64" s="26">
        <v>12475.191699999999</v>
      </c>
      <c r="ED64" s="26">
        <v>0</v>
      </c>
      <c r="EE64" s="26">
        <v>2583.0279399999999</v>
      </c>
      <c r="EF64" s="26">
        <v>4107.8476600000004</v>
      </c>
      <c r="EG64" s="26">
        <v>0</v>
      </c>
      <c r="EH64" s="26">
        <v>0</v>
      </c>
      <c r="EI64" s="26">
        <v>0</v>
      </c>
      <c r="EJ64" s="26">
        <v>0</v>
      </c>
      <c r="EK64" s="26">
        <v>0</v>
      </c>
      <c r="EL64" s="26">
        <v>473.096384</v>
      </c>
      <c r="EM64" s="26">
        <v>0</v>
      </c>
      <c r="EN64" s="26">
        <v>0</v>
      </c>
      <c r="EO64" s="26">
        <v>0</v>
      </c>
      <c r="EP64" s="26">
        <v>436.56173899999999</v>
      </c>
      <c r="EQ64" s="26">
        <v>46296.170299999998</v>
      </c>
      <c r="ER64" s="26">
        <v>328.72338300000001</v>
      </c>
      <c r="ES64" s="26">
        <v>77.472480399999995</v>
      </c>
      <c r="ET64" s="26">
        <v>3.4</v>
      </c>
      <c r="EU64" s="26">
        <v>0</v>
      </c>
      <c r="EV64" s="26">
        <v>0</v>
      </c>
      <c r="EW64" s="26">
        <v>1</v>
      </c>
      <c r="EX64" s="26">
        <v>-138479.06099999999</v>
      </c>
      <c r="EY64" s="26">
        <v>-1305.8242</v>
      </c>
      <c r="EZ64" s="26">
        <v>-60.454659899999996</v>
      </c>
      <c r="FA64" s="26">
        <v>-380.78287999999998</v>
      </c>
      <c r="FB64" s="26">
        <v>-3.59069087</v>
      </c>
      <c r="FC64" s="26">
        <v>2.2134199399999999E-2</v>
      </c>
      <c r="FD64" s="26">
        <v>2.3472708999999998</v>
      </c>
      <c r="FE64" s="26">
        <v>106.047247</v>
      </c>
      <c r="FF64" s="26">
        <v>0</v>
      </c>
      <c r="FG64" s="26">
        <v>0.234787518</v>
      </c>
      <c r="FH64" s="26">
        <v>-1656684300.6699998</v>
      </c>
      <c r="FI64" s="26">
        <v>0.37102110019039103</v>
      </c>
      <c r="FJ64" s="26">
        <v>0</v>
      </c>
      <c r="FK64" s="26">
        <v>0</v>
      </c>
      <c r="FL64" s="26">
        <v>0</v>
      </c>
      <c r="FM64" s="26">
        <v>0</v>
      </c>
      <c r="FN64" s="26">
        <v>0</v>
      </c>
      <c r="FO64" s="26">
        <v>0</v>
      </c>
      <c r="FP64" s="26">
        <v>0</v>
      </c>
      <c r="FQ64" s="26">
        <v>0</v>
      </c>
      <c r="FR64" s="26">
        <v>0</v>
      </c>
      <c r="FS64" s="26">
        <v>0</v>
      </c>
      <c r="FT64" s="26">
        <v>0</v>
      </c>
      <c r="FU64" s="26">
        <v>0</v>
      </c>
      <c r="FV64" s="26">
        <v>0</v>
      </c>
      <c r="FW64" s="26">
        <v>0</v>
      </c>
      <c r="FX64" s="26">
        <v>0</v>
      </c>
      <c r="FY64" s="26">
        <v>0</v>
      </c>
      <c r="FZ64" s="26">
        <v>0</v>
      </c>
      <c r="GA64" s="26">
        <v>0</v>
      </c>
      <c r="GB64" s="26">
        <v>0</v>
      </c>
      <c r="GC64" s="26">
        <v>0</v>
      </c>
      <c r="GD64" s="26">
        <v>0</v>
      </c>
      <c r="GE64" s="26">
        <v>0</v>
      </c>
      <c r="GF64" s="26">
        <v>0</v>
      </c>
      <c r="GG64" s="26">
        <v>0</v>
      </c>
      <c r="GH64" s="26">
        <v>0</v>
      </c>
      <c r="GI64" s="26">
        <v>0</v>
      </c>
      <c r="GJ64" s="26">
        <v>0</v>
      </c>
      <c r="GK64" s="26">
        <v>0</v>
      </c>
      <c r="GL64" s="26">
        <v>0</v>
      </c>
      <c r="GM64" s="26">
        <v>0</v>
      </c>
      <c r="GN64" s="26">
        <v>0</v>
      </c>
      <c r="GO64" s="26">
        <v>0</v>
      </c>
      <c r="GP64" s="26">
        <v>0</v>
      </c>
      <c r="GQ64" s="26">
        <v>0</v>
      </c>
      <c r="GR64" s="26">
        <v>0</v>
      </c>
      <c r="GS64" s="26">
        <v>0</v>
      </c>
      <c r="GT64" s="26">
        <v>0</v>
      </c>
      <c r="GU64" s="26">
        <v>0</v>
      </c>
      <c r="GV64" s="26">
        <v>0</v>
      </c>
      <c r="GW64" s="26">
        <v>0</v>
      </c>
      <c r="GX64" s="26">
        <v>0</v>
      </c>
      <c r="GY64" s="26">
        <v>0</v>
      </c>
      <c r="GZ64" s="26">
        <v>0</v>
      </c>
      <c r="HA64" s="26">
        <v>0</v>
      </c>
      <c r="HB64" s="26">
        <v>0</v>
      </c>
      <c r="HC64" s="26">
        <v>0</v>
      </c>
      <c r="HD64" s="26">
        <v>0</v>
      </c>
      <c r="HE64" s="26">
        <v>0</v>
      </c>
      <c r="HF64" s="26">
        <v>0</v>
      </c>
      <c r="HG64" s="26">
        <v>0</v>
      </c>
      <c r="HH64" s="26">
        <v>0</v>
      </c>
      <c r="HI64" s="26">
        <v>0</v>
      </c>
      <c r="HJ64" s="26">
        <v>0</v>
      </c>
      <c r="HK64" s="26">
        <v>0</v>
      </c>
      <c r="HL64" s="26">
        <v>0</v>
      </c>
      <c r="HM64" s="26">
        <v>0</v>
      </c>
      <c r="HN64" s="26">
        <v>0</v>
      </c>
      <c r="HO64" s="26">
        <v>0</v>
      </c>
      <c r="HP64" s="26">
        <v>0</v>
      </c>
      <c r="HQ64" s="26">
        <v>0</v>
      </c>
      <c r="HR64" s="26">
        <v>0</v>
      </c>
      <c r="HS64" s="26">
        <v>0</v>
      </c>
      <c r="HT64" s="26">
        <v>0.49211717060360399</v>
      </c>
    </row>
    <row r="65" spans="2:228" x14ac:dyDescent="0.2">
      <c r="B65" s="27" t="s">
        <v>2388</v>
      </c>
      <c r="C65" s="26">
        <v>429873.44099999999</v>
      </c>
      <c r="D65" s="26">
        <v>-1405.7180499999999</v>
      </c>
      <c r="E65" s="26">
        <v>341382.23800000001</v>
      </c>
      <c r="F65" s="26">
        <v>5.8779036800000002</v>
      </c>
      <c r="G65" s="26">
        <v>3550.2458900000001</v>
      </c>
      <c r="H65" s="26">
        <v>1179.6069600000001</v>
      </c>
      <c r="I65" s="26">
        <v>494.93998199999999</v>
      </c>
      <c r="J65" s="26">
        <v>16476.311399999999</v>
      </c>
      <c r="K65" s="26">
        <v>2007.8659200000002</v>
      </c>
      <c r="L65" s="26">
        <v>1.4712044599999999E-4</v>
      </c>
      <c r="M65" s="26">
        <v>0</v>
      </c>
      <c r="N65" s="26">
        <v>87.614647399999996</v>
      </c>
      <c r="O65" s="26">
        <v>28.596618400000004</v>
      </c>
      <c r="P65" s="26">
        <v>11.998581100000001</v>
      </c>
      <c r="Q65" s="26">
        <v>390.551108</v>
      </c>
      <c r="R65" s="26">
        <v>47.594041799999999</v>
      </c>
      <c r="S65" s="26">
        <v>12208.3331</v>
      </c>
      <c r="T65" s="26">
        <v>656.53966200000002</v>
      </c>
      <c r="U65" s="26">
        <v>369.27255600000001</v>
      </c>
      <c r="V65" s="26">
        <v>336.08816999999999</v>
      </c>
      <c r="W65" s="26">
        <v>0</v>
      </c>
      <c r="X65" s="26">
        <v>1.05094544</v>
      </c>
      <c r="Y65" s="26">
        <v>4.8241179799999997E-5</v>
      </c>
      <c r="Z65" s="26">
        <v>3.0721527100000001E-3</v>
      </c>
      <c r="AA65" s="26">
        <v>3.0084470800000001E-3</v>
      </c>
      <c r="AB65" s="26">
        <v>0</v>
      </c>
      <c r="AC65" s="26">
        <v>0</v>
      </c>
      <c r="AD65" s="26">
        <v>2481.5580500000001</v>
      </c>
      <c r="AE65" s="26">
        <v>1860.9805199999998</v>
      </c>
      <c r="AF65" s="26">
        <v>0</v>
      </c>
      <c r="AG65" s="26">
        <v>0</v>
      </c>
      <c r="AH65" s="26">
        <v>0</v>
      </c>
      <c r="AI65" s="26">
        <v>0</v>
      </c>
      <c r="AJ65" s="26">
        <v>0</v>
      </c>
      <c r="AK65" s="26">
        <v>0</v>
      </c>
      <c r="AL65" s="26">
        <v>0</v>
      </c>
      <c r="AM65" s="26">
        <v>1.5842626899999999E-5</v>
      </c>
      <c r="AN65" s="26">
        <v>0</v>
      </c>
      <c r="AO65" s="26">
        <v>0</v>
      </c>
      <c r="AP65" s="26">
        <v>0</v>
      </c>
      <c r="AQ65" s="26">
        <v>0</v>
      </c>
      <c r="AR65" s="26">
        <v>0</v>
      </c>
      <c r="AS65" s="26">
        <v>0</v>
      </c>
      <c r="AT65" s="26">
        <v>0</v>
      </c>
      <c r="AU65" s="26">
        <v>0</v>
      </c>
      <c r="AV65" s="26">
        <v>0</v>
      </c>
      <c r="AW65" s="26">
        <v>0</v>
      </c>
      <c r="AX65" s="26">
        <v>0</v>
      </c>
      <c r="AY65" s="26">
        <v>0</v>
      </c>
      <c r="AZ65" s="26">
        <v>0</v>
      </c>
      <c r="BA65" s="26">
        <v>0</v>
      </c>
      <c r="BB65" s="26">
        <v>0</v>
      </c>
      <c r="BC65" s="26">
        <v>0</v>
      </c>
      <c r="BD65" s="26">
        <v>0</v>
      </c>
      <c r="BE65" s="26">
        <v>0</v>
      </c>
      <c r="BF65" s="26">
        <v>0</v>
      </c>
      <c r="BG65" s="26">
        <v>0</v>
      </c>
      <c r="BH65" s="26">
        <v>0</v>
      </c>
      <c r="BI65" s="26">
        <v>0</v>
      </c>
      <c r="BJ65" s="26">
        <v>0</v>
      </c>
      <c r="BK65" s="26">
        <v>0</v>
      </c>
      <c r="BL65" s="26">
        <v>0</v>
      </c>
      <c r="BM65" s="26">
        <v>0</v>
      </c>
      <c r="BN65" s="26">
        <v>0</v>
      </c>
      <c r="BO65" s="26">
        <v>19227.3894</v>
      </c>
      <c r="BP65" s="26">
        <v>383577.27</v>
      </c>
      <c r="BQ65" s="26">
        <v>6443.1716800000004</v>
      </c>
      <c r="BR65" s="26">
        <v>77.472480399999995</v>
      </c>
      <c r="BS65" s="26">
        <v>3.4</v>
      </c>
      <c r="BT65" s="26">
        <v>0</v>
      </c>
      <c r="BU65" s="26">
        <v>1</v>
      </c>
      <c r="BV65" s="26">
        <v>0</v>
      </c>
      <c r="BW65" s="26">
        <v>-69965.992400000003</v>
      </c>
      <c r="BX65" s="26">
        <v>-3507.1509299999998</v>
      </c>
      <c r="BY65" s="26">
        <v>-1345.2633900000001</v>
      </c>
      <c r="BZ65" s="26">
        <v>-38.493411600000002</v>
      </c>
      <c r="CA65" s="26">
        <v>-1.92954033</v>
      </c>
      <c r="CB65" s="26">
        <v>4.9735829199999998E-2</v>
      </c>
      <c r="CC65" s="26">
        <v>0.99220612900000005</v>
      </c>
      <c r="CD65" s="26">
        <v>19.949524199999999</v>
      </c>
      <c r="CE65" s="26">
        <v>0</v>
      </c>
      <c r="CF65" s="26">
        <v>0</v>
      </c>
      <c r="CG65" s="26">
        <v>0</v>
      </c>
      <c r="CH65" s="26">
        <v>0</v>
      </c>
      <c r="CI65" s="26">
        <v>0</v>
      </c>
      <c r="CJ65" s="26">
        <v>0</v>
      </c>
      <c r="CK65" s="26">
        <v>0</v>
      </c>
      <c r="CL65" s="26">
        <v>0</v>
      </c>
      <c r="CM65" s="26">
        <v>0</v>
      </c>
      <c r="CN65" s="26">
        <v>0</v>
      </c>
      <c r="CO65" s="26">
        <v>0</v>
      </c>
      <c r="CP65" s="26">
        <v>0</v>
      </c>
      <c r="CQ65" s="26">
        <v>0</v>
      </c>
      <c r="CR65" s="26">
        <v>0</v>
      </c>
      <c r="CS65" s="26">
        <v>0</v>
      </c>
      <c r="CT65" s="26">
        <v>0</v>
      </c>
      <c r="CU65" s="26">
        <v>0</v>
      </c>
      <c r="CV65" s="26">
        <v>0</v>
      </c>
      <c r="CW65" s="26">
        <v>0</v>
      </c>
      <c r="CX65" s="26">
        <v>0</v>
      </c>
      <c r="CY65" s="26">
        <v>0</v>
      </c>
      <c r="CZ65" s="26">
        <v>0</v>
      </c>
      <c r="DA65" s="26">
        <v>0</v>
      </c>
      <c r="DB65" s="26">
        <v>0</v>
      </c>
      <c r="DC65" s="26">
        <v>0</v>
      </c>
      <c r="DD65" s="26">
        <v>0</v>
      </c>
      <c r="DE65" s="26">
        <v>0</v>
      </c>
      <c r="DF65" s="26">
        <v>0</v>
      </c>
      <c r="DG65" s="26">
        <v>0</v>
      </c>
      <c r="DH65" s="26">
        <v>0</v>
      </c>
      <c r="DI65" s="26">
        <v>0</v>
      </c>
      <c r="DJ65" s="26">
        <v>0</v>
      </c>
      <c r="DK65" s="26">
        <v>0</v>
      </c>
      <c r="DL65" s="26">
        <v>0</v>
      </c>
      <c r="DM65" s="26">
        <v>0</v>
      </c>
      <c r="DN65" s="26">
        <v>0</v>
      </c>
      <c r="DO65" s="26">
        <v>0</v>
      </c>
      <c r="DP65" s="26">
        <v>0</v>
      </c>
      <c r="DQ65" s="26">
        <v>0</v>
      </c>
      <c r="DR65" s="26">
        <v>0</v>
      </c>
      <c r="DS65" s="26">
        <v>0</v>
      </c>
      <c r="DT65" s="26">
        <v>0</v>
      </c>
      <c r="DU65" s="26">
        <v>0</v>
      </c>
      <c r="DV65" s="26">
        <v>0</v>
      </c>
      <c r="DW65" s="26">
        <v>0</v>
      </c>
      <c r="DX65" s="26">
        <v>26138.367999999999</v>
      </c>
      <c r="DY65" s="26">
        <v>30.979670600000002</v>
      </c>
      <c r="DZ65" s="26">
        <v>12.9984632</v>
      </c>
      <c r="EA65" s="26">
        <v>423.09997600000003</v>
      </c>
      <c r="EB65" s="26">
        <v>51.560570599999998</v>
      </c>
      <c r="EC65" s="26">
        <v>12475.191699999999</v>
      </c>
      <c r="ED65" s="26">
        <v>0</v>
      </c>
      <c r="EE65" s="26">
        <v>2583.0279399999999</v>
      </c>
      <c r="EF65" s="26">
        <v>4107.8476600000004</v>
      </c>
      <c r="EG65" s="26">
        <v>0</v>
      </c>
      <c r="EH65" s="26">
        <v>0</v>
      </c>
      <c r="EI65" s="26">
        <v>0</v>
      </c>
      <c r="EJ65" s="26">
        <v>0</v>
      </c>
      <c r="EK65" s="26">
        <v>0</v>
      </c>
      <c r="EL65" s="26">
        <v>473.096384</v>
      </c>
      <c r="EM65" s="26">
        <v>0</v>
      </c>
      <c r="EN65" s="26">
        <v>0</v>
      </c>
      <c r="EO65" s="26">
        <v>0</v>
      </c>
      <c r="EP65" s="26">
        <v>436.56173899999999</v>
      </c>
      <c r="EQ65" s="26">
        <v>46296.170299999998</v>
      </c>
      <c r="ER65" s="26">
        <v>328.72338300000001</v>
      </c>
      <c r="ES65" s="26">
        <v>77.472480399999995</v>
      </c>
      <c r="ET65" s="26">
        <v>3.4</v>
      </c>
      <c r="EU65" s="26">
        <v>0</v>
      </c>
      <c r="EV65" s="26">
        <v>0</v>
      </c>
      <c r="EW65" s="26">
        <v>1</v>
      </c>
      <c r="EX65" s="26">
        <v>-138479.06099999999</v>
      </c>
      <c r="EY65" s="26">
        <v>-1305.8242</v>
      </c>
      <c r="EZ65" s="26">
        <v>-60.454659899999996</v>
      </c>
      <c r="FA65" s="26">
        <v>-380.78287999999998</v>
      </c>
      <c r="FB65" s="26">
        <v>-3.59069087</v>
      </c>
      <c r="FC65" s="26">
        <v>2.2134199399999999E-2</v>
      </c>
      <c r="FD65" s="26">
        <v>2.3472708999999998</v>
      </c>
      <c r="FE65" s="26">
        <v>106.047247</v>
      </c>
      <c r="FF65" s="26">
        <v>0</v>
      </c>
      <c r="FG65" s="26">
        <v>0.234787518</v>
      </c>
      <c r="FH65" s="26">
        <v>-1656684300.6699998</v>
      </c>
      <c r="FI65" s="26">
        <v>0.37102110019039103</v>
      </c>
      <c r="FJ65" s="26">
        <v>0</v>
      </c>
      <c r="FK65" s="26">
        <v>0</v>
      </c>
      <c r="FL65" s="26">
        <v>0</v>
      </c>
      <c r="FM65" s="26">
        <v>0</v>
      </c>
      <c r="FN65" s="26">
        <v>0</v>
      </c>
      <c r="FO65" s="26">
        <v>0</v>
      </c>
      <c r="FP65" s="26">
        <v>0</v>
      </c>
      <c r="FQ65" s="26">
        <v>0</v>
      </c>
      <c r="FR65" s="26">
        <v>0</v>
      </c>
      <c r="FS65" s="26">
        <v>0</v>
      </c>
      <c r="FT65" s="26">
        <v>0</v>
      </c>
      <c r="FU65" s="26">
        <v>0</v>
      </c>
      <c r="FV65" s="26">
        <v>0</v>
      </c>
      <c r="FW65" s="26">
        <v>0</v>
      </c>
      <c r="FX65" s="26">
        <v>0</v>
      </c>
      <c r="FY65" s="26">
        <v>0</v>
      </c>
      <c r="FZ65" s="26">
        <v>0</v>
      </c>
      <c r="GA65" s="26">
        <v>0</v>
      </c>
      <c r="GB65" s="26">
        <v>0</v>
      </c>
      <c r="GC65" s="26">
        <v>0</v>
      </c>
      <c r="GD65" s="26">
        <v>0</v>
      </c>
      <c r="GE65" s="26">
        <v>0</v>
      </c>
      <c r="GF65" s="26">
        <v>0</v>
      </c>
      <c r="GG65" s="26">
        <v>0</v>
      </c>
      <c r="GH65" s="26">
        <v>0</v>
      </c>
      <c r="GI65" s="26">
        <v>0</v>
      </c>
      <c r="GJ65" s="26">
        <v>0</v>
      </c>
      <c r="GK65" s="26">
        <v>0</v>
      </c>
      <c r="GL65" s="26">
        <v>0</v>
      </c>
      <c r="GM65" s="26">
        <v>0</v>
      </c>
      <c r="GN65" s="26">
        <v>0</v>
      </c>
      <c r="GO65" s="26">
        <v>0</v>
      </c>
      <c r="GP65" s="26">
        <v>0</v>
      </c>
      <c r="GQ65" s="26">
        <v>0</v>
      </c>
      <c r="GR65" s="26">
        <v>0</v>
      </c>
      <c r="GS65" s="26">
        <v>0</v>
      </c>
      <c r="GT65" s="26">
        <v>0</v>
      </c>
      <c r="GU65" s="26">
        <v>0</v>
      </c>
      <c r="GV65" s="26">
        <v>0</v>
      </c>
      <c r="GW65" s="26">
        <v>0</v>
      </c>
      <c r="GX65" s="26">
        <v>0</v>
      </c>
      <c r="GY65" s="26">
        <v>0</v>
      </c>
      <c r="GZ65" s="26">
        <v>0</v>
      </c>
      <c r="HA65" s="26">
        <v>0</v>
      </c>
      <c r="HB65" s="26">
        <v>0</v>
      </c>
      <c r="HC65" s="26">
        <v>0</v>
      </c>
      <c r="HD65" s="26">
        <v>0</v>
      </c>
      <c r="HE65" s="26">
        <v>0</v>
      </c>
      <c r="HF65" s="26">
        <v>0</v>
      </c>
      <c r="HG65" s="26">
        <v>0</v>
      </c>
      <c r="HH65" s="26">
        <v>0</v>
      </c>
      <c r="HI65" s="26">
        <v>0</v>
      </c>
      <c r="HJ65" s="26">
        <v>0</v>
      </c>
      <c r="HK65" s="26">
        <v>0</v>
      </c>
      <c r="HL65" s="26">
        <v>0</v>
      </c>
      <c r="HM65" s="26">
        <v>0</v>
      </c>
      <c r="HN65" s="26">
        <v>0</v>
      </c>
      <c r="HO65" s="26">
        <v>0</v>
      </c>
      <c r="HP65" s="26">
        <v>0</v>
      </c>
      <c r="HQ65" s="26">
        <v>0</v>
      </c>
      <c r="HR65" s="26">
        <v>0</v>
      </c>
      <c r="HS65" s="26">
        <v>0</v>
      </c>
      <c r="HT65" s="26">
        <v>0.49211717060360399</v>
      </c>
    </row>
    <row r="66" spans="2:228" x14ac:dyDescent="0.2">
      <c r="B66" s="27" t="s">
        <v>1323</v>
      </c>
      <c r="C66" s="26">
        <v>15874.879800000001</v>
      </c>
      <c r="D66" s="26">
        <v>-49.753479300000002</v>
      </c>
      <c r="E66" s="26">
        <v>15645.043900000001</v>
      </c>
      <c r="F66" s="26">
        <v>8.0739946499999995</v>
      </c>
      <c r="G66" s="26">
        <v>7.2228230100000003E-12</v>
      </c>
      <c r="H66" s="26">
        <v>2.4241007699999999E-12</v>
      </c>
      <c r="I66" s="26">
        <v>1.0171052199999999E-12</v>
      </c>
      <c r="J66" s="26">
        <v>1.73602544E-8</v>
      </c>
      <c r="K66" s="26">
        <v>2.11558657E-9</v>
      </c>
      <c r="L66" s="26">
        <v>0</v>
      </c>
      <c r="M66" s="26">
        <v>0</v>
      </c>
      <c r="N66" s="26">
        <v>1.73031146E-13</v>
      </c>
      <c r="O66" s="26">
        <v>5.6475781300000002E-14</v>
      </c>
      <c r="P66" s="26">
        <v>2.3696132000000002E-14</v>
      </c>
      <c r="Q66" s="26">
        <v>4.07388872E-10</v>
      </c>
      <c r="R66" s="26">
        <v>4.9645955699999999E-11</v>
      </c>
      <c r="S66" s="26">
        <v>2.4837330000000002E-11</v>
      </c>
      <c r="T66" s="26">
        <v>1.2136360799999999E-4</v>
      </c>
      <c r="U66" s="26">
        <v>4.6532143499999998E-2</v>
      </c>
      <c r="V66" s="26">
        <v>197.18059700000001</v>
      </c>
      <c r="W66" s="26">
        <v>24.534647499999998</v>
      </c>
      <c r="X66" s="26">
        <v>1.72111538E-5</v>
      </c>
      <c r="Y66" s="26">
        <v>0</v>
      </c>
      <c r="Z66" s="26">
        <v>3.8311751599999998E-11</v>
      </c>
      <c r="AA66" s="26">
        <v>5.5838758900000002E-12</v>
      </c>
      <c r="AB66" s="26">
        <v>7.2765281000000005E-9</v>
      </c>
      <c r="AC66" s="26">
        <v>2.0875033500000001E-5</v>
      </c>
      <c r="AD66" s="26">
        <v>0</v>
      </c>
      <c r="AE66" s="26">
        <v>0</v>
      </c>
      <c r="AF66" s="26">
        <v>0</v>
      </c>
      <c r="AG66" s="26">
        <v>0</v>
      </c>
      <c r="AH66" s="26">
        <v>0</v>
      </c>
      <c r="AI66" s="26">
        <v>0</v>
      </c>
      <c r="AJ66" s="26">
        <v>0</v>
      </c>
      <c r="AK66" s="26">
        <v>0</v>
      </c>
      <c r="AL66" s="26">
        <v>0</v>
      </c>
      <c r="AM66" s="26">
        <v>0</v>
      </c>
      <c r="AN66" s="26">
        <v>0</v>
      </c>
      <c r="AO66" s="26">
        <v>0</v>
      </c>
      <c r="AP66" s="26">
        <v>0</v>
      </c>
      <c r="AQ66" s="26">
        <v>0</v>
      </c>
      <c r="AR66" s="26">
        <v>0</v>
      </c>
      <c r="AS66" s="26">
        <v>0</v>
      </c>
      <c r="AT66" s="26">
        <v>0</v>
      </c>
      <c r="AU66" s="26">
        <v>0</v>
      </c>
      <c r="AV66" s="26">
        <v>0</v>
      </c>
      <c r="AW66" s="26">
        <v>0</v>
      </c>
      <c r="AX66" s="26">
        <v>0</v>
      </c>
      <c r="AY66" s="26">
        <v>0</v>
      </c>
      <c r="AZ66" s="26">
        <v>0</v>
      </c>
      <c r="BA66" s="26">
        <v>0</v>
      </c>
      <c r="BB66" s="26">
        <v>0</v>
      </c>
      <c r="BC66" s="26">
        <v>0</v>
      </c>
      <c r="BD66" s="26">
        <v>0</v>
      </c>
      <c r="BE66" s="26">
        <v>0</v>
      </c>
      <c r="BF66" s="26">
        <v>0</v>
      </c>
      <c r="BG66" s="26">
        <v>0</v>
      </c>
      <c r="BH66" s="26">
        <v>0</v>
      </c>
      <c r="BI66" s="26">
        <v>0</v>
      </c>
      <c r="BJ66" s="26">
        <v>0</v>
      </c>
      <c r="BK66" s="26">
        <v>0</v>
      </c>
      <c r="BL66" s="26">
        <v>0</v>
      </c>
      <c r="BM66" s="26">
        <v>0</v>
      </c>
      <c r="BN66" s="26">
        <v>0</v>
      </c>
      <c r="BO66" s="26">
        <v>871.068218</v>
      </c>
      <c r="BP66" s="26">
        <v>15874.879800000001</v>
      </c>
      <c r="BQ66" s="26">
        <v>444484.76699999999</v>
      </c>
      <c r="BR66" s="26">
        <v>99.967246400000022</v>
      </c>
      <c r="BS66" s="26">
        <v>1</v>
      </c>
      <c r="BT66" s="26">
        <v>1</v>
      </c>
      <c r="BU66" s="26">
        <v>0</v>
      </c>
      <c r="BV66" s="26">
        <v>0</v>
      </c>
      <c r="BW66" s="26">
        <v>-57117.775500000003</v>
      </c>
      <c r="BX66" s="26">
        <v>-3134.10115</v>
      </c>
      <c r="BY66" s="26">
        <v>-49.753479300000002</v>
      </c>
      <c r="BZ66" s="26">
        <v>-8.8204727599999995</v>
      </c>
      <c r="CA66" s="26">
        <v>-0.48398687699999998</v>
      </c>
      <c r="CB66" s="26">
        <v>3.2662094500000002E-5</v>
      </c>
      <c r="CC66" s="26">
        <v>5.9525398E-4</v>
      </c>
      <c r="CD66" s="26">
        <v>18.224611400000001</v>
      </c>
      <c r="CE66" s="26">
        <v>264.66242299999999</v>
      </c>
      <c r="CF66" s="26">
        <v>0</v>
      </c>
      <c r="CG66" s="26">
        <v>0</v>
      </c>
      <c r="CH66" s="26">
        <v>0</v>
      </c>
      <c r="CI66" s="26">
        <v>0</v>
      </c>
      <c r="CJ66" s="26">
        <v>0</v>
      </c>
      <c r="CK66" s="26">
        <v>0</v>
      </c>
      <c r="CL66" s="26">
        <v>0</v>
      </c>
      <c r="CM66" s="26">
        <v>0</v>
      </c>
      <c r="CN66" s="26">
        <v>0</v>
      </c>
      <c r="CO66" s="26">
        <v>0</v>
      </c>
      <c r="CP66" s="26">
        <v>0</v>
      </c>
      <c r="CQ66" s="26">
        <v>0</v>
      </c>
      <c r="CR66" s="26">
        <v>0</v>
      </c>
      <c r="CS66" s="26">
        <v>0</v>
      </c>
      <c r="CT66" s="26">
        <v>0</v>
      </c>
      <c r="CU66" s="26">
        <v>0</v>
      </c>
      <c r="CV66" s="26">
        <v>0</v>
      </c>
      <c r="CW66" s="26">
        <v>0</v>
      </c>
      <c r="CX66" s="26">
        <v>0</v>
      </c>
      <c r="CY66" s="26">
        <v>0</v>
      </c>
      <c r="CZ66" s="26">
        <v>0</v>
      </c>
      <c r="DA66" s="26">
        <v>0</v>
      </c>
      <c r="DB66" s="26">
        <v>0</v>
      </c>
      <c r="DC66" s="26">
        <v>0</v>
      </c>
      <c r="DD66" s="26">
        <v>0</v>
      </c>
      <c r="DE66" s="26">
        <v>0</v>
      </c>
      <c r="DF66" s="26">
        <v>0</v>
      </c>
      <c r="DG66" s="26">
        <v>0</v>
      </c>
      <c r="DH66" s="26">
        <v>0</v>
      </c>
      <c r="DI66" s="26">
        <v>0</v>
      </c>
      <c r="DJ66" s="26">
        <v>0</v>
      </c>
      <c r="DK66" s="26">
        <v>0</v>
      </c>
      <c r="DL66" s="26">
        <v>0</v>
      </c>
      <c r="DM66" s="26">
        <v>0</v>
      </c>
      <c r="DN66" s="26">
        <v>0</v>
      </c>
      <c r="DO66" s="26">
        <v>0</v>
      </c>
      <c r="DP66" s="26">
        <v>0</v>
      </c>
      <c r="DQ66" s="26">
        <v>0</v>
      </c>
      <c r="DR66" s="26">
        <v>0</v>
      </c>
      <c r="DS66" s="26">
        <v>0</v>
      </c>
      <c r="DT66" s="26">
        <v>0</v>
      </c>
      <c r="DU66" s="26">
        <v>0</v>
      </c>
      <c r="DV66" s="26">
        <v>0</v>
      </c>
      <c r="DW66" s="26">
        <v>0</v>
      </c>
      <c r="DX66" s="26">
        <v>0</v>
      </c>
      <c r="DY66" s="26">
        <v>0</v>
      </c>
      <c r="DZ66" s="26">
        <v>0</v>
      </c>
      <c r="EA66" s="26">
        <v>0</v>
      </c>
      <c r="EB66" s="26">
        <v>0</v>
      </c>
      <c r="EC66" s="26">
        <v>0</v>
      </c>
      <c r="ED66" s="26">
        <v>0</v>
      </c>
      <c r="EE66" s="26">
        <v>0</v>
      </c>
      <c r="EF66" s="26">
        <v>0</v>
      </c>
      <c r="EG66" s="26">
        <v>0</v>
      </c>
      <c r="EH66" s="26">
        <v>0</v>
      </c>
      <c r="EI66" s="26">
        <v>0</v>
      </c>
      <c r="EJ66" s="26">
        <v>0</v>
      </c>
      <c r="EK66" s="26">
        <v>0</v>
      </c>
      <c r="EL66" s="26">
        <v>0</v>
      </c>
      <c r="EM66" s="26">
        <v>0</v>
      </c>
      <c r="EN66" s="26">
        <v>0</v>
      </c>
      <c r="EO66" s="26">
        <v>0</v>
      </c>
      <c r="EP66" s="26">
        <v>0</v>
      </c>
      <c r="EQ66" s="26">
        <v>0</v>
      </c>
      <c r="ER66" s="26">
        <v>0</v>
      </c>
      <c r="ES66" s="26">
        <v>0</v>
      </c>
      <c r="ET66" s="26">
        <v>1</v>
      </c>
      <c r="EU66" s="26">
        <v>0</v>
      </c>
      <c r="EV66" s="26">
        <v>0</v>
      </c>
      <c r="EW66" s="26">
        <v>0</v>
      </c>
      <c r="EX66" s="26">
        <v>0</v>
      </c>
      <c r="EY66" s="26">
        <v>0</v>
      </c>
      <c r="EZ66" s="26">
        <v>0</v>
      </c>
      <c r="FA66" s="26">
        <v>0</v>
      </c>
      <c r="FB66" s="26">
        <v>0</v>
      </c>
      <c r="FC66" s="26">
        <v>0</v>
      </c>
      <c r="FD66" s="26">
        <v>0</v>
      </c>
      <c r="FE66" s="26">
        <v>0</v>
      </c>
      <c r="FF66" s="26">
        <v>0</v>
      </c>
      <c r="FG66" s="26">
        <v>2.3394506799999999E-2</v>
      </c>
      <c r="FH66" s="26">
        <v>-58479718.989899993</v>
      </c>
      <c r="FI66" s="26">
        <v>3.1751449420678261E-3</v>
      </c>
      <c r="FJ66" s="26">
        <v>0.24123108554095982</v>
      </c>
      <c r="FK66" s="26">
        <v>4.8682939833907963E-5</v>
      </c>
      <c r="FL66" s="26">
        <v>1.1136576255759276E-17</v>
      </c>
      <c r="FM66" s="26">
        <v>3.7376221132343101E-18</v>
      </c>
      <c r="FN66" s="26">
        <v>1.5682330597680867E-18</v>
      </c>
      <c r="FO66" s="26">
        <v>3.2120481923630522E-14</v>
      </c>
      <c r="FP66" s="26">
        <v>3.9143240035368138E-15</v>
      </c>
      <c r="FQ66" s="26">
        <v>0</v>
      </c>
      <c r="FR66" s="26">
        <v>0</v>
      </c>
      <c r="FS66" s="26">
        <v>2.9643207181590101E-19</v>
      </c>
      <c r="FT66" s="26">
        <v>9.6752713274021704E-20</v>
      </c>
      <c r="FU66" s="26">
        <v>4.0595543935875465E-20</v>
      </c>
      <c r="FV66" s="26">
        <v>8.5654632074125942E-16</v>
      </c>
      <c r="FW66" s="26">
        <v>1.0438198889061147E-16</v>
      </c>
      <c r="FX66" s="26">
        <v>3.8295666417476445E-17</v>
      </c>
      <c r="FY66" s="26">
        <v>2.2157197316146466E-10</v>
      </c>
      <c r="FZ66" s="26">
        <v>1.0249461193106801E-7</v>
      </c>
      <c r="GA66" s="26">
        <v>5.7003766844919022E-4</v>
      </c>
      <c r="GB66" s="26">
        <v>1.1348691729678423E-4</v>
      </c>
      <c r="GC66" s="26">
        <v>5.3074352369039266E-11</v>
      </c>
      <c r="GD66" s="26">
        <v>0</v>
      </c>
      <c r="GE66" s="26">
        <v>1.1555660620223062E-16</v>
      </c>
      <c r="GF66" s="26">
        <v>1.313478388285605E-17</v>
      </c>
      <c r="GG66" s="26">
        <v>1.1868416678280667E-13</v>
      </c>
      <c r="GH66" s="26">
        <v>5.9121647695195402E-11</v>
      </c>
      <c r="GI66" s="26">
        <v>0</v>
      </c>
      <c r="GJ66" s="26">
        <v>0</v>
      </c>
      <c r="GK66" s="26">
        <v>0</v>
      </c>
      <c r="GL66" s="26">
        <v>0</v>
      </c>
      <c r="GM66" s="26">
        <v>0</v>
      </c>
      <c r="GN66" s="26">
        <v>0</v>
      </c>
      <c r="GO66" s="26">
        <v>0</v>
      </c>
      <c r="GP66" s="26">
        <v>0</v>
      </c>
      <c r="GQ66" s="26">
        <v>0</v>
      </c>
      <c r="GR66" s="26">
        <v>0</v>
      </c>
      <c r="GS66" s="26">
        <v>0</v>
      </c>
      <c r="GT66" s="26">
        <v>0</v>
      </c>
      <c r="GU66" s="26">
        <v>0</v>
      </c>
      <c r="GV66" s="26">
        <v>0</v>
      </c>
      <c r="GW66" s="26">
        <v>0</v>
      </c>
      <c r="GX66" s="26">
        <v>0</v>
      </c>
      <c r="GY66" s="26">
        <v>0</v>
      </c>
      <c r="GZ66" s="26">
        <v>0</v>
      </c>
      <c r="HA66" s="26">
        <v>0</v>
      </c>
      <c r="HB66" s="26">
        <v>0</v>
      </c>
      <c r="HC66" s="26">
        <v>0</v>
      </c>
      <c r="HD66" s="26">
        <v>0</v>
      </c>
      <c r="HE66" s="26">
        <v>0</v>
      </c>
      <c r="HF66" s="26">
        <v>0</v>
      </c>
      <c r="HG66" s="26">
        <v>0</v>
      </c>
      <c r="HH66" s="26">
        <v>0</v>
      </c>
      <c r="HI66" s="26">
        <v>0</v>
      </c>
      <c r="HJ66" s="26">
        <v>0</v>
      </c>
      <c r="HK66" s="26">
        <v>0</v>
      </c>
      <c r="HL66" s="26">
        <v>0</v>
      </c>
      <c r="HM66" s="26">
        <v>0</v>
      </c>
      <c r="HN66" s="26">
        <v>0</v>
      </c>
      <c r="HO66" s="26">
        <v>0</v>
      </c>
      <c r="HP66" s="26">
        <v>0</v>
      </c>
      <c r="HQ66" s="26">
        <v>0</v>
      </c>
      <c r="HR66" s="26">
        <v>0</v>
      </c>
      <c r="HS66" s="26">
        <v>0</v>
      </c>
      <c r="HT66" s="26">
        <v>0</v>
      </c>
    </row>
    <row r="67" spans="2:228" x14ac:dyDescent="0.2">
      <c r="B67" s="27" t="s">
        <v>1327</v>
      </c>
      <c r="C67" s="26">
        <v>3921.9132100000002</v>
      </c>
      <c r="D67" s="26">
        <v>-14.516941900000003</v>
      </c>
      <c r="E67" s="26">
        <v>3902.83536</v>
      </c>
      <c r="F67" s="26">
        <v>0.17707472299999999</v>
      </c>
      <c r="G67" s="26">
        <v>9.8258742799999996E-5</v>
      </c>
      <c r="H67" s="26">
        <v>3.2977285200000002E-5</v>
      </c>
      <c r="I67" s="26">
        <v>1.38366232E-5</v>
      </c>
      <c r="J67" s="26">
        <v>6.9501739200000011E-3</v>
      </c>
      <c r="K67" s="26">
        <v>8.4697460599999998E-4</v>
      </c>
      <c r="L67" s="26">
        <v>0</v>
      </c>
      <c r="M67" s="26">
        <v>0</v>
      </c>
      <c r="N67" s="26">
        <v>2.3539027399999998E-6</v>
      </c>
      <c r="O67" s="26">
        <v>7.6829229500000002E-7</v>
      </c>
      <c r="P67" s="26">
        <v>3.2236040400000002E-7</v>
      </c>
      <c r="Q67" s="26">
        <v>1.6309804299999999E-4</v>
      </c>
      <c r="R67" s="26">
        <v>1.9875747199999999E-5</v>
      </c>
      <c r="S67" s="26">
        <v>3.3788517600000001E-4</v>
      </c>
      <c r="T67" s="26">
        <v>6.9894968000000002E-2</v>
      </c>
      <c r="U67" s="26">
        <v>0.67911248899999999</v>
      </c>
      <c r="V67" s="26">
        <v>7.0712751099999993</v>
      </c>
      <c r="W67" s="26">
        <v>11.0160848</v>
      </c>
      <c r="X67" s="26">
        <v>9.9575542299999991E-4</v>
      </c>
      <c r="Y67" s="26">
        <v>0</v>
      </c>
      <c r="Z67" s="26">
        <v>8.6184224199999995E-8</v>
      </c>
      <c r="AA67" s="26">
        <v>3.5831021499999997E-8</v>
      </c>
      <c r="AB67" s="26">
        <v>1.28018469E-10</v>
      </c>
      <c r="AC67" s="26">
        <v>5.4942706700000003E-2</v>
      </c>
      <c r="AD67" s="26">
        <v>0</v>
      </c>
      <c r="AE67" s="26">
        <v>0</v>
      </c>
      <c r="AF67" s="26">
        <v>0</v>
      </c>
      <c r="AG67" s="26">
        <v>0</v>
      </c>
      <c r="AH67" s="26">
        <v>0</v>
      </c>
      <c r="AI67" s="26">
        <v>0</v>
      </c>
      <c r="AJ67" s="26">
        <v>0</v>
      </c>
      <c r="AK67" s="26">
        <v>0</v>
      </c>
      <c r="AL67" s="26">
        <v>0</v>
      </c>
      <c r="AM67" s="26">
        <v>0</v>
      </c>
      <c r="AN67" s="26">
        <v>0</v>
      </c>
      <c r="AO67" s="26">
        <v>0</v>
      </c>
      <c r="AP67" s="26">
        <v>0</v>
      </c>
      <c r="AQ67" s="26">
        <v>0</v>
      </c>
      <c r="AR67" s="26">
        <v>0</v>
      </c>
      <c r="AS67" s="26">
        <v>0</v>
      </c>
      <c r="AT67" s="26">
        <v>0</v>
      </c>
      <c r="AU67" s="26">
        <v>0</v>
      </c>
      <c r="AV67" s="26">
        <v>0</v>
      </c>
      <c r="AW67" s="26">
        <v>0</v>
      </c>
      <c r="AX67" s="26">
        <v>0</v>
      </c>
      <c r="AY67" s="26">
        <v>0</v>
      </c>
      <c r="AZ67" s="26">
        <v>0</v>
      </c>
      <c r="BA67" s="26">
        <v>0</v>
      </c>
      <c r="BB67" s="26">
        <v>0</v>
      </c>
      <c r="BC67" s="26">
        <v>0</v>
      </c>
      <c r="BD67" s="26">
        <v>0</v>
      </c>
      <c r="BE67" s="26">
        <v>0</v>
      </c>
      <c r="BF67" s="26">
        <v>0</v>
      </c>
      <c r="BG67" s="26">
        <v>0</v>
      </c>
      <c r="BH67" s="26">
        <v>0</v>
      </c>
      <c r="BI67" s="26">
        <v>0</v>
      </c>
      <c r="BJ67" s="26">
        <v>0</v>
      </c>
      <c r="BK67" s="26">
        <v>0</v>
      </c>
      <c r="BL67" s="26">
        <v>0</v>
      </c>
      <c r="BM67" s="26">
        <v>0</v>
      </c>
      <c r="BN67" s="26">
        <v>0</v>
      </c>
      <c r="BO67" s="26">
        <v>216.907633</v>
      </c>
      <c r="BP67" s="26">
        <v>3921.9132100000002</v>
      </c>
      <c r="BQ67" s="26">
        <v>71.170369300000004</v>
      </c>
      <c r="BR67" s="26">
        <v>99.967246400000022</v>
      </c>
      <c r="BS67" s="26">
        <v>1</v>
      </c>
      <c r="BT67" s="26">
        <v>0</v>
      </c>
      <c r="BU67" s="26">
        <v>1</v>
      </c>
      <c r="BV67" s="26">
        <v>0</v>
      </c>
      <c r="BW67" s="26">
        <v>-66926.8367</v>
      </c>
      <c r="BX67" s="26">
        <v>-3701.4949000000001</v>
      </c>
      <c r="BY67" s="26">
        <v>-14.516941900000003</v>
      </c>
      <c r="BZ67" s="26">
        <v>-34.920535000000001</v>
      </c>
      <c r="CA67" s="26">
        <v>-1.9313355999999999</v>
      </c>
      <c r="CB67" s="26">
        <v>5.07953971E-2</v>
      </c>
      <c r="CC67" s="26">
        <v>0.91843304999999997</v>
      </c>
      <c r="CD67" s="26">
        <v>18.081029000000001</v>
      </c>
      <c r="CE67" s="26">
        <v>65.461276699999999</v>
      </c>
      <c r="CF67" s="26">
        <v>0</v>
      </c>
      <c r="CG67" s="26">
        <v>0</v>
      </c>
      <c r="CH67" s="26">
        <v>0</v>
      </c>
      <c r="CI67" s="26">
        <v>0</v>
      </c>
      <c r="CJ67" s="26">
        <v>0</v>
      </c>
      <c r="CK67" s="26">
        <v>0</v>
      </c>
      <c r="CL67" s="26">
        <v>0</v>
      </c>
      <c r="CM67" s="26">
        <v>0</v>
      </c>
      <c r="CN67" s="26">
        <v>0</v>
      </c>
      <c r="CO67" s="26">
        <v>0</v>
      </c>
      <c r="CP67" s="26">
        <v>0</v>
      </c>
      <c r="CQ67" s="26">
        <v>0</v>
      </c>
      <c r="CR67" s="26">
        <v>0</v>
      </c>
      <c r="CS67" s="26">
        <v>0</v>
      </c>
      <c r="CT67" s="26">
        <v>0</v>
      </c>
      <c r="CU67" s="26">
        <v>0</v>
      </c>
      <c r="CV67" s="26">
        <v>0</v>
      </c>
      <c r="CW67" s="26">
        <v>0</v>
      </c>
      <c r="CX67" s="26">
        <v>0</v>
      </c>
      <c r="CY67" s="26">
        <v>0</v>
      </c>
      <c r="CZ67" s="26">
        <v>0</v>
      </c>
      <c r="DA67" s="26">
        <v>0</v>
      </c>
      <c r="DB67" s="26">
        <v>0</v>
      </c>
      <c r="DC67" s="26">
        <v>0</v>
      </c>
      <c r="DD67" s="26">
        <v>0</v>
      </c>
      <c r="DE67" s="26">
        <v>0</v>
      </c>
      <c r="DF67" s="26">
        <v>0</v>
      </c>
      <c r="DG67" s="26">
        <v>0</v>
      </c>
      <c r="DH67" s="26">
        <v>0</v>
      </c>
      <c r="DI67" s="26">
        <v>0</v>
      </c>
      <c r="DJ67" s="26">
        <v>0</v>
      </c>
      <c r="DK67" s="26">
        <v>0</v>
      </c>
      <c r="DL67" s="26">
        <v>0</v>
      </c>
      <c r="DM67" s="26">
        <v>0</v>
      </c>
      <c r="DN67" s="26">
        <v>0</v>
      </c>
      <c r="DO67" s="26">
        <v>0</v>
      </c>
      <c r="DP67" s="26">
        <v>0</v>
      </c>
      <c r="DQ67" s="26">
        <v>0</v>
      </c>
      <c r="DR67" s="26">
        <v>0</v>
      </c>
      <c r="DS67" s="26">
        <v>0</v>
      </c>
      <c r="DT67" s="26">
        <v>0</v>
      </c>
      <c r="DU67" s="26">
        <v>0</v>
      </c>
      <c r="DV67" s="26">
        <v>0</v>
      </c>
      <c r="DW67" s="26">
        <v>0</v>
      </c>
      <c r="DX67" s="26">
        <v>0</v>
      </c>
      <c r="DY67" s="26">
        <v>0</v>
      </c>
      <c r="DZ67" s="26">
        <v>0</v>
      </c>
      <c r="EA67" s="26">
        <v>0</v>
      </c>
      <c r="EB67" s="26">
        <v>0</v>
      </c>
      <c r="EC67" s="26">
        <v>0</v>
      </c>
      <c r="ED67" s="26">
        <v>0</v>
      </c>
      <c r="EE67" s="26">
        <v>0</v>
      </c>
      <c r="EF67" s="26">
        <v>0</v>
      </c>
      <c r="EG67" s="26">
        <v>0</v>
      </c>
      <c r="EH67" s="26">
        <v>0</v>
      </c>
      <c r="EI67" s="26">
        <v>0</v>
      </c>
      <c r="EJ67" s="26">
        <v>0</v>
      </c>
      <c r="EK67" s="26">
        <v>0</v>
      </c>
      <c r="EL67" s="26">
        <v>0</v>
      </c>
      <c r="EM67" s="26">
        <v>0</v>
      </c>
      <c r="EN67" s="26">
        <v>0</v>
      </c>
      <c r="EO67" s="26">
        <v>0</v>
      </c>
      <c r="EP67" s="26">
        <v>0</v>
      </c>
      <c r="EQ67" s="26">
        <v>0</v>
      </c>
      <c r="ER67" s="26">
        <v>0</v>
      </c>
      <c r="ES67" s="26">
        <v>0</v>
      </c>
      <c r="ET67" s="26">
        <v>1</v>
      </c>
      <c r="EU67" s="26">
        <v>0</v>
      </c>
      <c r="EV67" s="26">
        <v>0</v>
      </c>
      <c r="EW67" s="26">
        <v>0</v>
      </c>
      <c r="EX67" s="26">
        <v>0</v>
      </c>
      <c r="EY67" s="26">
        <v>0</v>
      </c>
      <c r="EZ67" s="26">
        <v>0</v>
      </c>
      <c r="FA67" s="26">
        <v>0</v>
      </c>
      <c r="FB67" s="26">
        <v>0</v>
      </c>
      <c r="FC67" s="26">
        <v>0</v>
      </c>
      <c r="FD67" s="26">
        <v>0</v>
      </c>
      <c r="FE67" s="26">
        <v>0</v>
      </c>
      <c r="FF67" s="26">
        <v>0</v>
      </c>
      <c r="FG67" s="26">
        <v>6.38799513E-3</v>
      </c>
      <c r="FH67" s="26">
        <v>-17219474.0638</v>
      </c>
      <c r="FI67" s="26">
        <v>2.1634387811963991E-4</v>
      </c>
      <c r="FJ67" s="26">
        <v>0</v>
      </c>
      <c r="FK67" s="26">
        <v>0</v>
      </c>
      <c r="FL67" s="26">
        <v>0</v>
      </c>
      <c r="FM67" s="26">
        <v>0</v>
      </c>
      <c r="FN67" s="26">
        <v>0</v>
      </c>
      <c r="FO67" s="26">
        <v>0</v>
      </c>
      <c r="FP67" s="26">
        <v>0</v>
      </c>
      <c r="FQ67" s="26">
        <v>0</v>
      </c>
      <c r="FR67" s="26">
        <v>0</v>
      </c>
      <c r="FS67" s="26">
        <v>0</v>
      </c>
      <c r="FT67" s="26">
        <v>0</v>
      </c>
      <c r="FU67" s="26">
        <v>0</v>
      </c>
      <c r="FV67" s="26">
        <v>0</v>
      </c>
      <c r="FW67" s="26">
        <v>0</v>
      </c>
      <c r="FX67" s="26">
        <v>0</v>
      </c>
      <c r="FY67" s="26">
        <v>0</v>
      </c>
      <c r="FZ67" s="26">
        <v>0</v>
      </c>
      <c r="GA67" s="26">
        <v>0</v>
      </c>
      <c r="GB67" s="26">
        <v>0</v>
      </c>
      <c r="GC67" s="26">
        <v>0</v>
      </c>
      <c r="GD67" s="26">
        <v>0</v>
      </c>
      <c r="GE67" s="26">
        <v>0</v>
      </c>
      <c r="GF67" s="26">
        <v>0</v>
      </c>
      <c r="GG67" s="26">
        <v>0</v>
      </c>
      <c r="GH67" s="26">
        <v>0</v>
      </c>
      <c r="GI67" s="26">
        <v>0</v>
      </c>
      <c r="GJ67" s="26">
        <v>0</v>
      </c>
      <c r="GK67" s="26">
        <v>0</v>
      </c>
      <c r="GL67" s="26">
        <v>0</v>
      </c>
      <c r="GM67" s="26">
        <v>0</v>
      </c>
      <c r="GN67" s="26">
        <v>0</v>
      </c>
      <c r="GO67" s="26">
        <v>0</v>
      </c>
      <c r="GP67" s="26">
        <v>0</v>
      </c>
      <c r="GQ67" s="26">
        <v>0</v>
      </c>
      <c r="GR67" s="26">
        <v>0</v>
      </c>
      <c r="GS67" s="26">
        <v>0</v>
      </c>
      <c r="GT67" s="26">
        <v>0</v>
      </c>
      <c r="GU67" s="26">
        <v>0</v>
      </c>
      <c r="GV67" s="26">
        <v>0</v>
      </c>
      <c r="GW67" s="26">
        <v>0</v>
      </c>
      <c r="GX67" s="26">
        <v>0</v>
      </c>
      <c r="GY67" s="26">
        <v>0</v>
      </c>
      <c r="GZ67" s="26">
        <v>0</v>
      </c>
      <c r="HA67" s="26">
        <v>0</v>
      </c>
      <c r="HB67" s="26">
        <v>0</v>
      </c>
      <c r="HC67" s="26">
        <v>0</v>
      </c>
      <c r="HD67" s="26">
        <v>0</v>
      </c>
      <c r="HE67" s="26">
        <v>0</v>
      </c>
      <c r="HF67" s="26">
        <v>0</v>
      </c>
      <c r="HG67" s="26">
        <v>0</v>
      </c>
      <c r="HH67" s="26">
        <v>0</v>
      </c>
      <c r="HI67" s="26">
        <v>0</v>
      </c>
      <c r="HJ67" s="26">
        <v>0</v>
      </c>
      <c r="HK67" s="26">
        <v>0</v>
      </c>
      <c r="HL67" s="26">
        <v>0</v>
      </c>
      <c r="HM67" s="26">
        <v>0</v>
      </c>
      <c r="HN67" s="26">
        <v>0</v>
      </c>
      <c r="HO67" s="26">
        <v>0</v>
      </c>
      <c r="HP67" s="26">
        <v>0</v>
      </c>
      <c r="HQ67" s="26">
        <v>0</v>
      </c>
      <c r="HR67" s="26">
        <v>0</v>
      </c>
      <c r="HS67" s="26">
        <v>0</v>
      </c>
      <c r="HT67" s="26">
        <v>0</v>
      </c>
    </row>
    <row r="68" spans="2:228" x14ac:dyDescent="0.2">
      <c r="B68" s="27" t="s">
        <v>1331</v>
      </c>
      <c r="C68" s="26">
        <v>13617.9959</v>
      </c>
      <c r="D68" s="26">
        <v>-42.387791200000002</v>
      </c>
      <c r="E68" s="26">
        <v>13318.637699999999</v>
      </c>
      <c r="F68" s="26">
        <v>11.1789858</v>
      </c>
      <c r="G68" s="26">
        <v>7.7349442800000005E-14</v>
      </c>
      <c r="H68" s="26">
        <v>2.59597728E-14</v>
      </c>
      <c r="I68" s="26">
        <v>1.0892212400000001E-14</v>
      </c>
      <c r="J68" s="26">
        <v>4.0165069899999997E-10</v>
      </c>
      <c r="K68" s="26">
        <v>4.8946680500000003E-11</v>
      </c>
      <c r="L68" s="26">
        <v>0</v>
      </c>
      <c r="M68" s="26">
        <v>0</v>
      </c>
      <c r="N68" s="26">
        <v>1.8746386499999999E-15</v>
      </c>
      <c r="O68" s="26">
        <v>6.1186488599999997E-16</v>
      </c>
      <c r="P68" s="26">
        <v>2.5672652500000002E-16</v>
      </c>
      <c r="Q68" s="26">
        <v>9.4254393700000001E-12</v>
      </c>
      <c r="R68" s="26">
        <v>1.1486198499999999E-12</v>
      </c>
      <c r="S68" s="26">
        <v>2.6598376299999998E-13</v>
      </c>
      <c r="T68" s="26">
        <v>7.7023948899999992E-6</v>
      </c>
      <c r="U68" s="26">
        <v>5.21420357E-3</v>
      </c>
      <c r="V68" s="26">
        <v>273.27157399999999</v>
      </c>
      <c r="W68" s="26">
        <v>14.902437400000002</v>
      </c>
      <c r="X68" s="26">
        <v>1.2457031E-6</v>
      </c>
      <c r="Y68" s="26">
        <v>0</v>
      </c>
      <c r="Z68" s="26">
        <v>2.3985297400000001E-12</v>
      </c>
      <c r="AA68" s="26">
        <v>2.7953137699999999E-13</v>
      </c>
      <c r="AB68" s="26">
        <v>1.1594029E-8</v>
      </c>
      <c r="AC68" s="26">
        <v>1.0276898399999999E-6</v>
      </c>
      <c r="AD68" s="26">
        <v>0</v>
      </c>
      <c r="AE68" s="26">
        <v>0</v>
      </c>
      <c r="AF68" s="26">
        <v>0</v>
      </c>
      <c r="AG68" s="26">
        <v>0</v>
      </c>
      <c r="AH68" s="26">
        <v>0</v>
      </c>
      <c r="AI68" s="26">
        <v>0</v>
      </c>
      <c r="AJ68" s="26">
        <v>0</v>
      </c>
      <c r="AK68" s="26">
        <v>0</v>
      </c>
      <c r="AL68" s="26">
        <v>0</v>
      </c>
      <c r="AM68" s="26">
        <v>0</v>
      </c>
      <c r="AN68" s="26">
        <v>0</v>
      </c>
      <c r="AO68" s="26">
        <v>0</v>
      </c>
      <c r="AP68" s="26">
        <v>0</v>
      </c>
      <c r="AQ68" s="26">
        <v>0</v>
      </c>
      <c r="AR68" s="26">
        <v>0</v>
      </c>
      <c r="AS68" s="26">
        <v>0</v>
      </c>
      <c r="AT68" s="26">
        <v>0</v>
      </c>
      <c r="AU68" s="26">
        <v>0</v>
      </c>
      <c r="AV68" s="26">
        <v>0</v>
      </c>
      <c r="AW68" s="26">
        <v>0</v>
      </c>
      <c r="AX68" s="26">
        <v>0</v>
      </c>
      <c r="AY68" s="26">
        <v>0</v>
      </c>
      <c r="AZ68" s="26">
        <v>0</v>
      </c>
      <c r="BA68" s="26">
        <v>0</v>
      </c>
      <c r="BB68" s="26">
        <v>0</v>
      </c>
      <c r="BC68" s="26">
        <v>0</v>
      </c>
      <c r="BD68" s="26">
        <v>0</v>
      </c>
      <c r="BE68" s="26">
        <v>0</v>
      </c>
      <c r="BF68" s="26">
        <v>0</v>
      </c>
      <c r="BG68" s="26">
        <v>0</v>
      </c>
      <c r="BH68" s="26">
        <v>0</v>
      </c>
      <c r="BI68" s="26">
        <v>0</v>
      </c>
      <c r="BJ68" s="26">
        <v>0</v>
      </c>
      <c r="BK68" s="26">
        <v>0</v>
      </c>
      <c r="BL68" s="26">
        <v>0</v>
      </c>
      <c r="BM68" s="26">
        <v>0</v>
      </c>
      <c r="BN68" s="26">
        <v>0</v>
      </c>
      <c r="BO68" s="26">
        <v>742.63163399999996</v>
      </c>
      <c r="BP68" s="26">
        <v>13617.9959</v>
      </c>
      <c r="BQ68" s="26">
        <v>378903.61200000002</v>
      </c>
      <c r="BR68" s="26">
        <v>99.924796399999991</v>
      </c>
      <c r="BS68" s="26">
        <v>1</v>
      </c>
      <c r="BT68" s="26">
        <v>1</v>
      </c>
      <c r="BU68" s="26">
        <v>0</v>
      </c>
      <c r="BV68" s="26">
        <v>0</v>
      </c>
      <c r="BW68" s="26">
        <v>-57077.814700000003</v>
      </c>
      <c r="BX68" s="26">
        <v>-3112.6306100000002</v>
      </c>
      <c r="BY68" s="26">
        <v>-42.387791200000002</v>
      </c>
      <c r="BZ68" s="26">
        <v>-8.8404040399999992</v>
      </c>
      <c r="CA68" s="26">
        <v>-0.48209470399999999</v>
      </c>
      <c r="CB68" s="26">
        <v>3.26658109E-5</v>
      </c>
      <c r="CC68" s="26">
        <v>5.9900879400000002E-4</v>
      </c>
      <c r="CD68" s="26">
        <v>18.3374843</v>
      </c>
      <c r="CE68" s="26">
        <v>226.82367600000001</v>
      </c>
      <c r="CF68" s="26">
        <v>0</v>
      </c>
      <c r="CG68" s="26">
        <v>0</v>
      </c>
      <c r="CH68" s="26">
        <v>0</v>
      </c>
      <c r="CI68" s="26">
        <v>0</v>
      </c>
      <c r="CJ68" s="26">
        <v>0</v>
      </c>
      <c r="CK68" s="26">
        <v>0</v>
      </c>
      <c r="CL68" s="26">
        <v>0</v>
      </c>
      <c r="CM68" s="26">
        <v>0</v>
      </c>
      <c r="CN68" s="26">
        <v>0</v>
      </c>
      <c r="CO68" s="26">
        <v>0</v>
      </c>
      <c r="CP68" s="26">
        <v>0</v>
      </c>
      <c r="CQ68" s="26">
        <v>0</v>
      </c>
      <c r="CR68" s="26">
        <v>0</v>
      </c>
      <c r="CS68" s="26">
        <v>0</v>
      </c>
      <c r="CT68" s="26">
        <v>0</v>
      </c>
      <c r="CU68" s="26">
        <v>0</v>
      </c>
      <c r="CV68" s="26">
        <v>0</v>
      </c>
      <c r="CW68" s="26">
        <v>0</v>
      </c>
      <c r="CX68" s="26">
        <v>0</v>
      </c>
      <c r="CY68" s="26">
        <v>0</v>
      </c>
      <c r="CZ68" s="26">
        <v>0</v>
      </c>
      <c r="DA68" s="26">
        <v>0</v>
      </c>
      <c r="DB68" s="26">
        <v>0</v>
      </c>
      <c r="DC68" s="26">
        <v>0</v>
      </c>
      <c r="DD68" s="26">
        <v>0</v>
      </c>
      <c r="DE68" s="26">
        <v>0</v>
      </c>
      <c r="DF68" s="26">
        <v>0</v>
      </c>
      <c r="DG68" s="26">
        <v>0</v>
      </c>
      <c r="DH68" s="26">
        <v>0</v>
      </c>
      <c r="DI68" s="26">
        <v>0</v>
      </c>
      <c r="DJ68" s="26">
        <v>0</v>
      </c>
      <c r="DK68" s="26">
        <v>0</v>
      </c>
      <c r="DL68" s="26">
        <v>0</v>
      </c>
      <c r="DM68" s="26">
        <v>0</v>
      </c>
      <c r="DN68" s="26">
        <v>0</v>
      </c>
      <c r="DO68" s="26">
        <v>0</v>
      </c>
      <c r="DP68" s="26">
        <v>0</v>
      </c>
      <c r="DQ68" s="26">
        <v>0</v>
      </c>
      <c r="DR68" s="26">
        <v>0</v>
      </c>
      <c r="DS68" s="26">
        <v>0</v>
      </c>
      <c r="DT68" s="26">
        <v>0</v>
      </c>
      <c r="DU68" s="26">
        <v>0</v>
      </c>
      <c r="DV68" s="26">
        <v>0</v>
      </c>
      <c r="DW68" s="26">
        <v>0</v>
      </c>
      <c r="DX68" s="26">
        <v>0</v>
      </c>
      <c r="DY68" s="26">
        <v>0</v>
      </c>
      <c r="DZ68" s="26">
        <v>0</v>
      </c>
      <c r="EA68" s="26">
        <v>0</v>
      </c>
      <c r="EB68" s="26">
        <v>0</v>
      </c>
      <c r="EC68" s="26">
        <v>0</v>
      </c>
      <c r="ED68" s="26">
        <v>0</v>
      </c>
      <c r="EE68" s="26">
        <v>0</v>
      </c>
      <c r="EF68" s="26">
        <v>0</v>
      </c>
      <c r="EG68" s="26">
        <v>0</v>
      </c>
      <c r="EH68" s="26">
        <v>0</v>
      </c>
      <c r="EI68" s="26">
        <v>0</v>
      </c>
      <c r="EJ68" s="26">
        <v>0</v>
      </c>
      <c r="EK68" s="26">
        <v>0</v>
      </c>
      <c r="EL68" s="26">
        <v>0</v>
      </c>
      <c r="EM68" s="26">
        <v>0</v>
      </c>
      <c r="EN68" s="26">
        <v>0</v>
      </c>
      <c r="EO68" s="26">
        <v>0</v>
      </c>
      <c r="EP68" s="26">
        <v>0</v>
      </c>
      <c r="EQ68" s="26">
        <v>0</v>
      </c>
      <c r="ER68" s="26">
        <v>0</v>
      </c>
      <c r="ES68" s="26">
        <v>0</v>
      </c>
      <c r="ET68" s="26">
        <v>1</v>
      </c>
      <c r="EU68" s="26">
        <v>0</v>
      </c>
      <c r="EV68" s="26">
        <v>0</v>
      </c>
      <c r="EW68" s="26">
        <v>0</v>
      </c>
      <c r="EX68" s="26">
        <v>0</v>
      </c>
      <c r="EY68" s="26">
        <v>0</v>
      </c>
      <c r="EZ68" s="26">
        <v>0</v>
      </c>
      <c r="FA68" s="26">
        <v>0</v>
      </c>
      <c r="FB68" s="26">
        <v>0</v>
      </c>
      <c r="FC68" s="26">
        <v>0</v>
      </c>
      <c r="FD68" s="26">
        <v>0</v>
      </c>
      <c r="FE68" s="26">
        <v>0</v>
      </c>
      <c r="FF68" s="26">
        <v>0</v>
      </c>
      <c r="FG68" s="26">
        <v>3.6292574500000001E-2</v>
      </c>
      <c r="FH68" s="26">
        <v>-49823939.1369</v>
      </c>
      <c r="FI68" s="26">
        <v>4.2228047004491042E-3</v>
      </c>
      <c r="FJ68" s="26">
        <v>0.20536020553177053</v>
      </c>
      <c r="FK68" s="26">
        <v>6.7404787761460522E-5</v>
      </c>
      <c r="FL68" s="26">
        <v>1.1926195150965115E-19</v>
      </c>
      <c r="FM68" s="26">
        <v>4.0026315042432748E-20</v>
      </c>
      <c r="FN68" s="26">
        <v>1.6794258051020733E-20</v>
      </c>
      <c r="FO68" s="26">
        <v>7.431466003896172E-16</v>
      </c>
      <c r="FP68" s="26">
        <v>9.0562668780056906E-17</v>
      </c>
      <c r="FQ68" s="26">
        <v>0</v>
      </c>
      <c r="FR68" s="26">
        <v>0</v>
      </c>
      <c r="FS68" s="26">
        <v>3.211577997914846E-21</v>
      </c>
      <c r="FT68" s="26">
        <v>1.0482296389413928E-21</v>
      </c>
      <c r="FU68" s="26">
        <v>4.3981663129631089E-22</v>
      </c>
      <c r="FV68" s="26">
        <v>1.9817245797426854E-17</v>
      </c>
      <c r="FW68" s="26">
        <v>2.4150048637644833E-18</v>
      </c>
      <c r="FX68" s="26">
        <v>4.10109517169765E-19</v>
      </c>
      <c r="FY68" s="26">
        <v>1.4062162945830637E-11</v>
      </c>
      <c r="FZ68" s="26">
        <v>1.1485131175214382E-8</v>
      </c>
      <c r="GA68" s="26">
        <v>7.9001226743120921E-4</v>
      </c>
      <c r="GB68" s="26">
        <v>6.8932381662570156E-5</v>
      </c>
      <c r="GC68" s="26">
        <v>3.8413976140645144E-12</v>
      </c>
      <c r="GD68" s="26">
        <v>0</v>
      </c>
      <c r="GE68" s="26">
        <v>7.2344893078759148E-18</v>
      </c>
      <c r="GF68" s="26">
        <v>6.5753328026026628E-19</v>
      </c>
      <c r="GG68" s="26">
        <v>1.8910497540172871E-13</v>
      </c>
      <c r="GH68" s="26">
        <v>2.9105925232847403E-12</v>
      </c>
      <c r="GI68" s="26">
        <v>0</v>
      </c>
      <c r="GJ68" s="26">
        <v>0</v>
      </c>
      <c r="GK68" s="26">
        <v>0</v>
      </c>
      <c r="GL68" s="26">
        <v>0</v>
      </c>
      <c r="GM68" s="26">
        <v>0</v>
      </c>
      <c r="GN68" s="26">
        <v>0</v>
      </c>
      <c r="GO68" s="26">
        <v>0</v>
      </c>
      <c r="GP68" s="26">
        <v>0</v>
      </c>
      <c r="GQ68" s="26">
        <v>0</v>
      </c>
      <c r="GR68" s="26">
        <v>0</v>
      </c>
      <c r="GS68" s="26">
        <v>0</v>
      </c>
      <c r="GT68" s="26">
        <v>0</v>
      </c>
      <c r="GU68" s="26">
        <v>0</v>
      </c>
      <c r="GV68" s="26">
        <v>0</v>
      </c>
      <c r="GW68" s="26">
        <v>0</v>
      </c>
      <c r="GX68" s="26">
        <v>0</v>
      </c>
      <c r="GY68" s="26">
        <v>0</v>
      </c>
      <c r="GZ68" s="26">
        <v>0</v>
      </c>
      <c r="HA68" s="26">
        <v>0</v>
      </c>
      <c r="HB68" s="26">
        <v>0</v>
      </c>
      <c r="HC68" s="26">
        <v>0</v>
      </c>
      <c r="HD68" s="26">
        <v>0</v>
      </c>
      <c r="HE68" s="26">
        <v>0</v>
      </c>
      <c r="HF68" s="26">
        <v>0</v>
      </c>
      <c r="HG68" s="26">
        <v>0</v>
      </c>
      <c r="HH68" s="26">
        <v>0</v>
      </c>
      <c r="HI68" s="26">
        <v>0</v>
      </c>
      <c r="HJ68" s="26">
        <v>0</v>
      </c>
      <c r="HK68" s="26">
        <v>0</v>
      </c>
      <c r="HL68" s="26">
        <v>0</v>
      </c>
      <c r="HM68" s="26">
        <v>0</v>
      </c>
      <c r="HN68" s="26">
        <v>0</v>
      </c>
      <c r="HO68" s="26">
        <v>0</v>
      </c>
      <c r="HP68" s="26">
        <v>0</v>
      </c>
      <c r="HQ68" s="26">
        <v>0</v>
      </c>
      <c r="HR68" s="26">
        <v>0</v>
      </c>
      <c r="HS68" s="26">
        <v>0</v>
      </c>
      <c r="HT68" s="26">
        <v>0</v>
      </c>
    </row>
    <row r="69" spans="2:228" x14ac:dyDescent="0.2">
      <c r="B69" s="27" t="s">
        <v>1334</v>
      </c>
      <c r="C69" s="26">
        <v>16133.632899999999</v>
      </c>
      <c r="D69" s="26">
        <v>-59.691350100000001</v>
      </c>
      <c r="E69" s="26">
        <v>16052.192299999999</v>
      </c>
      <c r="F69" s="26">
        <v>1.1862717599999999</v>
      </c>
      <c r="G69" s="26">
        <v>5.1192418300000004E-6</v>
      </c>
      <c r="H69" s="26">
        <v>1.71810358E-6</v>
      </c>
      <c r="I69" s="26">
        <v>7.2088262200000002E-7</v>
      </c>
      <c r="J69" s="26">
        <v>7.8144704800000003E-4</v>
      </c>
      <c r="K69" s="26">
        <v>9.5230106899999996E-5</v>
      </c>
      <c r="L69" s="26">
        <v>0</v>
      </c>
      <c r="M69" s="26">
        <v>0</v>
      </c>
      <c r="N69" s="26">
        <v>1.2406978300000001E-7</v>
      </c>
      <c r="O69" s="26">
        <v>4.0495240899999999E-8</v>
      </c>
      <c r="P69" s="26">
        <v>1.69910102E-8</v>
      </c>
      <c r="Q69" s="26">
        <v>1.8338028E-5</v>
      </c>
      <c r="R69" s="26">
        <v>2.2347417700000001E-6</v>
      </c>
      <c r="S69" s="26">
        <v>1.76036847E-5</v>
      </c>
      <c r="T69" s="26">
        <v>2.1521798500000001E-2</v>
      </c>
      <c r="U69" s="26">
        <v>0.36876282399999999</v>
      </c>
      <c r="V69" s="26">
        <v>47.433127599999999</v>
      </c>
      <c r="W69" s="26">
        <v>32.416559999999997</v>
      </c>
      <c r="X69" s="26">
        <v>3.4964622399999998E-4</v>
      </c>
      <c r="Y69" s="26">
        <v>0</v>
      </c>
      <c r="Z69" s="26">
        <v>2.6179332399999999E-8</v>
      </c>
      <c r="AA69" s="26">
        <v>8.7054984999999993E-9</v>
      </c>
      <c r="AB69" s="26">
        <v>9.8759705800000003E-10</v>
      </c>
      <c r="AC69" s="26">
        <v>1.3127643600000001E-2</v>
      </c>
      <c r="AD69" s="26">
        <v>0</v>
      </c>
      <c r="AE69" s="26">
        <v>0</v>
      </c>
      <c r="AF69" s="26">
        <v>0</v>
      </c>
      <c r="AG69" s="26">
        <v>0</v>
      </c>
      <c r="AH69" s="26">
        <v>0</v>
      </c>
      <c r="AI69" s="26">
        <v>0</v>
      </c>
      <c r="AJ69" s="26">
        <v>0</v>
      </c>
      <c r="AK69" s="26">
        <v>0</v>
      </c>
      <c r="AL69" s="26">
        <v>0</v>
      </c>
      <c r="AM69" s="26">
        <v>0</v>
      </c>
      <c r="AN69" s="26">
        <v>0</v>
      </c>
      <c r="AO69" s="26">
        <v>0</v>
      </c>
      <c r="AP69" s="26">
        <v>0</v>
      </c>
      <c r="AQ69" s="26">
        <v>0</v>
      </c>
      <c r="AR69" s="26">
        <v>0</v>
      </c>
      <c r="AS69" s="26">
        <v>0</v>
      </c>
      <c r="AT69" s="26">
        <v>0</v>
      </c>
      <c r="AU69" s="26">
        <v>0</v>
      </c>
      <c r="AV69" s="26">
        <v>0</v>
      </c>
      <c r="AW69" s="26">
        <v>0</v>
      </c>
      <c r="AX69" s="26">
        <v>0</v>
      </c>
      <c r="AY69" s="26">
        <v>0</v>
      </c>
      <c r="AZ69" s="26">
        <v>0</v>
      </c>
      <c r="BA69" s="26">
        <v>0</v>
      </c>
      <c r="BB69" s="26">
        <v>0</v>
      </c>
      <c r="BC69" s="26">
        <v>0</v>
      </c>
      <c r="BD69" s="26">
        <v>0</v>
      </c>
      <c r="BE69" s="26">
        <v>0</v>
      </c>
      <c r="BF69" s="26">
        <v>0</v>
      </c>
      <c r="BG69" s="26">
        <v>0</v>
      </c>
      <c r="BH69" s="26">
        <v>0</v>
      </c>
      <c r="BI69" s="26">
        <v>0</v>
      </c>
      <c r="BJ69" s="26">
        <v>0</v>
      </c>
      <c r="BK69" s="26">
        <v>0</v>
      </c>
      <c r="BL69" s="26">
        <v>0</v>
      </c>
      <c r="BM69" s="26">
        <v>0</v>
      </c>
      <c r="BN69" s="26">
        <v>0</v>
      </c>
      <c r="BO69" s="26">
        <v>892.09448999999995</v>
      </c>
      <c r="BP69" s="26">
        <v>16133.632899999999</v>
      </c>
      <c r="BQ69" s="26">
        <v>292.70491399999997</v>
      </c>
      <c r="BR69" s="26">
        <v>99.924796399999991</v>
      </c>
      <c r="BS69" s="26">
        <v>1</v>
      </c>
      <c r="BT69" s="26">
        <v>0</v>
      </c>
      <c r="BU69" s="26">
        <v>1</v>
      </c>
      <c r="BV69" s="26">
        <v>0</v>
      </c>
      <c r="BW69" s="26">
        <v>-66911.465400000001</v>
      </c>
      <c r="BX69" s="26">
        <v>-3699.80834</v>
      </c>
      <c r="BY69" s="26">
        <v>-59.691350100000001</v>
      </c>
      <c r="BZ69" s="26">
        <v>-34.917383700000002</v>
      </c>
      <c r="CA69" s="26">
        <v>-1.9307248299999999</v>
      </c>
      <c r="CB69" s="26">
        <v>5.0796008500000003E-2</v>
      </c>
      <c r="CC69" s="26">
        <v>0.91865174000000005</v>
      </c>
      <c r="CD69" s="26">
        <v>18.0851167</v>
      </c>
      <c r="CE69" s="26">
        <v>269.283523</v>
      </c>
      <c r="CF69" s="26">
        <v>0</v>
      </c>
      <c r="CG69" s="26">
        <v>0</v>
      </c>
      <c r="CH69" s="26">
        <v>0</v>
      </c>
      <c r="CI69" s="26">
        <v>0</v>
      </c>
      <c r="CJ69" s="26">
        <v>0</v>
      </c>
      <c r="CK69" s="26">
        <v>0</v>
      </c>
      <c r="CL69" s="26">
        <v>0</v>
      </c>
      <c r="CM69" s="26">
        <v>0</v>
      </c>
      <c r="CN69" s="26">
        <v>0</v>
      </c>
      <c r="CO69" s="26">
        <v>0</v>
      </c>
      <c r="CP69" s="26">
        <v>0</v>
      </c>
      <c r="CQ69" s="26">
        <v>0</v>
      </c>
      <c r="CR69" s="26">
        <v>0</v>
      </c>
      <c r="CS69" s="26">
        <v>0</v>
      </c>
      <c r="CT69" s="26">
        <v>0</v>
      </c>
      <c r="CU69" s="26">
        <v>0</v>
      </c>
      <c r="CV69" s="26">
        <v>0</v>
      </c>
      <c r="CW69" s="26">
        <v>0</v>
      </c>
      <c r="CX69" s="26">
        <v>0</v>
      </c>
      <c r="CY69" s="26">
        <v>0</v>
      </c>
      <c r="CZ69" s="26">
        <v>0</v>
      </c>
      <c r="DA69" s="26">
        <v>0</v>
      </c>
      <c r="DB69" s="26">
        <v>0</v>
      </c>
      <c r="DC69" s="26">
        <v>0</v>
      </c>
      <c r="DD69" s="26">
        <v>0</v>
      </c>
      <c r="DE69" s="26">
        <v>0</v>
      </c>
      <c r="DF69" s="26">
        <v>0</v>
      </c>
      <c r="DG69" s="26">
        <v>0</v>
      </c>
      <c r="DH69" s="26">
        <v>0</v>
      </c>
      <c r="DI69" s="26">
        <v>0</v>
      </c>
      <c r="DJ69" s="26">
        <v>0</v>
      </c>
      <c r="DK69" s="26">
        <v>0</v>
      </c>
      <c r="DL69" s="26">
        <v>0</v>
      </c>
      <c r="DM69" s="26">
        <v>0</v>
      </c>
      <c r="DN69" s="26">
        <v>0</v>
      </c>
      <c r="DO69" s="26">
        <v>0</v>
      </c>
      <c r="DP69" s="26">
        <v>0</v>
      </c>
      <c r="DQ69" s="26">
        <v>0</v>
      </c>
      <c r="DR69" s="26">
        <v>0</v>
      </c>
      <c r="DS69" s="26">
        <v>0</v>
      </c>
      <c r="DT69" s="26">
        <v>0</v>
      </c>
      <c r="DU69" s="26">
        <v>0</v>
      </c>
      <c r="DV69" s="26">
        <v>0</v>
      </c>
      <c r="DW69" s="26">
        <v>0</v>
      </c>
      <c r="DX69" s="26">
        <v>0</v>
      </c>
      <c r="DY69" s="26">
        <v>0</v>
      </c>
      <c r="DZ69" s="26">
        <v>0</v>
      </c>
      <c r="EA69" s="26">
        <v>0</v>
      </c>
      <c r="EB69" s="26">
        <v>0</v>
      </c>
      <c r="EC69" s="26">
        <v>0</v>
      </c>
      <c r="ED69" s="26">
        <v>0</v>
      </c>
      <c r="EE69" s="26">
        <v>0</v>
      </c>
      <c r="EF69" s="26">
        <v>0</v>
      </c>
      <c r="EG69" s="26">
        <v>0</v>
      </c>
      <c r="EH69" s="26">
        <v>0</v>
      </c>
      <c r="EI69" s="26">
        <v>0</v>
      </c>
      <c r="EJ69" s="26">
        <v>0</v>
      </c>
      <c r="EK69" s="26">
        <v>0</v>
      </c>
      <c r="EL69" s="26">
        <v>0</v>
      </c>
      <c r="EM69" s="26">
        <v>0</v>
      </c>
      <c r="EN69" s="26">
        <v>0</v>
      </c>
      <c r="EO69" s="26">
        <v>0</v>
      </c>
      <c r="EP69" s="26">
        <v>0</v>
      </c>
      <c r="EQ69" s="26">
        <v>0</v>
      </c>
      <c r="ER69" s="26">
        <v>0</v>
      </c>
      <c r="ES69" s="26">
        <v>0</v>
      </c>
      <c r="ET69" s="26">
        <v>1</v>
      </c>
      <c r="EU69" s="26">
        <v>0</v>
      </c>
      <c r="EV69" s="26">
        <v>0</v>
      </c>
      <c r="EW69" s="26">
        <v>0</v>
      </c>
      <c r="EX69" s="26">
        <v>0</v>
      </c>
      <c r="EY69" s="26">
        <v>0</v>
      </c>
      <c r="EZ69" s="26">
        <v>0</v>
      </c>
      <c r="FA69" s="26">
        <v>0</v>
      </c>
      <c r="FB69" s="26">
        <v>0</v>
      </c>
      <c r="FC69" s="26">
        <v>0</v>
      </c>
      <c r="FD69" s="26">
        <v>0</v>
      </c>
      <c r="FE69" s="26">
        <v>0</v>
      </c>
      <c r="FF69" s="26">
        <v>0</v>
      </c>
      <c r="FG69" s="26">
        <v>7.2274777699999999E-3</v>
      </c>
      <c r="FH69" s="26">
        <v>-70803527.922800004</v>
      </c>
      <c r="FI69" s="26">
        <v>1.005027910818001E-3</v>
      </c>
      <c r="FJ69" s="26">
        <v>0</v>
      </c>
      <c r="FK69" s="26">
        <v>0</v>
      </c>
      <c r="FL69" s="26">
        <v>0</v>
      </c>
      <c r="FM69" s="26">
        <v>0</v>
      </c>
      <c r="FN69" s="26">
        <v>0</v>
      </c>
      <c r="FO69" s="26">
        <v>0</v>
      </c>
      <c r="FP69" s="26">
        <v>0</v>
      </c>
      <c r="FQ69" s="26">
        <v>0</v>
      </c>
      <c r="FR69" s="26">
        <v>0</v>
      </c>
      <c r="FS69" s="26">
        <v>0</v>
      </c>
      <c r="FT69" s="26">
        <v>0</v>
      </c>
      <c r="FU69" s="26">
        <v>0</v>
      </c>
      <c r="FV69" s="26">
        <v>0</v>
      </c>
      <c r="FW69" s="26">
        <v>0</v>
      </c>
      <c r="FX69" s="26">
        <v>0</v>
      </c>
      <c r="FY69" s="26">
        <v>0</v>
      </c>
      <c r="FZ69" s="26">
        <v>0</v>
      </c>
      <c r="GA69" s="26">
        <v>0</v>
      </c>
      <c r="GB69" s="26">
        <v>0</v>
      </c>
      <c r="GC69" s="26">
        <v>0</v>
      </c>
      <c r="GD69" s="26">
        <v>0</v>
      </c>
      <c r="GE69" s="26">
        <v>0</v>
      </c>
      <c r="GF69" s="26">
        <v>0</v>
      </c>
      <c r="GG69" s="26">
        <v>0</v>
      </c>
      <c r="GH69" s="26">
        <v>0</v>
      </c>
      <c r="GI69" s="26">
        <v>0</v>
      </c>
      <c r="GJ69" s="26">
        <v>0</v>
      </c>
      <c r="GK69" s="26">
        <v>0</v>
      </c>
      <c r="GL69" s="26">
        <v>0</v>
      </c>
      <c r="GM69" s="26">
        <v>0</v>
      </c>
      <c r="GN69" s="26">
        <v>0</v>
      </c>
      <c r="GO69" s="26">
        <v>0</v>
      </c>
      <c r="GP69" s="26">
        <v>0</v>
      </c>
      <c r="GQ69" s="26">
        <v>0</v>
      </c>
      <c r="GR69" s="26">
        <v>0</v>
      </c>
      <c r="GS69" s="26">
        <v>0</v>
      </c>
      <c r="GT69" s="26">
        <v>0</v>
      </c>
      <c r="GU69" s="26">
        <v>0</v>
      </c>
      <c r="GV69" s="26">
        <v>0</v>
      </c>
      <c r="GW69" s="26">
        <v>0</v>
      </c>
      <c r="GX69" s="26">
        <v>0</v>
      </c>
      <c r="GY69" s="26">
        <v>0</v>
      </c>
      <c r="GZ69" s="26">
        <v>0</v>
      </c>
      <c r="HA69" s="26">
        <v>0</v>
      </c>
      <c r="HB69" s="26">
        <v>0</v>
      </c>
      <c r="HC69" s="26">
        <v>0</v>
      </c>
      <c r="HD69" s="26">
        <v>0</v>
      </c>
      <c r="HE69" s="26">
        <v>0</v>
      </c>
      <c r="HF69" s="26">
        <v>0</v>
      </c>
      <c r="HG69" s="26">
        <v>0</v>
      </c>
      <c r="HH69" s="26">
        <v>0</v>
      </c>
      <c r="HI69" s="26">
        <v>0</v>
      </c>
      <c r="HJ69" s="26">
        <v>0</v>
      </c>
      <c r="HK69" s="26">
        <v>0</v>
      </c>
      <c r="HL69" s="26">
        <v>0</v>
      </c>
      <c r="HM69" s="26">
        <v>0</v>
      </c>
      <c r="HN69" s="26">
        <v>0</v>
      </c>
      <c r="HO69" s="26">
        <v>0</v>
      </c>
      <c r="HP69" s="26">
        <v>0</v>
      </c>
      <c r="HQ69" s="26">
        <v>0</v>
      </c>
      <c r="HR69" s="26">
        <v>0</v>
      </c>
      <c r="HS69" s="26">
        <v>0</v>
      </c>
      <c r="HT69" s="26">
        <v>0</v>
      </c>
    </row>
    <row r="70" spans="2:228" x14ac:dyDescent="0.2">
      <c r="B70" s="27" t="s">
        <v>1338</v>
      </c>
      <c r="C70" s="26">
        <v>278363.89799999999</v>
      </c>
      <c r="D70" s="26">
        <v>-836.15501500000005</v>
      </c>
      <c r="E70" s="26">
        <v>190923.81599999999</v>
      </c>
      <c r="F70" s="26">
        <v>5.8779036800000002</v>
      </c>
      <c r="G70" s="26">
        <v>3550.2458900000001</v>
      </c>
      <c r="H70" s="26">
        <v>1191.5221799999999</v>
      </c>
      <c r="I70" s="26">
        <v>499.93937600000004</v>
      </c>
      <c r="J70" s="26">
        <v>16642.738799999999</v>
      </c>
      <c r="K70" s="26">
        <v>2028.1473900000001</v>
      </c>
      <c r="L70" s="26">
        <v>1.4712044599999999E-4</v>
      </c>
      <c r="M70" s="26">
        <v>0</v>
      </c>
      <c r="N70" s="26">
        <v>87.614647399999996</v>
      </c>
      <c r="O70" s="26">
        <v>28.596618400000004</v>
      </c>
      <c r="P70" s="26">
        <v>11.998581100000001</v>
      </c>
      <c r="Q70" s="26">
        <v>390.551108</v>
      </c>
      <c r="R70" s="26">
        <v>47.594041799999999</v>
      </c>
      <c r="S70" s="26">
        <v>12208.3331</v>
      </c>
      <c r="T70" s="26">
        <v>656.53966200000002</v>
      </c>
      <c r="U70" s="26">
        <v>369.27255600000001</v>
      </c>
      <c r="V70" s="26">
        <v>336.08816999999999</v>
      </c>
      <c r="W70" s="26">
        <v>1449.8199400000001</v>
      </c>
      <c r="X70" s="26">
        <v>1.05094544</v>
      </c>
      <c r="Y70" s="26">
        <v>4.8241179799999997E-5</v>
      </c>
      <c r="Z70" s="26">
        <v>3.0721527100000001E-3</v>
      </c>
      <c r="AA70" s="26">
        <v>3.0084470800000001E-3</v>
      </c>
      <c r="AB70" s="26">
        <v>7.2316524700000004E-9</v>
      </c>
      <c r="AC70" s="26">
        <v>1841.5986</v>
      </c>
      <c r="AD70" s="26">
        <v>0</v>
      </c>
      <c r="AE70" s="26">
        <v>0</v>
      </c>
      <c r="AF70" s="26">
        <v>0</v>
      </c>
      <c r="AG70" s="26">
        <v>0</v>
      </c>
      <c r="AH70" s="26">
        <v>0</v>
      </c>
      <c r="AI70" s="26">
        <v>0</v>
      </c>
      <c r="AJ70" s="26">
        <v>0</v>
      </c>
      <c r="AK70" s="26">
        <v>0</v>
      </c>
      <c r="AL70" s="26">
        <v>0</v>
      </c>
      <c r="AM70" s="26">
        <v>1.5842626899999999E-5</v>
      </c>
      <c r="AN70" s="26">
        <v>0</v>
      </c>
      <c r="AO70" s="26">
        <v>0</v>
      </c>
      <c r="AP70" s="26">
        <v>0</v>
      </c>
      <c r="AQ70" s="26">
        <v>0</v>
      </c>
      <c r="AR70" s="26">
        <v>0</v>
      </c>
      <c r="AS70" s="26">
        <v>0</v>
      </c>
      <c r="AT70" s="26">
        <v>0</v>
      </c>
      <c r="AU70" s="26">
        <v>0</v>
      </c>
      <c r="AV70" s="26">
        <v>0</v>
      </c>
      <c r="AW70" s="26">
        <v>0</v>
      </c>
      <c r="AX70" s="26">
        <v>0</v>
      </c>
      <c r="AY70" s="26">
        <v>0</v>
      </c>
      <c r="AZ70" s="26">
        <v>0</v>
      </c>
      <c r="BA70" s="26">
        <v>0</v>
      </c>
      <c r="BB70" s="26">
        <v>0</v>
      </c>
      <c r="BC70" s="26">
        <v>0</v>
      </c>
      <c r="BD70" s="26">
        <v>0</v>
      </c>
      <c r="BE70" s="26">
        <v>0</v>
      </c>
      <c r="BF70" s="26">
        <v>0</v>
      </c>
      <c r="BG70" s="26">
        <v>0</v>
      </c>
      <c r="BH70" s="26">
        <v>0</v>
      </c>
      <c r="BI70" s="26">
        <v>0</v>
      </c>
      <c r="BJ70" s="26">
        <v>0</v>
      </c>
      <c r="BK70" s="26">
        <v>0</v>
      </c>
      <c r="BL70" s="26">
        <v>0</v>
      </c>
      <c r="BM70" s="26">
        <v>0</v>
      </c>
      <c r="BN70" s="26">
        <v>0</v>
      </c>
      <c r="BO70" s="26">
        <v>10877.0123</v>
      </c>
      <c r="BP70" s="26">
        <v>232271.35200000004</v>
      </c>
      <c r="BQ70" s="26">
        <v>3789.2636000000002</v>
      </c>
      <c r="BR70" s="26">
        <v>96.94172279999998</v>
      </c>
      <c r="BS70" s="26">
        <v>1</v>
      </c>
      <c r="BT70" s="26">
        <v>0</v>
      </c>
      <c r="BU70" s="26">
        <v>1</v>
      </c>
      <c r="BV70" s="26">
        <v>0</v>
      </c>
      <c r="BW70" s="26">
        <v>-71352.574699999997</v>
      </c>
      <c r="BX70" s="26">
        <v>-3341.3627000000001</v>
      </c>
      <c r="BY70" s="26">
        <v>-776.10283700000002</v>
      </c>
      <c r="BZ70" s="26">
        <v>-39.4752309</v>
      </c>
      <c r="CA70" s="26">
        <v>-1.8485817</v>
      </c>
      <c r="CB70" s="26">
        <v>4.7841363099999999E-2</v>
      </c>
      <c r="CC70" s="26">
        <v>1.02162044</v>
      </c>
      <c r="CD70" s="26">
        <v>21.3543339</v>
      </c>
      <c r="CE70" s="26">
        <v>3694.0438899999999</v>
      </c>
      <c r="CF70" s="26">
        <v>0</v>
      </c>
      <c r="CG70" s="26">
        <v>0</v>
      </c>
      <c r="CH70" s="26">
        <v>0</v>
      </c>
      <c r="CI70" s="26">
        <v>0</v>
      </c>
      <c r="CJ70" s="26">
        <v>0</v>
      </c>
      <c r="CK70" s="26">
        <v>0</v>
      </c>
      <c r="CL70" s="26">
        <v>0</v>
      </c>
      <c r="CM70" s="26">
        <v>0</v>
      </c>
      <c r="CN70" s="26">
        <v>0</v>
      </c>
      <c r="CO70" s="26">
        <v>0</v>
      </c>
      <c r="CP70" s="26">
        <v>0</v>
      </c>
      <c r="CQ70" s="26">
        <v>0</v>
      </c>
      <c r="CR70" s="26">
        <v>0</v>
      </c>
      <c r="CS70" s="26">
        <v>0</v>
      </c>
      <c r="CT70" s="26">
        <v>0</v>
      </c>
      <c r="CU70" s="26">
        <v>0</v>
      </c>
      <c r="CV70" s="26">
        <v>0</v>
      </c>
      <c r="CW70" s="26">
        <v>0</v>
      </c>
      <c r="CX70" s="26">
        <v>0</v>
      </c>
      <c r="CY70" s="26">
        <v>0</v>
      </c>
      <c r="CZ70" s="26">
        <v>0</v>
      </c>
      <c r="DA70" s="26">
        <v>0</v>
      </c>
      <c r="DB70" s="26">
        <v>0</v>
      </c>
      <c r="DC70" s="26">
        <v>0</v>
      </c>
      <c r="DD70" s="26">
        <v>0</v>
      </c>
      <c r="DE70" s="26">
        <v>0</v>
      </c>
      <c r="DF70" s="26">
        <v>0</v>
      </c>
      <c r="DG70" s="26">
        <v>0</v>
      </c>
      <c r="DH70" s="26">
        <v>0</v>
      </c>
      <c r="DI70" s="26">
        <v>0</v>
      </c>
      <c r="DJ70" s="26">
        <v>0</v>
      </c>
      <c r="DK70" s="26">
        <v>0</v>
      </c>
      <c r="DL70" s="26">
        <v>0</v>
      </c>
      <c r="DM70" s="26">
        <v>0</v>
      </c>
      <c r="DN70" s="26">
        <v>0</v>
      </c>
      <c r="DO70" s="26">
        <v>0</v>
      </c>
      <c r="DP70" s="26">
        <v>0</v>
      </c>
      <c r="DQ70" s="26">
        <v>0</v>
      </c>
      <c r="DR70" s="26">
        <v>0</v>
      </c>
      <c r="DS70" s="26">
        <v>0</v>
      </c>
      <c r="DT70" s="26">
        <v>0</v>
      </c>
      <c r="DU70" s="26">
        <v>0</v>
      </c>
      <c r="DV70" s="26">
        <v>0</v>
      </c>
      <c r="DW70" s="26">
        <v>0</v>
      </c>
      <c r="DX70" s="26">
        <v>26138.367999999999</v>
      </c>
      <c r="DY70" s="26">
        <v>30.979670600000002</v>
      </c>
      <c r="DZ70" s="26">
        <v>12.9984632</v>
      </c>
      <c r="EA70" s="26">
        <v>423.09997600000003</v>
      </c>
      <c r="EB70" s="26">
        <v>51.560570599999998</v>
      </c>
      <c r="EC70" s="26">
        <v>12475.191699999999</v>
      </c>
      <c r="ED70" s="26">
        <v>0</v>
      </c>
      <c r="EE70" s="26">
        <v>2583.0279399999999</v>
      </c>
      <c r="EF70" s="26">
        <v>4107.8476600000004</v>
      </c>
      <c r="EG70" s="26">
        <v>0</v>
      </c>
      <c r="EH70" s="26">
        <v>0</v>
      </c>
      <c r="EI70" s="26">
        <v>0</v>
      </c>
      <c r="EJ70" s="26">
        <v>0</v>
      </c>
      <c r="EK70" s="26">
        <v>0</v>
      </c>
      <c r="EL70" s="26">
        <v>269.47290700000002</v>
      </c>
      <c r="EM70" s="26">
        <v>0</v>
      </c>
      <c r="EN70" s="26">
        <v>0</v>
      </c>
      <c r="EO70" s="26">
        <v>0</v>
      </c>
      <c r="EP70" s="26">
        <v>435.20543700000002</v>
      </c>
      <c r="EQ70" s="26">
        <v>46092.546900000001</v>
      </c>
      <c r="ER70" s="26">
        <v>326.770308</v>
      </c>
      <c r="ES70" s="26">
        <v>96.94172279999998</v>
      </c>
      <c r="ET70" s="26">
        <v>1</v>
      </c>
      <c r="EU70" s="26">
        <v>0</v>
      </c>
      <c r="EV70" s="26">
        <v>0</v>
      </c>
      <c r="EW70" s="26">
        <v>1</v>
      </c>
      <c r="EX70" s="26">
        <v>-137985.81700000001</v>
      </c>
      <c r="EY70" s="26">
        <v>-1302.8609200000001</v>
      </c>
      <c r="EZ70" s="26">
        <v>-60.052178300000001</v>
      </c>
      <c r="FA70" s="26">
        <v>-379.10860000000002</v>
      </c>
      <c r="FB70" s="26">
        <v>-3.5795401899999999</v>
      </c>
      <c r="FC70" s="26">
        <v>2.2197316200000001E-2</v>
      </c>
      <c r="FD70" s="26">
        <v>2.35091465</v>
      </c>
      <c r="FE70" s="26">
        <v>105.90985999999999</v>
      </c>
      <c r="FF70" s="26">
        <v>0</v>
      </c>
      <c r="FG70" s="26">
        <v>0.36257905200000001</v>
      </c>
      <c r="FH70" s="26">
        <v>-990593199.10500002</v>
      </c>
      <c r="FI70" s="26">
        <v>0.37290485298323883</v>
      </c>
      <c r="FJ70" s="26">
        <v>0</v>
      </c>
      <c r="FK70" s="26">
        <v>0</v>
      </c>
      <c r="FL70" s="26">
        <v>0</v>
      </c>
      <c r="FM70" s="26">
        <v>0</v>
      </c>
      <c r="FN70" s="26">
        <v>0</v>
      </c>
      <c r="FO70" s="26">
        <v>0</v>
      </c>
      <c r="FP70" s="26">
        <v>0</v>
      </c>
      <c r="FQ70" s="26">
        <v>0</v>
      </c>
      <c r="FR70" s="26">
        <v>0</v>
      </c>
      <c r="FS70" s="26">
        <v>0</v>
      </c>
      <c r="FT70" s="26">
        <v>0</v>
      </c>
      <c r="FU70" s="26">
        <v>0</v>
      </c>
      <c r="FV70" s="26">
        <v>0</v>
      </c>
      <c r="FW70" s="26">
        <v>0</v>
      </c>
      <c r="FX70" s="26">
        <v>0</v>
      </c>
      <c r="FY70" s="26">
        <v>0</v>
      </c>
      <c r="FZ70" s="26">
        <v>0</v>
      </c>
      <c r="GA70" s="26">
        <v>0</v>
      </c>
      <c r="GB70" s="26">
        <v>0</v>
      </c>
      <c r="GC70" s="26">
        <v>0</v>
      </c>
      <c r="GD70" s="26">
        <v>0</v>
      </c>
      <c r="GE70" s="26">
        <v>0</v>
      </c>
      <c r="GF70" s="26">
        <v>0</v>
      </c>
      <c r="GG70" s="26">
        <v>0</v>
      </c>
      <c r="GH70" s="26">
        <v>0</v>
      </c>
      <c r="GI70" s="26">
        <v>0</v>
      </c>
      <c r="GJ70" s="26">
        <v>0</v>
      </c>
      <c r="GK70" s="26">
        <v>0</v>
      </c>
      <c r="GL70" s="26">
        <v>0</v>
      </c>
      <c r="GM70" s="26">
        <v>0</v>
      </c>
      <c r="GN70" s="26">
        <v>0</v>
      </c>
      <c r="GO70" s="26">
        <v>0</v>
      </c>
      <c r="GP70" s="26">
        <v>0</v>
      </c>
      <c r="GQ70" s="26">
        <v>0</v>
      </c>
      <c r="GR70" s="26">
        <v>0</v>
      </c>
      <c r="GS70" s="26">
        <v>0</v>
      </c>
      <c r="GT70" s="26">
        <v>0</v>
      </c>
      <c r="GU70" s="26">
        <v>0</v>
      </c>
      <c r="GV70" s="26">
        <v>0</v>
      </c>
      <c r="GW70" s="26">
        <v>0</v>
      </c>
      <c r="GX70" s="26">
        <v>0</v>
      </c>
      <c r="GY70" s="26">
        <v>0</v>
      </c>
      <c r="GZ70" s="26">
        <v>0</v>
      </c>
      <c r="HA70" s="26">
        <v>0</v>
      </c>
      <c r="HB70" s="26">
        <v>0</v>
      </c>
      <c r="HC70" s="26">
        <v>0</v>
      </c>
      <c r="HD70" s="26">
        <v>0</v>
      </c>
      <c r="HE70" s="26">
        <v>0</v>
      </c>
      <c r="HF70" s="26">
        <v>0</v>
      </c>
      <c r="HG70" s="26">
        <v>0</v>
      </c>
      <c r="HH70" s="26">
        <v>0</v>
      </c>
      <c r="HI70" s="26">
        <v>0</v>
      </c>
      <c r="HJ70" s="26">
        <v>0</v>
      </c>
      <c r="HK70" s="26">
        <v>0</v>
      </c>
      <c r="HL70" s="26">
        <v>0</v>
      </c>
      <c r="HM70" s="26">
        <v>0</v>
      </c>
      <c r="HN70" s="26">
        <v>0</v>
      </c>
      <c r="HO70" s="26">
        <v>0</v>
      </c>
      <c r="HP70" s="26">
        <v>0</v>
      </c>
      <c r="HQ70" s="26">
        <v>0</v>
      </c>
      <c r="HR70" s="26">
        <v>0</v>
      </c>
      <c r="HS70" s="26">
        <v>0</v>
      </c>
      <c r="HT70" s="26">
        <v>0.49023342058853403</v>
      </c>
    </row>
    <row r="71" spans="2:228" x14ac:dyDescent="0.2">
      <c r="B71" s="27" t="s">
        <v>2384</v>
      </c>
      <c r="C71" s="26">
        <v>278363.89799999999</v>
      </c>
      <c r="D71" s="26">
        <v>-836.15501500000005</v>
      </c>
      <c r="E71" s="26">
        <v>190923.81599999999</v>
      </c>
      <c r="F71" s="26">
        <v>5.8779036800000002</v>
      </c>
      <c r="G71" s="26">
        <v>3550.2458900000001</v>
      </c>
      <c r="H71" s="26">
        <v>1191.5221799999999</v>
      </c>
      <c r="I71" s="26">
        <v>499.93937600000004</v>
      </c>
      <c r="J71" s="26">
        <v>16642.738799999999</v>
      </c>
      <c r="K71" s="26">
        <v>2028.1473900000001</v>
      </c>
      <c r="L71" s="26">
        <v>1.4712044599999999E-4</v>
      </c>
      <c r="M71" s="26">
        <v>0</v>
      </c>
      <c r="N71" s="26">
        <v>87.614647399999996</v>
      </c>
      <c r="O71" s="26">
        <v>28.596618400000004</v>
      </c>
      <c r="P71" s="26">
        <v>11.998581100000001</v>
      </c>
      <c r="Q71" s="26">
        <v>390.551108</v>
      </c>
      <c r="R71" s="26">
        <v>47.594041799999999</v>
      </c>
      <c r="S71" s="26">
        <v>12208.3331</v>
      </c>
      <c r="T71" s="26">
        <v>656.53966200000002</v>
      </c>
      <c r="U71" s="26">
        <v>369.27255600000001</v>
      </c>
      <c r="V71" s="26">
        <v>336.08816999999999</v>
      </c>
      <c r="W71" s="26">
        <v>1449.8199400000001</v>
      </c>
      <c r="X71" s="26">
        <v>1.05094544</v>
      </c>
      <c r="Y71" s="26">
        <v>4.8241179799999997E-5</v>
      </c>
      <c r="Z71" s="26">
        <v>3.0721527100000001E-3</v>
      </c>
      <c r="AA71" s="26">
        <v>3.0084470800000001E-3</v>
      </c>
      <c r="AB71" s="26">
        <v>7.2316524700000004E-9</v>
      </c>
      <c r="AC71" s="26">
        <v>1841.5986</v>
      </c>
      <c r="AD71" s="26">
        <v>0</v>
      </c>
      <c r="AE71" s="26">
        <v>0</v>
      </c>
      <c r="AF71" s="26">
        <v>0</v>
      </c>
      <c r="AG71" s="26">
        <v>0</v>
      </c>
      <c r="AH71" s="26">
        <v>0</v>
      </c>
      <c r="AI71" s="26">
        <v>0</v>
      </c>
      <c r="AJ71" s="26">
        <v>0</v>
      </c>
      <c r="AK71" s="26">
        <v>0</v>
      </c>
      <c r="AL71" s="26">
        <v>0</v>
      </c>
      <c r="AM71" s="26">
        <v>1.5842626899999999E-5</v>
      </c>
      <c r="AN71" s="26">
        <v>0</v>
      </c>
      <c r="AO71" s="26">
        <v>0</v>
      </c>
      <c r="AP71" s="26">
        <v>0</v>
      </c>
      <c r="AQ71" s="26">
        <v>0</v>
      </c>
      <c r="AR71" s="26">
        <v>0</v>
      </c>
      <c r="AS71" s="26">
        <v>0</v>
      </c>
      <c r="AT71" s="26">
        <v>0</v>
      </c>
      <c r="AU71" s="26">
        <v>0</v>
      </c>
      <c r="AV71" s="26">
        <v>0</v>
      </c>
      <c r="AW71" s="26">
        <v>0</v>
      </c>
      <c r="AX71" s="26">
        <v>0</v>
      </c>
      <c r="AY71" s="26">
        <v>0</v>
      </c>
      <c r="AZ71" s="26">
        <v>0</v>
      </c>
      <c r="BA71" s="26">
        <v>0</v>
      </c>
      <c r="BB71" s="26">
        <v>0</v>
      </c>
      <c r="BC71" s="26">
        <v>0</v>
      </c>
      <c r="BD71" s="26">
        <v>0</v>
      </c>
      <c r="BE71" s="26">
        <v>0</v>
      </c>
      <c r="BF71" s="26">
        <v>0</v>
      </c>
      <c r="BG71" s="26">
        <v>0</v>
      </c>
      <c r="BH71" s="26">
        <v>0</v>
      </c>
      <c r="BI71" s="26">
        <v>0</v>
      </c>
      <c r="BJ71" s="26">
        <v>0</v>
      </c>
      <c r="BK71" s="26">
        <v>0</v>
      </c>
      <c r="BL71" s="26">
        <v>0</v>
      </c>
      <c r="BM71" s="26">
        <v>0</v>
      </c>
      <c r="BN71" s="26">
        <v>0</v>
      </c>
      <c r="BO71" s="26">
        <v>10877.0123</v>
      </c>
      <c r="BP71" s="26">
        <v>232271.35200000004</v>
      </c>
      <c r="BQ71" s="26">
        <v>3789.2636000000002</v>
      </c>
      <c r="BR71" s="26">
        <v>96.94172279999998</v>
      </c>
      <c r="BS71" s="26">
        <v>7.7171336399999992</v>
      </c>
      <c r="BT71" s="26">
        <v>0</v>
      </c>
      <c r="BU71" s="26">
        <v>1</v>
      </c>
      <c r="BV71" s="26">
        <v>0</v>
      </c>
      <c r="BW71" s="26">
        <v>-71352.574699999997</v>
      </c>
      <c r="BX71" s="26">
        <v>-3341.3627000000001</v>
      </c>
      <c r="BY71" s="26">
        <v>-776.10283700000002</v>
      </c>
      <c r="BZ71" s="26">
        <v>-39.4752309</v>
      </c>
      <c r="CA71" s="26">
        <v>-1.8485817</v>
      </c>
      <c r="CB71" s="26">
        <v>4.7841363099999999E-2</v>
      </c>
      <c r="CC71" s="26">
        <v>1.02162044</v>
      </c>
      <c r="CD71" s="26">
        <v>21.3543339</v>
      </c>
      <c r="CE71" s="26">
        <v>3694.0438899999999</v>
      </c>
      <c r="CF71" s="26">
        <v>0</v>
      </c>
      <c r="CG71" s="26">
        <v>0</v>
      </c>
      <c r="CH71" s="26">
        <v>0</v>
      </c>
      <c r="CI71" s="26">
        <v>0</v>
      </c>
      <c r="CJ71" s="26">
        <v>0</v>
      </c>
      <c r="CK71" s="26">
        <v>0</v>
      </c>
      <c r="CL71" s="26">
        <v>0</v>
      </c>
      <c r="CM71" s="26">
        <v>0</v>
      </c>
      <c r="CN71" s="26">
        <v>0</v>
      </c>
      <c r="CO71" s="26">
        <v>0</v>
      </c>
      <c r="CP71" s="26">
        <v>0</v>
      </c>
      <c r="CQ71" s="26">
        <v>0</v>
      </c>
      <c r="CR71" s="26">
        <v>0</v>
      </c>
      <c r="CS71" s="26">
        <v>0</v>
      </c>
      <c r="CT71" s="26">
        <v>0</v>
      </c>
      <c r="CU71" s="26">
        <v>0</v>
      </c>
      <c r="CV71" s="26">
        <v>0</v>
      </c>
      <c r="CW71" s="26">
        <v>0</v>
      </c>
      <c r="CX71" s="26">
        <v>0</v>
      </c>
      <c r="CY71" s="26">
        <v>0</v>
      </c>
      <c r="CZ71" s="26">
        <v>0</v>
      </c>
      <c r="DA71" s="26">
        <v>0</v>
      </c>
      <c r="DB71" s="26">
        <v>0</v>
      </c>
      <c r="DC71" s="26">
        <v>0</v>
      </c>
      <c r="DD71" s="26">
        <v>0</v>
      </c>
      <c r="DE71" s="26">
        <v>0</v>
      </c>
      <c r="DF71" s="26">
        <v>0</v>
      </c>
      <c r="DG71" s="26">
        <v>0</v>
      </c>
      <c r="DH71" s="26">
        <v>0</v>
      </c>
      <c r="DI71" s="26">
        <v>0</v>
      </c>
      <c r="DJ71" s="26">
        <v>0</v>
      </c>
      <c r="DK71" s="26">
        <v>0</v>
      </c>
      <c r="DL71" s="26">
        <v>0</v>
      </c>
      <c r="DM71" s="26">
        <v>0</v>
      </c>
      <c r="DN71" s="26">
        <v>0</v>
      </c>
      <c r="DO71" s="26">
        <v>0</v>
      </c>
      <c r="DP71" s="26">
        <v>0</v>
      </c>
      <c r="DQ71" s="26">
        <v>0</v>
      </c>
      <c r="DR71" s="26">
        <v>0</v>
      </c>
      <c r="DS71" s="26">
        <v>0</v>
      </c>
      <c r="DT71" s="26">
        <v>0</v>
      </c>
      <c r="DU71" s="26">
        <v>0</v>
      </c>
      <c r="DV71" s="26">
        <v>0</v>
      </c>
      <c r="DW71" s="26">
        <v>0</v>
      </c>
      <c r="DX71" s="26">
        <v>26138.367999999999</v>
      </c>
      <c r="DY71" s="26">
        <v>30.979670600000002</v>
      </c>
      <c r="DZ71" s="26">
        <v>12.9984632</v>
      </c>
      <c r="EA71" s="26">
        <v>423.09997600000003</v>
      </c>
      <c r="EB71" s="26">
        <v>51.560570599999998</v>
      </c>
      <c r="EC71" s="26">
        <v>12475.191699999999</v>
      </c>
      <c r="ED71" s="26">
        <v>0</v>
      </c>
      <c r="EE71" s="26">
        <v>2583.0279399999999</v>
      </c>
      <c r="EF71" s="26">
        <v>4107.8476600000004</v>
      </c>
      <c r="EG71" s="26">
        <v>0</v>
      </c>
      <c r="EH71" s="26">
        <v>0</v>
      </c>
      <c r="EI71" s="26">
        <v>0</v>
      </c>
      <c r="EJ71" s="26">
        <v>0</v>
      </c>
      <c r="EK71" s="26">
        <v>0</v>
      </c>
      <c r="EL71" s="26">
        <v>269.47290700000002</v>
      </c>
      <c r="EM71" s="26">
        <v>0</v>
      </c>
      <c r="EN71" s="26">
        <v>0</v>
      </c>
      <c r="EO71" s="26">
        <v>0</v>
      </c>
      <c r="EP71" s="26">
        <v>435.20543700000002</v>
      </c>
      <c r="EQ71" s="26">
        <v>46092.546900000001</v>
      </c>
      <c r="ER71" s="26">
        <v>326.770308</v>
      </c>
      <c r="ES71" s="26">
        <v>96.94172279999998</v>
      </c>
      <c r="ET71" s="26">
        <v>7.7171336399999992</v>
      </c>
      <c r="EU71" s="26">
        <v>0</v>
      </c>
      <c r="EV71" s="26">
        <v>0</v>
      </c>
      <c r="EW71" s="26">
        <v>1</v>
      </c>
      <c r="EX71" s="26">
        <v>-137985.81700000001</v>
      </c>
      <c r="EY71" s="26">
        <v>-1302.8609200000001</v>
      </c>
      <c r="EZ71" s="26">
        <v>-60.052178300000001</v>
      </c>
      <c r="FA71" s="26">
        <v>-379.10860000000002</v>
      </c>
      <c r="FB71" s="26">
        <v>-3.5795401899999999</v>
      </c>
      <c r="FC71" s="26">
        <v>2.2197316200000001E-2</v>
      </c>
      <c r="FD71" s="26">
        <v>2.35091465</v>
      </c>
      <c r="FE71" s="26">
        <v>105.90985999999999</v>
      </c>
      <c r="FF71" s="26">
        <v>0</v>
      </c>
      <c r="FG71" s="26">
        <v>0.36257905200000001</v>
      </c>
      <c r="FH71" s="26">
        <v>-990593199.10500002</v>
      </c>
      <c r="FI71" s="26">
        <v>0.37290485298323883</v>
      </c>
      <c r="FJ71" s="26">
        <v>0</v>
      </c>
      <c r="FK71" s="26">
        <v>0</v>
      </c>
      <c r="FL71" s="26">
        <v>0</v>
      </c>
      <c r="FM71" s="26">
        <v>0</v>
      </c>
      <c r="FN71" s="26">
        <v>0</v>
      </c>
      <c r="FO71" s="26">
        <v>0</v>
      </c>
      <c r="FP71" s="26">
        <v>0</v>
      </c>
      <c r="FQ71" s="26">
        <v>0</v>
      </c>
      <c r="FR71" s="26">
        <v>0</v>
      </c>
      <c r="FS71" s="26">
        <v>0</v>
      </c>
      <c r="FT71" s="26">
        <v>0</v>
      </c>
      <c r="FU71" s="26">
        <v>0</v>
      </c>
      <c r="FV71" s="26">
        <v>0</v>
      </c>
      <c r="FW71" s="26">
        <v>0</v>
      </c>
      <c r="FX71" s="26">
        <v>0</v>
      </c>
      <c r="FY71" s="26">
        <v>0</v>
      </c>
      <c r="FZ71" s="26">
        <v>0</v>
      </c>
      <c r="GA71" s="26">
        <v>0</v>
      </c>
      <c r="GB71" s="26">
        <v>0</v>
      </c>
      <c r="GC71" s="26">
        <v>0</v>
      </c>
      <c r="GD71" s="26">
        <v>0</v>
      </c>
      <c r="GE71" s="26">
        <v>0</v>
      </c>
      <c r="GF71" s="26">
        <v>0</v>
      </c>
      <c r="GG71" s="26">
        <v>0</v>
      </c>
      <c r="GH71" s="26">
        <v>0</v>
      </c>
      <c r="GI71" s="26">
        <v>0</v>
      </c>
      <c r="GJ71" s="26">
        <v>0</v>
      </c>
      <c r="GK71" s="26">
        <v>0</v>
      </c>
      <c r="GL71" s="26">
        <v>0</v>
      </c>
      <c r="GM71" s="26">
        <v>0</v>
      </c>
      <c r="GN71" s="26">
        <v>0</v>
      </c>
      <c r="GO71" s="26">
        <v>0</v>
      </c>
      <c r="GP71" s="26">
        <v>0</v>
      </c>
      <c r="GQ71" s="26">
        <v>0</v>
      </c>
      <c r="GR71" s="26">
        <v>0</v>
      </c>
      <c r="GS71" s="26">
        <v>0</v>
      </c>
      <c r="GT71" s="26">
        <v>0</v>
      </c>
      <c r="GU71" s="26">
        <v>0</v>
      </c>
      <c r="GV71" s="26">
        <v>0</v>
      </c>
      <c r="GW71" s="26">
        <v>0</v>
      </c>
      <c r="GX71" s="26">
        <v>0</v>
      </c>
      <c r="GY71" s="26">
        <v>0</v>
      </c>
      <c r="GZ71" s="26">
        <v>0</v>
      </c>
      <c r="HA71" s="26">
        <v>0</v>
      </c>
      <c r="HB71" s="26">
        <v>0</v>
      </c>
      <c r="HC71" s="26">
        <v>0</v>
      </c>
      <c r="HD71" s="26">
        <v>0</v>
      </c>
      <c r="HE71" s="26">
        <v>0</v>
      </c>
      <c r="HF71" s="26">
        <v>0</v>
      </c>
      <c r="HG71" s="26">
        <v>0</v>
      </c>
      <c r="HH71" s="26">
        <v>0</v>
      </c>
      <c r="HI71" s="26">
        <v>0</v>
      </c>
      <c r="HJ71" s="26">
        <v>0</v>
      </c>
      <c r="HK71" s="26">
        <v>0</v>
      </c>
      <c r="HL71" s="26">
        <v>0</v>
      </c>
      <c r="HM71" s="26">
        <v>0</v>
      </c>
      <c r="HN71" s="26">
        <v>0</v>
      </c>
      <c r="HO71" s="26">
        <v>0</v>
      </c>
      <c r="HP71" s="26">
        <v>0</v>
      </c>
      <c r="HQ71" s="26">
        <v>0</v>
      </c>
      <c r="HR71" s="26">
        <v>0</v>
      </c>
      <c r="HS71" s="26">
        <v>0</v>
      </c>
      <c r="HT71" s="26">
        <v>0.49023342058853403</v>
      </c>
    </row>
    <row r="72" spans="2:228" x14ac:dyDescent="0.2">
      <c r="B72" s="27" t="s">
        <v>2383</v>
      </c>
      <c r="C72" s="26">
        <v>0</v>
      </c>
      <c r="D72" s="26">
        <v>0</v>
      </c>
      <c r="E72" s="26">
        <v>0</v>
      </c>
      <c r="F72" s="26">
        <v>0</v>
      </c>
      <c r="G72" s="26">
        <v>0</v>
      </c>
      <c r="H72" s="26">
        <v>0</v>
      </c>
      <c r="I72" s="26">
        <v>0</v>
      </c>
      <c r="J72" s="26">
        <v>0</v>
      </c>
      <c r="K72" s="26">
        <v>0</v>
      </c>
      <c r="L72" s="26">
        <v>0</v>
      </c>
      <c r="M72" s="26">
        <v>0</v>
      </c>
      <c r="N72" s="26">
        <v>0</v>
      </c>
      <c r="O72" s="26">
        <v>0</v>
      </c>
      <c r="P72" s="26">
        <v>0</v>
      </c>
      <c r="Q72" s="26">
        <v>0</v>
      </c>
      <c r="R72" s="26">
        <v>0</v>
      </c>
      <c r="S72" s="26">
        <v>0</v>
      </c>
      <c r="T72" s="26">
        <v>0</v>
      </c>
      <c r="U72" s="26">
        <v>0</v>
      </c>
      <c r="V72" s="26">
        <v>0</v>
      </c>
      <c r="W72" s="26">
        <v>0</v>
      </c>
      <c r="X72" s="26">
        <v>0</v>
      </c>
      <c r="Y72" s="26">
        <v>0</v>
      </c>
      <c r="Z72" s="26">
        <v>0</v>
      </c>
      <c r="AA72" s="26">
        <v>0</v>
      </c>
      <c r="AB72" s="26">
        <v>0</v>
      </c>
      <c r="AC72" s="26">
        <v>0</v>
      </c>
      <c r="AD72" s="26">
        <v>0</v>
      </c>
      <c r="AE72" s="26">
        <v>0</v>
      </c>
      <c r="AF72" s="26">
        <v>0</v>
      </c>
      <c r="AG72" s="26">
        <v>0</v>
      </c>
      <c r="AH72" s="26">
        <v>0</v>
      </c>
      <c r="AI72" s="26">
        <v>0</v>
      </c>
      <c r="AJ72" s="26">
        <v>0</v>
      </c>
      <c r="AK72" s="26">
        <v>0</v>
      </c>
      <c r="AL72" s="26">
        <v>0</v>
      </c>
      <c r="AM72" s="26">
        <v>0</v>
      </c>
      <c r="AN72" s="26">
        <v>0</v>
      </c>
      <c r="AO72" s="26">
        <v>0</v>
      </c>
      <c r="AP72" s="26">
        <v>0</v>
      </c>
      <c r="AQ72" s="26">
        <v>0</v>
      </c>
      <c r="AR72" s="26">
        <v>0</v>
      </c>
      <c r="AS72" s="26">
        <v>0</v>
      </c>
      <c r="AT72" s="26">
        <v>0</v>
      </c>
      <c r="AU72" s="26">
        <v>0</v>
      </c>
      <c r="AV72" s="26">
        <v>0</v>
      </c>
      <c r="AW72" s="26">
        <v>0</v>
      </c>
      <c r="AX72" s="26">
        <v>0</v>
      </c>
      <c r="AY72" s="26">
        <v>0</v>
      </c>
      <c r="AZ72" s="26">
        <v>0</v>
      </c>
      <c r="BA72" s="26">
        <v>0</v>
      </c>
      <c r="BB72" s="26">
        <v>0</v>
      </c>
      <c r="BC72" s="26">
        <v>0</v>
      </c>
      <c r="BD72" s="26">
        <v>0</v>
      </c>
      <c r="BE72" s="26">
        <v>0</v>
      </c>
      <c r="BF72" s="26">
        <v>0</v>
      </c>
      <c r="BG72" s="26">
        <v>0</v>
      </c>
      <c r="BH72" s="26">
        <v>0</v>
      </c>
      <c r="BI72" s="26">
        <v>0</v>
      </c>
      <c r="BJ72" s="26">
        <v>0</v>
      </c>
      <c r="BK72" s="26">
        <v>0</v>
      </c>
      <c r="BL72" s="26">
        <v>0</v>
      </c>
      <c r="BM72" s="26">
        <v>0</v>
      </c>
      <c r="BN72" s="26">
        <v>0</v>
      </c>
      <c r="BO72" s="26">
        <v>0</v>
      </c>
      <c r="BP72" s="26">
        <v>0</v>
      </c>
      <c r="BQ72" s="26">
        <v>0</v>
      </c>
      <c r="BR72" s="26">
        <v>0</v>
      </c>
      <c r="BS72" s="26">
        <v>0</v>
      </c>
      <c r="BT72" s="26">
        <v>0</v>
      </c>
      <c r="BU72" s="26">
        <v>0</v>
      </c>
      <c r="BV72" s="26">
        <v>0</v>
      </c>
      <c r="BW72" s="26">
        <v>0</v>
      </c>
      <c r="BX72" s="26">
        <v>0</v>
      </c>
      <c r="BY72" s="26">
        <v>0</v>
      </c>
      <c r="BZ72" s="26">
        <v>0</v>
      </c>
      <c r="CA72" s="26">
        <v>0</v>
      </c>
      <c r="CB72" s="26">
        <v>0</v>
      </c>
      <c r="CC72" s="26">
        <v>0</v>
      </c>
      <c r="CD72" s="26">
        <v>0</v>
      </c>
      <c r="CE72" s="26">
        <v>0</v>
      </c>
      <c r="CF72" s="26">
        <v>0</v>
      </c>
      <c r="CG72" s="26">
        <v>0</v>
      </c>
      <c r="CH72" s="26">
        <v>0</v>
      </c>
      <c r="CI72" s="26">
        <v>0</v>
      </c>
      <c r="CJ72" s="26">
        <v>0</v>
      </c>
      <c r="CK72" s="26">
        <v>0</v>
      </c>
      <c r="CL72" s="26">
        <v>0</v>
      </c>
      <c r="CM72" s="26">
        <v>0</v>
      </c>
      <c r="CN72" s="26">
        <v>0</v>
      </c>
      <c r="CO72" s="26">
        <v>0</v>
      </c>
      <c r="CP72" s="26">
        <v>0</v>
      </c>
      <c r="CQ72" s="26">
        <v>0</v>
      </c>
      <c r="CR72" s="26">
        <v>0</v>
      </c>
      <c r="CS72" s="26">
        <v>0</v>
      </c>
      <c r="CT72" s="26">
        <v>0</v>
      </c>
      <c r="CU72" s="26">
        <v>0</v>
      </c>
      <c r="CV72" s="26">
        <v>0</v>
      </c>
      <c r="CW72" s="26">
        <v>0</v>
      </c>
      <c r="CX72" s="26">
        <v>0</v>
      </c>
      <c r="CY72" s="26">
        <v>0</v>
      </c>
      <c r="CZ72" s="26">
        <v>0</v>
      </c>
      <c r="DA72" s="26">
        <v>0</v>
      </c>
      <c r="DB72" s="26">
        <v>0</v>
      </c>
      <c r="DC72" s="26">
        <v>0</v>
      </c>
      <c r="DD72" s="26">
        <v>0</v>
      </c>
      <c r="DE72" s="26">
        <v>0</v>
      </c>
      <c r="DF72" s="26">
        <v>0</v>
      </c>
      <c r="DG72" s="26">
        <v>0</v>
      </c>
      <c r="DH72" s="26">
        <v>0</v>
      </c>
      <c r="DI72" s="26">
        <v>0</v>
      </c>
      <c r="DJ72" s="26">
        <v>0</v>
      </c>
      <c r="DK72" s="26">
        <v>0</v>
      </c>
      <c r="DL72" s="26">
        <v>0</v>
      </c>
      <c r="DM72" s="26">
        <v>0</v>
      </c>
      <c r="DN72" s="26">
        <v>0</v>
      </c>
      <c r="DO72" s="26">
        <v>0</v>
      </c>
      <c r="DP72" s="26">
        <v>0</v>
      </c>
      <c r="DQ72" s="26">
        <v>0</v>
      </c>
      <c r="DR72" s="26">
        <v>0</v>
      </c>
      <c r="DS72" s="26">
        <v>0</v>
      </c>
      <c r="DT72" s="26">
        <v>0</v>
      </c>
      <c r="DU72" s="26">
        <v>0</v>
      </c>
      <c r="DV72" s="26">
        <v>0</v>
      </c>
      <c r="DW72" s="26">
        <v>0</v>
      </c>
      <c r="DX72" s="26">
        <v>0</v>
      </c>
      <c r="DY72" s="26">
        <v>0</v>
      </c>
      <c r="DZ72" s="26">
        <v>0</v>
      </c>
      <c r="EA72" s="26">
        <v>0</v>
      </c>
      <c r="EB72" s="26">
        <v>0</v>
      </c>
      <c r="EC72" s="26">
        <v>0</v>
      </c>
      <c r="ED72" s="26">
        <v>0</v>
      </c>
      <c r="EE72" s="26">
        <v>0</v>
      </c>
      <c r="EF72" s="26">
        <v>0</v>
      </c>
      <c r="EG72" s="26">
        <v>0</v>
      </c>
      <c r="EH72" s="26">
        <v>0</v>
      </c>
      <c r="EI72" s="26">
        <v>0</v>
      </c>
      <c r="EJ72" s="26">
        <v>0</v>
      </c>
      <c r="EK72" s="26">
        <v>0</v>
      </c>
      <c r="EL72" s="26">
        <v>0</v>
      </c>
      <c r="EM72" s="26">
        <v>0</v>
      </c>
      <c r="EN72" s="26">
        <v>0</v>
      </c>
      <c r="EO72" s="26">
        <v>0</v>
      </c>
      <c r="EP72" s="26">
        <v>0</v>
      </c>
      <c r="EQ72" s="26">
        <v>0</v>
      </c>
      <c r="ER72" s="26">
        <v>0</v>
      </c>
      <c r="ES72" s="26">
        <v>0</v>
      </c>
      <c r="ET72" s="26">
        <v>0</v>
      </c>
      <c r="EU72" s="26">
        <v>0</v>
      </c>
      <c r="EV72" s="26">
        <v>0</v>
      </c>
      <c r="EW72" s="26">
        <v>0</v>
      </c>
      <c r="EX72" s="26">
        <v>0</v>
      </c>
      <c r="EY72" s="26">
        <v>0</v>
      </c>
      <c r="EZ72" s="26">
        <v>0</v>
      </c>
      <c r="FA72" s="26">
        <v>0</v>
      </c>
      <c r="FB72" s="26">
        <v>0</v>
      </c>
      <c r="FC72" s="26">
        <v>0</v>
      </c>
      <c r="FD72" s="26">
        <v>0</v>
      </c>
      <c r="FE72" s="26">
        <v>0</v>
      </c>
      <c r="FF72" s="26">
        <v>0</v>
      </c>
      <c r="FG72" s="26">
        <v>0</v>
      </c>
      <c r="FH72" s="26">
        <v>0</v>
      </c>
      <c r="FI72" s="26">
        <v>0</v>
      </c>
      <c r="FJ72" s="26">
        <v>0</v>
      </c>
      <c r="FK72" s="26">
        <v>0</v>
      </c>
      <c r="FL72" s="26">
        <v>0</v>
      </c>
      <c r="FM72" s="26">
        <v>0</v>
      </c>
      <c r="FN72" s="26">
        <v>0</v>
      </c>
      <c r="FO72" s="26">
        <v>0</v>
      </c>
      <c r="FP72" s="26">
        <v>0</v>
      </c>
      <c r="FQ72" s="26">
        <v>0</v>
      </c>
      <c r="FR72" s="26">
        <v>0</v>
      </c>
      <c r="FS72" s="26">
        <v>0</v>
      </c>
      <c r="FT72" s="26">
        <v>0</v>
      </c>
      <c r="FU72" s="26">
        <v>0</v>
      </c>
      <c r="FV72" s="26">
        <v>0</v>
      </c>
      <c r="FW72" s="26">
        <v>0</v>
      </c>
      <c r="FX72" s="26">
        <v>0</v>
      </c>
      <c r="FY72" s="26">
        <v>0</v>
      </c>
      <c r="FZ72" s="26">
        <v>0</v>
      </c>
      <c r="GA72" s="26">
        <v>0</v>
      </c>
      <c r="GB72" s="26">
        <v>0</v>
      </c>
      <c r="GC72" s="26">
        <v>0</v>
      </c>
      <c r="GD72" s="26">
        <v>0</v>
      </c>
      <c r="GE72" s="26">
        <v>0</v>
      </c>
      <c r="GF72" s="26">
        <v>0</v>
      </c>
      <c r="GG72" s="26">
        <v>0</v>
      </c>
      <c r="GH72" s="26">
        <v>0</v>
      </c>
      <c r="GI72" s="26">
        <v>0</v>
      </c>
      <c r="GJ72" s="26">
        <v>0</v>
      </c>
      <c r="GK72" s="26">
        <v>0</v>
      </c>
      <c r="GL72" s="26">
        <v>0</v>
      </c>
      <c r="GM72" s="26">
        <v>0</v>
      </c>
      <c r="GN72" s="26">
        <v>0</v>
      </c>
      <c r="GO72" s="26">
        <v>0</v>
      </c>
      <c r="GP72" s="26">
        <v>0</v>
      </c>
      <c r="GQ72" s="26">
        <v>0</v>
      </c>
      <c r="GR72" s="26">
        <v>0</v>
      </c>
      <c r="GS72" s="26">
        <v>0</v>
      </c>
      <c r="GT72" s="26">
        <v>0</v>
      </c>
      <c r="GU72" s="26">
        <v>0</v>
      </c>
      <c r="GV72" s="26">
        <v>0</v>
      </c>
      <c r="GW72" s="26">
        <v>0</v>
      </c>
      <c r="GX72" s="26">
        <v>0</v>
      </c>
      <c r="GY72" s="26">
        <v>0</v>
      </c>
      <c r="GZ72" s="26">
        <v>0</v>
      </c>
      <c r="HA72" s="26">
        <v>0</v>
      </c>
      <c r="HB72" s="26">
        <v>0</v>
      </c>
      <c r="HC72" s="26">
        <v>0</v>
      </c>
      <c r="HD72" s="26">
        <v>0</v>
      </c>
      <c r="HE72" s="26">
        <v>0</v>
      </c>
      <c r="HF72" s="26">
        <v>0</v>
      </c>
      <c r="HG72" s="26">
        <v>0</v>
      </c>
      <c r="HH72" s="26">
        <v>0</v>
      </c>
      <c r="HI72" s="26">
        <v>0</v>
      </c>
      <c r="HJ72" s="26">
        <v>0</v>
      </c>
      <c r="HK72" s="26">
        <v>0</v>
      </c>
      <c r="HL72" s="26">
        <v>0</v>
      </c>
      <c r="HM72" s="26">
        <v>0</v>
      </c>
      <c r="HN72" s="26">
        <v>0</v>
      </c>
      <c r="HO72" s="26">
        <v>0</v>
      </c>
      <c r="HP72" s="26">
        <v>0</v>
      </c>
      <c r="HQ72" s="26">
        <v>0</v>
      </c>
      <c r="HR72" s="26">
        <v>0</v>
      </c>
      <c r="HS72" s="26">
        <v>0</v>
      </c>
      <c r="HT72" s="26">
        <v>0</v>
      </c>
    </row>
    <row r="73" spans="2:228" x14ac:dyDescent="0.2">
      <c r="B73" s="27" t="s">
        <v>2873</v>
      </c>
      <c r="C73" s="26">
        <v>278363.89799999999</v>
      </c>
      <c r="D73" s="26">
        <v>-836.15501500000005</v>
      </c>
      <c r="E73" s="26">
        <v>190923.81599999999</v>
      </c>
      <c r="F73" s="26">
        <v>5.8779036800000002</v>
      </c>
      <c r="G73" s="26">
        <v>3550.2458900000001</v>
      </c>
      <c r="H73" s="26">
        <v>1191.5221799999999</v>
      </c>
      <c r="I73" s="26">
        <v>499.93937600000004</v>
      </c>
      <c r="J73" s="26">
        <v>16642.738799999999</v>
      </c>
      <c r="K73" s="26">
        <v>2028.1473900000001</v>
      </c>
      <c r="L73" s="26">
        <v>1.4712044599999999E-4</v>
      </c>
      <c r="M73" s="26">
        <v>0</v>
      </c>
      <c r="N73" s="26">
        <v>87.614647399999996</v>
      </c>
      <c r="O73" s="26">
        <v>28.596618400000004</v>
      </c>
      <c r="P73" s="26">
        <v>11.998581100000001</v>
      </c>
      <c r="Q73" s="26">
        <v>390.551108</v>
      </c>
      <c r="R73" s="26">
        <v>47.594041799999999</v>
      </c>
      <c r="S73" s="26">
        <v>12208.3331</v>
      </c>
      <c r="T73" s="26">
        <v>656.53966200000002</v>
      </c>
      <c r="U73" s="26">
        <v>369.27255600000001</v>
      </c>
      <c r="V73" s="26">
        <v>336.08816999999999</v>
      </c>
      <c r="W73" s="26">
        <v>1449.8199400000001</v>
      </c>
      <c r="X73" s="26">
        <v>1.05094544</v>
      </c>
      <c r="Y73" s="26">
        <v>4.8241179799999997E-5</v>
      </c>
      <c r="Z73" s="26">
        <v>3.0721527100000001E-3</v>
      </c>
      <c r="AA73" s="26">
        <v>3.0084470800000001E-3</v>
      </c>
      <c r="AB73" s="26">
        <v>7.2316524700000004E-9</v>
      </c>
      <c r="AC73" s="26">
        <v>1841.5986</v>
      </c>
      <c r="AD73" s="26">
        <v>0</v>
      </c>
      <c r="AE73" s="26">
        <v>0</v>
      </c>
      <c r="AF73" s="26">
        <v>0</v>
      </c>
      <c r="AG73" s="26">
        <v>0</v>
      </c>
      <c r="AH73" s="26">
        <v>0</v>
      </c>
      <c r="AI73" s="26">
        <v>0</v>
      </c>
      <c r="AJ73" s="26">
        <v>0</v>
      </c>
      <c r="AK73" s="26">
        <v>0</v>
      </c>
      <c r="AL73" s="26">
        <v>0</v>
      </c>
      <c r="AM73" s="26">
        <v>1.5842626899999999E-5</v>
      </c>
      <c r="AN73" s="26">
        <v>0</v>
      </c>
      <c r="AO73" s="26">
        <v>0</v>
      </c>
      <c r="AP73" s="26">
        <v>0</v>
      </c>
      <c r="AQ73" s="26">
        <v>0</v>
      </c>
      <c r="AR73" s="26">
        <v>0</v>
      </c>
      <c r="AS73" s="26">
        <v>0</v>
      </c>
      <c r="AT73" s="26">
        <v>0</v>
      </c>
      <c r="AU73" s="26">
        <v>0</v>
      </c>
      <c r="AV73" s="26">
        <v>0</v>
      </c>
      <c r="AW73" s="26">
        <v>0</v>
      </c>
      <c r="AX73" s="26">
        <v>0</v>
      </c>
      <c r="AY73" s="26">
        <v>0</v>
      </c>
      <c r="AZ73" s="26">
        <v>0</v>
      </c>
      <c r="BA73" s="26">
        <v>0</v>
      </c>
      <c r="BB73" s="26">
        <v>0</v>
      </c>
      <c r="BC73" s="26">
        <v>0</v>
      </c>
      <c r="BD73" s="26">
        <v>0</v>
      </c>
      <c r="BE73" s="26">
        <v>0</v>
      </c>
      <c r="BF73" s="26">
        <v>0</v>
      </c>
      <c r="BG73" s="26">
        <v>0</v>
      </c>
      <c r="BH73" s="26">
        <v>0</v>
      </c>
      <c r="BI73" s="26">
        <v>0</v>
      </c>
      <c r="BJ73" s="26">
        <v>0</v>
      </c>
      <c r="BK73" s="26">
        <v>0</v>
      </c>
      <c r="BL73" s="26">
        <v>0</v>
      </c>
      <c r="BM73" s="26">
        <v>0</v>
      </c>
      <c r="BN73" s="26">
        <v>0</v>
      </c>
      <c r="BO73" s="26">
        <v>10877.0123</v>
      </c>
      <c r="BP73" s="26">
        <v>232271.35200000004</v>
      </c>
      <c r="BQ73" s="26">
        <v>3806.4076899999995</v>
      </c>
      <c r="BR73" s="26">
        <v>100.80537099999998</v>
      </c>
      <c r="BS73" s="26">
        <v>7.7171336399999992</v>
      </c>
      <c r="BT73" s="26">
        <v>0</v>
      </c>
      <c r="BU73" s="26">
        <v>1</v>
      </c>
      <c r="BV73" s="26">
        <v>0</v>
      </c>
      <c r="BW73" s="26">
        <v>-71355.507700000002</v>
      </c>
      <c r="BX73" s="26">
        <v>-3341.5000500000001</v>
      </c>
      <c r="BY73" s="26">
        <v>-776.13473899999997</v>
      </c>
      <c r="BZ73" s="26">
        <v>-39.457912899999997</v>
      </c>
      <c r="CA73" s="26">
        <v>-1.84777072</v>
      </c>
      <c r="CB73" s="26">
        <v>4.7625885200000002E-2</v>
      </c>
      <c r="CC73" s="26">
        <v>1.01701905</v>
      </c>
      <c r="CD73" s="26">
        <v>21.3543339</v>
      </c>
      <c r="CE73" s="26">
        <v>3694.0438899999999</v>
      </c>
      <c r="CF73" s="26">
        <v>0</v>
      </c>
      <c r="CG73" s="26">
        <v>0</v>
      </c>
      <c r="CH73" s="26">
        <v>0</v>
      </c>
      <c r="CI73" s="26">
        <v>0</v>
      </c>
      <c r="CJ73" s="26">
        <v>0</v>
      </c>
      <c r="CK73" s="26">
        <v>0</v>
      </c>
      <c r="CL73" s="26">
        <v>0</v>
      </c>
      <c r="CM73" s="26">
        <v>0</v>
      </c>
      <c r="CN73" s="26">
        <v>0</v>
      </c>
      <c r="CO73" s="26">
        <v>0</v>
      </c>
      <c r="CP73" s="26">
        <v>0</v>
      </c>
      <c r="CQ73" s="26">
        <v>0</v>
      </c>
      <c r="CR73" s="26">
        <v>0</v>
      </c>
      <c r="CS73" s="26">
        <v>0</v>
      </c>
      <c r="CT73" s="26">
        <v>0</v>
      </c>
      <c r="CU73" s="26">
        <v>0</v>
      </c>
      <c r="CV73" s="26">
        <v>0</v>
      </c>
      <c r="CW73" s="26">
        <v>0</v>
      </c>
      <c r="CX73" s="26">
        <v>0</v>
      </c>
      <c r="CY73" s="26">
        <v>0</v>
      </c>
      <c r="CZ73" s="26">
        <v>0</v>
      </c>
      <c r="DA73" s="26">
        <v>0</v>
      </c>
      <c r="DB73" s="26">
        <v>0</v>
      </c>
      <c r="DC73" s="26">
        <v>0</v>
      </c>
      <c r="DD73" s="26">
        <v>0</v>
      </c>
      <c r="DE73" s="26">
        <v>0</v>
      </c>
      <c r="DF73" s="26">
        <v>0</v>
      </c>
      <c r="DG73" s="26">
        <v>0</v>
      </c>
      <c r="DH73" s="26">
        <v>0</v>
      </c>
      <c r="DI73" s="26">
        <v>0</v>
      </c>
      <c r="DJ73" s="26">
        <v>0</v>
      </c>
      <c r="DK73" s="26">
        <v>0</v>
      </c>
      <c r="DL73" s="26">
        <v>0</v>
      </c>
      <c r="DM73" s="26">
        <v>0</v>
      </c>
      <c r="DN73" s="26">
        <v>0</v>
      </c>
      <c r="DO73" s="26">
        <v>0</v>
      </c>
      <c r="DP73" s="26">
        <v>0</v>
      </c>
      <c r="DQ73" s="26">
        <v>0</v>
      </c>
      <c r="DR73" s="26">
        <v>0</v>
      </c>
      <c r="DS73" s="26">
        <v>0</v>
      </c>
      <c r="DT73" s="26">
        <v>0</v>
      </c>
      <c r="DU73" s="26">
        <v>0</v>
      </c>
      <c r="DV73" s="26">
        <v>0</v>
      </c>
      <c r="DW73" s="26">
        <v>0</v>
      </c>
      <c r="DX73" s="26">
        <v>26138.367999999999</v>
      </c>
      <c r="DY73" s="26">
        <v>30.979670600000002</v>
      </c>
      <c r="DZ73" s="26">
        <v>12.9984632</v>
      </c>
      <c r="EA73" s="26">
        <v>423.09997600000003</v>
      </c>
      <c r="EB73" s="26">
        <v>51.560570599999998</v>
      </c>
      <c r="EC73" s="26">
        <v>12475.191699999999</v>
      </c>
      <c r="ED73" s="26">
        <v>0</v>
      </c>
      <c r="EE73" s="26">
        <v>2583.0279399999999</v>
      </c>
      <c r="EF73" s="26">
        <v>4107.8476600000004</v>
      </c>
      <c r="EG73" s="26">
        <v>0</v>
      </c>
      <c r="EH73" s="26">
        <v>0</v>
      </c>
      <c r="EI73" s="26">
        <v>0</v>
      </c>
      <c r="EJ73" s="26">
        <v>0</v>
      </c>
      <c r="EK73" s="26">
        <v>0</v>
      </c>
      <c r="EL73" s="26">
        <v>269.47290700000002</v>
      </c>
      <c r="EM73" s="26">
        <v>0</v>
      </c>
      <c r="EN73" s="26">
        <v>0</v>
      </c>
      <c r="EO73" s="26">
        <v>0</v>
      </c>
      <c r="EP73" s="26">
        <v>435.20543700000002</v>
      </c>
      <c r="EQ73" s="26">
        <v>46092.546900000001</v>
      </c>
      <c r="ER73" s="26">
        <v>326.770308</v>
      </c>
      <c r="ES73" s="26">
        <v>100.80537099999998</v>
      </c>
      <c r="ET73" s="26">
        <v>7.7171336399999992</v>
      </c>
      <c r="EU73" s="26">
        <v>0</v>
      </c>
      <c r="EV73" s="26">
        <v>0</v>
      </c>
      <c r="EW73" s="26">
        <v>1</v>
      </c>
      <c r="EX73" s="26">
        <v>-137912.51300000001</v>
      </c>
      <c r="EY73" s="26">
        <v>-1302.16878</v>
      </c>
      <c r="EZ73" s="26">
        <v>-60.020276099999997</v>
      </c>
      <c r="FA73" s="26">
        <v>-378.91155800000001</v>
      </c>
      <c r="FB73" s="26">
        <v>-3.5776797299999998</v>
      </c>
      <c r="FC73" s="26">
        <v>2.2197316200000001E-2</v>
      </c>
      <c r="FD73" s="26">
        <v>2.35091465</v>
      </c>
      <c r="FE73" s="26">
        <v>105.90985999999999</v>
      </c>
      <c r="FF73" s="26">
        <v>0</v>
      </c>
      <c r="FG73" s="26">
        <v>0.36257905200000001</v>
      </c>
      <c r="FH73" s="26">
        <v>-990896218.755</v>
      </c>
      <c r="FI73" s="26">
        <v>0.37290485298323883</v>
      </c>
      <c r="FJ73" s="26">
        <v>0</v>
      </c>
      <c r="FK73" s="26">
        <v>0</v>
      </c>
      <c r="FL73" s="26">
        <v>0</v>
      </c>
      <c r="FM73" s="26">
        <v>0</v>
      </c>
      <c r="FN73" s="26">
        <v>0</v>
      </c>
      <c r="FO73" s="26">
        <v>0</v>
      </c>
      <c r="FP73" s="26">
        <v>0</v>
      </c>
      <c r="FQ73" s="26">
        <v>0</v>
      </c>
      <c r="FR73" s="26">
        <v>0</v>
      </c>
      <c r="FS73" s="26">
        <v>0</v>
      </c>
      <c r="FT73" s="26">
        <v>0</v>
      </c>
      <c r="FU73" s="26">
        <v>0</v>
      </c>
      <c r="FV73" s="26">
        <v>0</v>
      </c>
      <c r="FW73" s="26">
        <v>0</v>
      </c>
      <c r="FX73" s="26">
        <v>0</v>
      </c>
      <c r="FY73" s="26">
        <v>0</v>
      </c>
      <c r="FZ73" s="26">
        <v>0</v>
      </c>
      <c r="GA73" s="26">
        <v>0</v>
      </c>
      <c r="GB73" s="26">
        <v>0</v>
      </c>
      <c r="GC73" s="26">
        <v>0</v>
      </c>
      <c r="GD73" s="26">
        <v>0</v>
      </c>
      <c r="GE73" s="26">
        <v>0</v>
      </c>
      <c r="GF73" s="26">
        <v>0</v>
      </c>
      <c r="GG73" s="26">
        <v>0</v>
      </c>
      <c r="GH73" s="26">
        <v>0</v>
      </c>
      <c r="GI73" s="26">
        <v>0</v>
      </c>
      <c r="GJ73" s="26">
        <v>0</v>
      </c>
      <c r="GK73" s="26">
        <v>0</v>
      </c>
      <c r="GL73" s="26">
        <v>0</v>
      </c>
      <c r="GM73" s="26">
        <v>0</v>
      </c>
      <c r="GN73" s="26">
        <v>0</v>
      </c>
      <c r="GO73" s="26">
        <v>0</v>
      </c>
      <c r="GP73" s="26">
        <v>0</v>
      </c>
      <c r="GQ73" s="26">
        <v>0</v>
      </c>
      <c r="GR73" s="26">
        <v>0</v>
      </c>
      <c r="GS73" s="26">
        <v>0</v>
      </c>
      <c r="GT73" s="26">
        <v>0</v>
      </c>
      <c r="GU73" s="26">
        <v>0</v>
      </c>
      <c r="GV73" s="26">
        <v>0</v>
      </c>
      <c r="GW73" s="26">
        <v>0</v>
      </c>
      <c r="GX73" s="26">
        <v>0</v>
      </c>
      <c r="GY73" s="26">
        <v>0</v>
      </c>
      <c r="GZ73" s="26">
        <v>0</v>
      </c>
      <c r="HA73" s="26">
        <v>0</v>
      </c>
      <c r="HB73" s="26">
        <v>0</v>
      </c>
      <c r="HC73" s="26">
        <v>0</v>
      </c>
      <c r="HD73" s="26">
        <v>0</v>
      </c>
      <c r="HE73" s="26">
        <v>0</v>
      </c>
      <c r="HF73" s="26">
        <v>0</v>
      </c>
      <c r="HG73" s="26">
        <v>0</v>
      </c>
      <c r="HH73" s="26">
        <v>0</v>
      </c>
      <c r="HI73" s="26">
        <v>0</v>
      </c>
      <c r="HJ73" s="26">
        <v>0</v>
      </c>
      <c r="HK73" s="26">
        <v>0</v>
      </c>
      <c r="HL73" s="26">
        <v>0</v>
      </c>
      <c r="HM73" s="26">
        <v>0</v>
      </c>
      <c r="HN73" s="26">
        <v>0</v>
      </c>
      <c r="HO73" s="26">
        <v>0</v>
      </c>
      <c r="HP73" s="26">
        <v>0</v>
      </c>
      <c r="HQ73" s="26">
        <v>0</v>
      </c>
      <c r="HR73" s="26">
        <v>0</v>
      </c>
      <c r="HS73" s="26">
        <v>0</v>
      </c>
      <c r="HT73" s="26">
        <v>0.49023342058853403</v>
      </c>
    </row>
    <row r="74" spans="2:228" x14ac:dyDescent="0.2">
      <c r="B74" s="27" t="s">
        <v>2874</v>
      </c>
      <c r="C74" s="26">
        <v>278363.89799999999</v>
      </c>
      <c r="D74" s="26">
        <v>-836.20316700000001</v>
      </c>
      <c r="E74" s="26">
        <v>190923.81599999999</v>
      </c>
      <c r="F74" s="26">
        <v>5.8779036800000002</v>
      </c>
      <c r="G74" s="26">
        <v>3550.2458900000001</v>
      </c>
      <c r="H74" s="26">
        <v>1191.5221799999999</v>
      </c>
      <c r="I74" s="26">
        <v>499.93937600000004</v>
      </c>
      <c r="J74" s="26">
        <v>16642.738799999999</v>
      </c>
      <c r="K74" s="26">
        <v>2028.1473900000001</v>
      </c>
      <c r="L74" s="26">
        <v>1.4712044599999999E-4</v>
      </c>
      <c r="M74" s="26">
        <v>0</v>
      </c>
      <c r="N74" s="26">
        <v>87.614647399999996</v>
      </c>
      <c r="O74" s="26">
        <v>28.596618400000004</v>
      </c>
      <c r="P74" s="26">
        <v>11.998581100000001</v>
      </c>
      <c r="Q74" s="26">
        <v>390.551108</v>
      </c>
      <c r="R74" s="26">
        <v>47.594041799999999</v>
      </c>
      <c r="S74" s="26">
        <v>12208.3331</v>
      </c>
      <c r="T74" s="26">
        <v>656.53966200000002</v>
      </c>
      <c r="U74" s="26">
        <v>369.27255600000001</v>
      </c>
      <c r="V74" s="26">
        <v>336.08816999999999</v>
      </c>
      <c r="W74" s="26">
        <v>1449.8199400000001</v>
      </c>
      <c r="X74" s="26">
        <v>1.05094544</v>
      </c>
      <c r="Y74" s="26">
        <v>4.8241179799999997E-5</v>
      </c>
      <c r="Z74" s="26">
        <v>3.0721527100000001E-3</v>
      </c>
      <c r="AA74" s="26">
        <v>3.0084470800000001E-3</v>
      </c>
      <c r="AB74" s="26">
        <v>7.2316524700000004E-9</v>
      </c>
      <c r="AC74" s="26">
        <v>1841.5986</v>
      </c>
      <c r="AD74" s="26">
        <v>0</v>
      </c>
      <c r="AE74" s="26">
        <v>0</v>
      </c>
      <c r="AF74" s="26">
        <v>0</v>
      </c>
      <c r="AG74" s="26">
        <v>0</v>
      </c>
      <c r="AH74" s="26">
        <v>0</v>
      </c>
      <c r="AI74" s="26">
        <v>0</v>
      </c>
      <c r="AJ74" s="26">
        <v>0</v>
      </c>
      <c r="AK74" s="26">
        <v>0</v>
      </c>
      <c r="AL74" s="26">
        <v>0</v>
      </c>
      <c r="AM74" s="26">
        <v>1.5842626899999999E-5</v>
      </c>
      <c r="AN74" s="26">
        <v>0</v>
      </c>
      <c r="AO74" s="26">
        <v>0</v>
      </c>
      <c r="AP74" s="26">
        <v>0</v>
      </c>
      <c r="AQ74" s="26">
        <v>0</v>
      </c>
      <c r="AR74" s="26">
        <v>0</v>
      </c>
      <c r="AS74" s="26">
        <v>0</v>
      </c>
      <c r="AT74" s="26">
        <v>0</v>
      </c>
      <c r="AU74" s="26">
        <v>0</v>
      </c>
      <c r="AV74" s="26">
        <v>0</v>
      </c>
      <c r="AW74" s="26">
        <v>0</v>
      </c>
      <c r="AX74" s="26">
        <v>0</v>
      </c>
      <c r="AY74" s="26">
        <v>0</v>
      </c>
      <c r="AZ74" s="26">
        <v>0</v>
      </c>
      <c r="BA74" s="26">
        <v>0</v>
      </c>
      <c r="BB74" s="26">
        <v>0</v>
      </c>
      <c r="BC74" s="26">
        <v>0</v>
      </c>
      <c r="BD74" s="26">
        <v>0</v>
      </c>
      <c r="BE74" s="26">
        <v>0</v>
      </c>
      <c r="BF74" s="26">
        <v>0</v>
      </c>
      <c r="BG74" s="26">
        <v>0</v>
      </c>
      <c r="BH74" s="26">
        <v>0</v>
      </c>
      <c r="BI74" s="26">
        <v>0</v>
      </c>
      <c r="BJ74" s="26">
        <v>0</v>
      </c>
      <c r="BK74" s="26">
        <v>0</v>
      </c>
      <c r="BL74" s="26">
        <v>0</v>
      </c>
      <c r="BM74" s="26">
        <v>0</v>
      </c>
      <c r="BN74" s="26">
        <v>0</v>
      </c>
      <c r="BO74" s="26">
        <v>10877.0123</v>
      </c>
      <c r="BP74" s="26">
        <v>232271.35200000004</v>
      </c>
      <c r="BQ74" s="26">
        <v>3805.93262</v>
      </c>
      <c r="BR74" s="26">
        <v>100.69906600000002</v>
      </c>
      <c r="BS74" s="26">
        <v>1</v>
      </c>
      <c r="BT74" s="26">
        <v>0</v>
      </c>
      <c r="BU74" s="26">
        <v>1</v>
      </c>
      <c r="BV74" s="26">
        <v>0</v>
      </c>
      <c r="BW74" s="26">
        <v>-71359.853700000007</v>
      </c>
      <c r="BX74" s="26">
        <v>-3341.7035700000001</v>
      </c>
      <c r="BY74" s="26">
        <v>-776.18201099999999</v>
      </c>
      <c r="BZ74" s="26">
        <v>-39.4613546</v>
      </c>
      <c r="CA74" s="26">
        <v>-1.8479318899999999</v>
      </c>
      <c r="CB74" s="26">
        <v>4.7631830100000001E-2</v>
      </c>
      <c r="CC74" s="26">
        <v>1.0171460000000001</v>
      </c>
      <c r="CD74" s="26">
        <v>21.3543339</v>
      </c>
      <c r="CE74" s="26">
        <v>3694.0438899999999</v>
      </c>
      <c r="CF74" s="26">
        <v>0</v>
      </c>
      <c r="CG74" s="26">
        <v>0</v>
      </c>
      <c r="CH74" s="26">
        <v>0</v>
      </c>
      <c r="CI74" s="26">
        <v>0</v>
      </c>
      <c r="CJ74" s="26">
        <v>0</v>
      </c>
      <c r="CK74" s="26">
        <v>0</v>
      </c>
      <c r="CL74" s="26">
        <v>0</v>
      </c>
      <c r="CM74" s="26">
        <v>0</v>
      </c>
      <c r="CN74" s="26">
        <v>0</v>
      </c>
      <c r="CO74" s="26">
        <v>0</v>
      </c>
      <c r="CP74" s="26">
        <v>0</v>
      </c>
      <c r="CQ74" s="26">
        <v>0</v>
      </c>
      <c r="CR74" s="26">
        <v>0</v>
      </c>
      <c r="CS74" s="26">
        <v>0</v>
      </c>
      <c r="CT74" s="26">
        <v>0</v>
      </c>
      <c r="CU74" s="26">
        <v>0</v>
      </c>
      <c r="CV74" s="26">
        <v>0</v>
      </c>
      <c r="CW74" s="26">
        <v>0</v>
      </c>
      <c r="CX74" s="26">
        <v>0</v>
      </c>
      <c r="CY74" s="26">
        <v>0</v>
      </c>
      <c r="CZ74" s="26">
        <v>0</v>
      </c>
      <c r="DA74" s="26">
        <v>0</v>
      </c>
      <c r="DB74" s="26">
        <v>0</v>
      </c>
      <c r="DC74" s="26">
        <v>0</v>
      </c>
      <c r="DD74" s="26">
        <v>0</v>
      </c>
      <c r="DE74" s="26">
        <v>0</v>
      </c>
      <c r="DF74" s="26">
        <v>0</v>
      </c>
      <c r="DG74" s="26">
        <v>0</v>
      </c>
      <c r="DH74" s="26">
        <v>0</v>
      </c>
      <c r="DI74" s="26">
        <v>0</v>
      </c>
      <c r="DJ74" s="26">
        <v>0</v>
      </c>
      <c r="DK74" s="26">
        <v>0</v>
      </c>
      <c r="DL74" s="26">
        <v>0</v>
      </c>
      <c r="DM74" s="26">
        <v>0</v>
      </c>
      <c r="DN74" s="26">
        <v>0</v>
      </c>
      <c r="DO74" s="26">
        <v>0</v>
      </c>
      <c r="DP74" s="26">
        <v>0</v>
      </c>
      <c r="DQ74" s="26">
        <v>0</v>
      </c>
      <c r="DR74" s="26">
        <v>0</v>
      </c>
      <c r="DS74" s="26">
        <v>0</v>
      </c>
      <c r="DT74" s="26">
        <v>0</v>
      </c>
      <c r="DU74" s="26">
        <v>0</v>
      </c>
      <c r="DV74" s="26">
        <v>0</v>
      </c>
      <c r="DW74" s="26">
        <v>0</v>
      </c>
      <c r="DX74" s="26">
        <v>26138.367999999999</v>
      </c>
      <c r="DY74" s="26">
        <v>30.979670600000002</v>
      </c>
      <c r="DZ74" s="26">
        <v>12.9984632</v>
      </c>
      <c r="EA74" s="26">
        <v>423.09997600000003</v>
      </c>
      <c r="EB74" s="26">
        <v>51.560570599999998</v>
      </c>
      <c r="EC74" s="26">
        <v>12475.191699999999</v>
      </c>
      <c r="ED74" s="26">
        <v>0</v>
      </c>
      <c r="EE74" s="26">
        <v>2583.0279399999999</v>
      </c>
      <c r="EF74" s="26">
        <v>4107.8476600000004</v>
      </c>
      <c r="EG74" s="26">
        <v>0</v>
      </c>
      <c r="EH74" s="26">
        <v>0</v>
      </c>
      <c r="EI74" s="26">
        <v>0</v>
      </c>
      <c r="EJ74" s="26">
        <v>0</v>
      </c>
      <c r="EK74" s="26">
        <v>0</v>
      </c>
      <c r="EL74" s="26">
        <v>269.47290700000002</v>
      </c>
      <c r="EM74" s="26">
        <v>0</v>
      </c>
      <c r="EN74" s="26">
        <v>0</v>
      </c>
      <c r="EO74" s="26">
        <v>0</v>
      </c>
      <c r="EP74" s="26">
        <v>435.20543700000002</v>
      </c>
      <c r="EQ74" s="26">
        <v>46092.546900000001</v>
      </c>
      <c r="ER74" s="26">
        <v>326.770308</v>
      </c>
      <c r="ES74" s="26">
        <v>100.69906600000002</v>
      </c>
      <c r="ET74" s="26">
        <v>1</v>
      </c>
      <c r="EU74" s="26">
        <v>0</v>
      </c>
      <c r="EV74" s="26">
        <v>0</v>
      </c>
      <c r="EW74" s="26">
        <v>1</v>
      </c>
      <c r="EX74" s="26">
        <v>-137914.535</v>
      </c>
      <c r="EY74" s="26">
        <v>-1302.18787</v>
      </c>
      <c r="EZ74" s="26">
        <v>-60.021155900000004</v>
      </c>
      <c r="FA74" s="26">
        <v>-378.916966</v>
      </c>
      <c r="FB74" s="26">
        <v>-3.57773078</v>
      </c>
      <c r="FC74" s="26">
        <v>2.2197316200000001E-2</v>
      </c>
      <c r="FD74" s="26">
        <v>2.35091465</v>
      </c>
      <c r="FE74" s="26">
        <v>105.90985999999999</v>
      </c>
      <c r="FF74" s="26">
        <v>0</v>
      </c>
      <c r="FG74" s="26">
        <v>0.36257905200000001</v>
      </c>
      <c r="FH74" s="26">
        <v>-990929254.93299997</v>
      </c>
      <c r="FI74" s="26">
        <v>0.37290485298323883</v>
      </c>
      <c r="FJ74" s="26">
        <v>0</v>
      </c>
      <c r="FK74" s="26">
        <v>0</v>
      </c>
      <c r="FL74" s="26">
        <v>0</v>
      </c>
      <c r="FM74" s="26">
        <v>0</v>
      </c>
      <c r="FN74" s="26">
        <v>0</v>
      </c>
      <c r="FO74" s="26">
        <v>0</v>
      </c>
      <c r="FP74" s="26">
        <v>0</v>
      </c>
      <c r="FQ74" s="26">
        <v>0</v>
      </c>
      <c r="FR74" s="26">
        <v>0</v>
      </c>
      <c r="FS74" s="26">
        <v>0</v>
      </c>
      <c r="FT74" s="26">
        <v>0</v>
      </c>
      <c r="FU74" s="26">
        <v>0</v>
      </c>
      <c r="FV74" s="26">
        <v>0</v>
      </c>
      <c r="FW74" s="26">
        <v>0</v>
      </c>
      <c r="FX74" s="26">
        <v>0</v>
      </c>
      <c r="FY74" s="26">
        <v>0</v>
      </c>
      <c r="FZ74" s="26">
        <v>0</v>
      </c>
      <c r="GA74" s="26">
        <v>0</v>
      </c>
      <c r="GB74" s="26">
        <v>0</v>
      </c>
      <c r="GC74" s="26">
        <v>0</v>
      </c>
      <c r="GD74" s="26">
        <v>0</v>
      </c>
      <c r="GE74" s="26">
        <v>0</v>
      </c>
      <c r="GF74" s="26">
        <v>0</v>
      </c>
      <c r="GG74" s="26">
        <v>0</v>
      </c>
      <c r="GH74" s="26">
        <v>0</v>
      </c>
      <c r="GI74" s="26">
        <v>0</v>
      </c>
      <c r="GJ74" s="26">
        <v>0</v>
      </c>
      <c r="GK74" s="26">
        <v>0</v>
      </c>
      <c r="GL74" s="26">
        <v>0</v>
      </c>
      <c r="GM74" s="26">
        <v>0</v>
      </c>
      <c r="GN74" s="26">
        <v>0</v>
      </c>
      <c r="GO74" s="26">
        <v>0</v>
      </c>
      <c r="GP74" s="26">
        <v>0</v>
      </c>
      <c r="GQ74" s="26">
        <v>0</v>
      </c>
      <c r="GR74" s="26">
        <v>0</v>
      </c>
      <c r="GS74" s="26">
        <v>0</v>
      </c>
      <c r="GT74" s="26">
        <v>0</v>
      </c>
      <c r="GU74" s="26">
        <v>0</v>
      </c>
      <c r="GV74" s="26">
        <v>0</v>
      </c>
      <c r="GW74" s="26">
        <v>0</v>
      </c>
      <c r="GX74" s="26">
        <v>0</v>
      </c>
      <c r="GY74" s="26">
        <v>0</v>
      </c>
      <c r="GZ74" s="26">
        <v>0</v>
      </c>
      <c r="HA74" s="26">
        <v>0</v>
      </c>
      <c r="HB74" s="26">
        <v>0</v>
      </c>
      <c r="HC74" s="26">
        <v>0</v>
      </c>
      <c r="HD74" s="26">
        <v>0</v>
      </c>
      <c r="HE74" s="26">
        <v>0</v>
      </c>
      <c r="HF74" s="26">
        <v>0</v>
      </c>
      <c r="HG74" s="26">
        <v>0</v>
      </c>
      <c r="HH74" s="26">
        <v>0</v>
      </c>
      <c r="HI74" s="26">
        <v>0</v>
      </c>
      <c r="HJ74" s="26">
        <v>0</v>
      </c>
      <c r="HK74" s="26">
        <v>0</v>
      </c>
      <c r="HL74" s="26">
        <v>0</v>
      </c>
      <c r="HM74" s="26">
        <v>0</v>
      </c>
      <c r="HN74" s="26">
        <v>0</v>
      </c>
      <c r="HO74" s="26">
        <v>0</v>
      </c>
      <c r="HP74" s="26">
        <v>0</v>
      </c>
      <c r="HQ74" s="26">
        <v>0</v>
      </c>
      <c r="HR74" s="26">
        <v>0</v>
      </c>
      <c r="HS74" s="26">
        <v>0</v>
      </c>
      <c r="HT74" s="26">
        <v>0.49023342058853403</v>
      </c>
    </row>
    <row r="75" spans="2:228" x14ac:dyDescent="0.2">
      <c r="B75" s="27" t="s">
        <v>1342</v>
      </c>
      <c r="C75" s="26">
        <v>13617.9959</v>
      </c>
      <c r="D75" s="26">
        <v>-49.629264200000001</v>
      </c>
      <c r="E75" s="26">
        <v>13318.637699999999</v>
      </c>
      <c r="F75" s="26">
        <v>11.1789858</v>
      </c>
      <c r="G75" s="26">
        <v>7.7349442800000005E-14</v>
      </c>
      <c r="H75" s="26">
        <v>2.59597728E-14</v>
      </c>
      <c r="I75" s="26">
        <v>1.0892212400000001E-14</v>
      </c>
      <c r="J75" s="26">
        <v>4.0165069899999997E-10</v>
      </c>
      <c r="K75" s="26">
        <v>4.8946680500000003E-11</v>
      </c>
      <c r="L75" s="26">
        <v>0</v>
      </c>
      <c r="M75" s="26">
        <v>0</v>
      </c>
      <c r="N75" s="26">
        <v>1.8746386499999999E-15</v>
      </c>
      <c r="O75" s="26">
        <v>6.1186488599999997E-16</v>
      </c>
      <c r="P75" s="26">
        <v>2.5672652500000002E-16</v>
      </c>
      <c r="Q75" s="26">
        <v>9.4254393700000001E-12</v>
      </c>
      <c r="R75" s="26">
        <v>1.1486198499999999E-12</v>
      </c>
      <c r="S75" s="26">
        <v>2.6598376299999998E-13</v>
      </c>
      <c r="T75" s="26">
        <v>7.7023948899999992E-6</v>
      </c>
      <c r="U75" s="26">
        <v>5.21420357E-3</v>
      </c>
      <c r="V75" s="26">
        <v>273.27157399999999</v>
      </c>
      <c r="W75" s="26">
        <v>14.902437400000002</v>
      </c>
      <c r="X75" s="26">
        <v>1.2457031E-6</v>
      </c>
      <c r="Y75" s="26">
        <v>0</v>
      </c>
      <c r="Z75" s="26">
        <v>2.3985297400000001E-12</v>
      </c>
      <c r="AA75" s="26">
        <v>2.7953137699999999E-13</v>
      </c>
      <c r="AB75" s="26">
        <v>1.1594029E-8</v>
      </c>
      <c r="AC75" s="26">
        <v>1.0276898399999999E-6</v>
      </c>
      <c r="AD75" s="26">
        <v>0</v>
      </c>
      <c r="AE75" s="26">
        <v>0</v>
      </c>
      <c r="AF75" s="26">
        <v>0</v>
      </c>
      <c r="AG75" s="26">
        <v>0</v>
      </c>
      <c r="AH75" s="26">
        <v>0</v>
      </c>
      <c r="AI75" s="26">
        <v>0</v>
      </c>
      <c r="AJ75" s="26">
        <v>0</v>
      </c>
      <c r="AK75" s="26">
        <v>0</v>
      </c>
      <c r="AL75" s="26">
        <v>0</v>
      </c>
      <c r="AM75" s="26">
        <v>0</v>
      </c>
      <c r="AN75" s="26">
        <v>0</v>
      </c>
      <c r="AO75" s="26">
        <v>0</v>
      </c>
      <c r="AP75" s="26">
        <v>0</v>
      </c>
      <c r="AQ75" s="26">
        <v>0</v>
      </c>
      <c r="AR75" s="26">
        <v>0</v>
      </c>
      <c r="AS75" s="26">
        <v>0</v>
      </c>
      <c r="AT75" s="26">
        <v>0</v>
      </c>
      <c r="AU75" s="26">
        <v>0</v>
      </c>
      <c r="AV75" s="26">
        <v>0</v>
      </c>
      <c r="AW75" s="26">
        <v>0</v>
      </c>
      <c r="AX75" s="26">
        <v>0</v>
      </c>
      <c r="AY75" s="26">
        <v>0</v>
      </c>
      <c r="AZ75" s="26">
        <v>0</v>
      </c>
      <c r="BA75" s="26">
        <v>0</v>
      </c>
      <c r="BB75" s="26">
        <v>0</v>
      </c>
      <c r="BC75" s="26">
        <v>0</v>
      </c>
      <c r="BD75" s="26">
        <v>0</v>
      </c>
      <c r="BE75" s="26">
        <v>0</v>
      </c>
      <c r="BF75" s="26">
        <v>0</v>
      </c>
      <c r="BG75" s="26">
        <v>0</v>
      </c>
      <c r="BH75" s="26">
        <v>0</v>
      </c>
      <c r="BI75" s="26">
        <v>0</v>
      </c>
      <c r="BJ75" s="26">
        <v>0</v>
      </c>
      <c r="BK75" s="26">
        <v>0</v>
      </c>
      <c r="BL75" s="26">
        <v>0</v>
      </c>
      <c r="BM75" s="26">
        <v>0</v>
      </c>
      <c r="BN75" s="26">
        <v>0</v>
      </c>
      <c r="BO75" s="26">
        <v>742.63163399999996</v>
      </c>
      <c r="BP75" s="26">
        <v>13617.9959</v>
      </c>
      <c r="BQ75" s="26">
        <v>246.24166299999999</v>
      </c>
      <c r="BR75" s="26">
        <v>99.358396200000016</v>
      </c>
      <c r="BS75" s="26">
        <v>1</v>
      </c>
      <c r="BT75" s="26">
        <v>0</v>
      </c>
      <c r="BU75" s="26">
        <v>1</v>
      </c>
      <c r="BV75" s="26">
        <v>0</v>
      </c>
      <c r="BW75" s="26">
        <v>-66828.911600000007</v>
      </c>
      <c r="BX75" s="26">
        <v>-3644.3882199999998</v>
      </c>
      <c r="BY75" s="26">
        <v>-49.629264200000001</v>
      </c>
      <c r="BZ75" s="26">
        <v>-34.986125800000003</v>
      </c>
      <c r="CA75" s="26">
        <v>-1.9079021599999999</v>
      </c>
      <c r="CB75" s="26">
        <v>5.02644176E-2</v>
      </c>
      <c r="CC75" s="26">
        <v>0.92172296600000003</v>
      </c>
      <c r="CD75" s="26">
        <v>18.3374843</v>
      </c>
      <c r="CE75" s="26">
        <v>226.82367600000001</v>
      </c>
      <c r="CF75" s="26">
        <v>0</v>
      </c>
      <c r="CG75" s="26">
        <v>0</v>
      </c>
      <c r="CH75" s="26">
        <v>0</v>
      </c>
      <c r="CI75" s="26">
        <v>0</v>
      </c>
      <c r="CJ75" s="26">
        <v>0</v>
      </c>
      <c r="CK75" s="26">
        <v>0</v>
      </c>
      <c r="CL75" s="26">
        <v>0</v>
      </c>
      <c r="CM75" s="26">
        <v>0</v>
      </c>
      <c r="CN75" s="26">
        <v>0</v>
      </c>
      <c r="CO75" s="26">
        <v>0</v>
      </c>
      <c r="CP75" s="26">
        <v>0</v>
      </c>
      <c r="CQ75" s="26">
        <v>0</v>
      </c>
      <c r="CR75" s="26">
        <v>0</v>
      </c>
      <c r="CS75" s="26">
        <v>0</v>
      </c>
      <c r="CT75" s="26">
        <v>0</v>
      </c>
      <c r="CU75" s="26">
        <v>0</v>
      </c>
      <c r="CV75" s="26">
        <v>0</v>
      </c>
      <c r="CW75" s="26">
        <v>0</v>
      </c>
      <c r="CX75" s="26">
        <v>0</v>
      </c>
      <c r="CY75" s="26">
        <v>0</v>
      </c>
      <c r="CZ75" s="26">
        <v>0</v>
      </c>
      <c r="DA75" s="26">
        <v>0</v>
      </c>
      <c r="DB75" s="26">
        <v>0</v>
      </c>
      <c r="DC75" s="26">
        <v>0</v>
      </c>
      <c r="DD75" s="26">
        <v>0</v>
      </c>
      <c r="DE75" s="26">
        <v>0</v>
      </c>
      <c r="DF75" s="26">
        <v>0</v>
      </c>
      <c r="DG75" s="26">
        <v>0</v>
      </c>
      <c r="DH75" s="26">
        <v>0</v>
      </c>
      <c r="DI75" s="26">
        <v>0</v>
      </c>
      <c r="DJ75" s="26">
        <v>0</v>
      </c>
      <c r="DK75" s="26">
        <v>0</v>
      </c>
      <c r="DL75" s="26">
        <v>0</v>
      </c>
      <c r="DM75" s="26">
        <v>0</v>
      </c>
      <c r="DN75" s="26">
        <v>0</v>
      </c>
      <c r="DO75" s="26">
        <v>0</v>
      </c>
      <c r="DP75" s="26">
        <v>0</v>
      </c>
      <c r="DQ75" s="26">
        <v>0</v>
      </c>
      <c r="DR75" s="26">
        <v>0</v>
      </c>
      <c r="DS75" s="26">
        <v>0</v>
      </c>
      <c r="DT75" s="26">
        <v>0</v>
      </c>
      <c r="DU75" s="26">
        <v>0</v>
      </c>
      <c r="DV75" s="26">
        <v>0</v>
      </c>
      <c r="DW75" s="26">
        <v>0</v>
      </c>
      <c r="DX75" s="26">
        <v>0</v>
      </c>
      <c r="DY75" s="26">
        <v>0</v>
      </c>
      <c r="DZ75" s="26">
        <v>0</v>
      </c>
      <c r="EA75" s="26">
        <v>0</v>
      </c>
      <c r="EB75" s="26">
        <v>0</v>
      </c>
      <c r="EC75" s="26">
        <v>0</v>
      </c>
      <c r="ED75" s="26">
        <v>0</v>
      </c>
      <c r="EE75" s="26">
        <v>0</v>
      </c>
      <c r="EF75" s="26">
        <v>0</v>
      </c>
      <c r="EG75" s="26">
        <v>0</v>
      </c>
      <c r="EH75" s="26">
        <v>0</v>
      </c>
      <c r="EI75" s="26">
        <v>0</v>
      </c>
      <c r="EJ75" s="26">
        <v>0</v>
      </c>
      <c r="EK75" s="26">
        <v>0</v>
      </c>
      <c r="EL75" s="26">
        <v>0</v>
      </c>
      <c r="EM75" s="26">
        <v>0</v>
      </c>
      <c r="EN75" s="26">
        <v>0</v>
      </c>
      <c r="EO75" s="26">
        <v>0</v>
      </c>
      <c r="EP75" s="26">
        <v>0</v>
      </c>
      <c r="EQ75" s="26">
        <v>0</v>
      </c>
      <c r="ER75" s="26">
        <v>0</v>
      </c>
      <c r="ES75" s="26">
        <v>0</v>
      </c>
      <c r="ET75" s="26">
        <v>1</v>
      </c>
      <c r="EU75" s="26">
        <v>0</v>
      </c>
      <c r="EV75" s="26">
        <v>0</v>
      </c>
      <c r="EW75" s="26">
        <v>0</v>
      </c>
      <c r="EX75" s="26">
        <v>0</v>
      </c>
      <c r="EY75" s="26">
        <v>0</v>
      </c>
      <c r="EZ75" s="26">
        <v>0</v>
      </c>
      <c r="FA75" s="26">
        <v>0</v>
      </c>
      <c r="FB75" s="26">
        <v>0</v>
      </c>
      <c r="FC75" s="26">
        <v>0</v>
      </c>
      <c r="FD75" s="26">
        <v>0</v>
      </c>
      <c r="FE75" s="26">
        <v>0</v>
      </c>
      <c r="FF75" s="26">
        <v>0</v>
      </c>
      <c r="FG75" s="26">
        <v>3.6292574500000001E-2</v>
      </c>
      <c r="FH75" s="26">
        <v>-58865100.439099997</v>
      </c>
      <c r="FI75" s="26">
        <v>4.2228047004491042E-3</v>
      </c>
      <c r="FJ75" s="26">
        <v>0</v>
      </c>
      <c r="FK75" s="26">
        <v>0</v>
      </c>
      <c r="FL75" s="26">
        <v>0</v>
      </c>
      <c r="FM75" s="26">
        <v>0</v>
      </c>
      <c r="FN75" s="26">
        <v>0</v>
      </c>
      <c r="FO75" s="26">
        <v>0</v>
      </c>
      <c r="FP75" s="26">
        <v>0</v>
      </c>
      <c r="FQ75" s="26">
        <v>0</v>
      </c>
      <c r="FR75" s="26">
        <v>0</v>
      </c>
      <c r="FS75" s="26">
        <v>0</v>
      </c>
      <c r="FT75" s="26">
        <v>0</v>
      </c>
      <c r="FU75" s="26">
        <v>0</v>
      </c>
      <c r="FV75" s="26">
        <v>0</v>
      </c>
      <c r="FW75" s="26">
        <v>0</v>
      </c>
      <c r="FX75" s="26">
        <v>0</v>
      </c>
      <c r="FY75" s="26">
        <v>0</v>
      </c>
      <c r="FZ75" s="26">
        <v>0</v>
      </c>
      <c r="GA75" s="26">
        <v>0</v>
      </c>
      <c r="GB75" s="26">
        <v>0</v>
      </c>
      <c r="GC75" s="26">
        <v>0</v>
      </c>
      <c r="GD75" s="26">
        <v>0</v>
      </c>
      <c r="GE75" s="26">
        <v>0</v>
      </c>
      <c r="GF75" s="26">
        <v>0</v>
      </c>
      <c r="GG75" s="26">
        <v>0</v>
      </c>
      <c r="GH75" s="26">
        <v>0</v>
      </c>
      <c r="GI75" s="26">
        <v>0</v>
      </c>
      <c r="GJ75" s="26">
        <v>0</v>
      </c>
      <c r="GK75" s="26">
        <v>0</v>
      </c>
      <c r="GL75" s="26">
        <v>0</v>
      </c>
      <c r="GM75" s="26">
        <v>0</v>
      </c>
      <c r="GN75" s="26">
        <v>0</v>
      </c>
      <c r="GO75" s="26">
        <v>0</v>
      </c>
      <c r="GP75" s="26">
        <v>0</v>
      </c>
      <c r="GQ75" s="26">
        <v>0</v>
      </c>
      <c r="GR75" s="26">
        <v>0</v>
      </c>
      <c r="GS75" s="26">
        <v>0</v>
      </c>
      <c r="GT75" s="26">
        <v>0</v>
      </c>
      <c r="GU75" s="26">
        <v>0</v>
      </c>
      <c r="GV75" s="26">
        <v>0</v>
      </c>
      <c r="GW75" s="26">
        <v>0</v>
      </c>
      <c r="GX75" s="26">
        <v>0</v>
      </c>
      <c r="GY75" s="26">
        <v>0</v>
      </c>
      <c r="GZ75" s="26">
        <v>0</v>
      </c>
      <c r="HA75" s="26">
        <v>0</v>
      </c>
      <c r="HB75" s="26">
        <v>0</v>
      </c>
      <c r="HC75" s="26">
        <v>0</v>
      </c>
      <c r="HD75" s="26">
        <v>0</v>
      </c>
      <c r="HE75" s="26">
        <v>0</v>
      </c>
      <c r="HF75" s="26">
        <v>0</v>
      </c>
      <c r="HG75" s="26">
        <v>0</v>
      </c>
      <c r="HH75" s="26">
        <v>0</v>
      </c>
      <c r="HI75" s="26">
        <v>0</v>
      </c>
      <c r="HJ75" s="26">
        <v>0</v>
      </c>
      <c r="HK75" s="26">
        <v>0</v>
      </c>
      <c r="HL75" s="26">
        <v>0</v>
      </c>
      <c r="HM75" s="26">
        <v>0</v>
      </c>
      <c r="HN75" s="26">
        <v>0</v>
      </c>
      <c r="HO75" s="26">
        <v>0</v>
      </c>
      <c r="HP75" s="26">
        <v>0</v>
      </c>
      <c r="HQ75" s="26">
        <v>0</v>
      </c>
      <c r="HR75" s="26">
        <v>0</v>
      </c>
      <c r="HS75" s="26">
        <v>0</v>
      </c>
      <c r="HT75" s="26">
        <v>0</v>
      </c>
    </row>
    <row r="76" spans="2:228" x14ac:dyDescent="0.2">
      <c r="B76" s="27" t="s">
        <v>1324</v>
      </c>
      <c r="C76" s="26">
        <v>33673.542000000001</v>
      </c>
      <c r="D76" s="26">
        <v>-123.83755600000002</v>
      </c>
      <c r="E76" s="26">
        <v>33273.665300000001</v>
      </c>
      <c r="F76" s="26">
        <v>12.5423323</v>
      </c>
      <c r="G76" s="26">
        <v>1.03377985E-4</v>
      </c>
      <c r="H76" s="26">
        <v>3.46953888E-5</v>
      </c>
      <c r="I76" s="26">
        <v>1.4557505800000002E-5</v>
      </c>
      <c r="J76" s="26">
        <v>7.7316213700000013E-3</v>
      </c>
      <c r="K76" s="26">
        <v>9.4220476199999986E-4</v>
      </c>
      <c r="L76" s="26">
        <v>0</v>
      </c>
      <c r="M76" s="26">
        <v>0</v>
      </c>
      <c r="N76" s="26">
        <v>2.4779725299999999E-6</v>
      </c>
      <c r="O76" s="26">
        <v>8.0878753699999999E-7</v>
      </c>
      <c r="P76" s="26">
        <v>3.3935141400000003E-7</v>
      </c>
      <c r="Q76" s="26">
        <v>1.8143607999999999E-4</v>
      </c>
      <c r="R76" s="26">
        <v>2.2110490099999999E-5</v>
      </c>
      <c r="S76" s="26">
        <v>3.5548886100000002E-4</v>
      </c>
      <c r="T76" s="26">
        <v>9.14244689E-2</v>
      </c>
      <c r="U76" s="26">
        <v>1.0530895199999999</v>
      </c>
      <c r="V76" s="26">
        <v>327.77597600000001</v>
      </c>
      <c r="W76" s="26">
        <v>58.335082300000003</v>
      </c>
      <c r="X76" s="26">
        <v>1.34664735E-3</v>
      </c>
      <c r="Y76" s="26">
        <v>0</v>
      </c>
      <c r="Z76" s="26">
        <v>1.12365955E-7</v>
      </c>
      <c r="AA76" s="26">
        <v>4.4536799599999999E-8</v>
      </c>
      <c r="AB76" s="26">
        <v>1.27096445E-8</v>
      </c>
      <c r="AC76" s="26">
        <v>6.8071378000000002E-2</v>
      </c>
      <c r="AD76" s="26">
        <v>0</v>
      </c>
      <c r="AE76" s="26">
        <v>0</v>
      </c>
      <c r="AF76" s="26">
        <v>0</v>
      </c>
      <c r="AG76" s="26">
        <v>0</v>
      </c>
      <c r="AH76" s="26">
        <v>0</v>
      </c>
      <c r="AI76" s="26">
        <v>0</v>
      </c>
      <c r="AJ76" s="26">
        <v>0</v>
      </c>
      <c r="AK76" s="26">
        <v>0</v>
      </c>
      <c r="AL76" s="26">
        <v>0</v>
      </c>
      <c r="AM76" s="26">
        <v>0</v>
      </c>
      <c r="AN76" s="26">
        <v>0</v>
      </c>
      <c r="AO76" s="26">
        <v>0</v>
      </c>
      <c r="AP76" s="26">
        <v>0</v>
      </c>
      <c r="AQ76" s="26">
        <v>0</v>
      </c>
      <c r="AR76" s="26">
        <v>0</v>
      </c>
      <c r="AS76" s="26">
        <v>0</v>
      </c>
      <c r="AT76" s="26">
        <v>0</v>
      </c>
      <c r="AU76" s="26">
        <v>0</v>
      </c>
      <c r="AV76" s="26">
        <v>0</v>
      </c>
      <c r="AW76" s="26">
        <v>0</v>
      </c>
      <c r="AX76" s="26">
        <v>0</v>
      </c>
      <c r="AY76" s="26">
        <v>0</v>
      </c>
      <c r="AZ76" s="26">
        <v>0</v>
      </c>
      <c r="BA76" s="26">
        <v>0</v>
      </c>
      <c r="BB76" s="26">
        <v>0</v>
      </c>
      <c r="BC76" s="26">
        <v>0</v>
      </c>
      <c r="BD76" s="26">
        <v>0</v>
      </c>
      <c r="BE76" s="26">
        <v>0</v>
      </c>
      <c r="BF76" s="26">
        <v>0</v>
      </c>
      <c r="BG76" s="26">
        <v>0</v>
      </c>
      <c r="BH76" s="26">
        <v>0</v>
      </c>
      <c r="BI76" s="26">
        <v>0</v>
      </c>
      <c r="BJ76" s="26">
        <v>0</v>
      </c>
      <c r="BK76" s="26">
        <v>0</v>
      </c>
      <c r="BL76" s="26">
        <v>0</v>
      </c>
      <c r="BM76" s="26">
        <v>0</v>
      </c>
      <c r="BN76" s="26">
        <v>0</v>
      </c>
      <c r="BO76" s="26">
        <v>1851.6337599999999</v>
      </c>
      <c r="BP76" s="26">
        <v>33673.542000000001</v>
      </c>
      <c r="BQ76" s="26">
        <v>629.525576</v>
      </c>
      <c r="BR76" s="26">
        <v>99.688555599999972</v>
      </c>
      <c r="BS76" s="26">
        <v>1</v>
      </c>
      <c r="BT76" s="26">
        <v>2.0578398099999999E-5</v>
      </c>
      <c r="BU76" s="26">
        <v>0.99997942200000001</v>
      </c>
      <c r="BV76" s="26">
        <v>0</v>
      </c>
      <c r="BW76" s="26">
        <v>-66880.156300000002</v>
      </c>
      <c r="BX76" s="26">
        <v>-3677.5921899999998</v>
      </c>
      <c r="BY76" s="26">
        <v>-123.83755600000002</v>
      </c>
      <c r="BZ76" s="26">
        <v>-34.943691000000001</v>
      </c>
      <c r="CA76" s="26">
        <v>-1.9214764499999999</v>
      </c>
      <c r="CB76" s="26">
        <v>4.9021935599999997E-2</v>
      </c>
      <c r="CC76" s="26">
        <v>0.89150578700000005</v>
      </c>
      <c r="CD76" s="26">
        <v>18.185854500000001</v>
      </c>
      <c r="CE76" s="26">
        <v>561.56847500000003</v>
      </c>
      <c r="CF76" s="26">
        <v>0</v>
      </c>
      <c r="CG76" s="26">
        <v>0</v>
      </c>
      <c r="CH76" s="26">
        <v>0</v>
      </c>
      <c r="CI76" s="26">
        <v>0</v>
      </c>
      <c r="CJ76" s="26">
        <v>0</v>
      </c>
      <c r="CK76" s="26">
        <v>0</v>
      </c>
      <c r="CL76" s="26">
        <v>0</v>
      </c>
      <c r="CM76" s="26">
        <v>0</v>
      </c>
      <c r="CN76" s="26">
        <v>0</v>
      </c>
      <c r="CO76" s="26">
        <v>0</v>
      </c>
      <c r="CP76" s="26">
        <v>0</v>
      </c>
      <c r="CQ76" s="26">
        <v>0</v>
      </c>
      <c r="CR76" s="26">
        <v>0</v>
      </c>
      <c r="CS76" s="26">
        <v>0</v>
      </c>
      <c r="CT76" s="26">
        <v>0</v>
      </c>
      <c r="CU76" s="26">
        <v>0</v>
      </c>
      <c r="CV76" s="26">
        <v>0</v>
      </c>
      <c r="CW76" s="26">
        <v>0</v>
      </c>
      <c r="CX76" s="26">
        <v>0</v>
      </c>
      <c r="CY76" s="26">
        <v>0</v>
      </c>
      <c r="CZ76" s="26">
        <v>0</v>
      </c>
      <c r="DA76" s="26">
        <v>0</v>
      </c>
      <c r="DB76" s="26">
        <v>0</v>
      </c>
      <c r="DC76" s="26">
        <v>0</v>
      </c>
      <c r="DD76" s="26">
        <v>0</v>
      </c>
      <c r="DE76" s="26">
        <v>0</v>
      </c>
      <c r="DF76" s="26">
        <v>0</v>
      </c>
      <c r="DG76" s="26">
        <v>0</v>
      </c>
      <c r="DH76" s="26">
        <v>0</v>
      </c>
      <c r="DI76" s="26">
        <v>0</v>
      </c>
      <c r="DJ76" s="26">
        <v>0</v>
      </c>
      <c r="DK76" s="26">
        <v>0</v>
      </c>
      <c r="DL76" s="26">
        <v>0</v>
      </c>
      <c r="DM76" s="26">
        <v>0</v>
      </c>
      <c r="DN76" s="26">
        <v>0</v>
      </c>
      <c r="DO76" s="26">
        <v>0</v>
      </c>
      <c r="DP76" s="26">
        <v>0</v>
      </c>
      <c r="DQ76" s="26">
        <v>0</v>
      </c>
      <c r="DR76" s="26">
        <v>0</v>
      </c>
      <c r="DS76" s="26">
        <v>0</v>
      </c>
      <c r="DT76" s="26">
        <v>0</v>
      </c>
      <c r="DU76" s="26">
        <v>0</v>
      </c>
      <c r="DV76" s="26">
        <v>0</v>
      </c>
      <c r="DW76" s="26">
        <v>0</v>
      </c>
      <c r="DX76" s="26">
        <v>0</v>
      </c>
      <c r="DY76" s="26">
        <v>0</v>
      </c>
      <c r="DZ76" s="26">
        <v>0</v>
      </c>
      <c r="EA76" s="26">
        <v>0</v>
      </c>
      <c r="EB76" s="26">
        <v>0</v>
      </c>
      <c r="EC76" s="26">
        <v>0</v>
      </c>
      <c r="ED76" s="26">
        <v>0</v>
      </c>
      <c r="EE76" s="26">
        <v>0</v>
      </c>
      <c r="EF76" s="26">
        <v>0</v>
      </c>
      <c r="EG76" s="26">
        <v>0</v>
      </c>
      <c r="EH76" s="26">
        <v>0</v>
      </c>
      <c r="EI76" s="26">
        <v>0</v>
      </c>
      <c r="EJ76" s="26">
        <v>0</v>
      </c>
      <c r="EK76" s="26">
        <v>0</v>
      </c>
      <c r="EL76" s="26">
        <v>0</v>
      </c>
      <c r="EM76" s="26">
        <v>0</v>
      </c>
      <c r="EN76" s="26">
        <v>0</v>
      </c>
      <c r="EO76" s="26">
        <v>0</v>
      </c>
      <c r="EP76" s="26">
        <v>0</v>
      </c>
      <c r="EQ76" s="26">
        <v>0</v>
      </c>
      <c r="ER76" s="26">
        <v>0</v>
      </c>
      <c r="ES76" s="26">
        <v>0</v>
      </c>
      <c r="ET76" s="26">
        <v>1</v>
      </c>
      <c r="EU76" s="26">
        <v>0</v>
      </c>
      <c r="EV76" s="26">
        <v>0</v>
      </c>
      <c r="EW76" s="26">
        <v>0</v>
      </c>
      <c r="EX76" s="26">
        <v>0</v>
      </c>
      <c r="EY76" s="26">
        <v>0</v>
      </c>
      <c r="EZ76" s="26">
        <v>0</v>
      </c>
      <c r="FA76" s="26">
        <v>0</v>
      </c>
      <c r="FB76" s="26">
        <v>0</v>
      </c>
      <c r="FC76" s="26">
        <v>0</v>
      </c>
      <c r="FD76" s="26">
        <v>0</v>
      </c>
      <c r="FE76" s="26">
        <v>0</v>
      </c>
      <c r="FF76" s="26">
        <v>0</v>
      </c>
      <c r="FG76" s="26">
        <v>1.8883988099999999E-2</v>
      </c>
      <c r="FH76" s="26">
        <v>-146887429.16499999</v>
      </c>
      <c r="FI76" s="26">
        <v>5.4441764879978559E-3</v>
      </c>
      <c r="FJ76" s="26">
        <v>1.0435013889035666E-5</v>
      </c>
      <c r="FK76" s="26">
        <v>1.720916085989551E-8</v>
      </c>
      <c r="FL76" s="26">
        <v>5.6620610452964883E-23</v>
      </c>
      <c r="FM76" s="26">
        <v>1.9002828263133737E-23</v>
      </c>
      <c r="FN76" s="26">
        <v>7.9732146471190501E-24</v>
      </c>
      <c r="FO76" s="26">
        <v>1.739108750023981E-19</v>
      </c>
      <c r="FP76" s="26">
        <v>2.1193440141769744E-20</v>
      </c>
      <c r="FQ76" s="26">
        <v>0</v>
      </c>
      <c r="FR76" s="26">
        <v>0</v>
      </c>
      <c r="FS76" s="26">
        <v>1.5079924120639393E-24</v>
      </c>
      <c r="FT76" s="26">
        <v>4.9219490949311489E-25</v>
      </c>
      <c r="FU76" s="26">
        <v>2.0651534720767833E-25</v>
      </c>
      <c r="FV76" s="26">
        <v>4.6376240648787707E-21</v>
      </c>
      <c r="FW76" s="26">
        <v>5.6515848785460128E-22</v>
      </c>
      <c r="FX76" s="26">
        <v>1.9470292794651231E-22</v>
      </c>
      <c r="FY76" s="26">
        <v>1.4259567197409872E-15</v>
      </c>
      <c r="FZ76" s="26">
        <v>7.7049526171951772E-13</v>
      </c>
      <c r="GA76" s="26">
        <v>1.2914007519978726E-7</v>
      </c>
      <c r="GB76" s="26">
        <v>2.9852372738818982E-9</v>
      </c>
      <c r="GC76" s="26">
        <v>3.5327761115955427E-16</v>
      </c>
      <c r="GD76" s="26">
        <v>0</v>
      </c>
      <c r="GE76" s="26">
        <v>7.4198263371363884E-22</v>
      </c>
      <c r="GF76" s="26">
        <v>8.0151362307877569E-23</v>
      </c>
      <c r="GG76" s="26">
        <v>5.878262880359437E-17</v>
      </c>
      <c r="GH76" s="26">
        <v>3.5959612509899122E-16</v>
      </c>
      <c r="GI76" s="26">
        <v>0</v>
      </c>
      <c r="GJ76" s="26">
        <v>0</v>
      </c>
      <c r="GK76" s="26">
        <v>0</v>
      </c>
      <c r="GL76" s="26">
        <v>0</v>
      </c>
      <c r="GM76" s="26">
        <v>0</v>
      </c>
      <c r="GN76" s="26">
        <v>0</v>
      </c>
      <c r="GO76" s="26">
        <v>0</v>
      </c>
      <c r="GP76" s="26">
        <v>0</v>
      </c>
      <c r="GQ76" s="26">
        <v>0</v>
      </c>
      <c r="GR76" s="26">
        <v>0</v>
      </c>
      <c r="GS76" s="26">
        <v>0</v>
      </c>
      <c r="GT76" s="26">
        <v>0</v>
      </c>
      <c r="GU76" s="26">
        <v>0</v>
      </c>
      <c r="GV76" s="26">
        <v>0</v>
      </c>
      <c r="GW76" s="26">
        <v>0</v>
      </c>
      <c r="GX76" s="26">
        <v>0</v>
      </c>
      <c r="GY76" s="26">
        <v>0</v>
      </c>
      <c r="GZ76" s="26">
        <v>0</v>
      </c>
      <c r="HA76" s="26">
        <v>0</v>
      </c>
      <c r="HB76" s="26">
        <v>0</v>
      </c>
      <c r="HC76" s="26">
        <v>0</v>
      </c>
      <c r="HD76" s="26">
        <v>0</v>
      </c>
      <c r="HE76" s="26">
        <v>0</v>
      </c>
      <c r="HF76" s="26">
        <v>0</v>
      </c>
      <c r="HG76" s="26">
        <v>0</v>
      </c>
      <c r="HH76" s="26">
        <v>0</v>
      </c>
      <c r="HI76" s="26">
        <v>0</v>
      </c>
      <c r="HJ76" s="26">
        <v>0</v>
      </c>
      <c r="HK76" s="26">
        <v>0</v>
      </c>
      <c r="HL76" s="26">
        <v>0</v>
      </c>
      <c r="HM76" s="26">
        <v>0</v>
      </c>
      <c r="HN76" s="26">
        <v>0</v>
      </c>
      <c r="HO76" s="26">
        <v>0</v>
      </c>
      <c r="HP76" s="26">
        <v>0</v>
      </c>
      <c r="HQ76" s="26">
        <v>0</v>
      </c>
      <c r="HR76" s="26">
        <v>0</v>
      </c>
      <c r="HS76" s="26">
        <v>0</v>
      </c>
      <c r="HT76" s="26">
        <v>0</v>
      </c>
    </row>
    <row r="77" spans="2:228" x14ac:dyDescent="0.2">
      <c r="B77" s="27" t="s">
        <v>1335</v>
      </c>
      <c r="C77" s="26">
        <v>1050.8174799999999</v>
      </c>
      <c r="D77" s="26">
        <v>-0.97687990700000016</v>
      </c>
      <c r="E77" s="26">
        <v>0</v>
      </c>
      <c r="F77" s="26">
        <v>0</v>
      </c>
      <c r="G77" s="26">
        <v>0</v>
      </c>
      <c r="H77" s="26">
        <v>0</v>
      </c>
      <c r="I77" s="26">
        <v>0</v>
      </c>
      <c r="J77" s="26">
        <v>0</v>
      </c>
      <c r="K77" s="26">
        <v>0</v>
      </c>
      <c r="L77" s="26">
        <v>0</v>
      </c>
      <c r="M77" s="26">
        <v>0</v>
      </c>
      <c r="N77" s="26">
        <v>0</v>
      </c>
      <c r="O77" s="26">
        <v>0</v>
      </c>
      <c r="P77" s="26">
        <v>0</v>
      </c>
      <c r="Q77" s="26">
        <v>0</v>
      </c>
      <c r="R77" s="26">
        <v>0</v>
      </c>
      <c r="S77" s="26">
        <v>0</v>
      </c>
      <c r="T77" s="26">
        <v>0</v>
      </c>
      <c r="U77" s="26">
        <v>0</v>
      </c>
      <c r="V77" s="26">
        <v>0</v>
      </c>
      <c r="W77" s="26">
        <v>0</v>
      </c>
      <c r="X77" s="26">
        <v>0</v>
      </c>
      <c r="Y77" s="26">
        <v>0</v>
      </c>
      <c r="Z77" s="26">
        <v>0</v>
      </c>
      <c r="AA77" s="26">
        <v>0</v>
      </c>
      <c r="AB77" s="26">
        <v>1050.8174799999999</v>
      </c>
      <c r="AC77" s="26">
        <v>0</v>
      </c>
      <c r="AD77" s="26">
        <v>0</v>
      </c>
      <c r="AE77" s="26">
        <v>0</v>
      </c>
      <c r="AF77" s="26">
        <v>0</v>
      </c>
      <c r="AG77" s="26">
        <v>0</v>
      </c>
      <c r="AH77" s="26">
        <v>0</v>
      </c>
      <c r="AI77" s="26">
        <v>0</v>
      </c>
      <c r="AJ77" s="26">
        <v>0</v>
      </c>
      <c r="AK77" s="26">
        <v>0</v>
      </c>
      <c r="AL77" s="26">
        <v>0</v>
      </c>
      <c r="AM77" s="26">
        <v>0</v>
      </c>
      <c r="AN77" s="26">
        <v>0</v>
      </c>
      <c r="AO77" s="26">
        <v>0</v>
      </c>
      <c r="AP77" s="26">
        <v>0</v>
      </c>
      <c r="AQ77" s="26">
        <v>0</v>
      </c>
      <c r="AR77" s="26">
        <v>0</v>
      </c>
      <c r="AS77" s="26">
        <v>0</v>
      </c>
      <c r="AT77" s="26">
        <v>0</v>
      </c>
      <c r="AU77" s="26">
        <v>0</v>
      </c>
      <c r="AV77" s="26">
        <v>0</v>
      </c>
      <c r="AW77" s="26">
        <v>0</v>
      </c>
      <c r="AX77" s="26">
        <v>0</v>
      </c>
      <c r="AY77" s="26">
        <v>0</v>
      </c>
      <c r="AZ77" s="26">
        <v>0</v>
      </c>
      <c r="BA77" s="26">
        <v>0</v>
      </c>
      <c r="BB77" s="26">
        <v>0</v>
      </c>
      <c r="BC77" s="26">
        <v>0</v>
      </c>
      <c r="BD77" s="26">
        <v>0</v>
      </c>
      <c r="BE77" s="26">
        <v>0</v>
      </c>
      <c r="BF77" s="26">
        <v>0</v>
      </c>
      <c r="BG77" s="26">
        <v>0</v>
      </c>
      <c r="BH77" s="26">
        <v>0</v>
      </c>
      <c r="BI77" s="26">
        <v>0</v>
      </c>
      <c r="BJ77" s="26">
        <v>0</v>
      </c>
      <c r="BK77" s="26">
        <v>0</v>
      </c>
      <c r="BL77" s="26">
        <v>0</v>
      </c>
      <c r="BM77" s="26">
        <v>0</v>
      </c>
      <c r="BN77" s="26">
        <v>0</v>
      </c>
      <c r="BO77" s="26">
        <v>61.701874799999999</v>
      </c>
      <c r="BP77" s="26">
        <v>1050.8174799999999</v>
      </c>
      <c r="BQ77" s="26">
        <v>28.7480783</v>
      </c>
      <c r="BR77" s="26">
        <v>20</v>
      </c>
      <c r="BS77" s="26">
        <v>9</v>
      </c>
      <c r="BT77" s="26">
        <v>0</v>
      </c>
      <c r="BU77" s="26">
        <v>1</v>
      </c>
      <c r="BV77" s="26">
        <v>0</v>
      </c>
      <c r="BW77" s="26">
        <v>-15832.2564</v>
      </c>
      <c r="BX77" s="26">
        <v>-929.63803600000006</v>
      </c>
      <c r="BY77" s="26">
        <v>-0.97687990700000016</v>
      </c>
      <c r="BZ77" s="26">
        <v>-44.475377799999997</v>
      </c>
      <c r="CA77" s="26">
        <v>-2.6115041300000001</v>
      </c>
      <c r="CB77" s="26">
        <v>3.5771593400000003E-2</v>
      </c>
      <c r="CC77" s="26">
        <v>0.60921026700000003</v>
      </c>
      <c r="CD77" s="26">
        <v>17.030560000000001</v>
      </c>
      <c r="CE77" s="26">
        <v>55.076943800000002</v>
      </c>
      <c r="CF77" s="26">
        <v>0</v>
      </c>
      <c r="CG77" s="26">
        <v>0</v>
      </c>
      <c r="CH77" s="26">
        <v>0</v>
      </c>
      <c r="CI77" s="26">
        <v>0</v>
      </c>
      <c r="CJ77" s="26">
        <v>0</v>
      </c>
      <c r="CK77" s="26">
        <v>0</v>
      </c>
      <c r="CL77" s="26">
        <v>0</v>
      </c>
      <c r="CM77" s="26">
        <v>0</v>
      </c>
      <c r="CN77" s="26">
        <v>0</v>
      </c>
      <c r="CO77" s="26">
        <v>0</v>
      </c>
      <c r="CP77" s="26">
        <v>0</v>
      </c>
      <c r="CQ77" s="26">
        <v>0</v>
      </c>
      <c r="CR77" s="26">
        <v>0</v>
      </c>
      <c r="CS77" s="26">
        <v>0</v>
      </c>
      <c r="CT77" s="26">
        <v>0</v>
      </c>
      <c r="CU77" s="26">
        <v>0</v>
      </c>
      <c r="CV77" s="26">
        <v>0</v>
      </c>
      <c r="CW77" s="26">
        <v>0</v>
      </c>
      <c r="CX77" s="26">
        <v>0</v>
      </c>
      <c r="CY77" s="26">
        <v>0</v>
      </c>
      <c r="CZ77" s="26">
        <v>0</v>
      </c>
      <c r="DA77" s="26">
        <v>0</v>
      </c>
      <c r="DB77" s="26">
        <v>0</v>
      </c>
      <c r="DC77" s="26">
        <v>0</v>
      </c>
      <c r="DD77" s="26">
        <v>0</v>
      </c>
      <c r="DE77" s="26">
        <v>0</v>
      </c>
      <c r="DF77" s="26">
        <v>0</v>
      </c>
      <c r="DG77" s="26">
        <v>0</v>
      </c>
      <c r="DH77" s="26">
        <v>0</v>
      </c>
      <c r="DI77" s="26">
        <v>0</v>
      </c>
      <c r="DJ77" s="26">
        <v>0</v>
      </c>
      <c r="DK77" s="26">
        <v>0</v>
      </c>
      <c r="DL77" s="26">
        <v>0</v>
      </c>
      <c r="DM77" s="26">
        <v>0</v>
      </c>
      <c r="DN77" s="26">
        <v>0</v>
      </c>
      <c r="DO77" s="26">
        <v>0</v>
      </c>
      <c r="DP77" s="26">
        <v>0</v>
      </c>
      <c r="DQ77" s="26">
        <v>0</v>
      </c>
      <c r="DR77" s="26">
        <v>0</v>
      </c>
      <c r="DS77" s="26">
        <v>0</v>
      </c>
      <c r="DT77" s="26">
        <v>0</v>
      </c>
      <c r="DU77" s="26">
        <v>0</v>
      </c>
      <c r="DV77" s="26">
        <v>0</v>
      </c>
      <c r="DW77" s="26">
        <v>0</v>
      </c>
      <c r="DX77" s="26">
        <v>0</v>
      </c>
      <c r="DY77" s="26">
        <v>0</v>
      </c>
      <c r="DZ77" s="26">
        <v>0</v>
      </c>
      <c r="EA77" s="26">
        <v>0</v>
      </c>
      <c r="EB77" s="26">
        <v>0</v>
      </c>
      <c r="EC77" s="26">
        <v>0</v>
      </c>
      <c r="ED77" s="26">
        <v>0</v>
      </c>
      <c r="EE77" s="26">
        <v>0</v>
      </c>
      <c r="EF77" s="26">
        <v>0</v>
      </c>
      <c r="EG77" s="26">
        <v>0</v>
      </c>
      <c r="EH77" s="26">
        <v>0</v>
      </c>
      <c r="EI77" s="26">
        <v>0</v>
      </c>
      <c r="EJ77" s="26">
        <v>0</v>
      </c>
      <c r="EK77" s="26">
        <v>0</v>
      </c>
      <c r="EL77" s="26">
        <v>0</v>
      </c>
      <c r="EM77" s="26">
        <v>0</v>
      </c>
      <c r="EN77" s="26">
        <v>0</v>
      </c>
      <c r="EO77" s="26">
        <v>0</v>
      </c>
      <c r="EP77" s="26">
        <v>0</v>
      </c>
      <c r="EQ77" s="26">
        <v>0</v>
      </c>
      <c r="ER77" s="26">
        <v>0</v>
      </c>
      <c r="ES77" s="26">
        <v>20</v>
      </c>
      <c r="ET77" s="26">
        <v>9</v>
      </c>
      <c r="EU77" s="26">
        <v>0</v>
      </c>
      <c r="EV77" s="26">
        <v>0</v>
      </c>
      <c r="EW77" s="26">
        <v>0</v>
      </c>
      <c r="EX77" s="26">
        <v>0</v>
      </c>
      <c r="EY77" s="26">
        <v>0</v>
      </c>
      <c r="EZ77" s="26">
        <v>0</v>
      </c>
      <c r="FA77" s="26">
        <v>0</v>
      </c>
      <c r="FB77" s="26">
        <v>0</v>
      </c>
      <c r="FC77" s="26">
        <v>0</v>
      </c>
      <c r="FD77" s="26">
        <v>0</v>
      </c>
      <c r="FE77" s="26">
        <v>107.266662</v>
      </c>
      <c r="FF77" s="26">
        <v>0</v>
      </c>
      <c r="FG77" s="26">
        <v>0</v>
      </c>
      <c r="FH77" s="26">
        <v>-1127054.7833509999</v>
      </c>
      <c r="FI77" s="26">
        <v>0</v>
      </c>
      <c r="FJ77" s="26">
        <v>0</v>
      </c>
      <c r="FK77" s="26">
        <v>0</v>
      </c>
      <c r="FL77" s="26">
        <v>0</v>
      </c>
      <c r="FM77" s="26">
        <v>0</v>
      </c>
      <c r="FN77" s="26">
        <v>0</v>
      </c>
      <c r="FO77" s="26">
        <v>0</v>
      </c>
      <c r="FP77" s="26">
        <v>0</v>
      </c>
      <c r="FQ77" s="26">
        <v>0</v>
      </c>
      <c r="FR77" s="26">
        <v>0</v>
      </c>
      <c r="FS77" s="26">
        <v>0</v>
      </c>
      <c r="FT77" s="26">
        <v>0</v>
      </c>
      <c r="FU77" s="26">
        <v>0</v>
      </c>
      <c r="FV77" s="26">
        <v>0</v>
      </c>
      <c r="FW77" s="26">
        <v>0</v>
      </c>
      <c r="FX77" s="26">
        <v>0</v>
      </c>
      <c r="FY77" s="26">
        <v>0</v>
      </c>
      <c r="FZ77" s="26">
        <v>0</v>
      </c>
      <c r="GA77" s="26">
        <v>0</v>
      </c>
      <c r="GB77" s="26">
        <v>0</v>
      </c>
      <c r="GC77" s="26">
        <v>0</v>
      </c>
      <c r="GD77" s="26">
        <v>0</v>
      </c>
      <c r="GE77" s="26">
        <v>0</v>
      </c>
      <c r="GF77" s="26">
        <v>0</v>
      </c>
      <c r="GG77" s="26">
        <v>0</v>
      </c>
      <c r="GH77" s="26">
        <v>0</v>
      </c>
      <c r="GI77" s="26">
        <v>0</v>
      </c>
      <c r="GJ77" s="26">
        <v>0</v>
      </c>
      <c r="GK77" s="26">
        <v>0</v>
      </c>
      <c r="GL77" s="26">
        <v>0</v>
      </c>
      <c r="GM77" s="26">
        <v>0</v>
      </c>
      <c r="GN77" s="26">
        <v>0</v>
      </c>
      <c r="GO77" s="26">
        <v>0</v>
      </c>
      <c r="GP77" s="26">
        <v>0</v>
      </c>
      <c r="GQ77" s="26">
        <v>0</v>
      </c>
      <c r="GR77" s="26">
        <v>0</v>
      </c>
      <c r="GS77" s="26">
        <v>0</v>
      </c>
      <c r="GT77" s="26">
        <v>0</v>
      </c>
      <c r="GU77" s="26">
        <v>0</v>
      </c>
      <c r="GV77" s="26">
        <v>0</v>
      </c>
      <c r="GW77" s="26">
        <v>0</v>
      </c>
      <c r="GX77" s="26">
        <v>0</v>
      </c>
      <c r="GY77" s="26">
        <v>0</v>
      </c>
      <c r="GZ77" s="26">
        <v>0</v>
      </c>
      <c r="HA77" s="26">
        <v>0</v>
      </c>
      <c r="HB77" s="26">
        <v>0</v>
      </c>
      <c r="HC77" s="26">
        <v>0</v>
      </c>
      <c r="HD77" s="26">
        <v>0</v>
      </c>
      <c r="HE77" s="26">
        <v>0</v>
      </c>
      <c r="HF77" s="26">
        <v>0</v>
      </c>
      <c r="HG77" s="26">
        <v>0</v>
      </c>
      <c r="HH77" s="26">
        <v>0</v>
      </c>
      <c r="HI77" s="26">
        <v>0</v>
      </c>
      <c r="HJ77" s="26">
        <v>0</v>
      </c>
      <c r="HK77" s="26">
        <v>0</v>
      </c>
      <c r="HL77" s="26">
        <v>0</v>
      </c>
      <c r="HM77" s="26">
        <v>0</v>
      </c>
      <c r="HN77" s="26">
        <v>0</v>
      </c>
      <c r="HO77" s="26">
        <v>0</v>
      </c>
      <c r="HP77" s="26">
        <v>0</v>
      </c>
      <c r="HQ77" s="26">
        <v>0</v>
      </c>
      <c r="HR77" s="26">
        <v>0</v>
      </c>
      <c r="HS77" s="26">
        <v>0</v>
      </c>
      <c r="HT77" s="26">
        <v>0</v>
      </c>
    </row>
    <row r="78" spans="2:228" x14ac:dyDescent="0.2">
      <c r="B78" s="27" t="s">
        <v>1339</v>
      </c>
      <c r="C78" s="26">
        <v>150458.399</v>
      </c>
      <c r="D78" s="26">
        <v>-568.74670400000002</v>
      </c>
      <c r="E78" s="26">
        <v>150458.399</v>
      </c>
      <c r="F78" s="26">
        <v>0</v>
      </c>
      <c r="G78" s="26">
        <v>0</v>
      </c>
      <c r="H78" s="26">
        <v>0</v>
      </c>
      <c r="I78" s="26">
        <v>0</v>
      </c>
      <c r="J78" s="26">
        <v>0</v>
      </c>
      <c r="K78" s="26">
        <v>0</v>
      </c>
      <c r="L78" s="26">
        <v>0</v>
      </c>
      <c r="M78" s="26">
        <v>0</v>
      </c>
      <c r="N78" s="26">
        <v>0</v>
      </c>
      <c r="O78" s="26">
        <v>0</v>
      </c>
      <c r="P78" s="26">
        <v>0</v>
      </c>
      <c r="Q78" s="26">
        <v>0</v>
      </c>
      <c r="R78" s="26">
        <v>0</v>
      </c>
      <c r="S78" s="26">
        <v>0</v>
      </c>
      <c r="T78" s="26">
        <v>0</v>
      </c>
      <c r="U78" s="26">
        <v>0</v>
      </c>
      <c r="V78" s="26">
        <v>0</v>
      </c>
      <c r="W78" s="26">
        <v>0</v>
      </c>
      <c r="X78" s="26">
        <v>0</v>
      </c>
      <c r="Y78" s="26">
        <v>0</v>
      </c>
      <c r="Z78" s="26">
        <v>0</v>
      </c>
      <c r="AA78" s="26">
        <v>0</v>
      </c>
      <c r="AB78" s="26">
        <v>0</v>
      </c>
      <c r="AC78" s="26">
        <v>0</v>
      </c>
      <c r="AD78" s="26">
        <v>0</v>
      </c>
      <c r="AE78" s="26">
        <v>0</v>
      </c>
      <c r="AF78" s="26">
        <v>0</v>
      </c>
      <c r="AG78" s="26">
        <v>0</v>
      </c>
      <c r="AH78" s="26">
        <v>0</v>
      </c>
      <c r="AI78" s="26">
        <v>0</v>
      </c>
      <c r="AJ78" s="26">
        <v>0</v>
      </c>
      <c r="AK78" s="26">
        <v>0</v>
      </c>
      <c r="AL78" s="26">
        <v>0</v>
      </c>
      <c r="AM78" s="26">
        <v>0</v>
      </c>
      <c r="AN78" s="26">
        <v>0</v>
      </c>
      <c r="AO78" s="26">
        <v>0</v>
      </c>
      <c r="AP78" s="26">
        <v>0</v>
      </c>
      <c r="AQ78" s="26">
        <v>0</v>
      </c>
      <c r="AR78" s="26">
        <v>0</v>
      </c>
      <c r="AS78" s="26">
        <v>0</v>
      </c>
      <c r="AT78" s="26">
        <v>0</v>
      </c>
      <c r="AU78" s="26">
        <v>0</v>
      </c>
      <c r="AV78" s="26">
        <v>0</v>
      </c>
      <c r="AW78" s="26">
        <v>0</v>
      </c>
      <c r="AX78" s="26">
        <v>0</v>
      </c>
      <c r="AY78" s="26">
        <v>0</v>
      </c>
      <c r="AZ78" s="26">
        <v>0</v>
      </c>
      <c r="BA78" s="26">
        <v>0</v>
      </c>
      <c r="BB78" s="26">
        <v>0</v>
      </c>
      <c r="BC78" s="26">
        <v>0</v>
      </c>
      <c r="BD78" s="26">
        <v>0</v>
      </c>
      <c r="BE78" s="26">
        <v>0</v>
      </c>
      <c r="BF78" s="26">
        <v>0</v>
      </c>
      <c r="BG78" s="26">
        <v>0</v>
      </c>
      <c r="BH78" s="26">
        <v>0</v>
      </c>
      <c r="BI78" s="26">
        <v>0</v>
      </c>
      <c r="BJ78" s="26">
        <v>0</v>
      </c>
      <c r="BK78" s="26">
        <v>0</v>
      </c>
      <c r="BL78" s="26">
        <v>0</v>
      </c>
      <c r="BM78" s="26">
        <v>0</v>
      </c>
      <c r="BN78" s="26">
        <v>0</v>
      </c>
      <c r="BO78" s="26">
        <v>8351.7102900000009</v>
      </c>
      <c r="BP78" s="26">
        <v>150458.399</v>
      </c>
      <c r="BQ78" s="26">
        <v>2542.7130900000002</v>
      </c>
      <c r="BR78" s="26">
        <v>33</v>
      </c>
      <c r="BS78" s="26">
        <v>5</v>
      </c>
      <c r="BT78" s="26">
        <v>0</v>
      </c>
      <c r="BU78" s="26">
        <v>1</v>
      </c>
      <c r="BV78" s="26">
        <v>0</v>
      </c>
      <c r="BW78" s="26">
        <v>-68099.428700000004</v>
      </c>
      <c r="BX78" s="26">
        <v>-3780.0927200000001</v>
      </c>
      <c r="BY78" s="26">
        <v>-568.74670400000002</v>
      </c>
      <c r="BZ78" s="26">
        <v>-38.4147356</v>
      </c>
      <c r="CA78" s="26">
        <v>-2.1323418599999999</v>
      </c>
      <c r="CB78" s="26">
        <v>5.4742774600000002E-2</v>
      </c>
      <c r="CC78" s="26">
        <v>0.986206413</v>
      </c>
      <c r="CD78" s="26">
        <v>18.015280000000001</v>
      </c>
      <c r="CE78" s="26">
        <v>2512.47282</v>
      </c>
      <c r="CF78" s="26">
        <v>0</v>
      </c>
      <c r="CG78" s="26">
        <v>0</v>
      </c>
      <c r="CH78" s="26">
        <v>0</v>
      </c>
      <c r="CI78" s="26">
        <v>0</v>
      </c>
      <c r="CJ78" s="26">
        <v>0</v>
      </c>
      <c r="CK78" s="26">
        <v>0</v>
      </c>
      <c r="CL78" s="26">
        <v>0</v>
      </c>
      <c r="CM78" s="26">
        <v>0</v>
      </c>
      <c r="CN78" s="26">
        <v>0</v>
      </c>
      <c r="CO78" s="26">
        <v>0</v>
      </c>
      <c r="CP78" s="26">
        <v>0</v>
      </c>
      <c r="CQ78" s="26">
        <v>0</v>
      </c>
      <c r="CR78" s="26">
        <v>0</v>
      </c>
      <c r="CS78" s="26">
        <v>0</v>
      </c>
      <c r="CT78" s="26">
        <v>0</v>
      </c>
      <c r="CU78" s="26">
        <v>0</v>
      </c>
      <c r="CV78" s="26">
        <v>0</v>
      </c>
      <c r="CW78" s="26">
        <v>0</v>
      </c>
      <c r="CX78" s="26">
        <v>0</v>
      </c>
      <c r="CY78" s="26">
        <v>0</v>
      </c>
      <c r="CZ78" s="26">
        <v>0</v>
      </c>
      <c r="DA78" s="26">
        <v>0</v>
      </c>
      <c r="DB78" s="26">
        <v>0</v>
      </c>
      <c r="DC78" s="26">
        <v>0</v>
      </c>
      <c r="DD78" s="26">
        <v>0</v>
      </c>
      <c r="DE78" s="26">
        <v>0</v>
      </c>
      <c r="DF78" s="26">
        <v>0</v>
      </c>
      <c r="DG78" s="26">
        <v>0</v>
      </c>
      <c r="DH78" s="26">
        <v>0</v>
      </c>
      <c r="DI78" s="26">
        <v>0</v>
      </c>
      <c r="DJ78" s="26">
        <v>0</v>
      </c>
      <c r="DK78" s="26">
        <v>0</v>
      </c>
      <c r="DL78" s="26">
        <v>0</v>
      </c>
      <c r="DM78" s="26">
        <v>0</v>
      </c>
      <c r="DN78" s="26">
        <v>0</v>
      </c>
      <c r="DO78" s="26">
        <v>0</v>
      </c>
      <c r="DP78" s="26">
        <v>0</v>
      </c>
      <c r="DQ78" s="26">
        <v>0</v>
      </c>
      <c r="DR78" s="26">
        <v>0</v>
      </c>
      <c r="DS78" s="26">
        <v>0</v>
      </c>
      <c r="DT78" s="26">
        <v>0</v>
      </c>
      <c r="DU78" s="26">
        <v>0</v>
      </c>
      <c r="DV78" s="26">
        <v>0</v>
      </c>
      <c r="DW78" s="26">
        <v>0</v>
      </c>
      <c r="DX78" s="26">
        <v>0</v>
      </c>
      <c r="DY78" s="26">
        <v>0</v>
      </c>
      <c r="DZ78" s="26">
        <v>0</v>
      </c>
      <c r="EA78" s="26">
        <v>0</v>
      </c>
      <c r="EB78" s="26">
        <v>0</v>
      </c>
      <c r="EC78" s="26">
        <v>0</v>
      </c>
      <c r="ED78" s="26">
        <v>0</v>
      </c>
      <c r="EE78" s="26">
        <v>0</v>
      </c>
      <c r="EF78" s="26">
        <v>0</v>
      </c>
      <c r="EG78" s="26">
        <v>0</v>
      </c>
      <c r="EH78" s="26">
        <v>0</v>
      </c>
      <c r="EI78" s="26">
        <v>0</v>
      </c>
      <c r="EJ78" s="26">
        <v>0</v>
      </c>
      <c r="EK78" s="26">
        <v>0</v>
      </c>
      <c r="EL78" s="26">
        <v>0</v>
      </c>
      <c r="EM78" s="26">
        <v>0</v>
      </c>
      <c r="EN78" s="26">
        <v>0</v>
      </c>
      <c r="EO78" s="26">
        <v>0</v>
      </c>
      <c r="EP78" s="26">
        <v>0</v>
      </c>
      <c r="EQ78" s="26">
        <v>0</v>
      </c>
      <c r="ER78" s="26">
        <v>0</v>
      </c>
      <c r="ES78" s="26">
        <v>0</v>
      </c>
      <c r="ET78" s="26">
        <v>5</v>
      </c>
      <c r="EU78" s="26">
        <v>0</v>
      </c>
      <c r="EV78" s="26">
        <v>0</v>
      </c>
      <c r="EW78" s="26">
        <v>0</v>
      </c>
      <c r="EX78" s="26">
        <v>0</v>
      </c>
      <c r="EY78" s="26">
        <v>0</v>
      </c>
      <c r="EZ78" s="26">
        <v>0</v>
      </c>
      <c r="FA78" s="26">
        <v>0</v>
      </c>
      <c r="FB78" s="26">
        <v>0</v>
      </c>
      <c r="FC78" s="26">
        <v>0</v>
      </c>
      <c r="FD78" s="26">
        <v>0</v>
      </c>
      <c r="FE78" s="26">
        <v>0</v>
      </c>
      <c r="FF78" s="26">
        <v>0</v>
      </c>
      <c r="FG78" s="26">
        <v>0</v>
      </c>
      <c r="FH78" s="26">
        <v>-662741805.77699995</v>
      </c>
      <c r="FI78" s="26">
        <v>0</v>
      </c>
      <c r="FJ78" s="26">
        <v>0</v>
      </c>
      <c r="FK78" s="26">
        <v>0</v>
      </c>
      <c r="FL78" s="26">
        <v>0</v>
      </c>
      <c r="FM78" s="26">
        <v>0</v>
      </c>
      <c r="FN78" s="26">
        <v>0</v>
      </c>
      <c r="FO78" s="26">
        <v>0</v>
      </c>
      <c r="FP78" s="26">
        <v>0</v>
      </c>
      <c r="FQ78" s="26">
        <v>0</v>
      </c>
      <c r="FR78" s="26">
        <v>0</v>
      </c>
      <c r="FS78" s="26">
        <v>0</v>
      </c>
      <c r="FT78" s="26">
        <v>0</v>
      </c>
      <c r="FU78" s="26">
        <v>0</v>
      </c>
      <c r="FV78" s="26">
        <v>0</v>
      </c>
      <c r="FW78" s="26">
        <v>0</v>
      </c>
      <c r="FX78" s="26">
        <v>0</v>
      </c>
      <c r="FY78" s="26">
        <v>0</v>
      </c>
      <c r="FZ78" s="26">
        <v>0</v>
      </c>
      <c r="GA78" s="26">
        <v>0</v>
      </c>
      <c r="GB78" s="26">
        <v>0</v>
      </c>
      <c r="GC78" s="26">
        <v>0</v>
      </c>
      <c r="GD78" s="26">
        <v>0</v>
      </c>
      <c r="GE78" s="26">
        <v>0</v>
      </c>
      <c r="GF78" s="26">
        <v>0</v>
      </c>
      <c r="GG78" s="26">
        <v>0</v>
      </c>
      <c r="GH78" s="26">
        <v>0</v>
      </c>
      <c r="GI78" s="26">
        <v>0</v>
      </c>
      <c r="GJ78" s="26">
        <v>0</v>
      </c>
      <c r="GK78" s="26">
        <v>0</v>
      </c>
      <c r="GL78" s="26">
        <v>0</v>
      </c>
      <c r="GM78" s="26">
        <v>0</v>
      </c>
      <c r="GN78" s="26">
        <v>0</v>
      </c>
      <c r="GO78" s="26">
        <v>0</v>
      </c>
      <c r="GP78" s="26">
        <v>0</v>
      </c>
      <c r="GQ78" s="26">
        <v>0</v>
      </c>
      <c r="GR78" s="26">
        <v>0</v>
      </c>
      <c r="GS78" s="26">
        <v>0</v>
      </c>
      <c r="GT78" s="26">
        <v>0</v>
      </c>
      <c r="GU78" s="26">
        <v>0</v>
      </c>
      <c r="GV78" s="26">
        <v>0</v>
      </c>
      <c r="GW78" s="26">
        <v>0</v>
      </c>
      <c r="GX78" s="26">
        <v>0</v>
      </c>
      <c r="GY78" s="26">
        <v>0</v>
      </c>
      <c r="GZ78" s="26">
        <v>0</v>
      </c>
      <c r="HA78" s="26">
        <v>0</v>
      </c>
      <c r="HB78" s="26">
        <v>0</v>
      </c>
      <c r="HC78" s="26">
        <v>0</v>
      </c>
      <c r="HD78" s="26">
        <v>0</v>
      </c>
      <c r="HE78" s="26">
        <v>0</v>
      </c>
      <c r="HF78" s="26">
        <v>0</v>
      </c>
      <c r="HG78" s="26">
        <v>0</v>
      </c>
      <c r="HH78" s="26">
        <v>0</v>
      </c>
      <c r="HI78" s="26">
        <v>0</v>
      </c>
      <c r="HJ78" s="26">
        <v>0</v>
      </c>
      <c r="HK78" s="26">
        <v>0</v>
      </c>
      <c r="HL78" s="26">
        <v>0</v>
      </c>
      <c r="HM78" s="26">
        <v>0</v>
      </c>
      <c r="HN78" s="26">
        <v>0</v>
      </c>
      <c r="HO78" s="26">
        <v>0</v>
      </c>
      <c r="HP78" s="26">
        <v>0</v>
      </c>
      <c r="HQ78" s="26">
        <v>0</v>
      </c>
      <c r="HR78" s="26">
        <v>0</v>
      </c>
      <c r="HS78" s="26">
        <v>0</v>
      </c>
      <c r="HT78" s="26">
        <v>0</v>
      </c>
    </row>
    <row r="79" spans="2:228" x14ac:dyDescent="0.2">
      <c r="B79" s="27" t="s">
        <v>2385</v>
      </c>
      <c r="C79" s="26">
        <v>150458.399</v>
      </c>
      <c r="D79" s="26">
        <v>-568.74670400000002</v>
      </c>
      <c r="E79" s="26">
        <v>150458.399</v>
      </c>
      <c r="F79" s="26">
        <v>0</v>
      </c>
      <c r="G79" s="26">
        <v>0</v>
      </c>
      <c r="H79" s="26">
        <v>0</v>
      </c>
      <c r="I79" s="26">
        <v>0</v>
      </c>
      <c r="J79" s="26">
        <v>0</v>
      </c>
      <c r="K79" s="26">
        <v>0</v>
      </c>
      <c r="L79" s="26">
        <v>0</v>
      </c>
      <c r="M79" s="26">
        <v>0</v>
      </c>
      <c r="N79" s="26">
        <v>0</v>
      </c>
      <c r="O79" s="26">
        <v>0</v>
      </c>
      <c r="P79" s="26">
        <v>0</v>
      </c>
      <c r="Q79" s="26">
        <v>0</v>
      </c>
      <c r="R79" s="26">
        <v>0</v>
      </c>
      <c r="S79" s="26">
        <v>0</v>
      </c>
      <c r="T79" s="26">
        <v>0</v>
      </c>
      <c r="U79" s="26">
        <v>0</v>
      </c>
      <c r="V79" s="26">
        <v>0</v>
      </c>
      <c r="W79" s="26">
        <v>0</v>
      </c>
      <c r="X79" s="26">
        <v>0</v>
      </c>
      <c r="Y79" s="26">
        <v>0</v>
      </c>
      <c r="Z79" s="26">
        <v>0</v>
      </c>
      <c r="AA79" s="26">
        <v>0</v>
      </c>
      <c r="AB79" s="26">
        <v>0</v>
      </c>
      <c r="AC79" s="26">
        <v>0</v>
      </c>
      <c r="AD79" s="26">
        <v>0</v>
      </c>
      <c r="AE79" s="26">
        <v>0</v>
      </c>
      <c r="AF79" s="26">
        <v>0</v>
      </c>
      <c r="AG79" s="26">
        <v>0</v>
      </c>
      <c r="AH79" s="26">
        <v>0</v>
      </c>
      <c r="AI79" s="26">
        <v>0</v>
      </c>
      <c r="AJ79" s="26">
        <v>0</v>
      </c>
      <c r="AK79" s="26">
        <v>0</v>
      </c>
      <c r="AL79" s="26">
        <v>0</v>
      </c>
      <c r="AM79" s="26">
        <v>0</v>
      </c>
      <c r="AN79" s="26">
        <v>0</v>
      </c>
      <c r="AO79" s="26">
        <v>0</v>
      </c>
      <c r="AP79" s="26">
        <v>0</v>
      </c>
      <c r="AQ79" s="26">
        <v>0</v>
      </c>
      <c r="AR79" s="26">
        <v>0</v>
      </c>
      <c r="AS79" s="26">
        <v>0</v>
      </c>
      <c r="AT79" s="26">
        <v>0</v>
      </c>
      <c r="AU79" s="26">
        <v>0</v>
      </c>
      <c r="AV79" s="26">
        <v>0</v>
      </c>
      <c r="AW79" s="26">
        <v>0</v>
      </c>
      <c r="AX79" s="26">
        <v>0</v>
      </c>
      <c r="AY79" s="26">
        <v>0</v>
      </c>
      <c r="AZ79" s="26">
        <v>0</v>
      </c>
      <c r="BA79" s="26">
        <v>0</v>
      </c>
      <c r="BB79" s="26">
        <v>0</v>
      </c>
      <c r="BC79" s="26">
        <v>0</v>
      </c>
      <c r="BD79" s="26">
        <v>0</v>
      </c>
      <c r="BE79" s="26">
        <v>0</v>
      </c>
      <c r="BF79" s="26">
        <v>0</v>
      </c>
      <c r="BG79" s="26">
        <v>0</v>
      </c>
      <c r="BH79" s="26">
        <v>0</v>
      </c>
      <c r="BI79" s="26">
        <v>0</v>
      </c>
      <c r="BJ79" s="26">
        <v>0</v>
      </c>
      <c r="BK79" s="26">
        <v>0</v>
      </c>
      <c r="BL79" s="26">
        <v>0</v>
      </c>
      <c r="BM79" s="26">
        <v>0</v>
      </c>
      <c r="BN79" s="26">
        <v>0</v>
      </c>
      <c r="BO79" s="26">
        <v>8351.7102900000009</v>
      </c>
      <c r="BP79" s="26">
        <v>150458.399</v>
      </c>
      <c r="BQ79" s="26">
        <v>2542.7130900000002</v>
      </c>
      <c r="BR79" s="26">
        <v>33</v>
      </c>
      <c r="BS79" s="26">
        <v>5</v>
      </c>
      <c r="BT79" s="26">
        <v>0</v>
      </c>
      <c r="BU79" s="26">
        <v>1</v>
      </c>
      <c r="BV79" s="26">
        <v>0</v>
      </c>
      <c r="BW79" s="26">
        <v>-68099.428700000004</v>
      </c>
      <c r="BX79" s="26">
        <v>-3780.0927200000001</v>
      </c>
      <c r="BY79" s="26">
        <v>-568.74670400000002</v>
      </c>
      <c r="BZ79" s="26">
        <v>-38.4147356</v>
      </c>
      <c r="CA79" s="26">
        <v>-2.1323418599999999</v>
      </c>
      <c r="CB79" s="26">
        <v>5.4742774600000002E-2</v>
      </c>
      <c r="CC79" s="26">
        <v>0.986206413</v>
      </c>
      <c r="CD79" s="26">
        <v>18.015280000000001</v>
      </c>
      <c r="CE79" s="26">
        <v>2512.47282</v>
      </c>
      <c r="CF79" s="26">
        <v>0</v>
      </c>
      <c r="CG79" s="26">
        <v>0</v>
      </c>
      <c r="CH79" s="26">
        <v>0</v>
      </c>
      <c r="CI79" s="26">
        <v>0</v>
      </c>
      <c r="CJ79" s="26">
        <v>0</v>
      </c>
      <c r="CK79" s="26">
        <v>0</v>
      </c>
      <c r="CL79" s="26">
        <v>0</v>
      </c>
      <c r="CM79" s="26">
        <v>0</v>
      </c>
      <c r="CN79" s="26">
        <v>0</v>
      </c>
      <c r="CO79" s="26">
        <v>0</v>
      </c>
      <c r="CP79" s="26">
        <v>0</v>
      </c>
      <c r="CQ79" s="26">
        <v>0</v>
      </c>
      <c r="CR79" s="26">
        <v>0</v>
      </c>
      <c r="CS79" s="26">
        <v>0</v>
      </c>
      <c r="CT79" s="26">
        <v>0</v>
      </c>
      <c r="CU79" s="26">
        <v>0</v>
      </c>
      <c r="CV79" s="26">
        <v>0</v>
      </c>
      <c r="CW79" s="26">
        <v>0</v>
      </c>
      <c r="CX79" s="26">
        <v>0</v>
      </c>
      <c r="CY79" s="26">
        <v>0</v>
      </c>
      <c r="CZ79" s="26">
        <v>0</v>
      </c>
      <c r="DA79" s="26">
        <v>0</v>
      </c>
      <c r="DB79" s="26">
        <v>0</v>
      </c>
      <c r="DC79" s="26">
        <v>0</v>
      </c>
      <c r="DD79" s="26">
        <v>0</v>
      </c>
      <c r="DE79" s="26">
        <v>0</v>
      </c>
      <c r="DF79" s="26">
        <v>0</v>
      </c>
      <c r="DG79" s="26">
        <v>0</v>
      </c>
      <c r="DH79" s="26">
        <v>0</v>
      </c>
      <c r="DI79" s="26">
        <v>0</v>
      </c>
      <c r="DJ79" s="26">
        <v>0</v>
      </c>
      <c r="DK79" s="26">
        <v>0</v>
      </c>
      <c r="DL79" s="26">
        <v>0</v>
      </c>
      <c r="DM79" s="26">
        <v>0</v>
      </c>
      <c r="DN79" s="26">
        <v>0</v>
      </c>
      <c r="DO79" s="26">
        <v>0</v>
      </c>
      <c r="DP79" s="26">
        <v>0</v>
      </c>
      <c r="DQ79" s="26">
        <v>0</v>
      </c>
      <c r="DR79" s="26">
        <v>0</v>
      </c>
      <c r="DS79" s="26">
        <v>0</v>
      </c>
      <c r="DT79" s="26">
        <v>0</v>
      </c>
      <c r="DU79" s="26">
        <v>0</v>
      </c>
      <c r="DV79" s="26">
        <v>0</v>
      </c>
      <c r="DW79" s="26">
        <v>0</v>
      </c>
      <c r="DX79" s="26">
        <v>0</v>
      </c>
      <c r="DY79" s="26">
        <v>0</v>
      </c>
      <c r="DZ79" s="26">
        <v>0</v>
      </c>
      <c r="EA79" s="26">
        <v>0</v>
      </c>
      <c r="EB79" s="26">
        <v>0</v>
      </c>
      <c r="EC79" s="26">
        <v>0</v>
      </c>
      <c r="ED79" s="26">
        <v>0</v>
      </c>
      <c r="EE79" s="26">
        <v>0</v>
      </c>
      <c r="EF79" s="26">
        <v>0</v>
      </c>
      <c r="EG79" s="26">
        <v>0</v>
      </c>
      <c r="EH79" s="26">
        <v>0</v>
      </c>
      <c r="EI79" s="26">
        <v>0</v>
      </c>
      <c r="EJ79" s="26">
        <v>0</v>
      </c>
      <c r="EK79" s="26">
        <v>0</v>
      </c>
      <c r="EL79" s="26">
        <v>0</v>
      </c>
      <c r="EM79" s="26">
        <v>0</v>
      </c>
      <c r="EN79" s="26">
        <v>0</v>
      </c>
      <c r="EO79" s="26">
        <v>0</v>
      </c>
      <c r="EP79" s="26">
        <v>0</v>
      </c>
      <c r="EQ79" s="26">
        <v>0</v>
      </c>
      <c r="ER79" s="26">
        <v>0</v>
      </c>
      <c r="ES79" s="26">
        <v>0</v>
      </c>
      <c r="ET79" s="26">
        <v>5</v>
      </c>
      <c r="EU79" s="26">
        <v>0</v>
      </c>
      <c r="EV79" s="26">
        <v>0</v>
      </c>
      <c r="EW79" s="26">
        <v>0</v>
      </c>
      <c r="EX79" s="26">
        <v>0</v>
      </c>
      <c r="EY79" s="26">
        <v>0</v>
      </c>
      <c r="EZ79" s="26">
        <v>0</v>
      </c>
      <c r="FA79" s="26">
        <v>0</v>
      </c>
      <c r="FB79" s="26">
        <v>0</v>
      </c>
      <c r="FC79" s="26">
        <v>0</v>
      </c>
      <c r="FD79" s="26">
        <v>0</v>
      </c>
      <c r="FE79" s="26">
        <v>0</v>
      </c>
      <c r="FF79" s="26">
        <v>0</v>
      </c>
      <c r="FG79" s="26">
        <v>0</v>
      </c>
      <c r="FH79" s="26">
        <v>-662741805.77699995</v>
      </c>
      <c r="FI79" s="26">
        <v>0</v>
      </c>
      <c r="FJ79" s="26">
        <v>0</v>
      </c>
      <c r="FK79" s="26">
        <v>0</v>
      </c>
      <c r="FL79" s="26">
        <v>0</v>
      </c>
      <c r="FM79" s="26">
        <v>0</v>
      </c>
      <c r="FN79" s="26">
        <v>0</v>
      </c>
      <c r="FO79" s="26">
        <v>0</v>
      </c>
      <c r="FP79" s="26">
        <v>0</v>
      </c>
      <c r="FQ79" s="26">
        <v>0</v>
      </c>
      <c r="FR79" s="26">
        <v>0</v>
      </c>
      <c r="FS79" s="26">
        <v>0</v>
      </c>
      <c r="FT79" s="26">
        <v>0</v>
      </c>
      <c r="FU79" s="26">
        <v>0</v>
      </c>
      <c r="FV79" s="26">
        <v>0</v>
      </c>
      <c r="FW79" s="26">
        <v>0</v>
      </c>
      <c r="FX79" s="26">
        <v>0</v>
      </c>
      <c r="FY79" s="26">
        <v>0</v>
      </c>
      <c r="FZ79" s="26">
        <v>0</v>
      </c>
      <c r="GA79" s="26">
        <v>0</v>
      </c>
      <c r="GB79" s="26">
        <v>0</v>
      </c>
      <c r="GC79" s="26">
        <v>0</v>
      </c>
      <c r="GD79" s="26">
        <v>0</v>
      </c>
      <c r="GE79" s="26">
        <v>0</v>
      </c>
      <c r="GF79" s="26">
        <v>0</v>
      </c>
      <c r="GG79" s="26">
        <v>0</v>
      </c>
      <c r="GH79" s="26">
        <v>0</v>
      </c>
      <c r="GI79" s="26">
        <v>0</v>
      </c>
      <c r="GJ79" s="26">
        <v>0</v>
      </c>
      <c r="GK79" s="26">
        <v>0</v>
      </c>
      <c r="GL79" s="26">
        <v>0</v>
      </c>
      <c r="GM79" s="26">
        <v>0</v>
      </c>
      <c r="GN79" s="26">
        <v>0</v>
      </c>
      <c r="GO79" s="26">
        <v>0</v>
      </c>
      <c r="GP79" s="26">
        <v>0</v>
      </c>
      <c r="GQ79" s="26">
        <v>0</v>
      </c>
      <c r="GR79" s="26">
        <v>0</v>
      </c>
      <c r="GS79" s="26">
        <v>0</v>
      </c>
      <c r="GT79" s="26">
        <v>0</v>
      </c>
      <c r="GU79" s="26">
        <v>0</v>
      </c>
      <c r="GV79" s="26">
        <v>0</v>
      </c>
      <c r="GW79" s="26">
        <v>0</v>
      </c>
      <c r="GX79" s="26">
        <v>0</v>
      </c>
      <c r="GY79" s="26">
        <v>0</v>
      </c>
      <c r="GZ79" s="26">
        <v>0</v>
      </c>
      <c r="HA79" s="26">
        <v>0</v>
      </c>
      <c r="HB79" s="26">
        <v>0</v>
      </c>
      <c r="HC79" s="26">
        <v>0</v>
      </c>
      <c r="HD79" s="26">
        <v>0</v>
      </c>
      <c r="HE79" s="26">
        <v>0</v>
      </c>
      <c r="HF79" s="26">
        <v>0</v>
      </c>
      <c r="HG79" s="26">
        <v>0</v>
      </c>
      <c r="HH79" s="26">
        <v>0</v>
      </c>
      <c r="HI79" s="26">
        <v>0</v>
      </c>
      <c r="HJ79" s="26">
        <v>0</v>
      </c>
      <c r="HK79" s="26">
        <v>0</v>
      </c>
      <c r="HL79" s="26">
        <v>0</v>
      </c>
      <c r="HM79" s="26">
        <v>0</v>
      </c>
      <c r="HN79" s="26">
        <v>0</v>
      </c>
      <c r="HO79" s="26">
        <v>0</v>
      </c>
      <c r="HP79" s="26">
        <v>0</v>
      </c>
      <c r="HQ79" s="26">
        <v>0</v>
      </c>
      <c r="HR79" s="26">
        <v>0</v>
      </c>
      <c r="HS79" s="26">
        <v>0</v>
      </c>
      <c r="HT79" s="26">
        <v>0</v>
      </c>
    </row>
    <row r="80" spans="2:228" x14ac:dyDescent="0.2">
      <c r="B80" s="27" t="s">
        <v>2386</v>
      </c>
      <c r="C80" s="26">
        <v>0</v>
      </c>
      <c r="D80" s="26">
        <v>0</v>
      </c>
      <c r="E80" s="26">
        <v>0</v>
      </c>
      <c r="F80" s="26">
        <v>0</v>
      </c>
      <c r="G80" s="26">
        <v>0</v>
      </c>
      <c r="H80" s="26">
        <v>0</v>
      </c>
      <c r="I80" s="26">
        <v>0</v>
      </c>
      <c r="J80" s="26">
        <v>0</v>
      </c>
      <c r="K80" s="26">
        <v>0</v>
      </c>
      <c r="L80" s="26">
        <v>0</v>
      </c>
      <c r="M80" s="26">
        <v>0</v>
      </c>
      <c r="N80" s="26">
        <v>0</v>
      </c>
      <c r="O80" s="26">
        <v>0</v>
      </c>
      <c r="P80" s="26">
        <v>0</v>
      </c>
      <c r="Q80" s="26">
        <v>0</v>
      </c>
      <c r="R80" s="26">
        <v>0</v>
      </c>
      <c r="S80" s="26">
        <v>0</v>
      </c>
      <c r="T80" s="26">
        <v>0</v>
      </c>
      <c r="U80" s="26">
        <v>0</v>
      </c>
      <c r="V80" s="26">
        <v>0</v>
      </c>
      <c r="W80" s="26">
        <v>0</v>
      </c>
      <c r="X80" s="26">
        <v>0</v>
      </c>
      <c r="Y80" s="26">
        <v>0</v>
      </c>
      <c r="Z80" s="26">
        <v>0</v>
      </c>
      <c r="AA80" s="26">
        <v>0</v>
      </c>
      <c r="AB80" s="26">
        <v>0</v>
      </c>
      <c r="AC80" s="26">
        <v>0</v>
      </c>
      <c r="AD80" s="26">
        <v>0</v>
      </c>
      <c r="AE80" s="26">
        <v>0</v>
      </c>
      <c r="AF80" s="26">
        <v>0</v>
      </c>
      <c r="AG80" s="26">
        <v>0</v>
      </c>
      <c r="AH80" s="26">
        <v>0</v>
      </c>
      <c r="AI80" s="26">
        <v>0</v>
      </c>
      <c r="AJ80" s="26">
        <v>0</v>
      </c>
      <c r="AK80" s="26">
        <v>0</v>
      </c>
      <c r="AL80" s="26">
        <v>0</v>
      </c>
      <c r="AM80" s="26">
        <v>0</v>
      </c>
      <c r="AN80" s="26">
        <v>0</v>
      </c>
      <c r="AO80" s="26">
        <v>0</v>
      </c>
      <c r="AP80" s="26">
        <v>0</v>
      </c>
      <c r="AQ80" s="26">
        <v>0</v>
      </c>
      <c r="AR80" s="26">
        <v>0</v>
      </c>
      <c r="AS80" s="26">
        <v>0</v>
      </c>
      <c r="AT80" s="26">
        <v>0</v>
      </c>
      <c r="AU80" s="26">
        <v>0</v>
      </c>
      <c r="AV80" s="26">
        <v>0</v>
      </c>
      <c r="AW80" s="26">
        <v>0</v>
      </c>
      <c r="AX80" s="26">
        <v>0</v>
      </c>
      <c r="AY80" s="26">
        <v>0</v>
      </c>
      <c r="AZ80" s="26">
        <v>0</v>
      </c>
      <c r="BA80" s="26">
        <v>0</v>
      </c>
      <c r="BB80" s="26">
        <v>0</v>
      </c>
      <c r="BC80" s="26">
        <v>0</v>
      </c>
      <c r="BD80" s="26">
        <v>0</v>
      </c>
      <c r="BE80" s="26">
        <v>0</v>
      </c>
      <c r="BF80" s="26">
        <v>0</v>
      </c>
      <c r="BG80" s="26">
        <v>0</v>
      </c>
      <c r="BH80" s="26">
        <v>0</v>
      </c>
      <c r="BI80" s="26">
        <v>0</v>
      </c>
      <c r="BJ80" s="26">
        <v>0</v>
      </c>
      <c r="BK80" s="26">
        <v>0</v>
      </c>
      <c r="BL80" s="26">
        <v>0</v>
      </c>
      <c r="BM80" s="26">
        <v>0</v>
      </c>
      <c r="BN80" s="26">
        <v>0</v>
      </c>
      <c r="BO80" s="26">
        <v>0</v>
      </c>
      <c r="BP80" s="26">
        <v>0</v>
      </c>
      <c r="BQ80" s="26">
        <v>0</v>
      </c>
      <c r="BR80" s="26">
        <v>0</v>
      </c>
      <c r="BS80" s="26">
        <v>0</v>
      </c>
      <c r="BT80" s="26">
        <v>0</v>
      </c>
      <c r="BU80" s="26">
        <v>0</v>
      </c>
      <c r="BV80" s="26">
        <v>0</v>
      </c>
      <c r="BW80" s="26">
        <v>0</v>
      </c>
      <c r="BX80" s="26">
        <v>0</v>
      </c>
      <c r="BY80" s="26">
        <v>0</v>
      </c>
      <c r="BZ80" s="26">
        <v>0</v>
      </c>
      <c r="CA80" s="26">
        <v>0</v>
      </c>
      <c r="CB80" s="26">
        <v>0</v>
      </c>
      <c r="CC80" s="26">
        <v>0</v>
      </c>
      <c r="CD80" s="26">
        <v>0</v>
      </c>
      <c r="CE80" s="26">
        <v>0</v>
      </c>
      <c r="CF80" s="26">
        <v>0</v>
      </c>
      <c r="CG80" s="26">
        <v>0</v>
      </c>
      <c r="CH80" s="26">
        <v>0</v>
      </c>
      <c r="CI80" s="26">
        <v>0</v>
      </c>
      <c r="CJ80" s="26">
        <v>0</v>
      </c>
      <c r="CK80" s="26">
        <v>0</v>
      </c>
      <c r="CL80" s="26">
        <v>0</v>
      </c>
      <c r="CM80" s="26">
        <v>0</v>
      </c>
      <c r="CN80" s="26">
        <v>0</v>
      </c>
      <c r="CO80" s="26">
        <v>0</v>
      </c>
      <c r="CP80" s="26">
        <v>0</v>
      </c>
      <c r="CQ80" s="26">
        <v>0</v>
      </c>
      <c r="CR80" s="26">
        <v>0</v>
      </c>
      <c r="CS80" s="26">
        <v>0</v>
      </c>
      <c r="CT80" s="26">
        <v>0</v>
      </c>
      <c r="CU80" s="26">
        <v>0</v>
      </c>
      <c r="CV80" s="26">
        <v>0</v>
      </c>
      <c r="CW80" s="26">
        <v>0</v>
      </c>
      <c r="CX80" s="26">
        <v>0</v>
      </c>
      <c r="CY80" s="26">
        <v>0</v>
      </c>
      <c r="CZ80" s="26">
        <v>0</v>
      </c>
      <c r="DA80" s="26">
        <v>0</v>
      </c>
      <c r="DB80" s="26">
        <v>0</v>
      </c>
      <c r="DC80" s="26">
        <v>0</v>
      </c>
      <c r="DD80" s="26">
        <v>0</v>
      </c>
      <c r="DE80" s="26">
        <v>0</v>
      </c>
      <c r="DF80" s="26">
        <v>0</v>
      </c>
      <c r="DG80" s="26">
        <v>0</v>
      </c>
      <c r="DH80" s="26">
        <v>0</v>
      </c>
      <c r="DI80" s="26">
        <v>0</v>
      </c>
      <c r="DJ80" s="26">
        <v>0</v>
      </c>
      <c r="DK80" s="26">
        <v>0</v>
      </c>
      <c r="DL80" s="26">
        <v>0</v>
      </c>
      <c r="DM80" s="26">
        <v>0</v>
      </c>
      <c r="DN80" s="26">
        <v>0</v>
      </c>
      <c r="DO80" s="26">
        <v>0</v>
      </c>
      <c r="DP80" s="26">
        <v>0</v>
      </c>
      <c r="DQ80" s="26">
        <v>0</v>
      </c>
      <c r="DR80" s="26">
        <v>0</v>
      </c>
      <c r="DS80" s="26">
        <v>0</v>
      </c>
      <c r="DT80" s="26">
        <v>0</v>
      </c>
      <c r="DU80" s="26">
        <v>0</v>
      </c>
      <c r="DV80" s="26">
        <v>0</v>
      </c>
      <c r="DW80" s="26">
        <v>0</v>
      </c>
      <c r="DX80" s="26">
        <v>0</v>
      </c>
      <c r="DY80" s="26">
        <v>0</v>
      </c>
      <c r="DZ80" s="26">
        <v>0</v>
      </c>
      <c r="EA80" s="26">
        <v>0</v>
      </c>
      <c r="EB80" s="26">
        <v>0</v>
      </c>
      <c r="EC80" s="26">
        <v>0</v>
      </c>
      <c r="ED80" s="26">
        <v>0</v>
      </c>
      <c r="EE80" s="26">
        <v>0</v>
      </c>
      <c r="EF80" s="26">
        <v>0</v>
      </c>
      <c r="EG80" s="26">
        <v>0</v>
      </c>
      <c r="EH80" s="26">
        <v>0</v>
      </c>
      <c r="EI80" s="26">
        <v>0</v>
      </c>
      <c r="EJ80" s="26">
        <v>0</v>
      </c>
      <c r="EK80" s="26">
        <v>0</v>
      </c>
      <c r="EL80" s="26">
        <v>0</v>
      </c>
      <c r="EM80" s="26">
        <v>0</v>
      </c>
      <c r="EN80" s="26">
        <v>0</v>
      </c>
      <c r="EO80" s="26">
        <v>0</v>
      </c>
      <c r="EP80" s="26">
        <v>0</v>
      </c>
      <c r="EQ80" s="26">
        <v>0</v>
      </c>
      <c r="ER80" s="26">
        <v>0</v>
      </c>
      <c r="ES80" s="26">
        <v>0</v>
      </c>
      <c r="ET80" s="26">
        <v>0</v>
      </c>
      <c r="EU80" s="26">
        <v>0</v>
      </c>
      <c r="EV80" s="26">
        <v>0</v>
      </c>
      <c r="EW80" s="26">
        <v>0</v>
      </c>
      <c r="EX80" s="26">
        <v>0</v>
      </c>
      <c r="EY80" s="26">
        <v>0</v>
      </c>
      <c r="EZ80" s="26">
        <v>0</v>
      </c>
      <c r="FA80" s="26">
        <v>0</v>
      </c>
      <c r="FB80" s="26">
        <v>0</v>
      </c>
      <c r="FC80" s="26">
        <v>0</v>
      </c>
      <c r="FD80" s="26">
        <v>0</v>
      </c>
      <c r="FE80" s="26">
        <v>0</v>
      </c>
      <c r="FF80" s="26">
        <v>0</v>
      </c>
      <c r="FG80" s="26">
        <v>0</v>
      </c>
      <c r="FH80" s="26">
        <v>0</v>
      </c>
      <c r="FI80" s="26">
        <v>0</v>
      </c>
      <c r="FJ80" s="26">
        <v>0</v>
      </c>
      <c r="FK80" s="26">
        <v>0</v>
      </c>
      <c r="FL80" s="26">
        <v>0</v>
      </c>
      <c r="FM80" s="26">
        <v>0</v>
      </c>
      <c r="FN80" s="26">
        <v>0</v>
      </c>
      <c r="FO80" s="26">
        <v>0</v>
      </c>
      <c r="FP80" s="26">
        <v>0</v>
      </c>
      <c r="FQ80" s="26">
        <v>0</v>
      </c>
      <c r="FR80" s="26">
        <v>0</v>
      </c>
      <c r="FS80" s="26">
        <v>0</v>
      </c>
      <c r="FT80" s="26">
        <v>0</v>
      </c>
      <c r="FU80" s="26">
        <v>0</v>
      </c>
      <c r="FV80" s="26">
        <v>0</v>
      </c>
      <c r="FW80" s="26">
        <v>0</v>
      </c>
      <c r="FX80" s="26">
        <v>0</v>
      </c>
      <c r="FY80" s="26">
        <v>0</v>
      </c>
      <c r="FZ80" s="26">
        <v>0</v>
      </c>
      <c r="GA80" s="26">
        <v>0</v>
      </c>
      <c r="GB80" s="26">
        <v>0</v>
      </c>
      <c r="GC80" s="26">
        <v>0</v>
      </c>
      <c r="GD80" s="26">
        <v>0</v>
      </c>
      <c r="GE80" s="26">
        <v>0</v>
      </c>
      <c r="GF80" s="26">
        <v>0</v>
      </c>
      <c r="GG80" s="26">
        <v>0</v>
      </c>
      <c r="GH80" s="26">
        <v>0</v>
      </c>
      <c r="GI80" s="26">
        <v>0</v>
      </c>
      <c r="GJ80" s="26">
        <v>0</v>
      </c>
      <c r="GK80" s="26">
        <v>0</v>
      </c>
      <c r="GL80" s="26">
        <v>0</v>
      </c>
      <c r="GM80" s="26">
        <v>0</v>
      </c>
      <c r="GN80" s="26">
        <v>0</v>
      </c>
      <c r="GO80" s="26">
        <v>0</v>
      </c>
      <c r="GP80" s="26">
        <v>0</v>
      </c>
      <c r="GQ80" s="26">
        <v>0</v>
      </c>
      <c r="GR80" s="26">
        <v>0</v>
      </c>
      <c r="GS80" s="26">
        <v>0</v>
      </c>
      <c r="GT80" s="26">
        <v>0</v>
      </c>
      <c r="GU80" s="26">
        <v>0</v>
      </c>
      <c r="GV80" s="26">
        <v>0</v>
      </c>
      <c r="GW80" s="26">
        <v>0</v>
      </c>
      <c r="GX80" s="26">
        <v>0</v>
      </c>
      <c r="GY80" s="26">
        <v>0</v>
      </c>
      <c r="GZ80" s="26">
        <v>0</v>
      </c>
      <c r="HA80" s="26">
        <v>0</v>
      </c>
      <c r="HB80" s="26">
        <v>0</v>
      </c>
      <c r="HC80" s="26">
        <v>0</v>
      </c>
      <c r="HD80" s="26">
        <v>0</v>
      </c>
      <c r="HE80" s="26">
        <v>0</v>
      </c>
      <c r="HF80" s="26">
        <v>0</v>
      </c>
      <c r="HG80" s="26">
        <v>0</v>
      </c>
      <c r="HH80" s="26">
        <v>0</v>
      </c>
      <c r="HI80" s="26">
        <v>0</v>
      </c>
      <c r="HJ80" s="26">
        <v>0</v>
      </c>
      <c r="HK80" s="26">
        <v>0</v>
      </c>
      <c r="HL80" s="26">
        <v>0</v>
      </c>
      <c r="HM80" s="26">
        <v>0</v>
      </c>
      <c r="HN80" s="26">
        <v>0</v>
      </c>
      <c r="HO80" s="26">
        <v>0</v>
      </c>
      <c r="HP80" s="26">
        <v>0</v>
      </c>
      <c r="HQ80" s="26">
        <v>0</v>
      </c>
      <c r="HR80" s="26">
        <v>0</v>
      </c>
      <c r="HS80" s="26">
        <v>0</v>
      </c>
      <c r="HT80" s="26">
        <v>0</v>
      </c>
    </row>
    <row r="81" spans="2:228" x14ac:dyDescent="0.2">
      <c r="B81" s="27" t="s">
        <v>1343</v>
      </c>
      <c r="C81" s="26">
        <v>151509.217</v>
      </c>
      <c r="D81" s="26">
        <v>-569.72358399999996</v>
      </c>
      <c r="E81" s="26">
        <v>150458.399</v>
      </c>
      <c r="F81" s="26">
        <v>0</v>
      </c>
      <c r="G81" s="26">
        <v>0</v>
      </c>
      <c r="H81" s="26">
        <v>0</v>
      </c>
      <c r="I81" s="26">
        <v>0</v>
      </c>
      <c r="J81" s="26">
        <v>0</v>
      </c>
      <c r="K81" s="26">
        <v>0</v>
      </c>
      <c r="L81" s="26">
        <v>0</v>
      </c>
      <c r="M81" s="26">
        <v>0</v>
      </c>
      <c r="N81" s="26">
        <v>0</v>
      </c>
      <c r="O81" s="26">
        <v>0</v>
      </c>
      <c r="P81" s="26">
        <v>0</v>
      </c>
      <c r="Q81" s="26">
        <v>0</v>
      </c>
      <c r="R81" s="26">
        <v>0</v>
      </c>
      <c r="S81" s="26">
        <v>0</v>
      </c>
      <c r="T81" s="26">
        <v>0</v>
      </c>
      <c r="U81" s="26">
        <v>0</v>
      </c>
      <c r="V81" s="26">
        <v>0</v>
      </c>
      <c r="W81" s="26">
        <v>0</v>
      </c>
      <c r="X81" s="26">
        <v>0</v>
      </c>
      <c r="Y81" s="26">
        <v>0</v>
      </c>
      <c r="Z81" s="26">
        <v>0</v>
      </c>
      <c r="AA81" s="26">
        <v>0</v>
      </c>
      <c r="AB81" s="26">
        <v>1050.8174799999999</v>
      </c>
      <c r="AC81" s="26">
        <v>0</v>
      </c>
      <c r="AD81" s="26">
        <v>0</v>
      </c>
      <c r="AE81" s="26">
        <v>0</v>
      </c>
      <c r="AF81" s="26">
        <v>0</v>
      </c>
      <c r="AG81" s="26">
        <v>0</v>
      </c>
      <c r="AH81" s="26">
        <v>0</v>
      </c>
      <c r="AI81" s="26">
        <v>0</v>
      </c>
      <c r="AJ81" s="26">
        <v>0</v>
      </c>
      <c r="AK81" s="26">
        <v>0</v>
      </c>
      <c r="AL81" s="26">
        <v>0</v>
      </c>
      <c r="AM81" s="26">
        <v>0</v>
      </c>
      <c r="AN81" s="26">
        <v>0</v>
      </c>
      <c r="AO81" s="26">
        <v>0</v>
      </c>
      <c r="AP81" s="26">
        <v>0</v>
      </c>
      <c r="AQ81" s="26">
        <v>0</v>
      </c>
      <c r="AR81" s="26">
        <v>0</v>
      </c>
      <c r="AS81" s="26">
        <v>0</v>
      </c>
      <c r="AT81" s="26">
        <v>0</v>
      </c>
      <c r="AU81" s="26">
        <v>0</v>
      </c>
      <c r="AV81" s="26">
        <v>0</v>
      </c>
      <c r="AW81" s="26">
        <v>0</v>
      </c>
      <c r="AX81" s="26">
        <v>0</v>
      </c>
      <c r="AY81" s="26">
        <v>0</v>
      </c>
      <c r="AZ81" s="26">
        <v>0</v>
      </c>
      <c r="BA81" s="26">
        <v>0</v>
      </c>
      <c r="BB81" s="26">
        <v>0</v>
      </c>
      <c r="BC81" s="26">
        <v>0</v>
      </c>
      <c r="BD81" s="26">
        <v>0</v>
      </c>
      <c r="BE81" s="26">
        <v>0</v>
      </c>
      <c r="BF81" s="26">
        <v>0</v>
      </c>
      <c r="BG81" s="26">
        <v>0</v>
      </c>
      <c r="BH81" s="26">
        <v>0</v>
      </c>
      <c r="BI81" s="26">
        <v>0</v>
      </c>
      <c r="BJ81" s="26">
        <v>0</v>
      </c>
      <c r="BK81" s="26">
        <v>0</v>
      </c>
      <c r="BL81" s="26">
        <v>0</v>
      </c>
      <c r="BM81" s="26">
        <v>0</v>
      </c>
      <c r="BN81" s="26">
        <v>0</v>
      </c>
      <c r="BO81" s="26">
        <v>8413.4121699999996</v>
      </c>
      <c r="BP81" s="26">
        <v>151509.217</v>
      </c>
      <c r="BQ81" s="26">
        <v>2577.0171300000002</v>
      </c>
      <c r="BR81" s="26">
        <v>35.989233300000024</v>
      </c>
      <c r="BS81" s="26">
        <v>5</v>
      </c>
      <c r="BT81" s="26">
        <v>0</v>
      </c>
      <c r="BU81" s="26">
        <v>1</v>
      </c>
      <c r="BV81" s="26">
        <v>0</v>
      </c>
      <c r="BW81" s="26">
        <v>-67716.114199999996</v>
      </c>
      <c r="BX81" s="26">
        <v>-3760.3229099999999</v>
      </c>
      <c r="BY81" s="26">
        <v>-569.72358399999996</v>
      </c>
      <c r="BZ81" s="26">
        <v>-38.339174100000001</v>
      </c>
      <c r="CA81" s="26">
        <v>-2.1290010000000001</v>
      </c>
      <c r="CB81" s="26">
        <v>5.4413116900000003E-2</v>
      </c>
      <c r="CC81" s="26">
        <v>0.97987458199999999</v>
      </c>
      <c r="CD81" s="26">
        <v>18.008058299999998</v>
      </c>
      <c r="CE81" s="26">
        <v>2567.5497599999999</v>
      </c>
      <c r="CF81" s="26">
        <v>0</v>
      </c>
      <c r="CG81" s="26">
        <v>0</v>
      </c>
      <c r="CH81" s="26">
        <v>0</v>
      </c>
      <c r="CI81" s="26">
        <v>0</v>
      </c>
      <c r="CJ81" s="26">
        <v>0</v>
      </c>
      <c r="CK81" s="26">
        <v>0</v>
      </c>
      <c r="CL81" s="26">
        <v>0</v>
      </c>
      <c r="CM81" s="26">
        <v>0</v>
      </c>
      <c r="CN81" s="26">
        <v>0</v>
      </c>
      <c r="CO81" s="26">
        <v>0</v>
      </c>
      <c r="CP81" s="26">
        <v>0</v>
      </c>
      <c r="CQ81" s="26">
        <v>0</v>
      </c>
      <c r="CR81" s="26">
        <v>0</v>
      </c>
      <c r="CS81" s="26">
        <v>0</v>
      </c>
      <c r="CT81" s="26">
        <v>0</v>
      </c>
      <c r="CU81" s="26">
        <v>0</v>
      </c>
      <c r="CV81" s="26">
        <v>0</v>
      </c>
      <c r="CW81" s="26">
        <v>0</v>
      </c>
      <c r="CX81" s="26">
        <v>0</v>
      </c>
      <c r="CY81" s="26">
        <v>0</v>
      </c>
      <c r="CZ81" s="26">
        <v>0</v>
      </c>
      <c r="DA81" s="26">
        <v>0</v>
      </c>
      <c r="DB81" s="26">
        <v>0</v>
      </c>
      <c r="DC81" s="26">
        <v>0</v>
      </c>
      <c r="DD81" s="26">
        <v>0</v>
      </c>
      <c r="DE81" s="26">
        <v>0</v>
      </c>
      <c r="DF81" s="26">
        <v>0</v>
      </c>
      <c r="DG81" s="26">
        <v>0</v>
      </c>
      <c r="DH81" s="26">
        <v>0</v>
      </c>
      <c r="DI81" s="26">
        <v>0</v>
      </c>
      <c r="DJ81" s="26">
        <v>0</v>
      </c>
      <c r="DK81" s="26">
        <v>0</v>
      </c>
      <c r="DL81" s="26">
        <v>0</v>
      </c>
      <c r="DM81" s="26">
        <v>0</v>
      </c>
      <c r="DN81" s="26">
        <v>0</v>
      </c>
      <c r="DO81" s="26">
        <v>0</v>
      </c>
      <c r="DP81" s="26">
        <v>0</v>
      </c>
      <c r="DQ81" s="26">
        <v>0</v>
      </c>
      <c r="DR81" s="26">
        <v>0</v>
      </c>
      <c r="DS81" s="26">
        <v>0</v>
      </c>
      <c r="DT81" s="26">
        <v>0</v>
      </c>
      <c r="DU81" s="26">
        <v>0</v>
      </c>
      <c r="DV81" s="26">
        <v>0</v>
      </c>
      <c r="DW81" s="26">
        <v>0</v>
      </c>
      <c r="DX81" s="26">
        <v>0</v>
      </c>
      <c r="DY81" s="26">
        <v>0</v>
      </c>
      <c r="DZ81" s="26">
        <v>0</v>
      </c>
      <c r="EA81" s="26">
        <v>0</v>
      </c>
      <c r="EB81" s="26">
        <v>0</v>
      </c>
      <c r="EC81" s="26">
        <v>0</v>
      </c>
      <c r="ED81" s="26">
        <v>0</v>
      </c>
      <c r="EE81" s="26">
        <v>0</v>
      </c>
      <c r="EF81" s="26">
        <v>0</v>
      </c>
      <c r="EG81" s="26">
        <v>0</v>
      </c>
      <c r="EH81" s="26">
        <v>0</v>
      </c>
      <c r="EI81" s="26">
        <v>0</v>
      </c>
      <c r="EJ81" s="26">
        <v>0</v>
      </c>
      <c r="EK81" s="26">
        <v>0</v>
      </c>
      <c r="EL81" s="26">
        <v>0</v>
      </c>
      <c r="EM81" s="26">
        <v>0</v>
      </c>
      <c r="EN81" s="26">
        <v>0</v>
      </c>
      <c r="EO81" s="26">
        <v>0</v>
      </c>
      <c r="EP81" s="26">
        <v>0</v>
      </c>
      <c r="EQ81" s="26">
        <v>0</v>
      </c>
      <c r="ER81" s="26">
        <v>0</v>
      </c>
      <c r="ES81" s="26">
        <v>0</v>
      </c>
      <c r="ET81" s="26">
        <v>5</v>
      </c>
      <c r="EU81" s="26">
        <v>0</v>
      </c>
      <c r="EV81" s="26">
        <v>0</v>
      </c>
      <c r="EW81" s="26">
        <v>0</v>
      </c>
      <c r="EX81" s="26">
        <v>0</v>
      </c>
      <c r="EY81" s="26">
        <v>0</v>
      </c>
      <c r="EZ81" s="26">
        <v>0</v>
      </c>
      <c r="FA81" s="26">
        <v>0</v>
      </c>
      <c r="FB81" s="26">
        <v>0</v>
      </c>
      <c r="FC81" s="26">
        <v>0</v>
      </c>
      <c r="FD81" s="26">
        <v>0</v>
      </c>
      <c r="FE81" s="26">
        <v>0</v>
      </c>
      <c r="FF81" s="26">
        <v>0</v>
      </c>
      <c r="FG81" s="26">
        <v>0</v>
      </c>
      <c r="FH81" s="26">
        <v>-664549345.02900004</v>
      </c>
      <c r="FI81" s="26">
        <v>0</v>
      </c>
      <c r="FJ81" s="26">
        <v>0</v>
      </c>
      <c r="FK81" s="26">
        <v>0</v>
      </c>
      <c r="FL81" s="26">
        <v>0</v>
      </c>
      <c r="FM81" s="26">
        <v>0</v>
      </c>
      <c r="FN81" s="26">
        <v>0</v>
      </c>
      <c r="FO81" s="26">
        <v>0</v>
      </c>
      <c r="FP81" s="26">
        <v>0</v>
      </c>
      <c r="FQ81" s="26">
        <v>0</v>
      </c>
      <c r="FR81" s="26">
        <v>0</v>
      </c>
      <c r="FS81" s="26">
        <v>0</v>
      </c>
      <c r="FT81" s="26">
        <v>0</v>
      </c>
      <c r="FU81" s="26">
        <v>0</v>
      </c>
      <c r="FV81" s="26">
        <v>0</v>
      </c>
      <c r="FW81" s="26">
        <v>0</v>
      </c>
      <c r="FX81" s="26">
        <v>0</v>
      </c>
      <c r="FY81" s="26">
        <v>0</v>
      </c>
      <c r="FZ81" s="26">
        <v>0</v>
      </c>
      <c r="GA81" s="26">
        <v>0</v>
      </c>
      <c r="GB81" s="26">
        <v>0</v>
      </c>
      <c r="GC81" s="26">
        <v>0</v>
      </c>
      <c r="GD81" s="26">
        <v>0</v>
      </c>
      <c r="GE81" s="26">
        <v>0</v>
      </c>
      <c r="GF81" s="26">
        <v>0</v>
      </c>
      <c r="GG81" s="26">
        <v>0</v>
      </c>
      <c r="GH81" s="26">
        <v>0</v>
      </c>
      <c r="GI81" s="26">
        <v>0</v>
      </c>
      <c r="GJ81" s="26">
        <v>0</v>
      </c>
      <c r="GK81" s="26">
        <v>0</v>
      </c>
      <c r="GL81" s="26">
        <v>0</v>
      </c>
      <c r="GM81" s="26">
        <v>0</v>
      </c>
      <c r="GN81" s="26">
        <v>0</v>
      </c>
      <c r="GO81" s="26">
        <v>0</v>
      </c>
      <c r="GP81" s="26">
        <v>0</v>
      </c>
      <c r="GQ81" s="26">
        <v>0</v>
      </c>
      <c r="GR81" s="26">
        <v>0</v>
      </c>
      <c r="GS81" s="26">
        <v>0</v>
      </c>
      <c r="GT81" s="26">
        <v>0</v>
      </c>
      <c r="GU81" s="26">
        <v>0</v>
      </c>
      <c r="GV81" s="26">
        <v>0</v>
      </c>
      <c r="GW81" s="26">
        <v>0</v>
      </c>
      <c r="GX81" s="26">
        <v>0</v>
      </c>
      <c r="GY81" s="26">
        <v>0</v>
      </c>
      <c r="GZ81" s="26">
        <v>0</v>
      </c>
      <c r="HA81" s="26">
        <v>0</v>
      </c>
      <c r="HB81" s="26">
        <v>0</v>
      </c>
      <c r="HC81" s="26">
        <v>0</v>
      </c>
      <c r="HD81" s="26">
        <v>0</v>
      </c>
      <c r="HE81" s="26">
        <v>0</v>
      </c>
      <c r="HF81" s="26">
        <v>0</v>
      </c>
      <c r="HG81" s="26">
        <v>0</v>
      </c>
      <c r="HH81" s="26">
        <v>0</v>
      </c>
      <c r="HI81" s="26">
        <v>0</v>
      </c>
      <c r="HJ81" s="26">
        <v>0</v>
      </c>
      <c r="HK81" s="26">
        <v>0</v>
      </c>
      <c r="HL81" s="26">
        <v>0</v>
      </c>
      <c r="HM81" s="26">
        <v>0</v>
      </c>
      <c r="HN81" s="26">
        <v>0</v>
      </c>
      <c r="HO81" s="26">
        <v>0</v>
      </c>
      <c r="HP81" s="26">
        <v>0</v>
      </c>
      <c r="HQ81" s="26">
        <v>0</v>
      </c>
      <c r="HR81" s="26">
        <v>0</v>
      </c>
      <c r="HS81" s="26">
        <v>0</v>
      </c>
      <c r="HT81" s="26">
        <v>0</v>
      </c>
    </row>
    <row r="82" spans="2:228" x14ac:dyDescent="0.2">
      <c r="B82" s="27" t="s">
        <v>1325</v>
      </c>
      <c r="C82" s="26">
        <v>429873.44099999999</v>
      </c>
      <c r="D82" s="26">
        <v>-1405.6793600000001</v>
      </c>
      <c r="E82" s="26">
        <v>341382.23800000001</v>
      </c>
      <c r="F82" s="26">
        <v>5.8779036800000002</v>
      </c>
      <c r="G82" s="26">
        <v>3550.2458900000001</v>
      </c>
      <c r="H82" s="26">
        <v>1179.6069600000001</v>
      </c>
      <c r="I82" s="26">
        <v>494.93998199999999</v>
      </c>
      <c r="J82" s="26">
        <v>16476.311399999999</v>
      </c>
      <c r="K82" s="26">
        <v>2007.8659200000002</v>
      </c>
      <c r="L82" s="26">
        <v>1.4712044599999999E-4</v>
      </c>
      <c r="M82" s="26">
        <v>0</v>
      </c>
      <c r="N82" s="26">
        <v>87.614647399999996</v>
      </c>
      <c r="O82" s="26">
        <v>28.596618400000004</v>
      </c>
      <c r="P82" s="26">
        <v>11.998581100000001</v>
      </c>
      <c r="Q82" s="26">
        <v>390.551108</v>
      </c>
      <c r="R82" s="26">
        <v>47.594041799999999</v>
      </c>
      <c r="S82" s="26">
        <v>12208.3331</v>
      </c>
      <c r="T82" s="26">
        <v>656.53966200000002</v>
      </c>
      <c r="U82" s="26">
        <v>369.27255600000001</v>
      </c>
      <c r="V82" s="26">
        <v>336.08816999999999</v>
      </c>
      <c r="W82" s="26">
        <v>0</v>
      </c>
      <c r="X82" s="26">
        <v>1.05094544</v>
      </c>
      <c r="Y82" s="26">
        <v>4.8241179799999997E-5</v>
      </c>
      <c r="Z82" s="26">
        <v>3.0721527100000001E-3</v>
      </c>
      <c r="AA82" s="26">
        <v>3.0084470800000001E-3</v>
      </c>
      <c r="AB82" s="26">
        <v>0</v>
      </c>
      <c r="AC82" s="26">
        <v>0</v>
      </c>
      <c r="AD82" s="26">
        <v>2481.5580500000001</v>
      </c>
      <c r="AE82" s="26">
        <v>1860.9805199999998</v>
      </c>
      <c r="AF82" s="26">
        <v>0</v>
      </c>
      <c r="AG82" s="26">
        <v>0</v>
      </c>
      <c r="AH82" s="26">
        <v>0</v>
      </c>
      <c r="AI82" s="26">
        <v>0</v>
      </c>
      <c r="AJ82" s="26">
        <v>0</v>
      </c>
      <c r="AK82" s="26">
        <v>0</v>
      </c>
      <c r="AL82" s="26">
        <v>0</v>
      </c>
      <c r="AM82" s="26">
        <v>1.5842626899999999E-5</v>
      </c>
      <c r="AN82" s="26">
        <v>0</v>
      </c>
      <c r="AO82" s="26">
        <v>0</v>
      </c>
      <c r="AP82" s="26">
        <v>0</v>
      </c>
      <c r="AQ82" s="26">
        <v>0</v>
      </c>
      <c r="AR82" s="26">
        <v>0</v>
      </c>
      <c r="AS82" s="26">
        <v>0</v>
      </c>
      <c r="AT82" s="26">
        <v>0</v>
      </c>
      <c r="AU82" s="26">
        <v>0</v>
      </c>
      <c r="AV82" s="26">
        <v>0</v>
      </c>
      <c r="AW82" s="26">
        <v>0</v>
      </c>
      <c r="AX82" s="26">
        <v>0</v>
      </c>
      <c r="AY82" s="26">
        <v>0</v>
      </c>
      <c r="AZ82" s="26">
        <v>0</v>
      </c>
      <c r="BA82" s="26">
        <v>0</v>
      </c>
      <c r="BB82" s="26">
        <v>0</v>
      </c>
      <c r="BC82" s="26">
        <v>0</v>
      </c>
      <c r="BD82" s="26">
        <v>0</v>
      </c>
      <c r="BE82" s="26">
        <v>0</v>
      </c>
      <c r="BF82" s="26">
        <v>0</v>
      </c>
      <c r="BG82" s="26">
        <v>0</v>
      </c>
      <c r="BH82" s="26">
        <v>0</v>
      </c>
      <c r="BI82" s="26">
        <v>0</v>
      </c>
      <c r="BJ82" s="26">
        <v>0</v>
      </c>
      <c r="BK82" s="26">
        <v>0</v>
      </c>
      <c r="BL82" s="26">
        <v>0</v>
      </c>
      <c r="BM82" s="26">
        <v>0</v>
      </c>
      <c r="BN82" s="26">
        <v>0</v>
      </c>
      <c r="BO82" s="26">
        <v>19227.3894</v>
      </c>
      <c r="BP82" s="26">
        <v>383577.27</v>
      </c>
      <c r="BQ82" s="26">
        <v>6443.89617</v>
      </c>
      <c r="BR82" s="26">
        <v>77.575069900000017</v>
      </c>
      <c r="BS82" s="26">
        <v>4.3365398500000003</v>
      </c>
      <c r="BT82" s="26">
        <v>0</v>
      </c>
      <c r="BU82" s="26">
        <v>1</v>
      </c>
      <c r="BV82" s="26">
        <v>0</v>
      </c>
      <c r="BW82" s="26">
        <v>-69964.023100000006</v>
      </c>
      <c r="BX82" s="26">
        <v>-3507.05222</v>
      </c>
      <c r="BY82" s="26">
        <v>-1345.2255299999999</v>
      </c>
      <c r="BZ82" s="26">
        <v>-38.487819799999997</v>
      </c>
      <c r="CA82" s="26">
        <v>-1.92926004</v>
      </c>
      <c r="CB82" s="26">
        <v>4.9730237400000002E-2</v>
      </c>
      <c r="CC82" s="26">
        <v>0.99209457499999998</v>
      </c>
      <c r="CD82" s="26">
        <v>19.949524199999999</v>
      </c>
      <c r="CE82" s="26">
        <v>0</v>
      </c>
      <c r="CF82" s="26">
        <v>0</v>
      </c>
      <c r="CG82" s="26">
        <v>0</v>
      </c>
      <c r="CH82" s="26">
        <v>0</v>
      </c>
      <c r="CI82" s="26">
        <v>0</v>
      </c>
      <c r="CJ82" s="26">
        <v>0</v>
      </c>
      <c r="CK82" s="26">
        <v>0</v>
      </c>
      <c r="CL82" s="26">
        <v>0</v>
      </c>
      <c r="CM82" s="26">
        <v>0</v>
      </c>
      <c r="CN82" s="26">
        <v>0</v>
      </c>
      <c r="CO82" s="26">
        <v>0</v>
      </c>
      <c r="CP82" s="26">
        <v>0</v>
      </c>
      <c r="CQ82" s="26">
        <v>0</v>
      </c>
      <c r="CR82" s="26">
        <v>0</v>
      </c>
      <c r="CS82" s="26">
        <v>0</v>
      </c>
      <c r="CT82" s="26">
        <v>0</v>
      </c>
      <c r="CU82" s="26">
        <v>0</v>
      </c>
      <c r="CV82" s="26">
        <v>0</v>
      </c>
      <c r="CW82" s="26">
        <v>0</v>
      </c>
      <c r="CX82" s="26">
        <v>0</v>
      </c>
      <c r="CY82" s="26">
        <v>0</v>
      </c>
      <c r="CZ82" s="26">
        <v>0</v>
      </c>
      <c r="DA82" s="26">
        <v>0</v>
      </c>
      <c r="DB82" s="26">
        <v>0</v>
      </c>
      <c r="DC82" s="26">
        <v>0</v>
      </c>
      <c r="DD82" s="26">
        <v>0</v>
      </c>
      <c r="DE82" s="26">
        <v>0</v>
      </c>
      <c r="DF82" s="26">
        <v>0</v>
      </c>
      <c r="DG82" s="26">
        <v>0</v>
      </c>
      <c r="DH82" s="26">
        <v>0</v>
      </c>
      <c r="DI82" s="26">
        <v>0</v>
      </c>
      <c r="DJ82" s="26">
        <v>0</v>
      </c>
      <c r="DK82" s="26">
        <v>0</v>
      </c>
      <c r="DL82" s="26">
        <v>0</v>
      </c>
      <c r="DM82" s="26">
        <v>0</v>
      </c>
      <c r="DN82" s="26">
        <v>0</v>
      </c>
      <c r="DO82" s="26">
        <v>0</v>
      </c>
      <c r="DP82" s="26">
        <v>0</v>
      </c>
      <c r="DQ82" s="26">
        <v>0</v>
      </c>
      <c r="DR82" s="26">
        <v>0</v>
      </c>
      <c r="DS82" s="26">
        <v>0</v>
      </c>
      <c r="DT82" s="26">
        <v>0</v>
      </c>
      <c r="DU82" s="26">
        <v>0</v>
      </c>
      <c r="DV82" s="26">
        <v>0</v>
      </c>
      <c r="DW82" s="26">
        <v>0</v>
      </c>
      <c r="DX82" s="26">
        <v>26138.367999999999</v>
      </c>
      <c r="DY82" s="26">
        <v>30.979670600000002</v>
      </c>
      <c r="DZ82" s="26">
        <v>12.9984632</v>
      </c>
      <c r="EA82" s="26">
        <v>423.09997600000003</v>
      </c>
      <c r="EB82" s="26">
        <v>51.560570599999998</v>
      </c>
      <c r="EC82" s="26">
        <v>12475.191699999999</v>
      </c>
      <c r="ED82" s="26">
        <v>0</v>
      </c>
      <c r="EE82" s="26">
        <v>2583.0279399999999</v>
      </c>
      <c r="EF82" s="26">
        <v>4107.8476600000004</v>
      </c>
      <c r="EG82" s="26">
        <v>0</v>
      </c>
      <c r="EH82" s="26">
        <v>0</v>
      </c>
      <c r="EI82" s="26">
        <v>0</v>
      </c>
      <c r="EJ82" s="26">
        <v>0</v>
      </c>
      <c r="EK82" s="26">
        <v>0</v>
      </c>
      <c r="EL82" s="26">
        <v>473.096384</v>
      </c>
      <c r="EM82" s="26">
        <v>0</v>
      </c>
      <c r="EN82" s="26">
        <v>0</v>
      </c>
      <c r="EO82" s="26">
        <v>0</v>
      </c>
      <c r="EP82" s="26">
        <v>436.56173899999999</v>
      </c>
      <c r="EQ82" s="26">
        <v>46296.170299999998</v>
      </c>
      <c r="ER82" s="26">
        <v>328.72338300000001</v>
      </c>
      <c r="ES82" s="26">
        <v>77.575069900000017</v>
      </c>
      <c r="ET82" s="26">
        <v>4.3365398500000003</v>
      </c>
      <c r="EU82" s="26">
        <v>0</v>
      </c>
      <c r="EV82" s="26">
        <v>0</v>
      </c>
      <c r="EW82" s="26">
        <v>1</v>
      </c>
      <c r="EX82" s="26">
        <v>-138477.15900000001</v>
      </c>
      <c r="EY82" s="26">
        <v>-1305.80627</v>
      </c>
      <c r="EZ82" s="26">
        <v>-60.453830000000004</v>
      </c>
      <c r="FA82" s="26">
        <v>-380.77745800000002</v>
      </c>
      <c r="FB82" s="26">
        <v>-3.5906397399999999</v>
      </c>
      <c r="FC82" s="26">
        <v>2.2134199399999999E-2</v>
      </c>
      <c r="FD82" s="26">
        <v>2.3472708999999998</v>
      </c>
      <c r="FE82" s="26">
        <v>106.047247</v>
      </c>
      <c r="FF82" s="26">
        <v>0</v>
      </c>
      <c r="FG82" s="26">
        <v>0.234787518</v>
      </c>
      <c r="FH82" s="26">
        <v>-1656684300.6699998</v>
      </c>
      <c r="FI82" s="26">
        <v>0.37102110019039103</v>
      </c>
      <c r="FJ82" s="32">
        <v>0</v>
      </c>
      <c r="FK82" s="32">
        <v>0</v>
      </c>
      <c r="FL82" s="32">
        <v>0</v>
      </c>
      <c r="FM82" s="32">
        <v>0</v>
      </c>
      <c r="FN82" s="32">
        <v>0</v>
      </c>
      <c r="FO82" s="32">
        <v>0</v>
      </c>
      <c r="FP82" s="32">
        <v>0</v>
      </c>
      <c r="FQ82" s="32">
        <v>0</v>
      </c>
      <c r="FR82" s="32">
        <v>0</v>
      </c>
      <c r="FS82" s="32">
        <v>0</v>
      </c>
      <c r="FT82" s="32">
        <v>0</v>
      </c>
      <c r="FU82" s="32">
        <v>0</v>
      </c>
      <c r="FV82" s="32">
        <v>0</v>
      </c>
      <c r="FW82" s="32">
        <v>0</v>
      </c>
      <c r="FX82" s="32">
        <v>0</v>
      </c>
      <c r="FY82" s="32">
        <v>0</v>
      </c>
      <c r="FZ82" s="26">
        <v>0</v>
      </c>
      <c r="GA82" s="26">
        <v>0</v>
      </c>
      <c r="GB82" s="26">
        <v>0</v>
      </c>
      <c r="GC82" s="26">
        <v>0</v>
      </c>
      <c r="GD82" s="26">
        <v>0</v>
      </c>
      <c r="GE82" s="26">
        <v>0</v>
      </c>
      <c r="GF82" s="26">
        <v>0</v>
      </c>
      <c r="GG82" s="26">
        <v>0</v>
      </c>
      <c r="GH82" s="26">
        <v>0</v>
      </c>
      <c r="GI82" s="26">
        <v>0</v>
      </c>
      <c r="GJ82" s="26">
        <v>0</v>
      </c>
      <c r="GK82" s="26">
        <v>0</v>
      </c>
      <c r="GL82" s="26">
        <v>0</v>
      </c>
      <c r="GM82" s="26">
        <v>0</v>
      </c>
      <c r="GN82" s="26">
        <v>0</v>
      </c>
      <c r="GO82" s="26">
        <v>0</v>
      </c>
      <c r="GP82" s="26">
        <v>0</v>
      </c>
      <c r="GQ82" s="26">
        <v>0</v>
      </c>
      <c r="GR82" s="26">
        <v>0</v>
      </c>
      <c r="GS82" s="26">
        <v>0</v>
      </c>
      <c r="GT82" s="26">
        <v>0</v>
      </c>
      <c r="GU82" s="26">
        <v>0</v>
      </c>
      <c r="GV82" s="26">
        <v>0</v>
      </c>
      <c r="GW82" s="26">
        <v>0</v>
      </c>
      <c r="GX82" s="26">
        <v>0</v>
      </c>
      <c r="GY82" s="26">
        <v>0</v>
      </c>
      <c r="GZ82" s="26">
        <v>0</v>
      </c>
      <c r="HA82" s="26">
        <v>0</v>
      </c>
      <c r="HB82" s="26">
        <v>0</v>
      </c>
      <c r="HC82" s="26">
        <v>0</v>
      </c>
      <c r="HD82" s="26">
        <v>0</v>
      </c>
      <c r="HE82" s="26">
        <v>0</v>
      </c>
      <c r="HF82" s="26">
        <v>0</v>
      </c>
      <c r="HG82" s="26">
        <v>0</v>
      </c>
      <c r="HH82" s="26">
        <v>0</v>
      </c>
      <c r="HI82" s="26">
        <v>0</v>
      </c>
      <c r="HJ82" s="26">
        <v>0</v>
      </c>
      <c r="HK82" s="26">
        <v>0</v>
      </c>
      <c r="HL82" s="26">
        <v>0</v>
      </c>
      <c r="HM82" s="26">
        <v>0</v>
      </c>
      <c r="HN82" s="26">
        <v>0</v>
      </c>
      <c r="HO82" s="26">
        <v>0</v>
      </c>
      <c r="HP82" s="26">
        <v>0</v>
      </c>
      <c r="HQ82" s="26">
        <v>0</v>
      </c>
      <c r="HR82" s="26">
        <v>0</v>
      </c>
      <c r="HS82" s="26">
        <v>0</v>
      </c>
      <c r="HT82" s="26">
        <v>0.49211717060360399</v>
      </c>
    </row>
    <row r="83" spans="2:228" x14ac:dyDescent="0.2">
      <c r="B83" s="27" t="s">
        <v>2382</v>
      </c>
      <c r="C83" s="26">
        <v>0</v>
      </c>
      <c r="D83" s="26">
        <v>0</v>
      </c>
      <c r="E83" s="26">
        <v>0</v>
      </c>
      <c r="F83" s="26">
        <v>0</v>
      </c>
      <c r="G83" s="26">
        <v>0</v>
      </c>
      <c r="H83" s="26">
        <v>0</v>
      </c>
      <c r="I83" s="26">
        <v>0</v>
      </c>
      <c r="J83" s="26">
        <v>0</v>
      </c>
      <c r="K83" s="26">
        <v>0</v>
      </c>
      <c r="L83" s="26">
        <v>0</v>
      </c>
      <c r="M83" s="26">
        <v>0</v>
      </c>
      <c r="N83" s="26">
        <v>0</v>
      </c>
      <c r="O83" s="26">
        <v>0</v>
      </c>
      <c r="P83" s="26">
        <v>0</v>
      </c>
      <c r="Q83" s="26">
        <v>0</v>
      </c>
      <c r="R83" s="26">
        <v>0</v>
      </c>
      <c r="S83" s="26">
        <v>0</v>
      </c>
      <c r="T83" s="26">
        <v>0</v>
      </c>
      <c r="U83" s="26">
        <v>0</v>
      </c>
      <c r="V83" s="26">
        <v>0</v>
      </c>
      <c r="W83" s="26">
        <v>0</v>
      </c>
      <c r="X83" s="26">
        <v>0</v>
      </c>
      <c r="Y83" s="26">
        <v>0</v>
      </c>
      <c r="Z83" s="26">
        <v>0</v>
      </c>
      <c r="AA83" s="26">
        <v>0</v>
      </c>
      <c r="AB83" s="26">
        <v>0</v>
      </c>
      <c r="AC83" s="26">
        <v>0</v>
      </c>
      <c r="AD83" s="26">
        <v>0</v>
      </c>
      <c r="AE83" s="26">
        <v>0</v>
      </c>
      <c r="AF83" s="26">
        <v>0</v>
      </c>
      <c r="AG83" s="26">
        <v>0</v>
      </c>
      <c r="AH83" s="26">
        <v>0</v>
      </c>
      <c r="AI83" s="26">
        <v>0</v>
      </c>
      <c r="AJ83" s="26">
        <v>0</v>
      </c>
      <c r="AK83" s="26">
        <v>0</v>
      </c>
      <c r="AL83" s="26">
        <v>0</v>
      </c>
      <c r="AM83" s="26">
        <v>0</v>
      </c>
      <c r="AN83" s="26">
        <v>0</v>
      </c>
      <c r="AO83" s="26">
        <v>0</v>
      </c>
      <c r="AP83" s="26">
        <v>0</v>
      </c>
      <c r="AQ83" s="26">
        <v>0</v>
      </c>
      <c r="AR83" s="26">
        <v>0</v>
      </c>
      <c r="AS83" s="26">
        <v>0</v>
      </c>
      <c r="AT83" s="26">
        <v>0</v>
      </c>
      <c r="AU83" s="26">
        <v>0</v>
      </c>
      <c r="AV83" s="26">
        <v>0</v>
      </c>
      <c r="AW83" s="26">
        <v>0</v>
      </c>
      <c r="AX83" s="26">
        <v>0</v>
      </c>
      <c r="AY83" s="26">
        <v>0</v>
      </c>
      <c r="AZ83" s="26">
        <v>0</v>
      </c>
      <c r="BA83" s="26">
        <v>0</v>
      </c>
      <c r="BB83" s="26">
        <v>0</v>
      </c>
      <c r="BC83" s="26">
        <v>0</v>
      </c>
      <c r="BD83" s="26">
        <v>0</v>
      </c>
      <c r="BE83" s="26">
        <v>0</v>
      </c>
      <c r="BF83" s="26">
        <v>0</v>
      </c>
      <c r="BG83" s="26">
        <v>0</v>
      </c>
      <c r="BH83" s="26">
        <v>0</v>
      </c>
      <c r="BI83" s="26">
        <v>0</v>
      </c>
      <c r="BJ83" s="26">
        <v>0</v>
      </c>
      <c r="BK83" s="26">
        <v>0</v>
      </c>
      <c r="BL83" s="26">
        <v>0</v>
      </c>
      <c r="BM83" s="26">
        <v>0</v>
      </c>
      <c r="BN83" s="26">
        <v>0</v>
      </c>
      <c r="BO83" s="26">
        <v>0</v>
      </c>
      <c r="BP83" s="26">
        <v>0</v>
      </c>
      <c r="BQ83" s="26">
        <v>0</v>
      </c>
      <c r="BR83" s="26">
        <v>0</v>
      </c>
      <c r="BS83" s="26">
        <v>0</v>
      </c>
      <c r="BT83" s="26">
        <v>0</v>
      </c>
      <c r="BU83" s="26">
        <v>0</v>
      </c>
      <c r="BV83" s="26">
        <v>0</v>
      </c>
      <c r="BW83" s="26">
        <v>0</v>
      </c>
      <c r="BX83" s="26">
        <v>0</v>
      </c>
      <c r="BY83" s="26">
        <v>0</v>
      </c>
      <c r="BZ83" s="26">
        <v>0</v>
      </c>
      <c r="CA83" s="26">
        <v>0</v>
      </c>
      <c r="CB83" s="26">
        <v>0</v>
      </c>
      <c r="CC83" s="26">
        <v>0</v>
      </c>
      <c r="CD83" s="26">
        <v>0</v>
      </c>
      <c r="CE83" s="26">
        <v>0</v>
      </c>
      <c r="CF83" s="26">
        <v>0</v>
      </c>
      <c r="CG83" s="26">
        <v>0</v>
      </c>
      <c r="CH83" s="26">
        <v>0</v>
      </c>
      <c r="CI83" s="26">
        <v>0</v>
      </c>
      <c r="CJ83" s="26">
        <v>0</v>
      </c>
      <c r="CK83" s="26">
        <v>0</v>
      </c>
      <c r="CL83" s="26">
        <v>0</v>
      </c>
      <c r="CM83" s="26">
        <v>0</v>
      </c>
      <c r="CN83" s="26">
        <v>0</v>
      </c>
      <c r="CO83" s="26">
        <v>0</v>
      </c>
      <c r="CP83" s="26">
        <v>0</v>
      </c>
      <c r="CQ83" s="26">
        <v>0</v>
      </c>
      <c r="CR83" s="26">
        <v>0</v>
      </c>
      <c r="CS83" s="26">
        <v>0</v>
      </c>
      <c r="CT83" s="26">
        <v>0</v>
      </c>
      <c r="CU83" s="26">
        <v>0</v>
      </c>
      <c r="CV83" s="26">
        <v>0</v>
      </c>
      <c r="CW83" s="26">
        <v>0</v>
      </c>
      <c r="CX83" s="26">
        <v>0</v>
      </c>
      <c r="CY83" s="26">
        <v>0</v>
      </c>
      <c r="CZ83" s="26">
        <v>0</v>
      </c>
      <c r="DA83" s="26">
        <v>0</v>
      </c>
      <c r="DB83" s="26">
        <v>0</v>
      </c>
      <c r="DC83" s="26">
        <v>0</v>
      </c>
      <c r="DD83" s="26">
        <v>0</v>
      </c>
      <c r="DE83" s="26">
        <v>0</v>
      </c>
      <c r="DF83" s="26">
        <v>0</v>
      </c>
      <c r="DG83" s="26">
        <v>0</v>
      </c>
      <c r="DH83" s="26">
        <v>0</v>
      </c>
      <c r="DI83" s="26">
        <v>0</v>
      </c>
      <c r="DJ83" s="26">
        <v>0</v>
      </c>
      <c r="DK83" s="26">
        <v>0</v>
      </c>
      <c r="DL83" s="26">
        <v>0</v>
      </c>
      <c r="DM83" s="26">
        <v>0</v>
      </c>
      <c r="DN83" s="26">
        <v>0</v>
      </c>
      <c r="DO83" s="26">
        <v>0</v>
      </c>
      <c r="DP83" s="26">
        <v>0</v>
      </c>
      <c r="DQ83" s="26">
        <v>0</v>
      </c>
      <c r="DR83" s="26">
        <v>0</v>
      </c>
      <c r="DS83" s="26">
        <v>0</v>
      </c>
      <c r="DT83" s="26">
        <v>0</v>
      </c>
      <c r="DU83" s="26">
        <v>0</v>
      </c>
      <c r="DV83" s="26">
        <v>0</v>
      </c>
      <c r="DW83" s="26">
        <v>0</v>
      </c>
      <c r="DX83" s="26">
        <v>0</v>
      </c>
      <c r="DY83" s="26">
        <v>0</v>
      </c>
      <c r="DZ83" s="26">
        <v>0</v>
      </c>
      <c r="EA83" s="26">
        <v>0</v>
      </c>
      <c r="EB83" s="26">
        <v>0</v>
      </c>
      <c r="EC83" s="26">
        <v>0</v>
      </c>
      <c r="ED83" s="26">
        <v>0</v>
      </c>
      <c r="EE83" s="26">
        <v>0</v>
      </c>
      <c r="EF83" s="26">
        <v>0</v>
      </c>
      <c r="EG83" s="26">
        <v>0</v>
      </c>
      <c r="EH83" s="26">
        <v>0</v>
      </c>
      <c r="EI83" s="26">
        <v>0</v>
      </c>
      <c r="EJ83" s="26">
        <v>0</v>
      </c>
      <c r="EK83" s="26">
        <v>0</v>
      </c>
      <c r="EL83" s="26">
        <v>0</v>
      </c>
      <c r="EM83" s="26">
        <v>0</v>
      </c>
      <c r="EN83" s="26">
        <v>0</v>
      </c>
      <c r="EO83" s="26">
        <v>0</v>
      </c>
      <c r="EP83" s="26">
        <v>0</v>
      </c>
      <c r="EQ83" s="26">
        <v>0</v>
      </c>
      <c r="ER83" s="26">
        <v>0</v>
      </c>
      <c r="ES83" s="26">
        <v>0</v>
      </c>
      <c r="ET83" s="26">
        <v>0</v>
      </c>
      <c r="EU83" s="26">
        <v>0</v>
      </c>
      <c r="EV83" s="26">
        <v>0</v>
      </c>
      <c r="EW83" s="26">
        <v>0</v>
      </c>
      <c r="EX83" s="26">
        <v>0</v>
      </c>
      <c r="EY83" s="26">
        <v>0</v>
      </c>
      <c r="EZ83" s="26">
        <v>0</v>
      </c>
      <c r="FA83" s="26">
        <v>0</v>
      </c>
      <c r="FB83" s="26">
        <v>0</v>
      </c>
      <c r="FC83" s="26">
        <v>0</v>
      </c>
      <c r="FD83" s="26">
        <v>0</v>
      </c>
      <c r="FE83" s="26">
        <v>0</v>
      </c>
      <c r="FF83" s="26">
        <v>0</v>
      </c>
      <c r="FG83" s="26">
        <v>0</v>
      </c>
      <c r="FH83" s="26">
        <v>0</v>
      </c>
      <c r="FI83" s="26">
        <v>0</v>
      </c>
      <c r="FJ83" s="26">
        <v>0</v>
      </c>
      <c r="FK83" s="26">
        <v>0</v>
      </c>
      <c r="FL83" s="26">
        <v>0</v>
      </c>
      <c r="FM83" s="26">
        <v>0</v>
      </c>
      <c r="FN83" s="26">
        <v>0</v>
      </c>
      <c r="FO83" s="26">
        <v>0</v>
      </c>
      <c r="FP83" s="26">
        <v>0</v>
      </c>
      <c r="FQ83" s="26">
        <v>0</v>
      </c>
      <c r="FR83" s="26">
        <v>0</v>
      </c>
      <c r="FS83" s="26">
        <v>0</v>
      </c>
      <c r="FT83" s="26">
        <v>0</v>
      </c>
      <c r="FU83" s="26">
        <v>0</v>
      </c>
      <c r="FV83" s="26">
        <v>0</v>
      </c>
      <c r="FW83" s="26">
        <v>0</v>
      </c>
      <c r="FX83" s="26">
        <v>0</v>
      </c>
      <c r="FY83" s="26">
        <v>0</v>
      </c>
      <c r="FZ83" s="26">
        <v>0</v>
      </c>
      <c r="GA83" s="26">
        <v>0</v>
      </c>
      <c r="GB83" s="26">
        <v>0</v>
      </c>
      <c r="GC83" s="26">
        <v>0</v>
      </c>
      <c r="GD83" s="26">
        <v>0</v>
      </c>
      <c r="GE83" s="26">
        <v>0</v>
      </c>
      <c r="GF83" s="26">
        <v>0</v>
      </c>
      <c r="GG83" s="26">
        <v>0</v>
      </c>
      <c r="GH83" s="26">
        <v>0</v>
      </c>
      <c r="GI83" s="26">
        <v>0</v>
      </c>
      <c r="GJ83" s="26">
        <v>0</v>
      </c>
      <c r="GK83" s="26">
        <v>0</v>
      </c>
      <c r="GL83" s="26">
        <v>0</v>
      </c>
      <c r="GM83" s="26">
        <v>0</v>
      </c>
      <c r="GN83" s="26">
        <v>0</v>
      </c>
      <c r="GO83" s="26">
        <v>0</v>
      </c>
      <c r="GP83" s="26">
        <v>0</v>
      </c>
      <c r="GQ83" s="26">
        <v>0</v>
      </c>
      <c r="GR83" s="26">
        <v>0</v>
      </c>
      <c r="GS83" s="26">
        <v>0</v>
      </c>
      <c r="GT83" s="26">
        <v>0</v>
      </c>
      <c r="GU83" s="26">
        <v>0</v>
      </c>
      <c r="GV83" s="26">
        <v>0</v>
      </c>
      <c r="GW83" s="26">
        <v>0</v>
      </c>
      <c r="GX83" s="26">
        <v>0</v>
      </c>
      <c r="GY83" s="26">
        <v>0</v>
      </c>
      <c r="GZ83" s="26">
        <v>0</v>
      </c>
      <c r="HA83" s="26">
        <v>0</v>
      </c>
      <c r="HB83" s="26">
        <v>0</v>
      </c>
      <c r="HC83" s="26">
        <v>0</v>
      </c>
      <c r="HD83" s="26">
        <v>0</v>
      </c>
      <c r="HE83" s="26">
        <v>0</v>
      </c>
      <c r="HF83" s="26">
        <v>0</v>
      </c>
      <c r="HG83" s="26">
        <v>0</v>
      </c>
      <c r="HH83" s="26">
        <v>0</v>
      </c>
      <c r="HI83" s="26">
        <v>0</v>
      </c>
      <c r="HJ83" s="26">
        <v>0</v>
      </c>
      <c r="HK83" s="26">
        <v>0</v>
      </c>
      <c r="HL83" s="26">
        <v>0</v>
      </c>
      <c r="HM83" s="26">
        <v>0</v>
      </c>
      <c r="HN83" s="26">
        <v>0</v>
      </c>
      <c r="HO83" s="26">
        <v>0</v>
      </c>
      <c r="HP83" s="26">
        <v>0</v>
      </c>
      <c r="HQ83" s="26">
        <v>0</v>
      </c>
      <c r="HR83" s="26">
        <v>0</v>
      </c>
      <c r="HS83" s="26">
        <v>0</v>
      </c>
      <c r="HT83" s="26">
        <v>0</v>
      </c>
    </row>
    <row r="84" spans="2:228" x14ac:dyDescent="0.2">
      <c r="B84" s="27" t="s">
        <v>1345</v>
      </c>
      <c r="C84" s="26">
        <v>36845.0942</v>
      </c>
      <c r="D84" s="26">
        <v>-135.66282799999999</v>
      </c>
      <c r="E84" s="26">
        <v>36653.061500000003</v>
      </c>
      <c r="F84" s="26">
        <v>18.420235999999999</v>
      </c>
      <c r="G84" s="26">
        <v>3.9671217599999998E-6</v>
      </c>
      <c r="H84" s="26">
        <v>8.7085431599999996E-6</v>
      </c>
      <c r="I84" s="26">
        <v>3.65393419E-6</v>
      </c>
      <c r="J84" s="26">
        <v>1.7947588900000001E-4</v>
      </c>
      <c r="K84" s="26">
        <v>3.7192566700000002E-5</v>
      </c>
      <c r="L84" s="26">
        <v>1.47120573E-4</v>
      </c>
      <c r="M84" s="26">
        <v>0</v>
      </c>
      <c r="N84" s="26">
        <v>8.6242951099999992E-6</v>
      </c>
      <c r="O84" s="26">
        <v>2.1764621999999999E-7</v>
      </c>
      <c r="P84" s="26">
        <v>9.1320092300000001E-8</v>
      </c>
      <c r="Q84" s="26">
        <v>6.6007391399999996E-5</v>
      </c>
      <c r="R84" s="26">
        <v>8.0439114899999993E-6</v>
      </c>
      <c r="S84" s="26">
        <v>9.2916494799999994E-5</v>
      </c>
      <c r="T84" s="26">
        <v>4.20489925E-2</v>
      </c>
      <c r="U84" s="26">
        <v>0.53867153800000001</v>
      </c>
      <c r="V84" s="26">
        <v>171.972779</v>
      </c>
      <c r="W84" s="26">
        <v>0</v>
      </c>
      <c r="X84" s="26">
        <v>1.0522920899999999</v>
      </c>
      <c r="Y84" s="26">
        <v>4.82411889E-5</v>
      </c>
      <c r="Z84" s="26">
        <v>3.0722650799999999E-3</v>
      </c>
      <c r="AA84" s="26">
        <v>3.00849162E-3</v>
      </c>
      <c r="AB84" s="26">
        <v>1.9941296999999998E-8</v>
      </c>
      <c r="AC84" s="26">
        <v>0</v>
      </c>
      <c r="AD84" s="26">
        <v>0</v>
      </c>
      <c r="AE84" s="26">
        <v>0</v>
      </c>
      <c r="AF84" s="26">
        <v>0</v>
      </c>
      <c r="AG84" s="26">
        <v>0</v>
      </c>
      <c r="AH84" s="26">
        <v>0</v>
      </c>
      <c r="AI84" s="26">
        <v>0</v>
      </c>
      <c r="AJ84" s="26">
        <v>0</v>
      </c>
      <c r="AK84" s="26">
        <v>0</v>
      </c>
      <c r="AL84" s="26">
        <v>0</v>
      </c>
      <c r="AM84" s="26">
        <v>1.5842673999999999E-5</v>
      </c>
      <c r="AN84" s="26">
        <v>0</v>
      </c>
      <c r="AO84" s="26">
        <v>0</v>
      </c>
      <c r="AP84" s="26">
        <v>0</v>
      </c>
      <c r="AQ84" s="26">
        <v>0</v>
      </c>
      <c r="AR84" s="26">
        <v>0</v>
      </c>
      <c r="AS84" s="26">
        <v>0</v>
      </c>
      <c r="AT84" s="26">
        <v>0</v>
      </c>
      <c r="AU84" s="26">
        <v>0</v>
      </c>
      <c r="AV84" s="26">
        <v>5.5672503000000003E-17</v>
      </c>
      <c r="AW84" s="26">
        <v>0</v>
      </c>
      <c r="AX84" s="26">
        <v>0</v>
      </c>
      <c r="AY84" s="26">
        <v>0</v>
      </c>
      <c r="AZ84" s="26">
        <v>0</v>
      </c>
      <c r="BA84" s="26">
        <v>0</v>
      </c>
      <c r="BB84" s="26">
        <v>0</v>
      </c>
      <c r="BC84" s="26">
        <v>0</v>
      </c>
      <c r="BD84" s="26">
        <v>0</v>
      </c>
      <c r="BE84" s="26">
        <v>0</v>
      </c>
      <c r="BF84" s="26">
        <v>0</v>
      </c>
      <c r="BG84" s="26">
        <v>0</v>
      </c>
      <c r="BH84" s="26">
        <v>0</v>
      </c>
      <c r="BI84" s="26">
        <v>0</v>
      </c>
      <c r="BJ84" s="26">
        <v>0</v>
      </c>
      <c r="BK84" s="26">
        <v>0</v>
      </c>
      <c r="BL84" s="26">
        <v>0</v>
      </c>
      <c r="BM84" s="26">
        <v>0</v>
      </c>
      <c r="BN84" s="26">
        <v>0</v>
      </c>
      <c r="BO84" s="26">
        <v>2036.7599999999998</v>
      </c>
      <c r="BP84" s="26">
        <v>36845.0942</v>
      </c>
      <c r="BQ84" s="26">
        <v>679.188759</v>
      </c>
      <c r="BR84" s="26">
        <v>113.73433899999998</v>
      </c>
      <c r="BS84" s="26">
        <v>6.0910336200000001</v>
      </c>
      <c r="BT84" s="26">
        <v>0</v>
      </c>
      <c r="BU84" s="26">
        <v>1</v>
      </c>
      <c r="BV84" s="26">
        <v>0</v>
      </c>
      <c r="BW84" s="26">
        <v>-66607.173599999995</v>
      </c>
      <c r="BX84" s="26">
        <v>-3681.97802</v>
      </c>
      <c r="BY84" s="26">
        <v>-135.66282799999999</v>
      </c>
      <c r="BZ84" s="26">
        <v>-34.220331600000002</v>
      </c>
      <c r="CA84" s="26">
        <v>-1.89166575</v>
      </c>
      <c r="CB84" s="26">
        <v>4.9980214199999998E-2</v>
      </c>
      <c r="CC84" s="26">
        <v>0.90414466999999998</v>
      </c>
      <c r="CD84" s="26">
        <v>18.090051899999999</v>
      </c>
      <c r="CE84" s="26">
        <v>614.95098399999995</v>
      </c>
      <c r="CF84" s="26">
        <v>0</v>
      </c>
      <c r="CG84" s="26">
        <v>0</v>
      </c>
      <c r="CH84" s="26">
        <v>0</v>
      </c>
      <c r="CI84" s="26">
        <v>0</v>
      </c>
      <c r="CJ84" s="26">
        <v>0</v>
      </c>
      <c r="CK84" s="26">
        <v>0</v>
      </c>
      <c r="CL84" s="26">
        <v>0</v>
      </c>
      <c r="CM84" s="26">
        <v>0</v>
      </c>
      <c r="CN84" s="26">
        <v>0</v>
      </c>
      <c r="CO84" s="26">
        <v>0</v>
      </c>
      <c r="CP84" s="26">
        <v>0</v>
      </c>
      <c r="CQ84" s="26">
        <v>0</v>
      </c>
      <c r="CR84" s="26">
        <v>0</v>
      </c>
      <c r="CS84" s="26">
        <v>0</v>
      </c>
      <c r="CT84" s="26">
        <v>0</v>
      </c>
      <c r="CU84" s="26">
        <v>0</v>
      </c>
      <c r="CV84" s="26">
        <v>0</v>
      </c>
      <c r="CW84" s="26">
        <v>0</v>
      </c>
      <c r="CX84" s="26">
        <v>0</v>
      </c>
      <c r="CY84" s="26">
        <v>0</v>
      </c>
      <c r="CZ84" s="26">
        <v>0</v>
      </c>
      <c r="DA84" s="26">
        <v>0</v>
      </c>
      <c r="DB84" s="26">
        <v>0</v>
      </c>
      <c r="DC84" s="26">
        <v>0</v>
      </c>
      <c r="DD84" s="26">
        <v>0</v>
      </c>
      <c r="DE84" s="26">
        <v>0</v>
      </c>
      <c r="DF84" s="26">
        <v>0</v>
      </c>
      <c r="DG84" s="26">
        <v>0</v>
      </c>
      <c r="DH84" s="26">
        <v>0</v>
      </c>
      <c r="DI84" s="26">
        <v>0</v>
      </c>
      <c r="DJ84" s="26">
        <v>0</v>
      </c>
      <c r="DK84" s="26">
        <v>0</v>
      </c>
      <c r="DL84" s="26">
        <v>0</v>
      </c>
      <c r="DM84" s="26">
        <v>0</v>
      </c>
      <c r="DN84" s="26">
        <v>0</v>
      </c>
      <c r="DO84" s="26">
        <v>0</v>
      </c>
      <c r="DP84" s="26">
        <v>0</v>
      </c>
      <c r="DQ84" s="26">
        <v>0</v>
      </c>
      <c r="DR84" s="26">
        <v>0</v>
      </c>
      <c r="DS84" s="26">
        <v>0</v>
      </c>
      <c r="DT84" s="26">
        <v>0</v>
      </c>
      <c r="DU84" s="26">
        <v>0</v>
      </c>
      <c r="DV84" s="26">
        <v>0</v>
      </c>
      <c r="DW84" s="26">
        <v>0</v>
      </c>
      <c r="DX84" s="26">
        <v>0</v>
      </c>
      <c r="DY84" s="26">
        <v>0</v>
      </c>
      <c r="DZ84" s="26">
        <v>0</v>
      </c>
      <c r="EA84" s="26">
        <v>0</v>
      </c>
      <c r="EB84" s="26">
        <v>0</v>
      </c>
      <c r="EC84" s="26">
        <v>0</v>
      </c>
      <c r="ED84" s="26">
        <v>0</v>
      </c>
      <c r="EE84" s="26">
        <v>0</v>
      </c>
      <c r="EF84" s="26">
        <v>0</v>
      </c>
      <c r="EG84" s="26">
        <v>0</v>
      </c>
      <c r="EH84" s="26">
        <v>0</v>
      </c>
      <c r="EI84" s="26">
        <v>0</v>
      </c>
      <c r="EJ84" s="26">
        <v>0</v>
      </c>
      <c r="EK84" s="26">
        <v>0</v>
      </c>
      <c r="EL84" s="26">
        <v>0</v>
      </c>
      <c r="EM84" s="26">
        <v>0</v>
      </c>
      <c r="EN84" s="26">
        <v>0</v>
      </c>
      <c r="EO84" s="26">
        <v>0</v>
      </c>
      <c r="EP84" s="26">
        <v>0</v>
      </c>
      <c r="EQ84" s="26">
        <v>0</v>
      </c>
      <c r="ER84" s="26">
        <v>0</v>
      </c>
      <c r="ES84" s="26">
        <v>0</v>
      </c>
      <c r="ET84" s="26">
        <v>6.0910336200000001</v>
      </c>
      <c r="EU84" s="26">
        <v>0</v>
      </c>
      <c r="EV84" s="26">
        <v>0</v>
      </c>
      <c r="EW84" s="26">
        <v>0</v>
      </c>
      <c r="EX84" s="26">
        <v>0</v>
      </c>
      <c r="EY84" s="26">
        <v>0</v>
      </c>
      <c r="EZ84" s="26">
        <v>0</v>
      </c>
      <c r="FA84" s="26">
        <v>0</v>
      </c>
      <c r="FB84" s="26">
        <v>0</v>
      </c>
      <c r="FC84" s="26">
        <v>0</v>
      </c>
      <c r="FD84" s="26">
        <v>0</v>
      </c>
      <c r="FE84" s="26">
        <v>0</v>
      </c>
      <c r="FF84" s="26">
        <v>0</v>
      </c>
      <c r="FG84" s="26">
        <v>8.86888087E-3</v>
      </c>
      <c r="FH84" s="26">
        <v>-161576625.06999999</v>
      </c>
      <c r="FI84" s="26">
        <v>2.725480149581619E-3</v>
      </c>
      <c r="FJ84" s="26">
        <v>0</v>
      </c>
      <c r="FK84" s="26">
        <v>0</v>
      </c>
      <c r="FL84" s="26">
        <v>0</v>
      </c>
      <c r="FM84" s="26">
        <v>0</v>
      </c>
      <c r="FN84" s="26">
        <v>0</v>
      </c>
      <c r="FO84" s="26">
        <v>0</v>
      </c>
      <c r="FP84" s="26">
        <v>0</v>
      </c>
      <c r="FQ84" s="26">
        <v>0</v>
      </c>
      <c r="FR84" s="26">
        <v>0</v>
      </c>
      <c r="FS84" s="26">
        <v>0</v>
      </c>
      <c r="FT84" s="26">
        <v>0</v>
      </c>
      <c r="FU84" s="26">
        <v>0</v>
      </c>
      <c r="FV84" s="26">
        <v>0</v>
      </c>
      <c r="FW84" s="26">
        <v>0</v>
      </c>
      <c r="FX84" s="26">
        <v>0</v>
      </c>
      <c r="FY84" s="26">
        <v>0</v>
      </c>
      <c r="FZ84" s="26">
        <v>0</v>
      </c>
      <c r="GA84" s="26">
        <v>0</v>
      </c>
      <c r="GB84" s="26">
        <v>0</v>
      </c>
      <c r="GC84" s="26">
        <v>0</v>
      </c>
      <c r="GD84" s="26">
        <v>0</v>
      </c>
      <c r="GE84" s="26">
        <v>0</v>
      </c>
      <c r="GF84" s="26">
        <v>0</v>
      </c>
      <c r="GG84" s="26">
        <v>0</v>
      </c>
      <c r="GH84" s="26">
        <v>0</v>
      </c>
      <c r="GI84" s="26">
        <v>0</v>
      </c>
      <c r="GJ84" s="26">
        <v>0</v>
      </c>
      <c r="GK84" s="26">
        <v>0</v>
      </c>
      <c r="GL84" s="26">
        <v>0</v>
      </c>
      <c r="GM84" s="26">
        <v>0</v>
      </c>
      <c r="GN84" s="26">
        <v>0</v>
      </c>
      <c r="GO84" s="26">
        <v>0</v>
      </c>
      <c r="GP84" s="26">
        <v>0</v>
      </c>
      <c r="GQ84" s="26">
        <v>0</v>
      </c>
      <c r="GR84" s="26">
        <v>0</v>
      </c>
      <c r="GS84" s="26">
        <v>0</v>
      </c>
      <c r="GT84" s="26">
        <v>0</v>
      </c>
      <c r="GU84" s="26">
        <v>0</v>
      </c>
      <c r="GV84" s="26">
        <v>0</v>
      </c>
      <c r="GW84" s="26">
        <v>0</v>
      </c>
      <c r="GX84" s="26">
        <v>0</v>
      </c>
      <c r="GY84" s="26">
        <v>0</v>
      </c>
      <c r="GZ84" s="26">
        <v>0</v>
      </c>
      <c r="HA84" s="26">
        <v>0</v>
      </c>
      <c r="HB84" s="26">
        <v>0</v>
      </c>
      <c r="HC84" s="26">
        <v>0</v>
      </c>
      <c r="HD84" s="26">
        <v>0</v>
      </c>
      <c r="HE84" s="26">
        <v>0</v>
      </c>
      <c r="HF84" s="26">
        <v>0</v>
      </c>
      <c r="HG84" s="26">
        <v>0</v>
      </c>
      <c r="HH84" s="26">
        <v>0</v>
      </c>
      <c r="HI84" s="26">
        <v>0</v>
      </c>
      <c r="HJ84" s="26">
        <v>0</v>
      </c>
      <c r="HK84" s="26">
        <v>0</v>
      </c>
      <c r="HL84" s="26">
        <v>0</v>
      </c>
      <c r="HM84" s="26">
        <v>0</v>
      </c>
      <c r="HN84" s="26">
        <v>0</v>
      </c>
      <c r="HO84" s="26">
        <v>0</v>
      </c>
      <c r="HP84" s="26">
        <v>0</v>
      </c>
      <c r="HQ84" s="26">
        <v>0</v>
      </c>
      <c r="HR84" s="26">
        <v>0</v>
      </c>
      <c r="HS84" s="26">
        <v>0</v>
      </c>
      <c r="HT84" s="26">
        <v>0</v>
      </c>
    </row>
    <row r="85" spans="2:228" x14ac:dyDescent="0.2">
      <c r="B85" s="27" t="s">
        <v>2179</v>
      </c>
      <c r="C85" s="26">
        <v>312037.56400000001</v>
      </c>
      <c r="D85" s="26">
        <v>-942.3987820000001</v>
      </c>
      <c r="E85" s="26">
        <v>226670.53200000001</v>
      </c>
      <c r="F85" s="26">
        <v>18.420235999999999</v>
      </c>
      <c r="G85" s="26">
        <v>3.9671217599999998E-6</v>
      </c>
      <c r="H85" s="26">
        <v>8.7085431599999996E-6</v>
      </c>
      <c r="I85" s="26">
        <v>3.65393419E-6</v>
      </c>
      <c r="J85" s="26">
        <v>1.7947588900000001E-4</v>
      </c>
      <c r="K85" s="26">
        <v>3.7192566700000002E-5</v>
      </c>
      <c r="L85" s="26">
        <v>1.47120573E-4</v>
      </c>
      <c r="M85" s="26">
        <v>641.66666699999996</v>
      </c>
      <c r="N85" s="26">
        <v>8.6242951099999992E-6</v>
      </c>
      <c r="O85" s="26">
        <v>2.1764621999999999E-7</v>
      </c>
      <c r="P85" s="26">
        <v>9.1320092300000001E-8</v>
      </c>
      <c r="Q85" s="26">
        <v>6.6007391399999996E-5</v>
      </c>
      <c r="R85" s="26">
        <v>8.0439114899999993E-6</v>
      </c>
      <c r="S85" s="26">
        <v>12208.3334</v>
      </c>
      <c r="T85" s="26">
        <v>4.20489925E-2</v>
      </c>
      <c r="U85" s="26">
        <v>0.53867153800000001</v>
      </c>
      <c r="V85" s="26">
        <v>171.972779</v>
      </c>
      <c r="W85" s="26">
        <v>0</v>
      </c>
      <c r="X85" s="26">
        <v>1.0522920899999999</v>
      </c>
      <c r="Y85" s="26">
        <v>4.82411889E-5</v>
      </c>
      <c r="Z85" s="26">
        <v>3.0722650799999999E-3</v>
      </c>
      <c r="AA85" s="26">
        <v>3.00849162E-3</v>
      </c>
      <c r="AB85" s="26">
        <v>1.9941296999999998E-8</v>
      </c>
      <c r="AC85" s="26">
        <v>1841.6666700000001</v>
      </c>
      <c r="AD85" s="26">
        <v>0</v>
      </c>
      <c r="AE85" s="26">
        <v>0</v>
      </c>
      <c r="AF85" s="26">
        <v>0</v>
      </c>
      <c r="AG85" s="26">
        <v>0</v>
      </c>
      <c r="AH85" s="26">
        <v>0</v>
      </c>
      <c r="AI85" s="26">
        <v>0</v>
      </c>
      <c r="AJ85" s="26">
        <v>0</v>
      </c>
      <c r="AK85" s="26">
        <v>0</v>
      </c>
      <c r="AL85" s="26">
        <v>0</v>
      </c>
      <c r="AM85" s="26">
        <v>1.5842673999999999E-5</v>
      </c>
      <c r="AN85" s="26">
        <v>0</v>
      </c>
      <c r="AO85" s="26">
        <v>0</v>
      </c>
      <c r="AP85" s="26">
        <v>0</v>
      </c>
      <c r="AQ85" s="26">
        <v>0</v>
      </c>
      <c r="AR85" s="26">
        <v>0</v>
      </c>
      <c r="AS85" s="26">
        <v>0</v>
      </c>
      <c r="AT85" s="26">
        <v>0</v>
      </c>
      <c r="AU85" s="26">
        <v>0</v>
      </c>
      <c r="AV85" s="26">
        <v>5.5672503000000003E-17</v>
      </c>
      <c r="AW85" s="26">
        <v>0</v>
      </c>
      <c r="AX85" s="26">
        <v>0</v>
      </c>
      <c r="AY85" s="26">
        <v>0</v>
      </c>
      <c r="AZ85" s="26">
        <v>0</v>
      </c>
      <c r="BA85" s="26">
        <v>0</v>
      </c>
      <c r="BB85" s="26">
        <v>0</v>
      </c>
      <c r="BC85" s="26">
        <v>0</v>
      </c>
      <c r="BD85" s="26">
        <v>0</v>
      </c>
      <c r="BE85" s="26">
        <v>0</v>
      </c>
      <c r="BF85" s="26">
        <v>0</v>
      </c>
      <c r="BG85" s="26">
        <v>0</v>
      </c>
      <c r="BH85" s="26">
        <v>0</v>
      </c>
      <c r="BI85" s="26">
        <v>0</v>
      </c>
      <c r="BJ85" s="26">
        <v>0</v>
      </c>
      <c r="BK85" s="26">
        <v>0</v>
      </c>
      <c r="BL85" s="26">
        <v>0</v>
      </c>
      <c r="BM85" s="26">
        <v>0</v>
      </c>
      <c r="BN85" s="26">
        <v>0</v>
      </c>
      <c r="BO85" s="26">
        <v>12672.749</v>
      </c>
      <c r="BP85" s="26">
        <v>241554.231</v>
      </c>
      <c r="BQ85" s="26">
        <v>4593.2503900000002</v>
      </c>
      <c r="BR85" s="26">
        <v>160.63689599999998</v>
      </c>
      <c r="BS85" s="26">
        <v>9</v>
      </c>
      <c r="BT85" s="26">
        <v>0</v>
      </c>
      <c r="BU85" s="26">
        <v>1</v>
      </c>
      <c r="BV85" s="26">
        <v>0</v>
      </c>
      <c r="BW85" s="26">
        <v>-67052.047500000001</v>
      </c>
      <c r="BX85" s="26">
        <v>-3517.77637</v>
      </c>
      <c r="BY85" s="26">
        <v>-849.73377300000004</v>
      </c>
      <c r="BZ85" s="26">
        <v>-32.926720600000003</v>
      </c>
      <c r="CA85" s="26">
        <v>-1.7274467200000001</v>
      </c>
      <c r="CB85" s="26">
        <v>4.5983228100000002E-2</v>
      </c>
      <c r="CC85" s="26">
        <v>0.87648254599999997</v>
      </c>
      <c r="CD85" s="26">
        <v>19.060918099999999</v>
      </c>
      <c r="CE85" s="26">
        <v>3984.2199500000002</v>
      </c>
      <c r="CF85" s="26">
        <v>0</v>
      </c>
      <c r="CG85" s="26">
        <v>0</v>
      </c>
      <c r="CH85" s="26">
        <v>0</v>
      </c>
      <c r="CI85" s="26">
        <v>0</v>
      </c>
      <c r="CJ85" s="26">
        <v>0</v>
      </c>
      <c r="CK85" s="26">
        <v>0</v>
      </c>
      <c r="CL85" s="26">
        <v>0</v>
      </c>
      <c r="CM85" s="26">
        <v>0</v>
      </c>
      <c r="CN85" s="26">
        <v>0</v>
      </c>
      <c r="CO85" s="26">
        <v>0</v>
      </c>
      <c r="CP85" s="26">
        <v>0</v>
      </c>
      <c r="CQ85" s="26">
        <v>0</v>
      </c>
      <c r="CR85" s="26">
        <v>0</v>
      </c>
      <c r="CS85" s="26">
        <v>0</v>
      </c>
      <c r="CT85" s="26">
        <v>0</v>
      </c>
      <c r="CU85" s="26">
        <v>0</v>
      </c>
      <c r="CV85" s="26">
        <v>0</v>
      </c>
      <c r="CW85" s="26">
        <v>0</v>
      </c>
      <c r="CX85" s="26">
        <v>0</v>
      </c>
      <c r="CY85" s="26">
        <v>0</v>
      </c>
      <c r="CZ85" s="26">
        <v>0</v>
      </c>
      <c r="DA85" s="26">
        <v>0</v>
      </c>
      <c r="DB85" s="26">
        <v>0</v>
      </c>
      <c r="DC85" s="26">
        <v>0</v>
      </c>
      <c r="DD85" s="26">
        <v>0</v>
      </c>
      <c r="DE85" s="26">
        <v>0</v>
      </c>
      <c r="DF85" s="26">
        <v>0</v>
      </c>
      <c r="DG85" s="26">
        <v>0</v>
      </c>
      <c r="DH85" s="26">
        <v>0</v>
      </c>
      <c r="DI85" s="26">
        <v>0</v>
      </c>
      <c r="DJ85" s="26">
        <v>0</v>
      </c>
      <c r="DK85" s="26">
        <v>0</v>
      </c>
      <c r="DL85" s="26">
        <v>0</v>
      </c>
      <c r="DM85" s="26">
        <v>0</v>
      </c>
      <c r="DN85" s="26">
        <v>0</v>
      </c>
      <c r="DO85" s="26">
        <v>0</v>
      </c>
      <c r="DP85" s="26">
        <v>0</v>
      </c>
      <c r="DQ85" s="26">
        <v>0</v>
      </c>
      <c r="DR85" s="26">
        <v>0</v>
      </c>
      <c r="DS85" s="26">
        <v>0</v>
      </c>
      <c r="DT85" s="26">
        <v>0</v>
      </c>
      <c r="DU85" s="26">
        <v>0</v>
      </c>
      <c r="DV85" s="26">
        <v>0</v>
      </c>
      <c r="DW85" s="26">
        <v>0</v>
      </c>
      <c r="DX85" s="26">
        <v>29204.880399999995</v>
      </c>
      <c r="DY85" s="26">
        <v>1191.5257899999999</v>
      </c>
      <c r="DZ85" s="26">
        <v>499.94089100000008</v>
      </c>
      <c r="EA85" s="26">
        <v>16273.076000000001</v>
      </c>
      <c r="EB85" s="26">
        <v>1983.09887</v>
      </c>
      <c r="EC85" s="26">
        <v>13131.780699999999</v>
      </c>
      <c r="ED85" s="26">
        <v>1508.1550199999999</v>
      </c>
      <c r="EE85" s="26">
        <v>2583.0279399999999</v>
      </c>
      <c r="EF85" s="26">
        <v>4107.8476600000004</v>
      </c>
      <c r="EG85" s="26">
        <v>0</v>
      </c>
      <c r="EH85" s="26">
        <v>0</v>
      </c>
      <c r="EI85" s="26">
        <v>0</v>
      </c>
      <c r="EJ85" s="26">
        <v>0</v>
      </c>
      <c r="EK85" s="26">
        <v>0</v>
      </c>
      <c r="EL85" s="26">
        <v>0</v>
      </c>
      <c r="EM85" s="26">
        <v>0</v>
      </c>
      <c r="EN85" s="26">
        <v>0</v>
      </c>
      <c r="EO85" s="26">
        <v>0</v>
      </c>
      <c r="EP85" s="26">
        <v>626.50221799999997</v>
      </c>
      <c r="EQ85" s="26">
        <v>70483.333299999998</v>
      </c>
      <c r="ER85" s="26">
        <v>562.70710199999996</v>
      </c>
      <c r="ES85" s="26">
        <v>160.63689599999998</v>
      </c>
      <c r="ET85" s="26">
        <v>9</v>
      </c>
      <c r="EU85" s="26">
        <v>0</v>
      </c>
      <c r="EV85" s="26">
        <v>0</v>
      </c>
      <c r="EW85" s="26">
        <v>1</v>
      </c>
      <c r="EX85" s="26">
        <v>-147908.508</v>
      </c>
      <c r="EY85" s="26">
        <v>-1314.7080800000001</v>
      </c>
      <c r="EZ85" s="26">
        <v>-92.665008799999995</v>
      </c>
      <c r="FA85" s="26">
        <v>-438.044827</v>
      </c>
      <c r="FB85" s="26">
        <v>-3.8936304900000001</v>
      </c>
      <c r="FC85" s="26">
        <v>1.8556196399999999E-2</v>
      </c>
      <c r="FD85" s="26">
        <v>2.0876264099999999</v>
      </c>
      <c r="FE85" s="26">
        <v>112.502927</v>
      </c>
      <c r="FF85" s="26">
        <v>0</v>
      </c>
      <c r="FG85" s="26">
        <v>0.325489046</v>
      </c>
      <c r="FH85" s="26">
        <v>-1137665858.1169999</v>
      </c>
      <c r="FI85" s="26">
        <v>0.12191524653087753</v>
      </c>
      <c r="FJ85" s="26">
        <v>0</v>
      </c>
      <c r="FK85" s="26">
        <v>0</v>
      </c>
      <c r="FL85" s="26">
        <v>0</v>
      </c>
      <c r="FM85" s="26">
        <v>0</v>
      </c>
      <c r="FN85" s="26">
        <v>0</v>
      </c>
      <c r="FO85" s="26">
        <v>0</v>
      </c>
      <c r="FP85" s="26">
        <v>0</v>
      </c>
      <c r="FQ85" s="26">
        <v>0</v>
      </c>
      <c r="FR85" s="26">
        <v>0</v>
      </c>
      <c r="FS85" s="26">
        <v>0</v>
      </c>
      <c r="FT85" s="26">
        <v>0</v>
      </c>
      <c r="FU85" s="26">
        <v>0</v>
      </c>
      <c r="FV85" s="26">
        <v>0</v>
      </c>
      <c r="FW85" s="26">
        <v>0</v>
      </c>
      <c r="FX85" s="26">
        <v>0</v>
      </c>
      <c r="FY85" s="26">
        <v>0</v>
      </c>
      <c r="FZ85" s="26">
        <v>0</v>
      </c>
      <c r="GA85" s="26">
        <v>0</v>
      </c>
      <c r="GB85" s="26">
        <v>0</v>
      </c>
      <c r="GC85" s="26">
        <v>0</v>
      </c>
      <c r="GD85" s="26">
        <v>0</v>
      </c>
      <c r="GE85" s="26">
        <v>0</v>
      </c>
      <c r="GF85" s="26">
        <v>0</v>
      </c>
      <c r="GG85" s="26">
        <v>0</v>
      </c>
      <c r="GH85" s="26">
        <v>0</v>
      </c>
      <c r="GI85" s="26">
        <v>0</v>
      </c>
      <c r="GJ85" s="26">
        <v>0</v>
      </c>
      <c r="GK85" s="26">
        <v>0</v>
      </c>
      <c r="GL85" s="26">
        <v>0</v>
      </c>
      <c r="GM85" s="26">
        <v>0</v>
      </c>
      <c r="GN85" s="26">
        <v>0</v>
      </c>
      <c r="GO85" s="26">
        <v>0</v>
      </c>
      <c r="GP85" s="26">
        <v>0</v>
      </c>
      <c r="GQ85" s="26">
        <v>0</v>
      </c>
      <c r="GR85" s="26">
        <v>0</v>
      </c>
      <c r="GS85" s="26">
        <v>0</v>
      </c>
      <c r="GT85" s="26">
        <v>0</v>
      </c>
      <c r="GU85" s="26">
        <v>0</v>
      </c>
      <c r="GV85" s="26">
        <v>0</v>
      </c>
      <c r="GW85" s="26">
        <v>0</v>
      </c>
      <c r="GX85" s="26">
        <v>0</v>
      </c>
      <c r="GY85" s="26">
        <v>0</v>
      </c>
      <c r="GZ85" s="26">
        <v>0</v>
      </c>
      <c r="HA85" s="26">
        <v>0</v>
      </c>
      <c r="HB85" s="26">
        <v>0</v>
      </c>
      <c r="HC85" s="26">
        <v>0</v>
      </c>
      <c r="HD85" s="26">
        <v>0</v>
      </c>
      <c r="HE85" s="26">
        <v>0</v>
      </c>
      <c r="HF85" s="26">
        <v>0</v>
      </c>
      <c r="HG85" s="26">
        <v>0</v>
      </c>
      <c r="HH85" s="26">
        <v>0</v>
      </c>
      <c r="HI85" s="26">
        <v>0</v>
      </c>
      <c r="HJ85" s="26">
        <v>0</v>
      </c>
      <c r="HK85" s="26">
        <v>0</v>
      </c>
      <c r="HL85" s="26">
        <v>0</v>
      </c>
      <c r="HM85" s="26">
        <v>0</v>
      </c>
      <c r="HN85" s="26">
        <v>0</v>
      </c>
      <c r="HO85" s="26">
        <v>0</v>
      </c>
      <c r="HP85" s="26">
        <v>0</v>
      </c>
      <c r="HQ85" s="26">
        <v>0</v>
      </c>
      <c r="HR85" s="26">
        <v>0</v>
      </c>
      <c r="HS85" s="26">
        <v>0</v>
      </c>
      <c r="HT85" s="26">
        <v>0.74666720041778212</v>
      </c>
    </row>
    <row r="86" spans="2:228" x14ac:dyDescent="0.2">
      <c r="B86" s="27" t="s">
        <v>2381</v>
      </c>
      <c r="C86" s="26">
        <v>1.8015280000000001E-9</v>
      </c>
      <c r="D86" s="26">
        <v>-6.8232177499999992E-12</v>
      </c>
      <c r="E86" s="26">
        <v>1.8015280000000001E-9</v>
      </c>
      <c r="F86" s="26">
        <v>0</v>
      </c>
      <c r="G86" s="26">
        <v>0</v>
      </c>
      <c r="H86" s="26">
        <v>0</v>
      </c>
      <c r="I86" s="26">
        <v>0</v>
      </c>
      <c r="J86" s="26">
        <v>0</v>
      </c>
      <c r="K86" s="26">
        <v>0</v>
      </c>
      <c r="L86" s="26">
        <v>0</v>
      </c>
      <c r="M86" s="26">
        <v>0</v>
      </c>
      <c r="N86" s="26">
        <v>0</v>
      </c>
      <c r="O86" s="26">
        <v>0</v>
      </c>
      <c r="P86" s="26">
        <v>0</v>
      </c>
      <c r="Q86" s="26">
        <v>0</v>
      </c>
      <c r="R86" s="26">
        <v>0</v>
      </c>
      <c r="S86" s="26">
        <v>0</v>
      </c>
      <c r="T86" s="26">
        <v>0</v>
      </c>
      <c r="U86" s="26">
        <v>0</v>
      </c>
      <c r="V86" s="26">
        <v>0</v>
      </c>
      <c r="W86" s="26">
        <v>0</v>
      </c>
      <c r="X86" s="26">
        <v>0</v>
      </c>
      <c r="Y86" s="26">
        <v>0</v>
      </c>
      <c r="Z86" s="26">
        <v>0</v>
      </c>
      <c r="AA86" s="26">
        <v>0</v>
      </c>
      <c r="AB86" s="26">
        <v>0</v>
      </c>
      <c r="AC86" s="26">
        <v>0</v>
      </c>
      <c r="AD86" s="26">
        <v>0</v>
      </c>
      <c r="AE86" s="26">
        <v>0</v>
      </c>
      <c r="AF86" s="26">
        <v>0</v>
      </c>
      <c r="AG86" s="26">
        <v>0</v>
      </c>
      <c r="AH86" s="26">
        <v>0</v>
      </c>
      <c r="AI86" s="26">
        <v>0</v>
      </c>
      <c r="AJ86" s="26">
        <v>0</v>
      </c>
      <c r="AK86" s="26">
        <v>0</v>
      </c>
      <c r="AL86" s="26">
        <v>0</v>
      </c>
      <c r="AM86" s="26">
        <v>0</v>
      </c>
      <c r="AN86" s="26">
        <v>0</v>
      </c>
      <c r="AO86" s="26">
        <v>0</v>
      </c>
      <c r="AP86" s="26">
        <v>0</v>
      </c>
      <c r="AQ86" s="26">
        <v>0</v>
      </c>
      <c r="AR86" s="26">
        <v>0</v>
      </c>
      <c r="AS86" s="26">
        <v>0</v>
      </c>
      <c r="AT86" s="26">
        <v>0</v>
      </c>
      <c r="AU86" s="26">
        <v>0</v>
      </c>
      <c r="AV86" s="26">
        <v>0</v>
      </c>
      <c r="AW86" s="26">
        <v>0</v>
      </c>
      <c r="AX86" s="26">
        <v>0</v>
      </c>
      <c r="AY86" s="26">
        <v>0</v>
      </c>
      <c r="AZ86" s="26">
        <v>0</v>
      </c>
      <c r="BA86" s="26">
        <v>0</v>
      </c>
      <c r="BB86" s="26">
        <v>0</v>
      </c>
      <c r="BC86" s="26">
        <v>0</v>
      </c>
      <c r="BD86" s="26">
        <v>0</v>
      </c>
      <c r="BE86" s="26">
        <v>0</v>
      </c>
      <c r="BF86" s="26">
        <v>0</v>
      </c>
      <c r="BG86" s="26">
        <v>0</v>
      </c>
      <c r="BH86" s="26">
        <v>0</v>
      </c>
      <c r="BI86" s="26">
        <v>0</v>
      </c>
      <c r="BJ86" s="26">
        <v>0</v>
      </c>
      <c r="BK86" s="26">
        <v>0</v>
      </c>
      <c r="BL86" s="26">
        <v>0</v>
      </c>
      <c r="BM86" s="26">
        <v>0</v>
      </c>
      <c r="BN86" s="26">
        <v>0</v>
      </c>
      <c r="BO86" s="26">
        <v>1E-10</v>
      </c>
      <c r="BP86" s="26">
        <v>1.8015280000000001E-9</v>
      </c>
      <c r="BQ86" s="26">
        <v>3.0208013299999999E-11</v>
      </c>
      <c r="BR86" s="26">
        <v>25</v>
      </c>
      <c r="BS86" s="26">
        <v>1</v>
      </c>
      <c r="BT86" s="26">
        <v>0</v>
      </c>
      <c r="BU86" s="26">
        <v>1</v>
      </c>
      <c r="BV86" s="26">
        <v>0</v>
      </c>
      <c r="BW86" s="26">
        <v>-68232.176999999996</v>
      </c>
      <c r="BX86" s="26">
        <v>-3787.4613599999998</v>
      </c>
      <c r="BY86" s="26">
        <v>-6.8232177499999992E-12</v>
      </c>
      <c r="BZ86" s="26">
        <v>-38.850064500000002</v>
      </c>
      <c r="CA86" s="26">
        <v>-2.1565062799999999</v>
      </c>
      <c r="CB86" s="26">
        <v>5.5172997600000002E-2</v>
      </c>
      <c r="CC86" s="26">
        <v>0.99395699999999998</v>
      </c>
      <c r="CD86" s="26">
        <v>18.015280000000001</v>
      </c>
      <c r="CE86" s="26">
        <v>3.0083332999999999E-11</v>
      </c>
      <c r="CF86" s="26">
        <v>0</v>
      </c>
      <c r="CG86" s="26">
        <v>0</v>
      </c>
      <c r="CH86" s="26">
        <v>0</v>
      </c>
      <c r="CI86" s="26">
        <v>0</v>
      </c>
      <c r="CJ86" s="26">
        <v>0</v>
      </c>
      <c r="CK86" s="26">
        <v>0</v>
      </c>
      <c r="CL86" s="26">
        <v>0</v>
      </c>
      <c r="CM86" s="26">
        <v>0</v>
      </c>
      <c r="CN86" s="26">
        <v>0</v>
      </c>
      <c r="CO86" s="26">
        <v>0</v>
      </c>
      <c r="CP86" s="26">
        <v>0</v>
      </c>
      <c r="CQ86" s="26">
        <v>0</v>
      </c>
      <c r="CR86" s="26">
        <v>0</v>
      </c>
      <c r="CS86" s="26">
        <v>0</v>
      </c>
      <c r="CT86" s="26">
        <v>0</v>
      </c>
      <c r="CU86" s="26">
        <v>0</v>
      </c>
      <c r="CV86" s="26">
        <v>0</v>
      </c>
      <c r="CW86" s="26">
        <v>0</v>
      </c>
      <c r="CX86" s="26">
        <v>0</v>
      </c>
      <c r="CY86" s="26">
        <v>0</v>
      </c>
      <c r="CZ86" s="26">
        <v>0</v>
      </c>
      <c r="DA86" s="26">
        <v>0</v>
      </c>
      <c r="DB86" s="26">
        <v>0</v>
      </c>
      <c r="DC86" s="26">
        <v>0</v>
      </c>
      <c r="DD86" s="26">
        <v>0</v>
      </c>
      <c r="DE86" s="26">
        <v>0</v>
      </c>
      <c r="DF86" s="26">
        <v>0</v>
      </c>
      <c r="DG86" s="26">
        <v>0</v>
      </c>
      <c r="DH86" s="26">
        <v>0</v>
      </c>
      <c r="DI86" s="26">
        <v>0</v>
      </c>
      <c r="DJ86" s="26">
        <v>0</v>
      </c>
      <c r="DK86" s="26">
        <v>0</v>
      </c>
      <c r="DL86" s="26">
        <v>0</v>
      </c>
      <c r="DM86" s="26">
        <v>0</v>
      </c>
      <c r="DN86" s="26">
        <v>0</v>
      </c>
      <c r="DO86" s="26">
        <v>0</v>
      </c>
      <c r="DP86" s="26">
        <v>0</v>
      </c>
      <c r="DQ86" s="26">
        <v>0</v>
      </c>
      <c r="DR86" s="26">
        <v>0</v>
      </c>
      <c r="DS86" s="26">
        <v>0</v>
      </c>
      <c r="DT86" s="26">
        <v>0</v>
      </c>
      <c r="DU86" s="26">
        <v>0</v>
      </c>
      <c r="DV86" s="26">
        <v>0</v>
      </c>
      <c r="DW86" s="26">
        <v>0</v>
      </c>
      <c r="DX86" s="26">
        <v>0</v>
      </c>
      <c r="DY86" s="26">
        <v>0</v>
      </c>
      <c r="DZ86" s="26">
        <v>0</v>
      </c>
      <c r="EA86" s="26">
        <v>0</v>
      </c>
      <c r="EB86" s="26">
        <v>0</v>
      </c>
      <c r="EC86" s="26">
        <v>0</v>
      </c>
      <c r="ED86" s="26">
        <v>0</v>
      </c>
      <c r="EE86" s="26">
        <v>0</v>
      </c>
      <c r="EF86" s="26">
        <v>0</v>
      </c>
      <c r="EG86" s="26">
        <v>0</v>
      </c>
      <c r="EH86" s="26">
        <v>0</v>
      </c>
      <c r="EI86" s="26">
        <v>0</v>
      </c>
      <c r="EJ86" s="26">
        <v>0</v>
      </c>
      <c r="EK86" s="26">
        <v>0</v>
      </c>
      <c r="EL86" s="26">
        <v>0</v>
      </c>
      <c r="EM86" s="26">
        <v>0</v>
      </c>
      <c r="EN86" s="26">
        <v>0</v>
      </c>
      <c r="EO86" s="26">
        <v>0</v>
      </c>
      <c r="EP86" s="26">
        <v>0</v>
      </c>
      <c r="EQ86" s="26">
        <v>0</v>
      </c>
      <c r="ER86" s="26">
        <v>0</v>
      </c>
      <c r="ES86" s="26">
        <v>0</v>
      </c>
      <c r="ET86" s="26">
        <v>1</v>
      </c>
      <c r="EU86" s="26">
        <v>0</v>
      </c>
      <c r="EV86" s="26">
        <v>0</v>
      </c>
      <c r="EW86" s="26">
        <v>0</v>
      </c>
      <c r="EX86" s="26">
        <v>0</v>
      </c>
      <c r="EY86" s="26">
        <v>0</v>
      </c>
      <c r="EZ86" s="26">
        <v>0</v>
      </c>
      <c r="FA86" s="26">
        <v>0</v>
      </c>
      <c r="FB86" s="26">
        <v>0</v>
      </c>
      <c r="FC86" s="26">
        <v>0</v>
      </c>
      <c r="FD86" s="26">
        <v>0</v>
      </c>
      <c r="FE86" s="26">
        <v>0</v>
      </c>
      <c r="FF86" s="26">
        <v>0</v>
      </c>
      <c r="FG86" s="26">
        <v>0</v>
      </c>
      <c r="FH86" s="26">
        <v>-7.9354022432499993E-6</v>
      </c>
      <c r="FI86" s="26">
        <v>0</v>
      </c>
      <c r="FJ86" s="26">
        <v>0</v>
      </c>
      <c r="FK86" s="26">
        <v>0</v>
      </c>
      <c r="FL86" s="26">
        <v>0</v>
      </c>
      <c r="FM86" s="26">
        <v>0</v>
      </c>
      <c r="FN86" s="26">
        <v>0</v>
      </c>
      <c r="FO86" s="26">
        <v>0</v>
      </c>
      <c r="FP86" s="26">
        <v>0</v>
      </c>
      <c r="FQ86" s="26">
        <v>0</v>
      </c>
      <c r="FR86" s="26">
        <v>0</v>
      </c>
      <c r="FS86" s="26">
        <v>0</v>
      </c>
      <c r="FT86" s="26">
        <v>0</v>
      </c>
      <c r="FU86" s="26">
        <v>0</v>
      </c>
      <c r="FV86" s="26">
        <v>0</v>
      </c>
      <c r="FW86" s="26">
        <v>0</v>
      </c>
      <c r="FX86" s="26">
        <v>0</v>
      </c>
      <c r="FY86" s="26">
        <v>0</v>
      </c>
      <c r="FZ86" s="26">
        <v>0</v>
      </c>
      <c r="GA86" s="26">
        <v>0</v>
      </c>
      <c r="GB86" s="26">
        <v>0</v>
      </c>
      <c r="GC86" s="26">
        <v>0</v>
      </c>
      <c r="GD86" s="26">
        <v>0</v>
      </c>
      <c r="GE86" s="26">
        <v>0</v>
      </c>
      <c r="GF86" s="26">
        <v>0</v>
      </c>
      <c r="GG86" s="26">
        <v>0</v>
      </c>
      <c r="GH86" s="26">
        <v>0</v>
      </c>
      <c r="GI86" s="26">
        <v>0</v>
      </c>
      <c r="GJ86" s="26">
        <v>0</v>
      </c>
      <c r="GK86" s="26">
        <v>0</v>
      </c>
      <c r="GL86" s="26">
        <v>0</v>
      </c>
      <c r="GM86" s="26">
        <v>0</v>
      </c>
      <c r="GN86" s="26">
        <v>0</v>
      </c>
      <c r="GO86" s="26">
        <v>0</v>
      </c>
      <c r="GP86" s="26">
        <v>0</v>
      </c>
      <c r="GQ86" s="26">
        <v>0</v>
      </c>
      <c r="GR86" s="26">
        <v>0</v>
      </c>
      <c r="GS86" s="26">
        <v>0</v>
      </c>
      <c r="GT86" s="26">
        <v>0</v>
      </c>
      <c r="GU86" s="26">
        <v>0</v>
      </c>
      <c r="GV86" s="26">
        <v>0</v>
      </c>
      <c r="GW86" s="26">
        <v>0</v>
      </c>
      <c r="GX86" s="26">
        <v>0</v>
      </c>
      <c r="GY86" s="26">
        <v>0</v>
      </c>
      <c r="GZ86" s="26">
        <v>0</v>
      </c>
      <c r="HA86" s="26">
        <v>0</v>
      </c>
      <c r="HB86" s="26">
        <v>0</v>
      </c>
      <c r="HC86" s="26">
        <v>0</v>
      </c>
      <c r="HD86" s="26">
        <v>0</v>
      </c>
      <c r="HE86" s="26">
        <v>0</v>
      </c>
      <c r="HF86" s="26">
        <v>0</v>
      </c>
      <c r="HG86" s="26">
        <v>0</v>
      </c>
      <c r="HH86" s="26">
        <v>0</v>
      </c>
      <c r="HI86" s="26">
        <v>0</v>
      </c>
      <c r="HJ86" s="26">
        <v>0</v>
      </c>
      <c r="HK86" s="26">
        <v>0</v>
      </c>
      <c r="HL86" s="26">
        <v>0</v>
      </c>
      <c r="HM86" s="26">
        <v>0</v>
      </c>
      <c r="HN86" s="26">
        <v>0</v>
      </c>
      <c r="HO86" s="26">
        <v>0</v>
      </c>
      <c r="HP86" s="26">
        <v>0</v>
      </c>
      <c r="HQ86" s="26">
        <v>0</v>
      </c>
      <c r="HR86" s="26">
        <v>0</v>
      </c>
      <c r="HS86" s="26">
        <v>0</v>
      </c>
      <c r="HT86" s="26">
        <v>0</v>
      </c>
    </row>
    <row r="87" spans="2:228" x14ac:dyDescent="0.2">
      <c r="B87" s="27" t="s">
        <v>2380</v>
      </c>
      <c r="C87" s="26">
        <v>1.6214239999999999E-8</v>
      </c>
      <c r="D87" s="26">
        <v>-2.33200062E-11</v>
      </c>
      <c r="E87" s="26">
        <v>0</v>
      </c>
      <c r="F87" s="26">
        <v>0</v>
      </c>
      <c r="G87" s="26">
        <v>0</v>
      </c>
      <c r="H87" s="26">
        <v>0</v>
      </c>
      <c r="I87" s="26">
        <v>0</v>
      </c>
      <c r="J87" s="26">
        <v>0</v>
      </c>
      <c r="K87" s="26">
        <v>0</v>
      </c>
      <c r="L87" s="26">
        <v>0</v>
      </c>
      <c r="M87" s="26">
        <v>0</v>
      </c>
      <c r="N87" s="26">
        <v>0</v>
      </c>
      <c r="O87" s="26">
        <v>0</v>
      </c>
      <c r="P87" s="26">
        <v>0</v>
      </c>
      <c r="Q87" s="26">
        <v>0</v>
      </c>
      <c r="R87" s="26">
        <v>0</v>
      </c>
      <c r="S87" s="26">
        <v>0</v>
      </c>
      <c r="T87" s="26">
        <v>0</v>
      </c>
      <c r="U87" s="26">
        <v>0</v>
      </c>
      <c r="V87" s="26">
        <v>0</v>
      </c>
      <c r="W87" s="26">
        <v>0</v>
      </c>
      <c r="X87" s="26">
        <v>0</v>
      </c>
      <c r="Y87" s="26">
        <v>0</v>
      </c>
      <c r="Z87" s="26">
        <v>0</v>
      </c>
      <c r="AA87" s="26">
        <v>0</v>
      </c>
      <c r="AB87" s="26">
        <v>0</v>
      </c>
      <c r="AC87" s="26">
        <v>0</v>
      </c>
      <c r="AD87" s="26">
        <v>0</v>
      </c>
      <c r="AE87" s="26">
        <v>0</v>
      </c>
      <c r="AF87" s="26">
        <v>0</v>
      </c>
      <c r="AG87" s="26">
        <v>0</v>
      </c>
      <c r="AH87" s="26">
        <v>0</v>
      </c>
      <c r="AI87" s="26">
        <v>0</v>
      </c>
      <c r="AJ87" s="26">
        <v>0</v>
      </c>
      <c r="AK87" s="26">
        <v>0</v>
      </c>
      <c r="AL87" s="26">
        <v>0</v>
      </c>
      <c r="AM87" s="26">
        <v>0</v>
      </c>
      <c r="AN87" s="26">
        <v>0</v>
      </c>
      <c r="AO87" s="26">
        <v>0</v>
      </c>
      <c r="AP87" s="26">
        <v>0</v>
      </c>
      <c r="AQ87" s="26">
        <v>0</v>
      </c>
      <c r="AR87" s="26">
        <v>0</v>
      </c>
      <c r="AS87" s="26">
        <v>0</v>
      </c>
      <c r="AT87" s="26">
        <v>0</v>
      </c>
      <c r="AU87" s="26">
        <v>0</v>
      </c>
      <c r="AV87" s="26">
        <v>0</v>
      </c>
      <c r="AW87" s="26">
        <v>0</v>
      </c>
      <c r="AX87" s="26">
        <v>0</v>
      </c>
      <c r="AY87" s="26">
        <v>0</v>
      </c>
      <c r="AZ87" s="26">
        <v>0</v>
      </c>
      <c r="BA87" s="26">
        <v>0</v>
      </c>
      <c r="BB87" s="26">
        <v>0</v>
      </c>
      <c r="BC87" s="26">
        <v>0</v>
      </c>
      <c r="BD87" s="26">
        <v>0</v>
      </c>
      <c r="BE87" s="26">
        <v>0</v>
      </c>
      <c r="BF87" s="26">
        <v>0</v>
      </c>
      <c r="BG87" s="26">
        <v>0</v>
      </c>
      <c r="BH87" s="26">
        <v>0</v>
      </c>
      <c r="BI87" s="26">
        <v>0</v>
      </c>
      <c r="BJ87" s="26">
        <v>0</v>
      </c>
      <c r="BK87" s="26">
        <v>0</v>
      </c>
      <c r="BL87" s="26">
        <v>0</v>
      </c>
      <c r="BM87" s="26">
        <v>0</v>
      </c>
      <c r="BN87" s="26">
        <v>0</v>
      </c>
      <c r="BO87" s="26">
        <v>0</v>
      </c>
      <c r="BP87" s="26">
        <v>0</v>
      </c>
      <c r="BQ87" s="26">
        <v>0</v>
      </c>
      <c r="BR87" s="26">
        <v>0</v>
      </c>
      <c r="BS87" s="26">
        <v>1</v>
      </c>
      <c r="BT87" s="26">
        <v>0</v>
      </c>
      <c r="BU87" s="26">
        <v>0</v>
      </c>
      <c r="BV87" s="26">
        <v>0</v>
      </c>
      <c r="BW87" s="26">
        <v>0</v>
      </c>
      <c r="BX87" s="26">
        <v>0</v>
      </c>
      <c r="BY87" s="26">
        <v>0</v>
      </c>
      <c r="BZ87" s="26">
        <v>0</v>
      </c>
      <c r="CA87" s="26">
        <v>0</v>
      </c>
      <c r="CB87" s="26">
        <v>0</v>
      </c>
      <c r="CC87" s="26">
        <v>0</v>
      </c>
      <c r="CD87" s="26">
        <v>0</v>
      </c>
      <c r="CE87" s="26">
        <v>0</v>
      </c>
      <c r="CF87" s="26">
        <v>0</v>
      </c>
      <c r="CG87" s="26">
        <v>0</v>
      </c>
      <c r="CH87" s="26">
        <v>0</v>
      </c>
      <c r="CI87" s="26">
        <v>0</v>
      </c>
      <c r="CJ87" s="26">
        <v>0</v>
      </c>
      <c r="CK87" s="26">
        <v>0</v>
      </c>
      <c r="CL87" s="26">
        <v>0</v>
      </c>
      <c r="CM87" s="26">
        <v>0</v>
      </c>
      <c r="CN87" s="26">
        <v>0</v>
      </c>
      <c r="CO87" s="26">
        <v>0</v>
      </c>
      <c r="CP87" s="26">
        <v>0</v>
      </c>
      <c r="CQ87" s="26">
        <v>0</v>
      </c>
      <c r="CR87" s="26">
        <v>0</v>
      </c>
      <c r="CS87" s="26">
        <v>0</v>
      </c>
      <c r="CT87" s="26">
        <v>0</v>
      </c>
      <c r="CU87" s="26">
        <v>0</v>
      </c>
      <c r="CV87" s="26">
        <v>0</v>
      </c>
      <c r="CW87" s="26">
        <v>0</v>
      </c>
      <c r="CX87" s="26">
        <v>0</v>
      </c>
      <c r="CY87" s="26">
        <v>0</v>
      </c>
      <c r="CZ87" s="26">
        <v>0</v>
      </c>
      <c r="DA87" s="26">
        <v>0</v>
      </c>
      <c r="DB87" s="26">
        <v>0</v>
      </c>
      <c r="DC87" s="26">
        <v>0</v>
      </c>
      <c r="DD87" s="26">
        <v>0</v>
      </c>
      <c r="DE87" s="26">
        <v>0</v>
      </c>
      <c r="DF87" s="26">
        <v>0</v>
      </c>
      <c r="DG87" s="26">
        <v>0</v>
      </c>
      <c r="DH87" s="26">
        <v>0</v>
      </c>
      <c r="DI87" s="26">
        <v>0</v>
      </c>
      <c r="DJ87" s="26">
        <v>0</v>
      </c>
      <c r="DK87" s="26">
        <v>0</v>
      </c>
      <c r="DL87" s="26">
        <v>0</v>
      </c>
      <c r="DM87" s="26">
        <v>0</v>
      </c>
      <c r="DN87" s="26">
        <v>0</v>
      </c>
      <c r="DO87" s="26">
        <v>0</v>
      </c>
      <c r="DP87" s="26">
        <v>0</v>
      </c>
      <c r="DQ87" s="26">
        <v>0</v>
      </c>
      <c r="DR87" s="26">
        <v>0</v>
      </c>
      <c r="DS87" s="26">
        <v>0</v>
      </c>
      <c r="DT87" s="26">
        <v>0</v>
      </c>
      <c r="DU87" s="26">
        <v>0</v>
      </c>
      <c r="DV87" s="26">
        <v>0</v>
      </c>
      <c r="DW87" s="26">
        <v>0</v>
      </c>
      <c r="DX87" s="26">
        <v>1.6214239999999999E-8</v>
      </c>
      <c r="DY87" s="26">
        <v>0</v>
      </c>
      <c r="DZ87" s="26">
        <v>0</v>
      </c>
      <c r="EA87" s="26">
        <v>0</v>
      </c>
      <c r="EB87" s="26">
        <v>0</v>
      </c>
      <c r="EC87" s="26">
        <v>0</v>
      </c>
      <c r="ED87" s="26">
        <v>0</v>
      </c>
      <c r="EE87" s="26">
        <v>0</v>
      </c>
      <c r="EF87" s="26">
        <v>0</v>
      </c>
      <c r="EG87" s="26">
        <v>0</v>
      </c>
      <c r="EH87" s="26">
        <v>0</v>
      </c>
      <c r="EI87" s="26">
        <v>0</v>
      </c>
      <c r="EJ87" s="26">
        <v>0</v>
      </c>
      <c r="EK87" s="26">
        <v>0</v>
      </c>
      <c r="EL87" s="26">
        <v>0</v>
      </c>
      <c r="EM87" s="26">
        <v>0</v>
      </c>
      <c r="EN87" s="26">
        <v>0</v>
      </c>
      <c r="EO87" s="26">
        <v>0</v>
      </c>
      <c r="EP87" s="26">
        <v>1E-10</v>
      </c>
      <c r="EQ87" s="26">
        <v>1.6214239999999999E-8</v>
      </c>
      <c r="ER87" s="26">
        <v>4.5024999499999997E-11</v>
      </c>
      <c r="ES87" s="26">
        <v>25</v>
      </c>
      <c r="ET87" s="26">
        <v>1</v>
      </c>
      <c r="EU87" s="26">
        <v>0</v>
      </c>
      <c r="EV87" s="26">
        <v>0</v>
      </c>
      <c r="EW87" s="26">
        <v>1</v>
      </c>
      <c r="EX87" s="26">
        <v>-233200.06</v>
      </c>
      <c r="EY87" s="26">
        <v>-1438.2423100000001</v>
      </c>
      <c r="EZ87" s="26">
        <v>-2.33200062E-11</v>
      </c>
      <c r="FA87" s="26">
        <v>-782.156834</v>
      </c>
      <c r="FB87" s="26">
        <v>-4.8238883499999998</v>
      </c>
      <c r="FC87" s="26">
        <v>3.7016472299999999E-2</v>
      </c>
      <c r="FD87" s="26">
        <v>6.0019396599999997</v>
      </c>
      <c r="FE87" s="26">
        <v>162.14240000000001</v>
      </c>
      <c r="FF87" s="26">
        <v>0</v>
      </c>
      <c r="FG87" s="26">
        <v>1.18414431</v>
      </c>
      <c r="FH87" s="26">
        <v>-2.7121167210600001E-5</v>
      </c>
      <c r="FI87" s="26">
        <v>0</v>
      </c>
      <c r="FJ87" s="26">
        <v>0</v>
      </c>
      <c r="FK87" s="26">
        <v>0</v>
      </c>
      <c r="FL87" s="26">
        <v>0</v>
      </c>
      <c r="FM87" s="26">
        <v>0</v>
      </c>
      <c r="FN87" s="26">
        <v>0</v>
      </c>
      <c r="FO87" s="26">
        <v>0</v>
      </c>
      <c r="FP87" s="26">
        <v>0</v>
      </c>
      <c r="FQ87" s="26">
        <v>0</v>
      </c>
      <c r="FR87" s="26">
        <v>0</v>
      </c>
      <c r="FS87" s="26">
        <v>0</v>
      </c>
      <c r="FT87" s="26">
        <v>0</v>
      </c>
      <c r="FU87" s="26">
        <v>0</v>
      </c>
      <c r="FV87" s="26">
        <v>0</v>
      </c>
      <c r="FW87" s="26">
        <v>0</v>
      </c>
      <c r="FX87" s="26">
        <v>0</v>
      </c>
      <c r="FY87" s="26">
        <v>0</v>
      </c>
      <c r="FZ87" s="26">
        <v>0</v>
      </c>
      <c r="GA87" s="26">
        <v>0</v>
      </c>
      <c r="GB87" s="26">
        <v>0</v>
      </c>
      <c r="GC87" s="26">
        <v>0</v>
      </c>
      <c r="GD87" s="26">
        <v>0</v>
      </c>
      <c r="GE87" s="26">
        <v>0</v>
      </c>
      <c r="GF87" s="26">
        <v>0</v>
      </c>
      <c r="GG87" s="26">
        <v>0</v>
      </c>
      <c r="GH87" s="26">
        <v>0</v>
      </c>
      <c r="GI87" s="26">
        <v>0</v>
      </c>
      <c r="GJ87" s="26">
        <v>0</v>
      </c>
      <c r="GK87" s="26">
        <v>0</v>
      </c>
      <c r="GL87" s="26">
        <v>0</v>
      </c>
      <c r="GM87" s="26">
        <v>0</v>
      </c>
      <c r="GN87" s="26">
        <v>0</v>
      </c>
      <c r="GO87" s="26">
        <v>0</v>
      </c>
      <c r="GP87" s="26">
        <v>0</v>
      </c>
      <c r="GQ87" s="26">
        <v>0</v>
      </c>
      <c r="GR87" s="26">
        <v>0</v>
      </c>
      <c r="GS87" s="26">
        <v>0</v>
      </c>
      <c r="GT87" s="26">
        <v>0</v>
      </c>
      <c r="GU87" s="26">
        <v>0</v>
      </c>
      <c r="GV87" s="26">
        <v>0</v>
      </c>
      <c r="GW87" s="26">
        <v>0</v>
      </c>
      <c r="GX87" s="26">
        <v>0</v>
      </c>
      <c r="GY87" s="26">
        <v>0</v>
      </c>
      <c r="GZ87" s="26">
        <v>0</v>
      </c>
      <c r="HA87" s="26">
        <v>0</v>
      </c>
      <c r="HB87" s="26">
        <v>0</v>
      </c>
      <c r="HC87" s="26">
        <v>0</v>
      </c>
      <c r="HD87" s="26">
        <v>0</v>
      </c>
      <c r="HE87" s="26">
        <v>0</v>
      </c>
      <c r="HF87" s="26">
        <v>0</v>
      </c>
      <c r="HG87" s="26">
        <v>0</v>
      </c>
      <c r="HH87" s="26">
        <v>0</v>
      </c>
      <c r="HI87" s="26">
        <v>0</v>
      </c>
      <c r="HJ87" s="26">
        <v>0</v>
      </c>
      <c r="HK87" s="26">
        <v>0</v>
      </c>
      <c r="HL87" s="26">
        <v>0</v>
      </c>
      <c r="HM87" s="26">
        <v>0</v>
      </c>
      <c r="HN87" s="26">
        <v>0</v>
      </c>
      <c r="HO87" s="26">
        <v>0</v>
      </c>
      <c r="HP87" s="26">
        <v>0</v>
      </c>
      <c r="HQ87" s="26">
        <v>0</v>
      </c>
      <c r="HR87" s="26">
        <v>0</v>
      </c>
      <c r="HS87" s="26">
        <v>0</v>
      </c>
      <c r="HT87" s="26">
        <v>1.66666668E-13</v>
      </c>
    </row>
    <row r="88" spans="2:228" x14ac:dyDescent="0.2">
      <c r="B88" s="27" t="s">
        <v>2389</v>
      </c>
      <c r="C88" s="26">
        <v>13291.2611</v>
      </c>
      <c r="D88" s="26">
        <v>-44.137813800000004</v>
      </c>
      <c r="E88" s="26">
        <v>10571.4236</v>
      </c>
      <c r="F88" s="26">
        <v>60.439610399999999</v>
      </c>
      <c r="G88" s="26">
        <v>0</v>
      </c>
      <c r="H88" s="26">
        <v>0</v>
      </c>
      <c r="I88" s="26">
        <v>0</v>
      </c>
      <c r="J88" s="26">
        <v>0</v>
      </c>
      <c r="K88" s="26">
        <v>0</v>
      </c>
      <c r="L88" s="26">
        <v>9.9325640899999996</v>
      </c>
      <c r="M88" s="26">
        <v>0</v>
      </c>
      <c r="N88" s="26">
        <v>33.994481</v>
      </c>
      <c r="O88" s="26">
        <v>0.85789855199999998</v>
      </c>
      <c r="P88" s="26">
        <v>0.35995743400000002</v>
      </c>
      <c r="Q88" s="26">
        <v>11.716533200000001</v>
      </c>
      <c r="R88" s="26">
        <v>1.42782125</v>
      </c>
      <c r="S88" s="26">
        <v>366.24999200000002</v>
      </c>
      <c r="T88" s="26">
        <v>19.696189799999999</v>
      </c>
      <c r="U88" s="26">
        <v>11.0781732</v>
      </c>
      <c r="V88" s="26">
        <v>10.0753857</v>
      </c>
      <c r="W88" s="26">
        <v>0</v>
      </c>
      <c r="X88" s="26">
        <v>1376.27306</v>
      </c>
      <c r="Y88" s="26">
        <v>2.3042628000000001</v>
      </c>
      <c r="Z88" s="26">
        <v>0.51593272599999995</v>
      </c>
      <c r="AA88" s="26">
        <v>1.2838475199999999</v>
      </c>
      <c r="AB88" s="26">
        <v>6.02577254E-3</v>
      </c>
      <c r="AC88" s="26">
        <v>0</v>
      </c>
      <c r="AD88" s="26">
        <v>74.446741500000002</v>
      </c>
      <c r="AE88" s="26">
        <v>55.829416399999999</v>
      </c>
      <c r="AF88" s="26">
        <v>4.1953390500000003</v>
      </c>
      <c r="AG88" s="26">
        <v>0</v>
      </c>
      <c r="AH88" s="26">
        <v>0</v>
      </c>
      <c r="AI88" s="26">
        <v>0</v>
      </c>
      <c r="AJ88" s="26">
        <v>0</v>
      </c>
      <c r="AK88" s="26">
        <v>0</v>
      </c>
      <c r="AL88" s="26">
        <v>0</v>
      </c>
      <c r="AM88" s="26">
        <v>0.40072739099999999</v>
      </c>
      <c r="AN88" s="26">
        <v>2.7097778099999998E-3</v>
      </c>
      <c r="AO88" s="26">
        <v>4.7176222600000001E-3</v>
      </c>
      <c r="AP88" s="26">
        <v>0</v>
      </c>
      <c r="AQ88" s="26">
        <v>0</v>
      </c>
      <c r="AR88" s="26">
        <v>0</v>
      </c>
      <c r="AS88" s="26">
        <v>1.5667097000000001</v>
      </c>
      <c r="AT88" s="26">
        <v>0</v>
      </c>
      <c r="AU88" s="26">
        <v>0</v>
      </c>
      <c r="AV88" s="26">
        <v>6.4340528199999998E-5</v>
      </c>
      <c r="AW88" s="26">
        <v>0</v>
      </c>
      <c r="AX88" s="26">
        <v>0</v>
      </c>
      <c r="AY88" s="26">
        <v>0</v>
      </c>
      <c r="AZ88" s="26">
        <v>0</v>
      </c>
      <c r="BA88" s="26">
        <v>0</v>
      </c>
      <c r="BB88" s="26">
        <v>0</v>
      </c>
      <c r="BC88" s="26">
        <v>0</v>
      </c>
      <c r="BD88" s="26">
        <v>0</v>
      </c>
      <c r="BE88" s="26">
        <v>0</v>
      </c>
      <c r="BF88" s="26">
        <v>0</v>
      </c>
      <c r="BG88" s="26">
        <v>0</v>
      </c>
      <c r="BH88" s="26">
        <v>0</v>
      </c>
      <c r="BI88" s="26">
        <v>0</v>
      </c>
      <c r="BJ88" s="26">
        <v>0</v>
      </c>
      <c r="BK88" s="26">
        <v>0</v>
      </c>
      <c r="BL88" s="26">
        <v>0</v>
      </c>
      <c r="BM88" s="26">
        <v>0</v>
      </c>
      <c r="BN88" s="26">
        <v>0</v>
      </c>
      <c r="BO88" s="26">
        <v>607.48310900000001</v>
      </c>
      <c r="BP88" s="26">
        <v>12614.081700000001</v>
      </c>
      <c r="BQ88" s="26">
        <v>209.78115399999999</v>
      </c>
      <c r="BR88" s="26">
        <v>49.848322699999983</v>
      </c>
      <c r="BS88" s="26">
        <v>1</v>
      </c>
      <c r="BT88" s="26">
        <v>0</v>
      </c>
      <c r="BU88" s="26">
        <v>1</v>
      </c>
      <c r="BV88" s="26">
        <v>0</v>
      </c>
      <c r="BW88" s="26">
        <v>-71378.152900000001</v>
      </c>
      <c r="BX88" s="26">
        <v>-3437.5092199999999</v>
      </c>
      <c r="BY88" s="26">
        <v>-43.361022599999998</v>
      </c>
      <c r="BZ88" s="26">
        <v>-40.2832686</v>
      </c>
      <c r="CA88" s="26">
        <v>-1.9400068699999999</v>
      </c>
      <c r="CB88" s="26">
        <v>4.8263240800000003E-2</v>
      </c>
      <c r="CC88" s="26">
        <v>1.00216196</v>
      </c>
      <c r="CD88" s="26">
        <v>20.764497899999999</v>
      </c>
      <c r="CE88" s="26">
        <v>0</v>
      </c>
      <c r="CF88" s="26">
        <v>0</v>
      </c>
      <c r="CG88" s="26">
        <v>0</v>
      </c>
      <c r="CH88" s="26">
        <v>0</v>
      </c>
      <c r="CI88" s="26">
        <v>0</v>
      </c>
      <c r="CJ88" s="26">
        <v>0</v>
      </c>
      <c r="CK88" s="26">
        <v>0</v>
      </c>
      <c r="CL88" s="26">
        <v>0</v>
      </c>
      <c r="CM88" s="26">
        <v>0</v>
      </c>
      <c r="CN88" s="26">
        <v>0</v>
      </c>
      <c r="CO88" s="26">
        <v>0</v>
      </c>
      <c r="CP88" s="26">
        <v>0</v>
      </c>
      <c r="CQ88" s="26">
        <v>0</v>
      </c>
      <c r="CR88" s="26">
        <v>0</v>
      </c>
      <c r="CS88" s="26">
        <v>0</v>
      </c>
      <c r="CT88" s="26">
        <v>0</v>
      </c>
      <c r="CU88" s="26">
        <v>0</v>
      </c>
      <c r="CV88" s="26">
        <v>0</v>
      </c>
      <c r="CW88" s="26">
        <v>0</v>
      </c>
      <c r="CX88" s="26">
        <v>0</v>
      </c>
      <c r="CY88" s="26">
        <v>0</v>
      </c>
      <c r="CZ88" s="26">
        <v>0</v>
      </c>
      <c r="DA88" s="26">
        <v>0</v>
      </c>
      <c r="DB88" s="26">
        <v>0</v>
      </c>
      <c r="DC88" s="26">
        <v>0</v>
      </c>
      <c r="DD88" s="26">
        <v>0</v>
      </c>
      <c r="DE88" s="26">
        <v>0</v>
      </c>
      <c r="DF88" s="26">
        <v>0</v>
      </c>
      <c r="DG88" s="26">
        <v>0</v>
      </c>
      <c r="DH88" s="26">
        <v>0</v>
      </c>
      <c r="DI88" s="26">
        <v>0</v>
      </c>
      <c r="DJ88" s="26">
        <v>0</v>
      </c>
      <c r="DK88" s="26">
        <v>0</v>
      </c>
      <c r="DL88" s="26">
        <v>0</v>
      </c>
      <c r="DM88" s="26">
        <v>0</v>
      </c>
      <c r="DN88" s="26">
        <v>0</v>
      </c>
      <c r="DO88" s="26">
        <v>0</v>
      </c>
      <c r="DP88" s="26">
        <v>0</v>
      </c>
      <c r="DQ88" s="26">
        <v>0</v>
      </c>
      <c r="DR88" s="26">
        <v>0</v>
      </c>
      <c r="DS88" s="26">
        <v>0</v>
      </c>
      <c r="DT88" s="26">
        <v>0</v>
      </c>
      <c r="DU88" s="26">
        <v>0</v>
      </c>
      <c r="DV88" s="26">
        <v>0</v>
      </c>
      <c r="DW88" s="26">
        <v>0</v>
      </c>
      <c r="DX88" s="26">
        <v>37.639249900000003</v>
      </c>
      <c r="DY88" s="26">
        <v>0.92939011699999996</v>
      </c>
      <c r="DZ88" s="26">
        <v>0.38995389499999999</v>
      </c>
      <c r="EA88" s="26">
        <v>12.6929993</v>
      </c>
      <c r="EB88" s="26">
        <v>1.54681712</v>
      </c>
      <c r="EC88" s="26">
        <v>374.25575099999998</v>
      </c>
      <c r="ED88" s="26">
        <v>0</v>
      </c>
      <c r="EE88" s="26">
        <v>87.159220000000005</v>
      </c>
      <c r="EF88" s="26">
        <v>123.23542999999999</v>
      </c>
      <c r="EG88" s="26">
        <v>15.624096099999997</v>
      </c>
      <c r="EH88" s="26">
        <v>1.73601319</v>
      </c>
      <c r="EI88" s="26">
        <v>4.5435158099999997</v>
      </c>
      <c r="EJ88" s="26">
        <v>3.2340668400000001</v>
      </c>
      <c r="EK88" s="26">
        <v>0</v>
      </c>
      <c r="EL88" s="26">
        <v>14.192889500000001</v>
      </c>
      <c r="EM88" s="26">
        <v>0</v>
      </c>
      <c r="EN88" s="26">
        <v>0</v>
      </c>
      <c r="EO88" s="26">
        <v>0</v>
      </c>
      <c r="EP88" s="26">
        <v>9.9592528900000001</v>
      </c>
      <c r="EQ88" s="26">
        <v>677.179393</v>
      </c>
      <c r="ER88" s="26">
        <v>8.1645748999999999</v>
      </c>
      <c r="ES88" s="26">
        <v>49.848322699999983</v>
      </c>
      <c r="ET88" s="26">
        <v>1</v>
      </c>
      <c r="EU88" s="26">
        <v>0</v>
      </c>
      <c r="EV88" s="26">
        <v>0</v>
      </c>
      <c r="EW88" s="26">
        <v>1</v>
      </c>
      <c r="EX88" s="26">
        <v>-77996.938099999999</v>
      </c>
      <c r="EY88" s="26">
        <v>-1147.09815</v>
      </c>
      <c r="EZ88" s="26">
        <v>-0.77679123699999997</v>
      </c>
      <c r="FA88" s="26">
        <v>-151.84474599999999</v>
      </c>
      <c r="FB88" s="26">
        <v>-2.2331751999999998</v>
      </c>
      <c r="FC88" s="26">
        <v>2.0330212899999998E-2</v>
      </c>
      <c r="FD88" s="26">
        <v>1.38235281</v>
      </c>
      <c r="FE88" s="26">
        <v>67.994999300000003</v>
      </c>
      <c r="FF88" s="26">
        <v>0</v>
      </c>
      <c r="FG88" s="26">
        <v>0.231763687</v>
      </c>
      <c r="FH88" s="26">
        <v>-51653306.038100004</v>
      </c>
      <c r="FI88" s="26">
        <v>1.8482917286752228E-2</v>
      </c>
      <c r="FJ88" s="26">
        <v>0</v>
      </c>
      <c r="FK88" s="26">
        <v>0</v>
      </c>
      <c r="FL88" s="26">
        <v>0</v>
      </c>
      <c r="FM88" s="26">
        <v>0</v>
      </c>
      <c r="FN88" s="26">
        <v>0</v>
      </c>
      <c r="FO88" s="26">
        <v>0</v>
      </c>
      <c r="FP88" s="26">
        <v>0</v>
      </c>
      <c r="FQ88" s="26">
        <v>0</v>
      </c>
      <c r="FR88" s="26">
        <v>0</v>
      </c>
      <c r="FS88" s="26">
        <v>0</v>
      </c>
      <c r="FT88" s="26">
        <v>0</v>
      </c>
      <c r="FU88" s="26">
        <v>0</v>
      </c>
      <c r="FV88" s="26">
        <v>0</v>
      </c>
      <c r="FW88" s="26">
        <v>0</v>
      </c>
      <c r="FX88" s="26">
        <v>0</v>
      </c>
      <c r="FY88" s="26">
        <v>0</v>
      </c>
      <c r="FZ88" s="26">
        <v>0</v>
      </c>
      <c r="GA88" s="26">
        <v>0</v>
      </c>
      <c r="GB88" s="26">
        <v>0</v>
      </c>
      <c r="GC88" s="26">
        <v>0</v>
      </c>
      <c r="GD88" s="26">
        <v>0</v>
      </c>
      <c r="GE88" s="26">
        <v>0</v>
      </c>
      <c r="GF88" s="26">
        <v>0</v>
      </c>
      <c r="GG88" s="26">
        <v>0</v>
      </c>
      <c r="GH88" s="26">
        <v>0</v>
      </c>
      <c r="GI88" s="26">
        <v>0</v>
      </c>
      <c r="GJ88" s="26">
        <v>0</v>
      </c>
      <c r="GK88" s="26">
        <v>0</v>
      </c>
      <c r="GL88" s="26">
        <v>0</v>
      </c>
      <c r="GM88" s="26">
        <v>0</v>
      </c>
      <c r="GN88" s="26">
        <v>0</v>
      </c>
      <c r="GO88" s="26">
        <v>0</v>
      </c>
      <c r="GP88" s="26">
        <v>0</v>
      </c>
      <c r="GQ88" s="26">
        <v>0</v>
      </c>
      <c r="GR88" s="26">
        <v>0</v>
      </c>
      <c r="GS88" s="26">
        <v>0</v>
      </c>
      <c r="GT88" s="26">
        <v>0</v>
      </c>
      <c r="GU88" s="26">
        <v>0</v>
      </c>
      <c r="GV88" s="26">
        <v>0</v>
      </c>
      <c r="GW88" s="26">
        <v>0</v>
      </c>
      <c r="GX88" s="26">
        <v>0</v>
      </c>
      <c r="GY88" s="26">
        <v>0</v>
      </c>
      <c r="GZ88" s="26">
        <v>0</v>
      </c>
      <c r="HA88" s="26">
        <v>0</v>
      </c>
      <c r="HB88" s="26">
        <v>0</v>
      </c>
      <c r="HC88" s="26">
        <v>0</v>
      </c>
      <c r="HD88" s="26">
        <v>0</v>
      </c>
      <c r="HE88" s="26">
        <v>0</v>
      </c>
      <c r="HF88" s="26">
        <v>0</v>
      </c>
      <c r="HG88" s="26">
        <v>0</v>
      </c>
      <c r="HH88" s="26">
        <v>0</v>
      </c>
      <c r="HI88" s="26">
        <v>0</v>
      </c>
      <c r="HJ88" s="26">
        <v>0</v>
      </c>
      <c r="HK88" s="26">
        <v>0</v>
      </c>
      <c r="HL88" s="26">
        <v>0</v>
      </c>
      <c r="HM88" s="26">
        <v>0</v>
      </c>
      <c r="HN88" s="26">
        <v>0</v>
      </c>
      <c r="HO88" s="26">
        <v>0</v>
      </c>
      <c r="HP88" s="26">
        <v>0</v>
      </c>
      <c r="HQ88" s="26">
        <v>0</v>
      </c>
      <c r="HR88" s="26">
        <v>0</v>
      </c>
      <c r="HS88" s="26">
        <v>0</v>
      </c>
      <c r="HT88" s="26">
        <v>7.497445226646228E-3</v>
      </c>
    </row>
    <row r="89" spans="2:228" x14ac:dyDescent="0.2">
      <c r="B89" s="27" t="s">
        <v>2876</v>
      </c>
      <c r="C89" s="26">
        <v>42638.759899999997</v>
      </c>
      <c r="D89" s="26">
        <v>-143.96554699999999</v>
      </c>
      <c r="E89" s="26">
        <v>35280.318399999996</v>
      </c>
      <c r="F89" s="26">
        <v>2009.36331</v>
      </c>
      <c r="G89" s="26">
        <v>148.442677</v>
      </c>
      <c r="H89" s="26">
        <v>117.96069600000001</v>
      </c>
      <c r="I89" s="26">
        <v>49.4939982</v>
      </c>
      <c r="J89" s="26">
        <v>168.05837600000001</v>
      </c>
      <c r="K89" s="26">
        <v>200.58580499999999</v>
      </c>
      <c r="L89" s="26">
        <v>33.108547000000002</v>
      </c>
      <c r="M89" s="26">
        <v>0</v>
      </c>
      <c r="N89" s="26">
        <v>113.314937</v>
      </c>
      <c r="O89" s="26">
        <v>2.8596618399999998</v>
      </c>
      <c r="P89" s="26">
        <v>1.1998581100000001</v>
      </c>
      <c r="Q89" s="26">
        <v>39.055110800000001</v>
      </c>
      <c r="R89" s="26">
        <v>4.7594041799999998</v>
      </c>
      <c r="S89" s="26">
        <v>1220.83331</v>
      </c>
      <c r="T89" s="26">
        <v>65.653964400000007</v>
      </c>
      <c r="U89" s="26">
        <v>36.927139799999999</v>
      </c>
      <c r="V89" s="26">
        <v>33.3668026</v>
      </c>
      <c r="W89" s="26">
        <v>0</v>
      </c>
      <c r="X89" s="26">
        <v>56.345488799999998</v>
      </c>
      <c r="Y89" s="26">
        <v>76.808716500000003</v>
      </c>
      <c r="Z89" s="26">
        <v>17.194992599999999</v>
      </c>
      <c r="AA89" s="26">
        <v>42.792209800000002</v>
      </c>
      <c r="AB89" s="26">
        <v>1.97207106E-2</v>
      </c>
      <c r="AC89" s="26">
        <v>0</v>
      </c>
      <c r="AD89" s="26">
        <v>248.15580499999999</v>
      </c>
      <c r="AE89" s="26">
        <v>186.09805499999999</v>
      </c>
      <c r="AF89" s="26">
        <v>23.7526841</v>
      </c>
      <c r="AG89" s="26">
        <v>0</v>
      </c>
      <c r="AH89" s="26">
        <v>0</v>
      </c>
      <c r="AI89" s="26">
        <v>0</v>
      </c>
      <c r="AJ89" s="26">
        <v>0</v>
      </c>
      <c r="AK89" s="26">
        <v>0</v>
      </c>
      <c r="AL89" s="26">
        <v>0</v>
      </c>
      <c r="AM89" s="26">
        <v>1.33575797</v>
      </c>
      <c r="AN89" s="26">
        <v>1.9391162300000001E-2</v>
      </c>
      <c r="AO89" s="26">
        <v>1.05448748E-5</v>
      </c>
      <c r="AP89" s="26">
        <v>0</v>
      </c>
      <c r="AQ89" s="26">
        <v>0</v>
      </c>
      <c r="AR89" s="26">
        <v>0</v>
      </c>
      <c r="AS89" s="26">
        <v>51.4557766</v>
      </c>
      <c r="AT89" s="26">
        <v>0</v>
      </c>
      <c r="AU89" s="26">
        <v>0</v>
      </c>
      <c r="AV89" s="26">
        <v>1.9610105E-4</v>
      </c>
      <c r="AW89" s="26">
        <v>0</v>
      </c>
      <c r="AX89" s="26">
        <v>0</v>
      </c>
      <c r="AY89" s="26">
        <v>0</v>
      </c>
      <c r="AZ89" s="26">
        <v>0</v>
      </c>
      <c r="BA89" s="26">
        <v>0</v>
      </c>
      <c r="BB89" s="26">
        <v>0</v>
      </c>
      <c r="BC89" s="26">
        <v>0</v>
      </c>
      <c r="BD89" s="26">
        <v>0</v>
      </c>
      <c r="BE89" s="26">
        <v>0</v>
      </c>
      <c r="BF89" s="26">
        <v>0</v>
      </c>
      <c r="BG89" s="26">
        <v>0</v>
      </c>
      <c r="BH89" s="26">
        <v>0</v>
      </c>
      <c r="BI89" s="26">
        <v>0</v>
      </c>
      <c r="BJ89" s="26">
        <v>0</v>
      </c>
      <c r="BK89" s="26">
        <v>0</v>
      </c>
      <c r="BL89" s="26">
        <v>0</v>
      </c>
      <c r="BM89" s="26">
        <v>0</v>
      </c>
      <c r="BN89" s="26">
        <v>0</v>
      </c>
      <c r="BO89" s="26">
        <v>2022.5080499999997</v>
      </c>
      <c r="BP89" s="26">
        <v>40229.2808</v>
      </c>
      <c r="BQ89" s="26">
        <v>669.30117399999995</v>
      </c>
      <c r="BR89" s="26">
        <v>32</v>
      </c>
      <c r="BS89" s="26">
        <v>1</v>
      </c>
      <c r="BT89" s="26">
        <v>0</v>
      </c>
      <c r="BU89" s="26">
        <v>1</v>
      </c>
      <c r="BV89" s="26">
        <v>0</v>
      </c>
      <c r="BW89" s="26">
        <v>-69804.593999999997</v>
      </c>
      <c r="BX89" s="26">
        <v>-3509.3929199999998</v>
      </c>
      <c r="BY89" s="26">
        <v>-141.18035499999999</v>
      </c>
      <c r="BZ89" s="26">
        <v>-40.569671900000003</v>
      </c>
      <c r="CA89" s="26">
        <v>-2.03962105</v>
      </c>
      <c r="CB89" s="26">
        <v>5.0363675500000003E-2</v>
      </c>
      <c r="CC89" s="26">
        <v>1.0017732399999999</v>
      </c>
      <c r="CD89" s="26">
        <v>19.8907889</v>
      </c>
      <c r="CE89" s="26">
        <v>0</v>
      </c>
      <c r="CF89" s="26">
        <v>0</v>
      </c>
      <c r="CG89" s="26">
        <v>0</v>
      </c>
      <c r="CH89" s="26">
        <v>0</v>
      </c>
      <c r="CI89" s="26">
        <v>0</v>
      </c>
      <c r="CJ89" s="26">
        <v>0</v>
      </c>
      <c r="CK89" s="26">
        <v>0</v>
      </c>
      <c r="CL89" s="26">
        <v>0</v>
      </c>
      <c r="CM89" s="26">
        <v>0</v>
      </c>
      <c r="CN89" s="26">
        <v>0</v>
      </c>
      <c r="CO89" s="26">
        <v>0</v>
      </c>
      <c r="CP89" s="26">
        <v>0</v>
      </c>
      <c r="CQ89" s="26">
        <v>0</v>
      </c>
      <c r="CR89" s="26">
        <v>0</v>
      </c>
      <c r="CS89" s="26">
        <v>0</v>
      </c>
      <c r="CT89" s="26">
        <v>0</v>
      </c>
      <c r="CU89" s="26">
        <v>0</v>
      </c>
      <c r="CV89" s="26">
        <v>0</v>
      </c>
      <c r="CW89" s="26">
        <v>0</v>
      </c>
      <c r="CX89" s="26">
        <v>0</v>
      </c>
      <c r="CY89" s="26">
        <v>0</v>
      </c>
      <c r="CZ89" s="26">
        <v>0</v>
      </c>
      <c r="DA89" s="26">
        <v>0</v>
      </c>
      <c r="DB89" s="26">
        <v>0</v>
      </c>
      <c r="DC89" s="26">
        <v>0</v>
      </c>
      <c r="DD89" s="26">
        <v>0</v>
      </c>
      <c r="DE89" s="26">
        <v>0</v>
      </c>
      <c r="DF89" s="26">
        <v>0</v>
      </c>
      <c r="DG89" s="26">
        <v>0</v>
      </c>
      <c r="DH89" s="26">
        <v>0</v>
      </c>
      <c r="DI89" s="26">
        <v>0</v>
      </c>
      <c r="DJ89" s="26">
        <v>0</v>
      </c>
      <c r="DK89" s="26">
        <v>0</v>
      </c>
      <c r="DL89" s="26">
        <v>0</v>
      </c>
      <c r="DM89" s="26">
        <v>0</v>
      </c>
      <c r="DN89" s="26">
        <v>0</v>
      </c>
      <c r="DO89" s="26">
        <v>0</v>
      </c>
      <c r="DP89" s="26">
        <v>0</v>
      </c>
      <c r="DQ89" s="26">
        <v>0</v>
      </c>
      <c r="DR89" s="26">
        <v>0</v>
      </c>
      <c r="DS89" s="26">
        <v>0</v>
      </c>
      <c r="DT89" s="26">
        <v>0</v>
      </c>
      <c r="DU89" s="26">
        <v>0</v>
      </c>
      <c r="DV89" s="26">
        <v>0</v>
      </c>
      <c r="DW89" s="26">
        <v>0</v>
      </c>
      <c r="DX89" s="26">
        <v>125.46416599999999</v>
      </c>
      <c r="DY89" s="26">
        <v>3.0979670600000002</v>
      </c>
      <c r="DZ89" s="26">
        <v>1.2998463200000001</v>
      </c>
      <c r="EA89" s="26">
        <v>42.309997600000003</v>
      </c>
      <c r="EB89" s="26">
        <v>5.1560570600000002</v>
      </c>
      <c r="EC89" s="26">
        <v>1247.51917</v>
      </c>
      <c r="ED89" s="26">
        <v>0</v>
      </c>
      <c r="EE89" s="26">
        <v>306.439662</v>
      </c>
      <c r="EF89" s="26">
        <v>410.78476599999999</v>
      </c>
      <c r="EG89" s="26">
        <v>52.080320399999998</v>
      </c>
      <c r="EH89" s="26">
        <v>5.78671062</v>
      </c>
      <c r="EI89" s="26">
        <v>151.45052699999999</v>
      </c>
      <c r="EJ89" s="26">
        <v>10.780222800000001</v>
      </c>
      <c r="EK89" s="26">
        <v>0</v>
      </c>
      <c r="EL89" s="26">
        <v>47.309631600000003</v>
      </c>
      <c r="EM89" s="26">
        <v>0</v>
      </c>
      <c r="EN89" s="26">
        <v>0</v>
      </c>
      <c r="EO89" s="26">
        <v>0</v>
      </c>
      <c r="EP89" s="26">
        <v>39.428992800000003</v>
      </c>
      <c r="EQ89" s="26">
        <v>2409.4790400000002</v>
      </c>
      <c r="ER89" s="26">
        <v>28.9045907</v>
      </c>
      <c r="ES89" s="26">
        <v>32</v>
      </c>
      <c r="ET89" s="26">
        <v>1</v>
      </c>
      <c r="EU89" s="26">
        <v>0</v>
      </c>
      <c r="EV89" s="26">
        <v>0</v>
      </c>
      <c r="EW89" s="26">
        <v>1</v>
      </c>
      <c r="EX89" s="26">
        <v>-70638.173899999994</v>
      </c>
      <c r="EY89" s="26">
        <v>-1155.9312199999999</v>
      </c>
      <c r="EZ89" s="26">
        <v>-2.7851920699999999</v>
      </c>
      <c r="FA89" s="26">
        <v>-143.722881</v>
      </c>
      <c r="FB89" s="26">
        <v>-2.3518978000000001</v>
      </c>
      <c r="FC89" s="26">
        <v>2.2735138500000002E-2</v>
      </c>
      <c r="FD89" s="26">
        <v>1.3893289099999999</v>
      </c>
      <c r="FE89" s="26">
        <v>61.1093227</v>
      </c>
      <c r="FF89" s="26">
        <v>0</v>
      </c>
      <c r="FG89" s="26">
        <v>0.241090585</v>
      </c>
      <c r="FH89" s="26">
        <v>-167724070.94600001</v>
      </c>
      <c r="FI89" s="26">
        <v>4.924729511620058E-2</v>
      </c>
      <c r="FJ89" s="26">
        <v>0</v>
      </c>
      <c r="FK89" s="26">
        <v>0</v>
      </c>
      <c r="FL89" s="26">
        <v>0</v>
      </c>
      <c r="FM89" s="26">
        <v>0</v>
      </c>
      <c r="FN89" s="26">
        <v>0</v>
      </c>
      <c r="FO89" s="26">
        <v>0</v>
      </c>
      <c r="FP89" s="26">
        <v>0</v>
      </c>
      <c r="FQ89" s="26">
        <v>0</v>
      </c>
      <c r="FR89" s="26">
        <v>0</v>
      </c>
      <c r="FS89" s="26">
        <v>0</v>
      </c>
      <c r="FT89" s="26">
        <v>0</v>
      </c>
      <c r="FU89" s="26">
        <v>0</v>
      </c>
      <c r="FV89" s="26">
        <v>0</v>
      </c>
      <c r="FW89" s="26">
        <v>0</v>
      </c>
      <c r="FX89" s="26">
        <v>0</v>
      </c>
      <c r="FY89" s="26">
        <v>0</v>
      </c>
      <c r="FZ89" s="26">
        <v>0</v>
      </c>
      <c r="GA89" s="26">
        <v>0</v>
      </c>
      <c r="GB89" s="26">
        <v>0</v>
      </c>
      <c r="GC89" s="26">
        <v>0</v>
      </c>
      <c r="GD89" s="26">
        <v>0</v>
      </c>
      <c r="GE89" s="26">
        <v>0</v>
      </c>
      <c r="GF89" s="26">
        <v>0</v>
      </c>
      <c r="GG89" s="26">
        <v>0</v>
      </c>
      <c r="GH89" s="26">
        <v>0</v>
      </c>
      <c r="GI89" s="26">
        <v>0</v>
      </c>
      <c r="GJ89" s="26">
        <v>0</v>
      </c>
      <c r="GK89" s="26">
        <v>0</v>
      </c>
      <c r="GL89" s="26">
        <v>0</v>
      </c>
      <c r="GM89" s="26">
        <v>0</v>
      </c>
      <c r="GN89" s="26">
        <v>0</v>
      </c>
      <c r="GO89" s="26">
        <v>0</v>
      </c>
      <c r="GP89" s="26">
        <v>0</v>
      </c>
      <c r="GQ89" s="26">
        <v>0</v>
      </c>
      <c r="GR89" s="26">
        <v>0</v>
      </c>
      <c r="GS89" s="26">
        <v>0</v>
      </c>
      <c r="GT89" s="26">
        <v>0</v>
      </c>
      <c r="GU89" s="26">
        <v>0</v>
      </c>
      <c r="GV89" s="26">
        <v>0</v>
      </c>
      <c r="GW89" s="26">
        <v>0</v>
      </c>
      <c r="GX89" s="26">
        <v>0</v>
      </c>
      <c r="GY89" s="26">
        <v>0</v>
      </c>
      <c r="GZ89" s="26">
        <v>0</v>
      </c>
      <c r="HA89" s="26">
        <v>0</v>
      </c>
      <c r="HB89" s="26">
        <v>0</v>
      </c>
      <c r="HC89" s="26">
        <v>0</v>
      </c>
      <c r="HD89" s="26">
        <v>0</v>
      </c>
      <c r="HE89" s="26">
        <v>0</v>
      </c>
      <c r="HF89" s="26">
        <v>0</v>
      </c>
      <c r="HG89" s="26">
        <v>0</v>
      </c>
      <c r="HH89" s="26">
        <v>0</v>
      </c>
      <c r="HI89" s="26">
        <v>0</v>
      </c>
      <c r="HJ89" s="26">
        <v>0</v>
      </c>
      <c r="HK89" s="26">
        <v>0</v>
      </c>
      <c r="HL89" s="26">
        <v>0</v>
      </c>
      <c r="HM89" s="26">
        <v>0</v>
      </c>
      <c r="HN89" s="26">
        <v>0</v>
      </c>
      <c r="HO89" s="26">
        <v>0</v>
      </c>
      <c r="HP89" s="26">
        <v>0</v>
      </c>
      <c r="HQ89" s="26">
        <v>0</v>
      </c>
      <c r="HR89" s="26">
        <v>0</v>
      </c>
      <c r="HS89" s="26">
        <v>0</v>
      </c>
      <c r="HT89" s="26">
        <v>2.672245163044628E-2</v>
      </c>
    </row>
    <row r="90" spans="2:228" x14ac:dyDescent="0.2">
      <c r="B90" s="27" t="s">
        <v>1352</v>
      </c>
      <c r="C90" s="26">
        <v>429873.44099999999</v>
      </c>
      <c r="D90" s="26">
        <v>-1405.6793600000001</v>
      </c>
      <c r="E90" s="26">
        <v>341382.23800000001</v>
      </c>
      <c r="F90" s="26">
        <v>5.8779036800000002</v>
      </c>
      <c r="G90" s="26">
        <v>3550.2458900000001</v>
      </c>
      <c r="H90" s="26">
        <v>1179.6069600000001</v>
      </c>
      <c r="I90" s="26">
        <v>494.93998199999999</v>
      </c>
      <c r="J90" s="26">
        <v>16476.311399999999</v>
      </c>
      <c r="K90" s="26">
        <v>2007.8659200000002</v>
      </c>
      <c r="L90" s="26">
        <v>1.4712044599999999E-4</v>
      </c>
      <c r="M90" s="26">
        <v>0</v>
      </c>
      <c r="N90" s="26">
        <v>87.614647399999996</v>
      </c>
      <c r="O90" s="26">
        <v>28.596618400000004</v>
      </c>
      <c r="P90" s="26">
        <v>11.998581100000001</v>
      </c>
      <c r="Q90" s="26">
        <v>390.551108</v>
      </c>
      <c r="R90" s="26">
        <v>47.594041799999999</v>
      </c>
      <c r="S90" s="26">
        <v>12208.3331</v>
      </c>
      <c r="T90" s="26">
        <v>656.53966200000002</v>
      </c>
      <c r="U90" s="26">
        <v>369.27255600000001</v>
      </c>
      <c r="V90" s="26">
        <v>336.08816999999999</v>
      </c>
      <c r="W90" s="26">
        <v>0</v>
      </c>
      <c r="X90" s="26">
        <v>1.05094544</v>
      </c>
      <c r="Y90" s="26">
        <v>4.8241179799999997E-5</v>
      </c>
      <c r="Z90" s="26">
        <v>3.0721527100000001E-3</v>
      </c>
      <c r="AA90" s="26">
        <v>3.0084470800000001E-3</v>
      </c>
      <c r="AB90" s="26">
        <v>0</v>
      </c>
      <c r="AC90" s="26">
        <v>0</v>
      </c>
      <c r="AD90" s="26">
        <v>2481.5580500000001</v>
      </c>
      <c r="AE90" s="26">
        <v>1860.9805199999998</v>
      </c>
      <c r="AF90" s="26">
        <v>0</v>
      </c>
      <c r="AG90" s="26">
        <v>0</v>
      </c>
      <c r="AH90" s="26">
        <v>0</v>
      </c>
      <c r="AI90" s="26">
        <v>0</v>
      </c>
      <c r="AJ90" s="26">
        <v>0</v>
      </c>
      <c r="AK90" s="26">
        <v>0</v>
      </c>
      <c r="AL90" s="26">
        <v>0</v>
      </c>
      <c r="AM90" s="26">
        <v>1.5842626899999999E-5</v>
      </c>
      <c r="AN90" s="26">
        <v>0</v>
      </c>
      <c r="AO90" s="26">
        <v>0</v>
      </c>
      <c r="AP90" s="26">
        <v>0</v>
      </c>
      <c r="AQ90" s="26">
        <v>0</v>
      </c>
      <c r="AR90" s="26">
        <v>0</v>
      </c>
      <c r="AS90" s="26">
        <v>0</v>
      </c>
      <c r="AT90" s="26">
        <v>0</v>
      </c>
      <c r="AU90" s="26">
        <v>0</v>
      </c>
      <c r="AV90" s="26">
        <v>0</v>
      </c>
      <c r="AW90" s="26">
        <v>0</v>
      </c>
      <c r="AX90" s="26">
        <v>0</v>
      </c>
      <c r="AY90" s="26">
        <v>0</v>
      </c>
      <c r="AZ90" s="26">
        <v>0</v>
      </c>
      <c r="BA90" s="26">
        <v>0</v>
      </c>
      <c r="BB90" s="26">
        <v>0</v>
      </c>
      <c r="BC90" s="26">
        <v>0</v>
      </c>
      <c r="BD90" s="26">
        <v>0</v>
      </c>
      <c r="BE90" s="26">
        <v>0</v>
      </c>
      <c r="BF90" s="26">
        <v>0</v>
      </c>
      <c r="BG90" s="26">
        <v>0</v>
      </c>
      <c r="BH90" s="26">
        <v>0</v>
      </c>
      <c r="BI90" s="26">
        <v>0</v>
      </c>
      <c r="BJ90" s="26">
        <v>0</v>
      </c>
      <c r="BK90" s="26">
        <v>0</v>
      </c>
      <c r="BL90" s="26">
        <v>0</v>
      </c>
      <c r="BM90" s="26">
        <v>0</v>
      </c>
      <c r="BN90" s="26">
        <v>0</v>
      </c>
      <c r="BO90" s="26">
        <v>19227.3894</v>
      </c>
      <c r="BP90" s="26">
        <v>383577.27</v>
      </c>
      <c r="BQ90" s="26">
        <v>6443.89617</v>
      </c>
      <c r="BR90" s="26">
        <v>77.575069900000017</v>
      </c>
      <c r="BS90" s="26">
        <v>4.3365398500000003</v>
      </c>
      <c r="BT90" s="26">
        <v>0</v>
      </c>
      <c r="BU90" s="26">
        <v>1</v>
      </c>
      <c r="BV90" s="26">
        <v>0</v>
      </c>
      <c r="BW90" s="26">
        <v>-69964.023100000006</v>
      </c>
      <c r="BX90" s="26">
        <v>-3507.05222</v>
      </c>
      <c r="BY90" s="26">
        <v>-1345.2255299999999</v>
      </c>
      <c r="BZ90" s="26">
        <v>-38.487819799999997</v>
      </c>
      <c r="CA90" s="26">
        <v>-1.92926004</v>
      </c>
      <c r="CB90" s="26">
        <v>4.9730237400000002E-2</v>
      </c>
      <c r="CC90" s="26">
        <v>0.99209457499999998</v>
      </c>
      <c r="CD90" s="26">
        <v>19.949524199999999</v>
      </c>
      <c r="CE90" s="26">
        <v>0</v>
      </c>
      <c r="CF90" s="26">
        <v>0</v>
      </c>
      <c r="CG90" s="26">
        <v>0</v>
      </c>
      <c r="CH90" s="26">
        <v>0</v>
      </c>
      <c r="CI90" s="26">
        <v>0</v>
      </c>
      <c r="CJ90" s="26">
        <v>0</v>
      </c>
      <c r="CK90" s="26">
        <v>0</v>
      </c>
      <c r="CL90" s="26">
        <v>0</v>
      </c>
      <c r="CM90" s="26">
        <v>0</v>
      </c>
      <c r="CN90" s="26">
        <v>0</v>
      </c>
      <c r="CO90" s="26">
        <v>0</v>
      </c>
      <c r="CP90" s="26">
        <v>0</v>
      </c>
      <c r="CQ90" s="26">
        <v>0</v>
      </c>
      <c r="CR90" s="26">
        <v>0</v>
      </c>
      <c r="CS90" s="26">
        <v>0</v>
      </c>
      <c r="CT90" s="26">
        <v>0</v>
      </c>
      <c r="CU90" s="26">
        <v>0</v>
      </c>
      <c r="CV90" s="26">
        <v>0</v>
      </c>
      <c r="CW90" s="26">
        <v>0</v>
      </c>
      <c r="CX90" s="26">
        <v>0</v>
      </c>
      <c r="CY90" s="26">
        <v>0</v>
      </c>
      <c r="CZ90" s="26">
        <v>0</v>
      </c>
      <c r="DA90" s="26">
        <v>0</v>
      </c>
      <c r="DB90" s="26">
        <v>0</v>
      </c>
      <c r="DC90" s="26">
        <v>0</v>
      </c>
      <c r="DD90" s="26">
        <v>0</v>
      </c>
      <c r="DE90" s="26">
        <v>0</v>
      </c>
      <c r="DF90" s="26">
        <v>0</v>
      </c>
      <c r="DG90" s="26">
        <v>0</v>
      </c>
      <c r="DH90" s="26">
        <v>0</v>
      </c>
      <c r="DI90" s="26">
        <v>0</v>
      </c>
      <c r="DJ90" s="26">
        <v>0</v>
      </c>
      <c r="DK90" s="26">
        <v>0</v>
      </c>
      <c r="DL90" s="26">
        <v>0</v>
      </c>
      <c r="DM90" s="26">
        <v>0</v>
      </c>
      <c r="DN90" s="26">
        <v>0</v>
      </c>
      <c r="DO90" s="26">
        <v>0</v>
      </c>
      <c r="DP90" s="26">
        <v>0</v>
      </c>
      <c r="DQ90" s="26">
        <v>0</v>
      </c>
      <c r="DR90" s="26">
        <v>0</v>
      </c>
      <c r="DS90" s="26">
        <v>0</v>
      </c>
      <c r="DT90" s="26">
        <v>0</v>
      </c>
      <c r="DU90" s="26">
        <v>0</v>
      </c>
      <c r="DV90" s="26">
        <v>0</v>
      </c>
      <c r="DW90" s="26">
        <v>0</v>
      </c>
      <c r="DX90" s="26">
        <v>26138.367999999999</v>
      </c>
      <c r="DY90" s="26">
        <v>30.979670600000002</v>
      </c>
      <c r="DZ90" s="26">
        <v>12.9984632</v>
      </c>
      <c r="EA90" s="26">
        <v>423.09997600000003</v>
      </c>
      <c r="EB90" s="26">
        <v>51.560570599999998</v>
      </c>
      <c r="EC90" s="26">
        <v>12475.191699999999</v>
      </c>
      <c r="ED90" s="26">
        <v>0</v>
      </c>
      <c r="EE90" s="26">
        <v>2583.0279399999999</v>
      </c>
      <c r="EF90" s="26">
        <v>4107.8476600000004</v>
      </c>
      <c r="EG90" s="26">
        <v>0</v>
      </c>
      <c r="EH90" s="26">
        <v>0</v>
      </c>
      <c r="EI90" s="26">
        <v>0</v>
      </c>
      <c r="EJ90" s="26">
        <v>0</v>
      </c>
      <c r="EK90" s="26">
        <v>0</v>
      </c>
      <c r="EL90" s="26">
        <v>473.096384</v>
      </c>
      <c r="EM90" s="26">
        <v>0</v>
      </c>
      <c r="EN90" s="26">
        <v>0</v>
      </c>
      <c r="EO90" s="26">
        <v>0</v>
      </c>
      <c r="EP90" s="26">
        <v>436.56173899999999</v>
      </c>
      <c r="EQ90" s="26">
        <v>46296.170299999998</v>
      </c>
      <c r="ER90" s="26">
        <v>328.72338300000001</v>
      </c>
      <c r="ES90" s="26">
        <v>77.575069900000017</v>
      </c>
      <c r="ET90" s="26">
        <v>4.3365398500000003</v>
      </c>
      <c r="EU90" s="26">
        <v>0</v>
      </c>
      <c r="EV90" s="26">
        <v>0</v>
      </c>
      <c r="EW90" s="26">
        <v>1</v>
      </c>
      <c r="EX90" s="26">
        <v>-138477.15900000001</v>
      </c>
      <c r="EY90" s="26">
        <v>-1305.80627</v>
      </c>
      <c r="EZ90" s="26">
        <v>-60.453830000000004</v>
      </c>
      <c r="FA90" s="26">
        <v>-380.77745800000002</v>
      </c>
      <c r="FB90" s="26">
        <v>-3.5906397399999999</v>
      </c>
      <c r="FC90" s="26">
        <v>2.2134199399999999E-2</v>
      </c>
      <c r="FD90" s="26">
        <v>2.3472708999999998</v>
      </c>
      <c r="FE90" s="26">
        <v>106.047247</v>
      </c>
      <c r="FF90" s="26">
        <v>0</v>
      </c>
      <c r="FG90" s="26">
        <v>0.234787518</v>
      </c>
      <c r="FH90" s="26">
        <v>-1656684300.6699998</v>
      </c>
      <c r="FI90" s="26">
        <v>0.37102110019039103</v>
      </c>
      <c r="FJ90" s="26">
        <v>0</v>
      </c>
      <c r="FK90" s="26">
        <v>0</v>
      </c>
      <c r="FL90" s="26">
        <v>0</v>
      </c>
      <c r="FM90" s="26">
        <v>0</v>
      </c>
      <c r="FN90" s="26">
        <v>0</v>
      </c>
      <c r="FO90" s="26">
        <v>0</v>
      </c>
      <c r="FP90" s="26">
        <v>0</v>
      </c>
      <c r="FQ90" s="26">
        <v>0</v>
      </c>
      <c r="FR90" s="26">
        <v>0</v>
      </c>
      <c r="FS90" s="26">
        <v>0</v>
      </c>
      <c r="FT90" s="26">
        <v>0</v>
      </c>
      <c r="FU90" s="26">
        <v>0</v>
      </c>
      <c r="FV90" s="26">
        <v>0</v>
      </c>
      <c r="FW90" s="26">
        <v>0</v>
      </c>
      <c r="FX90" s="26">
        <v>0</v>
      </c>
      <c r="FY90" s="26">
        <v>0</v>
      </c>
      <c r="FZ90" s="26">
        <v>0</v>
      </c>
      <c r="GA90" s="26">
        <v>0</v>
      </c>
      <c r="GB90" s="26">
        <v>0</v>
      </c>
      <c r="GC90" s="26">
        <v>0</v>
      </c>
      <c r="GD90" s="26">
        <v>0</v>
      </c>
      <c r="GE90" s="26">
        <v>0</v>
      </c>
      <c r="GF90" s="26">
        <v>0</v>
      </c>
      <c r="GG90" s="26">
        <v>0</v>
      </c>
      <c r="GH90" s="26">
        <v>0</v>
      </c>
      <c r="GI90" s="26">
        <v>0</v>
      </c>
      <c r="GJ90" s="26">
        <v>0</v>
      </c>
      <c r="GK90" s="26">
        <v>0</v>
      </c>
      <c r="GL90" s="26">
        <v>0</v>
      </c>
      <c r="GM90" s="26">
        <v>0</v>
      </c>
      <c r="GN90" s="26">
        <v>0</v>
      </c>
      <c r="GO90" s="26">
        <v>0</v>
      </c>
      <c r="GP90" s="26">
        <v>0</v>
      </c>
      <c r="GQ90" s="26">
        <v>0</v>
      </c>
      <c r="GR90" s="26">
        <v>0</v>
      </c>
      <c r="GS90" s="26">
        <v>0</v>
      </c>
      <c r="GT90" s="26">
        <v>0</v>
      </c>
      <c r="GU90" s="26">
        <v>0</v>
      </c>
      <c r="GV90" s="26">
        <v>0</v>
      </c>
      <c r="GW90" s="26">
        <v>0</v>
      </c>
      <c r="GX90" s="26">
        <v>0</v>
      </c>
      <c r="GY90" s="26">
        <v>0</v>
      </c>
      <c r="GZ90" s="26">
        <v>0</v>
      </c>
      <c r="HA90" s="26">
        <v>0</v>
      </c>
      <c r="HB90" s="26">
        <v>0</v>
      </c>
      <c r="HC90" s="26">
        <v>0</v>
      </c>
      <c r="HD90" s="26">
        <v>0</v>
      </c>
      <c r="HE90" s="26">
        <v>0</v>
      </c>
      <c r="HF90" s="26">
        <v>0</v>
      </c>
      <c r="HG90" s="26">
        <v>0</v>
      </c>
      <c r="HH90" s="26">
        <v>0</v>
      </c>
      <c r="HI90" s="26">
        <v>0</v>
      </c>
      <c r="HJ90" s="26">
        <v>0</v>
      </c>
      <c r="HK90" s="26">
        <v>0</v>
      </c>
      <c r="HL90" s="26">
        <v>0</v>
      </c>
      <c r="HM90" s="26">
        <v>0</v>
      </c>
      <c r="HN90" s="26">
        <v>0</v>
      </c>
      <c r="HO90" s="26">
        <v>0</v>
      </c>
      <c r="HP90" s="26">
        <v>0</v>
      </c>
      <c r="HQ90" s="26">
        <v>0</v>
      </c>
      <c r="HR90" s="26">
        <v>0</v>
      </c>
      <c r="HS90" s="26">
        <v>0</v>
      </c>
      <c r="HT90" s="26">
        <v>0.49211717060360399</v>
      </c>
    </row>
    <row r="91" spans="2:228" x14ac:dyDescent="0.2">
      <c r="B91" s="27" t="s">
        <v>2391</v>
      </c>
      <c r="C91" s="26">
        <v>0</v>
      </c>
      <c r="D91" s="26">
        <v>0</v>
      </c>
      <c r="E91" s="26">
        <v>0</v>
      </c>
      <c r="F91" s="26">
        <v>0</v>
      </c>
      <c r="G91" s="26">
        <v>0</v>
      </c>
      <c r="H91" s="26">
        <v>0</v>
      </c>
      <c r="I91" s="26">
        <v>0</v>
      </c>
      <c r="J91" s="26">
        <v>0</v>
      </c>
      <c r="K91" s="26">
        <v>0</v>
      </c>
      <c r="L91" s="26">
        <v>0</v>
      </c>
      <c r="M91" s="26">
        <v>0</v>
      </c>
      <c r="N91" s="26">
        <v>0</v>
      </c>
      <c r="O91" s="26">
        <v>0</v>
      </c>
      <c r="P91" s="26">
        <v>0</v>
      </c>
      <c r="Q91" s="26">
        <v>0</v>
      </c>
      <c r="R91" s="26">
        <v>0</v>
      </c>
      <c r="S91" s="26">
        <v>0</v>
      </c>
      <c r="T91" s="26">
        <v>0</v>
      </c>
      <c r="U91" s="26">
        <v>0</v>
      </c>
      <c r="V91" s="26">
        <v>0</v>
      </c>
      <c r="W91" s="26">
        <v>0</v>
      </c>
      <c r="X91" s="26">
        <v>0</v>
      </c>
      <c r="Y91" s="26">
        <v>0</v>
      </c>
      <c r="Z91" s="26">
        <v>0</v>
      </c>
      <c r="AA91" s="26">
        <v>0</v>
      </c>
      <c r="AB91" s="26">
        <v>0</v>
      </c>
      <c r="AC91" s="26">
        <v>0</v>
      </c>
      <c r="AD91" s="26">
        <v>0</v>
      </c>
      <c r="AE91" s="26">
        <v>0</v>
      </c>
      <c r="AF91" s="26">
        <v>0</v>
      </c>
      <c r="AG91" s="26">
        <v>0</v>
      </c>
      <c r="AH91" s="26">
        <v>0</v>
      </c>
      <c r="AI91" s="26">
        <v>0</v>
      </c>
      <c r="AJ91" s="26">
        <v>0</v>
      </c>
      <c r="AK91" s="26">
        <v>0</v>
      </c>
      <c r="AL91" s="26">
        <v>0</v>
      </c>
      <c r="AM91" s="26">
        <v>0</v>
      </c>
      <c r="AN91" s="26">
        <v>0</v>
      </c>
      <c r="AO91" s="26">
        <v>0</v>
      </c>
      <c r="AP91" s="26">
        <v>0</v>
      </c>
      <c r="AQ91" s="26">
        <v>0</v>
      </c>
      <c r="AR91" s="26">
        <v>0</v>
      </c>
      <c r="AS91" s="26">
        <v>0</v>
      </c>
      <c r="AT91" s="26">
        <v>0</v>
      </c>
      <c r="AU91" s="26">
        <v>0</v>
      </c>
      <c r="AV91" s="26">
        <v>0</v>
      </c>
      <c r="AW91" s="26">
        <v>0</v>
      </c>
      <c r="AX91" s="26">
        <v>0</v>
      </c>
      <c r="AY91" s="26">
        <v>0</v>
      </c>
      <c r="AZ91" s="26">
        <v>0</v>
      </c>
      <c r="BA91" s="26">
        <v>0</v>
      </c>
      <c r="BB91" s="26">
        <v>0</v>
      </c>
      <c r="BC91" s="26">
        <v>0</v>
      </c>
      <c r="BD91" s="26">
        <v>0</v>
      </c>
      <c r="BE91" s="26">
        <v>0</v>
      </c>
      <c r="BF91" s="26">
        <v>0</v>
      </c>
      <c r="BG91" s="26">
        <v>0</v>
      </c>
      <c r="BH91" s="26">
        <v>0</v>
      </c>
      <c r="BI91" s="26">
        <v>0</v>
      </c>
      <c r="BJ91" s="26">
        <v>0</v>
      </c>
      <c r="BK91" s="26">
        <v>0</v>
      </c>
      <c r="BL91" s="26">
        <v>0</v>
      </c>
      <c r="BM91" s="26">
        <v>0</v>
      </c>
      <c r="BN91" s="26">
        <v>0</v>
      </c>
      <c r="BO91" s="26">
        <v>0</v>
      </c>
      <c r="BP91" s="26">
        <v>0</v>
      </c>
      <c r="BQ91" s="26">
        <v>0</v>
      </c>
      <c r="BR91" s="26">
        <v>0</v>
      </c>
      <c r="BS91" s="26">
        <v>0</v>
      </c>
      <c r="BT91" s="26">
        <v>0</v>
      </c>
      <c r="BU91" s="26">
        <v>0</v>
      </c>
      <c r="BV91" s="26">
        <v>0</v>
      </c>
      <c r="BW91" s="26">
        <v>0</v>
      </c>
      <c r="BX91" s="26">
        <v>0</v>
      </c>
      <c r="BY91" s="26">
        <v>0</v>
      </c>
      <c r="BZ91" s="26">
        <v>0</v>
      </c>
      <c r="CA91" s="26">
        <v>0</v>
      </c>
      <c r="CB91" s="26">
        <v>0</v>
      </c>
      <c r="CC91" s="26">
        <v>0</v>
      </c>
      <c r="CD91" s="26">
        <v>0</v>
      </c>
      <c r="CE91" s="26">
        <v>0</v>
      </c>
      <c r="CF91" s="26">
        <v>0</v>
      </c>
      <c r="CG91" s="26">
        <v>0</v>
      </c>
      <c r="CH91" s="26">
        <v>0</v>
      </c>
      <c r="CI91" s="26">
        <v>0</v>
      </c>
      <c r="CJ91" s="26">
        <v>0</v>
      </c>
      <c r="CK91" s="26">
        <v>0</v>
      </c>
      <c r="CL91" s="26">
        <v>0</v>
      </c>
      <c r="CM91" s="26">
        <v>0</v>
      </c>
      <c r="CN91" s="26">
        <v>0</v>
      </c>
      <c r="CO91" s="26">
        <v>0</v>
      </c>
      <c r="CP91" s="26">
        <v>0</v>
      </c>
      <c r="CQ91" s="26">
        <v>0</v>
      </c>
      <c r="CR91" s="26">
        <v>0</v>
      </c>
      <c r="CS91" s="26">
        <v>0</v>
      </c>
      <c r="CT91" s="26">
        <v>0</v>
      </c>
      <c r="CU91" s="26">
        <v>0</v>
      </c>
      <c r="CV91" s="26">
        <v>0</v>
      </c>
      <c r="CW91" s="26">
        <v>0</v>
      </c>
      <c r="CX91" s="26">
        <v>0</v>
      </c>
      <c r="CY91" s="26">
        <v>0</v>
      </c>
      <c r="CZ91" s="26">
        <v>0</v>
      </c>
      <c r="DA91" s="26">
        <v>0</v>
      </c>
      <c r="DB91" s="26">
        <v>0</v>
      </c>
      <c r="DC91" s="26">
        <v>0</v>
      </c>
      <c r="DD91" s="26">
        <v>0</v>
      </c>
      <c r="DE91" s="26">
        <v>0</v>
      </c>
      <c r="DF91" s="26">
        <v>0</v>
      </c>
      <c r="DG91" s="26">
        <v>0</v>
      </c>
      <c r="DH91" s="26">
        <v>0</v>
      </c>
      <c r="DI91" s="26">
        <v>0</v>
      </c>
      <c r="DJ91" s="26">
        <v>0</v>
      </c>
      <c r="DK91" s="26">
        <v>0</v>
      </c>
      <c r="DL91" s="26">
        <v>0</v>
      </c>
      <c r="DM91" s="26">
        <v>0</v>
      </c>
      <c r="DN91" s="26">
        <v>0</v>
      </c>
      <c r="DO91" s="26">
        <v>0</v>
      </c>
      <c r="DP91" s="26">
        <v>0</v>
      </c>
      <c r="DQ91" s="26">
        <v>0</v>
      </c>
      <c r="DR91" s="26">
        <v>0</v>
      </c>
      <c r="DS91" s="26">
        <v>0</v>
      </c>
      <c r="DT91" s="26">
        <v>0</v>
      </c>
      <c r="DU91" s="26">
        <v>0</v>
      </c>
      <c r="DV91" s="26">
        <v>0</v>
      </c>
      <c r="DW91" s="26">
        <v>0</v>
      </c>
      <c r="DX91" s="26">
        <v>0</v>
      </c>
      <c r="DY91" s="26">
        <v>0</v>
      </c>
      <c r="DZ91" s="26">
        <v>0</v>
      </c>
      <c r="EA91" s="26">
        <v>0</v>
      </c>
      <c r="EB91" s="26">
        <v>0</v>
      </c>
      <c r="EC91" s="26">
        <v>0</v>
      </c>
      <c r="ED91" s="26">
        <v>0</v>
      </c>
      <c r="EE91" s="26">
        <v>0</v>
      </c>
      <c r="EF91" s="26">
        <v>0</v>
      </c>
      <c r="EG91" s="26">
        <v>0</v>
      </c>
      <c r="EH91" s="26">
        <v>0</v>
      </c>
      <c r="EI91" s="26">
        <v>0</v>
      </c>
      <c r="EJ91" s="26">
        <v>0</v>
      </c>
      <c r="EK91" s="26">
        <v>0</v>
      </c>
      <c r="EL91" s="26">
        <v>0</v>
      </c>
      <c r="EM91" s="26">
        <v>0</v>
      </c>
      <c r="EN91" s="26">
        <v>0</v>
      </c>
      <c r="EO91" s="26">
        <v>0</v>
      </c>
      <c r="EP91" s="26">
        <v>0</v>
      </c>
      <c r="EQ91" s="26">
        <v>0</v>
      </c>
      <c r="ER91" s="26">
        <v>0</v>
      </c>
      <c r="ES91" s="26">
        <v>0</v>
      </c>
      <c r="ET91" s="26">
        <v>0</v>
      </c>
      <c r="EU91" s="26">
        <v>0</v>
      </c>
      <c r="EV91" s="26">
        <v>0</v>
      </c>
      <c r="EW91" s="26">
        <v>0</v>
      </c>
      <c r="EX91" s="26">
        <v>0</v>
      </c>
      <c r="EY91" s="26">
        <v>0</v>
      </c>
      <c r="EZ91" s="26">
        <v>0</v>
      </c>
      <c r="FA91" s="26">
        <v>0</v>
      </c>
      <c r="FB91" s="26">
        <v>0</v>
      </c>
      <c r="FC91" s="26">
        <v>0</v>
      </c>
      <c r="FD91" s="26">
        <v>0</v>
      </c>
      <c r="FE91" s="26">
        <v>0</v>
      </c>
      <c r="FF91" s="26">
        <v>0</v>
      </c>
      <c r="FG91" s="26">
        <v>0</v>
      </c>
      <c r="FH91" s="26">
        <v>0</v>
      </c>
      <c r="FI91" s="26">
        <v>0</v>
      </c>
      <c r="FJ91" s="26">
        <v>0</v>
      </c>
      <c r="FK91" s="26">
        <v>0</v>
      </c>
      <c r="FL91" s="26">
        <v>0</v>
      </c>
      <c r="FM91" s="26">
        <v>0</v>
      </c>
      <c r="FN91" s="26">
        <v>0</v>
      </c>
      <c r="FO91" s="26">
        <v>0</v>
      </c>
      <c r="FP91" s="26">
        <v>0</v>
      </c>
      <c r="FQ91" s="26">
        <v>0</v>
      </c>
      <c r="FR91" s="26">
        <v>0</v>
      </c>
      <c r="FS91" s="26">
        <v>0</v>
      </c>
      <c r="FT91" s="26">
        <v>0</v>
      </c>
      <c r="FU91" s="26">
        <v>0</v>
      </c>
      <c r="FV91" s="26">
        <v>0</v>
      </c>
      <c r="FW91" s="26">
        <v>0</v>
      </c>
      <c r="FX91" s="26">
        <v>0</v>
      </c>
      <c r="FY91" s="26">
        <v>0</v>
      </c>
      <c r="FZ91" s="26">
        <v>0</v>
      </c>
      <c r="GA91" s="26">
        <v>0</v>
      </c>
      <c r="GB91" s="26">
        <v>0</v>
      </c>
      <c r="GC91" s="26">
        <v>0</v>
      </c>
      <c r="GD91" s="26">
        <v>0</v>
      </c>
      <c r="GE91" s="26">
        <v>0</v>
      </c>
      <c r="GF91" s="26">
        <v>0</v>
      </c>
      <c r="GG91" s="26">
        <v>0</v>
      </c>
      <c r="GH91" s="26">
        <v>0</v>
      </c>
      <c r="GI91" s="26">
        <v>0</v>
      </c>
      <c r="GJ91" s="26">
        <v>0</v>
      </c>
      <c r="GK91" s="26">
        <v>0</v>
      </c>
      <c r="GL91" s="26">
        <v>0</v>
      </c>
      <c r="GM91" s="26">
        <v>0</v>
      </c>
      <c r="GN91" s="26">
        <v>0</v>
      </c>
      <c r="GO91" s="26">
        <v>0</v>
      </c>
      <c r="GP91" s="26">
        <v>0</v>
      </c>
      <c r="GQ91" s="26">
        <v>0</v>
      </c>
      <c r="GR91" s="26">
        <v>0</v>
      </c>
      <c r="GS91" s="26">
        <v>0</v>
      </c>
      <c r="GT91" s="26">
        <v>0</v>
      </c>
      <c r="GU91" s="26">
        <v>0</v>
      </c>
      <c r="GV91" s="26">
        <v>0</v>
      </c>
      <c r="GW91" s="26">
        <v>0</v>
      </c>
      <c r="GX91" s="26">
        <v>0</v>
      </c>
      <c r="GY91" s="26">
        <v>0</v>
      </c>
      <c r="GZ91" s="26">
        <v>0</v>
      </c>
      <c r="HA91" s="26">
        <v>0</v>
      </c>
      <c r="HB91" s="26">
        <v>0</v>
      </c>
      <c r="HC91" s="26">
        <v>0</v>
      </c>
      <c r="HD91" s="26">
        <v>0</v>
      </c>
      <c r="HE91" s="26">
        <v>0</v>
      </c>
      <c r="HF91" s="26">
        <v>0</v>
      </c>
      <c r="HG91" s="26">
        <v>0</v>
      </c>
      <c r="HH91" s="26">
        <v>0</v>
      </c>
      <c r="HI91" s="26">
        <v>0</v>
      </c>
      <c r="HJ91" s="26">
        <v>0</v>
      </c>
      <c r="HK91" s="26">
        <v>0</v>
      </c>
      <c r="HL91" s="26">
        <v>0</v>
      </c>
      <c r="HM91" s="26">
        <v>0</v>
      </c>
      <c r="HN91" s="26">
        <v>0</v>
      </c>
      <c r="HO91" s="26">
        <v>0</v>
      </c>
      <c r="HP91" s="26">
        <v>0</v>
      </c>
      <c r="HQ91" s="26">
        <v>0</v>
      </c>
      <c r="HR91" s="26">
        <v>0</v>
      </c>
      <c r="HS91" s="26">
        <v>0</v>
      </c>
      <c r="HT91" s="26">
        <v>0</v>
      </c>
    </row>
    <row r="92" spans="2:228" x14ac:dyDescent="0.2">
      <c r="B92" s="27" t="s">
        <v>2390</v>
      </c>
      <c r="C92" s="26">
        <v>443709.61599999998</v>
      </c>
      <c r="D92" s="26">
        <v>-1471.83818</v>
      </c>
      <c r="E92" s="26">
        <v>351804.25599999999</v>
      </c>
      <c r="F92" s="26">
        <v>5.8781905099999996</v>
      </c>
      <c r="G92" s="26">
        <v>29688.5353</v>
      </c>
      <c r="H92" s="26">
        <v>1179.6069600000001</v>
      </c>
      <c r="I92" s="26">
        <v>494.93998199999999</v>
      </c>
      <c r="J92" s="26">
        <v>16476.311399999999</v>
      </c>
      <c r="K92" s="26">
        <v>2007.8659200000002</v>
      </c>
      <c r="L92" s="26">
        <v>331.08546999999999</v>
      </c>
      <c r="M92" s="26">
        <v>0</v>
      </c>
      <c r="N92" s="26">
        <v>1133.1493700000001</v>
      </c>
      <c r="O92" s="26">
        <v>28.596618400000004</v>
      </c>
      <c r="P92" s="26">
        <v>11.998581100000001</v>
      </c>
      <c r="Q92" s="26">
        <v>390.551108</v>
      </c>
      <c r="R92" s="26">
        <v>47.594041799999999</v>
      </c>
      <c r="S92" s="26">
        <v>12208.3331</v>
      </c>
      <c r="T92" s="26">
        <v>656.53966200000002</v>
      </c>
      <c r="U92" s="26">
        <v>369.27255600000001</v>
      </c>
      <c r="V92" s="26">
        <v>336.08820900000001</v>
      </c>
      <c r="W92" s="26">
        <v>0</v>
      </c>
      <c r="X92" s="26">
        <v>41.7626621</v>
      </c>
      <c r="Y92" s="26">
        <v>4.8241145299999999E-5</v>
      </c>
      <c r="Z92" s="26">
        <v>3.07215002E-3</v>
      </c>
      <c r="AA92" s="26">
        <v>3.00844484E-3</v>
      </c>
      <c r="AB92" s="26">
        <v>0.20126485999999999</v>
      </c>
      <c r="AC92" s="26">
        <v>0</v>
      </c>
      <c r="AD92" s="26">
        <v>2481.5580500000001</v>
      </c>
      <c r="AE92" s="26">
        <v>1860.9805500000002</v>
      </c>
      <c r="AF92" s="26">
        <v>0</v>
      </c>
      <c r="AG92" s="26">
        <v>0</v>
      </c>
      <c r="AH92" s="26">
        <v>0</v>
      </c>
      <c r="AI92" s="26">
        <v>0</v>
      </c>
      <c r="AJ92" s="26">
        <v>0</v>
      </c>
      <c r="AK92" s="26">
        <v>0</v>
      </c>
      <c r="AL92" s="26">
        <v>0</v>
      </c>
      <c r="AM92" s="26">
        <v>13.3575797</v>
      </c>
      <c r="AN92" s="26">
        <v>7.8816405399999998E-2</v>
      </c>
      <c r="AO92" s="26">
        <v>0.17471503399999999</v>
      </c>
      <c r="AP92" s="26">
        <v>0</v>
      </c>
      <c r="AQ92" s="26">
        <v>0</v>
      </c>
      <c r="AR92" s="26">
        <v>0</v>
      </c>
      <c r="AS92" s="26">
        <v>0.85319993199999999</v>
      </c>
      <c r="AT92" s="26">
        <v>0</v>
      </c>
      <c r="AU92" s="26">
        <v>0</v>
      </c>
      <c r="AV92" s="26">
        <v>2.1650924699999998E-3</v>
      </c>
      <c r="AW92" s="26">
        <v>0</v>
      </c>
      <c r="AX92" s="26">
        <v>0</v>
      </c>
      <c r="AY92" s="26">
        <v>0</v>
      </c>
      <c r="AZ92" s="26">
        <v>0</v>
      </c>
      <c r="BA92" s="26">
        <v>0</v>
      </c>
      <c r="BB92" s="26">
        <v>0</v>
      </c>
      <c r="BC92" s="26">
        <v>0</v>
      </c>
      <c r="BD92" s="26">
        <v>0</v>
      </c>
      <c r="BE92" s="26">
        <v>0</v>
      </c>
      <c r="BF92" s="26">
        <v>0</v>
      </c>
      <c r="BG92" s="26">
        <v>0</v>
      </c>
      <c r="BH92" s="26">
        <v>0</v>
      </c>
      <c r="BI92" s="26">
        <v>0</v>
      </c>
      <c r="BJ92" s="26">
        <v>0</v>
      </c>
      <c r="BK92" s="26">
        <v>0</v>
      </c>
      <c r="BL92" s="26">
        <v>0</v>
      </c>
      <c r="BM92" s="26">
        <v>0</v>
      </c>
      <c r="BN92" s="26">
        <v>0</v>
      </c>
      <c r="BO92" s="26">
        <v>19958.939600000002</v>
      </c>
      <c r="BP92" s="26">
        <v>421569.57799999998</v>
      </c>
      <c r="BQ92" s="26">
        <v>6514.6997499999998</v>
      </c>
      <c r="BR92" s="26">
        <v>32</v>
      </c>
      <c r="BS92" s="26">
        <v>1</v>
      </c>
      <c r="BT92" s="26">
        <v>0</v>
      </c>
      <c r="BU92" s="26">
        <v>1</v>
      </c>
      <c r="BV92" s="26">
        <v>0</v>
      </c>
      <c r="BW92" s="26">
        <v>-72460.645399999994</v>
      </c>
      <c r="BX92" s="26">
        <v>-3430.6025</v>
      </c>
      <c r="BY92" s="26">
        <v>-1446.23766</v>
      </c>
      <c r="BZ92" s="26">
        <v>-42.481349399999999</v>
      </c>
      <c r="CA92" s="26">
        <v>-2.0112520699999998</v>
      </c>
      <c r="CB92" s="26">
        <v>5.1061292500000001E-2</v>
      </c>
      <c r="CC92" s="26">
        <v>1.0785085700000001</v>
      </c>
      <c r="CD92" s="26">
        <v>21.121842399999998</v>
      </c>
      <c r="CE92" s="26">
        <v>0</v>
      </c>
      <c r="CF92" s="26">
        <v>0</v>
      </c>
      <c r="CG92" s="26">
        <v>0</v>
      </c>
      <c r="CH92" s="26">
        <v>0</v>
      </c>
      <c r="CI92" s="26">
        <v>0</v>
      </c>
      <c r="CJ92" s="26">
        <v>0</v>
      </c>
      <c r="CK92" s="26">
        <v>0</v>
      </c>
      <c r="CL92" s="26">
        <v>0</v>
      </c>
      <c r="CM92" s="26">
        <v>0</v>
      </c>
      <c r="CN92" s="26">
        <v>0</v>
      </c>
      <c r="CO92" s="26">
        <v>0</v>
      </c>
      <c r="CP92" s="26">
        <v>0</v>
      </c>
      <c r="CQ92" s="26">
        <v>0</v>
      </c>
      <c r="CR92" s="26">
        <v>0</v>
      </c>
      <c r="CS92" s="26">
        <v>0</v>
      </c>
      <c r="CT92" s="26">
        <v>0</v>
      </c>
      <c r="CU92" s="26">
        <v>0</v>
      </c>
      <c r="CV92" s="26">
        <v>0</v>
      </c>
      <c r="CW92" s="26">
        <v>0</v>
      </c>
      <c r="CX92" s="26">
        <v>0</v>
      </c>
      <c r="CY92" s="26">
        <v>0</v>
      </c>
      <c r="CZ92" s="26">
        <v>0</v>
      </c>
      <c r="DA92" s="26">
        <v>0</v>
      </c>
      <c r="DB92" s="26">
        <v>0</v>
      </c>
      <c r="DC92" s="26">
        <v>0</v>
      </c>
      <c r="DD92" s="26">
        <v>0</v>
      </c>
      <c r="DE92" s="26">
        <v>0</v>
      </c>
      <c r="DF92" s="26">
        <v>0</v>
      </c>
      <c r="DG92" s="26">
        <v>0</v>
      </c>
      <c r="DH92" s="26">
        <v>0</v>
      </c>
      <c r="DI92" s="26">
        <v>0</v>
      </c>
      <c r="DJ92" s="26">
        <v>0</v>
      </c>
      <c r="DK92" s="26">
        <v>0</v>
      </c>
      <c r="DL92" s="26">
        <v>0</v>
      </c>
      <c r="DM92" s="26">
        <v>0</v>
      </c>
      <c r="DN92" s="26">
        <v>0</v>
      </c>
      <c r="DO92" s="26">
        <v>0</v>
      </c>
      <c r="DP92" s="26">
        <v>0</v>
      </c>
      <c r="DQ92" s="26">
        <v>0</v>
      </c>
      <c r="DR92" s="26">
        <v>0</v>
      </c>
      <c r="DS92" s="26">
        <v>0</v>
      </c>
      <c r="DT92" s="26">
        <v>0</v>
      </c>
      <c r="DU92" s="26">
        <v>0</v>
      </c>
      <c r="DV92" s="26">
        <v>0</v>
      </c>
      <c r="DW92" s="26">
        <v>0</v>
      </c>
      <c r="DX92" s="26">
        <v>1254.64166</v>
      </c>
      <c r="DY92" s="26">
        <v>30.979670600000002</v>
      </c>
      <c r="DZ92" s="26">
        <v>12.9984632</v>
      </c>
      <c r="EA92" s="26">
        <v>423.09997600000003</v>
      </c>
      <c r="EB92" s="26">
        <v>51.560570599999998</v>
      </c>
      <c r="EC92" s="26">
        <v>12475.191699999999</v>
      </c>
      <c r="ED92" s="26">
        <v>0</v>
      </c>
      <c r="EE92" s="26">
        <v>2624.1497599999998</v>
      </c>
      <c r="EF92" s="26">
        <v>4107.8476600000004</v>
      </c>
      <c r="EG92" s="26">
        <v>520.80320400000005</v>
      </c>
      <c r="EH92" s="26">
        <v>57.867106200000009</v>
      </c>
      <c r="EI92" s="26">
        <v>0</v>
      </c>
      <c r="EJ92" s="26">
        <v>107.802228</v>
      </c>
      <c r="EK92" s="26">
        <v>0</v>
      </c>
      <c r="EL92" s="26">
        <v>473.096316</v>
      </c>
      <c r="EM92" s="26">
        <v>0</v>
      </c>
      <c r="EN92" s="26">
        <v>0</v>
      </c>
      <c r="EO92" s="26">
        <v>0</v>
      </c>
      <c r="EP92" s="26">
        <v>313.51507900000001</v>
      </c>
      <c r="EQ92" s="26">
        <v>22140.0383</v>
      </c>
      <c r="ER92" s="26">
        <v>267.35296099999999</v>
      </c>
      <c r="ES92" s="26">
        <v>32</v>
      </c>
      <c r="ET92" s="26">
        <v>1</v>
      </c>
      <c r="EU92" s="26">
        <v>0</v>
      </c>
      <c r="EV92" s="26">
        <v>0</v>
      </c>
      <c r="EW92" s="26">
        <v>1</v>
      </c>
      <c r="EX92" s="26">
        <v>-81656.433699999994</v>
      </c>
      <c r="EY92" s="26">
        <v>-1156.2998600000001</v>
      </c>
      <c r="EZ92" s="26">
        <v>-25.600523500000001</v>
      </c>
      <c r="FA92" s="26">
        <v>-157.86348699999999</v>
      </c>
      <c r="FB92" s="26">
        <v>-2.23543351</v>
      </c>
      <c r="FC92" s="26">
        <v>1.95443927E-2</v>
      </c>
      <c r="FD92" s="26">
        <v>1.3802002899999999</v>
      </c>
      <c r="FE92" s="26">
        <v>70.618735200000003</v>
      </c>
      <c r="FF92" s="26">
        <v>0</v>
      </c>
      <c r="FG92" s="26">
        <v>0.229901824</v>
      </c>
      <c r="FH92" s="26">
        <v>-1714712743.9100001</v>
      </c>
      <c r="FI92" s="26">
        <v>0.62742014668602786</v>
      </c>
      <c r="FJ92" s="26">
        <v>0</v>
      </c>
      <c r="FK92" s="26">
        <v>0</v>
      </c>
      <c r="FL92" s="26">
        <v>0</v>
      </c>
      <c r="FM92" s="26">
        <v>0</v>
      </c>
      <c r="FN92" s="26">
        <v>0</v>
      </c>
      <c r="FO92" s="26">
        <v>0</v>
      </c>
      <c r="FP92" s="26">
        <v>0</v>
      </c>
      <c r="FQ92" s="26">
        <v>0</v>
      </c>
      <c r="FR92" s="26">
        <v>0</v>
      </c>
      <c r="FS92" s="26">
        <v>0</v>
      </c>
      <c r="FT92" s="26">
        <v>0</v>
      </c>
      <c r="FU92" s="26">
        <v>0</v>
      </c>
      <c r="FV92" s="26">
        <v>0</v>
      </c>
      <c r="FW92" s="26">
        <v>0</v>
      </c>
      <c r="FX92" s="26">
        <v>0</v>
      </c>
      <c r="FY92" s="26">
        <v>0</v>
      </c>
      <c r="FZ92" s="26">
        <v>0</v>
      </c>
      <c r="GA92" s="26">
        <v>0</v>
      </c>
      <c r="GB92" s="26">
        <v>0</v>
      </c>
      <c r="GC92" s="26">
        <v>0</v>
      </c>
      <c r="GD92" s="26">
        <v>0</v>
      </c>
      <c r="GE92" s="26">
        <v>0</v>
      </c>
      <c r="GF92" s="26">
        <v>0</v>
      </c>
      <c r="GG92" s="26">
        <v>0</v>
      </c>
      <c r="GH92" s="26">
        <v>0</v>
      </c>
      <c r="GI92" s="26">
        <v>0</v>
      </c>
      <c r="GJ92" s="26">
        <v>0</v>
      </c>
      <c r="GK92" s="26">
        <v>0</v>
      </c>
      <c r="GL92" s="26">
        <v>0</v>
      </c>
      <c r="GM92" s="26">
        <v>0</v>
      </c>
      <c r="GN92" s="26">
        <v>0</v>
      </c>
      <c r="GO92" s="26">
        <v>0</v>
      </c>
      <c r="GP92" s="26">
        <v>0</v>
      </c>
      <c r="GQ92" s="26">
        <v>0</v>
      </c>
      <c r="GR92" s="26">
        <v>0</v>
      </c>
      <c r="GS92" s="26">
        <v>0</v>
      </c>
      <c r="GT92" s="26">
        <v>0</v>
      </c>
      <c r="GU92" s="26">
        <v>0</v>
      </c>
      <c r="GV92" s="26">
        <v>0</v>
      </c>
      <c r="GW92" s="26">
        <v>0</v>
      </c>
      <c r="GX92" s="26">
        <v>0</v>
      </c>
      <c r="GY92" s="26">
        <v>0</v>
      </c>
      <c r="GZ92" s="26">
        <v>0</v>
      </c>
      <c r="HA92" s="26">
        <v>0</v>
      </c>
      <c r="HB92" s="26">
        <v>0</v>
      </c>
      <c r="HC92" s="26">
        <v>0</v>
      </c>
      <c r="HD92" s="26">
        <v>0</v>
      </c>
      <c r="HE92" s="26">
        <v>0</v>
      </c>
      <c r="HF92" s="26">
        <v>0</v>
      </c>
      <c r="HG92" s="26">
        <v>0</v>
      </c>
      <c r="HH92" s="26">
        <v>0</v>
      </c>
      <c r="HI92" s="26">
        <v>0</v>
      </c>
      <c r="HJ92" s="26">
        <v>0</v>
      </c>
      <c r="HK92" s="26">
        <v>0</v>
      </c>
      <c r="HL92" s="26">
        <v>0</v>
      </c>
      <c r="HM92" s="26">
        <v>0</v>
      </c>
      <c r="HN92" s="26">
        <v>0</v>
      </c>
      <c r="HO92" s="26">
        <v>0</v>
      </c>
      <c r="HP92" s="26">
        <v>0</v>
      </c>
      <c r="HQ92" s="26">
        <v>0</v>
      </c>
      <c r="HR92" s="26">
        <v>0</v>
      </c>
      <c r="HS92" s="26">
        <v>0</v>
      </c>
      <c r="HT92" s="26">
        <v>0.24478705806940756</v>
      </c>
    </row>
    <row r="93" spans="2:228" x14ac:dyDescent="0.2">
      <c r="B93" s="27" t="s">
        <v>3167</v>
      </c>
      <c r="C93" s="26">
        <v>429873.44099999999</v>
      </c>
      <c r="D93" s="26">
        <v>-1416.31816</v>
      </c>
      <c r="E93" s="26">
        <v>341382.23800000001</v>
      </c>
      <c r="F93" s="26">
        <v>5.8779036800000002</v>
      </c>
      <c r="G93" s="26">
        <v>3550.2458900000001</v>
      </c>
      <c r="H93" s="26">
        <v>1179.6069600000001</v>
      </c>
      <c r="I93" s="26">
        <v>494.93998199999999</v>
      </c>
      <c r="J93" s="26">
        <v>16476.311399999999</v>
      </c>
      <c r="K93" s="26">
        <v>2007.8659200000002</v>
      </c>
      <c r="L93" s="26">
        <v>1.4712044599999999E-4</v>
      </c>
      <c r="M93" s="26">
        <v>0</v>
      </c>
      <c r="N93" s="26">
        <v>87.614647399999996</v>
      </c>
      <c r="O93" s="26">
        <v>28.596618400000004</v>
      </c>
      <c r="P93" s="26">
        <v>11.998581100000001</v>
      </c>
      <c r="Q93" s="26">
        <v>390.551108</v>
      </c>
      <c r="R93" s="26">
        <v>47.594041799999999</v>
      </c>
      <c r="S93" s="26">
        <v>12208.3331</v>
      </c>
      <c r="T93" s="26">
        <v>656.53966200000002</v>
      </c>
      <c r="U93" s="26">
        <v>369.27255600000001</v>
      </c>
      <c r="V93" s="26">
        <v>336.08816999999999</v>
      </c>
      <c r="W93" s="26">
        <v>0</v>
      </c>
      <c r="X93" s="26">
        <v>1.05094544</v>
      </c>
      <c r="Y93" s="26">
        <v>4.8241179799999997E-5</v>
      </c>
      <c r="Z93" s="26">
        <v>3.0721527100000001E-3</v>
      </c>
      <c r="AA93" s="26">
        <v>3.0084470800000001E-3</v>
      </c>
      <c r="AB93" s="26">
        <v>0</v>
      </c>
      <c r="AC93" s="26">
        <v>0</v>
      </c>
      <c r="AD93" s="26">
        <v>2481.5580500000001</v>
      </c>
      <c r="AE93" s="26">
        <v>1860.9805199999998</v>
      </c>
      <c r="AF93" s="26">
        <v>0</v>
      </c>
      <c r="AG93" s="26">
        <v>0</v>
      </c>
      <c r="AH93" s="26">
        <v>0</v>
      </c>
      <c r="AI93" s="26">
        <v>0</v>
      </c>
      <c r="AJ93" s="26">
        <v>0</v>
      </c>
      <c r="AK93" s="26">
        <v>0</v>
      </c>
      <c r="AL93" s="26">
        <v>0</v>
      </c>
      <c r="AM93" s="26">
        <v>1.5842626899999999E-5</v>
      </c>
      <c r="AN93" s="26">
        <v>0</v>
      </c>
      <c r="AO93" s="26">
        <v>0</v>
      </c>
      <c r="AP93" s="26">
        <v>0</v>
      </c>
      <c r="AQ93" s="26">
        <v>0</v>
      </c>
      <c r="AR93" s="26">
        <v>0</v>
      </c>
      <c r="AS93" s="26">
        <v>0</v>
      </c>
      <c r="AT93" s="26">
        <v>0</v>
      </c>
      <c r="AU93" s="26">
        <v>0</v>
      </c>
      <c r="AV93" s="26">
        <v>0</v>
      </c>
      <c r="AW93" s="26">
        <v>0</v>
      </c>
      <c r="AX93" s="26">
        <v>0</v>
      </c>
      <c r="AY93" s="26">
        <v>0</v>
      </c>
      <c r="AZ93" s="26">
        <v>0</v>
      </c>
      <c r="BA93" s="26">
        <v>0</v>
      </c>
      <c r="BB93" s="26">
        <v>0</v>
      </c>
      <c r="BC93" s="26">
        <v>0</v>
      </c>
      <c r="BD93" s="26">
        <v>0</v>
      </c>
      <c r="BE93" s="26">
        <v>0</v>
      </c>
      <c r="BF93" s="26">
        <v>0</v>
      </c>
      <c r="BG93" s="26">
        <v>0</v>
      </c>
      <c r="BH93" s="26">
        <v>0</v>
      </c>
      <c r="BI93" s="26">
        <v>0</v>
      </c>
      <c r="BJ93" s="26">
        <v>0</v>
      </c>
      <c r="BK93" s="26">
        <v>0</v>
      </c>
      <c r="BL93" s="26">
        <v>0</v>
      </c>
      <c r="BM93" s="26">
        <v>0</v>
      </c>
      <c r="BN93" s="26">
        <v>0</v>
      </c>
      <c r="BO93" s="26">
        <v>19227.3894</v>
      </c>
      <c r="BP93" s="26">
        <v>383577.27</v>
      </c>
      <c r="BQ93" s="26">
        <v>6248.4310800000003</v>
      </c>
      <c r="BR93" s="26">
        <v>48.509076800000003</v>
      </c>
      <c r="BS93" s="26">
        <v>2.5</v>
      </c>
      <c r="BT93" s="26">
        <v>0</v>
      </c>
      <c r="BU93" s="26">
        <v>1</v>
      </c>
      <c r="BV93" s="26">
        <v>0</v>
      </c>
      <c r="BW93" s="26">
        <v>-70505.343599999993</v>
      </c>
      <c r="BX93" s="26">
        <v>-3534.1867200000002</v>
      </c>
      <c r="BY93" s="26">
        <v>-1355.6337100000001</v>
      </c>
      <c r="BZ93" s="26">
        <v>-40.095967600000002</v>
      </c>
      <c r="CA93" s="26">
        <v>-2.0098708699999999</v>
      </c>
      <c r="CB93" s="26">
        <v>5.1285911900000002E-2</v>
      </c>
      <c r="CC93" s="26">
        <v>1.02312954</v>
      </c>
      <c r="CD93" s="26">
        <v>19.949524199999999</v>
      </c>
      <c r="CE93" s="26">
        <v>0</v>
      </c>
      <c r="CF93" s="26">
        <v>0</v>
      </c>
      <c r="CG93" s="26">
        <v>0</v>
      </c>
      <c r="CH93" s="26">
        <v>0</v>
      </c>
      <c r="CI93" s="26">
        <v>0</v>
      </c>
      <c r="CJ93" s="26">
        <v>0</v>
      </c>
      <c r="CK93" s="26">
        <v>0</v>
      </c>
      <c r="CL93" s="26">
        <v>0</v>
      </c>
      <c r="CM93" s="26">
        <v>0</v>
      </c>
      <c r="CN93" s="26">
        <v>0</v>
      </c>
      <c r="CO93" s="26">
        <v>0</v>
      </c>
      <c r="CP93" s="26">
        <v>0</v>
      </c>
      <c r="CQ93" s="26">
        <v>0</v>
      </c>
      <c r="CR93" s="26">
        <v>0</v>
      </c>
      <c r="CS93" s="26">
        <v>0</v>
      </c>
      <c r="CT93" s="26">
        <v>0</v>
      </c>
      <c r="CU93" s="26">
        <v>0</v>
      </c>
      <c r="CV93" s="26">
        <v>0</v>
      </c>
      <c r="CW93" s="26">
        <v>0</v>
      </c>
      <c r="CX93" s="26">
        <v>0</v>
      </c>
      <c r="CY93" s="26">
        <v>0</v>
      </c>
      <c r="CZ93" s="26">
        <v>0</v>
      </c>
      <c r="DA93" s="26">
        <v>0</v>
      </c>
      <c r="DB93" s="26">
        <v>0</v>
      </c>
      <c r="DC93" s="26">
        <v>0</v>
      </c>
      <c r="DD93" s="26">
        <v>0</v>
      </c>
      <c r="DE93" s="26">
        <v>0</v>
      </c>
      <c r="DF93" s="26">
        <v>0</v>
      </c>
      <c r="DG93" s="26">
        <v>0</v>
      </c>
      <c r="DH93" s="26">
        <v>0</v>
      </c>
      <c r="DI93" s="26">
        <v>0</v>
      </c>
      <c r="DJ93" s="26">
        <v>0</v>
      </c>
      <c r="DK93" s="26">
        <v>0</v>
      </c>
      <c r="DL93" s="26">
        <v>0</v>
      </c>
      <c r="DM93" s="26">
        <v>0</v>
      </c>
      <c r="DN93" s="26">
        <v>0</v>
      </c>
      <c r="DO93" s="26">
        <v>0</v>
      </c>
      <c r="DP93" s="26">
        <v>0</v>
      </c>
      <c r="DQ93" s="26">
        <v>0</v>
      </c>
      <c r="DR93" s="26">
        <v>0</v>
      </c>
      <c r="DS93" s="26">
        <v>0</v>
      </c>
      <c r="DT93" s="26">
        <v>0</v>
      </c>
      <c r="DU93" s="26">
        <v>0</v>
      </c>
      <c r="DV93" s="26">
        <v>0</v>
      </c>
      <c r="DW93" s="26">
        <v>0</v>
      </c>
      <c r="DX93" s="26">
        <v>26138.367999999999</v>
      </c>
      <c r="DY93" s="26">
        <v>30.979670600000002</v>
      </c>
      <c r="DZ93" s="26">
        <v>12.9984632</v>
      </c>
      <c r="EA93" s="26">
        <v>423.09997600000003</v>
      </c>
      <c r="EB93" s="26">
        <v>51.560570599999998</v>
      </c>
      <c r="EC93" s="26">
        <v>12475.191699999999</v>
      </c>
      <c r="ED93" s="26">
        <v>0</v>
      </c>
      <c r="EE93" s="26">
        <v>2583.0279399999999</v>
      </c>
      <c r="EF93" s="26">
        <v>4107.8476600000004</v>
      </c>
      <c r="EG93" s="26">
        <v>0</v>
      </c>
      <c r="EH93" s="26">
        <v>0</v>
      </c>
      <c r="EI93" s="26">
        <v>0</v>
      </c>
      <c r="EJ93" s="26">
        <v>0</v>
      </c>
      <c r="EK93" s="26">
        <v>0</v>
      </c>
      <c r="EL93" s="26">
        <v>473.096384</v>
      </c>
      <c r="EM93" s="26">
        <v>0</v>
      </c>
      <c r="EN93" s="26">
        <v>0</v>
      </c>
      <c r="EO93" s="26">
        <v>0</v>
      </c>
      <c r="EP93" s="26">
        <v>436.56173899999999</v>
      </c>
      <c r="EQ93" s="26">
        <v>46296.170299999998</v>
      </c>
      <c r="ER93" s="26">
        <v>328.72338300000001</v>
      </c>
      <c r="ES93" s="26">
        <v>48.509076800000003</v>
      </c>
      <c r="ET93" s="26">
        <v>2.5</v>
      </c>
      <c r="EU93" s="26">
        <v>0</v>
      </c>
      <c r="EV93" s="26">
        <v>0</v>
      </c>
      <c r="EW93" s="26">
        <v>1</v>
      </c>
      <c r="EX93" s="26">
        <v>-139005.42800000001</v>
      </c>
      <c r="EY93" s="26">
        <v>-1310.78772</v>
      </c>
      <c r="EZ93" s="26">
        <v>-60.684451899999999</v>
      </c>
      <c r="FA93" s="26">
        <v>-382.34932099999997</v>
      </c>
      <c r="FB93" s="26">
        <v>-3.6054620399999999</v>
      </c>
      <c r="FC93" s="26">
        <v>2.2134199399999999E-2</v>
      </c>
      <c r="FD93" s="26">
        <v>2.3472708999999998</v>
      </c>
      <c r="FE93" s="26">
        <v>106.047247</v>
      </c>
      <c r="FF93" s="26">
        <v>0</v>
      </c>
      <c r="FG93" s="26">
        <v>0.234787518</v>
      </c>
      <c r="FH93" s="26">
        <v>-1656684300.6699998</v>
      </c>
      <c r="FI93" s="26">
        <v>0.37102110019039103</v>
      </c>
      <c r="FJ93" s="26">
        <v>0</v>
      </c>
      <c r="FK93" s="26">
        <v>0</v>
      </c>
      <c r="FL93" s="26">
        <v>0</v>
      </c>
      <c r="FM93" s="26">
        <v>0</v>
      </c>
      <c r="FN93" s="26">
        <v>0</v>
      </c>
      <c r="FO93" s="26">
        <v>0</v>
      </c>
      <c r="FP93" s="26">
        <v>0</v>
      </c>
      <c r="FQ93" s="26">
        <v>0</v>
      </c>
      <c r="FR93" s="26">
        <v>0</v>
      </c>
      <c r="FS93" s="26">
        <v>0</v>
      </c>
      <c r="FT93" s="26">
        <v>0</v>
      </c>
      <c r="FU93" s="26">
        <v>0</v>
      </c>
      <c r="FV93" s="26">
        <v>0</v>
      </c>
      <c r="FW93" s="26">
        <v>0</v>
      </c>
      <c r="FX93" s="26">
        <v>0</v>
      </c>
      <c r="FY93" s="26">
        <v>0</v>
      </c>
      <c r="FZ93" s="26">
        <v>0</v>
      </c>
      <c r="GA93" s="26">
        <v>0</v>
      </c>
      <c r="GB93" s="26">
        <v>0</v>
      </c>
      <c r="GC93" s="26">
        <v>0</v>
      </c>
      <c r="GD93" s="26">
        <v>0</v>
      </c>
      <c r="GE93" s="26">
        <v>0</v>
      </c>
      <c r="GF93" s="26">
        <v>0</v>
      </c>
      <c r="GG93" s="26">
        <v>0</v>
      </c>
      <c r="GH93" s="26">
        <v>0</v>
      </c>
      <c r="GI93" s="26">
        <v>0</v>
      </c>
      <c r="GJ93" s="26">
        <v>0</v>
      </c>
      <c r="GK93" s="26">
        <v>0</v>
      </c>
      <c r="GL93" s="26">
        <v>0</v>
      </c>
      <c r="GM93" s="26">
        <v>0</v>
      </c>
      <c r="GN93" s="26">
        <v>0</v>
      </c>
      <c r="GO93" s="26">
        <v>0</v>
      </c>
      <c r="GP93" s="26">
        <v>0</v>
      </c>
      <c r="GQ93" s="26">
        <v>0</v>
      </c>
      <c r="GR93" s="26">
        <v>0</v>
      </c>
      <c r="GS93" s="26">
        <v>0</v>
      </c>
      <c r="GT93" s="26">
        <v>0</v>
      </c>
      <c r="GU93" s="26">
        <v>0</v>
      </c>
      <c r="GV93" s="26">
        <v>0</v>
      </c>
      <c r="GW93" s="26">
        <v>0</v>
      </c>
      <c r="GX93" s="26">
        <v>0</v>
      </c>
      <c r="GY93" s="26">
        <v>0</v>
      </c>
      <c r="GZ93" s="26">
        <v>0</v>
      </c>
      <c r="HA93" s="26">
        <v>0</v>
      </c>
      <c r="HB93" s="26">
        <v>0</v>
      </c>
      <c r="HC93" s="26">
        <v>0</v>
      </c>
      <c r="HD93" s="26">
        <v>0</v>
      </c>
      <c r="HE93" s="26">
        <v>0</v>
      </c>
      <c r="HF93" s="26">
        <v>0</v>
      </c>
      <c r="HG93" s="26">
        <v>0</v>
      </c>
      <c r="HH93" s="26">
        <v>0</v>
      </c>
      <c r="HI93" s="26">
        <v>0</v>
      </c>
      <c r="HJ93" s="26">
        <v>0</v>
      </c>
      <c r="HK93" s="26">
        <v>0</v>
      </c>
      <c r="HL93" s="26">
        <v>0</v>
      </c>
      <c r="HM93" s="26">
        <v>0</v>
      </c>
      <c r="HN93" s="26">
        <v>0</v>
      </c>
      <c r="HO93" s="26">
        <v>0</v>
      </c>
      <c r="HP93" s="26">
        <v>0</v>
      </c>
      <c r="HQ93" s="26">
        <v>0</v>
      </c>
      <c r="HR93" s="26">
        <v>0</v>
      </c>
      <c r="HS93" s="26">
        <v>0</v>
      </c>
      <c r="HT93" s="26">
        <v>0.49211717060360399</v>
      </c>
    </row>
    <row r="94" spans="2:228" x14ac:dyDescent="0.2">
      <c r="B94" s="27" t="s">
        <v>1358</v>
      </c>
      <c r="C94" s="26">
        <v>44370.961600000002</v>
      </c>
      <c r="D94" s="26">
        <v>-147.183818</v>
      </c>
      <c r="E94" s="26">
        <v>35180.425600000002</v>
      </c>
      <c r="F94" s="26">
        <v>0.58781905099999998</v>
      </c>
      <c r="G94" s="26">
        <v>2968.8535299999999</v>
      </c>
      <c r="H94" s="26">
        <v>117.96069600000001</v>
      </c>
      <c r="I94" s="26">
        <v>49.4939982</v>
      </c>
      <c r="J94" s="26">
        <v>1647.63114</v>
      </c>
      <c r="K94" s="26">
        <v>200.78659200000001</v>
      </c>
      <c r="L94" s="26">
        <v>33.108547000000002</v>
      </c>
      <c r="M94" s="26">
        <v>0</v>
      </c>
      <c r="N94" s="26">
        <v>113.314937</v>
      </c>
      <c r="O94" s="26">
        <v>2.8596618399999998</v>
      </c>
      <c r="P94" s="26">
        <v>1.1998581100000001</v>
      </c>
      <c r="Q94" s="26">
        <v>39.055110800000001</v>
      </c>
      <c r="R94" s="26">
        <v>4.7594041799999998</v>
      </c>
      <c r="S94" s="26">
        <v>1220.83331</v>
      </c>
      <c r="T94" s="26">
        <v>65.653966199999999</v>
      </c>
      <c r="U94" s="26">
        <v>36.927255600000002</v>
      </c>
      <c r="V94" s="26">
        <v>33.608820899999998</v>
      </c>
      <c r="W94" s="26">
        <v>0</v>
      </c>
      <c r="X94" s="26">
        <v>4.1762662099999996</v>
      </c>
      <c r="Y94" s="26">
        <v>4.8241145300000001E-6</v>
      </c>
      <c r="Z94" s="26">
        <v>3.07215002E-4</v>
      </c>
      <c r="AA94" s="26">
        <v>3.00844484E-4</v>
      </c>
      <c r="AB94" s="26">
        <v>2.0126485999999999E-2</v>
      </c>
      <c r="AC94" s="26">
        <v>0</v>
      </c>
      <c r="AD94" s="26">
        <v>248.15580499999999</v>
      </c>
      <c r="AE94" s="26">
        <v>186.09805499999999</v>
      </c>
      <c r="AF94" s="26">
        <v>0</v>
      </c>
      <c r="AG94" s="26">
        <v>0</v>
      </c>
      <c r="AH94" s="26">
        <v>0</v>
      </c>
      <c r="AI94" s="26">
        <v>0</v>
      </c>
      <c r="AJ94" s="26">
        <v>0</v>
      </c>
      <c r="AK94" s="26">
        <v>0</v>
      </c>
      <c r="AL94" s="26">
        <v>0</v>
      </c>
      <c r="AM94" s="26">
        <v>1.33575797</v>
      </c>
      <c r="AN94" s="26">
        <v>7.8816405400000001E-3</v>
      </c>
      <c r="AO94" s="26">
        <v>1.7471503400000001E-2</v>
      </c>
      <c r="AP94" s="26">
        <v>0</v>
      </c>
      <c r="AQ94" s="26">
        <v>0</v>
      </c>
      <c r="AR94" s="26">
        <v>0</v>
      </c>
      <c r="AS94" s="26">
        <v>8.5319993199999999E-2</v>
      </c>
      <c r="AT94" s="26">
        <v>0</v>
      </c>
      <c r="AU94" s="26">
        <v>0</v>
      </c>
      <c r="AV94" s="26">
        <v>2.1650924700000003E-4</v>
      </c>
      <c r="AW94" s="26">
        <v>0</v>
      </c>
      <c r="AX94" s="26">
        <v>0</v>
      </c>
      <c r="AY94" s="26">
        <v>0</v>
      </c>
      <c r="AZ94" s="26">
        <v>0</v>
      </c>
      <c r="BA94" s="26">
        <v>0</v>
      </c>
      <c r="BB94" s="26">
        <v>0</v>
      </c>
      <c r="BC94" s="26">
        <v>0</v>
      </c>
      <c r="BD94" s="26">
        <v>0</v>
      </c>
      <c r="BE94" s="26">
        <v>0</v>
      </c>
      <c r="BF94" s="26">
        <v>0</v>
      </c>
      <c r="BG94" s="26">
        <v>0</v>
      </c>
      <c r="BH94" s="26">
        <v>0</v>
      </c>
      <c r="BI94" s="26">
        <v>0</v>
      </c>
      <c r="BJ94" s="26">
        <v>0</v>
      </c>
      <c r="BK94" s="26">
        <v>0</v>
      </c>
      <c r="BL94" s="26">
        <v>0</v>
      </c>
      <c r="BM94" s="26">
        <v>0</v>
      </c>
      <c r="BN94" s="26">
        <v>0</v>
      </c>
      <c r="BO94" s="26">
        <v>1995.8939600000001</v>
      </c>
      <c r="BP94" s="26">
        <v>42156.957799999996</v>
      </c>
      <c r="BQ94" s="26">
        <v>651.46997499999998</v>
      </c>
      <c r="BR94" s="26">
        <v>32</v>
      </c>
      <c r="BS94" s="26">
        <v>1</v>
      </c>
      <c r="BT94" s="26">
        <v>0</v>
      </c>
      <c r="BU94" s="26">
        <v>1</v>
      </c>
      <c r="BV94" s="26">
        <v>0</v>
      </c>
      <c r="BW94" s="26">
        <v>-72460.645399999994</v>
      </c>
      <c r="BX94" s="26">
        <v>-3430.6025</v>
      </c>
      <c r="BY94" s="26">
        <v>-144.62376599999999</v>
      </c>
      <c r="BZ94" s="26">
        <v>-42.481349399999999</v>
      </c>
      <c r="CA94" s="26">
        <v>-2.0112520699999998</v>
      </c>
      <c r="CB94" s="26">
        <v>5.1061292500000001E-2</v>
      </c>
      <c r="CC94" s="26">
        <v>1.0785085700000001</v>
      </c>
      <c r="CD94" s="26">
        <v>21.121842399999998</v>
      </c>
      <c r="CE94" s="26">
        <v>0</v>
      </c>
      <c r="CF94" s="26">
        <v>0</v>
      </c>
      <c r="CG94" s="26">
        <v>0</v>
      </c>
      <c r="CH94" s="26">
        <v>0</v>
      </c>
      <c r="CI94" s="26">
        <v>0</v>
      </c>
      <c r="CJ94" s="26">
        <v>0</v>
      </c>
      <c r="CK94" s="26">
        <v>0</v>
      </c>
      <c r="CL94" s="26">
        <v>0</v>
      </c>
      <c r="CM94" s="26">
        <v>0</v>
      </c>
      <c r="CN94" s="26">
        <v>0</v>
      </c>
      <c r="CO94" s="26">
        <v>0</v>
      </c>
      <c r="CP94" s="26">
        <v>0</v>
      </c>
      <c r="CQ94" s="26">
        <v>0</v>
      </c>
      <c r="CR94" s="26">
        <v>0</v>
      </c>
      <c r="CS94" s="26">
        <v>0</v>
      </c>
      <c r="CT94" s="26">
        <v>0</v>
      </c>
      <c r="CU94" s="26">
        <v>0</v>
      </c>
      <c r="CV94" s="26">
        <v>0</v>
      </c>
      <c r="CW94" s="26">
        <v>0</v>
      </c>
      <c r="CX94" s="26">
        <v>0</v>
      </c>
      <c r="CY94" s="26">
        <v>0</v>
      </c>
      <c r="CZ94" s="26">
        <v>0</v>
      </c>
      <c r="DA94" s="26">
        <v>0</v>
      </c>
      <c r="DB94" s="26">
        <v>0</v>
      </c>
      <c r="DC94" s="26">
        <v>0</v>
      </c>
      <c r="DD94" s="26">
        <v>0</v>
      </c>
      <c r="DE94" s="26">
        <v>0</v>
      </c>
      <c r="DF94" s="26">
        <v>0</v>
      </c>
      <c r="DG94" s="26">
        <v>0</v>
      </c>
      <c r="DH94" s="26">
        <v>0</v>
      </c>
      <c r="DI94" s="26">
        <v>0</v>
      </c>
      <c r="DJ94" s="26">
        <v>0</v>
      </c>
      <c r="DK94" s="26">
        <v>0</v>
      </c>
      <c r="DL94" s="26">
        <v>0</v>
      </c>
      <c r="DM94" s="26">
        <v>0</v>
      </c>
      <c r="DN94" s="26">
        <v>0</v>
      </c>
      <c r="DO94" s="26">
        <v>0</v>
      </c>
      <c r="DP94" s="26">
        <v>0</v>
      </c>
      <c r="DQ94" s="26">
        <v>0</v>
      </c>
      <c r="DR94" s="26">
        <v>0</v>
      </c>
      <c r="DS94" s="26">
        <v>0</v>
      </c>
      <c r="DT94" s="26">
        <v>0</v>
      </c>
      <c r="DU94" s="26">
        <v>0</v>
      </c>
      <c r="DV94" s="26">
        <v>0</v>
      </c>
      <c r="DW94" s="26">
        <v>0</v>
      </c>
      <c r="DX94" s="26">
        <v>125.46416599999999</v>
      </c>
      <c r="DY94" s="26">
        <v>3.0979670600000002</v>
      </c>
      <c r="DZ94" s="26">
        <v>1.2998463200000001</v>
      </c>
      <c r="EA94" s="26">
        <v>42.309997600000003</v>
      </c>
      <c r="EB94" s="26">
        <v>5.1560570600000002</v>
      </c>
      <c r="EC94" s="26">
        <v>1247.51917</v>
      </c>
      <c r="ED94" s="26">
        <v>0</v>
      </c>
      <c r="EE94" s="26">
        <v>262.41497600000002</v>
      </c>
      <c r="EF94" s="26">
        <v>410.78476599999999</v>
      </c>
      <c r="EG94" s="26">
        <v>52.080320399999998</v>
      </c>
      <c r="EH94" s="26">
        <v>5.78671062</v>
      </c>
      <c r="EI94" s="26">
        <v>0</v>
      </c>
      <c r="EJ94" s="26">
        <v>10.780222800000001</v>
      </c>
      <c r="EK94" s="26">
        <v>0</v>
      </c>
      <c r="EL94" s="26">
        <v>47.309631600000003</v>
      </c>
      <c r="EM94" s="26">
        <v>0</v>
      </c>
      <c r="EN94" s="26">
        <v>0</v>
      </c>
      <c r="EO94" s="26">
        <v>0</v>
      </c>
      <c r="EP94" s="26">
        <v>31.351507900000001</v>
      </c>
      <c r="EQ94" s="26">
        <v>2214.0038300000001</v>
      </c>
      <c r="ER94" s="26">
        <v>26.735296099999999</v>
      </c>
      <c r="ES94" s="26">
        <v>32</v>
      </c>
      <c r="ET94" s="26">
        <v>1</v>
      </c>
      <c r="EU94" s="26">
        <v>0</v>
      </c>
      <c r="EV94" s="26">
        <v>0</v>
      </c>
      <c r="EW94" s="26">
        <v>1</v>
      </c>
      <c r="EX94" s="26">
        <v>-81656.433699999994</v>
      </c>
      <c r="EY94" s="26">
        <v>-1156.2998600000001</v>
      </c>
      <c r="EZ94" s="26">
        <v>-2.5600523499999999</v>
      </c>
      <c r="FA94" s="26">
        <v>-157.86348699999999</v>
      </c>
      <c r="FB94" s="26">
        <v>-2.23543351</v>
      </c>
      <c r="FC94" s="26">
        <v>1.95443927E-2</v>
      </c>
      <c r="FD94" s="26">
        <v>1.3802002899999999</v>
      </c>
      <c r="FE94" s="26">
        <v>70.618735200000003</v>
      </c>
      <c r="FF94" s="26">
        <v>0</v>
      </c>
      <c r="FG94" s="26">
        <v>0.229901824</v>
      </c>
      <c r="FH94" s="26">
        <v>-171471274.391</v>
      </c>
      <c r="FI94" s="26">
        <v>6.2742014668602783E-2</v>
      </c>
      <c r="FJ94" s="26">
        <v>0</v>
      </c>
      <c r="FK94" s="26">
        <v>0</v>
      </c>
      <c r="FL94" s="26">
        <v>0</v>
      </c>
      <c r="FM94" s="26">
        <v>0</v>
      </c>
      <c r="FN94" s="26">
        <v>0</v>
      </c>
      <c r="FO94" s="26">
        <v>0</v>
      </c>
      <c r="FP94" s="26">
        <v>0</v>
      </c>
      <c r="FQ94" s="26">
        <v>0</v>
      </c>
      <c r="FR94" s="26">
        <v>0</v>
      </c>
      <c r="FS94" s="26">
        <v>0</v>
      </c>
      <c r="FT94" s="26">
        <v>0</v>
      </c>
      <c r="FU94" s="26">
        <v>0</v>
      </c>
      <c r="FV94" s="26">
        <v>0</v>
      </c>
      <c r="FW94" s="26">
        <v>0</v>
      </c>
      <c r="FX94" s="26">
        <v>0</v>
      </c>
      <c r="FY94" s="26">
        <v>0</v>
      </c>
      <c r="FZ94" s="26">
        <v>0</v>
      </c>
      <c r="GA94" s="26">
        <v>0</v>
      </c>
      <c r="GB94" s="26">
        <v>0</v>
      </c>
      <c r="GC94" s="26">
        <v>0</v>
      </c>
      <c r="GD94" s="26">
        <v>0</v>
      </c>
      <c r="GE94" s="26">
        <v>0</v>
      </c>
      <c r="GF94" s="26">
        <v>0</v>
      </c>
      <c r="GG94" s="26">
        <v>0</v>
      </c>
      <c r="GH94" s="26">
        <v>0</v>
      </c>
      <c r="GI94" s="26">
        <v>0</v>
      </c>
      <c r="GJ94" s="26">
        <v>0</v>
      </c>
      <c r="GK94" s="26">
        <v>0</v>
      </c>
      <c r="GL94" s="26">
        <v>0</v>
      </c>
      <c r="GM94" s="26">
        <v>0</v>
      </c>
      <c r="GN94" s="26">
        <v>0</v>
      </c>
      <c r="GO94" s="26">
        <v>0</v>
      </c>
      <c r="GP94" s="26">
        <v>0</v>
      </c>
      <c r="GQ94" s="26">
        <v>0</v>
      </c>
      <c r="GR94" s="26">
        <v>0</v>
      </c>
      <c r="GS94" s="26">
        <v>0</v>
      </c>
      <c r="GT94" s="26">
        <v>0</v>
      </c>
      <c r="GU94" s="26">
        <v>0</v>
      </c>
      <c r="GV94" s="26">
        <v>0</v>
      </c>
      <c r="GW94" s="26">
        <v>0</v>
      </c>
      <c r="GX94" s="26">
        <v>0</v>
      </c>
      <c r="GY94" s="26">
        <v>0</v>
      </c>
      <c r="GZ94" s="26">
        <v>0</v>
      </c>
      <c r="HA94" s="26">
        <v>0</v>
      </c>
      <c r="HB94" s="26">
        <v>0</v>
      </c>
      <c r="HC94" s="26">
        <v>0</v>
      </c>
      <c r="HD94" s="26">
        <v>0</v>
      </c>
      <c r="HE94" s="26">
        <v>0</v>
      </c>
      <c r="HF94" s="26">
        <v>0</v>
      </c>
      <c r="HG94" s="26">
        <v>0</v>
      </c>
      <c r="HH94" s="26">
        <v>0</v>
      </c>
      <c r="HI94" s="26">
        <v>0</v>
      </c>
      <c r="HJ94" s="26">
        <v>0</v>
      </c>
      <c r="HK94" s="26">
        <v>0</v>
      </c>
      <c r="HL94" s="26">
        <v>0</v>
      </c>
      <c r="HM94" s="26">
        <v>0</v>
      </c>
      <c r="HN94" s="26">
        <v>0</v>
      </c>
      <c r="HO94" s="26">
        <v>0</v>
      </c>
      <c r="HP94" s="26">
        <v>0</v>
      </c>
      <c r="HQ94" s="26">
        <v>0</v>
      </c>
      <c r="HR94" s="26">
        <v>0</v>
      </c>
      <c r="HS94" s="26">
        <v>0</v>
      </c>
      <c r="HT94" s="26">
        <v>2.4478705806940757E-2</v>
      </c>
    </row>
    <row r="95" spans="2:228" x14ac:dyDescent="0.2">
      <c r="B95" s="27" t="s">
        <v>1359</v>
      </c>
      <c r="C95" s="26">
        <v>42638.759899999997</v>
      </c>
      <c r="D95" s="26">
        <v>-143.93989199999999</v>
      </c>
      <c r="E95" s="26">
        <v>35280.318399999996</v>
      </c>
      <c r="F95" s="26">
        <v>2009.36331</v>
      </c>
      <c r="G95" s="26">
        <v>148.442677</v>
      </c>
      <c r="H95" s="26">
        <v>117.96069600000001</v>
      </c>
      <c r="I95" s="26">
        <v>49.4939982</v>
      </c>
      <c r="J95" s="26">
        <v>168.05837600000001</v>
      </c>
      <c r="K95" s="26">
        <v>200.58580499999999</v>
      </c>
      <c r="L95" s="26">
        <v>33.108547000000002</v>
      </c>
      <c r="M95" s="26">
        <v>0</v>
      </c>
      <c r="N95" s="26">
        <v>113.314937</v>
      </c>
      <c r="O95" s="26">
        <v>2.8596618399999998</v>
      </c>
      <c r="P95" s="26">
        <v>1.1998581100000001</v>
      </c>
      <c r="Q95" s="26">
        <v>39.055110800000001</v>
      </c>
      <c r="R95" s="26">
        <v>4.7594041799999998</v>
      </c>
      <c r="S95" s="26">
        <v>1220.83331</v>
      </c>
      <c r="T95" s="26">
        <v>65.653964400000007</v>
      </c>
      <c r="U95" s="26">
        <v>36.927139799999999</v>
      </c>
      <c r="V95" s="26">
        <v>33.3668026</v>
      </c>
      <c r="W95" s="26">
        <v>0</v>
      </c>
      <c r="X95" s="26">
        <v>56.345488799999998</v>
      </c>
      <c r="Y95" s="26">
        <v>76.808716500000003</v>
      </c>
      <c r="Z95" s="26">
        <v>17.194992599999999</v>
      </c>
      <c r="AA95" s="26">
        <v>42.792209800000002</v>
      </c>
      <c r="AB95" s="26">
        <v>1.97207106E-2</v>
      </c>
      <c r="AC95" s="26">
        <v>0</v>
      </c>
      <c r="AD95" s="26">
        <v>248.15580499999999</v>
      </c>
      <c r="AE95" s="26">
        <v>186.09805499999999</v>
      </c>
      <c r="AF95" s="26">
        <v>23.7526841</v>
      </c>
      <c r="AG95" s="26">
        <v>0</v>
      </c>
      <c r="AH95" s="26">
        <v>0</v>
      </c>
      <c r="AI95" s="26">
        <v>0</v>
      </c>
      <c r="AJ95" s="26">
        <v>0</v>
      </c>
      <c r="AK95" s="26">
        <v>0</v>
      </c>
      <c r="AL95" s="26">
        <v>0</v>
      </c>
      <c r="AM95" s="26">
        <v>1.33575797</v>
      </c>
      <c r="AN95" s="26">
        <v>1.9391162300000001E-2</v>
      </c>
      <c r="AO95" s="26">
        <v>1.05448748E-5</v>
      </c>
      <c r="AP95" s="26">
        <v>0</v>
      </c>
      <c r="AQ95" s="26">
        <v>0</v>
      </c>
      <c r="AR95" s="26">
        <v>0</v>
      </c>
      <c r="AS95" s="26">
        <v>51.4557766</v>
      </c>
      <c r="AT95" s="26">
        <v>0</v>
      </c>
      <c r="AU95" s="26">
        <v>0</v>
      </c>
      <c r="AV95" s="26">
        <v>1.9610105E-4</v>
      </c>
      <c r="AW95" s="26">
        <v>0</v>
      </c>
      <c r="AX95" s="26">
        <v>0</v>
      </c>
      <c r="AY95" s="26">
        <v>0</v>
      </c>
      <c r="AZ95" s="26">
        <v>0</v>
      </c>
      <c r="BA95" s="26">
        <v>0</v>
      </c>
      <c r="BB95" s="26">
        <v>0</v>
      </c>
      <c r="BC95" s="26">
        <v>0</v>
      </c>
      <c r="BD95" s="26">
        <v>0</v>
      </c>
      <c r="BE95" s="26">
        <v>0</v>
      </c>
      <c r="BF95" s="26">
        <v>0</v>
      </c>
      <c r="BG95" s="26">
        <v>0</v>
      </c>
      <c r="BH95" s="26">
        <v>0</v>
      </c>
      <c r="BI95" s="26">
        <v>0</v>
      </c>
      <c r="BJ95" s="26">
        <v>0</v>
      </c>
      <c r="BK95" s="26">
        <v>0</v>
      </c>
      <c r="BL95" s="26">
        <v>0</v>
      </c>
      <c r="BM95" s="26">
        <v>0</v>
      </c>
      <c r="BN95" s="26">
        <v>0</v>
      </c>
      <c r="BO95" s="26">
        <v>2022.5080499999997</v>
      </c>
      <c r="BP95" s="26">
        <v>40229.2808</v>
      </c>
      <c r="BQ95" s="26">
        <v>669.78598999999997</v>
      </c>
      <c r="BR95" s="26">
        <v>32.709795999999983</v>
      </c>
      <c r="BS95" s="26">
        <v>4.99289761</v>
      </c>
      <c r="BT95" s="26">
        <v>0</v>
      </c>
      <c r="BU95" s="26">
        <v>1</v>
      </c>
      <c r="BV95" s="26">
        <v>0</v>
      </c>
      <c r="BW95" s="26">
        <v>-69792.152199999997</v>
      </c>
      <c r="BX95" s="26">
        <v>-3508.7674200000001</v>
      </c>
      <c r="BY95" s="26">
        <v>-141.155191</v>
      </c>
      <c r="BZ95" s="26">
        <v>-40.529026199999997</v>
      </c>
      <c r="CA95" s="26">
        <v>-2.03757761</v>
      </c>
      <c r="CB95" s="26">
        <v>5.0327220399999997E-2</v>
      </c>
      <c r="CC95" s="26">
        <v>1.0010481200000001</v>
      </c>
      <c r="CD95" s="26">
        <v>19.8907889</v>
      </c>
      <c r="CE95" s="26">
        <v>0</v>
      </c>
      <c r="CF95" s="26">
        <v>0</v>
      </c>
      <c r="CG95" s="26">
        <v>0</v>
      </c>
      <c r="CH95" s="26">
        <v>0</v>
      </c>
      <c r="CI95" s="26">
        <v>0</v>
      </c>
      <c r="CJ95" s="26">
        <v>0</v>
      </c>
      <c r="CK95" s="26">
        <v>0</v>
      </c>
      <c r="CL95" s="26">
        <v>0</v>
      </c>
      <c r="CM95" s="26">
        <v>0</v>
      </c>
      <c r="CN95" s="26">
        <v>0</v>
      </c>
      <c r="CO95" s="26">
        <v>0</v>
      </c>
      <c r="CP95" s="26">
        <v>0</v>
      </c>
      <c r="CQ95" s="26">
        <v>0</v>
      </c>
      <c r="CR95" s="26">
        <v>0</v>
      </c>
      <c r="CS95" s="26">
        <v>0</v>
      </c>
      <c r="CT95" s="26">
        <v>0</v>
      </c>
      <c r="CU95" s="26">
        <v>0</v>
      </c>
      <c r="CV95" s="26">
        <v>0</v>
      </c>
      <c r="CW95" s="26">
        <v>0</v>
      </c>
      <c r="CX95" s="26">
        <v>0</v>
      </c>
      <c r="CY95" s="26">
        <v>0</v>
      </c>
      <c r="CZ95" s="26">
        <v>0</v>
      </c>
      <c r="DA95" s="26">
        <v>0</v>
      </c>
      <c r="DB95" s="26">
        <v>0</v>
      </c>
      <c r="DC95" s="26">
        <v>0</v>
      </c>
      <c r="DD95" s="26">
        <v>0</v>
      </c>
      <c r="DE95" s="26">
        <v>0</v>
      </c>
      <c r="DF95" s="26">
        <v>0</v>
      </c>
      <c r="DG95" s="26">
        <v>0</v>
      </c>
      <c r="DH95" s="26">
        <v>0</v>
      </c>
      <c r="DI95" s="26">
        <v>0</v>
      </c>
      <c r="DJ95" s="26">
        <v>0</v>
      </c>
      <c r="DK95" s="26">
        <v>0</v>
      </c>
      <c r="DL95" s="26">
        <v>0</v>
      </c>
      <c r="DM95" s="26">
        <v>0</v>
      </c>
      <c r="DN95" s="26">
        <v>0</v>
      </c>
      <c r="DO95" s="26">
        <v>0</v>
      </c>
      <c r="DP95" s="26">
        <v>0</v>
      </c>
      <c r="DQ95" s="26">
        <v>0</v>
      </c>
      <c r="DR95" s="26">
        <v>0</v>
      </c>
      <c r="DS95" s="26">
        <v>0</v>
      </c>
      <c r="DT95" s="26">
        <v>0</v>
      </c>
      <c r="DU95" s="26">
        <v>0</v>
      </c>
      <c r="DV95" s="26">
        <v>0</v>
      </c>
      <c r="DW95" s="26">
        <v>0</v>
      </c>
      <c r="DX95" s="26">
        <v>125.46416599999999</v>
      </c>
      <c r="DY95" s="26">
        <v>3.0979670600000002</v>
      </c>
      <c r="DZ95" s="26">
        <v>1.2998463200000001</v>
      </c>
      <c r="EA95" s="26">
        <v>42.309997600000003</v>
      </c>
      <c r="EB95" s="26">
        <v>5.1560570600000002</v>
      </c>
      <c r="EC95" s="26">
        <v>1247.51917</v>
      </c>
      <c r="ED95" s="26">
        <v>0</v>
      </c>
      <c r="EE95" s="26">
        <v>306.439662</v>
      </c>
      <c r="EF95" s="26">
        <v>410.78476599999999</v>
      </c>
      <c r="EG95" s="26">
        <v>52.080320399999998</v>
      </c>
      <c r="EH95" s="26">
        <v>5.78671062</v>
      </c>
      <c r="EI95" s="26">
        <v>151.45052699999999</v>
      </c>
      <c r="EJ95" s="26">
        <v>10.780222800000001</v>
      </c>
      <c r="EK95" s="26">
        <v>0</v>
      </c>
      <c r="EL95" s="26">
        <v>47.309631600000003</v>
      </c>
      <c r="EM95" s="26">
        <v>0</v>
      </c>
      <c r="EN95" s="26">
        <v>0</v>
      </c>
      <c r="EO95" s="26">
        <v>0</v>
      </c>
      <c r="EP95" s="26">
        <v>39.428992800000003</v>
      </c>
      <c r="EQ95" s="26">
        <v>2409.4790400000002</v>
      </c>
      <c r="ER95" s="26">
        <v>28.9045907</v>
      </c>
      <c r="ES95" s="26">
        <v>32.709795999999983</v>
      </c>
      <c r="ET95" s="26">
        <v>4.99289761</v>
      </c>
      <c r="EU95" s="26">
        <v>0</v>
      </c>
      <c r="EV95" s="26">
        <v>0</v>
      </c>
      <c r="EW95" s="26">
        <v>1</v>
      </c>
      <c r="EX95" s="26">
        <v>-70625.728000000003</v>
      </c>
      <c r="EY95" s="26">
        <v>-1155.7275500000001</v>
      </c>
      <c r="EZ95" s="26">
        <v>-2.7847013500000002</v>
      </c>
      <c r="FA95" s="26">
        <v>-143.682143</v>
      </c>
      <c r="FB95" s="26">
        <v>-2.3512311499999998</v>
      </c>
      <c r="FC95" s="26">
        <v>2.2735138500000002E-2</v>
      </c>
      <c r="FD95" s="26">
        <v>1.3893289099999999</v>
      </c>
      <c r="FE95" s="26">
        <v>61.1093227</v>
      </c>
      <c r="FF95" s="26">
        <v>0</v>
      </c>
      <c r="FG95" s="26">
        <v>0.241090585</v>
      </c>
      <c r="FH95" s="26">
        <v>-167724068.61999997</v>
      </c>
      <c r="FI95" s="26">
        <v>4.924729511620058E-2</v>
      </c>
      <c r="FJ95" s="26">
        <v>0</v>
      </c>
      <c r="FK95" s="26">
        <v>0</v>
      </c>
      <c r="FL95" s="26">
        <v>0</v>
      </c>
      <c r="FM95" s="26">
        <v>0</v>
      </c>
      <c r="FN95" s="26">
        <v>0</v>
      </c>
      <c r="FO95" s="26">
        <v>0</v>
      </c>
      <c r="FP95" s="26">
        <v>0</v>
      </c>
      <c r="FQ95" s="26">
        <v>0</v>
      </c>
      <c r="FR95" s="26">
        <v>0</v>
      </c>
      <c r="FS95" s="26">
        <v>0</v>
      </c>
      <c r="FT95" s="26">
        <v>0</v>
      </c>
      <c r="FU95" s="26">
        <v>0</v>
      </c>
      <c r="FV95" s="26">
        <v>0</v>
      </c>
      <c r="FW95" s="26">
        <v>0</v>
      </c>
      <c r="FX95" s="26">
        <v>0</v>
      </c>
      <c r="FY95" s="26">
        <v>0</v>
      </c>
      <c r="FZ95" s="26">
        <v>0</v>
      </c>
      <c r="GA95" s="26">
        <v>0</v>
      </c>
      <c r="GB95" s="26">
        <v>0</v>
      </c>
      <c r="GC95" s="26">
        <v>0</v>
      </c>
      <c r="GD95" s="26">
        <v>0</v>
      </c>
      <c r="GE95" s="26">
        <v>0</v>
      </c>
      <c r="GF95" s="26">
        <v>0</v>
      </c>
      <c r="GG95" s="26">
        <v>0</v>
      </c>
      <c r="GH95" s="26">
        <v>0</v>
      </c>
      <c r="GI95" s="26">
        <v>0</v>
      </c>
      <c r="GJ95" s="26">
        <v>0</v>
      </c>
      <c r="GK95" s="26">
        <v>0</v>
      </c>
      <c r="GL95" s="26">
        <v>0</v>
      </c>
      <c r="GM95" s="26">
        <v>0</v>
      </c>
      <c r="GN95" s="26">
        <v>0</v>
      </c>
      <c r="GO95" s="26">
        <v>0</v>
      </c>
      <c r="GP95" s="26">
        <v>0</v>
      </c>
      <c r="GQ95" s="26">
        <v>0</v>
      </c>
      <c r="GR95" s="26">
        <v>0</v>
      </c>
      <c r="GS95" s="26">
        <v>0</v>
      </c>
      <c r="GT95" s="26">
        <v>0</v>
      </c>
      <c r="GU95" s="26">
        <v>0</v>
      </c>
      <c r="GV95" s="26">
        <v>0</v>
      </c>
      <c r="GW95" s="26">
        <v>0</v>
      </c>
      <c r="GX95" s="26">
        <v>0</v>
      </c>
      <c r="GY95" s="26">
        <v>0</v>
      </c>
      <c r="GZ95" s="26">
        <v>0</v>
      </c>
      <c r="HA95" s="26">
        <v>0</v>
      </c>
      <c r="HB95" s="26">
        <v>0</v>
      </c>
      <c r="HC95" s="26">
        <v>0</v>
      </c>
      <c r="HD95" s="26">
        <v>0</v>
      </c>
      <c r="HE95" s="26">
        <v>0</v>
      </c>
      <c r="HF95" s="26">
        <v>0</v>
      </c>
      <c r="HG95" s="26">
        <v>0</v>
      </c>
      <c r="HH95" s="26">
        <v>0</v>
      </c>
      <c r="HI95" s="26">
        <v>0</v>
      </c>
      <c r="HJ95" s="26">
        <v>0</v>
      </c>
      <c r="HK95" s="26">
        <v>0</v>
      </c>
      <c r="HL95" s="26">
        <v>0</v>
      </c>
      <c r="HM95" s="26">
        <v>0</v>
      </c>
      <c r="HN95" s="26">
        <v>0</v>
      </c>
      <c r="HO95" s="26">
        <v>0</v>
      </c>
      <c r="HP95" s="26">
        <v>0</v>
      </c>
      <c r="HQ95" s="26">
        <v>0</v>
      </c>
      <c r="HR95" s="26">
        <v>0</v>
      </c>
      <c r="HS95" s="26">
        <v>0</v>
      </c>
      <c r="HT95" s="26">
        <v>2.672245163044628E-2</v>
      </c>
    </row>
    <row r="96" spans="2:228" x14ac:dyDescent="0.2">
      <c r="B96" s="27" t="s">
        <v>2392</v>
      </c>
      <c r="C96" s="26">
        <v>44607.935799999999</v>
      </c>
      <c r="D96" s="26">
        <v>-148.14282900000001</v>
      </c>
      <c r="E96" s="26">
        <v>35318.203800000003</v>
      </c>
      <c r="F96" s="26">
        <v>2041.3344199999999</v>
      </c>
      <c r="G96" s="26">
        <v>148.442677</v>
      </c>
      <c r="H96" s="26">
        <v>117.96069600000001</v>
      </c>
      <c r="I96" s="26">
        <v>49.4939982</v>
      </c>
      <c r="J96" s="26">
        <v>168.05837600000001</v>
      </c>
      <c r="K96" s="26">
        <v>200.58580499999999</v>
      </c>
      <c r="L96" s="26">
        <v>33.108547000000002</v>
      </c>
      <c r="M96" s="26">
        <v>0</v>
      </c>
      <c r="N96" s="26">
        <v>113.314937</v>
      </c>
      <c r="O96" s="26">
        <v>2.8596618399999998</v>
      </c>
      <c r="P96" s="26">
        <v>1.1998581100000001</v>
      </c>
      <c r="Q96" s="26">
        <v>39.055110800000001</v>
      </c>
      <c r="R96" s="26">
        <v>4.7594041799999998</v>
      </c>
      <c r="S96" s="26">
        <v>1220.83331</v>
      </c>
      <c r="T96" s="26">
        <v>65.653966199999999</v>
      </c>
      <c r="U96" s="26">
        <v>36.927255600000002</v>
      </c>
      <c r="V96" s="26">
        <v>33.608820899999998</v>
      </c>
      <c r="W96" s="26">
        <v>0</v>
      </c>
      <c r="X96" s="26">
        <v>56.345501499999997</v>
      </c>
      <c r="Y96" s="26">
        <v>76.808716500000003</v>
      </c>
      <c r="Z96" s="26">
        <v>17.1949927</v>
      </c>
      <c r="AA96" s="26">
        <v>42.792209900000003</v>
      </c>
      <c r="AB96" s="26">
        <v>2.0126485999999999E-2</v>
      </c>
      <c r="AC96" s="26">
        <v>0</v>
      </c>
      <c r="AD96" s="26">
        <v>248.15580499999999</v>
      </c>
      <c r="AE96" s="26">
        <v>186.09805499999999</v>
      </c>
      <c r="AF96" s="26">
        <v>23.7526841</v>
      </c>
      <c r="AG96" s="26">
        <v>0</v>
      </c>
      <c r="AH96" s="26">
        <v>0</v>
      </c>
      <c r="AI96" s="26">
        <v>0</v>
      </c>
      <c r="AJ96" s="26">
        <v>0</v>
      </c>
      <c r="AK96" s="26">
        <v>0</v>
      </c>
      <c r="AL96" s="26">
        <v>0</v>
      </c>
      <c r="AM96" s="26">
        <v>1.33575797</v>
      </c>
      <c r="AN96" s="26">
        <v>16.8697628</v>
      </c>
      <c r="AO96" s="26">
        <v>1.7471503400000001E-2</v>
      </c>
      <c r="AP96" s="26">
        <v>0</v>
      </c>
      <c r="AQ96" s="26">
        <v>0</v>
      </c>
      <c r="AR96" s="26">
        <v>0</v>
      </c>
      <c r="AS96" s="26">
        <v>1933.66479</v>
      </c>
      <c r="AT96" s="26">
        <v>0</v>
      </c>
      <c r="AU96" s="26">
        <v>0</v>
      </c>
      <c r="AV96" s="26">
        <v>2.1650924700000003E-4</v>
      </c>
      <c r="AW96" s="26">
        <v>0</v>
      </c>
      <c r="AX96" s="26">
        <v>0</v>
      </c>
      <c r="AY96" s="26">
        <v>0</v>
      </c>
      <c r="AZ96" s="26">
        <v>0</v>
      </c>
      <c r="BA96" s="26">
        <v>0</v>
      </c>
      <c r="BB96" s="26">
        <v>0</v>
      </c>
      <c r="BC96" s="26">
        <v>0</v>
      </c>
      <c r="BD96" s="26">
        <v>0</v>
      </c>
      <c r="BE96" s="26">
        <v>0</v>
      </c>
      <c r="BF96" s="26">
        <v>0</v>
      </c>
      <c r="BG96" s="26">
        <v>0</v>
      </c>
      <c r="BH96" s="26">
        <v>0</v>
      </c>
      <c r="BI96" s="26">
        <v>0</v>
      </c>
      <c r="BJ96" s="26">
        <v>0</v>
      </c>
      <c r="BK96" s="26">
        <v>0</v>
      </c>
      <c r="BL96" s="26">
        <v>0</v>
      </c>
      <c r="BM96" s="26">
        <v>0</v>
      </c>
      <c r="BN96" s="26">
        <v>0</v>
      </c>
      <c r="BO96" s="26">
        <v>2068.6027100000001</v>
      </c>
      <c r="BP96" s="26">
        <v>42198.456700000002</v>
      </c>
      <c r="BQ96" s="26">
        <v>19905.679899999999</v>
      </c>
      <c r="BR96" s="26">
        <v>32</v>
      </c>
      <c r="BS96" s="26">
        <v>1</v>
      </c>
      <c r="BT96" s="26">
        <v>2.2282989999999999E-2</v>
      </c>
      <c r="BU96" s="26">
        <v>0.97771701</v>
      </c>
      <c r="BV96" s="26">
        <v>0</v>
      </c>
      <c r="BW96" s="26">
        <v>-70268.513000000006</v>
      </c>
      <c r="BX96" s="26">
        <v>-3444.6197200000001</v>
      </c>
      <c r="BY96" s="26">
        <v>-145.35763700000001</v>
      </c>
      <c r="BZ96" s="26">
        <v>-39.661227699999998</v>
      </c>
      <c r="CA96" s="26">
        <v>-1.94422567</v>
      </c>
      <c r="CB96" s="26">
        <v>1.73200371E-3</v>
      </c>
      <c r="CC96" s="26">
        <v>3.5332006200000002E-2</v>
      </c>
      <c r="CD96" s="26">
        <v>20.399498000000001</v>
      </c>
      <c r="CE96" s="26">
        <v>0</v>
      </c>
      <c r="CF96" s="26">
        <v>0</v>
      </c>
      <c r="CG96" s="26">
        <v>0</v>
      </c>
      <c r="CH96" s="26">
        <v>0</v>
      </c>
      <c r="CI96" s="26">
        <v>0</v>
      </c>
      <c r="CJ96" s="26">
        <v>0</v>
      </c>
      <c r="CK96" s="26">
        <v>0</v>
      </c>
      <c r="CL96" s="26">
        <v>0</v>
      </c>
      <c r="CM96" s="26">
        <v>0</v>
      </c>
      <c r="CN96" s="26">
        <v>0</v>
      </c>
      <c r="CO96" s="26">
        <v>0</v>
      </c>
      <c r="CP96" s="26">
        <v>0</v>
      </c>
      <c r="CQ96" s="26">
        <v>0</v>
      </c>
      <c r="CR96" s="26">
        <v>0</v>
      </c>
      <c r="CS96" s="26">
        <v>0</v>
      </c>
      <c r="CT96" s="26">
        <v>0</v>
      </c>
      <c r="CU96" s="26">
        <v>0</v>
      </c>
      <c r="CV96" s="26">
        <v>0</v>
      </c>
      <c r="CW96" s="26">
        <v>0</v>
      </c>
      <c r="CX96" s="26">
        <v>0</v>
      </c>
      <c r="CY96" s="26">
        <v>0</v>
      </c>
      <c r="CZ96" s="26">
        <v>0</v>
      </c>
      <c r="DA96" s="26">
        <v>0</v>
      </c>
      <c r="DB96" s="26">
        <v>0</v>
      </c>
      <c r="DC96" s="26">
        <v>0</v>
      </c>
      <c r="DD96" s="26">
        <v>0</v>
      </c>
      <c r="DE96" s="26">
        <v>0</v>
      </c>
      <c r="DF96" s="26">
        <v>0</v>
      </c>
      <c r="DG96" s="26">
        <v>0</v>
      </c>
      <c r="DH96" s="26">
        <v>0</v>
      </c>
      <c r="DI96" s="26">
        <v>0</v>
      </c>
      <c r="DJ96" s="26">
        <v>0</v>
      </c>
      <c r="DK96" s="26">
        <v>0</v>
      </c>
      <c r="DL96" s="26">
        <v>0</v>
      </c>
      <c r="DM96" s="26">
        <v>0</v>
      </c>
      <c r="DN96" s="26">
        <v>0</v>
      </c>
      <c r="DO96" s="26">
        <v>0</v>
      </c>
      <c r="DP96" s="26">
        <v>0</v>
      </c>
      <c r="DQ96" s="26">
        <v>0</v>
      </c>
      <c r="DR96" s="26">
        <v>0</v>
      </c>
      <c r="DS96" s="26">
        <v>0</v>
      </c>
      <c r="DT96" s="26">
        <v>0</v>
      </c>
      <c r="DU96" s="26">
        <v>0</v>
      </c>
      <c r="DV96" s="26">
        <v>0</v>
      </c>
      <c r="DW96" s="26">
        <v>0</v>
      </c>
      <c r="DX96" s="26">
        <v>125.46416599999999</v>
      </c>
      <c r="DY96" s="26">
        <v>3.0979670600000002</v>
      </c>
      <c r="DZ96" s="26">
        <v>1.2998463200000001</v>
      </c>
      <c r="EA96" s="26">
        <v>42.309997600000003</v>
      </c>
      <c r="EB96" s="26">
        <v>5.1560570600000002</v>
      </c>
      <c r="EC96" s="26">
        <v>1247.51917</v>
      </c>
      <c r="ED96" s="26">
        <v>0</v>
      </c>
      <c r="EE96" s="26">
        <v>306.439662</v>
      </c>
      <c r="EF96" s="26">
        <v>410.78476599999999</v>
      </c>
      <c r="EG96" s="26">
        <v>52.080320399999998</v>
      </c>
      <c r="EH96" s="26">
        <v>5.78671062</v>
      </c>
      <c r="EI96" s="26">
        <v>151.45052699999999</v>
      </c>
      <c r="EJ96" s="26">
        <v>10.780222800000001</v>
      </c>
      <c r="EK96" s="26">
        <v>0</v>
      </c>
      <c r="EL96" s="26">
        <v>47.309631600000003</v>
      </c>
      <c r="EM96" s="26">
        <v>0</v>
      </c>
      <c r="EN96" s="26">
        <v>0</v>
      </c>
      <c r="EO96" s="26">
        <v>0</v>
      </c>
      <c r="EP96" s="26">
        <v>39.428992800000003</v>
      </c>
      <c r="EQ96" s="26">
        <v>2409.4790400000002</v>
      </c>
      <c r="ER96" s="26">
        <v>28.9045907</v>
      </c>
      <c r="ES96" s="26">
        <v>32</v>
      </c>
      <c r="ET96" s="26">
        <v>1</v>
      </c>
      <c r="EU96" s="26">
        <v>0</v>
      </c>
      <c r="EV96" s="26">
        <v>0</v>
      </c>
      <c r="EW96" s="26">
        <v>1</v>
      </c>
      <c r="EX96" s="26">
        <v>-70638.173899999994</v>
      </c>
      <c r="EY96" s="26">
        <v>-1155.9312199999999</v>
      </c>
      <c r="EZ96" s="26">
        <v>-2.7851920699999999</v>
      </c>
      <c r="FA96" s="26">
        <v>-143.722881</v>
      </c>
      <c r="FB96" s="26">
        <v>-2.3518978000000001</v>
      </c>
      <c r="FC96" s="26">
        <v>2.2735138500000002E-2</v>
      </c>
      <c r="FD96" s="26">
        <v>1.3893289099999999</v>
      </c>
      <c r="FE96" s="26">
        <v>61.1093227</v>
      </c>
      <c r="FF96" s="26">
        <v>0</v>
      </c>
      <c r="FG96" s="26">
        <v>0.23195041199999999</v>
      </c>
      <c r="FH96" s="26">
        <v>-172585619.123</v>
      </c>
      <c r="FI96" s="26">
        <v>6.1516327714352843E-2</v>
      </c>
      <c r="FJ96" s="26">
        <v>5.8415487133990564E-4</v>
      </c>
      <c r="FK96" s="26">
        <v>1.9277295876440591E-4</v>
      </c>
      <c r="FL96" s="26">
        <v>1.3978132389602836E-18</v>
      </c>
      <c r="FM96" s="26">
        <v>1.110779094997344E-18</v>
      </c>
      <c r="FN96" s="26">
        <v>4.6606115928404485E-19</v>
      </c>
      <c r="FO96" s="26">
        <v>3.4795933333923028E-16</v>
      </c>
      <c r="FP96" s="26">
        <v>4.1530630332245042E-16</v>
      </c>
      <c r="FQ96" s="26">
        <v>4.3602366182152265E-15</v>
      </c>
      <c r="FR96" s="26">
        <v>0</v>
      </c>
      <c r="FS96" s="26">
        <v>1.1855877844847023E-18</v>
      </c>
      <c r="FT96" s="26">
        <v>2.9919975794915364E-20</v>
      </c>
      <c r="FU96" s="26">
        <v>1.255383593376402E-20</v>
      </c>
      <c r="FV96" s="26">
        <v>9.188866129066485E-17</v>
      </c>
      <c r="FW96" s="26">
        <v>1.119790136736099E-17</v>
      </c>
      <c r="FX96" s="26">
        <v>1.1495999647523552E-17</v>
      </c>
      <c r="FY96" s="26">
        <v>3.3116971098269102E-12</v>
      </c>
      <c r="FZ96" s="26">
        <v>2.550786117628511E-10</v>
      </c>
      <c r="GA96" s="26">
        <v>6.9966105559728848E-7</v>
      </c>
      <c r="GB96" s="26">
        <v>0</v>
      </c>
      <c r="GC96" s="26">
        <v>3.889535253338504E-11</v>
      </c>
      <c r="GD96" s="26">
        <v>1.7032189691813075E-16</v>
      </c>
      <c r="GE96" s="26">
        <v>3.4261668607426679E-13</v>
      </c>
      <c r="GF96" s="26">
        <v>1.4448241448919265E-13</v>
      </c>
      <c r="GG96" s="26">
        <v>6.6184194973918001E-9</v>
      </c>
      <c r="GH96" s="26">
        <v>0</v>
      </c>
      <c r="GI96" s="26">
        <v>0</v>
      </c>
      <c r="GJ96" s="26">
        <v>0</v>
      </c>
      <c r="GK96" s="26">
        <v>0</v>
      </c>
      <c r="GL96" s="26">
        <v>0</v>
      </c>
      <c r="GM96" s="26">
        <v>0</v>
      </c>
      <c r="GN96" s="26">
        <v>0</v>
      </c>
      <c r="GO96" s="26">
        <v>0</v>
      </c>
      <c r="GP96" s="26">
        <v>0</v>
      </c>
      <c r="GQ96" s="26">
        <v>0</v>
      </c>
      <c r="GR96" s="26">
        <v>6.8039387766537319E-17</v>
      </c>
      <c r="GS96" s="26">
        <v>1.4627607339243081E-4</v>
      </c>
      <c r="GT96" s="26">
        <v>1.7314044138512355E-7</v>
      </c>
      <c r="GU96" s="26">
        <v>0</v>
      </c>
      <c r="GV96" s="26">
        <v>0</v>
      </c>
      <c r="GW96" s="26">
        <v>0</v>
      </c>
      <c r="GX96" s="26">
        <v>1.1879986789484339E-2</v>
      </c>
      <c r="GY96" s="26">
        <v>0</v>
      </c>
      <c r="GZ96" s="26">
        <v>0</v>
      </c>
      <c r="HA96" s="26">
        <v>8.8487650707901204E-11</v>
      </c>
      <c r="HB96" s="26">
        <v>0</v>
      </c>
      <c r="HC96" s="26">
        <v>0</v>
      </c>
      <c r="HD96" s="26">
        <v>0</v>
      </c>
      <c r="HE96" s="26">
        <v>0</v>
      </c>
      <c r="HF96" s="26">
        <v>0</v>
      </c>
      <c r="HG96" s="26">
        <v>0</v>
      </c>
      <c r="HH96" s="26">
        <v>0</v>
      </c>
      <c r="HI96" s="26">
        <v>0</v>
      </c>
      <c r="HJ96" s="26">
        <v>0</v>
      </c>
      <c r="HK96" s="26">
        <v>0</v>
      </c>
      <c r="HL96" s="26">
        <v>0</v>
      </c>
      <c r="HM96" s="26">
        <v>0</v>
      </c>
      <c r="HN96" s="26">
        <v>0</v>
      </c>
      <c r="HO96" s="26">
        <v>0</v>
      </c>
      <c r="HP96" s="26">
        <v>0</v>
      </c>
      <c r="HQ96" s="26">
        <v>0</v>
      </c>
      <c r="HR96" s="26">
        <v>0</v>
      </c>
      <c r="HS96" s="26">
        <v>0</v>
      </c>
      <c r="HT96" s="26">
        <v>2.672245163044628E-2</v>
      </c>
    </row>
    <row r="97" spans="2:228" x14ac:dyDescent="0.2">
      <c r="B97" s="27" t="s">
        <v>1360</v>
      </c>
      <c r="C97" s="26">
        <v>1969.1759100000002</v>
      </c>
      <c r="D97" s="26">
        <v>-4.1772827799999996</v>
      </c>
      <c r="E97" s="26">
        <v>37.885368399999997</v>
      </c>
      <c r="F97" s="26">
        <v>31.971114199999999</v>
      </c>
      <c r="G97" s="26">
        <v>9.0657640299999991E-13</v>
      </c>
      <c r="H97" s="26">
        <v>7.2041535199999995E-13</v>
      </c>
      <c r="I97" s="26">
        <v>3.02272176E-13</v>
      </c>
      <c r="J97" s="26">
        <v>1.8806263099999999E-10</v>
      </c>
      <c r="K97" s="26">
        <v>2.2446185199999998E-10</v>
      </c>
      <c r="L97" s="26">
        <v>5.3730335100000001E-9</v>
      </c>
      <c r="M97" s="26">
        <v>0</v>
      </c>
      <c r="N97" s="26">
        <v>6.9204254399999999E-13</v>
      </c>
      <c r="O97" s="26">
        <v>1.7464667200000001E-14</v>
      </c>
      <c r="P97" s="26">
        <v>7.3278323899999994E-15</v>
      </c>
      <c r="Q97" s="26">
        <v>4.3703902500000002E-11</v>
      </c>
      <c r="R97" s="26">
        <v>5.3259236E-12</v>
      </c>
      <c r="S97" s="26">
        <v>7.4559331100000004E-12</v>
      </c>
      <c r="T97" s="26">
        <v>1.8139455899999999E-6</v>
      </c>
      <c r="U97" s="26">
        <v>1.1580466700000001E-4</v>
      </c>
      <c r="V97" s="26">
        <v>0.24201836400000001</v>
      </c>
      <c r="W97" s="26">
        <v>0</v>
      </c>
      <c r="X97" s="26">
        <v>1.26131334E-5</v>
      </c>
      <c r="Y97" s="26">
        <v>9.3290445599999994E-11</v>
      </c>
      <c r="Z97" s="26">
        <v>1.1359147399999999E-7</v>
      </c>
      <c r="AA97" s="26">
        <v>6.1422545200000001E-8</v>
      </c>
      <c r="AB97" s="26">
        <v>4.0577540000000001E-4</v>
      </c>
      <c r="AC97" s="26">
        <v>0</v>
      </c>
      <c r="AD97" s="26">
        <v>0</v>
      </c>
      <c r="AE97" s="26">
        <v>0</v>
      </c>
      <c r="AF97" s="26">
        <v>0</v>
      </c>
      <c r="AG97" s="26">
        <v>0</v>
      </c>
      <c r="AH97" s="26">
        <v>0</v>
      </c>
      <c r="AI97" s="26">
        <v>0</v>
      </c>
      <c r="AJ97" s="26">
        <v>0</v>
      </c>
      <c r="AK97" s="26">
        <v>0</v>
      </c>
      <c r="AL97" s="26">
        <v>0</v>
      </c>
      <c r="AM97" s="26">
        <v>6.9187913200000006E-11</v>
      </c>
      <c r="AN97" s="26">
        <v>16.850371599999999</v>
      </c>
      <c r="AO97" s="26">
        <v>1.7460958499999998E-2</v>
      </c>
      <c r="AP97" s="26">
        <v>0</v>
      </c>
      <c r="AQ97" s="26">
        <v>0</v>
      </c>
      <c r="AR97" s="26">
        <v>0</v>
      </c>
      <c r="AS97" s="26">
        <v>1882.2090199999998</v>
      </c>
      <c r="AT97" s="26">
        <v>0</v>
      </c>
      <c r="AU97" s="26">
        <v>0</v>
      </c>
      <c r="AV97" s="26">
        <v>2.0408197099999999E-5</v>
      </c>
      <c r="AW97" s="26">
        <v>0</v>
      </c>
      <c r="AX97" s="26">
        <v>0</v>
      </c>
      <c r="AY97" s="26">
        <v>0</v>
      </c>
      <c r="AZ97" s="26">
        <v>0</v>
      </c>
      <c r="BA97" s="26">
        <v>0</v>
      </c>
      <c r="BB97" s="26">
        <v>0</v>
      </c>
      <c r="BC97" s="26">
        <v>0</v>
      </c>
      <c r="BD97" s="26">
        <v>0</v>
      </c>
      <c r="BE97" s="26">
        <v>0</v>
      </c>
      <c r="BF97" s="26">
        <v>0</v>
      </c>
      <c r="BG97" s="26">
        <v>0</v>
      </c>
      <c r="BH97" s="26">
        <v>0</v>
      </c>
      <c r="BI97" s="26">
        <v>0</v>
      </c>
      <c r="BJ97" s="26">
        <v>0</v>
      </c>
      <c r="BK97" s="26">
        <v>0</v>
      </c>
      <c r="BL97" s="26">
        <v>0</v>
      </c>
      <c r="BM97" s="26">
        <v>0</v>
      </c>
      <c r="BN97" s="26">
        <v>0</v>
      </c>
      <c r="BO97" s="26">
        <v>46.094653399999999</v>
      </c>
      <c r="BP97" s="26">
        <v>1969.1759100000002</v>
      </c>
      <c r="BQ97" s="26">
        <v>19236.378700000001</v>
      </c>
      <c r="BR97" s="26">
        <v>32</v>
      </c>
      <c r="BS97" s="26">
        <v>1</v>
      </c>
      <c r="BT97" s="26">
        <v>1</v>
      </c>
      <c r="BU97" s="26">
        <v>0</v>
      </c>
      <c r="BV97" s="26">
        <v>0</v>
      </c>
      <c r="BW97" s="26">
        <v>-90624.018899999995</v>
      </c>
      <c r="BX97" s="26">
        <v>-2121.3354899999999</v>
      </c>
      <c r="BY97" s="26">
        <v>-4.1772827799999996</v>
      </c>
      <c r="BZ97" s="26">
        <v>0.19883483599999999</v>
      </c>
      <c r="CA97" s="26">
        <v>4.6543443999999996E-3</v>
      </c>
      <c r="CB97" s="26">
        <v>3.9937049800000001E-5</v>
      </c>
      <c r="CC97" s="26">
        <v>1.7061214400000001E-3</v>
      </c>
      <c r="CD97" s="26">
        <v>42.720267200000002</v>
      </c>
      <c r="CE97" s="26">
        <v>0</v>
      </c>
      <c r="CF97" s="26">
        <v>0</v>
      </c>
      <c r="CG97" s="26">
        <v>0</v>
      </c>
      <c r="CH97" s="26">
        <v>0</v>
      </c>
      <c r="CI97" s="26">
        <v>0</v>
      </c>
      <c r="CJ97" s="26">
        <v>0</v>
      </c>
      <c r="CK97" s="26">
        <v>0</v>
      </c>
      <c r="CL97" s="26">
        <v>0</v>
      </c>
      <c r="CM97" s="26">
        <v>0</v>
      </c>
      <c r="CN97" s="26">
        <v>0</v>
      </c>
      <c r="CO97" s="26">
        <v>0</v>
      </c>
      <c r="CP97" s="26">
        <v>0</v>
      </c>
      <c r="CQ97" s="26">
        <v>0</v>
      </c>
      <c r="CR97" s="26">
        <v>0</v>
      </c>
      <c r="CS97" s="26">
        <v>0</v>
      </c>
      <c r="CT97" s="26">
        <v>0</v>
      </c>
      <c r="CU97" s="26">
        <v>0</v>
      </c>
      <c r="CV97" s="26">
        <v>0</v>
      </c>
      <c r="CW97" s="26">
        <v>0</v>
      </c>
      <c r="CX97" s="26">
        <v>0</v>
      </c>
      <c r="CY97" s="26">
        <v>0</v>
      </c>
      <c r="CZ97" s="26">
        <v>0</v>
      </c>
      <c r="DA97" s="26">
        <v>0</v>
      </c>
      <c r="DB97" s="26">
        <v>0</v>
      </c>
      <c r="DC97" s="26">
        <v>0</v>
      </c>
      <c r="DD97" s="26">
        <v>0</v>
      </c>
      <c r="DE97" s="26">
        <v>0</v>
      </c>
      <c r="DF97" s="26">
        <v>0</v>
      </c>
      <c r="DG97" s="26">
        <v>0</v>
      </c>
      <c r="DH97" s="26">
        <v>0</v>
      </c>
      <c r="DI97" s="26">
        <v>0</v>
      </c>
      <c r="DJ97" s="26">
        <v>0</v>
      </c>
      <c r="DK97" s="26">
        <v>0</v>
      </c>
      <c r="DL97" s="26">
        <v>0</v>
      </c>
      <c r="DM97" s="26">
        <v>0</v>
      </c>
      <c r="DN97" s="26">
        <v>0</v>
      </c>
      <c r="DO97" s="26">
        <v>0</v>
      </c>
      <c r="DP97" s="26">
        <v>0</v>
      </c>
      <c r="DQ97" s="26">
        <v>0</v>
      </c>
      <c r="DR97" s="26">
        <v>0</v>
      </c>
      <c r="DS97" s="26">
        <v>0</v>
      </c>
      <c r="DT97" s="26">
        <v>0</v>
      </c>
      <c r="DU97" s="26">
        <v>0</v>
      </c>
      <c r="DV97" s="26">
        <v>0</v>
      </c>
      <c r="DW97" s="26">
        <v>0</v>
      </c>
      <c r="DX97" s="26">
        <v>0</v>
      </c>
      <c r="DY97" s="26">
        <v>0</v>
      </c>
      <c r="DZ97" s="26">
        <v>0</v>
      </c>
      <c r="EA97" s="26">
        <v>0</v>
      </c>
      <c r="EB97" s="26">
        <v>0</v>
      </c>
      <c r="EC97" s="26">
        <v>0</v>
      </c>
      <c r="ED97" s="26">
        <v>0</v>
      </c>
      <c r="EE97" s="26">
        <v>0</v>
      </c>
      <c r="EF97" s="26">
        <v>0</v>
      </c>
      <c r="EG97" s="26">
        <v>0</v>
      </c>
      <c r="EH97" s="26">
        <v>0</v>
      </c>
      <c r="EI97" s="26">
        <v>0</v>
      </c>
      <c r="EJ97" s="26">
        <v>0</v>
      </c>
      <c r="EK97" s="26">
        <v>0</v>
      </c>
      <c r="EL97" s="26">
        <v>0</v>
      </c>
      <c r="EM97" s="26">
        <v>0</v>
      </c>
      <c r="EN97" s="26">
        <v>0</v>
      </c>
      <c r="EO97" s="26">
        <v>0</v>
      </c>
      <c r="EP97" s="26">
        <v>0</v>
      </c>
      <c r="EQ97" s="26">
        <v>0</v>
      </c>
      <c r="ER97" s="26">
        <v>0</v>
      </c>
      <c r="ES97" s="26">
        <v>0</v>
      </c>
      <c r="ET97" s="26">
        <v>1</v>
      </c>
      <c r="EU97" s="26">
        <v>0</v>
      </c>
      <c r="EV97" s="26">
        <v>0</v>
      </c>
      <c r="EW97" s="26">
        <v>0</v>
      </c>
      <c r="EX97" s="26">
        <v>0</v>
      </c>
      <c r="EY97" s="26">
        <v>0</v>
      </c>
      <c r="EZ97" s="26">
        <v>0</v>
      </c>
      <c r="FA97" s="26">
        <v>0</v>
      </c>
      <c r="FB97" s="26">
        <v>0</v>
      </c>
      <c r="FC97" s="26">
        <v>0</v>
      </c>
      <c r="FD97" s="26">
        <v>0</v>
      </c>
      <c r="FE97" s="26">
        <v>0</v>
      </c>
      <c r="FF97" s="26">
        <v>0</v>
      </c>
      <c r="FG97" s="26">
        <v>3.4037353700000002E-2</v>
      </c>
      <c r="FH97" s="26">
        <v>-4861548.5258999998</v>
      </c>
      <c r="FI97" s="26">
        <v>1.2269032681485595E-2</v>
      </c>
      <c r="FJ97" s="26">
        <v>5.8415486856212785E-4</v>
      </c>
      <c r="FK97" s="26">
        <v>1.9277295848662811E-4</v>
      </c>
      <c r="FL97" s="26">
        <v>1.3978131861825054E-18</v>
      </c>
      <c r="FM97" s="26">
        <v>1.110779053330677E-18</v>
      </c>
      <c r="FN97" s="26">
        <v>4.6606114261737808E-19</v>
      </c>
      <c r="FO97" s="26">
        <v>3.47959322228119E-16</v>
      </c>
      <c r="FP97" s="26">
        <v>4.153062894335614E-16</v>
      </c>
      <c r="FQ97" s="26">
        <v>4.3602365626596704E-15</v>
      </c>
      <c r="FR97" s="26">
        <v>0</v>
      </c>
      <c r="FS97" s="26">
        <v>1.1855877400402575E-18</v>
      </c>
      <c r="FT97" s="26">
        <v>2.9919974406026458E-20</v>
      </c>
      <c r="FU97" s="26">
        <v>1.2553835461541795E-20</v>
      </c>
      <c r="FV97" s="26">
        <v>9.1888658235109262E-17</v>
      </c>
      <c r="FW97" s="26">
        <v>1.1197901006249874E-17</v>
      </c>
      <c r="FX97" s="26">
        <v>1.1495999203079104E-17</v>
      </c>
      <c r="FY97" s="26">
        <v>3.3116970542713539E-12</v>
      </c>
      <c r="FZ97" s="26">
        <v>2.5507860815173996E-10</v>
      </c>
      <c r="GA97" s="26">
        <v>6.9966105004173289E-7</v>
      </c>
      <c r="GB97" s="26">
        <v>0</v>
      </c>
      <c r="GC97" s="26">
        <v>3.889535197782948E-11</v>
      </c>
      <c r="GD97" s="26">
        <v>1.7032189386257514E-16</v>
      </c>
      <c r="GE97" s="26">
        <v>3.4261668329648907E-13</v>
      </c>
      <c r="GF97" s="26">
        <v>1.4448241226697042E-13</v>
      </c>
      <c r="GG97" s="26">
        <v>6.6184194696140229E-9</v>
      </c>
      <c r="GH97" s="26">
        <v>0</v>
      </c>
      <c r="GI97" s="26">
        <v>0</v>
      </c>
      <c r="GJ97" s="26">
        <v>0</v>
      </c>
      <c r="GK97" s="26">
        <v>0</v>
      </c>
      <c r="GL97" s="26">
        <v>0</v>
      </c>
      <c r="GM97" s="26">
        <v>0</v>
      </c>
      <c r="GN97" s="26">
        <v>0</v>
      </c>
      <c r="GO97" s="26">
        <v>0</v>
      </c>
      <c r="GP97" s="26">
        <v>0</v>
      </c>
      <c r="GQ97" s="26">
        <v>0</v>
      </c>
      <c r="GR97" s="26">
        <v>6.8039386099870653E-17</v>
      </c>
      <c r="GS97" s="26">
        <v>1.4627607367020861E-4</v>
      </c>
      <c r="GT97" s="26">
        <v>1.7314044138512355E-7</v>
      </c>
      <c r="GU97" s="26">
        <v>0</v>
      </c>
      <c r="GV97" s="26">
        <v>0</v>
      </c>
      <c r="GW97" s="26">
        <v>0</v>
      </c>
      <c r="GX97" s="26">
        <v>1.1879986789484339E-2</v>
      </c>
      <c r="GY97" s="26">
        <v>0</v>
      </c>
      <c r="GZ97" s="26">
        <v>0</v>
      </c>
      <c r="HA97" s="26">
        <v>8.8487651263456758E-11</v>
      </c>
      <c r="HB97" s="26">
        <v>0</v>
      </c>
      <c r="HC97" s="26">
        <v>0</v>
      </c>
      <c r="HD97" s="26">
        <v>0</v>
      </c>
      <c r="HE97" s="26">
        <v>0</v>
      </c>
      <c r="HF97" s="26">
        <v>0</v>
      </c>
      <c r="HG97" s="26">
        <v>0</v>
      </c>
      <c r="HH97" s="26">
        <v>0</v>
      </c>
      <c r="HI97" s="26">
        <v>0</v>
      </c>
      <c r="HJ97" s="26">
        <v>0</v>
      </c>
      <c r="HK97" s="26">
        <v>0</v>
      </c>
      <c r="HL97" s="26">
        <v>0</v>
      </c>
      <c r="HM97" s="26">
        <v>0</v>
      </c>
      <c r="HN97" s="26">
        <v>0</v>
      </c>
      <c r="HO97" s="26">
        <v>0</v>
      </c>
      <c r="HP97" s="26">
        <v>0</v>
      </c>
      <c r="HQ97" s="26">
        <v>0</v>
      </c>
      <c r="HR97" s="26">
        <v>0</v>
      </c>
      <c r="HS97" s="26">
        <v>0</v>
      </c>
      <c r="HT97" s="26">
        <v>0</v>
      </c>
    </row>
    <row r="98" spans="2:228" x14ac:dyDescent="0.2">
      <c r="B98" s="27" t="s">
        <v>1362</v>
      </c>
      <c r="C98" s="26">
        <v>443709.94699999999</v>
      </c>
      <c r="D98" s="26">
        <v>-1466.25468</v>
      </c>
      <c r="E98" s="26">
        <v>354435.76799999998</v>
      </c>
      <c r="F98" s="26">
        <v>5.8779036800000002</v>
      </c>
      <c r="G98" s="26">
        <v>3550.2458900000001</v>
      </c>
      <c r="H98" s="26">
        <v>1179.6069600000001</v>
      </c>
      <c r="I98" s="26">
        <v>494.93998199999999</v>
      </c>
      <c r="J98" s="26">
        <v>16476.311399999999</v>
      </c>
      <c r="K98" s="26">
        <v>2007.8659200000002</v>
      </c>
      <c r="L98" s="26">
        <v>1.4712044599999999E-4</v>
      </c>
      <c r="M98" s="26">
        <v>0</v>
      </c>
      <c r="N98" s="26">
        <v>87.614647399999996</v>
      </c>
      <c r="O98" s="26">
        <v>28.596618400000004</v>
      </c>
      <c r="P98" s="26">
        <v>11.998581100000001</v>
      </c>
      <c r="Q98" s="26">
        <v>390.551108</v>
      </c>
      <c r="R98" s="26">
        <v>47.594041799999999</v>
      </c>
      <c r="S98" s="26">
        <v>12208.3331</v>
      </c>
      <c r="T98" s="26">
        <v>656.53966200000002</v>
      </c>
      <c r="U98" s="26">
        <v>369.27255600000001</v>
      </c>
      <c r="V98" s="26">
        <v>336.08816999999999</v>
      </c>
      <c r="W98" s="26">
        <v>0</v>
      </c>
      <c r="X98" s="26">
        <v>41.762609300000001</v>
      </c>
      <c r="Y98" s="26">
        <v>4.8241179799999997E-5</v>
      </c>
      <c r="Z98" s="26">
        <v>3.0721527100000001E-3</v>
      </c>
      <c r="AA98" s="26">
        <v>3.0084470800000001E-3</v>
      </c>
      <c r="AB98" s="26">
        <v>0.20126190999999999</v>
      </c>
      <c r="AC98" s="26">
        <v>0</v>
      </c>
      <c r="AD98" s="26">
        <v>2481.5580500000001</v>
      </c>
      <c r="AE98" s="26">
        <v>1860.9805199999998</v>
      </c>
      <c r="AF98" s="26">
        <v>0</v>
      </c>
      <c r="AG98" s="26">
        <v>0</v>
      </c>
      <c r="AH98" s="26">
        <v>0</v>
      </c>
      <c r="AI98" s="26">
        <v>0</v>
      </c>
      <c r="AJ98" s="26">
        <v>0</v>
      </c>
      <c r="AK98" s="26">
        <v>0</v>
      </c>
      <c r="AL98" s="26">
        <v>0</v>
      </c>
      <c r="AM98" s="26">
        <v>13.3575654</v>
      </c>
      <c r="AN98" s="26">
        <v>7.8815718500000007E-2</v>
      </c>
      <c r="AO98" s="26">
        <v>0.174713493</v>
      </c>
      <c r="AP98" s="26">
        <v>0</v>
      </c>
      <c r="AQ98" s="26">
        <v>0</v>
      </c>
      <c r="AR98" s="26">
        <v>0</v>
      </c>
      <c r="AS98" s="26">
        <v>0.85319220100000004</v>
      </c>
      <c r="AT98" s="26">
        <v>0</v>
      </c>
      <c r="AU98" s="26">
        <v>0</v>
      </c>
      <c r="AV98" s="26">
        <v>2.1650779600000001E-3</v>
      </c>
      <c r="AW98" s="26">
        <v>0</v>
      </c>
      <c r="AX98" s="26">
        <v>0</v>
      </c>
      <c r="AY98" s="26">
        <v>0</v>
      </c>
      <c r="AZ98" s="26">
        <v>0</v>
      </c>
      <c r="BA98" s="26">
        <v>0</v>
      </c>
      <c r="BB98" s="26">
        <v>0</v>
      </c>
      <c r="BC98" s="26">
        <v>0</v>
      </c>
      <c r="BD98" s="26">
        <v>0</v>
      </c>
      <c r="BE98" s="26">
        <v>0</v>
      </c>
      <c r="BF98" s="26">
        <v>0</v>
      </c>
      <c r="BG98" s="26">
        <v>0</v>
      </c>
      <c r="BH98" s="26">
        <v>0</v>
      </c>
      <c r="BI98" s="26">
        <v>0</v>
      </c>
      <c r="BJ98" s="26">
        <v>0</v>
      </c>
      <c r="BK98" s="26">
        <v>0</v>
      </c>
      <c r="BL98" s="26">
        <v>0</v>
      </c>
      <c r="BM98" s="26">
        <v>0</v>
      </c>
      <c r="BN98" s="26">
        <v>0</v>
      </c>
      <c r="BO98" s="26">
        <v>19952.509600000001</v>
      </c>
      <c r="BP98" s="26">
        <v>396686.18</v>
      </c>
      <c r="BQ98" s="26">
        <v>6471.2790599999998</v>
      </c>
      <c r="BR98" s="26">
        <v>48.136181899999997</v>
      </c>
      <c r="BS98" s="26">
        <v>5.0827578400000002</v>
      </c>
      <c r="BT98" s="26">
        <v>0</v>
      </c>
      <c r="BU98" s="26">
        <v>1</v>
      </c>
      <c r="BV98" s="26">
        <v>0</v>
      </c>
      <c r="BW98" s="26">
        <v>-70417.471300000005</v>
      </c>
      <c r="BX98" s="26">
        <v>-3541.8558600000001</v>
      </c>
      <c r="BY98" s="26">
        <v>-1405.0052800000001</v>
      </c>
      <c r="BZ98" s="26">
        <v>-40.026668299999997</v>
      </c>
      <c r="CA98" s="26">
        <v>-2.0132601600000002</v>
      </c>
      <c r="CB98" s="26">
        <v>5.13873408E-2</v>
      </c>
      <c r="CC98" s="26">
        <v>1.0216583400000001</v>
      </c>
      <c r="CD98" s="26">
        <v>19.881518100000001</v>
      </c>
      <c r="CE98" s="26">
        <v>0</v>
      </c>
      <c r="CF98" s="26">
        <v>0</v>
      </c>
      <c r="CG98" s="26">
        <v>0</v>
      </c>
      <c r="CH98" s="26">
        <v>0</v>
      </c>
      <c r="CI98" s="26">
        <v>0</v>
      </c>
      <c r="CJ98" s="26">
        <v>0</v>
      </c>
      <c r="CK98" s="26">
        <v>0</v>
      </c>
      <c r="CL98" s="26">
        <v>0</v>
      </c>
      <c r="CM98" s="26">
        <v>0</v>
      </c>
      <c r="CN98" s="26">
        <v>0</v>
      </c>
      <c r="CO98" s="26">
        <v>0</v>
      </c>
      <c r="CP98" s="26">
        <v>0</v>
      </c>
      <c r="CQ98" s="26">
        <v>0</v>
      </c>
      <c r="CR98" s="26">
        <v>0</v>
      </c>
      <c r="CS98" s="26">
        <v>0</v>
      </c>
      <c r="CT98" s="26">
        <v>0</v>
      </c>
      <c r="CU98" s="26">
        <v>0</v>
      </c>
      <c r="CV98" s="26">
        <v>0</v>
      </c>
      <c r="CW98" s="26">
        <v>0</v>
      </c>
      <c r="CX98" s="26">
        <v>0</v>
      </c>
      <c r="CY98" s="26">
        <v>0</v>
      </c>
      <c r="CZ98" s="26">
        <v>0</v>
      </c>
      <c r="DA98" s="26">
        <v>0</v>
      </c>
      <c r="DB98" s="26">
        <v>0</v>
      </c>
      <c r="DC98" s="26">
        <v>0</v>
      </c>
      <c r="DD98" s="26">
        <v>0</v>
      </c>
      <c r="DE98" s="26">
        <v>0</v>
      </c>
      <c r="DF98" s="26">
        <v>0</v>
      </c>
      <c r="DG98" s="26">
        <v>0</v>
      </c>
      <c r="DH98" s="26">
        <v>0</v>
      </c>
      <c r="DI98" s="26">
        <v>0</v>
      </c>
      <c r="DJ98" s="26">
        <v>0</v>
      </c>
      <c r="DK98" s="26">
        <v>0</v>
      </c>
      <c r="DL98" s="26">
        <v>0</v>
      </c>
      <c r="DM98" s="26">
        <v>0</v>
      </c>
      <c r="DN98" s="26">
        <v>0</v>
      </c>
      <c r="DO98" s="26">
        <v>0</v>
      </c>
      <c r="DP98" s="26">
        <v>0</v>
      </c>
      <c r="DQ98" s="26">
        <v>0</v>
      </c>
      <c r="DR98" s="26">
        <v>0</v>
      </c>
      <c r="DS98" s="26">
        <v>0</v>
      </c>
      <c r="DT98" s="26">
        <v>0</v>
      </c>
      <c r="DU98" s="26">
        <v>0</v>
      </c>
      <c r="DV98" s="26">
        <v>0</v>
      </c>
      <c r="DW98" s="26">
        <v>0</v>
      </c>
      <c r="DX98" s="26">
        <v>26138.367999999999</v>
      </c>
      <c r="DY98" s="26">
        <v>30.979670600000002</v>
      </c>
      <c r="DZ98" s="26">
        <v>12.9984632</v>
      </c>
      <c r="EA98" s="26">
        <v>423.09997600000003</v>
      </c>
      <c r="EB98" s="26">
        <v>51.560570599999998</v>
      </c>
      <c r="EC98" s="26">
        <v>12475.191699999999</v>
      </c>
      <c r="ED98" s="26">
        <v>0</v>
      </c>
      <c r="EE98" s="26">
        <v>2624.1516000000001</v>
      </c>
      <c r="EF98" s="26">
        <v>4107.8476600000004</v>
      </c>
      <c r="EG98" s="26">
        <v>520.80320400000005</v>
      </c>
      <c r="EH98" s="26">
        <v>57.867214300000001</v>
      </c>
      <c r="EI98" s="26">
        <v>0</v>
      </c>
      <c r="EJ98" s="26">
        <v>107.802228</v>
      </c>
      <c r="EK98" s="26">
        <v>0</v>
      </c>
      <c r="EL98" s="26">
        <v>473.096384</v>
      </c>
      <c r="EM98" s="26">
        <v>0</v>
      </c>
      <c r="EN98" s="26">
        <v>0</v>
      </c>
      <c r="EO98" s="26">
        <v>0</v>
      </c>
      <c r="EP98" s="26">
        <v>466.98351200000002</v>
      </c>
      <c r="EQ98" s="26">
        <v>47023.766600000003</v>
      </c>
      <c r="ER98" s="26">
        <v>336.45210600000001</v>
      </c>
      <c r="ES98" s="26">
        <v>48.136181899999997</v>
      </c>
      <c r="ET98" s="26">
        <v>5.0827578400000002</v>
      </c>
      <c r="EU98" s="26">
        <v>0</v>
      </c>
      <c r="EV98" s="26">
        <v>0</v>
      </c>
      <c r="EW98" s="26">
        <v>1</v>
      </c>
      <c r="EX98" s="26">
        <v>-131159.658</v>
      </c>
      <c r="EY98" s="26">
        <v>-1302.5200199999999</v>
      </c>
      <c r="EZ98" s="26">
        <v>-61.249398200000002</v>
      </c>
      <c r="FA98" s="26">
        <v>-360.944277</v>
      </c>
      <c r="FB98" s="26">
        <v>-3.5844645900000001</v>
      </c>
      <c r="FC98" s="26">
        <v>2.3132738100000001E-2</v>
      </c>
      <c r="FD98" s="26">
        <v>2.3293937599999999</v>
      </c>
      <c r="FE98" s="26">
        <v>100.69684599999999</v>
      </c>
      <c r="FF98" s="26">
        <v>0</v>
      </c>
      <c r="FG98" s="26">
        <v>0.22990165800000001</v>
      </c>
      <c r="FH98" s="26">
        <v>-1714942343.3700001</v>
      </c>
      <c r="FI98" s="26">
        <v>0.37163955852867203</v>
      </c>
      <c r="FJ98" s="26">
        <v>0</v>
      </c>
      <c r="FK98" s="26">
        <v>0</v>
      </c>
      <c r="FL98" s="26">
        <v>0</v>
      </c>
      <c r="FM98" s="26">
        <v>0</v>
      </c>
      <c r="FN98" s="26">
        <v>0</v>
      </c>
      <c r="FO98" s="26">
        <v>0</v>
      </c>
      <c r="FP98" s="26">
        <v>0</v>
      </c>
      <c r="FQ98" s="26">
        <v>0</v>
      </c>
      <c r="FR98" s="26">
        <v>0</v>
      </c>
      <c r="FS98" s="26">
        <v>0</v>
      </c>
      <c r="FT98" s="26">
        <v>0</v>
      </c>
      <c r="FU98" s="26">
        <v>0</v>
      </c>
      <c r="FV98" s="26">
        <v>0</v>
      </c>
      <c r="FW98" s="26">
        <v>0</v>
      </c>
      <c r="FX98" s="26">
        <v>0</v>
      </c>
      <c r="FY98" s="26">
        <v>0</v>
      </c>
      <c r="FZ98" s="26">
        <v>0</v>
      </c>
      <c r="GA98" s="26">
        <v>0</v>
      </c>
      <c r="GB98" s="26">
        <v>0</v>
      </c>
      <c r="GC98" s="26">
        <v>0</v>
      </c>
      <c r="GD98" s="26">
        <v>0</v>
      </c>
      <c r="GE98" s="26">
        <v>0</v>
      </c>
      <c r="GF98" s="26">
        <v>0</v>
      </c>
      <c r="GG98" s="26">
        <v>0</v>
      </c>
      <c r="GH98" s="26">
        <v>0</v>
      </c>
      <c r="GI98" s="26">
        <v>0</v>
      </c>
      <c r="GJ98" s="26">
        <v>0</v>
      </c>
      <c r="GK98" s="26">
        <v>0</v>
      </c>
      <c r="GL98" s="26">
        <v>0</v>
      </c>
      <c r="GM98" s="26">
        <v>0</v>
      </c>
      <c r="GN98" s="26">
        <v>0</v>
      </c>
      <c r="GO98" s="26">
        <v>0</v>
      </c>
      <c r="GP98" s="26">
        <v>0</v>
      </c>
      <c r="GQ98" s="26">
        <v>0</v>
      </c>
      <c r="GR98" s="26">
        <v>0</v>
      </c>
      <c r="GS98" s="26">
        <v>0</v>
      </c>
      <c r="GT98" s="26">
        <v>0</v>
      </c>
      <c r="GU98" s="26">
        <v>0</v>
      </c>
      <c r="GV98" s="26">
        <v>0</v>
      </c>
      <c r="GW98" s="26">
        <v>0</v>
      </c>
      <c r="GX98" s="26">
        <v>0</v>
      </c>
      <c r="GY98" s="26">
        <v>0</v>
      </c>
      <c r="GZ98" s="26">
        <v>0</v>
      </c>
      <c r="HA98" s="26">
        <v>0</v>
      </c>
      <c r="HB98" s="26">
        <v>0</v>
      </c>
      <c r="HC98" s="26">
        <v>0</v>
      </c>
      <c r="HD98" s="26">
        <v>0</v>
      </c>
      <c r="HE98" s="26">
        <v>0</v>
      </c>
      <c r="HF98" s="26">
        <v>0</v>
      </c>
      <c r="HG98" s="26">
        <v>0</v>
      </c>
      <c r="HH98" s="26">
        <v>0</v>
      </c>
      <c r="HI98" s="26">
        <v>0</v>
      </c>
      <c r="HJ98" s="26">
        <v>0</v>
      </c>
      <c r="HK98" s="26">
        <v>0</v>
      </c>
      <c r="HL98" s="26">
        <v>0</v>
      </c>
      <c r="HM98" s="26">
        <v>0</v>
      </c>
      <c r="HN98" s="26">
        <v>0</v>
      </c>
      <c r="HO98" s="26">
        <v>0</v>
      </c>
      <c r="HP98" s="26">
        <v>0</v>
      </c>
      <c r="HQ98" s="26">
        <v>0</v>
      </c>
      <c r="HR98" s="26">
        <v>0</v>
      </c>
      <c r="HS98" s="26">
        <v>0</v>
      </c>
      <c r="HT98" s="26">
        <v>0.50056766511565243</v>
      </c>
    </row>
    <row r="99" spans="2:228" x14ac:dyDescent="0.2">
      <c r="B99" s="27" t="s">
        <v>2393</v>
      </c>
      <c r="C99" s="26">
        <v>443709.61599999998</v>
      </c>
      <c r="D99" s="26">
        <v>-1465.88706</v>
      </c>
      <c r="E99" s="26">
        <v>351804.25599999999</v>
      </c>
      <c r="F99" s="26">
        <v>5.8781905099999996</v>
      </c>
      <c r="G99" s="26">
        <v>29688.5353</v>
      </c>
      <c r="H99" s="26">
        <v>1179.6069600000001</v>
      </c>
      <c r="I99" s="26">
        <v>494.93998199999999</v>
      </c>
      <c r="J99" s="26">
        <v>16476.311399999999</v>
      </c>
      <c r="K99" s="26">
        <v>2007.8659200000002</v>
      </c>
      <c r="L99" s="26">
        <v>331.08546999999999</v>
      </c>
      <c r="M99" s="26">
        <v>0</v>
      </c>
      <c r="N99" s="26">
        <v>1133.1493700000001</v>
      </c>
      <c r="O99" s="26">
        <v>28.596618400000004</v>
      </c>
      <c r="P99" s="26">
        <v>11.998581100000001</v>
      </c>
      <c r="Q99" s="26">
        <v>390.551108</v>
      </c>
      <c r="R99" s="26">
        <v>47.594041799999999</v>
      </c>
      <c r="S99" s="26">
        <v>12208.3331</v>
      </c>
      <c r="T99" s="26">
        <v>656.53966200000002</v>
      </c>
      <c r="U99" s="26">
        <v>369.27255600000001</v>
      </c>
      <c r="V99" s="26">
        <v>336.08820900000001</v>
      </c>
      <c r="W99" s="26">
        <v>0</v>
      </c>
      <c r="X99" s="26">
        <v>41.7626621</v>
      </c>
      <c r="Y99" s="26">
        <v>4.8241145299999999E-5</v>
      </c>
      <c r="Z99" s="26">
        <v>3.07215002E-3</v>
      </c>
      <c r="AA99" s="26">
        <v>3.00844484E-3</v>
      </c>
      <c r="AB99" s="26">
        <v>0.20126485999999999</v>
      </c>
      <c r="AC99" s="26">
        <v>0</v>
      </c>
      <c r="AD99" s="26">
        <v>2481.5580500000001</v>
      </c>
      <c r="AE99" s="26">
        <v>1860.9805500000002</v>
      </c>
      <c r="AF99" s="26">
        <v>0</v>
      </c>
      <c r="AG99" s="26">
        <v>0</v>
      </c>
      <c r="AH99" s="26">
        <v>0</v>
      </c>
      <c r="AI99" s="26">
        <v>0</v>
      </c>
      <c r="AJ99" s="26">
        <v>0</v>
      </c>
      <c r="AK99" s="26">
        <v>0</v>
      </c>
      <c r="AL99" s="26">
        <v>0</v>
      </c>
      <c r="AM99" s="26">
        <v>13.3575797</v>
      </c>
      <c r="AN99" s="26">
        <v>7.8816405399999998E-2</v>
      </c>
      <c r="AO99" s="26">
        <v>0.17471503399999999</v>
      </c>
      <c r="AP99" s="26">
        <v>0</v>
      </c>
      <c r="AQ99" s="26">
        <v>0</v>
      </c>
      <c r="AR99" s="26">
        <v>0</v>
      </c>
      <c r="AS99" s="26">
        <v>0.85319993199999999</v>
      </c>
      <c r="AT99" s="26">
        <v>0</v>
      </c>
      <c r="AU99" s="26">
        <v>0</v>
      </c>
      <c r="AV99" s="26">
        <v>2.1650924699999998E-3</v>
      </c>
      <c r="AW99" s="26">
        <v>0</v>
      </c>
      <c r="AX99" s="26">
        <v>0</v>
      </c>
      <c r="AY99" s="26">
        <v>0</v>
      </c>
      <c r="AZ99" s="26">
        <v>0</v>
      </c>
      <c r="BA99" s="26">
        <v>0</v>
      </c>
      <c r="BB99" s="26">
        <v>0</v>
      </c>
      <c r="BC99" s="26">
        <v>0</v>
      </c>
      <c r="BD99" s="26">
        <v>0</v>
      </c>
      <c r="BE99" s="26">
        <v>0</v>
      </c>
      <c r="BF99" s="26">
        <v>0</v>
      </c>
      <c r="BG99" s="26">
        <v>0</v>
      </c>
      <c r="BH99" s="26">
        <v>0</v>
      </c>
      <c r="BI99" s="26">
        <v>0</v>
      </c>
      <c r="BJ99" s="26">
        <v>0</v>
      </c>
      <c r="BK99" s="26">
        <v>0</v>
      </c>
      <c r="BL99" s="26">
        <v>0</v>
      </c>
      <c r="BM99" s="26">
        <v>0</v>
      </c>
      <c r="BN99" s="26">
        <v>0</v>
      </c>
      <c r="BO99" s="26">
        <v>19958.939600000002</v>
      </c>
      <c r="BP99" s="26">
        <v>421569.57799999998</v>
      </c>
      <c r="BQ99" s="26">
        <v>6621.7587400000002</v>
      </c>
      <c r="BR99" s="26">
        <v>48</v>
      </c>
      <c r="BS99" s="26">
        <v>1</v>
      </c>
      <c r="BT99" s="26">
        <v>0</v>
      </c>
      <c r="BU99" s="26">
        <v>1</v>
      </c>
      <c r="BV99" s="26">
        <v>0</v>
      </c>
      <c r="BW99" s="26">
        <v>-72167.502099999998</v>
      </c>
      <c r="BX99" s="26">
        <v>-3416.7238200000002</v>
      </c>
      <c r="BY99" s="26">
        <v>-1440.3868299999999</v>
      </c>
      <c r="BZ99" s="26">
        <v>-41.541977099999997</v>
      </c>
      <c r="CA99" s="26">
        <v>-1.9667781</v>
      </c>
      <c r="CB99" s="26">
        <v>5.0235745900000003E-2</v>
      </c>
      <c r="CC99" s="26">
        <v>1.0610715100000001</v>
      </c>
      <c r="CD99" s="26">
        <v>21.121842399999998</v>
      </c>
      <c r="CE99" s="26">
        <v>0</v>
      </c>
      <c r="CF99" s="26">
        <v>0</v>
      </c>
      <c r="CG99" s="26">
        <v>0</v>
      </c>
      <c r="CH99" s="26">
        <v>0</v>
      </c>
      <c r="CI99" s="26">
        <v>0</v>
      </c>
      <c r="CJ99" s="26">
        <v>0</v>
      </c>
      <c r="CK99" s="26">
        <v>0</v>
      </c>
      <c r="CL99" s="26">
        <v>0</v>
      </c>
      <c r="CM99" s="26">
        <v>0</v>
      </c>
      <c r="CN99" s="26">
        <v>0</v>
      </c>
      <c r="CO99" s="26">
        <v>0</v>
      </c>
      <c r="CP99" s="26">
        <v>0</v>
      </c>
      <c r="CQ99" s="26">
        <v>0</v>
      </c>
      <c r="CR99" s="26">
        <v>0</v>
      </c>
      <c r="CS99" s="26">
        <v>0</v>
      </c>
      <c r="CT99" s="26">
        <v>0</v>
      </c>
      <c r="CU99" s="26">
        <v>0</v>
      </c>
      <c r="CV99" s="26">
        <v>0</v>
      </c>
      <c r="CW99" s="26">
        <v>0</v>
      </c>
      <c r="CX99" s="26">
        <v>0</v>
      </c>
      <c r="CY99" s="26">
        <v>0</v>
      </c>
      <c r="CZ99" s="26">
        <v>0</v>
      </c>
      <c r="DA99" s="26">
        <v>0</v>
      </c>
      <c r="DB99" s="26">
        <v>0</v>
      </c>
      <c r="DC99" s="26">
        <v>0</v>
      </c>
      <c r="DD99" s="26">
        <v>0</v>
      </c>
      <c r="DE99" s="26">
        <v>0</v>
      </c>
      <c r="DF99" s="26">
        <v>0</v>
      </c>
      <c r="DG99" s="26">
        <v>0</v>
      </c>
      <c r="DH99" s="26">
        <v>0</v>
      </c>
      <c r="DI99" s="26">
        <v>0</v>
      </c>
      <c r="DJ99" s="26">
        <v>0</v>
      </c>
      <c r="DK99" s="26">
        <v>0</v>
      </c>
      <c r="DL99" s="26">
        <v>0</v>
      </c>
      <c r="DM99" s="26">
        <v>0</v>
      </c>
      <c r="DN99" s="26">
        <v>0</v>
      </c>
      <c r="DO99" s="26">
        <v>0</v>
      </c>
      <c r="DP99" s="26">
        <v>0</v>
      </c>
      <c r="DQ99" s="26">
        <v>0</v>
      </c>
      <c r="DR99" s="26">
        <v>0</v>
      </c>
      <c r="DS99" s="26">
        <v>0</v>
      </c>
      <c r="DT99" s="26">
        <v>0</v>
      </c>
      <c r="DU99" s="26">
        <v>0</v>
      </c>
      <c r="DV99" s="26">
        <v>0</v>
      </c>
      <c r="DW99" s="26">
        <v>0</v>
      </c>
      <c r="DX99" s="26">
        <v>1254.64166</v>
      </c>
      <c r="DY99" s="26">
        <v>30.979670600000002</v>
      </c>
      <c r="DZ99" s="26">
        <v>12.9984632</v>
      </c>
      <c r="EA99" s="26">
        <v>423.09997600000003</v>
      </c>
      <c r="EB99" s="26">
        <v>51.560570599999998</v>
      </c>
      <c r="EC99" s="26">
        <v>12475.191699999999</v>
      </c>
      <c r="ED99" s="26">
        <v>0</v>
      </c>
      <c r="EE99" s="26">
        <v>2624.1497599999998</v>
      </c>
      <c r="EF99" s="26">
        <v>4107.8476600000004</v>
      </c>
      <c r="EG99" s="26">
        <v>520.80320400000005</v>
      </c>
      <c r="EH99" s="26">
        <v>57.867106200000009</v>
      </c>
      <c r="EI99" s="26">
        <v>0</v>
      </c>
      <c r="EJ99" s="26">
        <v>107.802228</v>
      </c>
      <c r="EK99" s="26">
        <v>0</v>
      </c>
      <c r="EL99" s="26">
        <v>473.096316</v>
      </c>
      <c r="EM99" s="26">
        <v>0</v>
      </c>
      <c r="EN99" s="26">
        <v>0</v>
      </c>
      <c r="EO99" s="26">
        <v>0</v>
      </c>
      <c r="EP99" s="26">
        <v>313.51507900000001</v>
      </c>
      <c r="EQ99" s="26">
        <v>22140.0383</v>
      </c>
      <c r="ER99" s="26">
        <v>267.352958</v>
      </c>
      <c r="ES99" s="26">
        <v>48</v>
      </c>
      <c r="ET99" s="26">
        <v>1</v>
      </c>
      <c r="EU99" s="26">
        <v>0</v>
      </c>
      <c r="EV99" s="26">
        <v>0</v>
      </c>
      <c r="EW99" s="26">
        <v>1</v>
      </c>
      <c r="EX99" s="26">
        <v>-81336.540299999993</v>
      </c>
      <c r="EY99" s="26">
        <v>-1151.77</v>
      </c>
      <c r="EZ99" s="26">
        <v>-25.500232</v>
      </c>
      <c r="FA99" s="26">
        <v>-156.84186700000001</v>
      </c>
      <c r="FB99" s="26">
        <v>-2.2209668100000002</v>
      </c>
      <c r="FC99" s="26">
        <v>1.9544392899999999E-2</v>
      </c>
      <c r="FD99" s="26">
        <v>1.3802003</v>
      </c>
      <c r="FE99" s="26">
        <v>70.618735200000003</v>
      </c>
      <c r="FF99" s="26">
        <v>0</v>
      </c>
      <c r="FG99" s="26">
        <v>0.229901824</v>
      </c>
      <c r="FH99" s="26">
        <v>-1714712743.9100001</v>
      </c>
      <c r="FI99" s="26">
        <v>0.62742014668602786</v>
      </c>
      <c r="FJ99" s="26">
        <v>0</v>
      </c>
      <c r="FK99" s="26">
        <v>0</v>
      </c>
      <c r="FL99" s="26">
        <v>0</v>
      </c>
      <c r="FM99" s="26">
        <v>0</v>
      </c>
      <c r="FN99" s="26">
        <v>0</v>
      </c>
      <c r="FO99" s="26">
        <v>0</v>
      </c>
      <c r="FP99" s="26">
        <v>0</v>
      </c>
      <c r="FQ99" s="26">
        <v>0</v>
      </c>
      <c r="FR99" s="26">
        <v>0</v>
      </c>
      <c r="FS99" s="26">
        <v>0</v>
      </c>
      <c r="FT99" s="26">
        <v>0</v>
      </c>
      <c r="FU99" s="26">
        <v>0</v>
      </c>
      <c r="FV99" s="26">
        <v>0</v>
      </c>
      <c r="FW99" s="26">
        <v>0</v>
      </c>
      <c r="FX99" s="26">
        <v>0</v>
      </c>
      <c r="FY99" s="26">
        <v>0</v>
      </c>
      <c r="FZ99" s="26">
        <v>0</v>
      </c>
      <c r="GA99" s="26">
        <v>0</v>
      </c>
      <c r="GB99" s="26">
        <v>0</v>
      </c>
      <c r="GC99" s="26">
        <v>0</v>
      </c>
      <c r="GD99" s="26">
        <v>0</v>
      </c>
      <c r="GE99" s="26">
        <v>0</v>
      </c>
      <c r="GF99" s="26">
        <v>0</v>
      </c>
      <c r="GG99" s="26">
        <v>0</v>
      </c>
      <c r="GH99" s="26">
        <v>0</v>
      </c>
      <c r="GI99" s="26">
        <v>0</v>
      </c>
      <c r="GJ99" s="26">
        <v>0</v>
      </c>
      <c r="GK99" s="26">
        <v>0</v>
      </c>
      <c r="GL99" s="26">
        <v>0</v>
      </c>
      <c r="GM99" s="26">
        <v>0</v>
      </c>
      <c r="GN99" s="26">
        <v>0</v>
      </c>
      <c r="GO99" s="26">
        <v>0</v>
      </c>
      <c r="GP99" s="26">
        <v>0</v>
      </c>
      <c r="GQ99" s="26">
        <v>0</v>
      </c>
      <c r="GR99" s="26">
        <v>0</v>
      </c>
      <c r="GS99" s="26">
        <v>0</v>
      </c>
      <c r="GT99" s="26">
        <v>0</v>
      </c>
      <c r="GU99" s="26">
        <v>0</v>
      </c>
      <c r="GV99" s="26">
        <v>0</v>
      </c>
      <c r="GW99" s="26">
        <v>0</v>
      </c>
      <c r="GX99" s="26">
        <v>0</v>
      </c>
      <c r="GY99" s="26">
        <v>0</v>
      </c>
      <c r="GZ99" s="26">
        <v>0</v>
      </c>
      <c r="HA99" s="26">
        <v>0</v>
      </c>
      <c r="HB99" s="26">
        <v>0</v>
      </c>
      <c r="HC99" s="26">
        <v>0</v>
      </c>
      <c r="HD99" s="26">
        <v>0</v>
      </c>
      <c r="HE99" s="26">
        <v>0</v>
      </c>
      <c r="HF99" s="26">
        <v>0</v>
      </c>
      <c r="HG99" s="26">
        <v>0</v>
      </c>
      <c r="HH99" s="26">
        <v>0</v>
      </c>
      <c r="HI99" s="26">
        <v>0</v>
      </c>
      <c r="HJ99" s="26">
        <v>0</v>
      </c>
      <c r="HK99" s="26">
        <v>0</v>
      </c>
      <c r="HL99" s="26">
        <v>0</v>
      </c>
      <c r="HM99" s="26">
        <v>0</v>
      </c>
      <c r="HN99" s="26">
        <v>0</v>
      </c>
      <c r="HO99" s="26">
        <v>0</v>
      </c>
      <c r="HP99" s="26">
        <v>0</v>
      </c>
      <c r="HQ99" s="26">
        <v>0</v>
      </c>
      <c r="HR99" s="26">
        <v>0</v>
      </c>
      <c r="HS99" s="26">
        <v>0</v>
      </c>
      <c r="HT99" s="26">
        <v>0.24478705806940756</v>
      </c>
    </row>
    <row r="100" spans="2:228" x14ac:dyDescent="0.2">
      <c r="B100" s="27" t="s">
        <v>2395</v>
      </c>
      <c r="C100" s="26">
        <v>443709.61599999998</v>
      </c>
      <c r="D100" s="26">
        <v>-1471.83818</v>
      </c>
      <c r="E100" s="26">
        <v>351804.25599999999</v>
      </c>
      <c r="F100" s="26">
        <v>5.8781905099999996</v>
      </c>
      <c r="G100" s="26">
        <v>29688.5353</v>
      </c>
      <c r="H100" s="26">
        <v>1179.6069600000001</v>
      </c>
      <c r="I100" s="26">
        <v>494.93998199999999</v>
      </c>
      <c r="J100" s="26">
        <v>16476.311399999999</v>
      </c>
      <c r="K100" s="26">
        <v>2007.8659200000002</v>
      </c>
      <c r="L100" s="26">
        <v>331.08546999999999</v>
      </c>
      <c r="M100" s="26">
        <v>0</v>
      </c>
      <c r="N100" s="26">
        <v>1133.1493700000001</v>
      </c>
      <c r="O100" s="26">
        <v>28.596618400000004</v>
      </c>
      <c r="P100" s="26">
        <v>11.998581100000001</v>
      </c>
      <c r="Q100" s="26">
        <v>390.551108</v>
      </c>
      <c r="R100" s="26">
        <v>47.594041799999999</v>
      </c>
      <c r="S100" s="26">
        <v>12208.3331</v>
      </c>
      <c r="T100" s="26">
        <v>656.53966200000002</v>
      </c>
      <c r="U100" s="26">
        <v>369.27255600000001</v>
      </c>
      <c r="V100" s="26">
        <v>336.08820900000001</v>
      </c>
      <c r="W100" s="26">
        <v>0</v>
      </c>
      <c r="X100" s="26">
        <v>41.7626621</v>
      </c>
      <c r="Y100" s="26">
        <v>4.8241145299999999E-5</v>
      </c>
      <c r="Z100" s="26">
        <v>3.07215002E-3</v>
      </c>
      <c r="AA100" s="26">
        <v>3.00844484E-3</v>
      </c>
      <c r="AB100" s="26">
        <v>0.20126485999999999</v>
      </c>
      <c r="AC100" s="26">
        <v>0</v>
      </c>
      <c r="AD100" s="26">
        <v>2481.5580500000001</v>
      </c>
      <c r="AE100" s="26">
        <v>1860.9805500000002</v>
      </c>
      <c r="AF100" s="26">
        <v>0</v>
      </c>
      <c r="AG100" s="26">
        <v>0</v>
      </c>
      <c r="AH100" s="26">
        <v>0</v>
      </c>
      <c r="AI100" s="26">
        <v>0</v>
      </c>
      <c r="AJ100" s="26">
        <v>0</v>
      </c>
      <c r="AK100" s="26">
        <v>0</v>
      </c>
      <c r="AL100" s="26">
        <v>0</v>
      </c>
      <c r="AM100" s="26">
        <v>13.3575797</v>
      </c>
      <c r="AN100" s="26">
        <v>7.8816405399999998E-2</v>
      </c>
      <c r="AO100" s="26">
        <v>0.17471503399999999</v>
      </c>
      <c r="AP100" s="26">
        <v>0</v>
      </c>
      <c r="AQ100" s="26">
        <v>0</v>
      </c>
      <c r="AR100" s="26">
        <v>0</v>
      </c>
      <c r="AS100" s="26">
        <v>0.85319993199999999</v>
      </c>
      <c r="AT100" s="26">
        <v>0</v>
      </c>
      <c r="AU100" s="26">
        <v>0</v>
      </c>
      <c r="AV100" s="26">
        <v>2.1650924699999998E-3</v>
      </c>
      <c r="AW100" s="26">
        <v>0</v>
      </c>
      <c r="AX100" s="26">
        <v>0</v>
      </c>
      <c r="AY100" s="26">
        <v>0</v>
      </c>
      <c r="AZ100" s="26">
        <v>0</v>
      </c>
      <c r="BA100" s="26">
        <v>0</v>
      </c>
      <c r="BB100" s="26">
        <v>0</v>
      </c>
      <c r="BC100" s="26">
        <v>0</v>
      </c>
      <c r="BD100" s="26">
        <v>0</v>
      </c>
      <c r="BE100" s="26">
        <v>0</v>
      </c>
      <c r="BF100" s="26">
        <v>0</v>
      </c>
      <c r="BG100" s="26">
        <v>0</v>
      </c>
      <c r="BH100" s="26">
        <v>0</v>
      </c>
      <c r="BI100" s="26">
        <v>0</v>
      </c>
      <c r="BJ100" s="26">
        <v>0</v>
      </c>
      <c r="BK100" s="26">
        <v>0</v>
      </c>
      <c r="BL100" s="26">
        <v>0</v>
      </c>
      <c r="BM100" s="26">
        <v>0</v>
      </c>
      <c r="BN100" s="26">
        <v>0</v>
      </c>
      <c r="BO100" s="26">
        <v>19958.939600000002</v>
      </c>
      <c r="BP100" s="26">
        <v>421569.57799999998</v>
      </c>
      <c r="BQ100" s="26">
        <v>6514.6997499999998</v>
      </c>
      <c r="BR100" s="26">
        <v>32</v>
      </c>
      <c r="BS100" s="26">
        <v>1</v>
      </c>
      <c r="BT100" s="26">
        <v>0</v>
      </c>
      <c r="BU100" s="26">
        <v>1</v>
      </c>
      <c r="BV100" s="26">
        <v>0</v>
      </c>
      <c r="BW100" s="26">
        <v>-72460.645399999994</v>
      </c>
      <c r="BX100" s="26">
        <v>-3430.6025</v>
      </c>
      <c r="BY100" s="26">
        <v>-1446.23766</v>
      </c>
      <c r="BZ100" s="26">
        <v>-42.481349399999999</v>
      </c>
      <c r="CA100" s="26">
        <v>-2.0112520699999998</v>
      </c>
      <c r="CB100" s="26">
        <v>5.1061292500000001E-2</v>
      </c>
      <c r="CC100" s="26">
        <v>1.0785085700000001</v>
      </c>
      <c r="CD100" s="26">
        <v>21.121842399999998</v>
      </c>
      <c r="CE100" s="26">
        <v>0</v>
      </c>
      <c r="CF100" s="26">
        <v>0</v>
      </c>
      <c r="CG100" s="26">
        <v>0</v>
      </c>
      <c r="CH100" s="26">
        <v>0</v>
      </c>
      <c r="CI100" s="26">
        <v>0</v>
      </c>
      <c r="CJ100" s="26">
        <v>0</v>
      </c>
      <c r="CK100" s="26">
        <v>0</v>
      </c>
      <c r="CL100" s="26">
        <v>0</v>
      </c>
      <c r="CM100" s="26">
        <v>0</v>
      </c>
      <c r="CN100" s="26">
        <v>0</v>
      </c>
      <c r="CO100" s="26">
        <v>0</v>
      </c>
      <c r="CP100" s="26">
        <v>0</v>
      </c>
      <c r="CQ100" s="26">
        <v>0</v>
      </c>
      <c r="CR100" s="26">
        <v>0</v>
      </c>
      <c r="CS100" s="26">
        <v>0</v>
      </c>
      <c r="CT100" s="26">
        <v>0</v>
      </c>
      <c r="CU100" s="26">
        <v>0</v>
      </c>
      <c r="CV100" s="26">
        <v>0</v>
      </c>
      <c r="CW100" s="26">
        <v>0</v>
      </c>
      <c r="CX100" s="26">
        <v>0</v>
      </c>
      <c r="CY100" s="26">
        <v>0</v>
      </c>
      <c r="CZ100" s="26">
        <v>0</v>
      </c>
      <c r="DA100" s="26">
        <v>0</v>
      </c>
      <c r="DB100" s="26">
        <v>0</v>
      </c>
      <c r="DC100" s="26">
        <v>0</v>
      </c>
      <c r="DD100" s="26">
        <v>0</v>
      </c>
      <c r="DE100" s="26">
        <v>0</v>
      </c>
      <c r="DF100" s="26">
        <v>0</v>
      </c>
      <c r="DG100" s="26">
        <v>0</v>
      </c>
      <c r="DH100" s="26">
        <v>0</v>
      </c>
      <c r="DI100" s="26">
        <v>0</v>
      </c>
      <c r="DJ100" s="26">
        <v>0</v>
      </c>
      <c r="DK100" s="26">
        <v>0</v>
      </c>
      <c r="DL100" s="26">
        <v>0</v>
      </c>
      <c r="DM100" s="26">
        <v>0</v>
      </c>
      <c r="DN100" s="26">
        <v>0</v>
      </c>
      <c r="DO100" s="26">
        <v>0</v>
      </c>
      <c r="DP100" s="26">
        <v>0</v>
      </c>
      <c r="DQ100" s="26">
        <v>0</v>
      </c>
      <c r="DR100" s="26">
        <v>0</v>
      </c>
      <c r="DS100" s="26">
        <v>0</v>
      </c>
      <c r="DT100" s="26">
        <v>0</v>
      </c>
      <c r="DU100" s="26">
        <v>0</v>
      </c>
      <c r="DV100" s="26">
        <v>0</v>
      </c>
      <c r="DW100" s="26">
        <v>0</v>
      </c>
      <c r="DX100" s="26">
        <v>1254.64166</v>
      </c>
      <c r="DY100" s="26">
        <v>30.979670600000002</v>
      </c>
      <c r="DZ100" s="26">
        <v>12.9984632</v>
      </c>
      <c r="EA100" s="26">
        <v>423.09997600000003</v>
      </c>
      <c r="EB100" s="26">
        <v>51.560570599999998</v>
      </c>
      <c r="EC100" s="26">
        <v>12475.191699999999</v>
      </c>
      <c r="ED100" s="26">
        <v>0</v>
      </c>
      <c r="EE100" s="26">
        <v>2624.1497599999998</v>
      </c>
      <c r="EF100" s="26">
        <v>4107.8476600000004</v>
      </c>
      <c r="EG100" s="26">
        <v>520.80320400000005</v>
      </c>
      <c r="EH100" s="26">
        <v>57.867106200000009</v>
      </c>
      <c r="EI100" s="26">
        <v>0</v>
      </c>
      <c r="EJ100" s="26">
        <v>107.802228</v>
      </c>
      <c r="EK100" s="26">
        <v>0</v>
      </c>
      <c r="EL100" s="26">
        <v>473.096316</v>
      </c>
      <c r="EM100" s="26">
        <v>0</v>
      </c>
      <c r="EN100" s="26">
        <v>0</v>
      </c>
      <c r="EO100" s="26">
        <v>0</v>
      </c>
      <c r="EP100" s="26">
        <v>313.51507900000001</v>
      </c>
      <c r="EQ100" s="26">
        <v>22140.0383</v>
      </c>
      <c r="ER100" s="26">
        <v>267.35296099999999</v>
      </c>
      <c r="ES100" s="26">
        <v>32</v>
      </c>
      <c r="ET100" s="26">
        <v>1</v>
      </c>
      <c r="EU100" s="26">
        <v>0</v>
      </c>
      <c r="EV100" s="26">
        <v>0</v>
      </c>
      <c r="EW100" s="26">
        <v>1</v>
      </c>
      <c r="EX100" s="26">
        <v>-81656.433699999994</v>
      </c>
      <c r="EY100" s="26">
        <v>-1156.2998600000001</v>
      </c>
      <c r="EZ100" s="26">
        <v>-25.600523500000001</v>
      </c>
      <c r="FA100" s="26">
        <v>-157.86348699999999</v>
      </c>
      <c r="FB100" s="26">
        <v>-2.23543351</v>
      </c>
      <c r="FC100" s="26">
        <v>1.95443927E-2</v>
      </c>
      <c r="FD100" s="26">
        <v>1.3802002899999999</v>
      </c>
      <c r="FE100" s="26">
        <v>70.618735200000003</v>
      </c>
      <c r="FF100" s="26">
        <v>0</v>
      </c>
      <c r="FG100" s="26">
        <v>0.229901824</v>
      </c>
      <c r="FH100" s="26">
        <v>-1714712743.9100001</v>
      </c>
      <c r="FI100" s="26">
        <v>0.62742014668602786</v>
      </c>
      <c r="FJ100" s="26">
        <v>0</v>
      </c>
      <c r="FK100" s="26">
        <v>0</v>
      </c>
      <c r="FL100" s="26">
        <v>0</v>
      </c>
      <c r="FM100" s="26">
        <v>0</v>
      </c>
      <c r="FN100" s="26">
        <v>0</v>
      </c>
      <c r="FO100" s="26">
        <v>0</v>
      </c>
      <c r="FP100" s="26">
        <v>0</v>
      </c>
      <c r="FQ100" s="26">
        <v>0</v>
      </c>
      <c r="FR100" s="26">
        <v>0</v>
      </c>
      <c r="FS100" s="26">
        <v>0</v>
      </c>
      <c r="FT100" s="26">
        <v>0</v>
      </c>
      <c r="FU100" s="26">
        <v>0</v>
      </c>
      <c r="FV100" s="26">
        <v>0</v>
      </c>
      <c r="FW100" s="26">
        <v>0</v>
      </c>
      <c r="FX100" s="26">
        <v>0</v>
      </c>
      <c r="FY100" s="26">
        <v>0</v>
      </c>
      <c r="FZ100" s="26">
        <v>0</v>
      </c>
      <c r="GA100" s="26">
        <v>0</v>
      </c>
      <c r="GB100" s="26">
        <v>0</v>
      </c>
      <c r="GC100" s="26">
        <v>0</v>
      </c>
      <c r="GD100" s="26">
        <v>0</v>
      </c>
      <c r="GE100" s="26">
        <v>0</v>
      </c>
      <c r="GF100" s="26">
        <v>0</v>
      </c>
      <c r="GG100" s="26">
        <v>0</v>
      </c>
      <c r="GH100" s="26">
        <v>0</v>
      </c>
      <c r="GI100" s="26">
        <v>0</v>
      </c>
      <c r="GJ100" s="26">
        <v>0</v>
      </c>
      <c r="GK100" s="26">
        <v>0</v>
      </c>
      <c r="GL100" s="26">
        <v>0</v>
      </c>
      <c r="GM100" s="26">
        <v>0</v>
      </c>
      <c r="GN100" s="26">
        <v>0</v>
      </c>
      <c r="GO100" s="26">
        <v>0</v>
      </c>
      <c r="GP100" s="26">
        <v>0</v>
      </c>
      <c r="GQ100" s="26">
        <v>0</v>
      </c>
      <c r="GR100" s="26">
        <v>0</v>
      </c>
      <c r="GS100" s="26">
        <v>0</v>
      </c>
      <c r="GT100" s="26">
        <v>0</v>
      </c>
      <c r="GU100" s="26">
        <v>0</v>
      </c>
      <c r="GV100" s="26">
        <v>0</v>
      </c>
      <c r="GW100" s="26">
        <v>0</v>
      </c>
      <c r="GX100" s="26">
        <v>0</v>
      </c>
      <c r="GY100" s="26">
        <v>0</v>
      </c>
      <c r="GZ100" s="26">
        <v>0</v>
      </c>
      <c r="HA100" s="26">
        <v>0</v>
      </c>
      <c r="HB100" s="26">
        <v>0</v>
      </c>
      <c r="HC100" s="26">
        <v>0</v>
      </c>
      <c r="HD100" s="26">
        <v>0</v>
      </c>
      <c r="HE100" s="26">
        <v>0</v>
      </c>
      <c r="HF100" s="26">
        <v>0</v>
      </c>
      <c r="HG100" s="26">
        <v>0</v>
      </c>
      <c r="HH100" s="26">
        <v>0</v>
      </c>
      <c r="HI100" s="26">
        <v>0</v>
      </c>
      <c r="HJ100" s="26">
        <v>0</v>
      </c>
      <c r="HK100" s="26">
        <v>0</v>
      </c>
      <c r="HL100" s="26">
        <v>0</v>
      </c>
      <c r="HM100" s="26">
        <v>0</v>
      </c>
      <c r="HN100" s="26">
        <v>0</v>
      </c>
      <c r="HO100" s="26">
        <v>0</v>
      </c>
      <c r="HP100" s="26">
        <v>0</v>
      </c>
      <c r="HQ100" s="26">
        <v>0</v>
      </c>
      <c r="HR100" s="26">
        <v>0</v>
      </c>
      <c r="HS100" s="26">
        <v>0</v>
      </c>
      <c r="HT100" s="26">
        <v>0.24478705806940756</v>
      </c>
    </row>
    <row r="101" spans="2:228" x14ac:dyDescent="0.2">
      <c r="B101" s="27" t="s">
        <v>2394</v>
      </c>
      <c r="C101" s="26">
        <v>443709.61599999998</v>
      </c>
      <c r="D101" s="26">
        <v>-1471.83818</v>
      </c>
      <c r="E101" s="26">
        <v>351804.25599999999</v>
      </c>
      <c r="F101" s="26">
        <v>5.8781905099999996</v>
      </c>
      <c r="G101" s="26">
        <v>29688.5353</v>
      </c>
      <c r="H101" s="26">
        <v>1179.6069600000001</v>
      </c>
      <c r="I101" s="26">
        <v>494.93998199999999</v>
      </c>
      <c r="J101" s="26">
        <v>16476.311399999999</v>
      </c>
      <c r="K101" s="26">
        <v>2007.8659200000002</v>
      </c>
      <c r="L101" s="26">
        <v>331.08546999999999</v>
      </c>
      <c r="M101" s="26">
        <v>0</v>
      </c>
      <c r="N101" s="26">
        <v>1133.1493700000001</v>
      </c>
      <c r="O101" s="26">
        <v>28.596618400000004</v>
      </c>
      <c r="P101" s="26">
        <v>11.998581100000001</v>
      </c>
      <c r="Q101" s="26">
        <v>390.551108</v>
      </c>
      <c r="R101" s="26">
        <v>47.594041799999999</v>
      </c>
      <c r="S101" s="26">
        <v>12208.3331</v>
      </c>
      <c r="T101" s="26">
        <v>656.53966200000002</v>
      </c>
      <c r="U101" s="26">
        <v>369.27255600000001</v>
      </c>
      <c r="V101" s="26">
        <v>336.08820900000001</v>
      </c>
      <c r="W101" s="26">
        <v>0</v>
      </c>
      <c r="X101" s="26">
        <v>41.7626621</v>
      </c>
      <c r="Y101" s="26">
        <v>4.8241145299999999E-5</v>
      </c>
      <c r="Z101" s="26">
        <v>3.07215002E-3</v>
      </c>
      <c r="AA101" s="26">
        <v>3.00844484E-3</v>
      </c>
      <c r="AB101" s="26">
        <v>0.20126485999999999</v>
      </c>
      <c r="AC101" s="26">
        <v>0</v>
      </c>
      <c r="AD101" s="26">
        <v>2481.5580500000001</v>
      </c>
      <c r="AE101" s="26">
        <v>1860.9805500000002</v>
      </c>
      <c r="AF101" s="26">
        <v>0</v>
      </c>
      <c r="AG101" s="26">
        <v>0</v>
      </c>
      <c r="AH101" s="26">
        <v>0</v>
      </c>
      <c r="AI101" s="26">
        <v>0</v>
      </c>
      <c r="AJ101" s="26">
        <v>0</v>
      </c>
      <c r="AK101" s="26">
        <v>0</v>
      </c>
      <c r="AL101" s="26">
        <v>0</v>
      </c>
      <c r="AM101" s="26">
        <v>13.3575797</v>
      </c>
      <c r="AN101" s="26">
        <v>7.8816405399999998E-2</v>
      </c>
      <c r="AO101" s="26">
        <v>0.17471503399999999</v>
      </c>
      <c r="AP101" s="26">
        <v>0</v>
      </c>
      <c r="AQ101" s="26">
        <v>0</v>
      </c>
      <c r="AR101" s="26">
        <v>0</v>
      </c>
      <c r="AS101" s="26">
        <v>0.85319993199999999</v>
      </c>
      <c r="AT101" s="26">
        <v>0</v>
      </c>
      <c r="AU101" s="26">
        <v>0</v>
      </c>
      <c r="AV101" s="26">
        <v>2.1650924699999998E-3</v>
      </c>
      <c r="AW101" s="26">
        <v>0</v>
      </c>
      <c r="AX101" s="26">
        <v>0</v>
      </c>
      <c r="AY101" s="26">
        <v>0</v>
      </c>
      <c r="AZ101" s="26">
        <v>0</v>
      </c>
      <c r="BA101" s="26">
        <v>0</v>
      </c>
      <c r="BB101" s="26">
        <v>0</v>
      </c>
      <c r="BC101" s="26">
        <v>0</v>
      </c>
      <c r="BD101" s="26">
        <v>0</v>
      </c>
      <c r="BE101" s="26">
        <v>0</v>
      </c>
      <c r="BF101" s="26">
        <v>0</v>
      </c>
      <c r="BG101" s="26">
        <v>0</v>
      </c>
      <c r="BH101" s="26">
        <v>0</v>
      </c>
      <c r="BI101" s="26">
        <v>0</v>
      </c>
      <c r="BJ101" s="26">
        <v>0</v>
      </c>
      <c r="BK101" s="26">
        <v>0</v>
      </c>
      <c r="BL101" s="26">
        <v>0</v>
      </c>
      <c r="BM101" s="26">
        <v>0</v>
      </c>
      <c r="BN101" s="26">
        <v>0</v>
      </c>
      <c r="BO101" s="26">
        <v>19958.939600000002</v>
      </c>
      <c r="BP101" s="26">
        <v>421569.57799999998</v>
      </c>
      <c r="BQ101" s="26">
        <v>6514.6997499999998</v>
      </c>
      <c r="BR101" s="26">
        <v>32</v>
      </c>
      <c r="BS101" s="26">
        <v>1</v>
      </c>
      <c r="BT101" s="26">
        <v>0</v>
      </c>
      <c r="BU101" s="26">
        <v>1</v>
      </c>
      <c r="BV101" s="26">
        <v>0</v>
      </c>
      <c r="BW101" s="26">
        <v>-72460.645399999994</v>
      </c>
      <c r="BX101" s="26">
        <v>-3430.6025</v>
      </c>
      <c r="BY101" s="26">
        <v>-1446.23766</v>
      </c>
      <c r="BZ101" s="26">
        <v>-42.481349399999999</v>
      </c>
      <c r="CA101" s="26">
        <v>-2.0112520699999998</v>
      </c>
      <c r="CB101" s="26">
        <v>5.1061292500000001E-2</v>
      </c>
      <c r="CC101" s="26">
        <v>1.0785085700000001</v>
      </c>
      <c r="CD101" s="26">
        <v>21.121842399999998</v>
      </c>
      <c r="CE101" s="26">
        <v>0</v>
      </c>
      <c r="CF101" s="26">
        <v>0</v>
      </c>
      <c r="CG101" s="26">
        <v>0</v>
      </c>
      <c r="CH101" s="26">
        <v>0</v>
      </c>
      <c r="CI101" s="26">
        <v>0</v>
      </c>
      <c r="CJ101" s="26">
        <v>0</v>
      </c>
      <c r="CK101" s="26">
        <v>0</v>
      </c>
      <c r="CL101" s="26">
        <v>0</v>
      </c>
      <c r="CM101" s="26">
        <v>0</v>
      </c>
      <c r="CN101" s="26">
        <v>0</v>
      </c>
      <c r="CO101" s="26">
        <v>0</v>
      </c>
      <c r="CP101" s="26">
        <v>0</v>
      </c>
      <c r="CQ101" s="26">
        <v>0</v>
      </c>
      <c r="CR101" s="26">
        <v>0</v>
      </c>
      <c r="CS101" s="26">
        <v>0</v>
      </c>
      <c r="CT101" s="26">
        <v>0</v>
      </c>
      <c r="CU101" s="26">
        <v>0</v>
      </c>
      <c r="CV101" s="26">
        <v>0</v>
      </c>
      <c r="CW101" s="26">
        <v>0</v>
      </c>
      <c r="CX101" s="26">
        <v>0</v>
      </c>
      <c r="CY101" s="26">
        <v>0</v>
      </c>
      <c r="CZ101" s="26">
        <v>0</v>
      </c>
      <c r="DA101" s="26">
        <v>0</v>
      </c>
      <c r="DB101" s="26">
        <v>0</v>
      </c>
      <c r="DC101" s="26">
        <v>0</v>
      </c>
      <c r="DD101" s="26">
        <v>0</v>
      </c>
      <c r="DE101" s="26">
        <v>0</v>
      </c>
      <c r="DF101" s="26">
        <v>0</v>
      </c>
      <c r="DG101" s="26">
        <v>0</v>
      </c>
      <c r="DH101" s="26">
        <v>0</v>
      </c>
      <c r="DI101" s="26">
        <v>0</v>
      </c>
      <c r="DJ101" s="26">
        <v>0</v>
      </c>
      <c r="DK101" s="26">
        <v>0</v>
      </c>
      <c r="DL101" s="26">
        <v>0</v>
      </c>
      <c r="DM101" s="26">
        <v>0</v>
      </c>
      <c r="DN101" s="26">
        <v>0</v>
      </c>
      <c r="DO101" s="26">
        <v>0</v>
      </c>
      <c r="DP101" s="26">
        <v>0</v>
      </c>
      <c r="DQ101" s="26">
        <v>0</v>
      </c>
      <c r="DR101" s="26">
        <v>0</v>
      </c>
      <c r="DS101" s="26">
        <v>0</v>
      </c>
      <c r="DT101" s="26">
        <v>0</v>
      </c>
      <c r="DU101" s="26">
        <v>0</v>
      </c>
      <c r="DV101" s="26">
        <v>0</v>
      </c>
      <c r="DW101" s="26">
        <v>0</v>
      </c>
      <c r="DX101" s="26">
        <v>1254.64166</v>
      </c>
      <c r="DY101" s="26">
        <v>30.979670600000002</v>
      </c>
      <c r="DZ101" s="26">
        <v>12.9984632</v>
      </c>
      <c r="EA101" s="26">
        <v>423.09997600000003</v>
      </c>
      <c r="EB101" s="26">
        <v>51.560570599999998</v>
      </c>
      <c r="EC101" s="26">
        <v>12475.191699999999</v>
      </c>
      <c r="ED101" s="26">
        <v>0</v>
      </c>
      <c r="EE101" s="26">
        <v>2624.1497599999998</v>
      </c>
      <c r="EF101" s="26">
        <v>4107.8476600000004</v>
      </c>
      <c r="EG101" s="26">
        <v>520.80320400000005</v>
      </c>
      <c r="EH101" s="26">
        <v>57.867106200000009</v>
      </c>
      <c r="EI101" s="26">
        <v>0</v>
      </c>
      <c r="EJ101" s="26">
        <v>107.802228</v>
      </c>
      <c r="EK101" s="26">
        <v>0</v>
      </c>
      <c r="EL101" s="26">
        <v>473.096316</v>
      </c>
      <c r="EM101" s="26">
        <v>0</v>
      </c>
      <c r="EN101" s="26">
        <v>0</v>
      </c>
      <c r="EO101" s="26">
        <v>0</v>
      </c>
      <c r="EP101" s="26">
        <v>313.51507900000001</v>
      </c>
      <c r="EQ101" s="26">
        <v>22140.0383</v>
      </c>
      <c r="ER101" s="26">
        <v>267.35296099999999</v>
      </c>
      <c r="ES101" s="26">
        <v>32</v>
      </c>
      <c r="ET101" s="26">
        <v>1</v>
      </c>
      <c r="EU101" s="26">
        <v>0</v>
      </c>
      <c r="EV101" s="26">
        <v>0</v>
      </c>
      <c r="EW101" s="26">
        <v>1</v>
      </c>
      <c r="EX101" s="26">
        <v>-81656.433699999994</v>
      </c>
      <c r="EY101" s="26">
        <v>-1156.2998600000001</v>
      </c>
      <c r="EZ101" s="26">
        <v>-25.600523500000001</v>
      </c>
      <c r="FA101" s="26">
        <v>-157.86348699999999</v>
      </c>
      <c r="FB101" s="26">
        <v>-2.23543351</v>
      </c>
      <c r="FC101" s="26">
        <v>1.95443927E-2</v>
      </c>
      <c r="FD101" s="26">
        <v>1.3802002899999999</v>
      </c>
      <c r="FE101" s="26">
        <v>70.618735200000003</v>
      </c>
      <c r="FF101" s="26">
        <v>0</v>
      </c>
      <c r="FG101" s="26">
        <v>0.229901824</v>
      </c>
      <c r="FH101" s="26">
        <v>-1714712743.9100001</v>
      </c>
      <c r="FI101" s="26">
        <v>0.62742014668602786</v>
      </c>
      <c r="FJ101" s="26">
        <v>0</v>
      </c>
      <c r="FK101" s="26">
        <v>0</v>
      </c>
      <c r="FL101" s="26">
        <v>0</v>
      </c>
      <c r="FM101" s="26">
        <v>0</v>
      </c>
      <c r="FN101" s="26">
        <v>0</v>
      </c>
      <c r="FO101" s="26">
        <v>0</v>
      </c>
      <c r="FP101" s="26">
        <v>0</v>
      </c>
      <c r="FQ101" s="26">
        <v>0</v>
      </c>
      <c r="FR101" s="26">
        <v>0</v>
      </c>
      <c r="FS101" s="26">
        <v>0</v>
      </c>
      <c r="FT101" s="26">
        <v>0</v>
      </c>
      <c r="FU101" s="26">
        <v>0</v>
      </c>
      <c r="FV101" s="26">
        <v>0</v>
      </c>
      <c r="FW101" s="26">
        <v>0</v>
      </c>
      <c r="FX101" s="26">
        <v>0</v>
      </c>
      <c r="FY101" s="26">
        <v>0</v>
      </c>
      <c r="FZ101" s="26">
        <v>0</v>
      </c>
      <c r="GA101" s="26">
        <v>0</v>
      </c>
      <c r="GB101" s="26">
        <v>0</v>
      </c>
      <c r="GC101" s="26">
        <v>0</v>
      </c>
      <c r="GD101" s="26">
        <v>0</v>
      </c>
      <c r="GE101" s="26">
        <v>0</v>
      </c>
      <c r="GF101" s="26">
        <v>0</v>
      </c>
      <c r="GG101" s="26">
        <v>0</v>
      </c>
      <c r="GH101" s="26">
        <v>0</v>
      </c>
      <c r="GI101" s="26">
        <v>0</v>
      </c>
      <c r="GJ101" s="26">
        <v>0</v>
      </c>
      <c r="GK101" s="26">
        <v>0</v>
      </c>
      <c r="GL101" s="26">
        <v>0</v>
      </c>
      <c r="GM101" s="26">
        <v>0</v>
      </c>
      <c r="GN101" s="26">
        <v>0</v>
      </c>
      <c r="GO101" s="26">
        <v>0</v>
      </c>
      <c r="GP101" s="26">
        <v>0</v>
      </c>
      <c r="GQ101" s="26">
        <v>0</v>
      </c>
      <c r="GR101" s="26">
        <v>0</v>
      </c>
      <c r="GS101" s="26">
        <v>0</v>
      </c>
      <c r="GT101" s="26">
        <v>0</v>
      </c>
      <c r="GU101" s="26">
        <v>0</v>
      </c>
      <c r="GV101" s="26">
        <v>0</v>
      </c>
      <c r="GW101" s="26">
        <v>0</v>
      </c>
      <c r="GX101" s="26">
        <v>0</v>
      </c>
      <c r="GY101" s="26">
        <v>0</v>
      </c>
      <c r="GZ101" s="26">
        <v>0</v>
      </c>
      <c r="HA101" s="26">
        <v>0</v>
      </c>
      <c r="HB101" s="26">
        <v>0</v>
      </c>
      <c r="HC101" s="26">
        <v>0</v>
      </c>
      <c r="HD101" s="26">
        <v>0</v>
      </c>
      <c r="HE101" s="26">
        <v>0</v>
      </c>
      <c r="HF101" s="26">
        <v>0</v>
      </c>
      <c r="HG101" s="26">
        <v>0</v>
      </c>
      <c r="HH101" s="26">
        <v>0</v>
      </c>
      <c r="HI101" s="26">
        <v>0</v>
      </c>
      <c r="HJ101" s="26">
        <v>0</v>
      </c>
      <c r="HK101" s="26">
        <v>0</v>
      </c>
      <c r="HL101" s="26">
        <v>0</v>
      </c>
      <c r="HM101" s="26">
        <v>0</v>
      </c>
      <c r="HN101" s="26">
        <v>0</v>
      </c>
      <c r="HO101" s="26">
        <v>0</v>
      </c>
      <c r="HP101" s="26">
        <v>0</v>
      </c>
      <c r="HQ101" s="26">
        <v>0</v>
      </c>
      <c r="HR101" s="26">
        <v>0</v>
      </c>
      <c r="HS101" s="26">
        <v>0</v>
      </c>
      <c r="HT101" s="26">
        <v>0.24478705806940756</v>
      </c>
    </row>
    <row r="102" spans="2:228" x14ac:dyDescent="0.2">
      <c r="B102" s="27" t="s">
        <v>2879</v>
      </c>
      <c r="C102" s="26">
        <v>443709.94699999999</v>
      </c>
      <c r="D102" s="26">
        <v>-1466.3022100000001</v>
      </c>
      <c r="E102" s="26">
        <v>354435.76799999998</v>
      </c>
      <c r="F102" s="26">
        <v>5.8779036800000002</v>
      </c>
      <c r="G102" s="26">
        <v>3550.2458900000001</v>
      </c>
      <c r="H102" s="26">
        <v>1179.6069600000001</v>
      </c>
      <c r="I102" s="26">
        <v>494.93998199999999</v>
      </c>
      <c r="J102" s="26">
        <v>16476.311399999999</v>
      </c>
      <c r="K102" s="26">
        <v>2007.8659200000002</v>
      </c>
      <c r="L102" s="26">
        <v>1.4712044599999999E-4</v>
      </c>
      <c r="M102" s="26">
        <v>0</v>
      </c>
      <c r="N102" s="26">
        <v>87.614647399999996</v>
      </c>
      <c r="O102" s="26">
        <v>28.596618400000004</v>
      </c>
      <c r="P102" s="26">
        <v>11.998581100000001</v>
      </c>
      <c r="Q102" s="26">
        <v>390.551108</v>
      </c>
      <c r="R102" s="26">
        <v>47.594041799999999</v>
      </c>
      <c r="S102" s="26">
        <v>12208.3331</v>
      </c>
      <c r="T102" s="26">
        <v>656.53966200000002</v>
      </c>
      <c r="U102" s="26">
        <v>369.27255600000001</v>
      </c>
      <c r="V102" s="26">
        <v>336.08816999999999</v>
      </c>
      <c r="W102" s="26">
        <v>0</v>
      </c>
      <c r="X102" s="26">
        <v>41.762609300000001</v>
      </c>
      <c r="Y102" s="26">
        <v>4.8241179799999997E-5</v>
      </c>
      <c r="Z102" s="26">
        <v>3.0721527100000001E-3</v>
      </c>
      <c r="AA102" s="26">
        <v>3.0084470800000001E-3</v>
      </c>
      <c r="AB102" s="26">
        <v>0.20126190999999999</v>
      </c>
      <c r="AC102" s="26">
        <v>0</v>
      </c>
      <c r="AD102" s="26">
        <v>2481.5580500000001</v>
      </c>
      <c r="AE102" s="26">
        <v>1860.9805199999998</v>
      </c>
      <c r="AF102" s="26">
        <v>0</v>
      </c>
      <c r="AG102" s="26">
        <v>0</v>
      </c>
      <c r="AH102" s="26">
        <v>0</v>
      </c>
      <c r="AI102" s="26">
        <v>0</v>
      </c>
      <c r="AJ102" s="26">
        <v>0</v>
      </c>
      <c r="AK102" s="26">
        <v>0</v>
      </c>
      <c r="AL102" s="26">
        <v>0</v>
      </c>
      <c r="AM102" s="26">
        <v>13.3575654</v>
      </c>
      <c r="AN102" s="26">
        <v>7.8815718500000007E-2</v>
      </c>
      <c r="AO102" s="26">
        <v>0.174713493</v>
      </c>
      <c r="AP102" s="26">
        <v>0</v>
      </c>
      <c r="AQ102" s="26">
        <v>0</v>
      </c>
      <c r="AR102" s="26">
        <v>0</v>
      </c>
      <c r="AS102" s="26">
        <v>0.85319220100000004</v>
      </c>
      <c r="AT102" s="26">
        <v>0</v>
      </c>
      <c r="AU102" s="26">
        <v>0</v>
      </c>
      <c r="AV102" s="26">
        <v>2.1650779600000001E-3</v>
      </c>
      <c r="AW102" s="26">
        <v>0</v>
      </c>
      <c r="AX102" s="26">
        <v>0</v>
      </c>
      <c r="AY102" s="26">
        <v>0</v>
      </c>
      <c r="AZ102" s="26">
        <v>0</v>
      </c>
      <c r="BA102" s="26">
        <v>0</v>
      </c>
      <c r="BB102" s="26">
        <v>0</v>
      </c>
      <c r="BC102" s="26">
        <v>0</v>
      </c>
      <c r="BD102" s="26">
        <v>0</v>
      </c>
      <c r="BE102" s="26">
        <v>0</v>
      </c>
      <c r="BF102" s="26">
        <v>0</v>
      </c>
      <c r="BG102" s="26">
        <v>0</v>
      </c>
      <c r="BH102" s="26">
        <v>0</v>
      </c>
      <c r="BI102" s="26">
        <v>0</v>
      </c>
      <c r="BJ102" s="26">
        <v>0</v>
      </c>
      <c r="BK102" s="26">
        <v>0</v>
      </c>
      <c r="BL102" s="26">
        <v>0</v>
      </c>
      <c r="BM102" s="26">
        <v>0</v>
      </c>
      <c r="BN102" s="26">
        <v>0</v>
      </c>
      <c r="BO102" s="26">
        <v>19952.509600000001</v>
      </c>
      <c r="BP102" s="26">
        <v>396686.18</v>
      </c>
      <c r="BQ102" s="26">
        <v>6470.4227099999998</v>
      </c>
      <c r="BR102" s="26">
        <v>48.006982600000015</v>
      </c>
      <c r="BS102" s="26">
        <v>1</v>
      </c>
      <c r="BT102" s="26">
        <v>0</v>
      </c>
      <c r="BU102" s="26">
        <v>1</v>
      </c>
      <c r="BV102" s="26">
        <v>0</v>
      </c>
      <c r="BW102" s="26">
        <v>-70419.801500000001</v>
      </c>
      <c r="BX102" s="26">
        <v>-3541.97307</v>
      </c>
      <c r="BY102" s="26">
        <v>-1405.05178</v>
      </c>
      <c r="BZ102" s="26">
        <v>-40.033921399999997</v>
      </c>
      <c r="CA102" s="26">
        <v>-2.0136249799999999</v>
      </c>
      <c r="CB102" s="26">
        <v>5.1394141900000002E-2</v>
      </c>
      <c r="CC102" s="26">
        <v>1.0217935600000001</v>
      </c>
      <c r="CD102" s="26">
        <v>19.881518100000001</v>
      </c>
      <c r="CE102" s="26">
        <v>0</v>
      </c>
      <c r="CF102" s="26">
        <v>0</v>
      </c>
      <c r="CG102" s="26">
        <v>0</v>
      </c>
      <c r="CH102" s="26">
        <v>0</v>
      </c>
      <c r="CI102" s="26">
        <v>0</v>
      </c>
      <c r="CJ102" s="26">
        <v>0</v>
      </c>
      <c r="CK102" s="26">
        <v>0</v>
      </c>
      <c r="CL102" s="26">
        <v>0</v>
      </c>
      <c r="CM102" s="26">
        <v>0</v>
      </c>
      <c r="CN102" s="26">
        <v>0</v>
      </c>
      <c r="CO102" s="26">
        <v>0</v>
      </c>
      <c r="CP102" s="26">
        <v>0</v>
      </c>
      <c r="CQ102" s="26">
        <v>0</v>
      </c>
      <c r="CR102" s="26">
        <v>0</v>
      </c>
      <c r="CS102" s="26">
        <v>0</v>
      </c>
      <c r="CT102" s="26">
        <v>0</v>
      </c>
      <c r="CU102" s="26">
        <v>0</v>
      </c>
      <c r="CV102" s="26">
        <v>0</v>
      </c>
      <c r="CW102" s="26">
        <v>0</v>
      </c>
      <c r="CX102" s="26">
        <v>0</v>
      </c>
      <c r="CY102" s="26">
        <v>0</v>
      </c>
      <c r="CZ102" s="26">
        <v>0</v>
      </c>
      <c r="DA102" s="26">
        <v>0</v>
      </c>
      <c r="DB102" s="26">
        <v>0</v>
      </c>
      <c r="DC102" s="26">
        <v>0</v>
      </c>
      <c r="DD102" s="26">
        <v>0</v>
      </c>
      <c r="DE102" s="26">
        <v>0</v>
      </c>
      <c r="DF102" s="26">
        <v>0</v>
      </c>
      <c r="DG102" s="26">
        <v>0</v>
      </c>
      <c r="DH102" s="26">
        <v>0</v>
      </c>
      <c r="DI102" s="26">
        <v>0</v>
      </c>
      <c r="DJ102" s="26">
        <v>0</v>
      </c>
      <c r="DK102" s="26">
        <v>0</v>
      </c>
      <c r="DL102" s="26">
        <v>0</v>
      </c>
      <c r="DM102" s="26">
        <v>0</v>
      </c>
      <c r="DN102" s="26">
        <v>0</v>
      </c>
      <c r="DO102" s="26">
        <v>0</v>
      </c>
      <c r="DP102" s="26">
        <v>0</v>
      </c>
      <c r="DQ102" s="26">
        <v>0</v>
      </c>
      <c r="DR102" s="26">
        <v>0</v>
      </c>
      <c r="DS102" s="26">
        <v>0</v>
      </c>
      <c r="DT102" s="26">
        <v>0</v>
      </c>
      <c r="DU102" s="26">
        <v>0</v>
      </c>
      <c r="DV102" s="26">
        <v>0</v>
      </c>
      <c r="DW102" s="26">
        <v>0</v>
      </c>
      <c r="DX102" s="26">
        <v>26138.367999999999</v>
      </c>
      <c r="DY102" s="26">
        <v>30.979670600000002</v>
      </c>
      <c r="DZ102" s="26">
        <v>12.9984632</v>
      </c>
      <c r="EA102" s="26">
        <v>423.09997600000003</v>
      </c>
      <c r="EB102" s="26">
        <v>51.560570599999998</v>
      </c>
      <c r="EC102" s="26">
        <v>12475.191699999999</v>
      </c>
      <c r="ED102" s="26">
        <v>0</v>
      </c>
      <c r="EE102" s="26">
        <v>2624.1516000000001</v>
      </c>
      <c r="EF102" s="26">
        <v>4107.8476600000004</v>
      </c>
      <c r="EG102" s="26">
        <v>520.80320400000005</v>
      </c>
      <c r="EH102" s="26">
        <v>57.867214300000001</v>
      </c>
      <c r="EI102" s="26">
        <v>0</v>
      </c>
      <c r="EJ102" s="26">
        <v>107.802228</v>
      </c>
      <c r="EK102" s="26">
        <v>0</v>
      </c>
      <c r="EL102" s="26">
        <v>473.096384</v>
      </c>
      <c r="EM102" s="26">
        <v>0</v>
      </c>
      <c r="EN102" s="26">
        <v>0</v>
      </c>
      <c r="EO102" s="26">
        <v>0</v>
      </c>
      <c r="EP102" s="26">
        <v>466.98351200000002</v>
      </c>
      <c r="EQ102" s="26">
        <v>47023.766600000003</v>
      </c>
      <c r="ER102" s="26">
        <v>336.45210600000001</v>
      </c>
      <c r="ES102" s="26">
        <v>48.006982600000015</v>
      </c>
      <c r="ET102" s="26">
        <v>1</v>
      </c>
      <c r="EU102" s="26">
        <v>0</v>
      </c>
      <c r="EV102" s="26">
        <v>0</v>
      </c>
      <c r="EW102" s="26">
        <v>1</v>
      </c>
      <c r="EX102" s="26">
        <v>-131161.88</v>
      </c>
      <c r="EY102" s="26">
        <v>-1302.5420899999999</v>
      </c>
      <c r="EZ102" s="26">
        <v>-61.250435899999999</v>
      </c>
      <c r="FA102" s="26">
        <v>-360.95119499999998</v>
      </c>
      <c r="FB102" s="26">
        <v>-3.58453329</v>
      </c>
      <c r="FC102" s="26">
        <v>2.3132738100000001E-2</v>
      </c>
      <c r="FD102" s="26">
        <v>2.3293937599999999</v>
      </c>
      <c r="FE102" s="26">
        <v>100.69684599999999</v>
      </c>
      <c r="FF102" s="26">
        <v>0</v>
      </c>
      <c r="FG102" s="26">
        <v>0.22990165800000001</v>
      </c>
      <c r="FH102" s="26">
        <v>-1714942343.3700001</v>
      </c>
      <c r="FI102" s="26">
        <v>0.37163955852867203</v>
      </c>
      <c r="FJ102" s="26">
        <v>0</v>
      </c>
      <c r="FK102" s="26">
        <v>0</v>
      </c>
      <c r="FL102" s="26">
        <v>0</v>
      </c>
      <c r="FM102" s="26">
        <v>0</v>
      </c>
      <c r="FN102" s="26">
        <v>0</v>
      </c>
      <c r="FO102" s="26">
        <v>0</v>
      </c>
      <c r="FP102" s="26">
        <v>0</v>
      </c>
      <c r="FQ102" s="26">
        <v>0</v>
      </c>
      <c r="FR102" s="26">
        <v>0</v>
      </c>
      <c r="FS102" s="26">
        <v>0</v>
      </c>
      <c r="FT102" s="26">
        <v>0</v>
      </c>
      <c r="FU102" s="26">
        <v>0</v>
      </c>
      <c r="FV102" s="26">
        <v>0</v>
      </c>
      <c r="FW102" s="26">
        <v>0</v>
      </c>
      <c r="FX102" s="26">
        <v>0</v>
      </c>
      <c r="FY102" s="26">
        <v>0</v>
      </c>
      <c r="FZ102" s="26">
        <v>0</v>
      </c>
      <c r="GA102" s="26">
        <v>0</v>
      </c>
      <c r="GB102" s="26">
        <v>0</v>
      </c>
      <c r="GC102" s="26">
        <v>0</v>
      </c>
      <c r="GD102" s="26">
        <v>0</v>
      </c>
      <c r="GE102" s="26">
        <v>0</v>
      </c>
      <c r="GF102" s="26">
        <v>0</v>
      </c>
      <c r="GG102" s="26">
        <v>0</v>
      </c>
      <c r="GH102" s="26">
        <v>0</v>
      </c>
      <c r="GI102" s="26">
        <v>0</v>
      </c>
      <c r="GJ102" s="26">
        <v>0</v>
      </c>
      <c r="GK102" s="26">
        <v>0</v>
      </c>
      <c r="GL102" s="26">
        <v>0</v>
      </c>
      <c r="GM102" s="26">
        <v>0</v>
      </c>
      <c r="GN102" s="26">
        <v>0</v>
      </c>
      <c r="GO102" s="26">
        <v>0</v>
      </c>
      <c r="GP102" s="26">
        <v>0</v>
      </c>
      <c r="GQ102" s="26">
        <v>0</v>
      </c>
      <c r="GR102" s="26">
        <v>0</v>
      </c>
      <c r="GS102" s="26">
        <v>0</v>
      </c>
      <c r="GT102" s="26">
        <v>0</v>
      </c>
      <c r="GU102" s="26">
        <v>0</v>
      </c>
      <c r="GV102" s="26">
        <v>0</v>
      </c>
      <c r="GW102" s="26">
        <v>0</v>
      </c>
      <c r="GX102" s="26">
        <v>0</v>
      </c>
      <c r="GY102" s="26">
        <v>0</v>
      </c>
      <c r="GZ102" s="26">
        <v>0</v>
      </c>
      <c r="HA102" s="26">
        <v>0</v>
      </c>
      <c r="HB102" s="26">
        <v>0</v>
      </c>
      <c r="HC102" s="26">
        <v>0</v>
      </c>
      <c r="HD102" s="26">
        <v>0</v>
      </c>
      <c r="HE102" s="26">
        <v>0</v>
      </c>
      <c r="HF102" s="26">
        <v>0</v>
      </c>
      <c r="HG102" s="26">
        <v>0</v>
      </c>
      <c r="HH102" s="26">
        <v>0</v>
      </c>
      <c r="HI102" s="26">
        <v>0</v>
      </c>
      <c r="HJ102" s="26">
        <v>0</v>
      </c>
      <c r="HK102" s="26">
        <v>0</v>
      </c>
      <c r="HL102" s="26">
        <v>0</v>
      </c>
      <c r="HM102" s="26">
        <v>0</v>
      </c>
      <c r="HN102" s="26">
        <v>0</v>
      </c>
      <c r="HO102" s="26">
        <v>0</v>
      </c>
      <c r="HP102" s="26">
        <v>0</v>
      </c>
      <c r="HQ102" s="26">
        <v>0</v>
      </c>
      <c r="HR102" s="26">
        <v>0</v>
      </c>
      <c r="HS102" s="26">
        <v>0</v>
      </c>
      <c r="HT102" s="26">
        <v>0.50056766511565243</v>
      </c>
    </row>
    <row r="103" spans="2:228" x14ac:dyDescent="0.2">
      <c r="B103" s="27" t="s">
        <v>2397</v>
      </c>
      <c r="C103" s="26">
        <v>399338.65399999998</v>
      </c>
      <c r="D103" s="26">
        <v>-1324.65436</v>
      </c>
      <c r="E103" s="26">
        <v>316623.83100000001</v>
      </c>
      <c r="F103" s="26">
        <v>5.2903714600000002</v>
      </c>
      <c r="G103" s="26">
        <v>26719.681799999998</v>
      </c>
      <c r="H103" s="26">
        <v>1061.64626</v>
      </c>
      <c r="I103" s="26">
        <v>445.44598400000001</v>
      </c>
      <c r="J103" s="26">
        <v>14828.680200000001</v>
      </c>
      <c r="K103" s="26">
        <v>1807.07933</v>
      </c>
      <c r="L103" s="26">
        <v>297.976923</v>
      </c>
      <c r="M103" s="26">
        <v>0</v>
      </c>
      <c r="N103" s="26">
        <v>1019.8344299999999</v>
      </c>
      <c r="O103" s="26">
        <v>25.736956599999999</v>
      </c>
      <c r="P103" s="26">
        <v>10.798723000000001</v>
      </c>
      <c r="Q103" s="26">
        <v>351.49599699999999</v>
      </c>
      <c r="R103" s="26">
        <v>42.834637600000001</v>
      </c>
      <c r="S103" s="26">
        <v>10987.4998</v>
      </c>
      <c r="T103" s="26">
        <v>590.88569600000005</v>
      </c>
      <c r="U103" s="26">
        <v>332.34530000000001</v>
      </c>
      <c r="V103" s="26">
        <v>302.47938799999997</v>
      </c>
      <c r="W103" s="26">
        <v>0</v>
      </c>
      <c r="X103" s="26">
        <v>37.586395899999999</v>
      </c>
      <c r="Y103" s="26">
        <v>4.3417030800000003E-5</v>
      </c>
      <c r="Z103" s="26">
        <v>2.76493502E-3</v>
      </c>
      <c r="AA103" s="26">
        <v>2.70760036E-3</v>
      </c>
      <c r="AB103" s="26">
        <v>0.18113837399999999</v>
      </c>
      <c r="AC103" s="26">
        <v>0</v>
      </c>
      <c r="AD103" s="26">
        <v>2233.4022399999999</v>
      </c>
      <c r="AE103" s="26">
        <v>1674.88249</v>
      </c>
      <c r="AF103" s="26">
        <v>0</v>
      </c>
      <c r="AG103" s="26">
        <v>0</v>
      </c>
      <c r="AH103" s="26">
        <v>0</v>
      </c>
      <c r="AI103" s="26">
        <v>0</v>
      </c>
      <c r="AJ103" s="26">
        <v>0</v>
      </c>
      <c r="AK103" s="26">
        <v>0</v>
      </c>
      <c r="AL103" s="26">
        <v>0</v>
      </c>
      <c r="AM103" s="26">
        <v>12.0218217</v>
      </c>
      <c r="AN103" s="26">
        <v>7.0934764799999994E-2</v>
      </c>
      <c r="AO103" s="26">
        <v>0.15724352999999999</v>
      </c>
      <c r="AP103" s="26">
        <v>0</v>
      </c>
      <c r="AQ103" s="26">
        <v>0</v>
      </c>
      <c r="AR103" s="26">
        <v>0</v>
      </c>
      <c r="AS103" s="26">
        <v>0.76787993899999996</v>
      </c>
      <c r="AT103" s="26">
        <v>0</v>
      </c>
      <c r="AU103" s="26">
        <v>0</v>
      </c>
      <c r="AV103" s="26">
        <v>1.9485832199999998E-3</v>
      </c>
      <c r="AW103" s="26">
        <v>0</v>
      </c>
      <c r="AX103" s="26">
        <v>0</v>
      </c>
      <c r="AY103" s="26">
        <v>0</v>
      </c>
      <c r="AZ103" s="26">
        <v>0</v>
      </c>
      <c r="BA103" s="26">
        <v>0</v>
      </c>
      <c r="BB103" s="26">
        <v>0</v>
      </c>
      <c r="BC103" s="26">
        <v>0</v>
      </c>
      <c r="BD103" s="26">
        <v>0</v>
      </c>
      <c r="BE103" s="26">
        <v>0</v>
      </c>
      <c r="BF103" s="26">
        <v>0</v>
      </c>
      <c r="BG103" s="26">
        <v>0</v>
      </c>
      <c r="BH103" s="26">
        <v>0</v>
      </c>
      <c r="BI103" s="26">
        <v>0</v>
      </c>
      <c r="BJ103" s="26">
        <v>0</v>
      </c>
      <c r="BK103" s="26">
        <v>0</v>
      </c>
      <c r="BL103" s="26">
        <v>0</v>
      </c>
      <c r="BM103" s="26">
        <v>0</v>
      </c>
      <c r="BN103" s="26">
        <v>0</v>
      </c>
      <c r="BO103" s="26">
        <v>17963.045600000001</v>
      </c>
      <c r="BP103" s="26">
        <v>379412.62</v>
      </c>
      <c r="BQ103" s="26">
        <v>5863.2297799999997</v>
      </c>
      <c r="BR103" s="26">
        <v>32</v>
      </c>
      <c r="BS103" s="26">
        <v>1</v>
      </c>
      <c r="BT103" s="26">
        <v>0</v>
      </c>
      <c r="BU103" s="26">
        <v>1</v>
      </c>
      <c r="BV103" s="26">
        <v>0</v>
      </c>
      <c r="BW103" s="26">
        <v>-72460.645399999994</v>
      </c>
      <c r="BX103" s="26">
        <v>-3430.6025</v>
      </c>
      <c r="BY103" s="26">
        <v>-1301.6138900000001</v>
      </c>
      <c r="BZ103" s="26">
        <v>-42.481349399999999</v>
      </c>
      <c r="CA103" s="26">
        <v>-2.0112520699999998</v>
      </c>
      <c r="CB103" s="26">
        <v>5.1061292500000001E-2</v>
      </c>
      <c r="CC103" s="26">
        <v>1.0785085700000001</v>
      </c>
      <c r="CD103" s="26">
        <v>21.121842399999998</v>
      </c>
      <c r="CE103" s="26">
        <v>0</v>
      </c>
      <c r="CF103" s="26">
        <v>0</v>
      </c>
      <c r="CG103" s="26">
        <v>0</v>
      </c>
      <c r="CH103" s="26">
        <v>0</v>
      </c>
      <c r="CI103" s="26">
        <v>0</v>
      </c>
      <c r="CJ103" s="26">
        <v>0</v>
      </c>
      <c r="CK103" s="26">
        <v>0</v>
      </c>
      <c r="CL103" s="26">
        <v>0</v>
      </c>
      <c r="CM103" s="26">
        <v>0</v>
      </c>
      <c r="CN103" s="26">
        <v>0</v>
      </c>
      <c r="CO103" s="26">
        <v>0</v>
      </c>
      <c r="CP103" s="26">
        <v>0</v>
      </c>
      <c r="CQ103" s="26">
        <v>0</v>
      </c>
      <c r="CR103" s="26">
        <v>0</v>
      </c>
      <c r="CS103" s="26">
        <v>0</v>
      </c>
      <c r="CT103" s="26">
        <v>0</v>
      </c>
      <c r="CU103" s="26">
        <v>0</v>
      </c>
      <c r="CV103" s="26">
        <v>0</v>
      </c>
      <c r="CW103" s="26">
        <v>0</v>
      </c>
      <c r="CX103" s="26">
        <v>0</v>
      </c>
      <c r="CY103" s="26">
        <v>0</v>
      </c>
      <c r="CZ103" s="26">
        <v>0</v>
      </c>
      <c r="DA103" s="26">
        <v>0</v>
      </c>
      <c r="DB103" s="26">
        <v>0</v>
      </c>
      <c r="DC103" s="26">
        <v>0</v>
      </c>
      <c r="DD103" s="26">
        <v>0</v>
      </c>
      <c r="DE103" s="26">
        <v>0</v>
      </c>
      <c r="DF103" s="26">
        <v>0</v>
      </c>
      <c r="DG103" s="26">
        <v>0</v>
      </c>
      <c r="DH103" s="26">
        <v>0</v>
      </c>
      <c r="DI103" s="26">
        <v>0</v>
      </c>
      <c r="DJ103" s="26">
        <v>0</v>
      </c>
      <c r="DK103" s="26">
        <v>0</v>
      </c>
      <c r="DL103" s="26">
        <v>0</v>
      </c>
      <c r="DM103" s="26">
        <v>0</v>
      </c>
      <c r="DN103" s="26">
        <v>0</v>
      </c>
      <c r="DO103" s="26">
        <v>0</v>
      </c>
      <c r="DP103" s="26">
        <v>0</v>
      </c>
      <c r="DQ103" s="26">
        <v>0</v>
      </c>
      <c r="DR103" s="26">
        <v>0</v>
      </c>
      <c r="DS103" s="26">
        <v>0</v>
      </c>
      <c r="DT103" s="26">
        <v>0</v>
      </c>
      <c r="DU103" s="26">
        <v>0</v>
      </c>
      <c r="DV103" s="26">
        <v>0</v>
      </c>
      <c r="DW103" s="26">
        <v>0</v>
      </c>
      <c r="DX103" s="26">
        <v>1129.1775</v>
      </c>
      <c r="DY103" s="26">
        <v>27.8817035</v>
      </c>
      <c r="DZ103" s="26">
        <v>11.698616899999999</v>
      </c>
      <c r="EA103" s="26">
        <v>380.78997900000002</v>
      </c>
      <c r="EB103" s="26">
        <v>46.4045135</v>
      </c>
      <c r="EC103" s="26">
        <v>11227.672500000001</v>
      </c>
      <c r="ED103" s="26">
        <v>0</v>
      </c>
      <c r="EE103" s="26">
        <v>2361.7347799999998</v>
      </c>
      <c r="EF103" s="26">
        <v>3697.0628900000002</v>
      </c>
      <c r="EG103" s="26">
        <v>468.72288400000002</v>
      </c>
      <c r="EH103" s="26">
        <v>52.080395600000003</v>
      </c>
      <c r="EI103" s="26">
        <v>0</v>
      </c>
      <c r="EJ103" s="26">
        <v>97.022005100000001</v>
      </c>
      <c r="EK103" s="26">
        <v>0</v>
      </c>
      <c r="EL103" s="26">
        <v>425.78668399999998</v>
      </c>
      <c r="EM103" s="26">
        <v>0</v>
      </c>
      <c r="EN103" s="26">
        <v>0</v>
      </c>
      <c r="EO103" s="26">
        <v>0</v>
      </c>
      <c r="EP103" s="26">
        <v>282.16357099999999</v>
      </c>
      <c r="EQ103" s="26">
        <v>19926.034500000002</v>
      </c>
      <c r="ER103" s="26">
        <v>240.61766400000002</v>
      </c>
      <c r="ES103" s="26">
        <v>32</v>
      </c>
      <c r="ET103" s="26">
        <v>1</v>
      </c>
      <c r="EU103" s="26">
        <v>0</v>
      </c>
      <c r="EV103" s="26">
        <v>0</v>
      </c>
      <c r="EW103" s="26">
        <v>1</v>
      </c>
      <c r="EX103" s="26">
        <v>-81656.433699999994</v>
      </c>
      <c r="EY103" s="26">
        <v>-1156.2998600000001</v>
      </c>
      <c r="EZ103" s="26">
        <v>-23.040471100000001</v>
      </c>
      <c r="FA103" s="26">
        <v>-157.86348699999999</v>
      </c>
      <c r="FB103" s="26">
        <v>-2.23543351</v>
      </c>
      <c r="FC103" s="26">
        <v>1.95443927E-2</v>
      </c>
      <c r="FD103" s="26">
        <v>1.3802002899999999</v>
      </c>
      <c r="FE103" s="26">
        <v>70.618735200000003</v>
      </c>
      <c r="FF103" s="26">
        <v>0</v>
      </c>
      <c r="FG103" s="26">
        <v>0.229901824</v>
      </c>
      <c r="FH103" s="26">
        <v>-1543241466.0300002</v>
      </c>
      <c r="FI103" s="26">
        <v>0.56467813229520281</v>
      </c>
      <c r="FJ103" s="26">
        <v>0</v>
      </c>
      <c r="FK103" s="26">
        <v>0</v>
      </c>
      <c r="FL103" s="26">
        <v>0</v>
      </c>
      <c r="FM103" s="26">
        <v>0</v>
      </c>
      <c r="FN103" s="26">
        <v>0</v>
      </c>
      <c r="FO103" s="26">
        <v>0</v>
      </c>
      <c r="FP103" s="26">
        <v>0</v>
      </c>
      <c r="FQ103" s="26">
        <v>0</v>
      </c>
      <c r="FR103" s="26">
        <v>0</v>
      </c>
      <c r="FS103" s="26">
        <v>0</v>
      </c>
      <c r="FT103" s="26">
        <v>0</v>
      </c>
      <c r="FU103" s="26">
        <v>0</v>
      </c>
      <c r="FV103" s="26">
        <v>0</v>
      </c>
      <c r="FW103" s="26">
        <v>0</v>
      </c>
      <c r="FX103" s="26">
        <v>0</v>
      </c>
      <c r="FY103" s="26">
        <v>0</v>
      </c>
      <c r="FZ103" s="26">
        <v>0</v>
      </c>
      <c r="GA103" s="26">
        <v>0</v>
      </c>
      <c r="GB103" s="26">
        <v>0</v>
      </c>
      <c r="GC103" s="26">
        <v>0</v>
      </c>
      <c r="GD103" s="26">
        <v>0</v>
      </c>
      <c r="GE103" s="26">
        <v>0</v>
      </c>
      <c r="GF103" s="26">
        <v>0</v>
      </c>
      <c r="GG103" s="26">
        <v>0</v>
      </c>
      <c r="GH103" s="26">
        <v>0</v>
      </c>
      <c r="GI103" s="26">
        <v>0</v>
      </c>
      <c r="GJ103" s="26">
        <v>0</v>
      </c>
      <c r="GK103" s="26">
        <v>0</v>
      </c>
      <c r="GL103" s="26">
        <v>0</v>
      </c>
      <c r="GM103" s="26">
        <v>0</v>
      </c>
      <c r="GN103" s="26">
        <v>0</v>
      </c>
      <c r="GO103" s="26">
        <v>0</v>
      </c>
      <c r="GP103" s="26">
        <v>0</v>
      </c>
      <c r="GQ103" s="26">
        <v>0</v>
      </c>
      <c r="GR103" s="26">
        <v>0</v>
      </c>
      <c r="GS103" s="26">
        <v>0</v>
      </c>
      <c r="GT103" s="26">
        <v>0</v>
      </c>
      <c r="GU103" s="26">
        <v>0</v>
      </c>
      <c r="GV103" s="26">
        <v>0</v>
      </c>
      <c r="GW103" s="26">
        <v>0</v>
      </c>
      <c r="GX103" s="26">
        <v>0</v>
      </c>
      <c r="GY103" s="26">
        <v>0</v>
      </c>
      <c r="GZ103" s="26">
        <v>0</v>
      </c>
      <c r="HA103" s="26">
        <v>0</v>
      </c>
      <c r="HB103" s="26">
        <v>0</v>
      </c>
      <c r="HC103" s="26">
        <v>0</v>
      </c>
      <c r="HD103" s="26">
        <v>0</v>
      </c>
      <c r="HE103" s="26">
        <v>0</v>
      </c>
      <c r="HF103" s="26">
        <v>0</v>
      </c>
      <c r="HG103" s="26">
        <v>0</v>
      </c>
      <c r="HH103" s="26">
        <v>0</v>
      </c>
      <c r="HI103" s="26">
        <v>0</v>
      </c>
      <c r="HJ103" s="26">
        <v>0</v>
      </c>
      <c r="HK103" s="26">
        <v>0</v>
      </c>
      <c r="HL103" s="26">
        <v>0</v>
      </c>
      <c r="HM103" s="26">
        <v>0</v>
      </c>
      <c r="HN103" s="26">
        <v>0</v>
      </c>
      <c r="HO103" s="26">
        <v>0</v>
      </c>
      <c r="HP103" s="26">
        <v>0</v>
      </c>
      <c r="HQ103" s="26">
        <v>0</v>
      </c>
      <c r="HR103" s="26">
        <v>0</v>
      </c>
      <c r="HS103" s="26">
        <v>0</v>
      </c>
      <c r="HT103" s="26">
        <v>0.22030835231802237</v>
      </c>
    </row>
    <row r="104" spans="2:228" x14ac:dyDescent="0.2">
      <c r="B104" s="27" t="s">
        <v>2398</v>
      </c>
      <c r="C104" s="26">
        <v>443042.03899999999</v>
      </c>
      <c r="D104" s="26">
        <v>-1474.88247</v>
      </c>
      <c r="E104" s="26">
        <v>352470.05099999998</v>
      </c>
      <c r="F104" s="26">
        <v>21847.460800000001</v>
      </c>
      <c r="G104" s="26">
        <v>521.24161500000002</v>
      </c>
      <c r="H104" s="26">
        <v>1144.21875</v>
      </c>
      <c r="I104" s="26">
        <v>480.09178300000008</v>
      </c>
      <c r="J104" s="26">
        <v>1061.9190599999999</v>
      </c>
      <c r="K104" s="26">
        <v>220.06017499999999</v>
      </c>
      <c r="L104" s="26">
        <v>331.08546999999999</v>
      </c>
      <c r="M104" s="26">
        <v>0</v>
      </c>
      <c r="N104" s="26">
        <v>1133.1493700000001</v>
      </c>
      <c r="O104" s="26">
        <v>28.596618400000004</v>
      </c>
      <c r="P104" s="26">
        <v>11.998581100000001</v>
      </c>
      <c r="Q104" s="26">
        <v>390.551108</v>
      </c>
      <c r="R104" s="26">
        <v>47.594041799999999</v>
      </c>
      <c r="S104" s="26">
        <v>12208.3331</v>
      </c>
      <c r="T104" s="26">
        <v>656.53966000000003</v>
      </c>
      <c r="U104" s="26">
        <v>369.27244000000002</v>
      </c>
      <c r="V104" s="26">
        <v>335.84619099999998</v>
      </c>
      <c r="W104" s="26">
        <v>0</v>
      </c>
      <c r="X104" s="26">
        <v>1695.1057000000001</v>
      </c>
      <c r="Y104" s="26">
        <v>754.94826699999999</v>
      </c>
      <c r="Z104" s="26">
        <v>174.36925400000001</v>
      </c>
      <c r="AA104" s="26">
        <v>457.71920699999998</v>
      </c>
      <c r="AB104" s="26">
        <v>0.20085908499999999</v>
      </c>
      <c r="AC104" s="26">
        <v>0</v>
      </c>
      <c r="AD104" s="26">
        <v>2481.5580500000001</v>
      </c>
      <c r="AE104" s="26">
        <v>1860.9805500000002</v>
      </c>
      <c r="AF104" s="26">
        <v>128.83242999999999</v>
      </c>
      <c r="AG104" s="26">
        <v>0</v>
      </c>
      <c r="AH104" s="26">
        <v>0</v>
      </c>
      <c r="AI104" s="26">
        <v>0</v>
      </c>
      <c r="AJ104" s="26">
        <v>0</v>
      </c>
      <c r="AK104" s="26">
        <v>0</v>
      </c>
      <c r="AL104" s="26">
        <v>0</v>
      </c>
      <c r="AM104" s="26">
        <v>13.3575797</v>
      </c>
      <c r="AN104" s="26">
        <v>154.92299</v>
      </c>
      <c r="AO104" s="26">
        <v>0.15725407499999999</v>
      </c>
      <c r="AP104" s="26">
        <v>0</v>
      </c>
      <c r="AQ104" s="26">
        <v>0</v>
      </c>
      <c r="AR104" s="26">
        <v>0</v>
      </c>
      <c r="AS104" s="26">
        <v>18843.8891</v>
      </c>
      <c r="AT104" s="26">
        <v>0</v>
      </c>
      <c r="AU104" s="26">
        <v>0</v>
      </c>
      <c r="AV104" s="26">
        <v>2.1446842699999998E-3</v>
      </c>
      <c r="AW104" s="26">
        <v>0</v>
      </c>
      <c r="AX104" s="26">
        <v>0</v>
      </c>
      <c r="AY104" s="26">
        <v>0</v>
      </c>
      <c r="AZ104" s="26">
        <v>0</v>
      </c>
      <c r="BA104" s="26">
        <v>0</v>
      </c>
      <c r="BB104" s="26">
        <v>0</v>
      </c>
      <c r="BC104" s="26">
        <v>0</v>
      </c>
      <c r="BD104" s="26">
        <v>0</v>
      </c>
      <c r="BE104" s="26">
        <v>0</v>
      </c>
      <c r="BF104" s="26">
        <v>0</v>
      </c>
      <c r="BG104" s="26">
        <v>0</v>
      </c>
      <c r="BH104" s="26">
        <v>0</v>
      </c>
      <c r="BI104" s="26">
        <v>0</v>
      </c>
      <c r="BJ104" s="26">
        <v>0</v>
      </c>
      <c r="BK104" s="26">
        <v>0</v>
      </c>
      <c r="BL104" s="26">
        <v>0</v>
      </c>
      <c r="BM104" s="26">
        <v>0</v>
      </c>
      <c r="BN104" s="26">
        <v>0</v>
      </c>
      <c r="BO104" s="26">
        <v>20656.296399999999</v>
      </c>
      <c r="BP104" s="26">
        <v>419824.05300000001</v>
      </c>
      <c r="BQ104" s="26">
        <v>194015.307</v>
      </c>
      <c r="BR104" s="26">
        <v>32</v>
      </c>
      <c r="BS104" s="26">
        <v>1</v>
      </c>
      <c r="BT104" s="26">
        <v>2.1729045400000001E-2</v>
      </c>
      <c r="BU104" s="26">
        <v>0.97827095500000005</v>
      </c>
      <c r="BV104" s="26">
        <v>0</v>
      </c>
      <c r="BW104" s="26">
        <v>-70101.627800000002</v>
      </c>
      <c r="BX104" s="26">
        <v>-3449.15922</v>
      </c>
      <c r="BY104" s="26">
        <v>-1448.0400099999999</v>
      </c>
      <c r="BZ104" s="26">
        <v>-39.539012900000003</v>
      </c>
      <c r="CA104" s="26">
        <v>-1.9454091899999999</v>
      </c>
      <c r="CB104" s="26">
        <v>1.77445588E-3</v>
      </c>
      <c r="CC104" s="26">
        <v>3.60645125E-2</v>
      </c>
      <c r="CD104" s="26">
        <v>20.324265499999999</v>
      </c>
      <c r="CE104" s="26">
        <v>0</v>
      </c>
      <c r="CF104" s="26">
        <v>0</v>
      </c>
      <c r="CG104" s="26">
        <v>0</v>
      </c>
      <c r="CH104" s="26">
        <v>0</v>
      </c>
      <c r="CI104" s="26">
        <v>0</v>
      </c>
      <c r="CJ104" s="26">
        <v>0</v>
      </c>
      <c r="CK104" s="26">
        <v>0</v>
      </c>
      <c r="CL104" s="26">
        <v>0</v>
      </c>
      <c r="CM104" s="26">
        <v>0</v>
      </c>
      <c r="CN104" s="26">
        <v>0</v>
      </c>
      <c r="CO104" s="26">
        <v>0</v>
      </c>
      <c r="CP104" s="26">
        <v>0</v>
      </c>
      <c r="CQ104" s="26">
        <v>0</v>
      </c>
      <c r="CR104" s="26">
        <v>0</v>
      </c>
      <c r="CS104" s="26">
        <v>0</v>
      </c>
      <c r="CT104" s="26">
        <v>0</v>
      </c>
      <c r="CU104" s="26">
        <v>0</v>
      </c>
      <c r="CV104" s="26">
        <v>0</v>
      </c>
      <c r="CW104" s="26">
        <v>0</v>
      </c>
      <c r="CX104" s="26">
        <v>0</v>
      </c>
      <c r="CY104" s="26">
        <v>0</v>
      </c>
      <c r="CZ104" s="26">
        <v>0</v>
      </c>
      <c r="DA104" s="26">
        <v>0</v>
      </c>
      <c r="DB104" s="26">
        <v>0</v>
      </c>
      <c r="DC104" s="26">
        <v>0</v>
      </c>
      <c r="DD104" s="26">
        <v>0</v>
      </c>
      <c r="DE104" s="26">
        <v>0</v>
      </c>
      <c r="DF104" s="26">
        <v>0</v>
      </c>
      <c r="DG104" s="26">
        <v>0</v>
      </c>
      <c r="DH104" s="26">
        <v>0</v>
      </c>
      <c r="DI104" s="26">
        <v>0</v>
      </c>
      <c r="DJ104" s="26">
        <v>0</v>
      </c>
      <c r="DK104" s="26">
        <v>0</v>
      </c>
      <c r="DL104" s="26">
        <v>0</v>
      </c>
      <c r="DM104" s="26">
        <v>0</v>
      </c>
      <c r="DN104" s="26">
        <v>0</v>
      </c>
      <c r="DO104" s="26">
        <v>0</v>
      </c>
      <c r="DP104" s="26">
        <v>0</v>
      </c>
      <c r="DQ104" s="26">
        <v>0</v>
      </c>
      <c r="DR104" s="26">
        <v>0</v>
      </c>
      <c r="DS104" s="26">
        <v>0</v>
      </c>
      <c r="DT104" s="26">
        <v>0</v>
      </c>
      <c r="DU104" s="26">
        <v>0</v>
      </c>
      <c r="DV104" s="26">
        <v>0</v>
      </c>
      <c r="DW104" s="26">
        <v>0</v>
      </c>
      <c r="DX104" s="26">
        <v>1254.64166</v>
      </c>
      <c r="DY104" s="26">
        <v>30.979670600000002</v>
      </c>
      <c r="DZ104" s="26">
        <v>12.9984632</v>
      </c>
      <c r="EA104" s="26">
        <v>423.09997600000003</v>
      </c>
      <c r="EB104" s="26">
        <v>51.560570599999998</v>
      </c>
      <c r="EC104" s="26">
        <v>12475.191699999999</v>
      </c>
      <c r="ED104" s="26">
        <v>0</v>
      </c>
      <c r="EE104" s="26">
        <v>2866.1133199999999</v>
      </c>
      <c r="EF104" s="26">
        <v>4107.8476600000004</v>
      </c>
      <c r="EG104" s="26">
        <v>520.80320400000005</v>
      </c>
      <c r="EH104" s="26">
        <v>57.867106200000009</v>
      </c>
      <c r="EI104" s="26">
        <v>835.98422900000003</v>
      </c>
      <c r="EJ104" s="26">
        <v>107.802228</v>
      </c>
      <c r="EK104" s="26">
        <v>0</v>
      </c>
      <c r="EL104" s="26">
        <v>473.096316</v>
      </c>
      <c r="EM104" s="26">
        <v>0</v>
      </c>
      <c r="EN104" s="26">
        <v>0</v>
      </c>
      <c r="EO104" s="26">
        <v>0</v>
      </c>
      <c r="EP104" s="26">
        <v>358.05578400000002</v>
      </c>
      <c r="EQ104" s="26">
        <v>23217.986099999998</v>
      </c>
      <c r="ER104" s="26">
        <v>279.315539</v>
      </c>
      <c r="ES104" s="26">
        <v>32</v>
      </c>
      <c r="ET104" s="26">
        <v>1</v>
      </c>
      <c r="EU104" s="26">
        <v>0</v>
      </c>
      <c r="EV104" s="26">
        <v>0</v>
      </c>
      <c r="EW104" s="26">
        <v>1</v>
      </c>
      <c r="EX104" s="26">
        <v>-74967.247600000002</v>
      </c>
      <c r="EY104" s="26">
        <v>-1156.1061500000001</v>
      </c>
      <c r="EZ104" s="26">
        <v>-26.842456800000001</v>
      </c>
      <c r="FA104" s="26">
        <v>-149.17982699999999</v>
      </c>
      <c r="FB104" s="26">
        <v>-2.3005742100000002</v>
      </c>
      <c r="FC104" s="26">
        <v>2.1365070999999999E-2</v>
      </c>
      <c r="FD104" s="26">
        <v>1.38540961</v>
      </c>
      <c r="FE104" s="26">
        <v>64.844605700000002</v>
      </c>
      <c r="FF104" s="26">
        <v>0</v>
      </c>
      <c r="FG104" s="26">
        <v>0.23208583299999999</v>
      </c>
      <c r="FH104" s="26">
        <v>-1718232458.74</v>
      </c>
      <c r="FI104" s="26">
        <v>0.60837592431145193</v>
      </c>
      <c r="FJ104" s="26">
        <v>5.6833993510227512E-3</v>
      </c>
      <c r="FK104" s="26">
        <v>1.9925905687185027E-3</v>
      </c>
      <c r="FL104" s="26">
        <v>4.757528899171342E-18</v>
      </c>
      <c r="FM104" s="26">
        <v>1.0443628444660139E-17</v>
      </c>
      <c r="FN104" s="26">
        <v>4.3819420072777581E-18</v>
      </c>
      <c r="FO104" s="26">
        <v>2.1311387392713319E-15</v>
      </c>
      <c r="FP104" s="26">
        <v>4.4163324797751042E-16</v>
      </c>
      <c r="FQ104" s="26">
        <v>4.2263167004772008E-14</v>
      </c>
      <c r="FR104" s="26">
        <v>0</v>
      </c>
      <c r="FS104" s="26">
        <v>1.149173748082279E-17</v>
      </c>
      <c r="FT104" s="26">
        <v>2.900101634311924E-19</v>
      </c>
      <c r="FU104" s="26">
        <v>1.2168258541790513E-19</v>
      </c>
      <c r="FV104" s="26">
        <v>8.9066400990308985E-16</v>
      </c>
      <c r="FW104" s="26">
        <v>1.0853970031276205E-16</v>
      </c>
      <c r="FX104" s="26">
        <v>1.1142912533587745E-16</v>
      </c>
      <c r="FY104" s="26">
        <v>3.2099819423465224E-11</v>
      </c>
      <c r="FZ104" s="26">
        <v>2.4512146779430508E-9</v>
      </c>
      <c r="GA104" s="26">
        <v>6.7138115537104928E-6</v>
      </c>
      <c r="GB104" s="26">
        <v>0</v>
      </c>
      <c r="GC104" s="26">
        <v>1.1341937007402164E-9</v>
      </c>
      <c r="GD104" s="26">
        <v>1.6226660518702174E-15</v>
      </c>
      <c r="GE104" s="26">
        <v>3.3826495826167523E-12</v>
      </c>
      <c r="GF104" s="26">
        <v>1.4979640592059347E-12</v>
      </c>
      <c r="GG104" s="26">
        <v>6.422476801379814E-8</v>
      </c>
      <c r="GH104" s="26">
        <v>0</v>
      </c>
      <c r="GI104" s="26">
        <v>0</v>
      </c>
      <c r="GJ104" s="26">
        <v>0</v>
      </c>
      <c r="GK104" s="26">
        <v>0</v>
      </c>
      <c r="GL104" s="26">
        <v>0</v>
      </c>
      <c r="GM104" s="26">
        <v>0</v>
      </c>
      <c r="GN104" s="26">
        <v>0</v>
      </c>
      <c r="GO104" s="26">
        <v>0</v>
      </c>
      <c r="GP104" s="26">
        <v>0</v>
      </c>
      <c r="GQ104" s="26">
        <v>0</v>
      </c>
      <c r="GR104" s="26">
        <v>6.5855383026843065E-16</v>
      </c>
      <c r="GS104" s="26">
        <v>1.3432567774127209E-3</v>
      </c>
      <c r="GT104" s="26">
        <v>1.5583280791332913E-6</v>
      </c>
      <c r="GU104" s="26">
        <v>0</v>
      </c>
      <c r="GV104" s="26">
        <v>0</v>
      </c>
      <c r="GW104" s="26">
        <v>0</v>
      </c>
      <c r="GX104" s="26">
        <v>0.11565063620298287</v>
      </c>
      <c r="GY104" s="26">
        <v>0</v>
      </c>
      <c r="GZ104" s="26">
        <v>0</v>
      </c>
      <c r="HA104" s="26">
        <v>8.5208066792775654E-10</v>
      </c>
      <c r="HB104" s="26">
        <v>0</v>
      </c>
      <c r="HC104" s="26">
        <v>0</v>
      </c>
      <c r="HD104" s="26">
        <v>0</v>
      </c>
      <c r="HE104" s="26">
        <v>0</v>
      </c>
      <c r="HF104" s="26">
        <v>0</v>
      </c>
      <c r="HG104" s="26">
        <v>0</v>
      </c>
      <c r="HH104" s="26">
        <v>0</v>
      </c>
      <c r="HI104" s="26">
        <v>0</v>
      </c>
      <c r="HJ104" s="26">
        <v>0</v>
      </c>
      <c r="HK104" s="26">
        <v>0</v>
      </c>
      <c r="HL104" s="26">
        <v>0</v>
      </c>
      <c r="HM104" s="26">
        <v>0</v>
      </c>
      <c r="HN104" s="26">
        <v>0</v>
      </c>
      <c r="HO104" s="26">
        <v>0</v>
      </c>
      <c r="HP104" s="26">
        <v>0</v>
      </c>
      <c r="HQ104" s="26">
        <v>0</v>
      </c>
      <c r="HR104" s="26">
        <v>0</v>
      </c>
      <c r="HS104" s="26">
        <v>0</v>
      </c>
      <c r="HT104" s="26">
        <v>0.25715947622394247</v>
      </c>
    </row>
    <row r="105" spans="2:228" x14ac:dyDescent="0.2">
      <c r="B105" s="27" t="s">
        <v>2399</v>
      </c>
      <c r="C105" s="26">
        <v>443042.038</v>
      </c>
      <c r="D105" s="26">
        <v>-1471.26046</v>
      </c>
      <c r="E105" s="26">
        <v>352380.78600000002</v>
      </c>
      <c r="F105" s="26">
        <v>2014.6536800000001</v>
      </c>
      <c r="G105" s="26">
        <v>26062.080699999999</v>
      </c>
      <c r="H105" s="26">
        <v>1144.21875</v>
      </c>
      <c r="I105" s="26">
        <v>480.09178300000008</v>
      </c>
      <c r="J105" s="26">
        <v>14546.836499999999</v>
      </c>
      <c r="K105" s="26">
        <v>1947.4351800000002</v>
      </c>
      <c r="L105" s="26">
        <v>331.08546999999999</v>
      </c>
      <c r="M105" s="26">
        <v>0</v>
      </c>
      <c r="N105" s="26">
        <v>1133.1493700000001</v>
      </c>
      <c r="O105" s="26">
        <v>28.596618400000004</v>
      </c>
      <c r="P105" s="26">
        <v>11.998581100000001</v>
      </c>
      <c r="Q105" s="26">
        <v>390.551108</v>
      </c>
      <c r="R105" s="26">
        <v>47.594041799999999</v>
      </c>
      <c r="S105" s="26">
        <v>12208.3331</v>
      </c>
      <c r="T105" s="26">
        <v>656.53966000000003</v>
      </c>
      <c r="U105" s="26">
        <v>369.27244000000002</v>
      </c>
      <c r="V105" s="26">
        <v>335.84619099999998</v>
      </c>
      <c r="W105" s="26">
        <v>0</v>
      </c>
      <c r="X105" s="26">
        <v>1695.1057000000001</v>
      </c>
      <c r="Y105" s="26">
        <v>76.808760000000007</v>
      </c>
      <c r="Z105" s="26">
        <v>17.197757500000002</v>
      </c>
      <c r="AA105" s="26">
        <v>42.794917400000003</v>
      </c>
      <c r="AB105" s="26">
        <v>0.20085908499999999</v>
      </c>
      <c r="AC105" s="26">
        <v>0</v>
      </c>
      <c r="AD105" s="26">
        <v>2481.5580500000001</v>
      </c>
      <c r="AE105" s="26">
        <v>1860.9805500000002</v>
      </c>
      <c r="AF105" s="26">
        <v>139.84463500000001</v>
      </c>
      <c r="AG105" s="26">
        <v>0</v>
      </c>
      <c r="AH105" s="26">
        <v>0</v>
      </c>
      <c r="AI105" s="26">
        <v>0</v>
      </c>
      <c r="AJ105" s="26">
        <v>0</v>
      </c>
      <c r="AK105" s="26">
        <v>0</v>
      </c>
      <c r="AL105" s="26">
        <v>0</v>
      </c>
      <c r="AM105" s="26">
        <v>13.3575797</v>
      </c>
      <c r="AN105" s="26">
        <v>9.0325927200000003E-2</v>
      </c>
      <c r="AO105" s="26">
        <v>0.15725407499999999</v>
      </c>
      <c r="AP105" s="26">
        <v>0</v>
      </c>
      <c r="AQ105" s="26">
        <v>0</v>
      </c>
      <c r="AR105" s="26">
        <v>0</v>
      </c>
      <c r="AS105" s="26">
        <v>52.223656499999997</v>
      </c>
      <c r="AT105" s="26">
        <v>0</v>
      </c>
      <c r="AU105" s="26">
        <v>0</v>
      </c>
      <c r="AV105" s="26">
        <v>2.1446842699999998E-3</v>
      </c>
      <c r="AW105" s="26">
        <v>0</v>
      </c>
      <c r="AX105" s="26">
        <v>0</v>
      </c>
      <c r="AY105" s="26">
        <v>0</v>
      </c>
      <c r="AZ105" s="26">
        <v>0</v>
      </c>
      <c r="BA105" s="26">
        <v>0</v>
      </c>
      <c r="BB105" s="26">
        <v>0</v>
      </c>
      <c r="BC105" s="26">
        <v>0</v>
      </c>
      <c r="BD105" s="26">
        <v>0</v>
      </c>
      <c r="BE105" s="26">
        <v>0</v>
      </c>
      <c r="BF105" s="26">
        <v>0</v>
      </c>
      <c r="BG105" s="26">
        <v>0</v>
      </c>
      <c r="BH105" s="26">
        <v>0</v>
      </c>
      <c r="BI105" s="26">
        <v>0</v>
      </c>
      <c r="BJ105" s="26">
        <v>0</v>
      </c>
      <c r="BK105" s="26">
        <v>0</v>
      </c>
      <c r="BL105" s="26">
        <v>0</v>
      </c>
      <c r="BM105" s="26">
        <v>0</v>
      </c>
      <c r="BN105" s="26">
        <v>0</v>
      </c>
      <c r="BO105" s="26">
        <v>20022.514599999999</v>
      </c>
      <c r="BP105" s="26">
        <v>420469.391</v>
      </c>
      <c r="BQ105" s="26">
        <v>6558.9637599999996</v>
      </c>
      <c r="BR105" s="26">
        <v>32.587581</v>
      </c>
      <c r="BS105" s="26">
        <v>1</v>
      </c>
      <c r="BT105" s="26">
        <v>0</v>
      </c>
      <c r="BU105" s="26">
        <v>1</v>
      </c>
      <c r="BV105" s="26">
        <v>0</v>
      </c>
      <c r="BW105" s="26">
        <v>-72181.553700000004</v>
      </c>
      <c r="BX105" s="26">
        <v>-3437.24476</v>
      </c>
      <c r="BY105" s="26">
        <v>-1445.25622</v>
      </c>
      <c r="BZ105" s="26">
        <v>-42.231668800000001</v>
      </c>
      <c r="CA105" s="26">
        <v>-2.01104818</v>
      </c>
      <c r="CB105" s="26">
        <v>5.0878246100000003E-2</v>
      </c>
      <c r="CC105" s="26">
        <v>1.06843449</v>
      </c>
      <c r="CD105" s="26">
        <v>20.999829399999999</v>
      </c>
      <c r="CE105" s="26">
        <v>0</v>
      </c>
      <c r="CF105" s="26">
        <v>0</v>
      </c>
      <c r="CG105" s="26">
        <v>0</v>
      </c>
      <c r="CH105" s="26">
        <v>0</v>
      </c>
      <c r="CI105" s="26">
        <v>0</v>
      </c>
      <c r="CJ105" s="26">
        <v>0</v>
      </c>
      <c r="CK105" s="26">
        <v>0</v>
      </c>
      <c r="CL105" s="26">
        <v>0</v>
      </c>
      <c r="CM105" s="26">
        <v>0</v>
      </c>
      <c r="CN105" s="26">
        <v>0</v>
      </c>
      <c r="CO105" s="26">
        <v>0</v>
      </c>
      <c r="CP105" s="26">
        <v>0</v>
      </c>
      <c r="CQ105" s="26">
        <v>0</v>
      </c>
      <c r="CR105" s="26">
        <v>0</v>
      </c>
      <c r="CS105" s="26">
        <v>0</v>
      </c>
      <c r="CT105" s="26">
        <v>0</v>
      </c>
      <c r="CU105" s="26">
        <v>0</v>
      </c>
      <c r="CV105" s="26">
        <v>0</v>
      </c>
      <c r="CW105" s="26">
        <v>0</v>
      </c>
      <c r="CX105" s="26">
        <v>0</v>
      </c>
      <c r="CY105" s="26">
        <v>0</v>
      </c>
      <c r="CZ105" s="26">
        <v>0</v>
      </c>
      <c r="DA105" s="26">
        <v>0</v>
      </c>
      <c r="DB105" s="26">
        <v>0</v>
      </c>
      <c r="DC105" s="26">
        <v>0</v>
      </c>
      <c r="DD105" s="26">
        <v>0</v>
      </c>
      <c r="DE105" s="26">
        <v>0</v>
      </c>
      <c r="DF105" s="26">
        <v>0</v>
      </c>
      <c r="DG105" s="26">
        <v>0</v>
      </c>
      <c r="DH105" s="26">
        <v>0</v>
      </c>
      <c r="DI105" s="26">
        <v>0</v>
      </c>
      <c r="DJ105" s="26">
        <v>0</v>
      </c>
      <c r="DK105" s="26">
        <v>0</v>
      </c>
      <c r="DL105" s="26">
        <v>0</v>
      </c>
      <c r="DM105" s="26">
        <v>0</v>
      </c>
      <c r="DN105" s="26">
        <v>0</v>
      </c>
      <c r="DO105" s="26">
        <v>0</v>
      </c>
      <c r="DP105" s="26">
        <v>0</v>
      </c>
      <c r="DQ105" s="26">
        <v>0</v>
      </c>
      <c r="DR105" s="26">
        <v>0</v>
      </c>
      <c r="DS105" s="26">
        <v>0</v>
      </c>
      <c r="DT105" s="26">
        <v>0</v>
      </c>
      <c r="DU105" s="26">
        <v>0</v>
      </c>
      <c r="DV105" s="26">
        <v>0</v>
      </c>
      <c r="DW105" s="26">
        <v>0</v>
      </c>
      <c r="DX105" s="26">
        <v>1254.64166</v>
      </c>
      <c r="DY105" s="26">
        <v>30.979670600000002</v>
      </c>
      <c r="DZ105" s="26">
        <v>12.9984632</v>
      </c>
      <c r="EA105" s="26">
        <v>423.09997600000003</v>
      </c>
      <c r="EB105" s="26">
        <v>51.560570599999998</v>
      </c>
      <c r="EC105" s="26">
        <v>12475.191699999999</v>
      </c>
      <c r="ED105" s="26">
        <v>0</v>
      </c>
      <c r="EE105" s="26">
        <v>2905.3073300000001</v>
      </c>
      <c r="EF105" s="26">
        <v>4107.8476600000004</v>
      </c>
      <c r="EG105" s="26">
        <v>520.80320400000005</v>
      </c>
      <c r="EH105" s="26">
        <v>57.867106200000009</v>
      </c>
      <c r="EI105" s="26">
        <v>151.45052699999999</v>
      </c>
      <c r="EJ105" s="26">
        <v>107.802228</v>
      </c>
      <c r="EK105" s="26">
        <v>0</v>
      </c>
      <c r="EL105" s="26">
        <v>473.096316</v>
      </c>
      <c r="EM105" s="26">
        <v>0</v>
      </c>
      <c r="EN105" s="26">
        <v>0</v>
      </c>
      <c r="EO105" s="26">
        <v>0</v>
      </c>
      <c r="EP105" s="26">
        <v>331.97509600000001</v>
      </c>
      <c r="EQ105" s="26">
        <v>22572.646400000001</v>
      </c>
      <c r="ER105" s="26">
        <v>272.15249699999998</v>
      </c>
      <c r="ES105" s="26">
        <v>32.587581</v>
      </c>
      <c r="ET105" s="26">
        <v>1</v>
      </c>
      <c r="EU105" s="26">
        <v>0</v>
      </c>
      <c r="EV105" s="26">
        <v>0</v>
      </c>
      <c r="EW105" s="26">
        <v>1</v>
      </c>
      <c r="EX105" s="26">
        <v>-78331.890100000004</v>
      </c>
      <c r="EY105" s="26">
        <v>-1152.0242800000001</v>
      </c>
      <c r="EZ105" s="26">
        <v>-26.004237</v>
      </c>
      <c r="FA105" s="26">
        <v>-152.91035099999999</v>
      </c>
      <c r="FB105" s="26">
        <v>-2.24884701</v>
      </c>
      <c r="FC105" s="26">
        <v>2.0330212899999998E-2</v>
      </c>
      <c r="FD105" s="26">
        <v>1.38235281</v>
      </c>
      <c r="FE105" s="26">
        <v>67.994999300000003</v>
      </c>
      <c r="FF105" s="26">
        <v>0</v>
      </c>
      <c r="FG105" s="26">
        <v>0.231763687</v>
      </c>
      <c r="FH105" s="26">
        <v>-1714292424.0799999</v>
      </c>
      <c r="FI105" s="26">
        <v>0.61609724381766684</v>
      </c>
      <c r="FJ105" s="26">
        <v>0</v>
      </c>
      <c r="FK105" s="26">
        <v>0</v>
      </c>
      <c r="FL105" s="26">
        <v>0</v>
      </c>
      <c r="FM105" s="26">
        <v>0</v>
      </c>
      <c r="FN105" s="26">
        <v>0</v>
      </c>
      <c r="FO105" s="26">
        <v>0</v>
      </c>
      <c r="FP105" s="26">
        <v>0</v>
      </c>
      <c r="FQ105" s="26">
        <v>0</v>
      </c>
      <c r="FR105" s="26">
        <v>0</v>
      </c>
      <c r="FS105" s="26">
        <v>0</v>
      </c>
      <c r="FT105" s="26">
        <v>0</v>
      </c>
      <c r="FU105" s="26">
        <v>0</v>
      </c>
      <c r="FV105" s="26">
        <v>0</v>
      </c>
      <c r="FW105" s="26">
        <v>0</v>
      </c>
      <c r="FX105" s="26">
        <v>0</v>
      </c>
      <c r="FY105" s="26">
        <v>0</v>
      </c>
      <c r="FZ105" s="26">
        <v>0</v>
      </c>
      <c r="GA105" s="26">
        <v>0</v>
      </c>
      <c r="GB105" s="26">
        <v>0</v>
      </c>
      <c r="GC105" s="26">
        <v>0</v>
      </c>
      <c r="GD105" s="26">
        <v>0</v>
      </c>
      <c r="GE105" s="26">
        <v>0</v>
      </c>
      <c r="GF105" s="26">
        <v>0</v>
      </c>
      <c r="GG105" s="26">
        <v>0</v>
      </c>
      <c r="GH105" s="26">
        <v>0</v>
      </c>
      <c r="GI105" s="26">
        <v>0</v>
      </c>
      <c r="GJ105" s="26">
        <v>0</v>
      </c>
      <c r="GK105" s="26">
        <v>0</v>
      </c>
      <c r="GL105" s="26">
        <v>0</v>
      </c>
      <c r="GM105" s="26">
        <v>0</v>
      </c>
      <c r="GN105" s="26">
        <v>0</v>
      </c>
      <c r="GO105" s="26">
        <v>0</v>
      </c>
      <c r="GP105" s="26">
        <v>0</v>
      </c>
      <c r="GQ105" s="26">
        <v>0</v>
      </c>
      <c r="GR105" s="26">
        <v>0</v>
      </c>
      <c r="GS105" s="26">
        <v>0</v>
      </c>
      <c r="GT105" s="26">
        <v>0</v>
      </c>
      <c r="GU105" s="26">
        <v>0</v>
      </c>
      <c r="GV105" s="26">
        <v>0</v>
      </c>
      <c r="GW105" s="26">
        <v>0</v>
      </c>
      <c r="GX105" s="26">
        <v>0</v>
      </c>
      <c r="GY105" s="26">
        <v>0</v>
      </c>
      <c r="GZ105" s="26">
        <v>0</v>
      </c>
      <c r="HA105" s="26">
        <v>0</v>
      </c>
      <c r="HB105" s="26">
        <v>0</v>
      </c>
      <c r="HC105" s="26">
        <v>0</v>
      </c>
      <c r="HD105" s="26">
        <v>0</v>
      </c>
      <c r="HE105" s="26">
        <v>0</v>
      </c>
      <c r="HF105" s="26">
        <v>0</v>
      </c>
      <c r="HG105" s="26">
        <v>0</v>
      </c>
      <c r="HH105" s="26">
        <v>0</v>
      </c>
      <c r="HI105" s="26">
        <v>0</v>
      </c>
      <c r="HJ105" s="26">
        <v>0</v>
      </c>
      <c r="HK105" s="26">
        <v>0</v>
      </c>
      <c r="HL105" s="26">
        <v>0</v>
      </c>
      <c r="HM105" s="26">
        <v>0</v>
      </c>
      <c r="HN105" s="26">
        <v>0</v>
      </c>
      <c r="HO105" s="26">
        <v>0</v>
      </c>
      <c r="HP105" s="26">
        <v>0</v>
      </c>
      <c r="HQ105" s="26">
        <v>0</v>
      </c>
      <c r="HR105" s="26">
        <v>0</v>
      </c>
      <c r="HS105" s="26">
        <v>0</v>
      </c>
      <c r="HT105" s="26">
        <v>0.24991484061042982</v>
      </c>
    </row>
    <row r="106" spans="2:228" x14ac:dyDescent="0.2">
      <c r="B106" s="27" t="s">
        <v>3169</v>
      </c>
      <c r="C106" s="26">
        <v>210.78478899999999</v>
      </c>
      <c r="D106" s="26">
        <v>-0.536997167</v>
      </c>
      <c r="E106" s="26">
        <v>105.91935599999999</v>
      </c>
      <c r="F106" s="26">
        <v>0</v>
      </c>
      <c r="G106" s="26">
        <v>0</v>
      </c>
      <c r="H106" s="26">
        <v>0</v>
      </c>
      <c r="I106" s="26">
        <v>0</v>
      </c>
      <c r="J106" s="26">
        <v>0</v>
      </c>
      <c r="K106" s="26">
        <v>0</v>
      </c>
      <c r="L106" s="26">
        <v>0</v>
      </c>
      <c r="M106" s="26">
        <v>0</v>
      </c>
      <c r="N106" s="26">
        <v>0</v>
      </c>
      <c r="O106" s="26">
        <v>0</v>
      </c>
      <c r="P106" s="26">
        <v>0</v>
      </c>
      <c r="Q106" s="26">
        <v>0</v>
      </c>
      <c r="R106" s="26">
        <v>0</v>
      </c>
      <c r="S106" s="26">
        <v>0</v>
      </c>
      <c r="T106" s="26">
        <v>0</v>
      </c>
      <c r="U106" s="26">
        <v>0</v>
      </c>
      <c r="V106" s="26">
        <v>0</v>
      </c>
      <c r="W106" s="26">
        <v>0</v>
      </c>
      <c r="X106" s="26">
        <v>52.169235200000003</v>
      </c>
      <c r="Y106" s="26">
        <v>0</v>
      </c>
      <c r="Z106" s="26">
        <v>0</v>
      </c>
      <c r="AA106" s="26">
        <v>0</v>
      </c>
      <c r="AB106" s="26">
        <v>0</v>
      </c>
      <c r="AC106" s="26">
        <v>0</v>
      </c>
      <c r="AD106" s="26">
        <v>0</v>
      </c>
      <c r="AE106" s="26">
        <v>0</v>
      </c>
      <c r="AF106" s="26">
        <v>0</v>
      </c>
      <c r="AG106" s="26">
        <v>0</v>
      </c>
      <c r="AH106" s="26">
        <v>0</v>
      </c>
      <c r="AI106" s="26">
        <v>0</v>
      </c>
      <c r="AJ106" s="26">
        <v>0</v>
      </c>
      <c r="AK106" s="26">
        <v>0</v>
      </c>
      <c r="AL106" s="26">
        <v>0</v>
      </c>
      <c r="AM106" s="26">
        <v>0</v>
      </c>
      <c r="AN106" s="26">
        <v>0</v>
      </c>
      <c r="AO106" s="26">
        <v>0</v>
      </c>
      <c r="AP106" s="26">
        <v>0</v>
      </c>
      <c r="AQ106" s="26">
        <v>0</v>
      </c>
      <c r="AR106" s="26">
        <v>0</v>
      </c>
      <c r="AS106" s="26">
        <v>0</v>
      </c>
      <c r="AT106" s="26">
        <v>0</v>
      </c>
      <c r="AU106" s="26">
        <v>0</v>
      </c>
      <c r="AV106" s="26">
        <v>0</v>
      </c>
      <c r="AW106" s="26">
        <v>0</v>
      </c>
      <c r="AX106" s="26">
        <v>0</v>
      </c>
      <c r="AY106" s="26">
        <v>0</v>
      </c>
      <c r="AZ106" s="26">
        <v>0</v>
      </c>
      <c r="BA106" s="26">
        <v>0</v>
      </c>
      <c r="BB106" s="26">
        <v>0</v>
      </c>
      <c r="BC106" s="26">
        <v>0</v>
      </c>
      <c r="BD106" s="26">
        <v>0</v>
      </c>
      <c r="BE106" s="26">
        <v>0</v>
      </c>
      <c r="BF106" s="26">
        <v>0</v>
      </c>
      <c r="BG106" s="26">
        <v>0</v>
      </c>
      <c r="BH106" s="26">
        <v>0</v>
      </c>
      <c r="BI106" s="26">
        <v>0</v>
      </c>
      <c r="BJ106" s="26">
        <v>0</v>
      </c>
      <c r="BK106" s="26">
        <v>0</v>
      </c>
      <c r="BL106" s="26">
        <v>0</v>
      </c>
      <c r="BM106" s="26">
        <v>0</v>
      </c>
      <c r="BN106" s="26">
        <v>0</v>
      </c>
      <c r="BO106" s="26">
        <v>6.4585685499999999</v>
      </c>
      <c r="BP106" s="26">
        <v>158.08859200000001</v>
      </c>
      <c r="BQ106" s="26">
        <v>2.47172459</v>
      </c>
      <c r="BR106" s="26">
        <v>20</v>
      </c>
      <c r="BS106" s="26">
        <v>1</v>
      </c>
      <c r="BT106" s="26">
        <v>0</v>
      </c>
      <c r="BU106" s="26">
        <v>1</v>
      </c>
      <c r="BV106" s="26">
        <v>0</v>
      </c>
      <c r="BW106" s="26">
        <v>-76835.986900000004</v>
      </c>
      <c r="BX106" s="26">
        <v>-3139.0657799999999</v>
      </c>
      <c r="BY106" s="26">
        <v>-0.49625049300000001</v>
      </c>
      <c r="BZ106" s="26">
        <v>-46.320903999999999</v>
      </c>
      <c r="CA106" s="26">
        <v>-1.8923992599999999</v>
      </c>
      <c r="CB106" s="26">
        <v>4.3549677100000003E-2</v>
      </c>
      <c r="CC106" s="26">
        <v>1.0659803400000001</v>
      </c>
      <c r="CD106" s="26">
        <v>24.477342100000001</v>
      </c>
      <c r="CE106" s="26">
        <v>2.4808882400000001</v>
      </c>
      <c r="CF106" s="26">
        <v>0</v>
      </c>
      <c r="CG106" s="26">
        <v>0</v>
      </c>
      <c r="CH106" s="26">
        <v>0</v>
      </c>
      <c r="CI106" s="26">
        <v>0</v>
      </c>
      <c r="CJ106" s="26">
        <v>0</v>
      </c>
      <c r="CK106" s="26">
        <v>0</v>
      </c>
      <c r="CL106" s="26">
        <v>0</v>
      </c>
      <c r="CM106" s="26">
        <v>0</v>
      </c>
      <c r="CN106" s="26">
        <v>0</v>
      </c>
      <c r="CO106" s="26">
        <v>0</v>
      </c>
      <c r="CP106" s="26">
        <v>0</v>
      </c>
      <c r="CQ106" s="26">
        <v>0</v>
      </c>
      <c r="CR106" s="26">
        <v>0</v>
      </c>
      <c r="CS106" s="26">
        <v>0</v>
      </c>
      <c r="CT106" s="26">
        <v>0</v>
      </c>
      <c r="CU106" s="26">
        <v>0</v>
      </c>
      <c r="CV106" s="26">
        <v>0</v>
      </c>
      <c r="CW106" s="26">
        <v>0</v>
      </c>
      <c r="CX106" s="26">
        <v>0</v>
      </c>
      <c r="CY106" s="26">
        <v>0</v>
      </c>
      <c r="CZ106" s="26">
        <v>0</v>
      </c>
      <c r="DA106" s="26">
        <v>0</v>
      </c>
      <c r="DB106" s="26">
        <v>0</v>
      </c>
      <c r="DC106" s="26">
        <v>0</v>
      </c>
      <c r="DD106" s="26">
        <v>0</v>
      </c>
      <c r="DE106" s="26">
        <v>0</v>
      </c>
      <c r="DF106" s="26">
        <v>0</v>
      </c>
      <c r="DG106" s="26">
        <v>0</v>
      </c>
      <c r="DH106" s="26">
        <v>0</v>
      </c>
      <c r="DI106" s="26">
        <v>0</v>
      </c>
      <c r="DJ106" s="26">
        <v>0</v>
      </c>
      <c r="DK106" s="26">
        <v>0</v>
      </c>
      <c r="DL106" s="26">
        <v>0</v>
      </c>
      <c r="DM106" s="26">
        <v>0</v>
      </c>
      <c r="DN106" s="26">
        <v>0</v>
      </c>
      <c r="DO106" s="26">
        <v>0</v>
      </c>
      <c r="DP106" s="26">
        <v>0</v>
      </c>
      <c r="DQ106" s="26">
        <v>0</v>
      </c>
      <c r="DR106" s="26">
        <v>0</v>
      </c>
      <c r="DS106" s="26">
        <v>0</v>
      </c>
      <c r="DT106" s="26">
        <v>0</v>
      </c>
      <c r="DU106" s="26">
        <v>0</v>
      </c>
      <c r="DV106" s="26">
        <v>0</v>
      </c>
      <c r="DW106" s="26">
        <v>0</v>
      </c>
      <c r="DX106" s="26">
        <v>0</v>
      </c>
      <c r="DY106" s="26">
        <v>0</v>
      </c>
      <c r="DZ106" s="26">
        <v>0</v>
      </c>
      <c r="EA106" s="26">
        <v>0</v>
      </c>
      <c r="EB106" s="26">
        <v>0</v>
      </c>
      <c r="EC106" s="26">
        <v>0</v>
      </c>
      <c r="ED106" s="26">
        <v>0</v>
      </c>
      <c r="EE106" s="26">
        <v>52.6961972</v>
      </c>
      <c r="EF106" s="26">
        <v>0</v>
      </c>
      <c r="EG106" s="26">
        <v>0</v>
      </c>
      <c r="EH106" s="26">
        <v>0</v>
      </c>
      <c r="EI106" s="26">
        <v>0</v>
      </c>
      <c r="EJ106" s="26">
        <v>0</v>
      </c>
      <c r="EK106" s="26">
        <v>0</v>
      </c>
      <c r="EL106" s="26">
        <v>0</v>
      </c>
      <c r="EM106" s="26">
        <v>0</v>
      </c>
      <c r="EN106" s="26">
        <v>0</v>
      </c>
      <c r="EO106" s="26">
        <v>0</v>
      </c>
      <c r="EP106" s="26">
        <v>2.30722943</v>
      </c>
      <c r="EQ106" s="26">
        <v>52.6961972</v>
      </c>
      <c r="ER106" s="26">
        <v>0.58449811399999996</v>
      </c>
      <c r="ES106" s="26">
        <v>20</v>
      </c>
      <c r="ET106" s="26">
        <v>1</v>
      </c>
      <c r="EU106" s="26">
        <v>0</v>
      </c>
      <c r="EV106" s="26">
        <v>0</v>
      </c>
      <c r="EW106" s="26">
        <v>1</v>
      </c>
      <c r="EX106" s="26">
        <v>-17660.434600000001</v>
      </c>
      <c r="EY106" s="26">
        <v>-773.23747200000003</v>
      </c>
      <c r="EZ106" s="26">
        <v>-4.0746674599999998E-2</v>
      </c>
      <c r="FA106" s="26">
        <v>-59.234594700000002</v>
      </c>
      <c r="FB106" s="26">
        <v>-2.5935040300000001</v>
      </c>
      <c r="FC106" s="26">
        <v>6.5789473700000003E-2</v>
      </c>
      <c r="FD106" s="26">
        <v>1.5026052599999999</v>
      </c>
      <c r="FE106" s="26">
        <v>22.839600000000001</v>
      </c>
      <c r="FF106" s="26">
        <v>0</v>
      </c>
      <c r="FG106" s="26">
        <v>0.62472096899999996</v>
      </c>
      <c r="FH106" s="26">
        <v>-623701.24369400006</v>
      </c>
      <c r="FI106" s="26">
        <v>4.8262569830545007E-4</v>
      </c>
      <c r="FJ106" s="26">
        <v>0</v>
      </c>
      <c r="FK106" s="26">
        <v>0</v>
      </c>
      <c r="FL106" s="26">
        <v>0</v>
      </c>
      <c r="FM106" s="26">
        <v>0</v>
      </c>
      <c r="FN106" s="26">
        <v>0</v>
      </c>
      <c r="FO106" s="26">
        <v>0</v>
      </c>
      <c r="FP106" s="26">
        <v>0</v>
      </c>
      <c r="FQ106" s="26">
        <v>0</v>
      </c>
      <c r="FR106" s="26">
        <v>0</v>
      </c>
      <c r="FS106" s="26">
        <v>0</v>
      </c>
      <c r="FT106" s="26">
        <v>0</v>
      </c>
      <c r="FU106" s="26">
        <v>0</v>
      </c>
      <c r="FV106" s="26">
        <v>0</v>
      </c>
      <c r="FW106" s="26">
        <v>0</v>
      </c>
      <c r="FX106" s="26">
        <v>0</v>
      </c>
      <c r="FY106" s="26">
        <v>0</v>
      </c>
      <c r="FZ106" s="26">
        <v>0</v>
      </c>
      <c r="GA106" s="26">
        <v>0</v>
      </c>
      <c r="GB106" s="26">
        <v>0</v>
      </c>
      <c r="GC106" s="26">
        <v>0</v>
      </c>
      <c r="GD106" s="26">
        <v>0</v>
      </c>
      <c r="GE106" s="26">
        <v>0</v>
      </c>
      <c r="GF106" s="26">
        <v>0</v>
      </c>
      <c r="GG106" s="26">
        <v>0</v>
      </c>
      <c r="GH106" s="26">
        <v>0</v>
      </c>
      <c r="GI106" s="26">
        <v>0</v>
      </c>
      <c r="GJ106" s="26">
        <v>0</v>
      </c>
      <c r="GK106" s="26">
        <v>0</v>
      </c>
      <c r="GL106" s="26">
        <v>0</v>
      </c>
      <c r="GM106" s="26">
        <v>0</v>
      </c>
      <c r="GN106" s="26">
        <v>0</v>
      </c>
      <c r="GO106" s="26">
        <v>0</v>
      </c>
      <c r="GP106" s="26">
        <v>0</v>
      </c>
      <c r="GQ106" s="26">
        <v>0</v>
      </c>
      <c r="GR106" s="26">
        <v>0</v>
      </c>
      <c r="GS106" s="26">
        <v>0</v>
      </c>
      <c r="GT106" s="26">
        <v>0</v>
      </c>
      <c r="GU106" s="26">
        <v>0</v>
      </c>
      <c r="GV106" s="26">
        <v>0</v>
      </c>
      <c r="GW106" s="26">
        <v>0</v>
      </c>
      <c r="GX106" s="26">
        <v>0</v>
      </c>
      <c r="GY106" s="26">
        <v>0</v>
      </c>
      <c r="GZ106" s="26">
        <v>0</v>
      </c>
      <c r="HA106" s="26">
        <v>0</v>
      </c>
      <c r="HB106" s="26">
        <v>0</v>
      </c>
      <c r="HC106" s="26">
        <v>0</v>
      </c>
      <c r="HD106" s="26">
        <v>0</v>
      </c>
      <c r="HE106" s="26">
        <v>0</v>
      </c>
      <c r="HF106" s="26">
        <v>0</v>
      </c>
      <c r="HG106" s="26">
        <v>0</v>
      </c>
      <c r="HH106" s="26">
        <v>0</v>
      </c>
      <c r="HI106" s="26">
        <v>0</v>
      </c>
      <c r="HJ106" s="26">
        <v>0</v>
      </c>
      <c r="HK106" s="26">
        <v>0</v>
      </c>
      <c r="HL106" s="26">
        <v>0</v>
      </c>
      <c r="HM106" s="26">
        <v>0</v>
      </c>
      <c r="HN106" s="26">
        <v>0</v>
      </c>
      <c r="HO106" s="26">
        <v>0</v>
      </c>
      <c r="HP106" s="26">
        <v>0</v>
      </c>
      <c r="HQ106" s="26">
        <v>0</v>
      </c>
      <c r="HR106" s="26">
        <v>0</v>
      </c>
      <c r="HS106" s="26">
        <v>0</v>
      </c>
      <c r="HT106" s="26">
        <v>6.408970690160654E-4</v>
      </c>
    </row>
    <row r="107" spans="2:228" x14ac:dyDescent="0.2">
      <c r="B107" s="27" t="s">
        <v>1350</v>
      </c>
      <c r="C107" s="26">
        <v>26.1890933</v>
      </c>
      <c r="D107" s="26">
        <v>-5.6333817000000001E-2</v>
      </c>
      <c r="E107" s="26">
        <v>0</v>
      </c>
      <c r="F107" s="26">
        <v>0</v>
      </c>
      <c r="G107" s="26">
        <v>0</v>
      </c>
      <c r="H107" s="26">
        <v>0</v>
      </c>
      <c r="I107" s="26">
        <v>0</v>
      </c>
      <c r="J107" s="26">
        <v>0</v>
      </c>
      <c r="K107" s="26">
        <v>0</v>
      </c>
      <c r="L107" s="26">
        <v>0</v>
      </c>
      <c r="M107" s="26">
        <v>0</v>
      </c>
      <c r="N107" s="26">
        <v>0</v>
      </c>
      <c r="O107" s="26">
        <v>0</v>
      </c>
      <c r="P107" s="26">
        <v>0</v>
      </c>
      <c r="Q107" s="26">
        <v>0</v>
      </c>
      <c r="R107" s="26">
        <v>0</v>
      </c>
      <c r="S107" s="26">
        <v>0</v>
      </c>
      <c r="T107" s="26">
        <v>0</v>
      </c>
      <c r="U107" s="26">
        <v>0</v>
      </c>
      <c r="V107" s="26">
        <v>0</v>
      </c>
      <c r="W107" s="26">
        <v>0</v>
      </c>
      <c r="X107" s="26">
        <v>0</v>
      </c>
      <c r="Y107" s="26">
        <v>0</v>
      </c>
      <c r="Z107" s="26">
        <v>0</v>
      </c>
      <c r="AA107" s="26">
        <v>0</v>
      </c>
      <c r="AB107" s="26">
        <v>0</v>
      </c>
      <c r="AC107" s="26">
        <v>0</v>
      </c>
      <c r="AD107" s="26">
        <v>0</v>
      </c>
      <c r="AE107" s="26">
        <v>0</v>
      </c>
      <c r="AF107" s="26">
        <v>26.1890933</v>
      </c>
      <c r="AG107" s="26">
        <v>0</v>
      </c>
      <c r="AH107" s="26">
        <v>0</v>
      </c>
      <c r="AI107" s="26">
        <v>0</v>
      </c>
      <c r="AJ107" s="26">
        <v>0</v>
      </c>
      <c r="AK107" s="26">
        <v>0</v>
      </c>
      <c r="AL107" s="26">
        <v>0</v>
      </c>
      <c r="AM107" s="26">
        <v>0</v>
      </c>
      <c r="AN107" s="26">
        <v>0</v>
      </c>
      <c r="AO107" s="26">
        <v>0</v>
      </c>
      <c r="AP107" s="26">
        <v>0</v>
      </c>
      <c r="AQ107" s="26">
        <v>0</v>
      </c>
      <c r="AR107" s="26">
        <v>0</v>
      </c>
      <c r="AS107" s="26">
        <v>0</v>
      </c>
      <c r="AT107" s="26">
        <v>0</v>
      </c>
      <c r="AU107" s="26">
        <v>0</v>
      </c>
      <c r="AV107" s="26">
        <v>0</v>
      </c>
      <c r="AW107" s="26">
        <v>0</v>
      </c>
      <c r="AX107" s="26">
        <v>0</v>
      </c>
      <c r="AY107" s="26">
        <v>0</v>
      </c>
      <c r="AZ107" s="26">
        <v>0</v>
      </c>
      <c r="BA107" s="26">
        <v>0</v>
      </c>
      <c r="BB107" s="26">
        <v>0</v>
      </c>
      <c r="BC107" s="26">
        <v>0</v>
      </c>
      <c r="BD107" s="26">
        <v>0</v>
      </c>
      <c r="BE107" s="26">
        <v>0</v>
      </c>
      <c r="BF107" s="26">
        <v>0</v>
      </c>
      <c r="BG107" s="26">
        <v>0</v>
      </c>
      <c r="BH107" s="26">
        <v>0</v>
      </c>
      <c r="BI107" s="26">
        <v>0</v>
      </c>
      <c r="BJ107" s="26">
        <v>0</v>
      </c>
      <c r="BK107" s="26">
        <v>0</v>
      </c>
      <c r="BL107" s="26">
        <v>0</v>
      </c>
      <c r="BM107" s="26">
        <v>0</v>
      </c>
      <c r="BN107" s="26">
        <v>0</v>
      </c>
      <c r="BO107" s="26">
        <v>0.19831763699999999</v>
      </c>
      <c r="BP107" s="26">
        <v>26.1890933</v>
      </c>
      <c r="BQ107" s="26">
        <v>0.432343166</v>
      </c>
      <c r="BR107" s="26">
        <v>20</v>
      </c>
      <c r="BS107" s="26">
        <v>1</v>
      </c>
      <c r="BT107" s="26">
        <v>0</v>
      </c>
      <c r="BU107" s="26">
        <v>1</v>
      </c>
      <c r="BV107" s="26">
        <v>0</v>
      </c>
      <c r="BW107" s="26">
        <v>-284058.53100000002</v>
      </c>
      <c r="BX107" s="26">
        <v>-2151.0411199999999</v>
      </c>
      <c r="BY107" s="26">
        <v>-5.6333817000000001E-2</v>
      </c>
      <c r="BZ107" s="26">
        <v>-592.68957</v>
      </c>
      <c r="CA107" s="26">
        <v>-4.4881582399999997</v>
      </c>
      <c r="CB107" s="26">
        <v>7.64507031E-3</v>
      </c>
      <c r="CC107" s="26">
        <v>1.0095797</v>
      </c>
      <c r="CD107" s="26">
        <v>132.05629999999999</v>
      </c>
      <c r="CE107" s="26">
        <v>0</v>
      </c>
      <c r="CF107" s="26">
        <v>0</v>
      </c>
      <c r="CG107" s="26">
        <v>0</v>
      </c>
      <c r="CH107" s="26">
        <v>0</v>
      </c>
      <c r="CI107" s="26">
        <v>0</v>
      </c>
      <c r="CJ107" s="26">
        <v>0</v>
      </c>
      <c r="CK107" s="26">
        <v>0</v>
      </c>
      <c r="CL107" s="26">
        <v>0</v>
      </c>
      <c r="CM107" s="26">
        <v>0</v>
      </c>
      <c r="CN107" s="26">
        <v>0</v>
      </c>
      <c r="CO107" s="26">
        <v>0</v>
      </c>
      <c r="CP107" s="26">
        <v>0</v>
      </c>
      <c r="CQ107" s="26">
        <v>0</v>
      </c>
      <c r="CR107" s="26">
        <v>0</v>
      </c>
      <c r="CS107" s="26">
        <v>0</v>
      </c>
      <c r="CT107" s="26">
        <v>0</v>
      </c>
      <c r="CU107" s="26">
        <v>0</v>
      </c>
      <c r="CV107" s="26">
        <v>0</v>
      </c>
      <c r="CW107" s="26">
        <v>0</v>
      </c>
      <c r="CX107" s="26">
        <v>0</v>
      </c>
      <c r="CY107" s="26">
        <v>0</v>
      </c>
      <c r="CZ107" s="26">
        <v>0</v>
      </c>
      <c r="DA107" s="26">
        <v>0</v>
      </c>
      <c r="DB107" s="26">
        <v>0</v>
      </c>
      <c r="DC107" s="26">
        <v>0</v>
      </c>
      <c r="DD107" s="26">
        <v>0</v>
      </c>
      <c r="DE107" s="26">
        <v>0</v>
      </c>
      <c r="DF107" s="26">
        <v>0</v>
      </c>
      <c r="DG107" s="26">
        <v>0</v>
      </c>
      <c r="DH107" s="26">
        <v>0</v>
      </c>
      <c r="DI107" s="26">
        <v>0</v>
      </c>
      <c r="DJ107" s="26">
        <v>0</v>
      </c>
      <c r="DK107" s="26">
        <v>0</v>
      </c>
      <c r="DL107" s="26">
        <v>0</v>
      </c>
      <c r="DM107" s="26">
        <v>0</v>
      </c>
      <c r="DN107" s="26">
        <v>0</v>
      </c>
      <c r="DO107" s="26">
        <v>0</v>
      </c>
      <c r="DP107" s="26">
        <v>0</v>
      </c>
      <c r="DQ107" s="26">
        <v>0</v>
      </c>
      <c r="DR107" s="26">
        <v>0</v>
      </c>
      <c r="DS107" s="26">
        <v>0</v>
      </c>
      <c r="DT107" s="26">
        <v>0</v>
      </c>
      <c r="DU107" s="26">
        <v>0</v>
      </c>
      <c r="DV107" s="26">
        <v>0</v>
      </c>
      <c r="DW107" s="26">
        <v>0</v>
      </c>
      <c r="DX107" s="26">
        <v>0</v>
      </c>
      <c r="DY107" s="26">
        <v>0</v>
      </c>
      <c r="DZ107" s="26">
        <v>0</v>
      </c>
      <c r="EA107" s="26">
        <v>0</v>
      </c>
      <c r="EB107" s="26">
        <v>0</v>
      </c>
      <c r="EC107" s="26">
        <v>0</v>
      </c>
      <c r="ED107" s="26">
        <v>0</v>
      </c>
      <c r="EE107" s="26">
        <v>0</v>
      </c>
      <c r="EF107" s="26">
        <v>0</v>
      </c>
      <c r="EG107" s="26">
        <v>0</v>
      </c>
      <c r="EH107" s="26">
        <v>0</v>
      </c>
      <c r="EI107" s="26">
        <v>0</v>
      </c>
      <c r="EJ107" s="26">
        <v>0</v>
      </c>
      <c r="EK107" s="26">
        <v>0</v>
      </c>
      <c r="EL107" s="26">
        <v>0</v>
      </c>
      <c r="EM107" s="26">
        <v>0</v>
      </c>
      <c r="EN107" s="26">
        <v>0</v>
      </c>
      <c r="EO107" s="26">
        <v>0</v>
      </c>
      <c r="EP107" s="26">
        <v>0</v>
      </c>
      <c r="EQ107" s="26">
        <v>0</v>
      </c>
      <c r="ER107" s="26">
        <v>0</v>
      </c>
      <c r="ES107" s="26">
        <v>0</v>
      </c>
      <c r="ET107" s="26">
        <v>1</v>
      </c>
      <c r="EU107" s="26">
        <v>0</v>
      </c>
      <c r="EV107" s="26">
        <v>0</v>
      </c>
      <c r="EW107" s="26">
        <v>0</v>
      </c>
      <c r="EX107" s="26">
        <v>0</v>
      </c>
      <c r="EY107" s="26">
        <v>0</v>
      </c>
      <c r="EZ107" s="26">
        <v>0</v>
      </c>
      <c r="FA107" s="26">
        <v>0</v>
      </c>
      <c r="FB107" s="26">
        <v>0</v>
      </c>
      <c r="FC107" s="26">
        <v>0</v>
      </c>
      <c r="FD107" s="26">
        <v>0</v>
      </c>
      <c r="FE107" s="26">
        <v>0</v>
      </c>
      <c r="FF107" s="26">
        <v>0</v>
      </c>
      <c r="FG107" s="26">
        <v>0</v>
      </c>
      <c r="FH107" s="26">
        <v>-65501.771801700001</v>
      </c>
      <c r="FI107" s="26">
        <v>0</v>
      </c>
      <c r="FJ107" s="26">
        <v>0</v>
      </c>
      <c r="FK107" s="26">
        <v>0</v>
      </c>
      <c r="FL107" s="26">
        <v>0</v>
      </c>
      <c r="FM107" s="26">
        <v>0</v>
      </c>
      <c r="FN107" s="26">
        <v>0</v>
      </c>
      <c r="FO107" s="26">
        <v>0</v>
      </c>
      <c r="FP107" s="26">
        <v>0</v>
      </c>
      <c r="FQ107" s="26">
        <v>0</v>
      </c>
      <c r="FR107" s="26">
        <v>0</v>
      </c>
      <c r="FS107" s="26">
        <v>0</v>
      </c>
      <c r="FT107" s="26">
        <v>0</v>
      </c>
      <c r="FU107" s="26">
        <v>0</v>
      </c>
      <c r="FV107" s="26">
        <v>0</v>
      </c>
      <c r="FW107" s="26">
        <v>0</v>
      </c>
      <c r="FX107" s="26">
        <v>0</v>
      </c>
      <c r="FY107" s="26">
        <v>0</v>
      </c>
      <c r="FZ107" s="26">
        <v>0</v>
      </c>
      <c r="GA107" s="26">
        <v>0</v>
      </c>
      <c r="GB107" s="26">
        <v>0</v>
      </c>
      <c r="GC107" s="26">
        <v>0</v>
      </c>
      <c r="GD107" s="26">
        <v>0</v>
      </c>
      <c r="GE107" s="26">
        <v>0</v>
      </c>
      <c r="GF107" s="26">
        <v>0</v>
      </c>
      <c r="GG107" s="26">
        <v>0</v>
      </c>
      <c r="GH107" s="26">
        <v>0</v>
      </c>
      <c r="GI107" s="26">
        <v>0</v>
      </c>
      <c r="GJ107" s="26">
        <v>0</v>
      </c>
      <c r="GK107" s="26">
        <v>0</v>
      </c>
      <c r="GL107" s="26">
        <v>0</v>
      </c>
      <c r="GM107" s="26">
        <v>0</v>
      </c>
      <c r="GN107" s="26">
        <v>0</v>
      </c>
      <c r="GO107" s="26">
        <v>0</v>
      </c>
      <c r="GP107" s="26">
        <v>0</v>
      </c>
      <c r="GQ107" s="26">
        <v>0</v>
      </c>
      <c r="GR107" s="26">
        <v>0</v>
      </c>
      <c r="GS107" s="26">
        <v>0</v>
      </c>
      <c r="GT107" s="26">
        <v>0</v>
      </c>
      <c r="GU107" s="26">
        <v>0</v>
      </c>
      <c r="GV107" s="26">
        <v>0</v>
      </c>
      <c r="GW107" s="26">
        <v>0</v>
      </c>
      <c r="GX107" s="26">
        <v>0</v>
      </c>
      <c r="GY107" s="26">
        <v>0</v>
      </c>
      <c r="GZ107" s="26">
        <v>0</v>
      </c>
      <c r="HA107" s="26">
        <v>0</v>
      </c>
      <c r="HB107" s="26">
        <v>0</v>
      </c>
      <c r="HC107" s="26">
        <v>0</v>
      </c>
      <c r="HD107" s="26">
        <v>0</v>
      </c>
      <c r="HE107" s="26">
        <v>0</v>
      </c>
      <c r="HF107" s="26">
        <v>0</v>
      </c>
      <c r="HG107" s="26">
        <v>0</v>
      </c>
      <c r="HH107" s="26">
        <v>0</v>
      </c>
      <c r="HI107" s="26">
        <v>0</v>
      </c>
      <c r="HJ107" s="26">
        <v>0</v>
      </c>
      <c r="HK107" s="26">
        <v>0</v>
      </c>
      <c r="HL107" s="26">
        <v>0</v>
      </c>
      <c r="HM107" s="26">
        <v>0</v>
      </c>
      <c r="HN107" s="26">
        <v>0</v>
      </c>
      <c r="HO107" s="26">
        <v>0</v>
      </c>
      <c r="HP107" s="26">
        <v>0</v>
      </c>
      <c r="HQ107" s="26">
        <v>0</v>
      </c>
      <c r="HR107" s="26">
        <v>0</v>
      </c>
      <c r="HS107" s="26">
        <v>0</v>
      </c>
      <c r="HT107" s="26">
        <v>0</v>
      </c>
    </row>
    <row r="108" spans="2:228" x14ac:dyDescent="0.2">
      <c r="B108" s="27" t="s">
        <v>1354</v>
      </c>
      <c r="C108" s="26">
        <v>948.53155000000004</v>
      </c>
      <c r="D108" s="26">
        <v>-2.4164872499999999</v>
      </c>
      <c r="E108" s="26">
        <v>476.63710400000002</v>
      </c>
      <c r="F108" s="26">
        <v>0</v>
      </c>
      <c r="G108" s="26">
        <v>0</v>
      </c>
      <c r="H108" s="26">
        <v>0</v>
      </c>
      <c r="I108" s="26">
        <v>0</v>
      </c>
      <c r="J108" s="26">
        <v>0</v>
      </c>
      <c r="K108" s="26">
        <v>0</v>
      </c>
      <c r="L108" s="26">
        <v>0</v>
      </c>
      <c r="M108" s="26">
        <v>0</v>
      </c>
      <c r="N108" s="26">
        <v>0</v>
      </c>
      <c r="O108" s="26">
        <v>0</v>
      </c>
      <c r="P108" s="26">
        <v>0</v>
      </c>
      <c r="Q108" s="26">
        <v>0</v>
      </c>
      <c r="R108" s="26">
        <v>0</v>
      </c>
      <c r="S108" s="26">
        <v>0</v>
      </c>
      <c r="T108" s="26">
        <v>0</v>
      </c>
      <c r="U108" s="26">
        <v>0</v>
      </c>
      <c r="V108" s="26">
        <v>0</v>
      </c>
      <c r="W108" s="26">
        <v>0</v>
      </c>
      <c r="X108" s="26">
        <v>234.76155900000003</v>
      </c>
      <c r="Y108" s="26">
        <v>0</v>
      </c>
      <c r="Z108" s="26">
        <v>0</v>
      </c>
      <c r="AA108" s="26">
        <v>0</v>
      </c>
      <c r="AB108" s="26">
        <v>0</v>
      </c>
      <c r="AC108" s="26">
        <v>0</v>
      </c>
      <c r="AD108" s="26">
        <v>0</v>
      </c>
      <c r="AE108" s="26">
        <v>0</v>
      </c>
      <c r="AF108" s="26">
        <v>0</v>
      </c>
      <c r="AG108" s="26">
        <v>0</v>
      </c>
      <c r="AH108" s="26">
        <v>0</v>
      </c>
      <c r="AI108" s="26">
        <v>0</v>
      </c>
      <c r="AJ108" s="26">
        <v>0</v>
      </c>
      <c r="AK108" s="26">
        <v>0</v>
      </c>
      <c r="AL108" s="26">
        <v>0</v>
      </c>
      <c r="AM108" s="26">
        <v>0</v>
      </c>
      <c r="AN108" s="26">
        <v>0</v>
      </c>
      <c r="AO108" s="26">
        <v>0</v>
      </c>
      <c r="AP108" s="26">
        <v>0</v>
      </c>
      <c r="AQ108" s="26">
        <v>0</v>
      </c>
      <c r="AR108" s="26">
        <v>0</v>
      </c>
      <c r="AS108" s="26">
        <v>0</v>
      </c>
      <c r="AT108" s="26">
        <v>0</v>
      </c>
      <c r="AU108" s="26">
        <v>0</v>
      </c>
      <c r="AV108" s="26">
        <v>0</v>
      </c>
      <c r="AW108" s="26">
        <v>0</v>
      </c>
      <c r="AX108" s="26">
        <v>0</v>
      </c>
      <c r="AY108" s="26">
        <v>0</v>
      </c>
      <c r="AZ108" s="26">
        <v>0</v>
      </c>
      <c r="BA108" s="26">
        <v>0</v>
      </c>
      <c r="BB108" s="26">
        <v>0</v>
      </c>
      <c r="BC108" s="26">
        <v>0</v>
      </c>
      <c r="BD108" s="26">
        <v>0</v>
      </c>
      <c r="BE108" s="26">
        <v>0</v>
      </c>
      <c r="BF108" s="26">
        <v>0</v>
      </c>
      <c r="BG108" s="26">
        <v>0</v>
      </c>
      <c r="BH108" s="26">
        <v>0</v>
      </c>
      <c r="BI108" s="26">
        <v>0</v>
      </c>
      <c r="BJ108" s="26">
        <v>0</v>
      </c>
      <c r="BK108" s="26">
        <v>0</v>
      </c>
      <c r="BL108" s="26">
        <v>0</v>
      </c>
      <c r="BM108" s="26">
        <v>0</v>
      </c>
      <c r="BN108" s="26">
        <v>0</v>
      </c>
      <c r="BO108" s="26">
        <v>29.063558500000003</v>
      </c>
      <c r="BP108" s="26">
        <v>711.39866199999994</v>
      </c>
      <c r="BQ108" s="26">
        <v>11.122760700000001</v>
      </c>
      <c r="BR108" s="26">
        <v>20</v>
      </c>
      <c r="BS108" s="26">
        <v>1</v>
      </c>
      <c r="BT108" s="26">
        <v>0</v>
      </c>
      <c r="BU108" s="26">
        <v>1</v>
      </c>
      <c r="BV108" s="26">
        <v>0</v>
      </c>
      <c r="BW108" s="26">
        <v>-76835.986900000004</v>
      </c>
      <c r="BX108" s="26">
        <v>-3139.0657799999999</v>
      </c>
      <c r="BY108" s="26">
        <v>-2.2331272200000001</v>
      </c>
      <c r="BZ108" s="26">
        <v>-46.320903999999999</v>
      </c>
      <c r="CA108" s="26">
        <v>-1.8923992599999999</v>
      </c>
      <c r="CB108" s="26">
        <v>4.3549677100000003E-2</v>
      </c>
      <c r="CC108" s="26">
        <v>1.0659803400000001</v>
      </c>
      <c r="CD108" s="26">
        <v>24.477342100000001</v>
      </c>
      <c r="CE108" s="26">
        <v>11.1639971</v>
      </c>
      <c r="CF108" s="26">
        <v>0</v>
      </c>
      <c r="CG108" s="26">
        <v>0</v>
      </c>
      <c r="CH108" s="26">
        <v>0</v>
      </c>
      <c r="CI108" s="26">
        <v>0</v>
      </c>
      <c r="CJ108" s="26">
        <v>0</v>
      </c>
      <c r="CK108" s="26">
        <v>0</v>
      </c>
      <c r="CL108" s="26">
        <v>0</v>
      </c>
      <c r="CM108" s="26">
        <v>0</v>
      </c>
      <c r="CN108" s="26">
        <v>0</v>
      </c>
      <c r="CO108" s="26">
        <v>0</v>
      </c>
      <c r="CP108" s="26">
        <v>0</v>
      </c>
      <c r="CQ108" s="26">
        <v>0</v>
      </c>
      <c r="CR108" s="26">
        <v>0</v>
      </c>
      <c r="CS108" s="26">
        <v>0</v>
      </c>
      <c r="CT108" s="26">
        <v>0</v>
      </c>
      <c r="CU108" s="26">
        <v>0</v>
      </c>
      <c r="CV108" s="26">
        <v>0</v>
      </c>
      <c r="CW108" s="26">
        <v>0</v>
      </c>
      <c r="CX108" s="26">
        <v>0</v>
      </c>
      <c r="CY108" s="26">
        <v>0</v>
      </c>
      <c r="CZ108" s="26">
        <v>0</v>
      </c>
      <c r="DA108" s="26">
        <v>0</v>
      </c>
      <c r="DB108" s="26">
        <v>0</v>
      </c>
      <c r="DC108" s="26">
        <v>0</v>
      </c>
      <c r="DD108" s="26">
        <v>0</v>
      </c>
      <c r="DE108" s="26">
        <v>0</v>
      </c>
      <c r="DF108" s="26">
        <v>0</v>
      </c>
      <c r="DG108" s="26">
        <v>0</v>
      </c>
      <c r="DH108" s="26">
        <v>0</v>
      </c>
      <c r="DI108" s="26">
        <v>0</v>
      </c>
      <c r="DJ108" s="26">
        <v>0</v>
      </c>
      <c r="DK108" s="26">
        <v>0</v>
      </c>
      <c r="DL108" s="26">
        <v>0</v>
      </c>
      <c r="DM108" s="26">
        <v>0</v>
      </c>
      <c r="DN108" s="26">
        <v>0</v>
      </c>
      <c r="DO108" s="26">
        <v>0</v>
      </c>
      <c r="DP108" s="26">
        <v>0</v>
      </c>
      <c r="DQ108" s="26">
        <v>0</v>
      </c>
      <c r="DR108" s="26">
        <v>0</v>
      </c>
      <c r="DS108" s="26">
        <v>0</v>
      </c>
      <c r="DT108" s="26">
        <v>0</v>
      </c>
      <c r="DU108" s="26">
        <v>0</v>
      </c>
      <c r="DV108" s="26">
        <v>0</v>
      </c>
      <c r="DW108" s="26">
        <v>0</v>
      </c>
      <c r="DX108" s="26">
        <v>0</v>
      </c>
      <c r="DY108" s="26">
        <v>0</v>
      </c>
      <c r="DZ108" s="26">
        <v>0</v>
      </c>
      <c r="EA108" s="26">
        <v>0</v>
      </c>
      <c r="EB108" s="26">
        <v>0</v>
      </c>
      <c r="EC108" s="26">
        <v>0</v>
      </c>
      <c r="ED108" s="26">
        <v>0</v>
      </c>
      <c r="EE108" s="26">
        <v>237.13288700000004</v>
      </c>
      <c r="EF108" s="26">
        <v>0</v>
      </c>
      <c r="EG108" s="26">
        <v>0</v>
      </c>
      <c r="EH108" s="26">
        <v>0</v>
      </c>
      <c r="EI108" s="26">
        <v>0</v>
      </c>
      <c r="EJ108" s="26">
        <v>0</v>
      </c>
      <c r="EK108" s="26">
        <v>0</v>
      </c>
      <c r="EL108" s="26">
        <v>0</v>
      </c>
      <c r="EM108" s="26">
        <v>0</v>
      </c>
      <c r="EN108" s="26">
        <v>0</v>
      </c>
      <c r="EO108" s="26">
        <v>0</v>
      </c>
      <c r="EP108" s="26">
        <v>10.382532400000001</v>
      </c>
      <c r="EQ108" s="26">
        <v>237.13288700000004</v>
      </c>
      <c r="ER108" s="26">
        <v>2.6302415200000002</v>
      </c>
      <c r="ES108" s="26">
        <v>20</v>
      </c>
      <c r="ET108" s="26">
        <v>1</v>
      </c>
      <c r="EU108" s="26">
        <v>0</v>
      </c>
      <c r="EV108" s="26">
        <v>0</v>
      </c>
      <c r="EW108" s="26">
        <v>1</v>
      </c>
      <c r="EX108" s="26">
        <v>-17660.434600000001</v>
      </c>
      <c r="EY108" s="26">
        <v>-773.23747200000003</v>
      </c>
      <c r="EZ108" s="26">
        <v>-0.183360036</v>
      </c>
      <c r="FA108" s="26">
        <v>-59.234594700000002</v>
      </c>
      <c r="FB108" s="26">
        <v>-2.5935040300000001</v>
      </c>
      <c r="FC108" s="26">
        <v>6.5789473700000003E-2</v>
      </c>
      <c r="FD108" s="26">
        <v>1.5026052599999999</v>
      </c>
      <c r="FE108" s="26">
        <v>22.839600000000001</v>
      </c>
      <c r="FF108" s="26">
        <v>0</v>
      </c>
      <c r="FG108" s="26">
        <v>0.62472096899999996</v>
      </c>
      <c r="FH108" s="26">
        <v>-2806655.59546</v>
      </c>
      <c r="FI108" s="26">
        <v>2.1718156423745252E-3</v>
      </c>
      <c r="FJ108" s="26">
        <v>0</v>
      </c>
      <c r="FK108" s="26">
        <v>0</v>
      </c>
      <c r="FL108" s="26">
        <v>0</v>
      </c>
      <c r="FM108" s="26">
        <v>0</v>
      </c>
      <c r="FN108" s="26">
        <v>0</v>
      </c>
      <c r="FO108" s="26">
        <v>0</v>
      </c>
      <c r="FP108" s="26">
        <v>0</v>
      </c>
      <c r="FQ108" s="26">
        <v>0</v>
      </c>
      <c r="FR108" s="26">
        <v>0</v>
      </c>
      <c r="FS108" s="26">
        <v>0</v>
      </c>
      <c r="FT108" s="26">
        <v>0</v>
      </c>
      <c r="FU108" s="26">
        <v>0</v>
      </c>
      <c r="FV108" s="26">
        <v>0</v>
      </c>
      <c r="FW108" s="26">
        <v>0</v>
      </c>
      <c r="FX108" s="26">
        <v>0</v>
      </c>
      <c r="FY108" s="26">
        <v>0</v>
      </c>
      <c r="FZ108" s="26">
        <v>0</v>
      </c>
      <c r="GA108" s="26">
        <v>0</v>
      </c>
      <c r="GB108" s="26">
        <v>0</v>
      </c>
      <c r="GC108" s="26">
        <v>0</v>
      </c>
      <c r="GD108" s="26">
        <v>0</v>
      </c>
      <c r="GE108" s="26">
        <v>0</v>
      </c>
      <c r="GF108" s="26">
        <v>0</v>
      </c>
      <c r="GG108" s="26">
        <v>0</v>
      </c>
      <c r="GH108" s="26">
        <v>0</v>
      </c>
      <c r="GI108" s="26">
        <v>0</v>
      </c>
      <c r="GJ108" s="26">
        <v>0</v>
      </c>
      <c r="GK108" s="26">
        <v>0</v>
      </c>
      <c r="GL108" s="26">
        <v>0</v>
      </c>
      <c r="GM108" s="26">
        <v>0</v>
      </c>
      <c r="GN108" s="26">
        <v>0</v>
      </c>
      <c r="GO108" s="26">
        <v>0</v>
      </c>
      <c r="GP108" s="26">
        <v>0</v>
      </c>
      <c r="GQ108" s="26">
        <v>0</v>
      </c>
      <c r="GR108" s="26">
        <v>0</v>
      </c>
      <c r="GS108" s="26">
        <v>0</v>
      </c>
      <c r="GT108" s="26">
        <v>0</v>
      </c>
      <c r="GU108" s="26">
        <v>0</v>
      </c>
      <c r="GV108" s="26">
        <v>0</v>
      </c>
      <c r="GW108" s="26">
        <v>0</v>
      </c>
      <c r="GX108" s="26">
        <v>0</v>
      </c>
      <c r="GY108" s="26">
        <v>0</v>
      </c>
      <c r="GZ108" s="26">
        <v>0</v>
      </c>
      <c r="HA108" s="26">
        <v>0</v>
      </c>
      <c r="HB108" s="26">
        <v>0</v>
      </c>
      <c r="HC108" s="26">
        <v>0</v>
      </c>
      <c r="HD108" s="26">
        <v>0</v>
      </c>
      <c r="HE108" s="26">
        <v>0</v>
      </c>
      <c r="HF108" s="26">
        <v>0</v>
      </c>
      <c r="HG108" s="26">
        <v>0</v>
      </c>
      <c r="HH108" s="26">
        <v>0</v>
      </c>
      <c r="HI108" s="26">
        <v>0</v>
      </c>
      <c r="HJ108" s="26">
        <v>0</v>
      </c>
      <c r="HK108" s="26">
        <v>0</v>
      </c>
      <c r="HL108" s="26">
        <v>0</v>
      </c>
      <c r="HM108" s="26">
        <v>0</v>
      </c>
      <c r="HN108" s="26">
        <v>0</v>
      </c>
      <c r="HO108" s="26">
        <v>0</v>
      </c>
      <c r="HP108" s="26">
        <v>0</v>
      </c>
      <c r="HQ108" s="26">
        <v>0</v>
      </c>
      <c r="HR108" s="26">
        <v>0</v>
      </c>
      <c r="HS108" s="26">
        <v>0</v>
      </c>
      <c r="HT108" s="26">
        <v>2.8840368008500724E-3</v>
      </c>
    </row>
    <row r="109" spans="2:228" x14ac:dyDescent="0.2">
      <c r="B109" s="27" t="s">
        <v>3168</v>
      </c>
      <c r="C109" s="26">
        <v>116.09195099999999</v>
      </c>
      <c r="D109" s="26">
        <v>-0.24971856200000001</v>
      </c>
      <c r="E109" s="26">
        <v>0</v>
      </c>
      <c r="F109" s="26">
        <v>0</v>
      </c>
      <c r="G109" s="26">
        <v>0</v>
      </c>
      <c r="H109" s="26">
        <v>0</v>
      </c>
      <c r="I109" s="26">
        <v>0</v>
      </c>
      <c r="J109" s="26">
        <v>0</v>
      </c>
      <c r="K109" s="26">
        <v>0</v>
      </c>
      <c r="L109" s="26">
        <v>0</v>
      </c>
      <c r="M109" s="26">
        <v>0</v>
      </c>
      <c r="N109" s="26">
        <v>0</v>
      </c>
      <c r="O109" s="26">
        <v>0</v>
      </c>
      <c r="P109" s="26">
        <v>0</v>
      </c>
      <c r="Q109" s="26">
        <v>0</v>
      </c>
      <c r="R109" s="26">
        <v>0</v>
      </c>
      <c r="S109" s="26">
        <v>0</v>
      </c>
      <c r="T109" s="26">
        <v>0</v>
      </c>
      <c r="U109" s="26">
        <v>0</v>
      </c>
      <c r="V109" s="26">
        <v>0</v>
      </c>
      <c r="W109" s="26">
        <v>0</v>
      </c>
      <c r="X109" s="26">
        <v>0</v>
      </c>
      <c r="Y109" s="26">
        <v>0</v>
      </c>
      <c r="Z109" s="26">
        <v>0</v>
      </c>
      <c r="AA109" s="26">
        <v>0</v>
      </c>
      <c r="AB109" s="26">
        <v>0</v>
      </c>
      <c r="AC109" s="26">
        <v>0</v>
      </c>
      <c r="AD109" s="26">
        <v>0</v>
      </c>
      <c r="AE109" s="26">
        <v>0</v>
      </c>
      <c r="AF109" s="26">
        <v>116.09195099999999</v>
      </c>
      <c r="AG109" s="26">
        <v>0</v>
      </c>
      <c r="AH109" s="26">
        <v>0</v>
      </c>
      <c r="AI109" s="26">
        <v>0</v>
      </c>
      <c r="AJ109" s="26">
        <v>0</v>
      </c>
      <c r="AK109" s="26">
        <v>0</v>
      </c>
      <c r="AL109" s="26">
        <v>0</v>
      </c>
      <c r="AM109" s="26">
        <v>0</v>
      </c>
      <c r="AN109" s="26">
        <v>0</v>
      </c>
      <c r="AO109" s="26">
        <v>0</v>
      </c>
      <c r="AP109" s="26">
        <v>0</v>
      </c>
      <c r="AQ109" s="26">
        <v>0</v>
      </c>
      <c r="AR109" s="26">
        <v>0</v>
      </c>
      <c r="AS109" s="26">
        <v>0</v>
      </c>
      <c r="AT109" s="26">
        <v>0</v>
      </c>
      <c r="AU109" s="26">
        <v>0</v>
      </c>
      <c r="AV109" s="26">
        <v>0</v>
      </c>
      <c r="AW109" s="26">
        <v>0</v>
      </c>
      <c r="AX109" s="26">
        <v>0</v>
      </c>
      <c r="AY109" s="26">
        <v>0</v>
      </c>
      <c r="AZ109" s="26">
        <v>0</v>
      </c>
      <c r="BA109" s="26">
        <v>0</v>
      </c>
      <c r="BB109" s="26">
        <v>0</v>
      </c>
      <c r="BC109" s="26">
        <v>0</v>
      </c>
      <c r="BD109" s="26">
        <v>0</v>
      </c>
      <c r="BE109" s="26">
        <v>0</v>
      </c>
      <c r="BF109" s="26">
        <v>0</v>
      </c>
      <c r="BG109" s="26">
        <v>0</v>
      </c>
      <c r="BH109" s="26">
        <v>0</v>
      </c>
      <c r="BI109" s="26">
        <v>0</v>
      </c>
      <c r="BJ109" s="26">
        <v>0</v>
      </c>
      <c r="BK109" s="26">
        <v>0</v>
      </c>
      <c r="BL109" s="26">
        <v>0</v>
      </c>
      <c r="BM109" s="26">
        <v>0</v>
      </c>
      <c r="BN109" s="26">
        <v>0</v>
      </c>
      <c r="BO109" s="26">
        <v>0.87910952399999998</v>
      </c>
      <c r="BP109" s="26">
        <v>116.09195099999999</v>
      </c>
      <c r="BQ109" s="26">
        <v>1.91650627</v>
      </c>
      <c r="BR109" s="26">
        <v>20</v>
      </c>
      <c r="BS109" s="26">
        <v>1</v>
      </c>
      <c r="BT109" s="26">
        <v>0</v>
      </c>
      <c r="BU109" s="26">
        <v>1</v>
      </c>
      <c r="BV109" s="26">
        <v>0</v>
      </c>
      <c r="BW109" s="26">
        <v>-284058.53100000002</v>
      </c>
      <c r="BX109" s="26">
        <v>-2151.0411199999999</v>
      </c>
      <c r="BY109" s="26">
        <v>-0.24971856200000001</v>
      </c>
      <c r="BZ109" s="26">
        <v>-592.68957</v>
      </c>
      <c r="CA109" s="26">
        <v>-4.4881582399999997</v>
      </c>
      <c r="CB109" s="26">
        <v>7.64507031E-3</v>
      </c>
      <c r="CC109" s="26">
        <v>1.0095797</v>
      </c>
      <c r="CD109" s="26">
        <v>132.05629999999999</v>
      </c>
      <c r="CE109" s="26">
        <v>0</v>
      </c>
      <c r="CF109" s="26">
        <v>0</v>
      </c>
      <c r="CG109" s="26">
        <v>0</v>
      </c>
      <c r="CH109" s="26">
        <v>0</v>
      </c>
      <c r="CI109" s="26">
        <v>0</v>
      </c>
      <c r="CJ109" s="26">
        <v>0</v>
      </c>
      <c r="CK109" s="26">
        <v>0</v>
      </c>
      <c r="CL109" s="26">
        <v>0</v>
      </c>
      <c r="CM109" s="26">
        <v>0</v>
      </c>
      <c r="CN109" s="26">
        <v>0</v>
      </c>
      <c r="CO109" s="26">
        <v>0</v>
      </c>
      <c r="CP109" s="26">
        <v>0</v>
      </c>
      <c r="CQ109" s="26">
        <v>0</v>
      </c>
      <c r="CR109" s="26">
        <v>0</v>
      </c>
      <c r="CS109" s="26">
        <v>0</v>
      </c>
      <c r="CT109" s="26">
        <v>0</v>
      </c>
      <c r="CU109" s="26">
        <v>0</v>
      </c>
      <c r="CV109" s="26">
        <v>0</v>
      </c>
      <c r="CW109" s="26">
        <v>0</v>
      </c>
      <c r="CX109" s="26">
        <v>0</v>
      </c>
      <c r="CY109" s="26">
        <v>0</v>
      </c>
      <c r="CZ109" s="26">
        <v>0</v>
      </c>
      <c r="DA109" s="26">
        <v>0</v>
      </c>
      <c r="DB109" s="26">
        <v>0</v>
      </c>
      <c r="DC109" s="26">
        <v>0</v>
      </c>
      <c r="DD109" s="26">
        <v>0</v>
      </c>
      <c r="DE109" s="26">
        <v>0</v>
      </c>
      <c r="DF109" s="26">
        <v>0</v>
      </c>
      <c r="DG109" s="26">
        <v>0</v>
      </c>
      <c r="DH109" s="26">
        <v>0</v>
      </c>
      <c r="DI109" s="26">
        <v>0</v>
      </c>
      <c r="DJ109" s="26">
        <v>0</v>
      </c>
      <c r="DK109" s="26">
        <v>0</v>
      </c>
      <c r="DL109" s="26">
        <v>0</v>
      </c>
      <c r="DM109" s="26">
        <v>0</v>
      </c>
      <c r="DN109" s="26">
        <v>0</v>
      </c>
      <c r="DO109" s="26">
        <v>0</v>
      </c>
      <c r="DP109" s="26">
        <v>0</v>
      </c>
      <c r="DQ109" s="26">
        <v>0</v>
      </c>
      <c r="DR109" s="26">
        <v>0</v>
      </c>
      <c r="DS109" s="26">
        <v>0</v>
      </c>
      <c r="DT109" s="26">
        <v>0</v>
      </c>
      <c r="DU109" s="26">
        <v>0</v>
      </c>
      <c r="DV109" s="26">
        <v>0</v>
      </c>
      <c r="DW109" s="26">
        <v>0</v>
      </c>
      <c r="DX109" s="26">
        <v>0</v>
      </c>
      <c r="DY109" s="26">
        <v>0</v>
      </c>
      <c r="DZ109" s="26">
        <v>0</v>
      </c>
      <c r="EA109" s="26">
        <v>0</v>
      </c>
      <c r="EB109" s="26">
        <v>0</v>
      </c>
      <c r="EC109" s="26">
        <v>0</v>
      </c>
      <c r="ED109" s="26">
        <v>0</v>
      </c>
      <c r="EE109" s="26">
        <v>0</v>
      </c>
      <c r="EF109" s="26">
        <v>0</v>
      </c>
      <c r="EG109" s="26">
        <v>0</v>
      </c>
      <c r="EH109" s="26">
        <v>0</v>
      </c>
      <c r="EI109" s="26">
        <v>0</v>
      </c>
      <c r="EJ109" s="26">
        <v>0</v>
      </c>
      <c r="EK109" s="26">
        <v>0</v>
      </c>
      <c r="EL109" s="26">
        <v>0</v>
      </c>
      <c r="EM109" s="26">
        <v>0</v>
      </c>
      <c r="EN109" s="26">
        <v>0</v>
      </c>
      <c r="EO109" s="26">
        <v>0</v>
      </c>
      <c r="EP109" s="26">
        <v>0</v>
      </c>
      <c r="EQ109" s="26">
        <v>0</v>
      </c>
      <c r="ER109" s="26">
        <v>0</v>
      </c>
      <c r="ES109" s="26">
        <v>0</v>
      </c>
      <c r="ET109" s="26">
        <v>1</v>
      </c>
      <c r="EU109" s="26">
        <v>0</v>
      </c>
      <c r="EV109" s="26">
        <v>0</v>
      </c>
      <c r="EW109" s="26">
        <v>0</v>
      </c>
      <c r="EX109" s="26">
        <v>0</v>
      </c>
      <c r="EY109" s="26">
        <v>0</v>
      </c>
      <c r="EZ109" s="26">
        <v>0</v>
      </c>
      <c r="FA109" s="26">
        <v>0</v>
      </c>
      <c r="FB109" s="26">
        <v>0</v>
      </c>
      <c r="FC109" s="26">
        <v>0</v>
      </c>
      <c r="FD109" s="26">
        <v>0</v>
      </c>
      <c r="FE109" s="26">
        <v>0</v>
      </c>
      <c r="FF109" s="26">
        <v>0</v>
      </c>
      <c r="FG109" s="26">
        <v>0</v>
      </c>
      <c r="FH109" s="26">
        <v>-290358.60049099999</v>
      </c>
      <c r="FI109" s="26">
        <v>0</v>
      </c>
      <c r="FJ109" s="26">
        <v>0</v>
      </c>
      <c r="FK109" s="26">
        <v>0</v>
      </c>
      <c r="FL109" s="26">
        <v>0</v>
      </c>
      <c r="FM109" s="26">
        <v>0</v>
      </c>
      <c r="FN109" s="26">
        <v>0</v>
      </c>
      <c r="FO109" s="26">
        <v>0</v>
      </c>
      <c r="FP109" s="26">
        <v>0</v>
      </c>
      <c r="FQ109" s="26">
        <v>0</v>
      </c>
      <c r="FR109" s="26">
        <v>0</v>
      </c>
      <c r="FS109" s="26">
        <v>0</v>
      </c>
      <c r="FT109" s="26">
        <v>0</v>
      </c>
      <c r="FU109" s="26">
        <v>0</v>
      </c>
      <c r="FV109" s="26">
        <v>0</v>
      </c>
      <c r="FW109" s="26">
        <v>0</v>
      </c>
      <c r="FX109" s="26">
        <v>0</v>
      </c>
      <c r="FY109" s="26">
        <v>0</v>
      </c>
      <c r="FZ109" s="26">
        <v>0</v>
      </c>
      <c r="GA109" s="26">
        <v>0</v>
      </c>
      <c r="GB109" s="26">
        <v>0</v>
      </c>
      <c r="GC109" s="26">
        <v>0</v>
      </c>
      <c r="GD109" s="26">
        <v>0</v>
      </c>
      <c r="GE109" s="26">
        <v>0</v>
      </c>
      <c r="GF109" s="26">
        <v>0</v>
      </c>
      <c r="GG109" s="26">
        <v>0</v>
      </c>
      <c r="GH109" s="26">
        <v>0</v>
      </c>
      <c r="GI109" s="26">
        <v>0</v>
      </c>
      <c r="GJ109" s="26">
        <v>0</v>
      </c>
      <c r="GK109" s="26">
        <v>0</v>
      </c>
      <c r="GL109" s="26">
        <v>0</v>
      </c>
      <c r="GM109" s="26">
        <v>0</v>
      </c>
      <c r="GN109" s="26">
        <v>0</v>
      </c>
      <c r="GO109" s="26">
        <v>0</v>
      </c>
      <c r="GP109" s="26">
        <v>0</v>
      </c>
      <c r="GQ109" s="26">
        <v>0</v>
      </c>
      <c r="GR109" s="26">
        <v>0</v>
      </c>
      <c r="GS109" s="26">
        <v>0</v>
      </c>
      <c r="GT109" s="26">
        <v>0</v>
      </c>
      <c r="GU109" s="26">
        <v>0</v>
      </c>
      <c r="GV109" s="26">
        <v>0</v>
      </c>
      <c r="GW109" s="26">
        <v>0</v>
      </c>
      <c r="GX109" s="26">
        <v>0</v>
      </c>
      <c r="GY109" s="26">
        <v>0</v>
      </c>
      <c r="GZ109" s="26">
        <v>0</v>
      </c>
      <c r="HA109" s="26">
        <v>0</v>
      </c>
      <c r="HB109" s="26">
        <v>0</v>
      </c>
      <c r="HC109" s="26">
        <v>0</v>
      </c>
      <c r="HD109" s="26">
        <v>0</v>
      </c>
      <c r="HE109" s="26">
        <v>0</v>
      </c>
      <c r="HF109" s="26">
        <v>0</v>
      </c>
      <c r="HG109" s="26">
        <v>0</v>
      </c>
      <c r="HH109" s="26">
        <v>0</v>
      </c>
      <c r="HI109" s="26">
        <v>0</v>
      </c>
      <c r="HJ109" s="26">
        <v>0</v>
      </c>
      <c r="HK109" s="26">
        <v>0</v>
      </c>
      <c r="HL109" s="26">
        <v>0</v>
      </c>
      <c r="HM109" s="26">
        <v>0</v>
      </c>
      <c r="HN109" s="26">
        <v>0</v>
      </c>
      <c r="HO109" s="26">
        <v>0</v>
      </c>
      <c r="HP109" s="26">
        <v>0</v>
      </c>
      <c r="HQ109" s="26">
        <v>0</v>
      </c>
      <c r="HR109" s="26">
        <v>0</v>
      </c>
      <c r="HS109" s="26">
        <v>0</v>
      </c>
      <c r="HT109" s="26">
        <v>0</v>
      </c>
    </row>
    <row r="110" spans="2:228" x14ac:dyDescent="0.2">
      <c r="B110" s="27" t="s">
        <v>1361</v>
      </c>
      <c r="C110" s="26">
        <v>423862.61099999998</v>
      </c>
      <c r="D110" s="26">
        <v>-1434.1942899999999</v>
      </c>
      <c r="E110" s="26">
        <v>352101.45400000003</v>
      </c>
      <c r="F110" s="26">
        <v>21516.992600000001</v>
      </c>
      <c r="G110" s="26">
        <v>521.24161500000002</v>
      </c>
      <c r="H110" s="26">
        <v>1144.21875</v>
      </c>
      <c r="I110" s="26">
        <v>480.09178300000008</v>
      </c>
      <c r="J110" s="26">
        <v>1061.9190599999999</v>
      </c>
      <c r="K110" s="26">
        <v>220.06017499999999</v>
      </c>
      <c r="L110" s="26">
        <v>331.08546999999999</v>
      </c>
      <c r="M110" s="26">
        <v>0</v>
      </c>
      <c r="N110" s="26">
        <v>1133.1493700000001</v>
      </c>
      <c r="O110" s="26">
        <v>28.596618400000004</v>
      </c>
      <c r="P110" s="26">
        <v>11.998581100000001</v>
      </c>
      <c r="Q110" s="26">
        <v>390.551108</v>
      </c>
      <c r="R110" s="26">
        <v>47.594041799999999</v>
      </c>
      <c r="S110" s="26">
        <v>12208.3331</v>
      </c>
      <c r="T110" s="26">
        <v>656.53964199999996</v>
      </c>
      <c r="U110" s="26">
        <v>369.27132699999999</v>
      </c>
      <c r="V110" s="26">
        <v>333.52382999999998</v>
      </c>
      <c r="W110" s="26">
        <v>0</v>
      </c>
      <c r="X110" s="26">
        <v>1695.1053300000001</v>
      </c>
      <c r="Y110" s="26">
        <v>754.94826699999999</v>
      </c>
      <c r="Z110" s="26">
        <v>174.36925299999999</v>
      </c>
      <c r="AA110" s="26">
        <v>457.71920699999998</v>
      </c>
      <c r="AB110" s="26">
        <v>0.19692146299999999</v>
      </c>
      <c r="AC110" s="26">
        <v>0</v>
      </c>
      <c r="AD110" s="26">
        <v>2481.5580500000001</v>
      </c>
      <c r="AE110" s="26">
        <v>1860.9805500000002</v>
      </c>
      <c r="AF110" s="26">
        <v>128.83242999999999</v>
      </c>
      <c r="AG110" s="26">
        <v>0</v>
      </c>
      <c r="AH110" s="26">
        <v>0</v>
      </c>
      <c r="AI110" s="26">
        <v>0</v>
      </c>
      <c r="AJ110" s="26">
        <v>0</v>
      </c>
      <c r="AK110" s="26">
        <v>0</v>
      </c>
      <c r="AL110" s="26">
        <v>0</v>
      </c>
      <c r="AM110" s="26">
        <v>13.3575797</v>
      </c>
      <c r="AN110" s="26">
        <v>0.185613731</v>
      </c>
      <c r="AO110" s="26">
        <v>9.8983531399999996E-5</v>
      </c>
      <c r="AP110" s="26">
        <v>0</v>
      </c>
      <c r="AQ110" s="26">
        <v>0</v>
      </c>
      <c r="AR110" s="26">
        <v>0</v>
      </c>
      <c r="AS110" s="26">
        <v>520.74830299999996</v>
      </c>
      <c r="AT110" s="26">
        <v>0</v>
      </c>
      <c r="AU110" s="26">
        <v>0</v>
      </c>
      <c r="AV110" s="26">
        <v>1.94816612E-3</v>
      </c>
      <c r="AW110" s="26">
        <v>0</v>
      </c>
      <c r="AX110" s="26">
        <v>0</v>
      </c>
      <c r="AY110" s="26">
        <v>0</v>
      </c>
      <c r="AZ110" s="26">
        <v>0</v>
      </c>
      <c r="BA110" s="26">
        <v>0</v>
      </c>
      <c r="BB110" s="26">
        <v>0</v>
      </c>
      <c r="BC110" s="26">
        <v>0</v>
      </c>
      <c r="BD110" s="26">
        <v>0</v>
      </c>
      <c r="BE110" s="26">
        <v>0</v>
      </c>
      <c r="BF110" s="26">
        <v>0</v>
      </c>
      <c r="BG110" s="26">
        <v>0</v>
      </c>
      <c r="BH110" s="26">
        <v>0</v>
      </c>
      <c r="BI110" s="26">
        <v>0</v>
      </c>
      <c r="BJ110" s="26">
        <v>0</v>
      </c>
      <c r="BK110" s="26">
        <v>0</v>
      </c>
      <c r="BL110" s="26">
        <v>0</v>
      </c>
      <c r="BM110" s="26">
        <v>0</v>
      </c>
      <c r="BN110" s="26">
        <v>0</v>
      </c>
      <c r="BO110" s="26">
        <v>20207.4548</v>
      </c>
      <c r="BP110" s="26">
        <v>400644.62400000001</v>
      </c>
      <c r="BQ110" s="26">
        <v>6703.1920899999996</v>
      </c>
      <c r="BR110" s="26">
        <v>32</v>
      </c>
      <c r="BS110" s="26">
        <v>1</v>
      </c>
      <c r="BT110" s="26">
        <v>0</v>
      </c>
      <c r="BU110" s="26">
        <v>1</v>
      </c>
      <c r="BV110" s="26">
        <v>0</v>
      </c>
      <c r="BW110" s="26">
        <v>-69645.179600000003</v>
      </c>
      <c r="BX110" s="26">
        <v>-3512.7185899999999</v>
      </c>
      <c r="BY110" s="26">
        <v>-1407.3518300000001</v>
      </c>
      <c r="BZ110" s="26">
        <v>-40.4205957</v>
      </c>
      <c r="CA110" s="26">
        <v>-2.0387078999999999</v>
      </c>
      <c r="CB110" s="26">
        <v>5.0243362499999999E-2</v>
      </c>
      <c r="CC110" s="26">
        <v>0.99615380899999995</v>
      </c>
      <c r="CD110" s="26">
        <v>19.826575299999998</v>
      </c>
      <c r="CE110" s="26">
        <v>0</v>
      </c>
      <c r="CF110" s="26">
        <v>0</v>
      </c>
      <c r="CG110" s="26">
        <v>0</v>
      </c>
      <c r="CH110" s="26">
        <v>0</v>
      </c>
      <c r="CI110" s="26">
        <v>0</v>
      </c>
      <c r="CJ110" s="26">
        <v>0</v>
      </c>
      <c r="CK110" s="26">
        <v>0</v>
      </c>
      <c r="CL110" s="26">
        <v>0</v>
      </c>
      <c r="CM110" s="26">
        <v>0</v>
      </c>
      <c r="CN110" s="26">
        <v>0</v>
      </c>
      <c r="CO110" s="26">
        <v>0</v>
      </c>
      <c r="CP110" s="26">
        <v>0</v>
      </c>
      <c r="CQ110" s="26">
        <v>0</v>
      </c>
      <c r="CR110" s="26">
        <v>0</v>
      </c>
      <c r="CS110" s="26">
        <v>0</v>
      </c>
      <c r="CT110" s="26">
        <v>0</v>
      </c>
      <c r="CU110" s="26">
        <v>0</v>
      </c>
      <c r="CV110" s="26">
        <v>0</v>
      </c>
      <c r="CW110" s="26">
        <v>0</v>
      </c>
      <c r="CX110" s="26">
        <v>0</v>
      </c>
      <c r="CY110" s="26">
        <v>0</v>
      </c>
      <c r="CZ110" s="26">
        <v>0</v>
      </c>
      <c r="DA110" s="26">
        <v>0</v>
      </c>
      <c r="DB110" s="26">
        <v>0</v>
      </c>
      <c r="DC110" s="26">
        <v>0</v>
      </c>
      <c r="DD110" s="26">
        <v>0</v>
      </c>
      <c r="DE110" s="26">
        <v>0</v>
      </c>
      <c r="DF110" s="26">
        <v>0</v>
      </c>
      <c r="DG110" s="26">
        <v>0</v>
      </c>
      <c r="DH110" s="26">
        <v>0</v>
      </c>
      <c r="DI110" s="26">
        <v>0</v>
      </c>
      <c r="DJ110" s="26">
        <v>0</v>
      </c>
      <c r="DK110" s="26">
        <v>0</v>
      </c>
      <c r="DL110" s="26">
        <v>0</v>
      </c>
      <c r="DM110" s="26">
        <v>0</v>
      </c>
      <c r="DN110" s="26">
        <v>0</v>
      </c>
      <c r="DO110" s="26">
        <v>0</v>
      </c>
      <c r="DP110" s="26">
        <v>0</v>
      </c>
      <c r="DQ110" s="26">
        <v>0</v>
      </c>
      <c r="DR110" s="26">
        <v>0</v>
      </c>
      <c r="DS110" s="26">
        <v>0</v>
      </c>
      <c r="DT110" s="26">
        <v>0</v>
      </c>
      <c r="DU110" s="26">
        <v>0</v>
      </c>
      <c r="DV110" s="26">
        <v>0</v>
      </c>
      <c r="DW110" s="26">
        <v>0</v>
      </c>
      <c r="DX110" s="26">
        <v>1254.64166</v>
      </c>
      <c r="DY110" s="26">
        <v>30.979670600000002</v>
      </c>
      <c r="DZ110" s="26">
        <v>12.9984632</v>
      </c>
      <c r="EA110" s="26">
        <v>423.09997600000003</v>
      </c>
      <c r="EB110" s="26">
        <v>51.560570599999998</v>
      </c>
      <c r="EC110" s="26">
        <v>12475.191699999999</v>
      </c>
      <c r="ED110" s="26">
        <v>0</v>
      </c>
      <c r="EE110" s="26">
        <v>2866.1133199999999</v>
      </c>
      <c r="EF110" s="26">
        <v>4107.8476600000004</v>
      </c>
      <c r="EG110" s="26">
        <v>520.80320400000005</v>
      </c>
      <c r="EH110" s="26">
        <v>57.867106200000009</v>
      </c>
      <c r="EI110" s="26">
        <v>835.98422900000003</v>
      </c>
      <c r="EJ110" s="26">
        <v>107.802228</v>
      </c>
      <c r="EK110" s="26">
        <v>0</v>
      </c>
      <c r="EL110" s="26">
        <v>473.096316</v>
      </c>
      <c r="EM110" s="26">
        <v>0</v>
      </c>
      <c r="EN110" s="26">
        <v>0</v>
      </c>
      <c r="EO110" s="26">
        <v>0</v>
      </c>
      <c r="EP110" s="26">
        <v>358.05578400000002</v>
      </c>
      <c r="EQ110" s="26">
        <v>23217.986099999998</v>
      </c>
      <c r="ER110" s="26">
        <v>279.315539</v>
      </c>
      <c r="ES110" s="26">
        <v>32</v>
      </c>
      <c r="ET110" s="26">
        <v>1</v>
      </c>
      <c r="EU110" s="26">
        <v>0</v>
      </c>
      <c r="EV110" s="26">
        <v>0</v>
      </c>
      <c r="EW110" s="26">
        <v>1</v>
      </c>
      <c r="EX110" s="26">
        <v>-74967.247600000002</v>
      </c>
      <c r="EY110" s="26">
        <v>-1156.1061500000001</v>
      </c>
      <c r="EZ110" s="26">
        <v>-26.842456800000001</v>
      </c>
      <c r="FA110" s="26">
        <v>-149.17982699999999</v>
      </c>
      <c r="FB110" s="26">
        <v>-2.3005742100000002</v>
      </c>
      <c r="FC110" s="26">
        <v>2.1365070999999999E-2</v>
      </c>
      <c r="FD110" s="26">
        <v>1.38540961</v>
      </c>
      <c r="FE110" s="26">
        <v>64.844605700000002</v>
      </c>
      <c r="FF110" s="26">
        <v>0</v>
      </c>
      <c r="FG110" s="26">
        <v>0.24095371900000001</v>
      </c>
      <c r="FH110" s="26">
        <v>-1670879273.9100001</v>
      </c>
      <c r="FI110" s="26">
        <v>0.48870652057631886</v>
      </c>
      <c r="FJ110" s="26">
        <v>0</v>
      </c>
      <c r="FK110" s="26">
        <v>0</v>
      </c>
      <c r="FL110" s="26">
        <v>0</v>
      </c>
      <c r="FM110" s="26">
        <v>0</v>
      </c>
      <c r="FN110" s="26">
        <v>0</v>
      </c>
      <c r="FO110" s="26">
        <v>0</v>
      </c>
      <c r="FP110" s="26">
        <v>0</v>
      </c>
      <c r="FQ110" s="26">
        <v>0</v>
      </c>
      <c r="FR110" s="26">
        <v>0</v>
      </c>
      <c r="FS110" s="26">
        <v>0</v>
      </c>
      <c r="FT110" s="26">
        <v>0</v>
      </c>
      <c r="FU110" s="26">
        <v>0</v>
      </c>
      <c r="FV110" s="26">
        <v>0</v>
      </c>
      <c r="FW110" s="26">
        <v>0</v>
      </c>
      <c r="FX110" s="26">
        <v>0</v>
      </c>
      <c r="FY110" s="26">
        <v>0</v>
      </c>
      <c r="FZ110" s="26">
        <v>0</v>
      </c>
      <c r="GA110" s="26">
        <v>0</v>
      </c>
      <c r="GB110" s="26">
        <v>0</v>
      </c>
      <c r="GC110" s="26">
        <v>0</v>
      </c>
      <c r="GD110" s="26">
        <v>0</v>
      </c>
      <c r="GE110" s="26">
        <v>0</v>
      </c>
      <c r="GF110" s="26">
        <v>0</v>
      </c>
      <c r="GG110" s="26">
        <v>0</v>
      </c>
      <c r="GH110" s="26">
        <v>0</v>
      </c>
      <c r="GI110" s="26">
        <v>0</v>
      </c>
      <c r="GJ110" s="26">
        <v>0</v>
      </c>
      <c r="GK110" s="26">
        <v>0</v>
      </c>
      <c r="GL110" s="26">
        <v>0</v>
      </c>
      <c r="GM110" s="26">
        <v>0</v>
      </c>
      <c r="GN110" s="26">
        <v>0</v>
      </c>
      <c r="GO110" s="26">
        <v>0</v>
      </c>
      <c r="GP110" s="26">
        <v>0</v>
      </c>
      <c r="GQ110" s="26">
        <v>0</v>
      </c>
      <c r="GR110" s="26">
        <v>0</v>
      </c>
      <c r="GS110" s="26">
        <v>0</v>
      </c>
      <c r="GT110" s="26">
        <v>0</v>
      </c>
      <c r="GU110" s="26">
        <v>0</v>
      </c>
      <c r="GV110" s="26">
        <v>0</v>
      </c>
      <c r="GW110" s="26">
        <v>0</v>
      </c>
      <c r="GX110" s="26">
        <v>0</v>
      </c>
      <c r="GY110" s="26">
        <v>0</v>
      </c>
      <c r="GZ110" s="26">
        <v>0</v>
      </c>
      <c r="HA110" s="26">
        <v>0</v>
      </c>
      <c r="HB110" s="26">
        <v>0</v>
      </c>
      <c r="HC110" s="26">
        <v>0</v>
      </c>
      <c r="HD110" s="26">
        <v>0</v>
      </c>
      <c r="HE110" s="26">
        <v>0</v>
      </c>
      <c r="HF110" s="26">
        <v>0</v>
      </c>
      <c r="HG110" s="26">
        <v>0</v>
      </c>
      <c r="HH110" s="26">
        <v>0</v>
      </c>
      <c r="HI110" s="26">
        <v>0</v>
      </c>
      <c r="HJ110" s="26">
        <v>0</v>
      </c>
      <c r="HK110" s="26">
        <v>0</v>
      </c>
      <c r="HL110" s="26">
        <v>0</v>
      </c>
      <c r="HM110" s="26">
        <v>0</v>
      </c>
      <c r="HN110" s="26">
        <v>0</v>
      </c>
      <c r="HO110" s="26">
        <v>0</v>
      </c>
      <c r="HP110" s="26">
        <v>0</v>
      </c>
      <c r="HQ110" s="26">
        <v>0</v>
      </c>
      <c r="HR110" s="26">
        <v>0</v>
      </c>
      <c r="HS110" s="26">
        <v>0</v>
      </c>
      <c r="HT110" s="26">
        <v>0.25715947622394247</v>
      </c>
    </row>
    <row r="111" spans="2:228" x14ac:dyDescent="0.2">
      <c r="B111" s="27" t="s">
        <v>2396</v>
      </c>
      <c r="C111" s="26">
        <v>451055.005</v>
      </c>
      <c r="D111" s="26">
        <v>-1535.88247</v>
      </c>
      <c r="E111" s="26">
        <v>378839.27</v>
      </c>
      <c r="F111" s="26">
        <v>21940.651900000001</v>
      </c>
      <c r="G111" s="26">
        <v>521.24161500000002</v>
      </c>
      <c r="H111" s="26">
        <v>1144.21875</v>
      </c>
      <c r="I111" s="26">
        <v>480.09178300000008</v>
      </c>
      <c r="J111" s="26">
        <v>1061.9190599999999</v>
      </c>
      <c r="K111" s="26">
        <v>220.06017499999999</v>
      </c>
      <c r="L111" s="26">
        <v>331.08546999999999</v>
      </c>
      <c r="M111" s="26">
        <v>0</v>
      </c>
      <c r="N111" s="26">
        <v>1133.1493700000001</v>
      </c>
      <c r="O111" s="26">
        <v>28.596618400000004</v>
      </c>
      <c r="P111" s="26">
        <v>11.998581100000001</v>
      </c>
      <c r="Q111" s="26">
        <v>390.551108</v>
      </c>
      <c r="R111" s="26">
        <v>47.594041799999999</v>
      </c>
      <c r="S111" s="26">
        <v>12208.3331</v>
      </c>
      <c r="T111" s="26">
        <v>656.53966200000002</v>
      </c>
      <c r="U111" s="26">
        <v>369.27255600000001</v>
      </c>
      <c r="V111" s="26">
        <v>336.23084699999998</v>
      </c>
      <c r="W111" s="26">
        <v>0</v>
      </c>
      <c r="X111" s="26">
        <v>1695.10571</v>
      </c>
      <c r="Y111" s="26">
        <v>754.94826699999999</v>
      </c>
      <c r="Z111" s="26">
        <v>174.36925400000001</v>
      </c>
      <c r="AA111" s="26">
        <v>457.71920699999998</v>
      </c>
      <c r="AB111" s="26">
        <v>0.20290461600000001</v>
      </c>
      <c r="AC111" s="26">
        <v>0</v>
      </c>
      <c r="AD111" s="26">
        <v>2481.5580500000001</v>
      </c>
      <c r="AE111" s="26">
        <v>1860.9805500000002</v>
      </c>
      <c r="AF111" s="26">
        <v>128.83242999999999</v>
      </c>
      <c r="AG111" s="26">
        <v>0</v>
      </c>
      <c r="AH111" s="26">
        <v>0</v>
      </c>
      <c r="AI111" s="26">
        <v>0</v>
      </c>
      <c r="AJ111" s="26">
        <v>0</v>
      </c>
      <c r="AK111" s="26">
        <v>0</v>
      </c>
      <c r="AL111" s="26">
        <v>0</v>
      </c>
      <c r="AM111" s="26">
        <v>13.3575797</v>
      </c>
      <c r="AN111" s="26">
        <v>0.195389127</v>
      </c>
      <c r="AO111" s="26">
        <v>1.0418795699999999E-4</v>
      </c>
      <c r="AP111" s="26">
        <v>0</v>
      </c>
      <c r="AQ111" s="26">
        <v>0</v>
      </c>
      <c r="AR111" s="26">
        <v>0</v>
      </c>
      <c r="AS111" s="26">
        <v>548.94283299999995</v>
      </c>
      <c r="AT111" s="26">
        <v>0</v>
      </c>
      <c r="AU111" s="26">
        <v>0</v>
      </c>
      <c r="AV111" s="26">
        <v>2.07910249E-3</v>
      </c>
      <c r="AW111" s="26">
        <v>0</v>
      </c>
      <c r="AX111" s="26">
        <v>0</v>
      </c>
      <c r="AY111" s="26">
        <v>0</v>
      </c>
      <c r="AZ111" s="26">
        <v>0</v>
      </c>
      <c r="BA111" s="26">
        <v>0</v>
      </c>
      <c r="BB111" s="26">
        <v>0</v>
      </c>
      <c r="BC111" s="26">
        <v>0</v>
      </c>
      <c r="BD111" s="26">
        <v>0</v>
      </c>
      <c r="BE111" s="26">
        <v>0</v>
      </c>
      <c r="BF111" s="26">
        <v>0</v>
      </c>
      <c r="BG111" s="26">
        <v>0</v>
      </c>
      <c r="BH111" s="26">
        <v>0</v>
      </c>
      <c r="BI111" s="26">
        <v>0</v>
      </c>
      <c r="BJ111" s="26">
        <v>0</v>
      </c>
      <c r="BK111" s="26">
        <v>0</v>
      </c>
      <c r="BL111" s="26">
        <v>0</v>
      </c>
      <c r="BM111" s="26">
        <v>0</v>
      </c>
      <c r="BN111" s="26">
        <v>0</v>
      </c>
      <c r="BO111" s="26">
        <v>21701.4948</v>
      </c>
      <c r="BP111" s="26">
        <v>427837.01899999997</v>
      </c>
      <c r="BQ111" s="26">
        <v>7165.5594899999996</v>
      </c>
      <c r="BR111" s="26">
        <v>32.172704699999997</v>
      </c>
      <c r="BS111" s="26">
        <v>1</v>
      </c>
      <c r="BT111" s="26">
        <v>0</v>
      </c>
      <c r="BU111" s="26">
        <v>1</v>
      </c>
      <c r="BV111" s="26">
        <v>0</v>
      </c>
      <c r="BW111" s="26">
        <v>-69536.276100000003</v>
      </c>
      <c r="BX111" s="26">
        <v>-3527.1401700000001</v>
      </c>
      <c r="BY111" s="26">
        <v>-1509.04115</v>
      </c>
      <c r="BZ111" s="26">
        <v>-40.2864413</v>
      </c>
      <c r="CA111" s="26">
        <v>-2.04347908</v>
      </c>
      <c r="CB111" s="26">
        <v>5.0476390199999999E-2</v>
      </c>
      <c r="CC111" s="26">
        <v>0.99512353799999997</v>
      </c>
      <c r="CD111" s="26">
        <v>19.714633599999999</v>
      </c>
      <c r="CE111" s="26">
        <v>0</v>
      </c>
      <c r="CF111" s="26">
        <v>0</v>
      </c>
      <c r="CG111" s="26">
        <v>0</v>
      </c>
      <c r="CH111" s="26">
        <v>0</v>
      </c>
      <c r="CI111" s="26">
        <v>0</v>
      </c>
      <c r="CJ111" s="26">
        <v>0</v>
      </c>
      <c r="CK111" s="26">
        <v>0</v>
      </c>
      <c r="CL111" s="26">
        <v>0</v>
      </c>
      <c r="CM111" s="26">
        <v>0</v>
      </c>
      <c r="CN111" s="26">
        <v>0</v>
      </c>
      <c r="CO111" s="26">
        <v>0</v>
      </c>
      <c r="CP111" s="26">
        <v>0</v>
      </c>
      <c r="CQ111" s="26">
        <v>0</v>
      </c>
      <c r="CR111" s="26">
        <v>0</v>
      </c>
      <c r="CS111" s="26">
        <v>0</v>
      </c>
      <c r="CT111" s="26">
        <v>0</v>
      </c>
      <c r="CU111" s="26">
        <v>0</v>
      </c>
      <c r="CV111" s="26">
        <v>0</v>
      </c>
      <c r="CW111" s="26">
        <v>0</v>
      </c>
      <c r="CX111" s="26">
        <v>0</v>
      </c>
      <c r="CY111" s="26">
        <v>0</v>
      </c>
      <c r="CZ111" s="26">
        <v>0</v>
      </c>
      <c r="DA111" s="26">
        <v>0</v>
      </c>
      <c r="DB111" s="26">
        <v>0</v>
      </c>
      <c r="DC111" s="26">
        <v>0</v>
      </c>
      <c r="DD111" s="26">
        <v>0</v>
      </c>
      <c r="DE111" s="26">
        <v>0</v>
      </c>
      <c r="DF111" s="26">
        <v>0</v>
      </c>
      <c r="DG111" s="26">
        <v>0</v>
      </c>
      <c r="DH111" s="26">
        <v>0</v>
      </c>
      <c r="DI111" s="26">
        <v>0</v>
      </c>
      <c r="DJ111" s="26">
        <v>0</v>
      </c>
      <c r="DK111" s="26">
        <v>0</v>
      </c>
      <c r="DL111" s="26">
        <v>0</v>
      </c>
      <c r="DM111" s="26">
        <v>0</v>
      </c>
      <c r="DN111" s="26">
        <v>0</v>
      </c>
      <c r="DO111" s="26">
        <v>0</v>
      </c>
      <c r="DP111" s="26">
        <v>0</v>
      </c>
      <c r="DQ111" s="26">
        <v>0</v>
      </c>
      <c r="DR111" s="26">
        <v>0</v>
      </c>
      <c r="DS111" s="26">
        <v>0</v>
      </c>
      <c r="DT111" s="26">
        <v>0</v>
      </c>
      <c r="DU111" s="26">
        <v>0</v>
      </c>
      <c r="DV111" s="26">
        <v>0</v>
      </c>
      <c r="DW111" s="26">
        <v>0</v>
      </c>
      <c r="DX111" s="26">
        <v>1254.64166</v>
      </c>
      <c r="DY111" s="26">
        <v>30.979670600000002</v>
      </c>
      <c r="DZ111" s="26">
        <v>12.9984632</v>
      </c>
      <c r="EA111" s="26">
        <v>423.09997600000003</v>
      </c>
      <c r="EB111" s="26">
        <v>51.560570599999998</v>
      </c>
      <c r="EC111" s="26">
        <v>12475.191699999999</v>
      </c>
      <c r="ED111" s="26">
        <v>0</v>
      </c>
      <c r="EE111" s="26">
        <v>2866.1133199999999</v>
      </c>
      <c r="EF111" s="26">
        <v>4107.8476600000004</v>
      </c>
      <c r="EG111" s="26">
        <v>520.80320400000005</v>
      </c>
      <c r="EH111" s="26">
        <v>57.867106200000009</v>
      </c>
      <c r="EI111" s="26">
        <v>835.98422900000003</v>
      </c>
      <c r="EJ111" s="26">
        <v>107.802228</v>
      </c>
      <c r="EK111" s="26">
        <v>0</v>
      </c>
      <c r="EL111" s="26">
        <v>473.096316</v>
      </c>
      <c r="EM111" s="26">
        <v>0</v>
      </c>
      <c r="EN111" s="26">
        <v>0</v>
      </c>
      <c r="EO111" s="26">
        <v>0</v>
      </c>
      <c r="EP111" s="26">
        <v>358.05578400000002</v>
      </c>
      <c r="EQ111" s="26">
        <v>23217.986099999998</v>
      </c>
      <c r="ER111" s="26">
        <v>279.315539</v>
      </c>
      <c r="ES111" s="26">
        <v>32.172704699999997</v>
      </c>
      <c r="ET111" s="26">
        <v>1</v>
      </c>
      <c r="EU111" s="26">
        <v>0</v>
      </c>
      <c r="EV111" s="26">
        <v>0</v>
      </c>
      <c r="EW111" s="26">
        <v>1</v>
      </c>
      <c r="EX111" s="26">
        <v>-74964.071800000005</v>
      </c>
      <c r="EY111" s="26">
        <v>-1156.05718</v>
      </c>
      <c r="EZ111" s="26">
        <v>-26.8413197</v>
      </c>
      <c r="FA111" s="26">
        <v>-149.16942299999999</v>
      </c>
      <c r="FB111" s="26">
        <v>-2.3004137500000001</v>
      </c>
      <c r="FC111" s="26">
        <v>2.1365070999999999E-2</v>
      </c>
      <c r="FD111" s="26">
        <v>1.38540961</v>
      </c>
      <c r="FE111" s="26">
        <v>64.844605700000002</v>
      </c>
      <c r="FF111" s="26">
        <v>0</v>
      </c>
      <c r="FG111" s="26">
        <v>0.22839479600000001</v>
      </c>
      <c r="FH111" s="26">
        <v>-1789422759.0599999</v>
      </c>
      <c r="FI111" s="26">
        <v>0.49403261784114982</v>
      </c>
      <c r="FJ111" s="26">
        <v>0</v>
      </c>
      <c r="FK111" s="26">
        <v>0</v>
      </c>
      <c r="FL111" s="26">
        <v>0</v>
      </c>
      <c r="FM111" s="26">
        <v>0</v>
      </c>
      <c r="FN111" s="26">
        <v>0</v>
      </c>
      <c r="FO111" s="26">
        <v>0</v>
      </c>
      <c r="FP111" s="26">
        <v>0</v>
      </c>
      <c r="FQ111" s="26">
        <v>0</v>
      </c>
      <c r="FR111" s="26">
        <v>0</v>
      </c>
      <c r="FS111" s="26">
        <v>0</v>
      </c>
      <c r="FT111" s="26">
        <v>0</v>
      </c>
      <c r="FU111" s="26">
        <v>0</v>
      </c>
      <c r="FV111" s="26">
        <v>0</v>
      </c>
      <c r="FW111" s="26">
        <v>0</v>
      </c>
      <c r="FX111" s="26">
        <v>0</v>
      </c>
      <c r="FY111" s="26">
        <v>0</v>
      </c>
      <c r="FZ111" s="26">
        <v>0</v>
      </c>
      <c r="GA111" s="26">
        <v>0</v>
      </c>
      <c r="GB111" s="26">
        <v>0</v>
      </c>
      <c r="GC111" s="26">
        <v>0</v>
      </c>
      <c r="GD111" s="26">
        <v>0</v>
      </c>
      <c r="GE111" s="26">
        <v>0</v>
      </c>
      <c r="GF111" s="26">
        <v>0</v>
      </c>
      <c r="GG111" s="26">
        <v>0</v>
      </c>
      <c r="GH111" s="26">
        <v>0</v>
      </c>
      <c r="GI111" s="26">
        <v>0</v>
      </c>
      <c r="GJ111" s="26">
        <v>0</v>
      </c>
      <c r="GK111" s="26">
        <v>0</v>
      </c>
      <c r="GL111" s="26">
        <v>0</v>
      </c>
      <c r="GM111" s="26">
        <v>0</v>
      </c>
      <c r="GN111" s="26">
        <v>0</v>
      </c>
      <c r="GO111" s="26">
        <v>0</v>
      </c>
      <c r="GP111" s="26">
        <v>0</v>
      </c>
      <c r="GQ111" s="26">
        <v>0</v>
      </c>
      <c r="GR111" s="26">
        <v>0</v>
      </c>
      <c r="GS111" s="26">
        <v>0</v>
      </c>
      <c r="GT111" s="26">
        <v>0</v>
      </c>
      <c r="GU111" s="26">
        <v>0</v>
      </c>
      <c r="GV111" s="26">
        <v>0</v>
      </c>
      <c r="GW111" s="26">
        <v>0</v>
      </c>
      <c r="GX111" s="26">
        <v>0</v>
      </c>
      <c r="GY111" s="26">
        <v>0</v>
      </c>
      <c r="GZ111" s="26">
        <v>0</v>
      </c>
      <c r="HA111" s="26">
        <v>0</v>
      </c>
      <c r="HB111" s="26">
        <v>0</v>
      </c>
      <c r="HC111" s="26">
        <v>0</v>
      </c>
      <c r="HD111" s="26">
        <v>0</v>
      </c>
      <c r="HE111" s="26">
        <v>0</v>
      </c>
      <c r="HF111" s="26">
        <v>0</v>
      </c>
      <c r="HG111" s="26">
        <v>0</v>
      </c>
      <c r="HH111" s="26">
        <v>0</v>
      </c>
      <c r="HI111" s="26">
        <v>0</v>
      </c>
      <c r="HJ111" s="26">
        <v>0</v>
      </c>
      <c r="HK111" s="26">
        <v>0</v>
      </c>
      <c r="HL111" s="26">
        <v>0</v>
      </c>
      <c r="HM111" s="26">
        <v>0</v>
      </c>
      <c r="HN111" s="26">
        <v>0</v>
      </c>
      <c r="HO111" s="26">
        <v>0</v>
      </c>
      <c r="HP111" s="26">
        <v>0</v>
      </c>
      <c r="HQ111" s="26">
        <v>0</v>
      </c>
      <c r="HR111" s="26">
        <v>0</v>
      </c>
      <c r="HS111" s="26">
        <v>0</v>
      </c>
      <c r="HT111" s="26">
        <v>0.25715947622394247</v>
      </c>
    </row>
    <row r="112" spans="2:228" x14ac:dyDescent="0.2">
      <c r="B112" s="27" t="s">
        <v>1363</v>
      </c>
      <c r="C112" s="26">
        <v>19179.428500000002</v>
      </c>
      <c r="D112" s="26">
        <v>-40.688181999999998</v>
      </c>
      <c r="E112" s="26">
        <v>368.59690799999998</v>
      </c>
      <c r="F112" s="26">
        <v>330.46824099999998</v>
      </c>
      <c r="G112" s="26">
        <v>3.0855791900000001E-12</v>
      </c>
      <c r="H112" s="26">
        <v>6.7733992400000009E-12</v>
      </c>
      <c r="I112" s="26">
        <v>2.8419857E-12</v>
      </c>
      <c r="J112" s="26">
        <v>1.1518229899999999E-9</v>
      </c>
      <c r="K112" s="26">
        <v>2.3869085500000001E-10</v>
      </c>
      <c r="L112" s="26">
        <v>5.2080066499999997E-8</v>
      </c>
      <c r="M112" s="26">
        <v>0</v>
      </c>
      <c r="N112" s="26">
        <v>6.7078721299999996E-12</v>
      </c>
      <c r="O112" s="26">
        <v>1.6928259000000001E-13</v>
      </c>
      <c r="P112" s="26">
        <v>7.10276602E-14</v>
      </c>
      <c r="Q112" s="26">
        <v>4.2361584799999996E-10</v>
      </c>
      <c r="R112" s="26">
        <v>5.1623436700000008E-11</v>
      </c>
      <c r="S112" s="26">
        <v>7.22693227E-11</v>
      </c>
      <c r="T112" s="26">
        <v>1.7582322300000001E-5</v>
      </c>
      <c r="U112" s="26">
        <v>1.1128416299999999E-3</v>
      </c>
      <c r="V112" s="26">
        <v>2.3223612</v>
      </c>
      <c r="W112" s="26">
        <v>0</v>
      </c>
      <c r="X112" s="26">
        <v>3.6780066200000001E-4</v>
      </c>
      <c r="Y112" s="26">
        <v>8.8878319099999999E-10</v>
      </c>
      <c r="Z112" s="26">
        <v>1.12148698E-6</v>
      </c>
      <c r="AA112" s="26">
        <v>6.3681635900000003E-7</v>
      </c>
      <c r="AB112" s="26">
        <v>3.9376215100000002E-3</v>
      </c>
      <c r="AC112" s="26">
        <v>0</v>
      </c>
      <c r="AD112" s="26">
        <v>0</v>
      </c>
      <c r="AE112" s="26">
        <v>0</v>
      </c>
      <c r="AF112" s="26">
        <v>0</v>
      </c>
      <c r="AG112" s="26">
        <v>0</v>
      </c>
      <c r="AH112" s="26">
        <v>0</v>
      </c>
      <c r="AI112" s="26">
        <v>0</v>
      </c>
      <c r="AJ112" s="26">
        <v>0</v>
      </c>
      <c r="AK112" s="26">
        <v>0</v>
      </c>
      <c r="AL112" s="26">
        <v>0</v>
      </c>
      <c r="AM112" s="26">
        <v>6.6967042000000004E-10</v>
      </c>
      <c r="AN112" s="26">
        <v>154.73737700000001</v>
      </c>
      <c r="AO112" s="26">
        <v>0.157155092</v>
      </c>
      <c r="AP112" s="26">
        <v>0</v>
      </c>
      <c r="AQ112" s="26">
        <v>0</v>
      </c>
      <c r="AR112" s="26">
        <v>0</v>
      </c>
      <c r="AS112" s="26">
        <v>18323.140800000001</v>
      </c>
      <c r="AT112" s="26">
        <v>0</v>
      </c>
      <c r="AU112" s="26">
        <v>0</v>
      </c>
      <c r="AV112" s="26">
        <v>1.9651815800000001E-4</v>
      </c>
      <c r="AW112" s="26">
        <v>0</v>
      </c>
      <c r="AX112" s="26">
        <v>0</v>
      </c>
      <c r="AY112" s="26">
        <v>0</v>
      </c>
      <c r="AZ112" s="26">
        <v>0</v>
      </c>
      <c r="BA112" s="26">
        <v>0</v>
      </c>
      <c r="BB112" s="26">
        <v>0</v>
      </c>
      <c r="BC112" s="26">
        <v>0</v>
      </c>
      <c r="BD112" s="26">
        <v>0</v>
      </c>
      <c r="BE112" s="26">
        <v>0</v>
      </c>
      <c r="BF112" s="26">
        <v>0</v>
      </c>
      <c r="BG112" s="26">
        <v>0</v>
      </c>
      <c r="BH112" s="26">
        <v>0</v>
      </c>
      <c r="BI112" s="26">
        <v>0</v>
      </c>
      <c r="BJ112" s="26">
        <v>0</v>
      </c>
      <c r="BK112" s="26">
        <v>0</v>
      </c>
      <c r="BL112" s="26">
        <v>0</v>
      </c>
      <c r="BM112" s="26">
        <v>0</v>
      </c>
      <c r="BN112" s="26">
        <v>0</v>
      </c>
      <c r="BO112" s="26">
        <v>448.84160200000002</v>
      </c>
      <c r="BP112" s="26">
        <v>19179.428500000002</v>
      </c>
      <c r="BQ112" s="26">
        <v>187312.11499999999</v>
      </c>
      <c r="BR112" s="26">
        <v>32</v>
      </c>
      <c r="BS112" s="26">
        <v>1</v>
      </c>
      <c r="BT112" s="26">
        <v>1</v>
      </c>
      <c r="BU112" s="26">
        <v>0</v>
      </c>
      <c r="BV112" s="26">
        <v>0</v>
      </c>
      <c r="BW112" s="26">
        <v>-90651.5383</v>
      </c>
      <c r="BX112" s="26">
        <v>-2121.4491200000002</v>
      </c>
      <c r="BY112" s="26">
        <v>-40.688181999999998</v>
      </c>
      <c r="BZ112" s="26">
        <v>0.15103301499999999</v>
      </c>
      <c r="CA112" s="26">
        <v>3.5345109799999998E-3</v>
      </c>
      <c r="CB112" s="26">
        <v>3.9937049800000001E-5</v>
      </c>
      <c r="CC112" s="26">
        <v>1.70654812E-3</v>
      </c>
      <c r="CD112" s="26">
        <v>42.730950900000003</v>
      </c>
      <c r="CE112" s="26">
        <v>0</v>
      </c>
      <c r="CF112" s="26">
        <v>0</v>
      </c>
      <c r="CG112" s="26">
        <v>0</v>
      </c>
      <c r="CH112" s="26">
        <v>0</v>
      </c>
      <c r="CI112" s="26">
        <v>0</v>
      </c>
      <c r="CJ112" s="26">
        <v>0</v>
      </c>
      <c r="CK112" s="26">
        <v>0</v>
      </c>
      <c r="CL112" s="26">
        <v>0</v>
      </c>
      <c r="CM112" s="26">
        <v>0</v>
      </c>
      <c r="CN112" s="26">
        <v>0</v>
      </c>
      <c r="CO112" s="26">
        <v>0</v>
      </c>
      <c r="CP112" s="26">
        <v>0</v>
      </c>
      <c r="CQ112" s="26">
        <v>0</v>
      </c>
      <c r="CR112" s="26">
        <v>0</v>
      </c>
      <c r="CS112" s="26">
        <v>0</v>
      </c>
      <c r="CT112" s="26">
        <v>0</v>
      </c>
      <c r="CU112" s="26">
        <v>0</v>
      </c>
      <c r="CV112" s="26">
        <v>0</v>
      </c>
      <c r="CW112" s="26">
        <v>0</v>
      </c>
      <c r="CX112" s="26">
        <v>0</v>
      </c>
      <c r="CY112" s="26">
        <v>0</v>
      </c>
      <c r="CZ112" s="26">
        <v>0</v>
      </c>
      <c r="DA112" s="26">
        <v>0</v>
      </c>
      <c r="DB112" s="26">
        <v>0</v>
      </c>
      <c r="DC112" s="26">
        <v>0</v>
      </c>
      <c r="DD112" s="26">
        <v>0</v>
      </c>
      <c r="DE112" s="26">
        <v>0</v>
      </c>
      <c r="DF112" s="26">
        <v>0</v>
      </c>
      <c r="DG112" s="26">
        <v>0</v>
      </c>
      <c r="DH112" s="26">
        <v>0</v>
      </c>
      <c r="DI112" s="26">
        <v>0</v>
      </c>
      <c r="DJ112" s="26">
        <v>0</v>
      </c>
      <c r="DK112" s="26">
        <v>0</v>
      </c>
      <c r="DL112" s="26">
        <v>0</v>
      </c>
      <c r="DM112" s="26">
        <v>0</v>
      </c>
      <c r="DN112" s="26">
        <v>0</v>
      </c>
      <c r="DO112" s="26">
        <v>0</v>
      </c>
      <c r="DP112" s="26">
        <v>0</v>
      </c>
      <c r="DQ112" s="26">
        <v>0</v>
      </c>
      <c r="DR112" s="26">
        <v>0</v>
      </c>
      <c r="DS112" s="26">
        <v>0</v>
      </c>
      <c r="DT112" s="26">
        <v>0</v>
      </c>
      <c r="DU112" s="26">
        <v>0</v>
      </c>
      <c r="DV112" s="26">
        <v>0</v>
      </c>
      <c r="DW112" s="26">
        <v>0</v>
      </c>
      <c r="DX112" s="26">
        <v>0</v>
      </c>
      <c r="DY112" s="26">
        <v>0</v>
      </c>
      <c r="DZ112" s="26">
        <v>0</v>
      </c>
      <c r="EA112" s="26">
        <v>0</v>
      </c>
      <c r="EB112" s="26">
        <v>0</v>
      </c>
      <c r="EC112" s="26">
        <v>0</v>
      </c>
      <c r="ED112" s="26">
        <v>0</v>
      </c>
      <c r="EE112" s="26">
        <v>0</v>
      </c>
      <c r="EF112" s="26">
        <v>0</v>
      </c>
      <c r="EG112" s="26">
        <v>0</v>
      </c>
      <c r="EH112" s="26">
        <v>0</v>
      </c>
      <c r="EI112" s="26">
        <v>0</v>
      </c>
      <c r="EJ112" s="26">
        <v>0</v>
      </c>
      <c r="EK112" s="26">
        <v>0</v>
      </c>
      <c r="EL112" s="26">
        <v>0</v>
      </c>
      <c r="EM112" s="26">
        <v>0</v>
      </c>
      <c r="EN112" s="26">
        <v>0</v>
      </c>
      <c r="EO112" s="26">
        <v>0</v>
      </c>
      <c r="EP112" s="26">
        <v>0</v>
      </c>
      <c r="EQ112" s="26">
        <v>0</v>
      </c>
      <c r="ER112" s="26">
        <v>0</v>
      </c>
      <c r="ES112" s="26">
        <v>0</v>
      </c>
      <c r="ET112" s="26">
        <v>1</v>
      </c>
      <c r="EU112" s="26">
        <v>0</v>
      </c>
      <c r="EV112" s="26">
        <v>0</v>
      </c>
      <c r="EW112" s="26">
        <v>0</v>
      </c>
      <c r="EX112" s="26">
        <v>0</v>
      </c>
      <c r="EY112" s="26">
        <v>0</v>
      </c>
      <c r="EZ112" s="26">
        <v>0</v>
      </c>
      <c r="FA112" s="26">
        <v>0</v>
      </c>
      <c r="FB112" s="26">
        <v>0</v>
      </c>
      <c r="FC112" s="26">
        <v>0</v>
      </c>
      <c r="FD112" s="26">
        <v>0</v>
      </c>
      <c r="FE112" s="26">
        <v>0</v>
      </c>
      <c r="FF112" s="26">
        <v>0</v>
      </c>
      <c r="FG112" s="26">
        <v>3.6106843299999997E-2</v>
      </c>
      <c r="FH112" s="26">
        <v>-47353185.062600002</v>
      </c>
      <c r="FI112" s="26">
        <v>0.11966940484624412</v>
      </c>
      <c r="FJ112" s="26">
        <v>5.6833993510227512E-3</v>
      </c>
      <c r="FK112" s="26">
        <v>1.9925905659407247E-3</v>
      </c>
      <c r="FL112" s="26">
        <v>4.7575287325046742E-18</v>
      </c>
      <c r="FM112" s="26">
        <v>1.0443628083549025E-17</v>
      </c>
      <c r="FN112" s="26">
        <v>4.3819418406110902E-18</v>
      </c>
      <c r="FO112" s="26">
        <v>2.1311386753824429E-15</v>
      </c>
      <c r="FP112" s="26">
        <v>4.416332340886214E-16</v>
      </c>
      <c r="FQ112" s="26">
        <v>4.2263166449216444E-14</v>
      </c>
      <c r="FR112" s="26">
        <v>0</v>
      </c>
      <c r="FS112" s="26">
        <v>1.1491737064156118E-17</v>
      </c>
      <c r="FT112" s="26">
        <v>2.9001015232008121E-19</v>
      </c>
      <c r="FU112" s="26">
        <v>1.2168258125123844E-19</v>
      </c>
      <c r="FV112" s="26">
        <v>8.9066398490308965E-16</v>
      </c>
      <c r="FW112" s="26">
        <v>1.0853969697942868E-16</v>
      </c>
      <c r="FX112" s="26">
        <v>1.1142912144698853E-16</v>
      </c>
      <c r="FY112" s="26">
        <v>3.2099818867909664E-11</v>
      </c>
      <c r="FZ112" s="26">
        <v>2.4512146446097173E-9</v>
      </c>
      <c r="GA112" s="26">
        <v>6.7138115259327139E-6</v>
      </c>
      <c r="GB112" s="26">
        <v>0</v>
      </c>
      <c r="GC112" s="26">
        <v>1.1341936840735496E-9</v>
      </c>
      <c r="GD112" s="26">
        <v>1.6226660240924393E-15</v>
      </c>
      <c r="GE112" s="26">
        <v>3.3826495548389743E-12</v>
      </c>
      <c r="GF112" s="26">
        <v>1.4979640342059345E-12</v>
      </c>
      <c r="GG112" s="26">
        <v>6.4224767736020369E-8</v>
      </c>
      <c r="GH112" s="26">
        <v>0</v>
      </c>
      <c r="GI112" s="26">
        <v>0</v>
      </c>
      <c r="GJ112" s="26">
        <v>0</v>
      </c>
      <c r="GK112" s="26">
        <v>0</v>
      </c>
      <c r="GL112" s="26">
        <v>0</v>
      </c>
      <c r="GM112" s="26">
        <v>0</v>
      </c>
      <c r="GN112" s="26">
        <v>0</v>
      </c>
      <c r="GO112" s="26">
        <v>0</v>
      </c>
      <c r="GP112" s="26">
        <v>0</v>
      </c>
      <c r="GQ112" s="26">
        <v>0</v>
      </c>
      <c r="GR112" s="26">
        <v>6.5855381637954173E-16</v>
      </c>
      <c r="GS112" s="26">
        <v>1.3432567774127209E-3</v>
      </c>
      <c r="GT112" s="26">
        <v>1.5583280791332913E-6</v>
      </c>
      <c r="GU112" s="26">
        <v>0</v>
      </c>
      <c r="GV112" s="26">
        <v>0</v>
      </c>
      <c r="GW112" s="26">
        <v>0</v>
      </c>
      <c r="GX112" s="26">
        <v>0.11565063620298287</v>
      </c>
      <c r="GY112" s="26">
        <v>0</v>
      </c>
      <c r="GZ112" s="26">
        <v>0</v>
      </c>
      <c r="HA112" s="26">
        <v>8.520806707055342E-10</v>
      </c>
      <c r="HB112" s="26">
        <v>0</v>
      </c>
      <c r="HC112" s="26">
        <v>0</v>
      </c>
      <c r="HD112" s="26">
        <v>0</v>
      </c>
      <c r="HE112" s="26">
        <v>0</v>
      </c>
      <c r="HF112" s="26">
        <v>0</v>
      </c>
      <c r="HG112" s="26">
        <v>0</v>
      </c>
      <c r="HH112" s="26">
        <v>0</v>
      </c>
      <c r="HI112" s="26">
        <v>0</v>
      </c>
      <c r="HJ112" s="26">
        <v>0</v>
      </c>
      <c r="HK112" s="26">
        <v>0</v>
      </c>
      <c r="HL112" s="26">
        <v>0</v>
      </c>
      <c r="HM112" s="26">
        <v>0</v>
      </c>
      <c r="HN112" s="26">
        <v>0</v>
      </c>
      <c r="HO112" s="26">
        <v>0</v>
      </c>
      <c r="HP112" s="26">
        <v>0</v>
      </c>
      <c r="HQ112" s="26">
        <v>0</v>
      </c>
      <c r="HR112" s="26">
        <v>0</v>
      </c>
      <c r="HS112" s="26">
        <v>0</v>
      </c>
      <c r="HT112" s="26">
        <v>0</v>
      </c>
    </row>
    <row r="113" spans="2:228" x14ac:dyDescent="0.2">
      <c r="B113" s="27" t="s">
        <v>2877</v>
      </c>
      <c r="C113" s="26">
        <v>42638.759899999997</v>
      </c>
      <c r="D113" s="26">
        <v>-143.95912799999999</v>
      </c>
      <c r="E113" s="26">
        <v>35280.318399999996</v>
      </c>
      <c r="F113" s="26">
        <v>2009.36331</v>
      </c>
      <c r="G113" s="26">
        <v>148.442677</v>
      </c>
      <c r="H113" s="26">
        <v>117.96069600000001</v>
      </c>
      <c r="I113" s="26">
        <v>49.4939982</v>
      </c>
      <c r="J113" s="26">
        <v>168.05837600000001</v>
      </c>
      <c r="K113" s="26">
        <v>200.58580499999999</v>
      </c>
      <c r="L113" s="26">
        <v>33.108547000000002</v>
      </c>
      <c r="M113" s="26">
        <v>0</v>
      </c>
      <c r="N113" s="26">
        <v>113.314937</v>
      </c>
      <c r="O113" s="26">
        <v>2.8596618399999998</v>
      </c>
      <c r="P113" s="26">
        <v>1.1998581100000001</v>
      </c>
      <c r="Q113" s="26">
        <v>39.055110800000001</v>
      </c>
      <c r="R113" s="26">
        <v>4.7594041799999998</v>
      </c>
      <c r="S113" s="26">
        <v>1220.83331</v>
      </c>
      <c r="T113" s="26">
        <v>65.653964400000007</v>
      </c>
      <c r="U113" s="26">
        <v>36.927139799999999</v>
      </c>
      <c r="V113" s="26">
        <v>33.3668026</v>
      </c>
      <c r="W113" s="26">
        <v>0</v>
      </c>
      <c r="X113" s="26">
        <v>56.345488799999998</v>
      </c>
      <c r="Y113" s="26">
        <v>76.808716500000003</v>
      </c>
      <c r="Z113" s="26">
        <v>17.194992599999999</v>
      </c>
      <c r="AA113" s="26">
        <v>42.792209800000002</v>
      </c>
      <c r="AB113" s="26">
        <v>1.97207106E-2</v>
      </c>
      <c r="AC113" s="26">
        <v>0</v>
      </c>
      <c r="AD113" s="26">
        <v>248.15580499999999</v>
      </c>
      <c r="AE113" s="26">
        <v>186.09805499999999</v>
      </c>
      <c r="AF113" s="26">
        <v>23.7526841</v>
      </c>
      <c r="AG113" s="26">
        <v>0</v>
      </c>
      <c r="AH113" s="26">
        <v>0</v>
      </c>
      <c r="AI113" s="26">
        <v>0</v>
      </c>
      <c r="AJ113" s="26">
        <v>0</v>
      </c>
      <c r="AK113" s="26">
        <v>0</v>
      </c>
      <c r="AL113" s="26">
        <v>0</v>
      </c>
      <c r="AM113" s="26">
        <v>1.33575797</v>
      </c>
      <c r="AN113" s="26">
        <v>1.9391162300000001E-2</v>
      </c>
      <c r="AO113" s="26">
        <v>1.05448748E-5</v>
      </c>
      <c r="AP113" s="26">
        <v>0</v>
      </c>
      <c r="AQ113" s="26">
        <v>0</v>
      </c>
      <c r="AR113" s="26">
        <v>0</v>
      </c>
      <c r="AS113" s="26">
        <v>51.4557766</v>
      </c>
      <c r="AT113" s="26">
        <v>0</v>
      </c>
      <c r="AU113" s="26">
        <v>0</v>
      </c>
      <c r="AV113" s="26">
        <v>1.9610105E-4</v>
      </c>
      <c r="AW113" s="26">
        <v>0</v>
      </c>
      <c r="AX113" s="26">
        <v>0</v>
      </c>
      <c r="AY113" s="26">
        <v>0</v>
      </c>
      <c r="AZ113" s="26">
        <v>0</v>
      </c>
      <c r="BA113" s="26">
        <v>0</v>
      </c>
      <c r="BB113" s="26">
        <v>0</v>
      </c>
      <c r="BC113" s="26">
        <v>0</v>
      </c>
      <c r="BD113" s="26">
        <v>0</v>
      </c>
      <c r="BE113" s="26">
        <v>0</v>
      </c>
      <c r="BF113" s="26">
        <v>0</v>
      </c>
      <c r="BG113" s="26">
        <v>0</v>
      </c>
      <c r="BH113" s="26">
        <v>0</v>
      </c>
      <c r="BI113" s="26">
        <v>0</v>
      </c>
      <c r="BJ113" s="26">
        <v>0</v>
      </c>
      <c r="BK113" s="26">
        <v>0</v>
      </c>
      <c r="BL113" s="26">
        <v>0</v>
      </c>
      <c r="BM113" s="26">
        <v>0</v>
      </c>
      <c r="BN113" s="26">
        <v>0</v>
      </c>
      <c r="BO113" s="26">
        <v>2022.5080499999997</v>
      </c>
      <c r="BP113" s="26">
        <v>40229.2808</v>
      </c>
      <c r="BQ113" s="26">
        <v>669.42240900000002</v>
      </c>
      <c r="BR113" s="26">
        <v>32.177645999999982</v>
      </c>
      <c r="BS113" s="26">
        <v>4.9989410100000002</v>
      </c>
      <c r="BT113" s="26">
        <v>0</v>
      </c>
      <c r="BU113" s="26">
        <v>1</v>
      </c>
      <c r="BV113" s="26">
        <v>0</v>
      </c>
      <c r="BW113" s="26">
        <v>-69801.481</v>
      </c>
      <c r="BX113" s="26">
        <v>-3509.2364200000002</v>
      </c>
      <c r="BY113" s="26">
        <v>-141.174059</v>
      </c>
      <c r="BZ113" s="26">
        <v>-40.5594939</v>
      </c>
      <c r="CA113" s="26">
        <v>-2.0391093599999999</v>
      </c>
      <c r="CB113" s="26">
        <v>5.0354554400000001E-2</v>
      </c>
      <c r="CC113" s="26">
        <v>1.0015918100000001</v>
      </c>
      <c r="CD113" s="26">
        <v>19.8907889</v>
      </c>
      <c r="CE113" s="26">
        <v>0</v>
      </c>
      <c r="CF113" s="26">
        <v>0</v>
      </c>
      <c r="CG113" s="26">
        <v>0</v>
      </c>
      <c r="CH113" s="26">
        <v>0</v>
      </c>
      <c r="CI113" s="26">
        <v>0</v>
      </c>
      <c r="CJ113" s="26">
        <v>0</v>
      </c>
      <c r="CK113" s="26">
        <v>0</v>
      </c>
      <c r="CL113" s="26">
        <v>0</v>
      </c>
      <c r="CM113" s="26">
        <v>0</v>
      </c>
      <c r="CN113" s="26">
        <v>0</v>
      </c>
      <c r="CO113" s="26">
        <v>0</v>
      </c>
      <c r="CP113" s="26">
        <v>0</v>
      </c>
      <c r="CQ113" s="26">
        <v>0</v>
      </c>
      <c r="CR113" s="26">
        <v>0</v>
      </c>
      <c r="CS113" s="26">
        <v>0</v>
      </c>
      <c r="CT113" s="26">
        <v>0</v>
      </c>
      <c r="CU113" s="26">
        <v>0</v>
      </c>
      <c r="CV113" s="26">
        <v>0</v>
      </c>
      <c r="CW113" s="26">
        <v>0</v>
      </c>
      <c r="CX113" s="26">
        <v>0</v>
      </c>
      <c r="CY113" s="26">
        <v>0</v>
      </c>
      <c r="CZ113" s="26">
        <v>0</v>
      </c>
      <c r="DA113" s="26">
        <v>0</v>
      </c>
      <c r="DB113" s="26">
        <v>0</v>
      </c>
      <c r="DC113" s="26">
        <v>0</v>
      </c>
      <c r="DD113" s="26">
        <v>0</v>
      </c>
      <c r="DE113" s="26">
        <v>0</v>
      </c>
      <c r="DF113" s="26">
        <v>0</v>
      </c>
      <c r="DG113" s="26">
        <v>0</v>
      </c>
      <c r="DH113" s="26">
        <v>0</v>
      </c>
      <c r="DI113" s="26">
        <v>0</v>
      </c>
      <c r="DJ113" s="26">
        <v>0</v>
      </c>
      <c r="DK113" s="26">
        <v>0</v>
      </c>
      <c r="DL113" s="26">
        <v>0</v>
      </c>
      <c r="DM113" s="26">
        <v>0</v>
      </c>
      <c r="DN113" s="26">
        <v>0</v>
      </c>
      <c r="DO113" s="26">
        <v>0</v>
      </c>
      <c r="DP113" s="26">
        <v>0</v>
      </c>
      <c r="DQ113" s="26">
        <v>0</v>
      </c>
      <c r="DR113" s="26">
        <v>0</v>
      </c>
      <c r="DS113" s="26">
        <v>0</v>
      </c>
      <c r="DT113" s="26">
        <v>0</v>
      </c>
      <c r="DU113" s="26">
        <v>0</v>
      </c>
      <c r="DV113" s="26">
        <v>0</v>
      </c>
      <c r="DW113" s="26">
        <v>0</v>
      </c>
      <c r="DX113" s="26">
        <v>125.46416599999999</v>
      </c>
      <c r="DY113" s="26">
        <v>3.0979670600000002</v>
      </c>
      <c r="DZ113" s="26">
        <v>1.2998463200000001</v>
      </c>
      <c r="EA113" s="26">
        <v>42.309997600000003</v>
      </c>
      <c r="EB113" s="26">
        <v>5.1560570600000002</v>
      </c>
      <c r="EC113" s="26">
        <v>1247.51917</v>
      </c>
      <c r="ED113" s="26">
        <v>0</v>
      </c>
      <c r="EE113" s="26">
        <v>306.439662</v>
      </c>
      <c r="EF113" s="26">
        <v>410.78476599999999</v>
      </c>
      <c r="EG113" s="26">
        <v>52.080320399999998</v>
      </c>
      <c r="EH113" s="26">
        <v>5.78671062</v>
      </c>
      <c r="EI113" s="26">
        <v>151.45052699999999</v>
      </c>
      <c r="EJ113" s="26">
        <v>10.780222800000001</v>
      </c>
      <c r="EK113" s="26">
        <v>0</v>
      </c>
      <c r="EL113" s="26">
        <v>47.309631600000003</v>
      </c>
      <c r="EM113" s="26">
        <v>0</v>
      </c>
      <c r="EN113" s="26">
        <v>0</v>
      </c>
      <c r="EO113" s="26">
        <v>0</v>
      </c>
      <c r="EP113" s="26">
        <v>39.428992800000003</v>
      </c>
      <c r="EQ113" s="26">
        <v>2409.4790400000002</v>
      </c>
      <c r="ER113" s="26">
        <v>28.9045907</v>
      </c>
      <c r="ES113" s="26">
        <v>32.177645999999982</v>
      </c>
      <c r="ET113" s="26">
        <v>4.9989410100000002</v>
      </c>
      <c r="EU113" s="26">
        <v>0</v>
      </c>
      <c r="EV113" s="26">
        <v>0</v>
      </c>
      <c r="EW113" s="26">
        <v>1</v>
      </c>
      <c r="EX113" s="26">
        <v>-70635.060299999997</v>
      </c>
      <c r="EY113" s="26">
        <v>-1155.8802700000001</v>
      </c>
      <c r="EZ113" s="26">
        <v>-2.7850693099999999</v>
      </c>
      <c r="FA113" s="26">
        <v>-143.712681</v>
      </c>
      <c r="FB113" s="26">
        <v>-2.3517308799999999</v>
      </c>
      <c r="FC113" s="26">
        <v>2.2735138500000002E-2</v>
      </c>
      <c r="FD113" s="26">
        <v>1.3893289099999999</v>
      </c>
      <c r="FE113" s="26">
        <v>61.1093227</v>
      </c>
      <c r="FF113" s="26">
        <v>0</v>
      </c>
      <c r="FG113" s="26">
        <v>0.241090585</v>
      </c>
      <c r="FH113" s="26">
        <v>-167724068.61999997</v>
      </c>
      <c r="FI113" s="26">
        <v>4.924729511620058E-2</v>
      </c>
      <c r="FJ113" s="26">
        <v>0</v>
      </c>
      <c r="FK113" s="26">
        <v>0</v>
      </c>
      <c r="FL113" s="26">
        <v>0</v>
      </c>
      <c r="FM113" s="26">
        <v>0</v>
      </c>
      <c r="FN113" s="26">
        <v>0</v>
      </c>
      <c r="FO113" s="26">
        <v>0</v>
      </c>
      <c r="FP113" s="26">
        <v>0</v>
      </c>
      <c r="FQ113" s="26">
        <v>0</v>
      </c>
      <c r="FR113" s="26">
        <v>0</v>
      </c>
      <c r="FS113" s="26">
        <v>0</v>
      </c>
      <c r="FT113" s="26">
        <v>0</v>
      </c>
      <c r="FU113" s="26">
        <v>0</v>
      </c>
      <c r="FV113" s="26">
        <v>0</v>
      </c>
      <c r="FW113" s="26">
        <v>0</v>
      </c>
      <c r="FX113" s="26">
        <v>0</v>
      </c>
      <c r="FY113" s="26">
        <v>0</v>
      </c>
      <c r="FZ113" s="26">
        <v>0</v>
      </c>
      <c r="GA113" s="26">
        <v>0</v>
      </c>
      <c r="GB113" s="26">
        <v>0</v>
      </c>
      <c r="GC113" s="26">
        <v>0</v>
      </c>
      <c r="GD113" s="26">
        <v>0</v>
      </c>
      <c r="GE113" s="26">
        <v>0</v>
      </c>
      <c r="GF113" s="26">
        <v>0</v>
      </c>
      <c r="GG113" s="26">
        <v>0</v>
      </c>
      <c r="GH113" s="26">
        <v>0</v>
      </c>
      <c r="GI113" s="26">
        <v>0</v>
      </c>
      <c r="GJ113" s="26">
        <v>0</v>
      </c>
      <c r="GK113" s="26">
        <v>0</v>
      </c>
      <c r="GL113" s="26">
        <v>0</v>
      </c>
      <c r="GM113" s="26">
        <v>0</v>
      </c>
      <c r="GN113" s="26">
        <v>0</v>
      </c>
      <c r="GO113" s="26">
        <v>0</v>
      </c>
      <c r="GP113" s="26">
        <v>0</v>
      </c>
      <c r="GQ113" s="26">
        <v>0</v>
      </c>
      <c r="GR113" s="26">
        <v>0</v>
      </c>
      <c r="GS113" s="26">
        <v>0</v>
      </c>
      <c r="GT113" s="26">
        <v>0</v>
      </c>
      <c r="GU113" s="26">
        <v>0</v>
      </c>
      <c r="GV113" s="26">
        <v>0</v>
      </c>
      <c r="GW113" s="26">
        <v>0</v>
      </c>
      <c r="GX113" s="26">
        <v>0</v>
      </c>
      <c r="GY113" s="26">
        <v>0</v>
      </c>
      <c r="GZ113" s="26">
        <v>0</v>
      </c>
      <c r="HA113" s="26">
        <v>0</v>
      </c>
      <c r="HB113" s="26">
        <v>0</v>
      </c>
      <c r="HC113" s="26">
        <v>0</v>
      </c>
      <c r="HD113" s="26">
        <v>0</v>
      </c>
      <c r="HE113" s="26">
        <v>0</v>
      </c>
      <c r="HF113" s="26">
        <v>0</v>
      </c>
      <c r="HG113" s="26">
        <v>0</v>
      </c>
      <c r="HH113" s="26">
        <v>0</v>
      </c>
      <c r="HI113" s="26">
        <v>0</v>
      </c>
      <c r="HJ113" s="26">
        <v>0</v>
      </c>
      <c r="HK113" s="26">
        <v>0</v>
      </c>
      <c r="HL113" s="26">
        <v>0</v>
      </c>
      <c r="HM113" s="26">
        <v>0</v>
      </c>
      <c r="HN113" s="26">
        <v>0</v>
      </c>
      <c r="HO113" s="26">
        <v>0</v>
      </c>
      <c r="HP113" s="26">
        <v>0</v>
      </c>
      <c r="HQ113" s="26">
        <v>0</v>
      </c>
      <c r="HR113" s="26">
        <v>0</v>
      </c>
      <c r="HS113" s="26">
        <v>0</v>
      </c>
      <c r="HT113" s="26">
        <v>2.672245163044628E-2</v>
      </c>
    </row>
    <row r="114" spans="2:228" x14ac:dyDescent="0.2">
      <c r="B114" s="27" t="s">
        <v>1357</v>
      </c>
      <c r="C114" s="26">
        <v>13836.505999999999</v>
      </c>
      <c r="D114" s="26">
        <v>-50.048173900000002</v>
      </c>
      <c r="E114" s="26">
        <v>13053.5304</v>
      </c>
      <c r="F114" s="26">
        <v>0</v>
      </c>
      <c r="G114" s="26">
        <v>0</v>
      </c>
      <c r="H114" s="26">
        <v>0</v>
      </c>
      <c r="I114" s="26">
        <v>0</v>
      </c>
      <c r="J114" s="26">
        <v>0</v>
      </c>
      <c r="K114" s="26">
        <v>0</v>
      </c>
      <c r="L114" s="26">
        <v>0</v>
      </c>
      <c r="M114" s="26">
        <v>0</v>
      </c>
      <c r="N114" s="26">
        <v>0</v>
      </c>
      <c r="O114" s="26">
        <v>0</v>
      </c>
      <c r="P114" s="26">
        <v>0</v>
      </c>
      <c r="Q114" s="26">
        <v>0</v>
      </c>
      <c r="R114" s="26">
        <v>0</v>
      </c>
      <c r="S114" s="26">
        <v>0</v>
      </c>
      <c r="T114" s="26">
        <v>0</v>
      </c>
      <c r="U114" s="26">
        <v>0</v>
      </c>
      <c r="V114" s="26">
        <v>0</v>
      </c>
      <c r="W114" s="26">
        <v>0</v>
      </c>
      <c r="X114" s="26">
        <v>40.711663899999998</v>
      </c>
      <c r="Y114" s="26">
        <v>0</v>
      </c>
      <c r="Z114" s="26">
        <v>0</v>
      </c>
      <c r="AA114" s="26">
        <v>0</v>
      </c>
      <c r="AB114" s="26">
        <v>0.20126190999999999</v>
      </c>
      <c r="AC114" s="26">
        <v>0</v>
      </c>
      <c r="AD114" s="26">
        <v>0</v>
      </c>
      <c r="AE114" s="26">
        <v>0</v>
      </c>
      <c r="AF114" s="26">
        <v>0</v>
      </c>
      <c r="AG114" s="26">
        <v>0</v>
      </c>
      <c r="AH114" s="26">
        <v>0</v>
      </c>
      <c r="AI114" s="26">
        <v>0</v>
      </c>
      <c r="AJ114" s="26">
        <v>0</v>
      </c>
      <c r="AK114" s="26">
        <v>0</v>
      </c>
      <c r="AL114" s="26">
        <v>0</v>
      </c>
      <c r="AM114" s="26">
        <v>13.357549499999999</v>
      </c>
      <c r="AN114" s="26">
        <v>7.8815718500000007E-2</v>
      </c>
      <c r="AO114" s="26">
        <v>0.174713493</v>
      </c>
      <c r="AP114" s="26">
        <v>0</v>
      </c>
      <c r="AQ114" s="26">
        <v>0</v>
      </c>
      <c r="AR114" s="26">
        <v>0</v>
      </c>
      <c r="AS114" s="26">
        <v>0.85319220100000004</v>
      </c>
      <c r="AT114" s="26">
        <v>0</v>
      </c>
      <c r="AU114" s="26">
        <v>0</v>
      </c>
      <c r="AV114" s="26">
        <v>2.1650779600000001E-3</v>
      </c>
      <c r="AW114" s="26">
        <v>0</v>
      </c>
      <c r="AX114" s="26">
        <v>0</v>
      </c>
      <c r="AY114" s="26">
        <v>0</v>
      </c>
      <c r="AZ114" s="26">
        <v>0</v>
      </c>
      <c r="BA114" s="26">
        <v>0</v>
      </c>
      <c r="BB114" s="26">
        <v>0</v>
      </c>
      <c r="BC114" s="26">
        <v>0</v>
      </c>
      <c r="BD114" s="26">
        <v>0</v>
      </c>
      <c r="BE114" s="26">
        <v>0</v>
      </c>
      <c r="BF114" s="26">
        <v>0</v>
      </c>
      <c r="BG114" s="26">
        <v>0</v>
      </c>
      <c r="BH114" s="26">
        <v>0</v>
      </c>
      <c r="BI114" s="26">
        <v>0</v>
      </c>
      <c r="BJ114" s="26">
        <v>0</v>
      </c>
      <c r="BK114" s="26">
        <v>0</v>
      </c>
      <c r="BL114" s="26">
        <v>0</v>
      </c>
      <c r="BM114" s="26">
        <v>0</v>
      </c>
      <c r="BN114" s="26">
        <v>0</v>
      </c>
      <c r="BO114" s="26">
        <v>725.120225</v>
      </c>
      <c r="BP114" s="26">
        <v>13108.9097</v>
      </c>
      <c r="BQ114" s="26">
        <v>220.55320599999999</v>
      </c>
      <c r="BR114" s="26">
        <v>28.655215699999985</v>
      </c>
      <c r="BS114" s="26">
        <v>1.9239300399999999</v>
      </c>
      <c r="BT114" s="26">
        <v>0</v>
      </c>
      <c r="BU114" s="26">
        <v>1</v>
      </c>
      <c r="BV114" s="26">
        <v>0</v>
      </c>
      <c r="BW114" s="26">
        <v>-68238.462299999999</v>
      </c>
      <c r="BX114" s="26">
        <v>-3774.6151399999999</v>
      </c>
      <c r="BY114" s="26">
        <v>-49.481089599999997</v>
      </c>
      <c r="BZ114" s="26">
        <v>-38.717150099999998</v>
      </c>
      <c r="CA114" s="26">
        <v>-2.1416417700000001</v>
      </c>
      <c r="CB114" s="26">
        <v>5.4795562200000002E-2</v>
      </c>
      <c r="CC114" s="26">
        <v>0.99060825200000002</v>
      </c>
      <c r="CD114" s="26">
        <v>18.0782569</v>
      </c>
      <c r="CE114" s="26">
        <v>218.821482</v>
      </c>
      <c r="CF114" s="26">
        <v>0</v>
      </c>
      <c r="CG114" s="26">
        <v>0</v>
      </c>
      <c r="CH114" s="26">
        <v>0</v>
      </c>
      <c r="CI114" s="26">
        <v>0</v>
      </c>
      <c r="CJ114" s="26">
        <v>0</v>
      </c>
      <c r="CK114" s="26">
        <v>0</v>
      </c>
      <c r="CL114" s="26">
        <v>0</v>
      </c>
      <c r="CM114" s="26">
        <v>0</v>
      </c>
      <c r="CN114" s="26">
        <v>0</v>
      </c>
      <c r="CO114" s="26">
        <v>0</v>
      </c>
      <c r="CP114" s="26">
        <v>0</v>
      </c>
      <c r="CQ114" s="26">
        <v>0</v>
      </c>
      <c r="CR114" s="26">
        <v>0</v>
      </c>
      <c r="CS114" s="26">
        <v>0</v>
      </c>
      <c r="CT114" s="26">
        <v>0</v>
      </c>
      <c r="CU114" s="26">
        <v>0</v>
      </c>
      <c r="CV114" s="26">
        <v>0</v>
      </c>
      <c r="CW114" s="26">
        <v>0</v>
      </c>
      <c r="CX114" s="26">
        <v>0</v>
      </c>
      <c r="CY114" s="26">
        <v>0</v>
      </c>
      <c r="CZ114" s="26">
        <v>0</v>
      </c>
      <c r="DA114" s="26">
        <v>0</v>
      </c>
      <c r="DB114" s="26">
        <v>0</v>
      </c>
      <c r="DC114" s="26">
        <v>0</v>
      </c>
      <c r="DD114" s="26">
        <v>0</v>
      </c>
      <c r="DE114" s="26">
        <v>0</v>
      </c>
      <c r="DF114" s="26">
        <v>0</v>
      </c>
      <c r="DG114" s="26">
        <v>0</v>
      </c>
      <c r="DH114" s="26">
        <v>0</v>
      </c>
      <c r="DI114" s="26">
        <v>0</v>
      </c>
      <c r="DJ114" s="26">
        <v>0</v>
      </c>
      <c r="DK114" s="26">
        <v>0</v>
      </c>
      <c r="DL114" s="26">
        <v>0</v>
      </c>
      <c r="DM114" s="26">
        <v>0</v>
      </c>
      <c r="DN114" s="26">
        <v>0</v>
      </c>
      <c r="DO114" s="26">
        <v>0</v>
      </c>
      <c r="DP114" s="26">
        <v>0</v>
      </c>
      <c r="DQ114" s="26">
        <v>0</v>
      </c>
      <c r="DR114" s="26">
        <v>0</v>
      </c>
      <c r="DS114" s="26">
        <v>0</v>
      </c>
      <c r="DT114" s="26">
        <v>0</v>
      </c>
      <c r="DU114" s="26">
        <v>0</v>
      </c>
      <c r="DV114" s="26">
        <v>0</v>
      </c>
      <c r="DW114" s="26">
        <v>0</v>
      </c>
      <c r="DX114" s="26">
        <v>0</v>
      </c>
      <c r="DY114" s="26">
        <v>0</v>
      </c>
      <c r="DZ114" s="26">
        <v>0</v>
      </c>
      <c r="EA114" s="26">
        <v>0</v>
      </c>
      <c r="EB114" s="26">
        <v>0</v>
      </c>
      <c r="EC114" s="26">
        <v>0</v>
      </c>
      <c r="ED114" s="26">
        <v>0</v>
      </c>
      <c r="EE114" s="26">
        <v>41.123660100000002</v>
      </c>
      <c r="EF114" s="26">
        <v>0</v>
      </c>
      <c r="EG114" s="26">
        <v>520.80320400000005</v>
      </c>
      <c r="EH114" s="26">
        <v>57.867214300000001</v>
      </c>
      <c r="EI114" s="26">
        <v>0</v>
      </c>
      <c r="EJ114" s="26">
        <v>107.802228</v>
      </c>
      <c r="EK114" s="26">
        <v>0</v>
      </c>
      <c r="EL114" s="26">
        <v>0</v>
      </c>
      <c r="EM114" s="26">
        <v>0</v>
      </c>
      <c r="EN114" s="26">
        <v>0</v>
      </c>
      <c r="EO114" s="26">
        <v>0</v>
      </c>
      <c r="EP114" s="26">
        <v>30.421773599999998</v>
      </c>
      <c r="EQ114" s="26">
        <v>727.59630700000002</v>
      </c>
      <c r="ER114" s="26">
        <v>7.7287230799999991</v>
      </c>
      <c r="ES114" s="26">
        <v>28.655215699999985</v>
      </c>
      <c r="ET114" s="26">
        <v>1.9239300399999999</v>
      </c>
      <c r="EU114" s="26">
        <v>0</v>
      </c>
      <c r="EV114" s="26">
        <v>0</v>
      </c>
      <c r="EW114" s="26">
        <v>1</v>
      </c>
      <c r="EX114" s="26">
        <v>-18640.738499999999</v>
      </c>
      <c r="EY114" s="26">
        <v>-779.394181</v>
      </c>
      <c r="EZ114" s="26">
        <v>-0.56708433199999997</v>
      </c>
      <c r="FA114" s="26">
        <v>-60.748799499999997</v>
      </c>
      <c r="FB114" s="26">
        <v>-2.53998846</v>
      </c>
      <c r="FC114" s="26">
        <v>6.5603276099999996E-2</v>
      </c>
      <c r="FD114" s="26">
        <v>1.5690308500000001</v>
      </c>
      <c r="FE114" s="26">
        <v>23.9169588</v>
      </c>
      <c r="FF114" s="26">
        <v>0</v>
      </c>
      <c r="FG114" s="26">
        <v>7.8107423999999995E-2</v>
      </c>
      <c r="FH114" s="26">
        <v>-58258164.349799998</v>
      </c>
      <c r="FI114" s="26">
        <v>6.1845966883656623E-4</v>
      </c>
      <c r="FJ114" s="26">
        <v>0</v>
      </c>
      <c r="FK114" s="26">
        <v>0</v>
      </c>
      <c r="FL114" s="26">
        <v>0</v>
      </c>
      <c r="FM114" s="26">
        <v>0</v>
      </c>
      <c r="FN114" s="26">
        <v>0</v>
      </c>
      <c r="FO114" s="26">
        <v>0</v>
      </c>
      <c r="FP114" s="26">
        <v>0</v>
      </c>
      <c r="FQ114" s="26">
        <v>0</v>
      </c>
      <c r="FR114" s="26">
        <v>0</v>
      </c>
      <c r="FS114" s="26">
        <v>0</v>
      </c>
      <c r="FT114" s="26">
        <v>0</v>
      </c>
      <c r="FU114" s="26">
        <v>0</v>
      </c>
      <c r="FV114" s="26">
        <v>0</v>
      </c>
      <c r="FW114" s="26">
        <v>0</v>
      </c>
      <c r="FX114" s="26">
        <v>0</v>
      </c>
      <c r="FY114" s="26">
        <v>0</v>
      </c>
      <c r="FZ114" s="26">
        <v>0</v>
      </c>
      <c r="GA114" s="26">
        <v>0</v>
      </c>
      <c r="GB114" s="26">
        <v>0</v>
      </c>
      <c r="GC114" s="26">
        <v>0</v>
      </c>
      <c r="GD114" s="26">
        <v>0</v>
      </c>
      <c r="GE114" s="26">
        <v>0</v>
      </c>
      <c r="GF114" s="26">
        <v>0</v>
      </c>
      <c r="GG114" s="26">
        <v>0</v>
      </c>
      <c r="GH114" s="26">
        <v>0</v>
      </c>
      <c r="GI114" s="26">
        <v>0</v>
      </c>
      <c r="GJ114" s="26">
        <v>0</v>
      </c>
      <c r="GK114" s="26">
        <v>0</v>
      </c>
      <c r="GL114" s="26">
        <v>0</v>
      </c>
      <c r="GM114" s="26">
        <v>0</v>
      </c>
      <c r="GN114" s="26">
        <v>0</v>
      </c>
      <c r="GO114" s="26">
        <v>0</v>
      </c>
      <c r="GP114" s="26">
        <v>0</v>
      </c>
      <c r="GQ114" s="26">
        <v>0</v>
      </c>
      <c r="GR114" s="26">
        <v>0</v>
      </c>
      <c r="GS114" s="26">
        <v>0</v>
      </c>
      <c r="GT114" s="26">
        <v>0</v>
      </c>
      <c r="GU114" s="26">
        <v>0</v>
      </c>
      <c r="GV114" s="26">
        <v>0</v>
      </c>
      <c r="GW114" s="26">
        <v>0</v>
      </c>
      <c r="GX114" s="26">
        <v>0</v>
      </c>
      <c r="GY114" s="26">
        <v>0</v>
      </c>
      <c r="GZ114" s="26">
        <v>0</v>
      </c>
      <c r="HA114" s="26">
        <v>0</v>
      </c>
      <c r="HB114" s="26">
        <v>0</v>
      </c>
      <c r="HC114" s="26">
        <v>0</v>
      </c>
      <c r="HD114" s="26">
        <v>0</v>
      </c>
      <c r="HE114" s="26">
        <v>0</v>
      </c>
      <c r="HF114" s="26">
        <v>0</v>
      </c>
      <c r="HG114" s="26">
        <v>0</v>
      </c>
      <c r="HH114" s="26">
        <v>0</v>
      </c>
      <c r="HI114" s="26">
        <v>0</v>
      </c>
      <c r="HJ114" s="26">
        <v>0</v>
      </c>
      <c r="HK114" s="26">
        <v>0</v>
      </c>
      <c r="HL114" s="26">
        <v>0</v>
      </c>
      <c r="HM114" s="26">
        <v>0</v>
      </c>
      <c r="HN114" s="26">
        <v>0</v>
      </c>
      <c r="HO114" s="26">
        <v>0</v>
      </c>
      <c r="HP114" s="26">
        <v>0</v>
      </c>
      <c r="HQ114" s="26">
        <v>0</v>
      </c>
      <c r="HR114" s="26">
        <v>0</v>
      </c>
      <c r="HS114" s="26">
        <v>0</v>
      </c>
      <c r="HT114" s="26">
        <v>8.4504927342706083E-3</v>
      </c>
    </row>
    <row r="115" spans="2:228" x14ac:dyDescent="0.2">
      <c r="B115" s="27" t="s">
        <v>2878</v>
      </c>
      <c r="C115" s="26">
        <v>42638.759899999997</v>
      </c>
      <c r="D115" s="26">
        <v>-143.946304</v>
      </c>
      <c r="E115" s="26">
        <v>35280.318399999996</v>
      </c>
      <c r="F115" s="26">
        <v>2009.36331</v>
      </c>
      <c r="G115" s="26">
        <v>148.442677</v>
      </c>
      <c r="H115" s="26">
        <v>117.96069600000001</v>
      </c>
      <c r="I115" s="26">
        <v>49.4939982</v>
      </c>
      <c r="J115" s="26">
        <v>168.05837600000001</v>
      </c>
      <c r="K115" s="26">
        <v>200.58580499999999</v>
      </c>
      <c r="L115" s="26">
        <v>33.108547000000002</v>
      </c>
      <c r="M115" s="26">
        <v>0</v>
      </c>
      <c r="N115" s="26">
        <v>113.314937</v>
      </c>
      <c r="O115" s="26">
        <v>2.8596618399999998</v>
      </c>
      <c r="P115" s="26">
        <v>1.1998581100000001</v>
      </c>
      <c r="Q115" s="26">
        <v>39.055110800000001</v>
      </c>
      <c r="R115" s="26">
        <v>4.7594041799999998</v>
      </c>
      <c r="S115" s="26">
        <v>1220.83331</v>
      </c>
      <c r="T115" s="26">
        <v>65.653964400000007</v>
      </c>
      <c r="U115" s="26">
        <v>36.927139799999999</v>
      </c>
      <c r="V115" s="26">
        <v>33.3668026</v>
      </c>
      <c r="W115" s="26">
        <v>0</v>
      </c>
      <c r="X115" s="26">
        <v>56.345488799999998</v>
      </c>
      <c r="Y115" s="26">
        <v>76.808716500000003</v>
      </c>
      <c r="Z115" s="26">
        <v>17.194992599999999</v>
      </c>
      <c r="AA115" s="26">
        <v>42.792209800000002</v>
      </c>
      <c r="AB115" s="26">
        <v>1.97207106E-2</v>
      </c>
      <c r="AC115" s="26">
        <v>0</v>
      </c>
      <c r="AD115" s="26">
        <v>248.15580499999999</v>
      </c>
      <c r="AE115" s="26">
        <v>186.09805499999999</v>
      </c>
      <c r="AF115" s="26">
        <v>23.7526841</v>
      </c>
      <c r="AG115" s="26">
        <v>0</v>
      </c>
      <c r="AH115" s="26">
        <v>0</v>
      </c>
      <c r="AI115" s="26">
        <v>0</v>
      </c>
      <c r="AJ115" s="26">
        <v>0</v>
      </c>
      <c r="AK115" s="26">
        <v>0</v>
      </c>
      <c r="AL115" s="26">
        <v>0</v>
      </c>
      <c r="AM115" s="26">
        <v>1.33575797</v>
      </c>
      <c r="AN115" s="26">
        <v>1.9391162300000001E-2</v>
      </c>
      <c r="AO115" s="26">
        <v>1.05448748E-5</v>
      </c>
      <c r="AP115" s="26">
        <v>0</v>
      </c>
      <c r="AQ115" s="26">
        <v>0</v>
      </c>
      <c r="AR115" s="26">
        <v>0</v>
      </c>
      <c r="AS115" s="26">
        <v>51.4557766</v>
      </c>
      <c r="AT115" s="26">
        <v>0</v>
      </c>
      <c r="AU115" s="26">
        <v>0</v>
      </c>
      <c r="AV115" s="26">
        <v>1.9610105E-4</v>
      </c>
      <c r="AW115" s="26">
        <v>0</v>
      </c>
      <c r="AX115" s="26">
        <v>0</v>
      </c>
      <c r="AY115" s="26">
        <v>0</v>
      </c>
      <c r="AZ115" s="26">
        <v>0</v>
      </c>
      <c r="BA115" s="26">
        <v>0</v>
      </c>
      <c r="BB115" s="26">
        <v>0</v>
      </c>
      <c r="BC115" s="26">
        <v>0</v>
      </c>
      <c r="BD115" s="26">
        <v>0</v>
      </c>
      <c r="BE115" s="26">
        <v>0</v>
      </c>
      <c r="BF115" s="26">
        <v>0</v>
      </c>
      <c r="BG115" s="26">
        <v>0</v>
      </c>
      <c r="BH115" s="26">
        <v>0</v>
      </c>
      <c r="BI115" s="26">
        <v>0</v>
      </c>
      <c r="BJ115" s="26">
        <v>0</v>
      </c>
      <c r="BK115" s="26">
        <v>0</v>
      </c>
      <c r="BL115" s="26">
        <v>0</v>
      </c>
      <c r="BM115" s="26">
        <v>0</v>
      </c>
      <c r="BN115" s="26">
        <v>0</v>
      </c>
      <c r="BO115" s="26">
        <v>2022.5080499999997</v>
      </c>
      <c r="BP115" s="26">
        <v>40229.2808</v>
      </c>
      <c r="BQ115" s="26">
        <v>675.89857800000004</v>
      </c>
      <c r="BR115" s="26">
        <v>32.530559799999992</v>
      </c>
      <c r="BS115" s="26">
        <v>1</v>
      </c>
      <c r="BT115" s="26">
        <v>7.3848693000000002E-6</v>
      </c>
      <c r="BU115" s="26">
        <v>0.99999261500000003</v>
      </c>
      <c r="BV115" s="26">
        <v>0</v>
      </c>
      <c r="BW115" s="26">
        <v>-69795.261100000003</v>
      </c>
      <c r="BX115" s="26">
        <v>-3508.9237199999998</v>
      </c>
      <c r="BY115" s="26">
        <v>-141.16147900000001</v>
      </c>
      <c r="BZ115" s="26">
        <v>-40.539174099999997</v>
      </c>
      <c r="CA115" s="26">
        <v>-2.0380877900000001</v>
      </c>
      <c r="CB115" s="26">
        <v>4.9872078799999997E-2</v>
      </c>
      <c r="CC115" s="26">
        <v>0.99199499400000002</v>
      </c>
      <c r="CD115" s="26">
        <v>19.8907889</v>
      </c>
      <c r="CE115" s="26">
        <v>0</v>
      </c>
      <c r="CF115" s="26">
        <v>0</v>
      </c>
      <c r="CG115" s="26">
        <v>0</v>
      </c>
      <c r="CH115" s="26">
        <v>0</v>
      </c>
      <c r="CI115" s="26">
        <v>0</v>
      </c>
      <c r="CJ115" s="26">
        <v>0</v>
      </c>
      <c r="CK115" s="26">
        <v>0</v>
      </c>
      <c r="CL115" s="26">
        <v>0</v>
      </c>
      <c r="CM115" s="26">
        <v>0</v>
      </c>
      <c r="CN115" s="26">
        <v>0</v>
      </c>
      <c r="CO115" s="26">
        <v>0</v>
      </c>
      <c r="CP115" s="26">
        <v>0</v>
      </c>
      <c r="CQ115" s="26">
        <v>0</v>
      </c>
      <c r="CR115" s="26">
        <v>0</v>
      </c>
      <c r="CS115" s="26">
        <v>0</v>
      </c>
      <c r="CT115" s="26">
        <v>0</v>
      </c>
      <c r="CU115" s="26">
        <v>0</v>
      </c>
      <c r="CV115" s="26">
        <v>0</v>
      </c>
      <c r="CW115" s="26">
        <v>0</v>
      </c>
      <c r="CX115" s="26">
        <v>0</v>
      </c>
      <c r="CY115" s="26">
        <v>0</v>
      </c>
      <c r="CZ115" s="26">
        <v>0</v>
      </c>
      <c r="DA115" s="26">
        <v>0</v>
      </c>
      <c r="DB115" s="26">
        <v>0</v>
      </c>
      <c r="DC115" s="26">
        <v>0</v>
      </c>
      <c r="DD115" s="26">
        <v>0</v>
      </c>
      <c r="DE115" s="26">
        <v>0</v>
      </c>
      <c r="DF115" s="26">
        <v>0</v>
      </c>
      <c r="DG115" s="26">
        <v>0</v>
      </c>
      <c r="DH115" s="26">
        <v>0</v>
      </c>
      <c r="DI115" s="26">
        <v>0</v>
      </c>
      <c r="DJ115" s="26">
        <v>0</v>
      </c>
      <c r="DK115" s="26">
        <v>0</v>
      </c>
      <c r="DL115" s="26">
        <v>0</v>
      </c>
      <c r="DM115" s="26">
        <v>0</v>
      </c>
      <c r="DN115" s="26">
        <v>0</v>
      </c>
      <c r="DO115" s="26">
        <v>0</v>
      </c>
      <c r="DP115" s="26">
        <v>0</v>
      </c>
      <c r="DQ115" s="26">
        <v>0</v>
      </c>
      <c r="DR115" s="26">
        <v>0</v>
      </c>
      <c r="DS115" s="26">
        <v>0</v>
      </c>
      <c r="DT115" s="26">
        <v>0</v>
      </c>
      <c r="DU115" s="26">
        <v>0</v>
      </c>
      <c r="DV115" s="26">
        <v>0</v>
      </c>
      <c r="DW115" s="26">
        <v>0</v>
      </c>
      <c r="DX115" s="26">
        <v>125.46416599999999</v>
      </c>
      <c r="DY115" s="26">
        <v>3.0979670600000002</v>
      </c>
      <c r="DZ115" s="26">
        <v>1.2998463200000001</v>
      </c>
      <c r="EA115" s="26">
        <v>42.309997600000003</v>
      </c>
      <c r="EB115" s="26">
        <v>5.1560570600000002</v>
      </c>
      <c r="EC115" s="26">
        <v>1247.51917</v>
      </c>
      <c r="ED115" s="26">
        <v>0</v>
      </c>
      <c r="EE115" s="26">
        <v>306.439662</v>
      </c>
      <c r="EF115" s="26">
        <v>410.78476599999999</v>
      </c>
      <c r="EG115" s="26">
        <v>52.080320399999998</v>
      </c>
      <c r="EH115" s="26">
        <v>5.78671062</v>
      </c>
      <c r="EI115" s="26">
        <v>151.45052699999999</v>
      </c>
      <c r="EJ115" s="26">
        <v>10.780222800000001</v>
      </c>
      <c r="EK115" s="26">
        <v>0</v>
      </c>
      <c r="EL115" s="26">
        <v>47.309631600000003</v>
      </c>
      <c r="EM115" s="26">
        <v>0</v>
      </c>
      <c r="EN115" s="26">
        <v>0</v>
      </c>
      <c r="EO115" s="26">
        <v>0</v>
      </c>
      <c r="EP115" s="26">
        <v>39.428992800000003</v>
      </c>
      <c r="EQ115" s="26">
        <v>2409.4790400000002</v>
      </c>
      <c r="ER115" s="26">
        <v>28.9045907</v>
      </c>
      <c r="ES115" s="26">
        <v>32.530559799999992</v>
      </c>
      <c r="ET115" s="26">
        <v>1</v>
      </c>
      <c r="EU115" s="26">
        <v>0</v>
      </c>
      <c r="EV115" s="26">
        <v>0</v>
      </c>
      <c r="EW115" s="26">
        <v>1</v>
      </c>
      <c r="EX115" s="26">
        <v>-70628.872099999993</v>
      </c>
      <c r="EY115" s="26">
        <v>-1155.779</v>
      </c>
      <c r="EZ115" s="26">
        <v>-2.7848253199999999</v>
      </c>
      <c r="FA115" s="26">
        <v>-143.69242499999999</v>
      </c>
      <c r="FB115" s="26">
        <v>-2.35139941</v>
      </c>
      <c r="FC115" s="26">
        <v>2.2735138500000002E-2</v>
      </c>
      <c r="FD115" s="26">
        <v>1.3893289099999999</v>
      </c>
      <c r="FE115" s="26">
        <v>61.1093227</v>
      </c>
      <c r="FF115" s="26">
        <v>0</v>
      </c>
      <c r="FG115" s="26">
        <v>0.241090585</v>
      </c>
      <c r="FH115" s="26">
        <v>-167723983.72100002</v>
      </c>
      <c r="FI115" s="26">
        <v>4.924729511620058E-2</v>
      </c>
      <c r="FJ115" s="26">
        <v>1.9503613156028905E-7</v>
      </c>
      <c r="FK115" s="26">
        <v>6.412354106854388E-8</v>
      </c>
      <c r="FL115" s="26">
        <v>5.0335072069347236E-22</v>
      </c>
      <c r="FM115" s="26">
        <v>3.9999010042214305E-22</v>
      </c>
      <c r="FN115" s="26">
        <v>1.678280138426241E-22</v>
      </c>
      <c r="FO115" s="26">
        <v>1.2376281126788025E-19</v>
      </c>
      <c r="FP115" s="26">
        <v>1.4771690479284636E-19</v>
      </c>
      <c r="FQ115" s="26">
        <v>1.4950696814050019E-18</v>
      </c>
      <c r="FR115" s="26">
        <v>0</v>
      </c>
      <c r="FS115" s="26">
        <v>4.2692861174876226E-22</v>
      </c>
      <c r="FT115" s="26">
        <v>1.077414411397093E-23</v>
      </c>
      <c r="FU115" s="26">
        <v>4.5206198972760699E-24</v>
      </c>
      <c r="FV115" s="26">
        <v>3.2683126928131681E-20</v>
      </c>
      <c r="FW115" s="26">
        <v>3.9828900318631202E-21</v>
      </c>
      <c r="FX115" s="26">
        <v>4.1396944497842224E-21</v>
      </c>
      <c r="FY115" s="26">
        <v>1.1344395396310719E-15</v>
      </c>
      <c r="FZ115" s="26">
        <v>8.6285102079169704E-14</v>
      </c>
      <c r="GA115" s="26">
        <v>2.3300965491963281E-10</v>
      </c>
      <c r="GB115" s="26">
        <v>0</v>
      </c>
      <c r="GC115" s="26">
        <v>1.339719580162201E-14</v>
      </c>
      <c r="GD115" s="26">
        <v>5.8856739915298358E-20</v>
      </c>
      <c r="GE115" s="26">
        <v>1.1770637594165102E-16</v>
      </c>
      <c r="GF115" s="26">
        <v>4.9745459564630346E-17</v>
      </c>
      <c r="GG115" s="26">
        <v>2.2274266011527464E-12</v>
      </c>
      <c r="GH115" s="26">
        <v>0</v>
      </c>
      <c r="GI115" s="26">
        <v>0</v>
      </c>
      <c r="GJ115" s="26">
        <v>0</v>
      </c>
      <c r="GK115" s="26">
        <v>0</v>
      </c>
      <c r="GL115" s="26">
        <v>0</v>
      </c>
      <c r="GM115" s="26">
        <v>0</v>
      </c>
      <c r="GN115" s="26">
        <v>0</v>
      </c>
      <c r="GO115" s="26">
        <v>0</v>
      </c>
      <c r="GP115" s="26">
        <v>0</v>
      </c>
      <c r="GQ115" s="26">
        <v>0</v>
      </c>
      <c r="GR115" s="26">
        <v>2.3814782940518263E-20</v>
      </c>
      <c r="GS115" s="26">
        <v>3.7188411686396183E-8</v>
      </c>
      <c r="GT115" s="26">
        <v>3.6658085293264684E-11</v>
      </c>
      <c r="GU115" s="26">
        <v>0</v>
      </c>
      <c r="GV115" s="26">
        <v>0</v>
      </c>
      <c r="GW115" s="26">
        <v>0</v>
      </c>
      <c r="GX115" s="26">
        <v>3.8522570585958346E-6</v>
      </c>
      <c r="GY115" s="26">
        <v>0</v>
      </c>
      <c r="GZ115" s="26">
        <v>0</v>
      </c>
      <c r="HA115" s="26">
        <v>2.9171912177819743E-14</v>
      </c>
      <c r="HB115" s="26">
        <v>0</v>
      </c>
      <c r="HC115" s="26">
        <v>0</v>
      </c>
      <c r="HD115" s="26">
        <v>0</v>
      </c>
      <c r="HE115" s="26">
        <v>0</v>
      </c>
      <c r="HF115" s="26">
        <v>0</v>
      </c>
      <c r="HG115" s="26">
        <v>0</v>
      </c>
      <c r="HH115" s="26">
        <v>0</v>
      </c>
      <c r="HI115" s="26">
        <v>0</v>
      </c>
      <c r="HJ115" s="26">
        <v>0</v>
      </c>
      <c r="HK115" s="26">
        <v>0</v>
      </c>
      <c r="HL115" s="26">
        <v>0</v>
      </c>
      <c r="HM115" s="26">
        <v>0</v>
      </c>
      <c r="HN115" s="26">
        <v>0</v>
      </c>
      <c r="HO115" s="26">
        <v>0</v>
      </c>
      <c r="HP115" s="26">
        <v>0</v>
      </c>
      <c r="HQ115" s="26">
        <v>0</v>
      </c>
      <c r="HR115" s="26">
        <v>0</v>
      </c>
      <c r="HS115" s="26">
        <v>0</v>
      </c>
      <c r="HT115" s="26">
        <v>2.672245163044628E-2</v>
      </c>
    </row>
    <row r="116" spans="2:228" x14ac:dyDescent="0.2">
      <c r="B116" s="27" t="s">
        <v>1353</v>
      </c>
      <c r="C116" s="26">
        <v>451055.005</v>
      </c>
      <c r="D116" s="26">
        <v>-1535.7954999999999</v>
      </c>
      <c r="E116" s="26">
        <v>378839.27</v>
      </c>
      <c r="F116" s="26">
        <v>21940.651900000001</v>
      </c>
      <c r="G116" s="26">
        <v>521.24161500000002</v>
      </c>
      <c r="H116" s="26">
        <v>1144.21875</v>
      </c>
      <c r="I116" s="26">
        <v>480.09178300000008</v>
      </c>
      <c r="J116" s="26">
        <v>1061.9190599999999</v>
      </c>
      <c r="K116" s="26">
        <v>220.06017499999999</v>
      </c>
      <c r="L116" s="26">
        <v>331.08546999999999</v>
      </c>
      <c r="M116" s="26">
        <v>0</v>
      </c>
      <c r="N116" s="26">
        <v>1133.1493700000001</v>
      </c>
      <c r="O116" s="26">
        <v>28.596618400000004</v>
      </c>
      <c r="P116" s="26">
        <v>11.998581100000001</v>
      </c>
      <c r="Q116" s="26">
        <v>390.551108</v>
      </c>
      <c r="R116" s="26">
        <v>47.594041799999999</v>
      </c>
      <c r="S116" s="26">
        <v>12208.3331</v>
      </c>
      <c r="T116" s="26">
        <v>656.53966200000002</v>
      </c>
      <c r="U116" s="26">
        <v>369.27255600000001</v>
      </c>
      <c r="V116" s="26">
        <v>336.23084699999998</v>
      </c>
      <c r="W116" s="26">
        <v>0</v>
      </c>
      <c r="X116" s="26">
        <v>1695.10571</v>
      </c>
      <c r="Y116" s="26">
        <v>754.94826699999999</v>
      </c>
      <c r="Z116" s="26">
        <v>174.36925400000001</v>
      </c>
      <c r="AA116" s="26">
        <v>457.71920699999998</v>
      </c>
      <c r="AB116" s="26">
        <v>0.20290461600000001</v>
      </c>
      <c r="AC116" s="26">
        <v>0</v>
      </c>
      <c r="AD116" s="26">
        <v>2481.5580500000001</v>
      </c>
      <c r="AE116" s="26">
        <v>1860.9805500000002</v>
      </c>
      <c r="AF116" s="26">
        <v>128.83242999999999</v>
      </c>
      <c r="AG116" s="26">
        <v>0</v>
      </c>
      <c r="AH116" s="26">
        <v>0</v>
      </c>
      <c r="AI116" s="26">
        <v>0</v>
      </c>
      <c r="AJ116" s="26">
        <v>0</v>
      </c>
      <c r="AK116" s="26">
        <v>0</v>
      </c>
      <c r="AL116" s="26">
        <v>0</v>
      </c>
      <c r="AM116" s="26">
        <v>13.3575797</v>
      </c>
      <c r="AN116" s="26">
        <v>0.195389127</v>
      </c>
      <c r="AO116" s="26">
        <v>1.0418795699999999E-4</v>
      </c>
      <c r="AP116" s="26">
        <v>0</v>
      </c>
      <c r="AQ116" s="26">
        <v>0</v>
      </c>
      <c r="AR116" s="26">
        <v>0</v>
      </c>
      <c r="AS116" s="26">
        <v>548.94283299999995</v>
      </c>
      <c r="AT116" s="26">
        <v>0</v>
      </c>
      <c r="AU116" s="26">
        <v>0</v>
      </c>
      <c r="AV116" s="26">
        <v>2.07910249E-3</v>
      </c>
      <c r="AW116" s="26">
        <v>0</v>
      </c>
      <c r="AX116" s="26">
        <v>0</v>
      </c>
      <c r="AY116" s="26">
        <v>0</v>
      </c>
      <c r="AZ116" s="26">
        <v>0</v>
      </c>
      <c r="BA116" s="26">
        <v>0</v>
      </c>
      <c r="BB116" s="26">
        <v>0</v>
      </c>
      <c r="BC116" s="26">
        <v>0</v>
      </c>
      <c r="BD116" s="26">
        <v>0</v>
      </c>
      <c r="BE116" s="26">
        <v>0</v>
      </c>
      <c r="BF116" s="26">
        <v>0</v>
      </c>
      <c r="BG116" s="26">
        <v>0</v>
      </c>
      <c r="BH116" s="26">
        <v>0</v>
      </c>
      <c r="BI116" s="26">
        <v>0</v>
      </c>
      <c r="BJ116" s="26">
        <v>0</v>
      </c>
      <c r="BK116" s="26">
        <v>0</v>
      </c>
      <c r="BL116" s="26">
        <v>0</v>
      </c>
      <c r="BM116" s="26">
        <v>0</v>
      </c>
      <c r="BN116" s="26">
        <v>0</v>
      </c>
      <c r="BO116" s="26">
        <v>21701.4948</v>
      </c>
      <c r="BP116" s="26">
        <v>427837.01899999997</v>
      </c>
      <c r="BQ116" s="26">
        <v>7167.2101199999997</v>
      </c>
      <c r="BR116" s="26">
        <v>32.398413199999993</v>
      </c>
      <c r="BS116" s="26">
        <v>6.0149875499999998</v>
      </c>
      <c r="BT116" s="26">
        <v>0</v>
      </c>
      <c r="BU116" s="26">
        <v>1</v>
      </c>
      <c r="BV116" s="26">
        <v>0</v>
      </c>
      <c r="BW116" s="26">
        <v>-69532.337199999994</v>
      </c>
      <c r="BX116" s="26">
        <v>-3526.9403699999998</v>
      </c>
      <c r="BY116" s="26">
        <v>-1508.9556700000001</v>
      </c>
      <c r="BZ116" s="26">
        <v>-40.273580699999997</v>
      </c>
      <c r="CA116" s="26">
        <v>-2.0428267400000002</v>
      </c>
      <c r="CB116" s="26">
        <v>5.0464765299999999E-2</v>
      </c>
      <c r="CC116" s="26">
        <v>0.99489435699999995</v>
      </c>
      <c r="CD116" s="26">
        <v>19.714633599999999</v>
      </c>
      <c r="CE116" s="26">
        <v>0</v>
      </c>
      <c r="CF116" s="26">
        <v>0</v>
      </c>
      <c r="CG116" s="26">
        <v>0</v>
      </c>
      <c r="CH116" s="26">
        <v>0</v>
      </c>
      <c r="CI116" s="26">
        <v>0</v>
      </c>
      <c r="CJ116" s="26">
        <v>0</v>
      </c>
      <c r="CK116" s="26">
        <v>0</v>
      </c>
      <c r="CL116" s="26">
        <v>0</v>
      </c>
      <c r="CM116" s="26">
        <v>0</v>
      </c>
      <c r="CN116" s="26">
        <v>0</v>
      </c>
      <c r="CO116" s="26">
        <v>0</v>
      </c>
      <c r="CP116" s="26">
        <v>0</v>
      </c>
      <c r="CQ116" s="26">
        <v>0</v>
      </c>
      <c r="CR116" s="26">
        <v>0</v>
      </c>
      <c r="CS116" s="26">
        <v>0</v>
      </c>
      <c r="CT116" s="26">
        <v>0</v>
      </c>
      <c r="CU116" s="26">
        <v>0</v>
      </c>
      <c r="CV116" s="26">
        <v>0</v>
      </c>
      <c r="CW116" s="26">
        <v>0</v>
      </c>
      <c r="CX116" s="26">
        <v>0</v>
      </c>
      <c r="CY116" s="26">
        <v>0</v>
      </c>
      <c r="CZ116" s="26">
        <v>0</v>
      </c>
      <c r="DA116" s="26">
        <v>0</v>
      </c>
      <c r="DB116" s="26">
        <v>0</v>
      </c>
      <c r="DC116" s="26">
        <v>0</v>
      </c>
      <c r="DD116" s="26">
        <v>0</v>
      </c>
      <c r="DE116" s="26">
        <v>0</v>
      </c>
      <c r="DF116" s="26">
        <v>0</v>
      </c>
      <c r="DG116" s="26">
        <v>0</v>
      </c>
      <c r="DH116" s="26">
        <v>0</v>
      </c>
      <c r="DI116" s="26">
        <v>0</v>
      </c>
      <c r="DJ116" s="26">
        <v>0</v>
      </c>
      <c r="DK116" s="26">
        <v>0</v>
      </c>
      <c r="DL116" s="26">
        <v>0</v>
      </c>
      <c r="DM116" s="26">
        <v>0</v>
      </c>
      <c r="DN116" s="26">
        <v>0</v>
      </c>
      <c r="DO116" s="26">
        <v>0</v>
      </c>
      <c r="DP116" s="26">
        <v>0</v>
      </c>
      <c r="DQ116" s="26">
        <v>0</v>
      </c>
      <c r="DR116" s="26">
        <v>0</v>
      </c>
      <c r="DS116" s="26">
        <v>0</v>
      </c>
      <c r="DT116" s="26">
        <v>0</v>
      </c>
      <c r="DU116" s="26">
        <v>0</v>
      </c>
      <c r="DV116" s="26">
        <v>0</v>
      </c>
      <c r="DW116" s="26">
        <v>0</v>
      </c>
      <c r="DX116" s="26">
        <v>1254.64166</v>
      </c>
      <c r="DY116" s="26">
        <v>30.979670600000002</v>
      </c>
      <c r="DZ116" s="26">
        <v>12.9984632</v>
      </c>
      <c r="EA116" s="26">
        <v>423.09997600000003</v>
      </c>
      <c r="EB116" s="26">
        <v>51.560570599999998</v>
      </c>
      <c r="EC116" s="26">
        <v>12475.191699999999</v>
      </c>
      <c r="ED116" s="26">
        <v>0</v>
      </c>
      <c r="EE116" s="26">
        <v>2866.1133199999999</v>
      </c>
      <c r="EF116" s="26">
        <v>4107.8476600000004</v>
      </c>
      <c r="EG116" s="26">
        <v>520.80320400000005</v>
      </c>
      <c r="EH116" s="26">
        <v>57.867106200000009</v>
      </c>
      <c r="EI116" s="26">
        <v>835.98422900000003</v>
      </c>
      <c r="EJ116" s="26">
        <v>107.802228</v>
      </c>
      <c r="EK116" s="26">
        <v>0</v>
      </c>
      <c r="EL116" s="26">
        <v>473.096316</v>
      </c>
      <c r="EM116" s="26">
        <v>0</v>
      </c>
      <c r="EN116" s="26">
        <v>0</v>
      </c>
      <c r="EO116" s="26">
        <v>0</v>
      </c>
      <c r="EP116" s="26">
        <v>358.05578400000002</v>
      </c>
      <c r="EQ116" s="26">
        <v>23217.986099999998</v>
      </c>
      <c r="ER116" s="26">
        <v>279.315539</v>
      </c>
      <c r="ES116" s="26">
        <v>32.398413199999993</v>
      </c>
      <c r="ET116" s="26">
        <v>6.0149875499999998</v>
      </c>
      <c r="EU116" s="26">
        <v>0</v>
      </c>
      <c r="EV116" s="26">
        <v>0</v>
      </c>
      <c r="EW116" s="26">
        <v>1</v>
      </c>
      <c r="EX116" s="26">
        <v>-74959.919800000003</v>
      </c>
      <c r="EY116" s="26">
        <v>-1155.99315</v>
      </c>
      <c r="EZ116" s="26">
        <v>-26.8398331</v>
      </c>
      <c r="FA116" s="26">
        <v>-149.15582900000001</v>
      </c>
      <c r="FB116" s="26">
        <v>-2.3002041200000001</v>
      </c>
      <c r="FC116" s="26">
        <v>2.1365070999999999E-2</v>
      </c>
      <c r="FD116" s="26">
        <v>1.38540961</v>
      </c>
      <c r="FE116" s="26">
        <v>64.844605700000002</v>
      </c>
      <c r="FF116" s="26">
        <v>0</v>
      </c>
      <c r="FG116" s="26">
        <v>0.22839479600000001</v>
      </c>
      <c r="FH116" s="26">
        <v>-1789422735.8</v>
      </c>
      <c r="FI116" s="26">
        <v>0.49403261784114982</v>
      </c>
      <c r="FJ116" s="26">
        <v>0</v>
      </c>
      <c r="FK116" s="26">
        <v>0</v>
      </c>
      <c r="FL116" s="26">
        <v>0</v>
      </c>
      <c r="FM116" s="26">
        <v>0</v>
      </c>
      <c r="FN116" s="26">
        <v>0</v>
      </c>
      <c r="FO116" s="26">
        <v>0</v>
      </c>
      <c r="FP116" s="26">
        <v>0</v>
      </c>
      <c r="FQ116" s="26">
        <v>0</v>
      </c>
      <c r="FR116" s="26">
        <v>0</v>
      </c>
      <c r="FS116" s="26">
        <v>0</v>
      </c>
      <c r="FT116" s="26">
        <v>0</v>
      </c>
      <c r="FU116" s="26">
        <v>0</v>
      </c>
      <c r="FV116" s="26">
        <v>0</v>
      </c>
      <c r="FW116" s="26">
        <v>0</v>
      </c>
      <c r="FX116" s="26">
        <v>0</v>
      </c>
      <c r="FY116" s="26">
        <v>0</v>
      </c>
      <c r="FZ116" s="26">
        <v>0</v>
      </c>
      <c r="GA116" s="26">
        <v>0</v>
      </c>
      <c r="GB116" s="26">
        <v>0</v>
      </c>
      <c r="GC116" s="26">
        <v>0</v>
      </c>
      <c r="GD116" s="26">
        <v>0</v>
      </c>
      <c r="GE116" s="26">
        <v>0</v>
      </c>
      <c r="GF116" s="26">
        <v>0</v>
      </c>
      <c r="GG116" s="26">
        <v>0</v>
      </c>
      <c r="GH116" s="26">
        <v>0</v>
      </c>
      <c r="GI116" s="26">
        <v>0</v>
      </c>
      <c r="GJ116" s="26">
        <v>0</v>
      </c>
      <c r="GK116" s="26">
        <v>0</v>
      </c>
      <c r="GL116" s="26">
        <v>0</v>
      </c>
      <c r="GM116" s="26">
        <v>0</v>
      </c>
      <c r="GN116" s="26">
        <v>0</v>
      </c>
      <c r="GO116" s="26">
        <v>0</v>
      </c>
      <c r="GP116" s="26">
        <v>0</v>
      </c>
      <c r="GQ116" s="26">
        <v>0</v>
      </c>
      <c r="GR116" s="26">
        <v>0</v>
      </c>
      <c r="GS116" s="26">
        <v>0</v>
      </c>
      <c r="GT116" s="26">
        <v>0</v>
      </c>
      <c r="GU116" s="26">
        <v>0</v>
      </c>
      <c r="GV116" s="26">
        <v>0</v>
      </c>
      <c r="GW116" s="26">
        <v>0</v>
      </c>
      <c r="GX116" s="26">
        <v>0</v>
      </c>
      <c r="GY116" s="26">
        <v>0</v>
      </c>
      <c r="GZ116" s="26">
        <v>0</v>
      </c>
      <c r="HA116" s="26">
        <v>0</v>
      </c>
      <c r="HB116" s="26">
        <v>0</v>
      </c>
      <c r="HC116" s="26">
        <v>0</v>
      </c>
      <c r="HD116" s="26">
        <v>0</v>
      </c>
      <c r="HE116" s="26">
        <v>0</v>
      </c>
      <c r="HF116" s="26">
        <v>0</v>
      </c>
      <c r="HG116" s="26">
        <v>0</v>
      </c>
      <c r="HH116" s="26">
        <v>0</v>
      </c>
      <c r="HI116" s="26">
        <v>0</v>
      </c>
      <c r="HJ116" s="26">
        <v>0</v>
      </c>
      <c r="HK116" s="26">
        <v>0</v>
      </c>
      <c r="HL116" s="26">
        <v>0</v>
      </c>
      <c r="HM116" s="26">
        <v>0</v>
      </c>
      <c r="HN116" s="26">
        <v>0</v>
      </c>
      <c r="HO116" s="26">
        <v>0</v>
      </c>
      <c r="HP116" s="26">
        <v>0</v>
      </c>
      <c r="HQ116" s="26">
        <v>0</v>
      </c>
      <c r="HR116" s="26">
        <v>0</v>
      </c>
      <c r="HS116" s="26">
        <v>0</v>
      </c>
      <c r="HT116" s="26">
        <v>0.25715947622394247</v>
      </c>
    </row>
    <row r="117" spans="2:228" x14ac:dyDescent="0.2">
      <c r="B117" s="27" t="s">
        <v>1356</v>
      </c>
      <c r="C117" s="26">
        <v>27192.394899999999</v>
      </c>
      <c r="D117" s="26">
        <v>-101.701004</v>
      </c>
      <c r="E117" s="26">
        <v>26737.816500000001</v>
      </c>
      <c r="F117" s="26">
        <v>423.65937000000002</v>
      </c>
      <c r="G117" s="26">
        <v>0</v>
      </c>
      <c r="H117" s="26">
        <v>0</v>
      </c>
      <c r="I117" s="26">
        <v>0</v>
      </c>
      <c r="J117" s="26">
        <v>1.33988674E-9</v>
      </c>
      <c r="K117" s="26">
        <v>4.6315293900000007E-10</v>
      </c>
      <c r="L117" s="26">
        <v>5.7453129300000008E-8</v>
      </c>
      <c r="M117" s="26">
        <v>0</v>
      </c>
      <c r="N117" s="26">
        <v>0</v>
      </c>
      <c r="O117" s="26">
        <v>0</v>
      </c>
      <c r="P117" s="26">
        <v>0</v>
      </c>
      <c r="Q117" s="26">
        <v>4.6732016300000002E-10</v>
      </c>
      <c r="R117" s="26">
        <v>0</v>
      </c>
      <c r="S117" s="26">
        <v>0</v>
      </c>
      <c r="T117" s="26">
        <v>1.9397659099999998E-5</v>
      </c>
      <c r="U117" s="26">
        <v>1.22907121E-3</v>
      </c>
      <c r="V117" s="26">
        <v>2.7070171599999999</v>
      </c>
      <c r="W117" s="26">
        <v>0</v>
      </c>
      <c r="X117" s="26">
        <v>3.8075802599999998E-4</v>
      </c>
      <c r="Y117" s="26">
        <v>9.8207374799999997E-10</v>
      </c>
      <c r="Z117" s="26">
        <v>1.2351166500000001E-6</v>
      </c>
      <c r="AA117" s="26">
        <v>6.982452E-7</v>
      </c>
      <c r="AB117" s="26">
        <v>5.98315316E-3</v>
      </c>
      <c r="AC117" s="26">
        <v>0</v>
      </c>
      <c r="AD117" s="26">
        <v>0</v>
      </c>
      <c r="AE117" s="26">
        <v>0</v>
      </c>
      <c r="AF117" s="26">
        <v>0</v>
      </c>
      <c r="AG117" s="26">
        <v>0</v>
      </c>
      <c r="AH117" s="26">
        <v>0</v>
      </c>
      <c r="AI117" s="26">
        <v>0</v>
      </c>
      <c r="AJ117" s="26">
        <v>0</v>
      </c>
      <c r="AK117" s="26">
        <v>0</v>
      </c>
      <c r="AL117" s="26">
        <v>0</v>
      </c>
      <c r="AM117" s="26">
        <v>7.3886057200000002E-10</v>
      </c>
      <c r="AN117" s="26">
        <v>9.7753965999999998E-3</v>
      </c>
      <c r="AO117" s="26">
        <v>5.20442532E-6</v>
      </c>
      <c r="AP117" s="26">
        <v>0</v>
      </c>
      <c r="AQ117" s="26">
        <v>0</v>
      </c>
      <c r="AR117" s="26">
        <v>0</v>
      </c>
      <c r="AS117" s="26">
        <v>28.194529800000002</v>
      </c>
      <c r="AT117" s="26">
        <v>0</v>
      </c>
      <c r="AU117" s="26">
        <v>0</v>
      </c>
      <c r="AV117" s="26">
        <v>1.3093636999999999E-4</v>
      </c>
      <c r="AW117" s="26">
        <v>0</v>
      </c>
      <c r="AX117" s="26">
        <v>0</v>
      </c>
      <c r="AY117" s="26">
        <v>0</v>
      </c>
      <c r="AZ117" s="26">
        <v>0</v>
      </c>
      <c r="BA117" s="26">
        <v>0</v>
      </c>
      <c r="BB117" s="26">
        <v>0</v>
      </c>
      <c r="BC117" s="26">
        <v>0</v>
      </c>
      <c r="BD117" s="26">
        <v>0</v>
      </c>
      <c r="BE117" s="26">
        <v>0</v>
      </c>
      <c r="BF117" s="26">
        <v>0</v>
      </c>
      <c r="BG117" s="26">
        <v>0</v>
      </c>
      <c r="BH117" s="26">
        <v>0</v>
      </c>
      <c r="BI117" s="26">
        <v>0</v>
      </c>
      <c r="BJ117" s="26">
        <v>0</v>
      </c>
      <c r="BK117" s="26">
        <v>0</v>
      </c>
      <c r="BL117" s="26">
        <v>0</v>
      </c>
      <c r="BM117" s="26">
        <v>0</v>
      </c>
      <c r="BN117" s="26">
        <v>0</v>
      </c>
      <c r="BO117" s="26">
        <v>1494.0400199999999</v>
      </c>
      <c r="BP117" s="26">
        <v>27192.394899999999</v>
      </c>
      <c r="BQ117" s="26">
        <v>461.70022799999998</v>
      </c>
      <c r="BR117" s="26">
        <v>34.233848000000023</v>
      </c>
      <c r="BS117" s="26">
        <v>4.3022982000000001</v>
      </c>
      <c r="BT117" s="26">
        <v>0</v>
      </c>
      <c r="BU117" s="26">
        <v>1</v>
      </c>
      <c r="BV117" s="26">
        <v>0</v>
      </c>
      <c r="BW117" s="26">
        <v>-68071.137300000002</v>
      </c>
      <c r="BX117" s="26">
        <v>-3740.0531900000001</v>
      </c>
      <c r="BY117" s="26">
        <v>-101.701004</v>
      </c>
      <c r="BZ117" s="26">
        <v>-38.529875699999998</v>
      </c>
      <c r="CA117" s="26">
        <v>-2.1169586800000002</v>
      </c>
      <c r="CB117" s="26">
        <v>5.3932541600000002E-2</v>
      </c>
      <c r="CC117" s="26">
        <v>0.98160353700000003</v>
      </c>
      <c r="CD117" s="26">
        <v>18.200579999999999</v>
      </c>
      <c r="CE117" s="26">
        <v>456.01676300000003</v>
      </c>
      <c r="CF117" s="26">
        <v>0</v>
      </c>
      <c r="CG117" s="26">
        <v>0</v>
      </c>
      <c r="CH117" s="26">
        <v>0</v>
      </c>
      <c r="CI117" s="26">
        <v>0</v>
      </c>
      <c r="CJ117" s="26">
        <v>0</v>
      </c>
      <c r="CK117" s="26">
        <v>0</v>
      </c>
      <c r="CL117" s="26">
        <v>0</v>
      </c>
      <c r="CM117" s="26">
        <v>0</v>
      </c>
      <c r="CN117" s="26">
        <v>0</v>
      </c>
      <c r="CO117" s="26">
        <v>0</v>
      </c>
      <c r="CP117" s="26">
        <v>0</v>
      </c>
      <c r="CQ117" s="26">
        <v>0</v>
      </c>
      <c r="CR117" s="26">
        <v>0</v>
      </c>
      <c r="CS117" s="26">
        <v>0</v>
      </c>
      <c r="CT117" s="26">
        <v>0</v>
      </c>
      <c r="CU117" s="26">
        <v>0</v>
      </c>
      <c r="CV117" s="26">
        <v>0</v>
      </c>
      <c r="CW117" s="26">
        <v>0</v>
      </c>
      <c r="CX117" s="26">
        <v>0</v>
      </c>
      <c r="CY117" s="26">
        <v>0</v>
      </c>
      <c r="CZ117" s="26">
        <v>0</v>
      </c>
      <c r="DA117" s="26">
        <v>0</v>
      </c>
      <c r="DB117" s="26">
        <v>0</v>
      </c>
      <c r="DC117" s="26">
        <v>0</v>
      </c>
      <c r="DD117" s="26">
        <v>0</v>
      </c>
      <c r="DE117" s="26">
        <v>0</v>
      </c>
      <c r="DF117" s="26">
        <v>0</v>
      </c>
      <c r="DG117" s="26">
        <v>0</v>
      </c>
      <c r="DH117" s="26">
        <v>0</v>
      </c>
      <c r="DI117" s="26">
        <v>0</v>
      </c>
      <c r="DJ117" s="26">
        <v>0</v>
      </c>
      <c r="DK117" s="26">
        <v>0</v>
      </c>
      <c r="DL117" s="26">
        <v>0</v>
      </c>
      <c r="DM117" s="26">
        <v>0</v>
      </c>
      <c r="DN117" s="26">
        <v>0</v>
      </c>
      <c r="DO117" s="26">
        <v>0</v>
      </c>
      <c r="DP117" s="26">
        <v>0</v>
      </c>
      <c r="DQ117" s="26">
        <v>0</v>
      </c>
      <c r="DR117" s="26">
        <v>0</v>
      </c>
      <c r="DS117" s="26">
        <v>0</v>
      </c>
      <c r="DT117" s="26">
        <v>0</v>
      </c>
      <c r="DU117" s="26">
        <v>0</v>
      </c>
      <c r="DV117" s="26">
        <v>0</v>
      </c>
      <c r="DW117" s="26">
        <v>0</v>
      </c>
      <c r="DX117" s="26">
        <v>0</v>
      </c>
      <c r="DY117" s="26">
        <v>0</v>
      </c>
      <c r="DZ117" s="26">
        <v>0</v>
      </c>
      <c r="EA117" s="26">
        <v>0</v>
      </c>
      <c r="EB117" s="26">
        <v>0</v>
      </c>
      <c r="EC117" s="26">
        <v>0</v>
      </c>
      <c r="ED117" s="26">
        <v>0</v>
      </c>
      <c r="EE117" s="26">
        <v>0</v>
      </c>
      <c r="EF117" s="26">
        <v>0</v>
      </c>
      <c r="EG117" s="26">
        <v>0</v>
      </c>
      <c r="EH117" s="26">
        <v>0</v>
      </c>
      <c r="EI117" s="26">
        <v>0</v>
      </c>
      <c r="EJ117" s="26">
        <v>0</v>
      </c>
      <c r="EK117" s="26">
        <v>0</v>
      </c>
      <c r="EL117" s="26">
        <v>0</v>
      </c>
      <c r="EM117" s="26">
        <v>0</v>
      </c>
      <c r="EN117" s="26">
        <v>0</v>
      </c>
      <c r="EO117" s="26">
        <v>0</v>
      </c>
      <c r="EP117" s="26">
        <v>0</v>
      </c>
      <c r="EQ117" s="26">
        <v>0</v>
      </c>
      <c r="ER117" s="26">
        <v>0</v>
      </c>
      <c r="ES117" s="26">
        <v>0</v>
      </c>
      <c r="ET117" s="26">
        <v>4.3022982000000001</v>
      </c>
      <c r="EU117" s="26">
        <v>0</v>
      </c>
      <c r="EV117" s="26">
        <v>0</v>
      </c>
      <c r="EW117" s="26">
        <v>0</v>
      </c>
      <c r="EX117" s="26">
        <v>0</v>
      </c>
      <c r="EY117" s="26">
        <v>0</v>
      </c>
      <c r="EZ117" s="26">
        <v>0</v>
      </c>
      <c r="FA117" s="26">
        <v>0</v>
      </c>
      <c r="FB117" s="26">
        <v>0</v>
      </c>
      <c r="FC117" s="26">
        <v>0</v>
      </c>
      <c r="FD117" s="26">
        <v>0</v>
      </c>
      <c r="FE117" s="26">
        <v>0</v>
      </c>
      <c r="FF117" s="26">
        <v>0</v>
      </c>
      <c r="FG117" s="26">
        <v>3.2632053600000002E-2</v>
      </c>
      <c r="FH117" s="26">
        <v>-118546413.58399999</v>
      </c>
      <c r="FI117" s="26">
        <v>5.3260965148309936E-3</v>
      </c>
      <c r="FJ117" s="26">
        <v>0</v>
      </c>
      <c r="FK117" s="26">
        <v>0</v>
      </c>
      <c r="FL117" s="26">
        <v>0</v>
      </c>
      <c r="FM117" s="26">
        <v>0</v>
      </c>
      <c r="FN117" s="26">
        <v>0</v>
      </c>
      <c r="FO117" s="26">
        <v>0</v>
      </c>
      <c r="FP117" s="26">
        <v>0</v>
      </c>
      <c r="FQ117" s="26">
        <v>0</v>
      </c>
      <c r="FR117" s="26">
        <v>0</v>
      </c>
      <c r="FS117" s="26">
        <v>0</v>
      </c>
      <c r="FT117" s="26">
        <v>0</v>
      </c>
      <c r="FU117" s="26">
        <v>0</v>
      </c>
      <c r="FV117" s="26">
        <v>0</v>
      </c>
      <c r="FW117" s="26">
        <v>0</v>
      </c>
      <c r="FX117" s="26">
        <v>0</v>
      </c>
      <c r="FY117" s="26">
        <v>0</v>
      </c>
      <c r="FZ117" s="26">
        <v>0</v>
      </c>
      <c r="GA117" s="26">
        <v>0</v>
      </c>
      <c r="GB117" s="26">
        <v>0</v>
      </c>
      <c r="GC117" s="26">
        <v>0</v>
      </c>
      <c r="GD117" s="26">
        <v>0</v>
      </c>
      <c r="GE117" s="26">
        <v>0</v>
      </c>
      <c r="GF117" s="26">
        <v>0</v>
      </c>
      <c r="GG117" s="26">
        <v>0</v>
      </c>
      <c r="GH117" s="26">
        <v>0</v>
      </c>
      <c r="GI117" s="26">
        <v>0</v>
      </c>
      <c r="GJ117" s="26">
        <v>0</v>
      </c>
      <c r="GK117" s="26">
        <v>0</v>
      </c>
      <c r="GL117" s="26">
        <v>0</v>
      </c>
      <c r="GM117" s="26">
        <v>0</v>
      </c>
      <c r="GN117" s="26">
        <v>0</v>
      </c>
      <c r="GO117" s="26">
        <v>0</v>
      </c>
      <c r="GP117" s="26">
        <v>0</v>
      </c>
      <c r="GQ117" s="26">
        <v>0</v>
      </c>
      <c r="GR117" s="26">
        <v>0</v>
      </c>
      <c r="GS117" s="26">
        <v>0</v>
      </c>
      <c r="GT117" s="26">
        <v>0</v>
      </c>
      <c r="GU117" s="26">
        <v>0</v>
      </c>
      <c r="GV117" s="26">
        <v>0</v>
      </c>
      <c r="GW117" s="26">
        <v>0</v>
      </c>
      <c r="GX117" s="26">
        <v>0</v>
      </c>
      <c r="GY117" s="26">
        <v>0</v>
      </c>
      <c r="GZ117" s="26">
        <v>0</v>
      </c>
      <c r="HA117" s="26">
        <v>0</v>
      </c>
      <c r="HB117" s="26">
        <v>0</v>
      </c>
      <c r="HC117" s="26">
        <v>0</v>
      </c>
      <c r="HD117" s="26">
        <v>0</v>
      </c>
      <c r="HE117" s="26">
        <v>0</v>
      </c>
      <c r="HF117" s="26">
        <v>0</v>
      </c>
      <c r="HG117" s="26">
        <v>0</v>
      </c>
      <c r="HH117" s="26">
        <v>0</v>
      </c>
      <c r="HI117" s="26">
        <v>0</v>
      </c>
      <c r="HJ117" s="26">
        <v>0</v>
      </c>
      <c r="HK117" s="26">
        <v>0</v>
      </c>
      <c r="HL117" s="26">
        <v>0</v>
      </c>
      <c r="HM117" s="26">
        <v>0</v>
      </c>
      <c r="HN117" s="26">
        <v>0</v>
      </c>
      <c r="HO117" s="26">
        <v>0</v>
      </c>
      <c r="HP117" s="26">
        <v>0</v>
      </c>
      <c r="HQ117" s="26">
        <v>0</v>
      </c>
      <c r="HR117" s="26">
        <v>0</v>
      </c>
      <c r="HS117" s="26">
        <v>0</v>
      </c>
      <c r="HT117" s="26">
        <v>0</v>
      </c>
    </row>
    <row r="118" spans="2:228" x14ac:dyDescent="0.2">
      <c r="B118" s="27" t="s">
        <v>2401</v>
      </c>
      <c r="C118" s="26">
        <v>13291.2611</v>
      </c>
      <c r="D118" s="26">
        <v>-44.137813800000004</v>
      </c>
      <c r="E118" s="26">
        <v>10571.4236</v>
      </c>
      <c r="F118" s="26">
        <v>60.439610399999999</v>
      </c>
      <c r="G118" s="26">
        <v>806.04373399999997</v>
      </c>
      <c r="H118" s="26">
        <v>35.3882087</v>
      </c>
      <c r="I118" s="26">
        <v>14.848199500000002</v>
      </c>
      <c r="J118" s="26">
        <v>449.90215899999998</v>
      </c>
      <c r="K118" s="26">
        <v>60.229954000000006</v>
      </c>
      <c r="L118" s="26">
        <v>9.9325640899999996</v>
      </c>
      <c r="M118" s="26">
        <v>0</v>
      </c>
      <c r="N118" s="26">
        <v>33.994481</v>
      </c>
      <c r="O118" s="26">
        <v>0.85789855199999998</v>
      </c>
      <c r="P118" s="26">
        <v>0.35995743400000002</v>
      </c>
      <c r="Q118" s="26">
        <v>11.716533200000001</v>
      </c>
      <c r="R118" s="26">
        <v>1.42782125</v>
      </c>
      <c r="S118" s="26">
        <v>366.24999200000002</v>
      </c>
      <c r="T118" s="26">
        <v>19.696189799999999</v>
      </c>
      <c r="U118" s="26">
        <v>11.0781732</v>
      </c>
      <c r="V118" s="26">
        <v>10.0753857</v>
      </c>
      <c r="W118" s="26">
        <v>0</v>
      </c>
      <c r="X118" s="26">
        <v>9.8608033000000006</v>
      </c>
      <c r="Y118" s="26">
        <v>2.3042628000000001</v>
      </c>
      <c r="Z118" s="26">
        <v>0.51593272599999995</v>
      </c>
      <c r="AA118" s="26">
        <v>1.2838475199999999</v>
      </c>
      <c r="AB118" s="26">
        <v>6.02577254E-3</v>
      </c>
      <c r="AC118" s="26">
        <v>0</v>
      </c>
      <c r="AD118" s="26">
        <v>74.446741500000002</v>
      </c>
      <c r="AE118" s="26">
        <v>55.829416399999999</v>
      </c>
      <c r="AF118" s="26">
        <v>4.1953390500000003</v>
      </c>
      <c r="AG118" s="26">
        <v>0</v>
      </c>
      <c r="AH118" s="26">
        <v>0</v>
      </c>
      <c r="AI118" s="26">
        <v>0</v>
      </c>
      <c r="AJ118" s="26">
        <v>0</v>
      </c>
      <c r="AK118" s="26">
        <v>0</v>
      </c>
      <c r="AL118" s="26">
        <v>0</v>
      </c>
      <c r="AM118" s="26">
        <v>0.40072739099999999</v>
      </c>
      <c r="AN118" s="26">
        <v>2.7097778099999998E-3</v>
      </c>
      <c r="AO118" s="26">
        <v>4.7176222600000001E-3</v>
      </c>
      <c r="AP118" s="26">
        <v>0</v>
      </c>
      <c r="AQ118" s="26">
        <v>0</v>
      </c>
      <c r="AR118" s="26">
        <v>0</v>
      </c>
      <c r="AS118" s="26">
        <v>1.5667097000000001</v>
      </c>
      <c r="AT118" s="26">
        <v>0</v>
      </c>
      <c r="AU118" s="26">
        <v>0</v>
      </c>
      <c r="AV118" s="26">
        <v>6.4340528199999998E-5</v>
      </c>
      <c r="AW118" s="26">
        <v>0</v>
      </c>
      <c r="AX118" s="26">
        <v>0</v>
      </c>
      <c r="AY118" s="26">
        <v>0</v>
      </c>
      <c r="AZ118" s="26">
        <v>0</v>
      </c>
      <c r="BA118" s="26">
        <v>0</v>
      </c>
      <c r="BB118" s="26">
        <v>0</v>
      </c>
      <c r="BC118" s="26">
        <v>0</v>
      </c>
      <c r="BD118" s="26">
        <v>0</v>
      </c>
      <c r="BE118" s="26">
        <v>0</v>
      </c>
      <c r="BF118" s="26">
        <v>0</v>
      </c>
      <c r="BG118" s="26">
        <v>0</v>
      </c>
      <c r="BH118" s="26">
        <v>0</v>
      </c>
      <c r="BI118" s="26">
        <v>0</v>
      </c>
      <c r="BJ118" s="26">
        <v>0</v>
      </c>
      <c r="BK118" s="26">
        <v>0</v>
      </c>
      <c r="BL118" s="26">
        <v>0</v>
      </c>
      <c r="BM118" s="26">
        <v>0</v>
      </c>
      <c r="BN118" s="26">
        <v>0</v>
      </c>
      <c r="BO118" s="26">
        <v>600.46489099999997</v>
      </c>
      <c r="BP118" s="26">
        <v>12614.081700000001</v>
      </c>
      <c r="BQ118" s="26">
        <v>196.37603200000001</v>
      </c>
      <c r="BR118" s="26">
        <v>32.044840000000022</v>
      </c>
      <c r="BS118" s="26">
        <v>1</v>
      </c>
      <c r="BT118" s="26">
        <v>0</v>
      </c>
      <c r="BU118" s="26">
        <v>1</v>
      </c>
      <c r="BV118" s="26">
        <v>0</v>
      </c>
      <c r="BW118" s="26">
        <v>-72206.691300000006</v>
      </c>
      <c r="BX118" s="26">
        <v>-3437.23657</v>
      </c>
      <c r="BY118" s="26">
        <v>-43.357583400000003</v>
      </c>
      <c r="BZ118" s="26">
        <v>-42.299202999999999</v>
      </c>
      <c r="CA118" s="26">
        <v>-2.0135580900000001</v>
      </c>
      <c r="CB118" s="26">
        <v>5.0962166500000003E-2</v>
      </c>
      <c r="CC118" s="26">
        <v>1.0705720599999999</v>
      </c>
      <c r="CD118" s="26">
        <v>21.007192799999999</v>
      </c>
      <c r="CE118" s="26">
        <v>0</v>
      </c>
      <c r="CF118" s="26">
        <v>0</v>
      </c>
      <c r="CG118" s="26">
        <v>0</v>
      </c>
      <c r="CH118" s="26">
        <v>0</v>
      </c>
      <c r="CI118" s="26">
        <v>0</v>
      </c>
      <c r="CJ118" s="26">
        <v>0</v>
      </c>
      <c r="CK118" s="26">
        <v>0</v>
      </c>
      <c r="CL118" s="26">
        <v>0</v>
      </c>
      <c r="CM118" s="26">
        <v>0</v>
      </c>
      <c r="CN118" s="26">
        <v>0</v>
      </c>
      <c r="CO118" s="26">
        <v>0</v>
      </c>
      <c r="CP118" s="26">
        <v>0</v>
      </c>
      <c r="CQ118" s="26">
        <v>0</v>
      </c>
      <c r="CR118" s="26">
        <v>0</v>
      </c>
      <c r="CS118" s="26">
        <v>0</v>
      </c>
      <c r="CT118" s="26">
        <v>0</v>
      </c>
      <c r="CU118" s="26">
        <v>0</v>
      </c>
      <c r="CV118" s="26">
        <v>0</v>
      </c>
      <c r="CW118" s="26">
        <v>0</v>
      </c>
      <c r="CX118" s="26">
        <v>0</v>
      </c>
      <c r="CY118" s="26">
        <v>0</v>
      </c>
      <c r="CZ118" s="26">
        <v>0</v>
      </c>
      <c r="DA118" s="26">
        <v>0</v>
      </c>
      <c r="DB118" s="26">
        <v>0</v>
      </c>
      <c r="DC118" s="26">
        <v>0</v>
      </c>
      <c r="DD118" s="26">
        <v>0</v>
      </c>
      <c r="DE118" s="26">
        <v>0</v>
      </c>
      <c r="DF118" s="26">
        <v>0</v>
      </c>
      <c r="DG118" s="26">
        <v>0</v>
      </c>
      <c r="DH118" s="26">
        <v>0</v>
      </c>
      <c r="DI118" s="26">
        <v>0</v>
      </c>
      <c r="DJ118" s="26">
        <v>0</v>
      </c>
      <c r="DK118" s="26">
        <v>0</v>
      </c>
      <c r="DL118" s="26">
        <v>0</v>
      </c>
      <c r="DM118" s="26">
        <v>0</v>
      </c>
      <c r="DN118" s="26">
        <v>0</v>
      </c>
      <c r="DO118" s="26">
        <v>0</v>
      </c>
      <c r="DP118" s="26">
        <v>0</v>
      </c>
      <c r="DQ118" s="26">
        <v>0</v>
      </c>
      <c r="DR118" s="26">
        <v>0</v>
      </c>
      <c r="DS118" s="26">
        <v>0</v>
      </c>
      <c r="DT118" s="26">
        <v>0</v>
      </c>
      <c r="DU118" s="26">
        <v>0</v>
      </c>
      <c r="DV118" s="26">
        <v>0</v>
      </c>
      <c r="DW118" s="26">
        <v>0</v>
      </c>
      <c r="DX118" s="26">
        <v>37.639249900000003</v>
      </c>
      <c r="DY118" s="26">
        <v>0.92939011699999996</v>
      </c>
      <c r="DZ118" s="26">
        <v>0.38995389499999999</v>
      </c>
      <c r="EA118" s="26">
        <v>12.6929993</v>
      </c>
      <c r="EB118" s="26">
        <v>1.54681712</v>
      </c>
      <c r="EC118" s="26">
        <v>374.25575099999998</v>
      </c>
      <c r="ED118" s="26">
        <v>0</v>
      </c>
      <c r="EE118" s="26">
        <v>87.159220000000005</v>
      </c>
      <c r="EF118" s="26">
        <v>123.23542999999999</v>
      </c>
      <c r="EG118" s="26">
        <v>15.624096099999997</v>
      </c>
      <c r="EH118" s="26">
        <v>1.73601319</v>
      </c>
      <c r="EI118" s="26">
        <v>4.5435158099999997</v>
      </c>
      <c r="EJ118" s="26">
        <v>3.2340668400000001</v>
      </c>
      <c r="EK118" s="26">
        <v>0</v>
      </c>
      <c r="EL118" s="26">
        <v>14.192889500000001</v>
      </c>
      <c r="EM118" s="26">
        <v>0</v>
      </c>
      <c r="EN118" s="26">
        <v>0</v>
      </c>
      <c r="EO118" s="26">
        <v>0</v>
      </c>
      <c r="EP118" s="26">
        <v>9.9592528900000001</v>
      </c>
      <c r="EQ118" s="26">
        <v>677.179393</v>
      </c>
      <c r="ER118" s="26">
        <v>8.1645748999999999</v>
      </c>
      <c r="ES118" s="26">
        <v>32.044840000000022</v>
      </c>
      <c r="ET118" s="26">
        <v>1</v>
      </c>
      <c r="EU118" s="26">
        <v>0</v>
      </c>
      <c r="EV118" s="26">
        <v>0</v>
      </c>
      <c r="EW118" s="26">
        <v>1</v>
      </c>
      <c r="EX118" s="26">
        <v>-78342.265700000004</v>
      </c>
      <c r="EY118" s="26">
        <v>-1152.17687</v>
      </c>
      <c r="EZ118" s="26">
        <v>-0.78023044200000002</v>
      </c>
      <c r="FA118" s="26">
        <v>-152.94431700000001</v>
      </c>
      <c r="FB118" s="26">
        <v>-2.2493465499999998</v>
      </c>
      <c r="FC118" s="26">
        <v>2.0330212899999998E-2</v>
      </c>
      <c r="FD118" s="26">
        <v>1.38235281</v>
      </c>
      <c r="FE118" s="26">
        <v>67.994999300000003</v>
      </c>
      <c r="FF118" s="26">
        <v>0</v>
      </c>
      <c r="FG118" s="26">
        <v>0.231763687</v>
      </c>
      <c r="FH118" s="26">
        <v>-51421828.100499995</v>
      </c>
      <c r="FI118" s="26">
        <v>1.8482917286752228E-2</v>
      </c>
      <c r="FJ118" s="26">
        <v>0</v>
      </c>
      <c r="FK118" s="26">
        <v>0</v>
      </c>
      <c r="FL118" s="26">
        <v>0</v>
      </c>
      <c r="FM118" s="26">
        <v>0</v>
      </c>
      <c r="FN118" s="26">
        <v>0</v>
      </c>
      <c r="FO118" s="26">
        <v>0</v>
      </c>
      <c r="FP118" s="26">
        <v>0</v>
      </c>
      <c r="FQ118" s="26">
        <v>0</v>
      </c>
      <c r="FR118" s="26">
        <v>0</v>
      </c>
      <c r="FS118" s="26">
        <v>0</v>
      </c>
      <c r="FT118" s="26">
        <v>0</v>
      </c>
      <c r="FU118" s="26">
        <v>0</v>
      </c>
      <c r="FV118" s="26">
        <v>0</v>
      </c>
      <c r="FW118" s="26">
        <v>0</v>
      </c>
      <c r="FX118" s="26">
        <v>0</v>
      </c>
      <c r="FY118" s="26">
        <v>0</v>
      </c>
      <c r="FZ118" s="26">
        <v>0</v>
      </c>
      <c r="GA118" s="26">
        <v>0</v>
      </c>
      <c r="GB118" s="26">
        <v>0</v>
      </c>
      <c r="GC118" s="26">
        <v>0</v>
      </c>
      <c r="GD118" s="26">
        <v>0</v>
      </c>
      <c r="GE118" s="26">
        <v>0</v>
      </c>
      <c r="GF118" s="26">
        <v>0</v>
      </c>
      <c r="GG118" s="26">
        <v>0</v>
      </c>
      <c r="GH118" s="26">
        <v>0</v>
      </c>
      <c r="GI118" s="26">
        <v>0</v>
      </c>
      <c r="GJ118" s="26">
        <v>0</v>
      </c>
      <c r="GK118" s="26">
        <v>0</v>
      </c>
      <c r="GL118" s="26">
        <v>0</v>
      </c>
      <c r="GM118" s="26">
        <v>0</v>
      </c>
      <c r="GN118" s="26">
        <v>0</v>
      </c>
      <c r="GO118" s="26">
        <v>0</v>
      </c>
      <c r="GP118" s="26">
        <v>0</v>
      </c>
      <c r="GQ118" s="26">
        <v>0</v>
      </c>
      <c r="GR118" s="26">
        <v>0</v>
      </c>
      <c r="GS118" s="26">
        <v>0</v>
      </c>
      <c r="GT118" s="26">
        <v>0</v>
      </c>
      <c r="GU118" s="26">
        <v>0</v>
      </c>
      <c r="GV118" s="26">
        <v>0</v>
      </c>
      <c r="GW118" s="26">
        <v>0</v>
      </c>
      <c r="GX118" s="26">
        <v>0</v>
      </c>
      <c r="GY118" s="26">
        <v>0</v>
      </c>
      <c r="GZ118" s="26">
        <v>0</v>
      </c>
      <c r="HA118" s="26">
        <v>0</v>
      </c>
      <c r="HB118" s="26">
        <v>0</v>
      </c>
      <c r="HC118" s="26">
        <v>0</v>
      </c>
      <c r="HD118" s="26">
        <v>0</v>
      </c>
      <c r="HE118" s="26">
        <v>0</v>
      </c>
      <c r="HF118" s="26">
        <v>0</v>
      </c>
      <c r="HG118" s="26">
        <v>0</v>
      </c>
      <c r="HH118" s="26">
        <v>0</v>
      </c>
      <c r="HI118" s="26">
        <v>0</v>
      </c>
      <c r="HJ118" s="26">
        <v>0</v>
      </c>
      <c r="HK118" s="26">
        <v>0</v>
      </c>
      <c r="HL118" s="26">
        <v>0</v>
      </c>
      <c r="HM118" s="26">
        <v>0</v>
      </c>
      <c r="HN118" s="26">
        <v>0</v>
      </c>
      <c r="HO118" s="26">
        <v>0</v>
      </c>
      <c r="HP118" s="26">
        <v>0</v>
      </c>
      <c r="HQ118" s="26">
        <v>0</v>
      </c>
      <c r="HR118" s="26">
        <v>0</v>
      </c>
      <c r="HS118" s="26">
        <v>0</v>
      </c>
      <c r="HT118" s="26">
        <v>7.497445226646228E-3</v>
      </c>
    </row>
    <row r="119" spans="2:228" x14ac:dyDescent="0.2">
      <c r="B119" s="27" t="s">
        <v>2400</v>
      </c>
      <c r="C119" s="26">
        <v>429750.777</v>
      </c>
      <c r="D119" s="26">
        <v>-1427.12265</v>
      </c>
      <c r="E119" s="26">
        <v>341809.36300000001</v>
      </c>
      <c r="F119" s="26">
        <v>1954.2140700000002</v>
      </c>
      <c r="G119" s="26">
        <v>26062.080699999999</v>
      </c>
      <c r="H119" s="26">
        <v>1144.21875</v>
      </c>
      <c r="I119" s="26">
        <v>480.09178300000008</v>
      </c>
      <c r="J119" s="26">
        <v>14546.836499999999</v>
      </c>
      <c r="K119" s="26">
        <v>1947.4351800000002</v>
      </c>
      <c r="L119" s="26">
        <v>321.15290599999997</v>
      </c>
      <c r="M119" s="26">
        <v>0</v>
      </c>
      <c r="N119" s="26">
        <v>1099.15488</v>
      </c>
      <c r="O119" s="26">
        <v>27.738719799999998</v>
      </c>
      <c r="P119" s="26">
        <v>11.6386237</v>
      </c>
      <c r="Q119" s="26">
        <v>378.83457399999998</v>
      </c>
      <c r="R119" s="26">
        <v>46.166220500000001</v>
      </c>
      <c r="S119" s="26">
        <v>11842.0831</v>
      </c>
      <c r="T119" s="26">
        <v>636.84347000000002</v>
      </c>
      <c r="U119" s="26">
        <v>358.19426700000002</v>
      </c>
      <c r="V119" s="26">
        <v>325.770805</v>
      </c>
      <c r="W119" s="26">
        <v>0</v>
      </c>
      <c r="X119" s="26">
        <v>318.83264000000003</v>
      </c>
      <c r="Y119" s="26">
        <v>74.504497200000003</v>
      </c>
      <c r="Z119" s="26">
        <v>16.681824800000001</v>
      </c>
      <c r="AA119" s="26">
        <v>41.511069900000003</v>
      </c>
      <c r="AB119" s="26">
        <v>0.19483331200000001</v>
      </c>
      <c r="AC119" s="26">
        <v>0</v>
      </c>
      <c r="AD119" s="26">
        <v>2407.1113099999998</v>
      </c>
      <c r="AE119" s="26">
        <v>1805.15113</v>
      </c>
      <c r="AF119" s="26">
        <v>135.64929599999999</v>
      </c>
      <c r="AG119" s="26">
        <v>0</v>
      </c>
      <c r="AH119" s="26">
        <v>0</v>
      </c>
      <c r="AI119" s="26">
        <v>0</v>
      </c>
      <c r="AJ119" s="26">
        <v>0</v>
      </c>
      <c r="AK119" s="26">
        <v>0</v>
      </c>
      <c r="AL119" s="26">
        <v>0</v>
      </c>
      <c r="AM119" s="26">
        <v>12.9568523</v>
      </c>
      <c r="AN119" s="26">
        <v>8.7616149300000001E-2</v>
      </c>
      <c r="AO119" s="26">
        <v>0.15253645299999999</v>
      </c>
      <c r="AP119" s="26">
        <v>0</v>
      </c>
      <c r="AQ119" s="26">
        <v>0</v>
      </c>
      <c r="AR119" s="26">
        <v>0</v>
      </c>
      <c r="AS119" s="26">
        <v>50.6569468</v>
      </c>
      <c r="AT119" s="26">
        <v>0</v>
      </c>
      <c r="AU119" s="26">
        <v>0</v>
      </c>
      <c r="AV119" s="26">
        <v>2.0803437500000002E-3</v>
      </c>
      <c r="AW119" s="26">
        <v>0</v>
      </c>
      <c r="AX119" s="26">
        <v>0</v>
      </c>
      <c r="AY119" s="26">
        <v>0</v>
      </c>
      <c r="AZ119" s="26">
        <v>0</v>
      </c>
      <c r="BA119" s="26">
        <v>0</v>
      </c>
      <c r="BB119" s="26">
        <v>0</v>
      </c>
      <c r="BC119" s="26">
        <v>0</v>
      </c>
      <c r="BD119" s="26">
        <v>0</v>
      </c>
      <c r="BE119" s="26">
        <v>0</v>
      </c>
      <c r="BF119" s="26">
        <v>0</v>
      </c>
      <c r="BG119" s="26">
        <v>0</v>
      </c>
      <c r="BH119" s="26">
        <v>0</v>
      </c>
      <c r="BI119" s="26">
        <v>0</v>
      </c>
      <c r="BJ119" s="26">
        <v>0</v>
      </c>
      <c r="BK119" s="26">
        <v>0</v>
      </c>
      <c r="BL119" s="26">
        <v>0</v>
      </c>
      <c r="BM119" s="26">
        <v>0</v>
      </c>
      <c r="BN119" s="26">
        <v>0</v>
      </c>
      <c r="BO119" s="26">
        <v>19415.031500000001</v>
      </c>
      <c r="BP119" s="26">
        <v>407855.31</v>
      </c>
      <c r="BQ119" s="26">
        <v>6349.4917100000002</v>
      </c>
      <c r="BR119" s="26">
        <v>32.044840000000022</v>
      </c>
      <c r="BS119" s="26">
        <v>1</v>
      </c>
      <c r="BT119" s="26">
        <v>0</v>
      </c>
      <c r="BU119" s="26">
        <v>1</v>
      </c>
      <c r="BV119" s="26">
        <v>0</v>
      </c>
      <c r="BW119" s="26">
        <v>-72206.691300000006</v>
      </c>
      <c r="BX119" s="26">
        <v>-3437.23657</v>
      </c>
      <c r="BY119" s="26">
        <v>-1401.8951999999999</v>
      </c>
      <c r="BZ119" s="26">
        <v>-42.299202999999999</v>
      </c>
      <c r="CA119" s="26">
        <v>-2.0135580900000001</v>
      </c>
      <c r="CB119" s="26">
        <v>5.0962166500000003E-2</v>
      </c>
      <c r="CC119" s="26">
        <v>1.0705720599999999</v>
      </c>
      <c r="CD119" s="26">
        <v>21.007192799999999</v>
      </c>
      <c r="CE119" s="26">
        <v>0</v>
      </c>
      <c r="CF119" s="26">
        <v>0</v>
      </c>
      <c r="CG119" s="26">
        <v>0</v>
      </c>
      <c r="CH119" s="26">
        <v>0</v>
      </c>
      <c r="CI119" s="26">
        <v>0</v>
      </c>
      <c r="CJ119" s="26">
        <v>0</v>
      </c>
      <c r="CK119" s="26">
        <v>0</v>
      </c>
      <c r="CL119" s="26">
        <v>0</v>
      </c>
      <c r="CM119" s="26">
        <v>0</v>
      </c>
      <c r="CN119" s="26">
        <v>0</v>
      </c>
      <c r="CO119" s="26">
        <v>0</v>
      </c>
      <c r="CP119" s="26">
        <v>0</v>
      </c>
      <c r="CQ119" s="26">
        <v>0</v>
      </c>
      <c r="CR119" s="26">
        <v>0</v>
      </c>
      <c r="CS119" s="26">
        <v>0</v>
      </c>
      <c r="CT119" s="26">
        <v>0</v>
      </c>
      <c r="CU119" s="26">
        <v>0</v>
      </c>
      <c r="CV119" s="26">
        <v>0</v>
      </c>
      <c r="CW119" s="26">
        <v>0</v>
      </c>
      <c r="CX119" s="26">
        <v>0</v>
      </c>
      <c r="CY119" s="26">
        <v>0</v>
      </c>
      <c r="CZ119" s="26">
        <v>0</v>
      </c>
      <c r="DA119" s="26">
        <v>0</v>
      </c>
      <c r="DB119" s="26">
        <v>0</v>
      </c>
      <c r="DC119" s="26">
        <v>0</v>
      </c>
      <c r="DD119" s="26">
        <v>0</v>
      </c>
      <c r="DE119" s="26">
        <v>0</v>
      </c>
      <c r="DF119" s="26">
        <v>0</v>
      </c>
      <c r="DG119" s="26">
        <v>0</v>
      </c>
      <c r="DH119" s="26">
        <v>0</v>
      </c>
      <c r="DI119" s="26">
        <v>0</v>
      </c>
      <c r="DJ119" s="26">
        <v>0</v>
      </c>
      <c r="DK119" s="26">
        <v>0</v>
      </c>
      <c r="DL119" s="26">
        <v>0</v>
      </c>
      <c r="DM119" s="26">
        <v>0</v>
      </c>
      <c r="DN119" s="26">
        <v>0</v>
      </c>
      <c r="DO119" s="26">
        <v>0</v>
      </c>
      <c r="DP119" s="26">
        <v>0</v>
      </c>
      <c r="DQ119" s="26">
        <v>0</v>
      </c>
      <c r="DR119" s="26">
        <v>0</v>
      </c>
      <c r="DS119" s="26">
        <v>0</v>
      </c>
      <c r="DT119" s="26">
        <v>0</v>
      </c>
      <c r="DU119" s="26">
        <v>0</v>
      </c>
      <c r="DV119" s="26">
        <v>0</v>
      </c>
      <c r="DW119" s="26">
        <v>0</v>
      </c>
      <c r="DX119" s="26">
        <v>1217.0024100000001</v>
      </c>
      <c r="DY119" s="26">
        <v>30.0502805</v>
      </c>
      <c r="DZ119" s="26">
        <v>12.6085093</v>
      </c>
      <c r="EA119" s="26">
        <v>410.40697699999998</v>
      </c>
      <c r="EB119" s="26">
        <v>50.0137535</v>
      </c>
      <c r="EC119" s="26">
        <v>12100.936</v>
      </c>
      <c r="ED119" s="26">
        <v>0</v>
      </c>
      <c r="EE119" s="26">
        <v>2818.1481100000001</v>
      </c>
      <c r="EF119" s="26">
        <v>3984.6122300000006</v>
      </c>
      <c r="EG119" s="26">
        <v>505.17910799999999</v>
      </c>
      <c r="EH119" s="26">
        <v>56.131093</v>
      </c>
      <c r="EI119" s="26">
        <v>146.90701100000001</v>
      </c>
      <c r="EJ119" s="26">
        <v>104.568161</v>
      </c>
      <c r="EK119" s="26">
        <v>0</v>
      </c>
      <c r="EL119" s="26">
        <v>458.90342700000002</v>
      </c>
      <c r="EM119" s="26">
        <v>0</v>
      </c>
      <c r="EN119" s="26">
        <v>0</v>
      </c>
      <c r="EO119" s="26">
        <v>0</v>
      </c>
      <c r="EP119" s="26">
        <v>322.01584300000002</v>
      </c>
      <c r="EQ119" s="26">
        <v>21895.467000000001</v>
      </c>
      <c r="ER119" s="26">
        <v>263.98792200000003</v>
      </c>
      <c r="ES119" s="26">
        <v>32.044840000000022</v>
      </c>
      <c r="ET119" s="26">
        <v>1</v>
      </c>
      <c r="EU119" s="26">
        <v>0</v>
      </c>
      <c r="EV119" s="26">
        <v>0</v>
      </c>
      <c r="EW119" s="26">
        <v>1</v>
      </c>
      <c r="EX119" s="26">
        <v>-78342.265700000004</v>
      </c>
      <c r="EY119" s="26">
        <v>-1152.17687</v>
      </c>
      <c r="EZ119" s="26">
        <v>-25.227450999999999</v>
      </c>
      <c r="FA119" s="26">
        <v>-152.94431700000001</v>
      </c>
      <c r="FB119" s="26">
        <v>-2.2493465499999998</v>
      </c>
      <c r="FC119" s="26">
        <v>2.0330212899999998E-2</v>
      </c>
      <c r="FD119" s="26">
        <v>1.38235281</v>
      </c>
      <c r="FE119" s="26">
        <v>67.994999300000003</v>
      </c>
      <c r="FF119" s="26">
        <v>0</v>
      </c>
      <c r="FG119" s="26">
        <v>0.231763687</v>
      </c>
      <c r="FH119" s="26">
        <v>-1662639104.9000001</v>
      </c>
      <c r="FI119" s="26">
        <v>0.59761432422535898</v>
      </c>
      <c r="FJ119" s="26">
        <v>0</v>
      </c>
      <c r="FK119" s="26">
        <v>0</v>
      </c>
      <c r="FL119" s="26">
        <v>0</v>
      </c>
      <c r="FM119" s="26">
        <v>0</v>
      </c>
      <c r="FN119" s="26">
        <v>0</v>
      </c>
      <c r="FO119" s="26">
        <v>0</v>
      </c>
      <c r="FP119" s="26">
        <v>0</v>
      </c>
      <c r="FQ119" s="26">
        <v>0</v>
      </c>
      <c r="FR119" s="26">
        <v>0</v>
      </c>
      <c r="FS119" s="26">
        <v>0</v>
      </c>
      <c r="FT119" s="26">
        <v>0</v>
      </c>
      <c r="FU119" s="26">
        <v>0</v>
      </c>
      <c r="FV119" s="26">
        <v>0</v>
      </c>
      <c r="FW119" s="26">
        <v>0</v>
      </c>
      <c r="FX119" s="26">
        <v>0</v>
      </c>
      <c r="FY119" s="26">
        <v>0</v>
      </c>
      <c r="FZ119" s="26">
        <v>0</v>
      </c>
      <c r="GA119" s="26">
        <v>0</v>
      </c>
      <c r="GB119" s="26">
        <v>0</v>
      </c>
      <c r="GC119" s="26">
        <v>0</v>
      </c>
      <c r="GD119" s="26">
        <v>0</v>
      </c>
      <c r="GE119" s="26">
        <v>0</v>
      </c>
      <c r="GF119" s="26">
        <v>0</v>
      </c>
      <c r="GG119" s="26">
        <v>0</v>
      </c>
      <c r="GH119" s="26">
        <v>0</v>
      </c>
      <c r="GI119" s="26">
        <v>0</v>
      </c>
      <c r="GJ119" s="26">
        <v>0</v>
      </c>
      <c r="GK119" s="26">
        <v>0</v>
      </c>
      <c r="GL119" s="26">
        <v>0</v>
      </c>
      <c r="GM119" s="26">
        <v>0</v>
      </c>
      <c r="GN119" s="26">
        <v>0</v>
      </c>
      <c r="GO119" s="26">
        <v>0</v>
      </c>
      <c r="GP119" s="26">
        <v>0</v>
      </c>
      <c r="GQ119" s="26">
        <v>0</v>
      </c>
      <c r="GR119" s="26">
        <v>0</v>
      </c>
      <c r="GS119" s="26">
        <v>0</v>
      </c>
      <c r="GT119" s="26">
        <v>0</v>
      </c>
      <c r="GU119" s="26">
        <v>0</v>
      </c>
      <c r="GV119" s="26">
        <v>0</v>
      </c>
      <c r="GW119" s="26">
        <v>0</v>
      </c>
      <c r="GX119" s="26">
        <v>0</v>
      </c>
      <c r="GY119" s="26">
        <v>0</v>
      </c>
      <c r="GZ119" s="26">
        <v>0</v>
      </c>
      <c r="HA119" s="26">
        <v>0</v>
      </c>
      <c r="HB119" s="26">
        <v>0</v>
      </c>
      <c r="HC119" s="26">
        <v>0</v>
      </c>
      <c r="HD119" s="26">
        <v>0</v>
      </c>
      <c r="HE119" s="26">
        <v>0</v>
      </c>
      <c r="HF119" s="26">
        <v>0</v>
      </c>
      <c r="HG119" s="26">
        <v>0</v>
      </c>
      <c r="HH119" s="26">
        <v>0</v>
      </c>
      <c r="HI119" s="26">
        <v>0</v>
      </c>
      <c r="HJ119" s="26">
        <v>0</v>
      </c>
      <c r="HK119" s="26">
        <v>0</v>
      </c>
      <c r="HL119" s="26">
        <v>0</v>
      </c>
      <c r="HM119" s="26">
        <v>0</v>
      </c>
      <c r="HN119" s="26">
        <v>0</v>
      </c>
      <c r="HO119" s="26">
        <v>0</v>
      </c>
      <c r="HP119" s="26">
        <v>0</v>
      </c>
      <c r="HQ119" s="26">
        <v>0</v>
      </c>
      <c r="HR119" s="26">
        <v>0</v>
      </c>
      <c r="HS119" s="26">
        <v>0</v>
      </c>
      <c r="HT119" s="26">
        <v>0.24241739555045028</v>
      </c>
    </row>
    <row r="120" spans="2:228" x14ac:dyDescent="0.2">
      <c r="B120" s="27" t="s">
        <v>1351</v>
      </c>
      <c r="C120" s="26">
        <v>443042.038</v>
      </c>
      <c r="D120" s="26">
        <v>-1471.26046</v>
      </c>
      <c r="E120" s="26">
        <v>352380.78600000002</v>
      </c>
      <c r="F120" s="26">
        <v>2014.6536800000001</v>
      </c>
      <c r="G120" s="26">
        <v>26868.124500000002</v>
      </c>
      <c r="H120" s="26">
        <v>1179.6069600000001</v>
      </c>
      <c r="I120" s="26">
        <v>494.93998199999999</v>
      </c>
      <c r="J120" s="26">
        <v>14996.738599999999</v>
      </c>
      <c r="K120" s="26">
        <v>2007.6651300000001</v>
      </c>
      <c r="L120" s="26">
        <v>331.08546999999999</v>
      </c>
      <c r="M120" s="26">
        <v>0</v>
      </c>
      <c r="N120" s="26">
        <v>1133.1493700000001</v>
      </c>
      <c r="O120" s="26">
        <v>28.596618400000004</v>
      </c>
      <c r="P120" s="26">
        <v>11.998581100000001</v>
      </c>
      <c r="Q120" s="26">
        <v>390.551108</v>
      </c>
      <c r="R120" s="26">
        <v>47.594041799999999</v>
      </c>
      <c r="S120" s="26">
        <v>12208.3331</v>
      </c>
      <c r="T120" s="26">
        <v>656.53966000000003</v>
      </c>
      <c r="U120" s="26">
        <v>369.27244000000002</v>
      </c>
      <c r="V120" s="26">
        <v>335.84619099999998</v>
      </c>
      <c r="W120" s="26">
        <v>0</v>
      </c>
      <c r="X120" s="26">
        <v>328.693443</v>
      </c>
      <c r="Y120" s="26">
        <v>76.808760000000007</v>
      </c>
      <c r="Z120" s="26">
        <v>17.197757500000002</v>
      </c>
      <c r="AA120" s="26">
        <v>42.794917400000003</v>
      </c>
      <c r="AB120" s="26">
        <v>0.20085908499999999</v>
      </c>
      <c r="AC120" s="26">
        <v>0</v>
      </c>
      <c r="AD120" s="26">
        <v>2481.5580500000001</v>
      </c>
      <c r="AE120" s="26">
        <v>1860.9805500000002</v>
      </c>
      <c r="AF120" s="26">
        <v>139.84463500000001</v>
      </c>
      <c r="AG120" s="26">
        <v>0</v>
      </c>
      <c r="AH120" s="26">
        <v>0</v>
      </c>
      <c r="AI120" s="26">
        <v>0</v>
      </c>
      <c r="AJ120" s="26">
        <v>0</v>
      </c>
      <c r="AK120" s="26">
        <v>0</v>
      </c>
      <c r="AL120" s="26">
        <v>0</v>
      </c>
      <c r="AM120" s="26">
        <v>13.3575797</v>
      </c>
      <c r="AN120" s="26">
        <v>9.0325927200000003E-2</v>
      </c>
      <c r="AO120" s="26">
        <v>0.15725407499999999</v>
      </c>
      <c r="AP120" s="26">
        <v>0</v>
      </c>
      <c r="AQ120" s="26">
        <v>0</v>
      </c>
      <c r="AR120" s="26">
        <v>0</v>
      </c>
      <c r="AS120" s="26">
        <v>52.223656499999997</v>
      </c>
      <c r="AT120" s="26">
        <v>0</v>
      </c>
      <c r="AU120" s="26">
        <v>0</v>
      </c>
      <c r="AV120" s="26">
        <v>2.1446842699999998E-3</v>
      </c>
      <c r="AW120" s="26">
        <v>0</v>
      </c>
      <c r="AX120" s="26">
        <v>0</v>
      </c>
      <c r="AY120" s="26">
        <v>0</v>
      </c>
      <c r="AZ120" s="26">
        <v>0</v>
      </c>
      <c r="BA120" s="26">
        <v>0</v>
      </c>
      <c r="BB120" s="26">
        <v>0</v>
      </c>
      <c r="BC120" s="26">
        <v>0</v>
      </c>
      <c r="BD120" s="26">
        <v>0</v>
      </c>
      <c r="BE120" s="26">
        <v>0</v>
      </c>
      <c r="BF120" s="26">
        <v>0</v>
      </c>
      <c r="BG120" s="26">
        <v>0</v>
      </c>
      <c r="BH120" s="26">
        <v>0</v>
      </c>
      <c r="BI120" s="26">
        <v>0</v>
      </c>
      <c r="BJ120" s="26">
        <v>0</v>
      </c>
      <c r="BK120" s="26">
        <v>0</v>
      </c>
      <c r="BL120" s="26">
        <v>0</v>
      </c>
      <c r="BM120" s="26">
        <v>0</v>
      </c>
      <c r="BN120" s="26">
        <v>0</v>
      </c>
      <c r="BO120" s="26">
        <v>20015.4964</v>
      </c>
      <c r="BP120" s="26">
        <v>420469.391</v>
      </c>
      <c r="BQ120" s="26">
        <v>6545.8677500000003</v>
      </c>
      <c r="BR120" s="26">
        <v>32.044840000000022</v>
      </c>
      <c r="BS120" s="26">
        <v>1</v>
      </c>
      <c r="BT120" s="26">
        <v>0</v>
      </c>
      <c r="BU120" s="26">
        <v>1</v>
      </c>
      <c r="BV120" s="26">
        <v>0</v>
      </c>
      <c r="BW120" s="26">
        <v>-72206.691300000006</v>
      </c>
      <c r="BX120" s="26">
        <v>-3437.23657</v>
      </c>
      <c r="BY120" s="26">
        <v>-1445.25278</v>
      </c>
      <c r="BZ120" s="26">
        <v>-42.299202999999999</v>
      </c>
      <c r="CA120" s="26">
        <v>-2.0135580900000001</v>
      </c>
      <c r="CB120" s="26">
        <v>5.0962166500000003E-2</v>
      </c>
      <c r="CC120" s="26">
        <v>1.0705720599999999</v>
      </c>
      <c r="CD120" s="26">
        <v>21.007192799999999</v>
      </c>
      <c r="CE120" s="26">
        <v>0</v>
      </c>
      <c r="CF120" s="26">
        <v>0</v>
      </c>
      <c r="CG120" s="26">
        <v>0</v>
      </c>
      <c r="CH120" s="26">
        <v>0</v>
      </c>
      <c r="CI120" s="26">
        <v>0</v>
      </c>
      <c r="CJ120" s="26">
        <v>0</v>
      </c>
      <c r="CK120" s="26">
        <v>0</v>
      </c>
      <c r="CL120" s="26">
        <v>0</v>
      </c>
      <c r="CM120" s="26">
        <v>0</v>
      </c>
      <c r="CN120" s="26">
        <v>0</v>
      </c>
      <c r="CO120" s="26">
        <v>0</v>
      </c>
      <c r="CP120" s="26">
        <v>0</v>
      </c>
      <c r="CQ120" s="26">
        <v>0</v>
      </c>
      <c r="CR120" s="26">
        <v>0</v>
      </c>
      <c r="CS120" s="26">
        <v>0</v>
      </c>
      <c r="CT120" s="26">
        <v>0</v>
      </c>
      <c r="CU120" s="26">
        <v>0</v>
      </c>
      <c r="CV120" s="26">
        <v>0</v>
      </c>
      <c r="CW120" s="26">
        <v>0</v>
      </c>
      <c r="CX120" s="26">
        <v>0</v>
      </c>
      <c r="CY120" s="26">
        <v>0</v>
      </c>
      <c r="CZ120" s="26">
        <v>0</v>
      </c>
      <c r="DA120" s="26">
        <v>0</v>
      </c>
      <c r="DB120" s="26">
        <v>0</v>
      </c>
      <c r="DC120" s="26">
        <v>0</v>
      </c>
      <c r="DD120" s="26">
        <v>0</v>
      </c>
      <c r="DE120" s="26">
        <v>0</v>
      </c>
      <c r="DF120" s="26">
        <v>0</v>
      </c>
      <c r="DG120" s="26">
        <v>0</v>
      </c>
      <c r="DH120" s="26">
        <v>0</v>
      </c>
      <c r="DI120" s="26">
        <v>0</v>
      </c>
      <c r="DJ120" s="26">
        <v>0</v>
      </c>
      <c r="DK120" s="26">
        <v>0</v>
      </c>
      <c r="DL120" s="26">
        <v>0</v>
      </c>
      <c r="DM120" s="26">
        <v>0</v>
      </c>
      <c r="DN120" s="26">
        <v>0</v>
      </c>
      <c r="DO120" s="26">
        <v>0</v>
      </c>
      <c r="DP120" s="26">
        <v>0</v>
      </c>
      <c r="DQ120" s="26">
        <v>0</v>
      </c>
      <c r="DR120" s="26">
        <v>0</v>
      </c>
      <c r="DS120" s="26">
        <v>0</v>
      </c>
      <c r="DT120" s="26">
        <v>0</v>
      </c>
      <c r="DU120" s="26">
        <v>0</v>
      </c>
      <c r="DV120" s="26">
        <v>0</v>
      </c>
      <c r="DW120" s="26">
        <v>0</v>
      </c>
      <c r="DX120" s="26">
        <v>1254.64166</v>
      </c>
      <c r="DY120" s="26">
        <v>30.979670600000002</v>
      </c>
      <c r="DZ120" s="26">
        <v>12.9984632</v>
      </c>
      <c r="EA120" s="26">
        <v>423.09997600000003</v>
      </c>
      <c r="EB120" s="26">
        <v>51.560570599999998</v>
      </c>
      <c r="EC120" s="26">
        <v>12475.191699999999</v>
      </c>
      <c r="ED120" s="26">
        <v>0</v>
      </c>
      <c r="EE120" s="26">
        <v>2905.3073300000001</v>
      </c>
      <c r="EF120" s="26">
        <v>4107.8476600000004</v>
      </c>
      <c r="EG120" s="26">
        <v>520.80320400000005</v>
      </c>
      <c r="EH120" s="26">
        <v>57.867106200000009</v>
      </c>
      <c r="EI120" s="26">
        <v>151.45052699999999</v>
      </c>
      <c r="EJ120" s="26">
        <v>107.802228</v>
      </c>
      <c r="EK120" s="26">
        <v>0</v>
      </c>
      <c r="EL120" s="26">
        <v>473.096316</v>
      </c>
      <c r="EM120" s="26">
        <v>0</v>
      </c>
      <c r="EN120" s="26">
        <v>0</v>
      </c>
      <c r="EO120" s="26">
        <v>0</v>
      </c>
      <c r="EP120" s="26">
        <v>331.97509600000001</v>
      </c>
      <c r="EQ120" s="26">
        <v>22572.646400000001</v>
      </c>
      <c r="ER120" s="26">
        <v>272.15249699999998</v>
      </c>
      <c r="ES120" s="26">
        <v>32.044840000000022</v>
      </c>
      <c r="ET120" s="26">
        <v>1</v>
      </c>
      <c r="EU120" s="26">
        <v>0</v>
      </c>
      <c r="EV120" s="26">
        <v>0</v>
      </c>
      <c r="EW120" s="26">
        <v>1</v>
      </c>
      <c r="EX120" s="26">
        <v>-78342.265700000004</v>
      </c>
      <c r="EY120" s="26">
        <v>-1152.17687</v>
      </c>
      <c r="EZ120" s="26">
        <v>-26.007681399999999</v>
      </c>
      <c r="FA120" s="26">
        <v>-152.94431700000001</v>
      </c>
      <c r="FB120" s="26">
        <v>-2.2493465499999998</v>
      </c>
      <c r="FC120" s="26">
        <v>2.0330212899999998E-2</v>
      </c>
      <c r="FD120" s="26">
        <v>1.38235281</v>
      </c>
      <c r="FE120" s="26">
        <v>67.994999300000003</v>
      </c>
      <c r="FF120" s="26">
        <v>0</v>
      </c>
      <c r="FG120" s="26">
        <v>0.231763687</v>
      </c>
      <c r="FH120" s="26">
        <v>-1714060940.5599999</v>
      </c>
      <c r="FI120" s="26">
        <v>0.61609724381766684</v>
      </c>
      <c r="FJ120" s="26">
        <v>0</v>
      </c>
      <c r="FK120" s="26">
        <v>0</v>
      </c>
      <c r="FL120" s="26">
        <v>0</v>
      </c>
      <c r="FM120" s="26">
        <v>0</v>
      </c>
      <c r="FN120" s="26">
        <v>0</v>
      </c>
      <c r="FO120" s="26">
        <v>0</v>
      </c>
      <c r="FP120" s="26">
        <v>0</v>
      </c>
      <c r="FQ120" s="26">
        <v>0</v>
      </c>
      <c r="FR120" s="26">
        <v>0</v>
      </c>
      <c r="FS120" s="26">
        <v>0</v>
      </c>
      <c r="FT120" s="26">
        <v>0</v>
      </c>
      <c r="FU120" s="26">
        <v>0</v>
      </c>
      <c r="FV120" s="26">
        <v>0</v>
      </c>
      <c r="FW120" s="26">
        <v>0</v>
      </c>
      <c r="FX120" s="26">
        <v>0</v>
      </c>
      <c r="FY120" s="26">
        <v>0</v>
      </c>
      <c r="FZ120" s="26">
        <v>0</v>
      </c>
      <c r="GA120" s="26">
        <v>0</v>
      </c>
      <c r="GB120" s="26">
        <v>0</v>
      </c>
      <c r="GC120" s="26">
        <v>0</v>
      </c>
      <c r="GD120" s="26">
        <v>0</v>
      </c>
      <c r="GE120" s="26">
        <v>0</v>
      </c>
      <c r="GF120" s="26">
        <v>0</v>
      </c>
      <c r="GG120" s="26">
        <v>0</v>
      </c>
      <c r="GH120" s="26">
        <v>0</v>
      </c>
      <c r="GI120" s="26">
        <v>0</v>
      </c>
      <c r="GJ120" s="26">
        <v>0</v>
      </c>
      <c r="GK120" s="26">
        <v>0</v>
      </c>
      <c r="GL120" s="26">
        <v>0</v>
      </c>
      <c r="GM120" s="26">
        <v>0</v>
      </c>
      <c r="GN120" s="26">
        <v>0</v>
      </c>
      <c r="GO120" s="26">
        <v>0</v>
      </c>
      <c r="GP120" s="26">
        <v>0</v>
      </c>
      <c r="GQ120" s="26">
        <v>0</v>
      </c>
      <c r="GR120" s="26">
        <v>0</v>
      </c>
      <c r="GS120" s="26">
        <v>0</v>
      </c>
      <c r="GT120" s="26">
        <v>0</v>
      </c>
      <c r="GU120" s="26">
        <v>0</v>
      </c>
      <c r="GV120" s="26">
        <v>0</v>
      </c>
      <c r="GW120" s="26">
        <v>0</v>
      </c>
      <c r="GX120" s="26">
        <v>0</v>
      </c>
      <c r="GY120" s="26">
        <v>0</v>
      </c>
      <c r="GZ120" s="26">
        <v>0</v>
      </c>
      <c r="HA120" s="26">
        <v>0</v>
      </c>
      <c r="HB120" s="26">
        <v>0</v>
      </c>
      <c r="HC120" s="26">
        <v>0</v>
      </c>
      <c r="HD120" s="26">
        <v>0</v>
      </c>
      <c r="HE120" s="26">
        <v>0</v>
      </c>
      <c r="HF120" s="26">
        <v>0</v>
      </c>
      <c r="HG120" s="26">
        <v>0</v>
      </c>
      <c r="HH120" s="26">
        <v>0</v>
      </c>
      <c r="HI120" s="26">
        <v>0</v>
      </c>
      <c r="HJ120" s="26">
        <v>0</v>
      </c>
      <c r="HK120" s="26">
        <v>0</v>
      </c>
      <c r="HL120" s="26">
        <v>0</v>
      </c>
      <c r="HM120" s="26">
        <v>0</v>
      </c>
      <c r="HN120" s="26">
        <v>0</v>
      </c>
      <c r="HO120" s="26">
        <v>0</v>
      </c>
      <c r="HP120" s="26">
        <v>0</v>
      </c>
      <c r="HQ120" s="26">
        <v>0</v>
      </c>
      <c r="HR120" s="26">
        <v>0</v>
      </c>
      <c r="HS120" s="26">
        <v>0</v>
      </c>
      <c r="HT120" s="26">
        <v>0.24991484061042982</v>
      </c>
    </row>
    <row r="121" spans="2:228" x14ac:dyDescent="0.2">
      <c r="B121" s="27" t="s">
        <v>3470</v>
      </c>
      <c r="C121" s="26">
        <v>7610456.8699999992</v>
      </c>
      <c r="D121" s="26">
        <v>0.147571809</v>
      </c>
      <c r="E121" s="26">
        <v>0</v>
      </c>
      <c r="F121" s="26">
        <v>0</v>
      </c>
      <c r="G121" s="26">
        <v>0</v>
      </c>
      <c r="H121" s="26">
        <v>0</v>
      </c>
      <c r="I121" s="26">
        <v>0</v>
      </c>
      <c r="J121" s="26">
        <v>0</v>
      </c>
      <c r="K121" s="26">
        <v>0</v>
      </c>
      <c r="L121" s="26">
        <v>0</v>
      </c>
      <c r="M121" s="26">
        <v>0</v>
      </c>
      <c r="N121" s="26">
        <v>0</v>
      </c>
      <c r="O121" s="26">
        <v>0</v>
      </c>
      <c r="P121" s="26">
        <v>0</v>
      </c>
      <c r="Q121" s="26">
        <v>0</v>
      </c>
      <c r="R121" s="26">
        <v>0</v>
      </c>
      <c r="S121" s="26">
        <v>0</v>
      </c>
      <c r="T121" s="26">
        <v>0</v>
      </c>
      <c r="U121" s="26">
        <v>0</v>
      </c>
      <c r="V121" s="26">
        <v>0</v>
      </c>
      <c r="W121" s="26">
        <v>0</v>
      </c>
      <c r="X121" s="26">
        <v>0</v>
      </c>
      <c r="Y121" s="26">
        <v>0</v>
      </c>
      <c r="Z121" s="26">
        <v>0</v>
      </c>
      <c r="AA121" s="26">
        <v>0</v>
      </c>
      <c r="AB121" s="26">
        <v>0</v>
      </c>
      <c r="AC121" s="26">
        <v>0</v>
      </c>
      <c r="AD121" s="26">
        <v>0</v>
      </c>
      <c r="AE121" s="26">
        <v>0</v>
      </c>
      <c r="AF121" s="26">
        <v>0</v>
      </c>
      <c r="AG121" s="26">
        <v>0</v>
      </c>
      <c r="AH121" s="26">
        <v>0</v>
      </c>
      <c r="AI121" s="26">
        <v>0</v>
      </c>
      <c r="AJ121" s="26">
        <v>0</v>
      </c>
      <c r="AK121" s="26">
        <v>0</v>
      </c>
      <c r="AL121" s="26">
        <v>0</v>
      </c>
      <c r="AM121" s="26">
        <v>0</v>
      </c>
      <c r="AN121" s="26">
        <v>1772604.79</v>
      </c>
      <c r="AO121" s="26">
        <v>5837852.0800000001</v>
      </c>
      <c r="AP121" s="26">
        <v>0</v>
      </c>
      <c r="AQ121" s="26">
        <v>0</v>
      </c>
      <c r="AR121" s="26">
        <v>0</v>
      </c>
      <c r="AS121" s="26">
        <v>0</v>
      </c>
      <c r="AT121" s="26">
        <v>0</v>
      </c>
      <c r="AU121" s="26">
        <v>0</v>
      </c>
      <c r="AV121" s="26">
        <v>0</v>
      </c>
      <c r="AW121" s="26">
        <v>0</v>
      </c>
      <c r="AX121" s="26">
        <v>0</v>
      </c>
      <c r="AY121" s="26">
        <v>0</v>
      </c>
      <c r="AZ121" s="26">
        <v>0</v>
      </c>
      <c r="BA121" s="26">
        <v>0</v>
      </c>
      <c r="BB121" s="26">
        <v>0</v>
      </c>
      <c r="BC121" s="26">
        <v>0</v>
      </c>
      <c r="BD121" s="26">
        <v>0</v>
      </c>
      <c r="BE121" s="26">
        <v>0</v>
      </c>
      <c r="BF121" s="26">
        <v>0</v>
      </c>
      <c r="BG121" s="26">
        <v>0</v>
      </c>
      <c r="BH121" s="26">
        <v>0</v>
      </c>
      <c r="BI121" s="26">
        <v>0</v>
      </c>
      <c r="BJ121" s="26">
        <v>0</v>
      </c>
      <c r="BK121" s="26">
        <v>0</v>
      </c>
      <c r="BL121" s="26">
        <v>0</v>
      </c>
      <c r="BM121" s="26">
        <v>0</v>
      </c>
      <c r="BN121" s="26">
        <v>0</v>
      </c>
      <c r="BO121" s="26">
        <v>263790.36700000003</v>
      </c>
      <c r="BP121" s="26">
        <v>7610456.8699999992</v>
      </c>
      <c r="BQ121" s="26">
        <v>107516384</v>
      </c>
      <c r="BR121" s="26">
        <v>25.080288699999983</v>
      </c>
      <c r="BS121" s="26">
        <v>1.0006804600000001</v>
      </c>
      <c r="BT121" s="26">
        <v>1</v>
      </c>
      <c r="BU121" s="26">
        <v>0</v>
      </c>
      <c r="BV121" s="26">
        <v>0</v>
      </c>
      <c r="BW121" s="26">
        <v>0.55942834299999999</v>
      </c>
      <c r="BX121" s="26">
        <v>1.9390663499999999E-2</v>
      </c>
      <c r="BY121" s="26">
        <v>0.147571809</v>
      </c>
      <c r="BZ121" s="26">
        <v>1.02116282</v>
      </c>
      <c r="CA121" s="26">
        <v>3.5395104300000001E-2</v>
      </c>
      <c r="CB121" s="26">
        <v>4.0891498400000001E-5</v>
      </c>
      <c r="CC121" s="26">
        <v>1.1797359699999999E-3</v>
      </c>
      <c r="CD121" s="26">
        <v>28.8503972</v>
      </c>
      <c r="CE121" s="26">
        <v>235467.193</v>
      </c>
      <c r="CF121" s="26">
        <v>0</v>
      </c>
      <c r="CG121" s="26">
        <v>0</v>
      </c>
      <c r="CH121" s="26">
        <v>0</v>
      </c>
      <c r="CI121" s="26">
        <v>0</v>
      </c>
      <c r="CJ121" s="26">
        <v>0</v>
      </c>
      <c r="CK121" s="26">
        <v>0</v>
      </c>
      <c r="CL121" s="26">
        <v>0</v>
      </c>
      <c r="CM121" s="26">
        <v>0</v>
      </c>
      <c r="CN121" s="26">
        <v>0</v>
      </c>
      <c r="CO121" s="26">
        <v>0</v>
      </c>
      <c r="CP121" s="26">
        <v>0</v>
      </c>
      <c r="CQ121" s="26">
        <v>0</v>
      </c>
      <c r="CR121" s="26">
        <v>0</v>
      </c>
      <c r="CS121" s="26">
        <v>0</v>
      </c>
      <c r="CT121" s="26">
        <v>0</v>
      </c>
      <c r="CU121" s="26">
        <v>0</v>
      </c>
      <c r="CV121" s="26">
        <v>0</v>
      </c>
      <c r="CW121" s="26">
        <v>0</v>
      </c>
      <c r="CX121" s="26">
        <v>0</v>
      </c>
      <c r="CY121" s="26">
        <v>0</v>
      </c>
      <c r="CZ121" s="26">
        <v>0</v>
      </c>
      <c r="DA121" s="26">
        <v>0</v>
      </c>
      <c r="DB121" s="26">
        <v>0</v>
      </c>
      <c r="DC121" s="26">
        <v>0</v>
      </c>
      <c r="DD121" s="26">
        <v>0</v>
      </c>
      <c r="DE121" s="26">
        <v>0</v>
      </c>
      <c r="DF121" s="26">
        <v>0</v>
      </c>
      <c r="DG121" s="26">
        <v>0</v>
      </c>
      <c r="DH121" s="26">
        <v>0</v>
      </c>
      <c r="DI121" s="26">
        <v>0</v>
      </c>
      <c r="DJ121" s="26">
        <v>0</v>
      </c>
      <c r="DK121" s="26">
        <v>0</v>
      </c>
      <c r="DL121" s="26">
        <v>0</v>
      </c>
      <c r="DM121" s="26">
        <v>0</v>
      </c>
      <c r="DN121" s="26">
        <v>0</v>
      </c>
      <c r="DO121" s="26">
        <v>0</v>
      </c>
      <c r="DP121" s="26">
        <v>0</v>
      </c>
      <c r="DQ121" s="26">
        <v>0</v>
      </c>
      <c r="DR121" s="26">
        <v>0</v>
      </c>
      <c r="DS121" s="26">
        <v>0</v>
      </c>
      <c r="DT121" s="26">
        <v>0</v>
      </c>
      <c r="DU121" s="26">
        <v>0</v>
      </c>
      <c r="DV121" s="26">
        <v>0</v>
      </c>
      <c r="DW121" s="26">
        <v>0</v>
      </c>
      <c r="DX121" s="26">
        <v>0</v>
      </c>
      <c r="DY121" s="26">
        <v>0</v>
      </c>
      <c r="DZ121" s="26">
        <v>0</v>
      </c>
      <c r="EA121" s="26">
        <v>0</v>
      </c>
      <c r="EB121" s="26">
        <v>0</v>
      </c>
      <c r="EC121" s="26">
        <v>0</v>
      </c>
      <c r="ED121" s="26">
        <v>0</v>
      </c>
      <c r="EE121" s="26">
        <v>0</v>
      </c>
      <c r="EF121" s="26">
        <v>0</v>
      </c>
      <c r="EG121" s="26">
        <v>0</v>
      </c>
      <c r="EH121" s="26">
        <v>0</v>
      </c>
      <c r="EI121" s="26">
        <v>0</v>
      </c>
      <c r="EJ121" s="26">
        <v>0</v>
      </c>
      <c r="EK121" s="26">
        <v>0</v>
      </c>
      <c r="EL121" s="26">
        <v>0</v>
      </c>
      <c r="EM121" s="26">
        <v>0</v>
      </c>
      <c r="EN121" s="26">
        <v>0</v>
      </c>
      <c r="EO121" s="26">
        <v>0</v>
      </c>
      <c r="EP121" s="26">
        <v>0</v>
      </c>
      <c r="EQ121" s="26">
        <v>0</v>
      </c>
      <c r="ER121" s="26">
        <v>0</v>
      </c>
      <c r="ES121" s="26">
        <v>0</v>
      </c>
      <c r="ET121" s="26">
        <v>1.0006804600000001</v>
      </c>
      <c r="EU121" s="26">
        <v>0</v>
      </c>
      <c r="EV121" s="26">
        <v>0</v>
      </c>
      <c r="EW121" s="26">
        <v>0</v>
      </c>
      <c r="EX121" s="26">
        <v>0</v>
      </c>
      <c r="EY121" s="26">
        <v>0</v>
      </c>
      <c r="EZ121" s="26">
        <v>0</v>
      </c>
      <c r="FA121" s="26">
        <v>0</v>
      </c>
      <c r="FB121" s="26">
        <v>0</v>
      </c>
      <c r="FC121" s="26">
        <v>0</v>
      </c>
      <c r="FD121" s="26">
        <v>0</v>
      </c>
      <c r="FE121" s="26">
        <v>0</v>
      </c>
      <c r="FF121" s="26">
        <v>0</v>
      </c>
      <c r="FG121" s="26">
        <v>0</v>
      </c>
      <c r="FH121" s="26">
        <v>-5.7323915982800001E-8</v>
      </c>
      <c r="FI121" s="26">
        <v>0</v>
      </c>
      <c r="FJ121" s="26">
        <v>0</v>
      </c>
      <c r="FK121" s="26">
        <v>0</v>
      </c>
      <c r="FL121" s="26">
        <v>0</v>
      </c>
      <c r="FM121" s="26">
        <v>0</v>
      </c>
      <c r="FN121" s="26">
        <v>0</v>
      </c>
      <c r="FO121" s="26">
        <v>0</v>
      </c>
      <c r="FP121" s="26">
        <v>0</v>
      </c>
      <c r="FQ121" s="26">
        <v>0</v>
      </c>
      <c r="FR121" s="26">
        <v>0</v>
      </c>
      <c r="FS121" s="26">
        <v>0</v>
      </c>
      <c r="FT121" s="26">
        <v>0</v>
      </c>
      <c r="FU121" s="26">
        <v>0</v>
      </c>
      <c r="FV121" s="26">
        <v>0</v>
      </c>
      <c r="FW121" s="26">
        <v>0</v>
      </c>
      <c r="FX121" s="26">
        <v>0</v>
      </c>
      <c r="FY121" s="26">
        <v>0</v>
      </c>
      <c r="FZ121" s="26">
        <v>0</v>
      </c>
      <c r="GA121" s="26">
        <v>0</v>
      </c>
      <c r="GB121" s="26">
        <v>0</v>
      </c>
      <c r="GC121" s="26">
        <v>0</v>
      </c>
      <c r="GD121" s="26">
        <v>0</v>
      </c>
      <c r="GE121" s="26">
        <v>0</v>
      </c>
      <c r="GF121" s="26">
        <v>0</v>
      </c>
      <c r="GG121" s="26">
        <v>0</v>
      </c>
      <c r="GH121" s="26">
        <v>0</v>
      </c>
      <c r="GI121" s="26">
        <v>0</v>
      </c>
      <c r="GJ121" s="26">
        <v>0</v>
      </c>
      <c r="GK121" s="26">
        <v>0</v>
      </c>
      <c r="GL121" s="26">
        <v>0</v>
      </c>
      <c r="GM121" s="26">
        <v>0</v>
      </c>
      <c r="GN121" s="26">
        <v>0</v>
      </c>
      <c r="GO121" s="26">
        <v>0</v>
      </c>
      <c r="GP121" s="26">
        <v>0</v>
      </c>
      <c r="GQ121" s="26">
        <v>0</v>
      </c>
      <c r="GR121" s="26">
        <v>0</v>
      </c>
      <c r="GS121" s="26">
        <v>15.387771539768838</v>
      </c>
      <c r="GT121" s="26">
        <v>57.887331018654208</v>
      </c>
      <c r="GU121" s="26">
        <v>0</v>
      </c>
      <c r="GV121" s="26">
        <v>0</v>
      </c>
      <c r="GW121" s="26">
        <v>0</v>
      </c>
      <c r="GX121" s="26">
        <v>0</v>
      </c>
      <c r="GY121" s="26">
        <v>0</v>
      </c>
      <c r="GZ121" s="26">
        <v>0</v>
      </c>
      <c r="HA121" s="26">
        <v>0</v>
      </c>
      <c r="HB121" s="26">
        <v>0</v>
      </c>
      <c r="HC121" s="26">
        <v>0</v>
      </c>
      <c r="HD121" s="26">
        <v>0</v>
      </c>
      <c r="HE121" s="26">
        <v>0</v>
      </c>
      <c r="HF121" s="26">
        <v>0</v>
      </c>
      <c r="HG121" s="26">
        <v>0</v>
      </c>
      <c r="HH121" s="26">
        <v>0</v>
      </c>
      <c r="HI121" s="26">
        <v>0</v>
      </c>
      <c r="HJ121" s="26">
        <v>0</v>
      </c>
      <c r="HK121" s="26">
        <v>0</v>
      </c>
      <c r="HL121" s="26">
        <v>0</v>
      </c>
      <c r="HM121" s="26">
        <v>0</v>
      </c>
      <c r="HN121" s="26">
        <v>0</v>
      </c>
      <c r="HO121" s="26">
        <v>0</v>
      </c>
      <c r="HP121" s="26">
        <v>0</v>
      </c>
      <c r="HQ121" s="26">
        <v>0</v>
      </c>
      <c r="HR121" s="26">
        <v>0</v>
      </c>
      <c r="HS121" s="26">
        <v>0</v>
      </c>
      <c r="HT121" s="26">
        <v>0</v>
      </c>
    </row>
    <row r="122" spans="2:228" x14ac:dyDescent="0.2">
      <c r="B122" s="27" t="s">
        <v>3471</v>
      </c>
      <c r="C122" s="26">
        <v>7610456.8699999992</v>
      </c>
      <c r="D122" s="26">
        <v>55.185288</v>
      </c>
      <c r="E122" s="26">
        <v>0</v>
      </c>
      <c r="F122" s="26">
        <v>0</v>
      </c>
      <c r="G122" s="26">
        <v>0</v>
      </c>
      <c r="H122" s="26">
        <v>0</v>
      </c>
      <c r="I122" s="26">
        <v>0</v>
      </c>
      <c r="J122" s="26">
        <v>0</v>
      </c>
      <c r="K122" s="26">
        <v>0</v>
      </c>
      <c r="L122" s="26">
        <v>0</v>
      </c>
      <c r="M122" s="26">
        <v>0</v>
      </c>
      <c r="N122" s="26">
        <v>0</v>
      </c>
      <c r="O122" s="26">
        <v>0</v>
      </c>
      <c r="P122" s="26">
        <v>0</v>
      </c>
      <c r="Q122" s="26">
        <v>0</v>
      </c>
      <c r="R122" s="26">
        <v>0</v>
      </c>
      <c r="S122" s="26">
        <v>0</v>
      </c>
      <c r="T122" s="26">
        <v>0</v>
      </c>
      <c r="U122" s="26">
        <v>0</v>
      </c>
      <c r="V122" s="26">
        <v>0</v>
      </c>
      <c r="W122" s="26">
        <v>0</v>
      </c>
      <c r="X122" s="26">
        <v>0</v>
      </c>
      <c r="Y122" s="26">
        <v>0</v>
      </c>
      <c r="Z122" s="26">
        <v>0</v>
      </c>
      <c r="AA122" s="26">
        <v>0</v>
      </c>
      <c r="AB122" s="26">
        <v>0</v>
      </c>
      <c r="AC122" s="26">
        <v>0</v>
      </c>
      <c r="AD122" s="26">
        <v>0</v>
      </c>
      <c r="AE122" s="26">
        <v>0</v>
      </c>
      <c r="AF122" s="26">
        <v>0</v>
      </c>
      <c r="AG122" s="26">
        <v>0</v>
      </c>
      <c r="AH122" s="26">
        <v>0</v>
      </c>
      <c r="AI122" s="26">
        <v>0</v>
      </c>
      <c r="AJ122" s="26">
        <v>0</v>
      </c>
      <c r="AK122" s="26">
        <v>0</v>
      </c>
      <c r="AL122" s="26">
        <v>0</v>
      </c>
      <c r="AM122" s="26">
        <v>0</v>
      </c>
      <c r="AN122" s="26">
        <v>1772604.79</v>
      </c>
      <c r="AO122" s="26">
        <v>5837852.0800000001</v>
      </c>
      <c r="AP122" s="26">
        <v>0</v>
      </c>
      <c r="AQ122" s="26">
        <v>0</v>
      </c>
      <c r="AR122" s="26">
        <v>0</v>
      </c>
      <c r="AS122" s="26">
        <v>0</v>
      </c>
      <c r="AT122" s="26">
        <v>0</v>
      </c>
      <c r="AU122" s="26">
        <v>0</v>
      </c>
      <c r="AV122" s="26">
        <v>0</v>
      </c>
      <c r="AW122" s="26">
        <v>0</v>
      </c>
      <c r="AX122" s="26">
        <v>0</v>
      </c>
      <c r="AY122" s="26">
        <v>0</v>
      </c>
      <c r="AZ122" s="26">
        <v>0</v>
      </c>
      <c r="BA122" s="26">
        <v>0</v>
      </c>
      <c r="BB122" s="26">
        <v>0</v>
      </c>
      <c r="BC122" s="26">
        <v>0</v>
      </c>
      <c r="BD122" s="26">
        <v>0</v>
      </c>
      <c r="BE122" s="26">
        <v>0</v>
      </c>
      <c r="BF122" s="26">
        <v>0</v>
      </c>
      <c r="BG122" s="26">
        <v>0</v>
      </c>
      <c r="BH122" s="26">
        <v>0</v>
      </c>
      <c r="BI122" s="26">
        <v>0</v>
      </c>
      <c r="BJ122" s="26">
        <v>0</v>
      </c>
      <c r="BK122" s="26">
        <v>0</v>
      </c>
      <c r="BL122" s="26">
        <v>0</v>
      </c>
      <c r="BM122" s="26">
        <v>0</v>
      </c>
      <c r="BN122" s="26">
        <v>0</v>
      </c>
      <c r="BO122" s="26">
        <v>263790.36700000003</v>
      </c>
      <c r="BP122" s="26">
        <v>7610456.8699999992</v>
      </c>
      <c r="BQ122" s="26">
        <v>118383379</v>
      </c>
      <c r="BR122" s="26">
        <v>55</v>
      </c>
      <c r="BS122" s="26">
        <v>1</v>
      </c>
      <c r="BT122" s="26">
        <v>1</v>
      </c>
      <c r="BU122" s="26">
        <v>0</v>
      </c>
      <c r="BV122" s="26">
        <v>0</v>
      </c>
      <c r="BW122" s="26">
        <v>209.20129900000001</v>
      </c>
      <c r="BX122" s="26">
        <v>7.2512450299999998</v>
      </c>
      <c r="BY122" s="26">
        <v>55.185288</v>
      </c>
      <c r="BZ122" s="26">
        <v>1.68919456</v>
      </c>
      <c r="CA122" s="26">
        <v>5.8550131999999998E-2</v>
      </c>
      <c r="CB122" s="26">
        <v>3.7137866100000001E-5</v>
      </c>
      <c r="CC122" s="26">
        <v>1.07144219E-3</v>
      </c>
      <c r="CD122" s="26">
        <v>28.8503972</v>
      </c>
      <c r="CE122" s="26">
        <v>235467.193</v>
      </c>
      <c r="CF122" s="26">
        <v>0</v>
      </c>
      <c r="CG122" s="26">
        <v>0</v>
      </c>
      <c r="CH122" s="26">
        <v>0</v>
      </c>
      <c r="CI122" s="26">
        <v>0</v>
      </c>
      <c r="CJ122" s="26">
        <v>0</v>
      </c>
      <c r="CK122" s="26">
        <v>0</v>
      </c>
      <c r="CL122" s="26">
        <v>0</v>
      </c>
      <c r="CM122" s="26">
        <v>0</v>
      </c>
      <c r="CN122" s="26">
        <v>0</v>
      </c>
      <c r="CO122" s="26">
        <v>0</v>
      </c>
      <c r="CP122" s="26">
        <v>0</v>
      </c>
      <c r="CQ122" s="26">
        <v>0</v>
      </c>
      <c r="CR122" s="26">
        <v>0</v>
      </c>
      <c r="CS122" s="26">
        <v>0</v>
      </c>
      <c r="CT122" s="26">
        <v>0</v>
      </c>
      <c r="CU122" s="26">
        <v>0</v>
      </c>
      <c r="CV122" s="26">
        <v>0</v>
      </c>
      <c r="CW122" s="26">
        <v>0</v>
      </c>
      <c r="CX122" s="26">
        <v>0</v>
      </c>
      <c r="CY122" s="26">
        <v>0</v>
      </c>
      <c r="CZ122" s="26">
        <v>0</v>
      </c>
      <c r="DA122" s="26">
        <v>0</v>
      </c>
      <c r="DB122" s="26">
        <v>0</v>
      </c>
      <c r="DC122" s="26">
        <v>0</v>
      </c>
      <c r="DD122" s="26">
        <v>0</v>
      </c>
      <c r="DE122" s="26">
        <v>0</v>
      </c>
      <c r="DF122" s="26">
        <v>0</v>
      </c>
      <c r="DG122" s="26">
        <v>0</v>
      </c>
      <c r="DH122" s="26">
        <v>0</v>
      </c>
      <c r="DI122" s="26">
        <v>0</v>
      </c>
      <c r="DJ122" s="26">
        <v>0</v>
      </c>
      <c r="DK122" s="26">
        <v>0</v>
      </c>
      <c r="DL122" s="26">
        <v>0</v>
      </c>
      <c r="DM122" s="26">
        <v>0</v>
      </c>
      <c r="DN122" s="26">
        <v>0</v>
      </c>
      <c r="DO122" s="26">
        <v>0</v>
      </c>
      <c r="DP122" s="26">
        <v>0</v>
      </c>
      <c r="DQ122" s="26">
        <v>0</v>
      </c>
      <c r="DR122" s="26">
        <v>0</v>
      </c>
      <c r="DS122" s="26">
        <v>0</v>
      </c>
      <c r="DT122" s="26">
        <v>0</v>
      </c>
      <c r="DU122" s="26">
        <v>0</v>
      </c>
      <c r="DV122" s="26">
        <v>0</v>
      </c>
      <c r="DW122" s="26">
        <v>0</v>
      </c>
      <c r="DX122" s="26">
        <v>0</v>
      </c>
      <c r="DY122" s="26">
        <v>0</v>
      </c>
      <c r="DZ122" s="26">
        <v>0</v>
      </c>
      <c r="EA122" s="26">
        <v>0</v>
      </c>
      <c r="EB122" s="26">
        <v>0</v>
      </c>
      <c r="EC122" s="26">
        <v>0</v>
      </c>
      <c r="ED122" s="26">
        <v>0</v>
      </c>
      <c r="EE122" s="26">
        <v>0</v>
      </c>
      <c r="EF122" s="26">
        <v>0</v>
      </c>
      <c r="EG122" s="26">
        <v>0</v>
      </c>
      <c r="EH122" s="26">
        <v>0</v>
      </c>
      <c r="EI122" s="26">
        <v>0</v>
      </c>
      <c r="EJ122" s="26">
        <v>0</v>
      </c>
      <c r="EK122" s="26">
        <v>0</v>
      </c>
      <c r="EL122" s="26">
        <v>0</v>
      </c>
      <c r="EM122" s="26">
        <v>0</v>
      </c>
      <c r="EN122" s="26">
        <v>0</v>
      </c>
      <c r="EO122" s="26">
        <v>0</v>
      </c>
      <c r="EP122" s="26">
        <v>0</v>
      </c>
      <c r="EQ122" s="26">
        <v>0</v>
      </c>
      <c r="ER122" s="26">
        <v>0</v>
      </c>
      <c r="ES122" s="26">
        <v>0</v>
      </c>
      <c r="ET122" s="26">
        <v>1</v>
      </c>
      <c r="EU122" s="26">
        <v>0</v>
      </c>
      <c r="EV122" s="26">
        <v>0</v>
      </c>
      <c r="EW122" s="26">
        <v>0</v>
      </c>
      <c r="EX122" s="26">
        <v>0</v>
      </c>
      <c r="EY122" s="26">
        <v>0</v>
      </c>
      <c r="EZ122" s="26">
        <v>0</v>
      </c>
      <c r="FA122" s="26">
        <v>0</v>
      </c>
      <c r="FB122" s="26">
        <v>0</v>
      </c>
      <c r="FC122" s="26">
        <v>0</v>
      </c>
      <c r="FD122" s="26">
        <v>0</v>
      </c>
      <c r="FE122" s="26">
        <v>0</v>
      </c>
      <c r="FF122" s="26">
        <v>0</v>
      </c>
      <c r="FG122" s="26">
        <v>0</v>
      </c>
      <c r="FH122" s="26">
        <v>-5.7323915982800001E-8</v>
      </c>
      <c r="FI122" s="26">
        <v>0</v>
      </c>
      <c r="FJ122" s="26">
        <v>0</v>
      </c>
      <c r="FK122" s="26">
        <v>0</v>
      </c>
      <c r="FL122" s="26">
        <v>0</v>
      </c>
      <c r="FM122" s="26">
        <v>0</v>
      </c>
      <c r="FN122" s="26">
        <v>0</v>
      </c>
      <c r="FO122" s="26">
        <v>0</v>
      </c>
      <c r="FP122" s="26">
        <v>0</v>
      </c>
      <c r="FQ122" s="26">
        <v>0</v>
      </c>
      <c r="FR122" s="26">
        <v>0</v>
      </c>
      <c r="FS122" s="26">
        <v>0</v>
      </c>
      <c r="FT122" s="26">
        <v>0</v>
      </c>
      <c r="FU122" s="26">
        <v>0</v>
      </c>
      <c r="FV122" s="26">
        <v>0</v>
      </c>
      <c r="FW122" s="26">
        <v>0</v>
      </c>
      <c r="FX122" s="26">
        <v>0</v>
      </c>
      <c r="FY122" s="26">
        <v>0</v>
      </c>
      <c r="FZ122" s="26">
        <v>0</v>
      </c>
      <c r="GA122" s="26">
        <v>0</v>
      </c>
      <c r="GB122" s="26">
        <v>0</v>
      </c>
      <c r="GC122" s="26">
        <v>0</v>
      </c>
      <c r="GD122" s="26">
        <v>0</v>
      </c>
      <c r="GE122" s="26">
        <v>0</v>
      </c>
      <c r="GF122" s="26">
        <v>0</v>
      </c>
      <c r="GG122" s="26">
        <v>0</v>
      </c>
      <c r="GH122" s="26">
        <v>0</v>
      </c>
      <c r="GI122" s="26">
        <v>0</v>
      </c>
      <c r="GJ122" s="26">
        <v>0</v>
      </c>
      <c r="GK122" s="26">
        <v>0</v>
      </c>
      <c r="GL122" s="26">
        <v>0</v>
      </c>
      <c r="GM122" s="26">
        <v>0</v>
      </c>
      <c r="GN122" s="26">
        <v>0</v>
      </c>
      <c r="GO122" s="26">
        <v>0</v>
      </c>
      <c r="GP122" s="26">
        <v>0</v>
      </c>
      <c r="GQ122" s="26">
        <v>0</v>
      </c>
      <c r="GR122" s="26">
        <v>0</v>
      </c>
      <c r="GS122" s="26">
        <v>15.387771539768838</v>
      </c>
      <c r="GT122" s="26">
        <v>57.887331018654208</v>
      </c>
      <c r="GU122" s="26">
        <v>0</v>
      </c>
      <c r="GV122" s="26">
        <v>0</v>
      </c>
      <c r="GW122" s="26">
        <v>0</v>
      </c>
      <c r="GX122" s="26">
        <v>0</v>
      </c>
      <c r="GY122" s="26">
        <v>0</v>
      </c>
      <c r="GZ122" s="26">
        <v>0</v>
      </c>
      <c r="HA122" s="26">
        <v>0</v>
      </c>
      <c r="HB122" s="26">
        <v>0</v>
      </c>
      <c r="HC122" s="26">
        <v>0</v>
      </c>
      <c r="HD122" s="26">
        <v>0</v>
      </c>
      <c r="HE122" s="26">
        <v>0</v>
      </c>
      <c r="HF122" s="26">
        <v>0</v>
      </c>
      <c r="HG122" s="26">
        <v>0</v>
      </c>
      <c r="HH122" s="26">
        <v>0</v>
      </c>
      <c r="HI122" s="26">
        <v>0</v>
      </c>
      <c r="HJ122" s="26">
        <v>0</v>
      </c>
      <c r="HK122" s="26">
        <v>0</v>
      </c>
      <c r="HL122" s="26">
        <v>0</v>
      </c>
      <c r="HM122" s="26">
        <v>0</v>
      </c>
      <c r="HN122" s="26">
        <v>0</v>
      </c>
      <c r="HO122" s="26">
        <v>0</v>
      </c>
      <c r="HP122" s="26">
        <v>0</v>
      </c>
      <c r="HQ122" s="26">
        <v>0</v>
      </c>
      <c r="HR122" s="26">
        <v>0</v>
      </c>
      <c r="HS122" s="26">
        <v>0</v>
      </c>
      <c r="HT122" s="26">
        <v>0</v>
      </c>
    </row>
    <row r="123" spans="2:228" x14ac:dyDescent="0.2">
      <c r="B123" s="27" t="s">
        <v>3493</v>
      </c>
      <c r="C123" s="26">
        <v>443709.61599999998</v>
      </c>
      <c r="D123" s="26">
        <v>-1471.83818</v>
      </c>
      <c r="E123" s="26">
        <v>351804.25599999999</v>
      </c>
      <c r="F123" s="26">
        <v>5.8781905099999996</v>
      </c>
      <c r="G123" s="26">
        <v>29688.5353</v>
      </c>
      <c r="H123" s="26">
        <v>1179.6069600000001</v>
      </c>
      <c r="I123" s="26">
        <v>494.93998199999999</v>
      </c>
      <c r="J123" s="26">
        <v>16476.311399999999</v>
      </c>
      <c r="K123" s="26">
        <v>2007.8659200000002</v>
      </c>
      <c r="L123" s="26">
        <v>331.08546999999999</v>
      </c>
      <c r="M123" s="26">
        <v>0</v>
      </c>
      <c r="N123" s="26">
        <v>1133.1493700000001</v>
      </c>
      <c r="O123" s="26">
        <v>28.596618400000004</v>
      </c>
      <c r="P123" s="26">
        <v>11.998581100000001</v>
      </c>
      <c r="Q123" s="26">
        <v>390.551108</v>
      </c>
      <c r="R123" s="26">
        <v>47.594041799999999</v>
      </c>
      <c r="S123" s="26">
        <v>12208.3331</v>
      </c>
      <c r="T123" s="26">
        <v>656.53966200000002</v>
      </c>
      <c r="U123" s="26">
        <v>369.27255600000001</v>
      </c>
      <c r="V123" s="26">
        <v>336.08820900000001</v>
      </c>
      <c r="W123" s="26">
        <v>0</v>
      </c>
      <c r="X123" s="26">
        <v>41.7626621</v>
      </c>
      <c r="Y123" s="26">
        <v>4.8241145299999999E-5</v>
      </c>
      <c r="Z123" s="26">
        <v>3.07215002E-3</v>
      </c>
      <c r="AA123" s="26">
        <v>3.00844484E-3</v>
      </c>
      <c r="AB123" s="26">
        <v>0.20126485999999999</v>
      </c>
      <c r="AC123" s="26">
        <v>0</v>
      </c>
      <c r="AD123" s="26">
        <v>2481.5580500000001</v>
      </c>
      <c r="AE123" s="26">
        <v>1860.9805500000002</v>
      </c>
      <c r="AF123" s="26">
        <v>0</v>
      </c>
      <c r="AG123" s="26">
        <v>0</v>
      </c>
      <c r="AH123" s="26">
        <v>0</v>
      </c>
      <c r="AI123" s="26">
        <v>0</v>
      </c>
      <c r="AJ123" s="26">
        <v>0</v>
      </c>
      <c r="AK123" s="26">
        <v>0</v>
      </c>
      <c r="AL123" s="26">
        <v>0</v>
      </c>
      <c r="AM123" s="26">
        <v>13.3575797</v>
      </c>
      <c r="AN123" s="26">
        <v>7.8816405399999998E-2</v>
      </c>
      <c r="AO123" s="26">
        <v>0.17471503399999999</v>
      </c>
      <c r="AP123" s="26">
        <v>0</v>
      </c>
      <c r="AQ123" s="26">
        <v>0</v>
      </c>
      <c r="AR123" s="26">
        <v>0</v>
      </c>
      <c r="AS123" s="26">
        <v>0.85319993199999999</v>
      </c>
      <c r="AT123" s="26">
        <v>0</v>
      </c>
      <c r="AU123" s="26">
        <v>0</v>
      </c>
      <c r="AV123" s="26">
        <v>2.1650924699999998E-3</v>
      </c>
      <c r="AW123" s="26">
        <v>0</v>
      </c>
      <c r="AX123" s="26">
        <v>0</v>
      </c>
      <c r="AY123" s="26">
        <v>0</v>
      </c>
      <c r="AZ123" s="26">
        <v>0</v>
      </c>
      <c r="BA123" s="26">
        <v>0</v>
      </c>
      <c r="BB123" s="26">
        <v>0</v>
      </c>
      <c r="BC123" s="26">
        <v>0</v>
      </c>
      <c r="BD123" s="26">
        <v>0</v>
      </c>
      <c r="BE123" s="26">
        <v>0</v>
      </c>
      <c r="BF123" s="26">
        <v>0</v>
      </c>
      <c r="BG123" s="26">
        <v>0</v>
      </c>
      <c r="BH123" s="26">
        <v>0</v>
      </c>
      <c r="BI123" s="26">
        <v>0</v>
      </c>
      <c r="BJ123" s="26">
        <v>0</v>
      </c>
      <c r="BK123" s="26">
        <v>0</v>
      </c>
      <c r="BL123" s="26">
        <v>0</v>
      </c>
      <c r="BM123" s="26">
        <v>0</v>
      </c>
      <c r="BN123" s="26">
        <v>0</v>
      </c>
      <c r="BO123" s="26">
        <v>19958.939600000002</v>
      </c>
      <c r="BP123" s="26">
        <v>421569.57799999998</v>
      </c>
      <c r="BQ123" s="26">
        <v>6514.6997499999998</v>
      </c>
      <c r="BR123" s="26">
        <v>32</v>
      </c>
      <c r="BS123" s="26">
        <v>1</v>
      </c>
      <c r="BT123" s="26">
        <v>0</v>
      </c>
      <c r="BU123" s="26">
        <v>1</v>
      </c>
      <c r="BV123" s="26">
        <v>0</v>
      </c>
      <c r="BW123" s="26">
        <v>-72460.645399999994</v>
      </c>
      <c r="BX123" s="26">
        <v>-3430.6025</v>
      </c>
      <c r="BY123" s="26">
        <v>-1446.23766</v>
      </c>
      <c r="BZ123" s="26">
        <v>-42.481349399999999</v>
      </c>
      <c r="CA123" s="26">
        <v>-2.0112520699999998</v>
      </c>
      <c r="CB123" s="26">
        <v>5.1061292500000001E-2</v>
      </c>
      <c r="CC123" s="26">
        <v>1.0785085700000001</v>
      </c>
      <c r="CD123" s="26">
        <v>21.121842399999998</v>
      </c>
      <c r="CE123" s="26">
        <v>0</v>
      </c>
      <c r="CF123" s="26">
        <v>0</v>
      </c>
      <c r="CG123" s="26">
        <v>0</v>
      </c>
      <c r="CH123" s="26">
        <v>0</v>
      </c>
      <c r="CI123" s="26">
        <v>0</v>
      </c>
      <c r="CJ123" s="26">
        <v>0</v>
      </c>
      <c r="CK123" s="26">
        <v>0</v>
      </c>
      <c r="CL123" s="26">
        <v>0</v>
      </c>
      <c r="CM123" s="26">
        <v>0</v>
      </c>
      <c r="CN123" s="26">
        <v>0</v>
      </c>
      <c r="CO123" s="26">
        <v>0</v>
      </c>
      <c r="CP123" s="26">
        <v>0</v>
      </c>
      <c r="CQ123" s="26">
        <v>0</v>
      </c>
      <c r="CR123" s="26">
        <v>0</v>
      </c>
      <c r="CS123" s="26">
        <v>0</v>
      </c>
      <c r="CT123" s="26">
        <v>0</v>
      </c>
      <c r="CU123" s="26">
        <v>0</v>
      </c>
      <c r="CV123" s="26">
        <v>0</v>
      </c>
      <c r="CW123" s="26">
        <v>0</v>
      </c>
      <c r="CX123" s="26">
        <v>0</v>
      </c>
      <c r="CY123" s="26">
        <v>0</v>
      </c>
      <c r="CZ123" s="26">
        <v>0</v>
      </c>
      <c r="DA123" s="26">
        <v>0</v>
      </c>
      <c r="DB123" s="26">
        <v>0</v>
      </c>
      <c r="DC123" s="26">
        <v>0</v>
      </c>
      <c r="DD123" s="26">
        <v>0</v>
      </c>
      <c r="DE123" s="26">
        <v>0</v>
      </c>
      <c r="DF123" s="26">
        <v>0</v>
      </c>
      <c r="DG123" s="26">
        <v>0</v>
      </c>
      <c r="DH123" s="26">
        <v>0</v>
      </c>
      <c r="DI123" s="26">
        <v>0</v>
      </c>
      <c r="DJ123" s="26">
        <v>0</v>
      </c>
      <c r="DK123" s="26">
        <v>0</v>
      </c>
      <c r="DL123" s="26">
        <v>0</v>
      </c>
      <c r="DM123" s="26">
        <v>0</v>
      </c>
      <c r="DN123" s="26">
        <v>0</v>
      </c>
      <c r="DO123" s="26">
        <v>0</v>
      </c>
      <c r="DP123" s="26">
        <v>0</v>
      </c>
      <c r="DQ123" s="26">
        <v>0</v>
      </c>
      <c r="DR123" s="26">
        <v>0</v>
      </c>
      <c r="DS123" s="26">
        <v>0</v>
      </c>
      <c r="DT123" s="26">
        <v>0</v>
      </c>
      <c r="DU123" s="26">
        <v>0</v>
      </c>
      <c r="DV123" s="26">
        <v>0</v>
      </c>
      <c r="DW123" s="26">
        <v>0</v>
      </c>
      <c r="DX123" s="26">
        <v>1254.64166</v>
      </c>
      <c r="DY123" s="26">
        <v>30.979670600000002</v>
      </c>
      <c r="DZ123" s="26">
        <v>12.9984632</v>
      </c>
      <c r="EA123" s="26">
        <v>423.09997600000003</v>
      </c>
      <c r="EB123" s="26">
        <v>51.560570599999998</v>
      </c>
      <c r="EC123" s="26">
        <v>12475.191699999999</v>
      </c>
      <c r="ED123" s="26">
        <v>0</v>
      </c>
      <c r="EE123" s="26">
        <v>2624.1497599999998</v>
      </c>
      <c r="EF123" s="26">
        <v>4107.8476600000004</v>
      </c>
      <c r="EG123" s="26">
        <v>520.80320400000005</v>
      </c>
      <c r="EH123" s="26">
        <v>57.867106200000009</v>
      </c>
      <c r="EI123" s="26">
        <v>0</v>
      </c>
      <c r="EJ123" s="26">
        <v>107.802228</v>
      </c>
      <c r="EK123" s="26">
        <v>0</v>
      </c>
      <c r="EL123" s="26">
        <v>473.096316</v>
      </c>
      <c r="EM123" s="26">
        <v>0</v>
      </c>
      <c r="EN123" s="26">
        <v>0</v>
      </c>
      <c r="EO123" s="26">
        <v>0</v>
      </c>
      <c r="EP123" s="26">
        <v>313.51507900000001</v>
      </c>
      <c r="EQ123" s="26">
        <v>22140.0383</v>
      </c>
      <c r="ER123" s="26">
        <v>267.35296099999999</v>
      </c>
      <c r="ES123" s="26">
        <v>32</v>
      </c>
      <c r="ET123" s="26">
        <v>1</v>
      </c>
      <c r="EU123" s="26">
        <v>0</v>
      </c>
      <c r="EV123" s="26">
        <v>0</v>
      </c>
      <c r="EW123" s="26">
        <v>1</v>
      </c>
      <c r="EX123" s="26">
        <v>-81656.433699999994</v>
      </c>
      <c r="EY123" s="26">
        <v>-1156.2998600000001</v>
      </c>
      <c r="EZ123" s="26">
        <v>-25.600523500000001</v>
      </c>
      <c r="FA123" s="26">
        <v>-157.86348699999999</v>
      </c>
      <c r="FB123" s="26">
        <v>-2.23543351</v>
      </c>
      <c r="FC123" s="26">
        <v>1.95443927E-2</v>
      </c>
      <c r="FD123" s="26">
        <v>1.3802002899999999</v>
      </c>
      <c r="FE123" s="26">
        <v>70.618735200000003</v>
      </c>
      <c r="FF123" s="26">
        <v>0</v>
      </c>
      <c r="FG123" s="26">
        <v>0.229901824</v>
      </c>
      <c r="FH123" s="26">
        <v>-1714712743.9100001</v>
      </c>
      <c r="FI123" s="26">
        <v>0.62742014668602786</v>
      </c>
      <c r="FJ123" s="26">
        <v>0</v>
      </c>
      <c r="FK123" s="26">
        <v>0</v>
      </c>
      <c r="FL123" s="26">
        <v>0</v>
      </c>
      <c r="FM123" s="26">
        <v>0</v>
      </c>
      <c r="FN123" s="26">
        <v>0</v>
      </c>
      <c r="FO123" s="26">
        <v>0</v>
      </c>
      <c r="FP123" s="26">
        <v>0</v>
      </c>
      <c r="FQ123" s="26">
        <v>0</v>
      </c>
      <c r="FR123" s="26">
        <v>0</v>
      </c>
      <c r="FS123" s="26">
        <v>0</v>
      </c>
      <c r="FT123" s="26">
        <v>0</v>
      </c>
      <c r="FU123" s="26">
        <v>0</v>
      </c>
      <c r="FV123" s="26">
        <v>0</v>
      </c>
      <c r="FW123" s="26">
        <v>0</v>
      </c>
      <c r="FX123" s="26">
        <v>0</v>
      </c>
      <c r="FY123" s="26">
        <v>0</v>
      </c>
      <c r="FZ123" s="26">
        <v>0</v>
      </c>
      <c r="GA123" s="26">
        <v>0</v>
      </c>
      <c r="GB123" s="26">
        <v>0</v>
      </c>
      <c r="GC123" s="26">
        <v>0</v>
      </c>
      <c r="GD123" s="26">
        <v>0</v>
      </c>
      <c r="GE123" s="26">
        <v>0</v>
      </c>
      <c r="GF123" s="26">
        <v>0</v>
      </c>
      <c r="GG123" s="26">
        <v>0</v>
      </c>
      <c r="GH123" s="26">
        <v>0</v>
      </c>
      <c r="GI123" s="26">
        <v>0</v>
      </c>
      <c r="GJ123" s="26">
        <v>0</v>
      </c>
      <c r="GK123" s="26">
        <v>0</v>
      </c>
      <c r="GL123" s="26">
        <v>0</v>
      </c>
      <c r="GM123" s="26">
        <v>0</v>
      </c>
      <c r="GN123" s="26">
        <v>0</v>
      </c>
      <c r="GO123" s="26">
        <v>0</v>
      </c>
      <c r="GP123" s="26">
        <v>0</v>
      </c>
      <c r="GQ123" s="26">
        <v>0</v>
      </c>
      <c r="GR123" s="26">
        <v>0</v>
      </c>
      <c r="GS123" s="26">
        <v>0</v>
      </c>
      <c r="GT123" s="26">
        <v>0</v>
      </c>
      <c r="GU123" s="26">
        <v>0</v>
      </c>
      <c r="GV123" s="26">
        <v>0</v>
      </c>
      <c r="GW123" s="26">
        <v>0</v>
      </c>
      <c r="GX123" s="26">
        <v>0</v>
      </c>
      <c r="GY123" s="26">
        <v>0</v>
      </c>
      <c r="GZ123" s="26">
        <v>0</v>
      </c>
      <c r="HA123" s="26">
        <v>0</v>
      </c>
      <c r="HB123" s="26">
        <v>0</v>
      </c>
      <c r="HC123" s="26">
        <v>0</v>
      </c>
      <c r="HD123" s="26">
        <v>0</v>
      </c>
      <c r="HE123" s="26">
        <v>0</v>
      </c>
      <c r="HF123" s="26">
        <v>0</v>
      </c>
      <c r="HG123" s="26">
        <v>0</v>
      </c>
      <c r="HH123" s="26">
        <v>0</v>
      </c>
      <c r="HI123" s="26">
        <v>0</v>
      </c>
      <c r="HJ123" s="26">
        <v>0</v>
      </c>
      <c r="HK123" s="26">
        <v>0</v>
      </c>
      <c r="HL123" s="26">
        <v>0</v>
      </c>
      <c r="HM123" s="26">
        <v>0</v>
      </c>
      <c r="HN123" s="26">
        <v>0</v>
      </c>
      <c r="HO123" s="26">
        <v>0</v>
      </c>
      <c r="HP123" s="26">
        <v>0</v>
      </c>
      <c r="HQ123" s="26">
        <v>0</v>
      </c>
      <c r="HR123" s="26">
        <v>0</v>
      </c>
      <c r="HS123" s="26">
        <v>0</v>
      </c>
      <c r="HT123" s="26">
        <v>0.24478705806940756</v>
      </c>
    </row>
    <row r="124" spans="2:228" x14ac:dyDescent="0.2">
      <c r="B124" s="27" t="s">
        <v>3474</v>
      </c>
      <c r="C124" s="26">
        <v>39553.0412</v>
      </c>
      <c r="D124" s="26">
        <v>-88.665119700000005</v>
      </c>
      <c r="E124" s="26">
        <v>15945.4043</v>
      </c>
      <c r="F124" s="26">
        <v>8.5233762399999996E-2</v>
      </c>
      <c r="G124" s="26">
        <v>430.48376200000001</v>
      </c>
      <c r="H124" s="26">
        <v>17.104300899999998</v>
      </c>
      <c r="I124" s="26">
        <v>7.1766297400000001</v>
      </c>
      <c r="J124" s="26">
        <v>238.90651500000004</v>
      </c>
      <c r="K124" s="26">
        <v>29.114055800000003</v>
      </c>
      <c r="L124" s="26">
        <v>4.80073931</v>
      </c>
      <c r="M124" s="26">
        <v>0</v>
      </c>
      <c r="N124" s="26">
        <v>16.4306658</v>
      </c>
      <c r="O124" s="26">
        <v>0.41465096699999998</v>
      </c>
      <c r="P124" s="26">
        <v>0.17397942699999999</v>
      </c>
      <c r="Q124" s="26">
        <v>5.6629910600000004</v>
      </c>
      <c r="R124" s="26">
        <v>0.69011360600000005</v>
      </c>
      <c r="S124" s="26">
        <v>177.02082999999999</v>
      </c>
      <c r="T124" s="26">
        <v>9.5198251000000003</v>
      </c>
      <c r="U124" s="26">
        <v>5.3544520599999998</v>
      </c>
      <c r="V124" s="26">
        <v>4.87327903</v>
      </c>
      <c r="W124" s="26">
        <v>0</v>
      </c>
      <c r="X124" s="26">
        <v>0.60555860100000003</v>
      </c>
      <c r="Y124" s="26">
        <v>6.9949660700000001E-7</v>
      </c>
      <c r="Z124" s="26">
        <v>4.4546175299999997E-5</v>
      </c>
      <c r="AA124" s="26">
        <v>4.3622450199999998E-5</v>
      </c>
      <c r="AB124" s="26">
        <v>2.91834047E-3</v>
      </c>
      <c r="AC124" s="26">
        <v>0</v>
      </c>
      <c r="AD124" s="26">
        <v>359.825917</v>
      </c>
      <c r="AE124" s="26">
        <v>269.84217899999999</v>
      </c>
      <c r="AF124" s="26">
        <v>0</v>
      </c>
      <c r="AG124" s="26">
        <v>0</v>
      </c>
      <c r="AH124" s="26">
        <v>0</v>
      </c>
      <c r="AI124" s="26">
        <v>0</v>
      </c>
      <c r="AJ124" s="26">
        <v>0</v>
      </c>
      <c r="AK124" s="26">
        <v>0</v>
      </c>
      <c r="AL124" s="26">
        <v>0</v>
      </c>
      <c r="AM124" s="26">
        <v>0.19368490599999999</v>
      </c>
      <c r="AN124" s="26">
        <v>1.14283788E-3</v>
      </c>
      <c r="AO124" s="26">
        <v>2.5333679899999999E-3</v>
      </c>
      <c r="AP124" s="26">
        <v>0</v>
      </c>
      <c r="AQ124" s="26">
        <v>0</v>
      </c>
      <c r="AR124" s="26">
        <v>0</v>
      </c>
      <c r="AS124" s="26">
        <v>1.2371399E-2</v>
      </c>
      <c r="AT124" s="26">
        <v>0</v>
      </c>
      <c r="AU124" s="26">
        <v>0</v>
      </c>
      <c r="AV124" s="26">
        <v>3.1393840799999998E-4</v>
      </c>
      <c r="AW124" s="26">
        <v>0</v>
      </c>
      <c r="AX124" s="26">
        <v>0</v>
      </c>
      <c r="AY124" s="26">
        <v>0</v>
      </c>
      <c r="AZ124" s="26">
        <v>0</v>
      </c>
      <c r="BA124" s="26">
        <v>0</v>
      </c>
      <c r="BB124" s="26">
        <v>0</v>
      </c>
      <c r="BC124" s="26">
        <v>0</v>
      </c>
      <c r="BD124" s="26">
        <v>0</v>
      </c>
      <c r="BE124" s="26">
        <v>0</v>
      </c>
      <c r="BF124" s="26">
        <v>0</v>
      </c>
      <c r="BG124" s="26">
        <v>0</v>
      </c>
      <c r="BH124" s="26">
        <v>0</v>
      </c>
      <c r="BI124" s="26">
        <v>0</v>
      </c>
      <c r="BJ124" s="26">
        <v>0</v>
      </c>
      <c r="BK124" s="26">
        <v>0</v>
      </c>
      <c r="BL124" s="26">
        <v>0</v>
      </c>
      <c r="BM124" s="26">
        <v>0</v>
      </c>
      <c r="BN124" s="26">
        <v>0</v>
      </c>
      <c r="BO124" s="26">
        <v>896.95290999999997</v>
      </c>
      <c r="BP124" s="26">
        <v>17523.703000000001</v>
      </c>
      <c r="BQ124" s="26">
        <v>292.744484</v>
      </c>
      <c r="BR124" s="26">
        <v>30.82569060000003</v>
      </c>
      <c r="BS124" s="26">
        <v>1</v>
      </c>
      <c r="BT124" s="26">
        <v>0</v>
      </c>
      <c r="BU124" s="26">
        <v>1</v>
      </c>
      <c r="BV124" s="26">
        <v>0</v>
      </c>
      <c r="BW124" s="26">
        <v>-70444.481199999995</v>
      </c>
      <c r="BX124" s="26">
        <v>-3605.7094999999999</v>
      </c>
      <c r="BY124" s="26">
        <v>-63.1853829</v>
      </c>
      <c r="BZ124" s="26">
        <v>-39.733493600000003</v>
      </c>
      <c r="CA124" s="26">
        <v>-2.0337637900000001</v>
      </c>
      <c r="CB124" s="26">
        <v>5.1065744400000002E-2</v>
      </c>
      <c r="CC124" s="26">
        <v>0.99766769099999997</v>
      </c>
      <c r="CD124" s="26">
        <v>19.536926399999999</v>
      </c>
      <c r="CE124" s="26">
        <v>0</v>
      </c>
      <c r="CF124" s="26">
        <v>0</v>
      </c>
      <c r="CG124" s="26">
        <v>0</v>
      </c>
      <c r="CH124" s="26">
        <v>0</v>
      </c>
      <c r="CI124" s="26">
        <v>0</v>
      </c>
      <c r="CJ124" s="26">
        <v>0</v>
      </c>
      <c r="CK124" s="26">
        <v>0</v>
      </c>
      <c r="CL124" s="26">
        <v>0</v>
      </c>
      <c r="CM124" s="26">
        <v>0</v>
      </c>
      <c r="CN124" s="26">
        <v>0</v>
      </c>
      <c r="CO124" s="26">
        <v>0</v>
      </c>
      <c r="CP124" s="26">
        <v>0</v>
      </c>
      <c r="CQ124" s="26">
        <v>0</v>
      </c>
      <c r="CR124" s="26">
        <v>0</v>
      </c>
      <c r="CS124" s="26">
        <v>0</v>
      </c>
      <c r="CT124" s="26">
        <v>0</v>
      </c>
      <c r="CU124" s="26">
        <v>0</v>
      </c>
      <c r="CV124" s="26">
        <v>0</v>
      </c>
      <c r="CW124" s="26">
        <v>0</v>
      </c>
      <c r="CX124" s="26">
        <v>0</v>
      </c>
      <c r="CY124" s="26">
        <v>0</v>
      </c>
      <c r="CZ124" s="26">
        <v>0</v>
      </c>
      <c r="DA124" s="26">
        <v>0</v>
      </c>
      <c r="DB124" s="26">
        <v>0</v>
      </c>
      <c r="DC124" s="26">
        <v>0</v>
      </c>
      <c r="DD124" s="26">
        <v>0</v>
      </c>
      <c r="DE124" s="26">
        <v>0</v>
      </c>
      <c r="DF124" s="26">
        <v>0</v>
      </c>
      <c r="DG124" s="26">
        <v>0</v>
      </c>
      <c r="DH124" s="26">
        <v>0</v>
      </c>
      <c r="DI124" s="26">
        <v>0</v>
      </c>
      <c r="DJ124" s="26">
        <v>0</v>
      </c>
      <c r="DK124" s="26">
        <v>0</v>
      </c>
      <c r="DL124" s="26">
        <v>0</v>
      </c>
      <c r="DM124" s="26">
        <v>0</v>
      </c>
      <c r="DN124" s="26">
        <v>0</v>
      </c>
      <c r="DO124" s="26">
        <v>0</v>
      </c>
      <c r="DP124" s="26">
        <v>0</v>
      </c>
      <c r="DQ124" s="26">
        <v>0</v>
      </c>
      <c r="DR124" s="26">
        <v>0</v>
      </c>
      <c r="DS124" s="26">
        <v>0</v>
      </c>
      <c r="DT124" s="26">
        <v>0</v>
      </c>
      <c r="DU124" s="26">
        <v>0</v>
      </c>
      <c r="DV124" s="26">
        <v>0</v>
      </c>
      <c r="DW124" s="26">
        <v>0</v>
      </c>
      <c r="DX124" s="26">
        <v>1248.3684499999999</v>
      </c>
      <c r="DY124" s="26">
        <v>30.824772200000002</v>
      </c>
      <c r="DZ124" s="26">
        <v>12.9334709</v>
      </c>
      <c r="EA124" s="26">
        <v>420.98447599999997</v>
      </c>
      <c r="EB124" s="26">
        <v>51.302767699999997</v>
      </c>
      <c r="EC124" s="26">
        <v>12412.8158</v>
      </c>
      <c r="ED124" s="26">
        <v>0</v>
      </c>
      <c r="EE124" s="26">
        <v>2611.0290100000002</v>
      </c>
      <c r="EF124" s="26">
        <v>4087.3084199999998</v>
      </c>
      <c r="EG124" s="26">
        <v>518.19918800000005</v>
      </c>
      <c r="EH124" s="26">
        <v>57.577770599999994</v>
      </c>
      <c r="EI124" s="26">
        <v>0</v>
      </c>
      <c r="EJ124" s="26">
        <v>107.263217</v>
      </c>
      <c r="EK124" s="26">
        <v>0</v>
      </c>
      <c r="EL124" s="26">
        <v>470.73083400000002</v>
      </c>
      <c r="EM124" s="26">
        <v>0</v>
      </c>
      <c r="EN124" s="26">
        <v>0</v>
      </c>
      <c r="EO124" s="26">
        <v>0</v>
      </c>
      <c r="EP124" s="26">
        <v>311.94750299999998</v>
      </c>
      <c r="EQ124" s="26">
        <v>22029.338100000001</v>
      </c>
      <c r="ER124" s="26">
        <v>266.01619599999998</v>
      </c>
      <c r="ES124" s="26">
        <v>30.82569060000003</v>
      </c>
      <c r="ET124" s="26">
        <v>1</v>
      </c>
      <c r="EU124" s="26">
        <v>0</v>
      </c>
      <c r="EV124" s="26">
        <v>0</v>
      </c>
      <c r="EW124" s="26">
        <v>1</v>
      </c>
      <c r="EX124" s="26">
        <v>-81679.565700000006</v>
      </c>
      <c r="EY124" s="26">
        <v>-1156.62742</v>
      </c>
      <c r="EZ124" s="26">
        <v>-25.479736800000001</v>
      </c>
      <c r="FA124" s="26">
        <v>-157.93943899999999</v>
      </c>
      <c r="FB124" s="26">
        <v>-2.2365090300000001</v>
      </c>
      <c r="FC124" s="26">
        <v>1.95443927E-2</v>
      </c>
      <c r="FD124" s="26">
        <v>1.3802002899999999</v>
      </c>
      <c r="FE124" s="26">
        <v>70.618735200000003</v>
      </c>
      <c r="FF124" s="26">
        <v>0</v>
      </c>
      <c r="FG124" s="26">
        <v>0.77742840099999999</v>
      </c>
      <c r="FH124" s="26">
        <v>-103262635.5572</v>
      </c>
      <c r="FI124" s="26">
        <v>1.0847924642338953E-2</v>
      </c>
      <c r="FJ124" s="26">
        <v>0</v>
      </c>
      <c r="FK124" s="26">
        <v>0</v>
      </c>
      <c r="FL124" s="26">
        <v>0</v>
      </c>
      <c r="FM124" s="26">
        <v>0</v>
      </c>
      <c r="FN124" s="26">
        <v>0</v>
      </c>
      <c r="FO124" s="26">
        <v>0</v>
      </c>
      <c r="FP124" s="26">
        <v>0</v>
      </c>
      <c r="FQ124" s="26">
        <v>0</v>
      </c>
      <c r="FR124" s="26">
        <v>0</v>
      </c>
      <c r="FS124" s="26">
        <v>0</v>
      </c>
      <c r="FT124" s="26">
        <v>0</v>
      </c>
      <c r="FU124" s="26">
        <v>0</v>
      </c>
      <c r="FV124" s="26">
        <v>0</v>
      </c>
      <c r="FW124" s="26">
        <v>0</v>
      </c>
      <c r="FX124" s="26">
        <v>0</v>
      </c>
      <c r="FY124" s="26">
        <v>0</v>
      </c>
      <c r="FZ124" s="26">
        <v>0</v>
      </c>
      <c r="GA124" s="26">
        <v>0</v>
      </c>
      <c r="GB124" s="26">
        <v>0</v>
      </c>
      <c r="GC124" s="26">
        <v>0</v>
      </c>
      <c r="GD124" s="26">
        <v>0</v>
      </c>
      <c r="GE124" s="26">
        <v>0</v>
      </c>
      <c r="GF124" s="26">
        <v>0</v>
      </c>
      <c r="GG124" s="26">
        <v>0</v>
      </c>
      <c r="GH124" s="26">
        <v>0</v>
      </c>
      <c r="GI124" s="26">
        <v>0</v>
      </c>
      <c r="GJ124" s="26">
        <v>0</v>
      </c>
      <c r="GK124" s="26">
        <v>0</v>
      </c>
      <c r="GL124" s="26">
        <v>0</v>
      </c>
      <c r="GM124" s="26">
        <v>0</v>
      </c>
      <c r="GN124" s="26">
        <v>0</v>
      </c>
      <c r="GO124" s="26">
        <v>0</v>
      </c>
      <c r="GP124" s="26">
        <v>0</v>
      </c>
      <c r="GQ124" s="26">
        <v>0</v>
      </c>
      <c r="GR124" s="26">
        <v>0</v>
      </c>
      <c r="GS124" s="26">
        <v>0</v>
      </c>
      <c r="GT124" s="26">
        <v>0</v>
      </c>
      <c r="GU124" s="26">
        <v>0</v>
      </c>
      <c r="GV124" s="26">
        <v>0</v>
      </c>
      <c r="GW124" s="26">
        <v>0</v>
      </c>
      <c r="GX124" s="26">
        <v>0</v>
      </c>
      <c r="GY124" s="26">
        <v>0</v>
      </c>
      <c r="GZ124" s="26">
        <v>0</v>
      </c>
      <c r="HA124" s="26">
        <v>0</v>
      </c>
      <c r="HB124" s="26">
        <v>0</v>
      </c>
      <c r="HC124" s="26">
        <v>0</v>
      </c>
      <c r="HD124" s="26">
        <v>0</v>
      </c>
      <c r="HE124" s="26">
        <v>0</v>
      </c>
      <c r="HF124" s="26">
        <v>0</v>
      </c>
      <c r="HG124" s="26">
        <v>0</v>
      </c>
      <c r="HH124" s="26">
        <v>0</v>
      </c>
      <c r="HI124" s="26">
        <v>0</v>
      </c>
      <c r="HJ124" s="26">
        <v>0</v>
      </c>
      <c r="HK124" s="26">
        <v>0</v>
      </c>
      <c r="HL124" s="26">
        <v>0</v>
      </c>
      <c r="HM124" s="26">
        <v>0</v>
      </c>
      <c r="HN124" s="26">
        <v>0</v>
      </c>
      <c r="HO124" s="26">
        <v>0</v>
      </c>
      <c r="HP124" s="26">
        <v>0</v>
      </c>
      <c r="HQ124" s="26">
        <v>0</v>
      </c>
      <c r="HR124" s="26">
        <v>0</v>
      </c>
      <c r="HS124" s="26">
        <v>0</v>
      </c>
      <c r="HT124" s="26">
        <v>0.24356312278183831</v>
      </c>
    </row>
    <row r="125" spans="2:228" x14ac:dyDescent="0.2">
      <c r="B125" s="27" t="s">
        <v>3479</v>
      </c>
      <c r="C125" s="26">
        <v>416926.57500000001</v>
      </c>
      <c r="D125" s="26">
        <v>-1431.5389700000001</v>
      </c>
      <c r="E125" s="26">
        <v>348628.85200000001</v>
      </c>
      <c r="F125" s="26">
        <v>5.7929567500000001</v>
      </c>
      <c r="G125" s="26">
        <v>29258.051599999999</v>
      </c>
      <c r="H125" s="26">
        <v>1162.5026600000001</v>
      </c>
      <c r="I125" s="26">
        <v>487.763352</v>
      </c>
      <c r="J125" s="26">
        <v>16237.404900000001</v>
      </c>
      <c r="K125" s="26">
        <v>1978.7518600000003</v>
      </c>
      <c r="L125" s="26">
        <v>326.28473000000002</v>
      </c>
      <c r="M125" s="26">
        <v>0</v>
      </c>
      <c r="N125" s="26">
        <v>1116.7186999999999</v>
      </c>
      <c r="O125" s="26">
        <v>28.181967399999998</v>
      </c>
      <c r="P125" s="26">
        <v>11.824601700000001</v>
      </c>
      <c r="Q125" s="26">
        <v>384.88811600000002</v>
      </c>
      <c r="R125" s="26">
        <v>46.903928200000003</v>
      </c>
      <c r="S125" s="26">
        <v>12031.3122</v>
      </c>
      <c r="T125" s="26">
        <v>647.01983700000005</v>
      </c>
      <c r="U125" s="26">
        <v>363.91810400000003</v>
      </c>
      <c r="V125" s="26">
        <v>331.21492999999998</v>
      </c>
      <c r="W125" s="26">
        <v>0</v>
      </c>
      <c r="X125" s="26">
        <v>41.157103499999998</v>
      </c>
      <c r="Y125" s="26">
        <v>4.7541648699999998E-5</v>
      </c>
      <c r="Z125" s="26">
        <v>3.0276038499999999E-3</v>
      </c>
      <c r="AA125" s="26">
        <v>2.9648223899999999E-3</v>
      </c>
      <c r="AB125" s="26">
        <v>0.19834652</v>
      </c>
      <c r="AC125" s="26">
        <v>0</v>
      </c>
      <c r="AD125" s="26">
        <v>2121.7321299999999</v>
      </c>
      <c r="AE125" s="26">
        <v>1591.1383699999999</v>
      </c>
      <c r="AF125" s="26">
        <v>0</v>
      </c>
      <c r="AG125" s="26">
        <v>0</v>
      </c>
      <c r="AH125" s="26">
        <v>0</v>
      </c>
      <c r="AI125" s="26">
        <v>0</v>
      </c>
      <c r="AJ125" s="26">
        <v>0</v>
      </c>
      <c r="AK125" s="26">
        <v>0</v>
      </c>
      <c r="AL125" s="26">
        <v>0</v>
      </c>
      <c r="AM125" s="26">
        <v>13.1638948</v>
      </c>
      <c r="AN125" s="26">
        <v>7.7673567499999999E-2</v>
      </c>
      <c r="AO125" s="26">
        <v>0.17218166600000001</v>
      </c>
      <c r="AP125" s="26">
        <v>0</v>
      </c>
      <c r="AQ125" s="26">
        <v>0</v>
      </c>
      <c r="AR125" s="26">
        <v>0</v>
      </c>
      <c r="AS125" s="26">
        <v>0.84082853300000004</v>
      </c>
      <c r="AT125" s="26">
        <v>0</v>
      </c>
      <c r="AU125" s="26">
        <v>0</v>
      </c>
      <c r="AV125" s="26">
        <v>1.8511540600000002E-3</v>
      </c>
      <c r="AW125" s="26">
        <v>0</v>
      </c>
      <c r="AX125" s="26">
        <v>0</v>
      </c>
      <c r="AY125" s="26">
        <v>0</v>
      </c>
      <c r="AZ125" s="26">
        <v>0</v>
      </c>
      <c r="BA125" s="26">
        <v>0</v>
      </c>
      <c r="BB125" s="26">
        <v>0</v>
      </c>
      <c r="BC125" s="26">
        <v>0</v>
      </c>
      <c r="BD125" s="26">
        <v>0</v>
      </c>
      <c r="BE125" s="26">
        <v>0</v>
      </c>
      <c r="BF125" s="26">
        <v>0</v>
      </c>
      <c r="BG125" s="26">
        <v>0</v>
      </c>
      <c r="BH125" s="26">
        <v>0</v>
      </c>
      <c r="BI125" s="26">
        <v>0</v>
      </c>
      <c r="BJ125" s="26">
        <v>0</v>
      </c>
      <c r="BK125" s="26">
        <v>0</v>
      </c>
      <c r="BL125" s="26">
        <v>0</v>
      </c>
      <c r="BM125" s="26">
        <v>0</v>
      </c>
      <c r="BN125" s="26">
        <v>0</v>
      </c>
      <c r="BO125" s="26">
        <v>19770.829399999999</v>
      </c>
      <c r="BP125" s="26">
        <v>416815.875</v>
      </c>
      <c r="BQ125" s="26">
        <v>6436.8816100000004</v>
      </c>
      <c r="BR125" s="26">
        <v>31.840006200000005</v>
      </c>
      <c r="BS125" s="26">
        <v>1</v>
      </c>
      <c r="BT125" s="26">
        <v>0</v>
      </c>
      <c r="BU125" s="26">
        <v>1</v>
      </c>
      <c r="BV125" s="26">
        <v>0</v>
      </c>
      <c r="BW125" s="26">
        <v>-72400.146500000003</v>
      </c>
      <c r="BX125" s="26">
        <v>-3434.1565000000001</v>
      </c>
      <c r="BY125" s="26">
        <v>-1431.4109599999999</v>
      </c>
      <c r="BZ125" s="26">
        <v>-42.473988499999997</v>
      </c>
      <c r="CA125" s="26">
        <v>-2.0146689000000002</v>
      </c>
      <c r="CB125" s="26">
        <v>5.1191530200000002E-2</v>
      </c>
      <c r="CC125" s="26">
        <v>1.07923861</v>
      </c>
      <c r="CD125" s="26">
        <v>21.082366700000001</v>
      </c>
      <c r="CE125" s="26">
        <v>0</v>
      </c>
      <c r="CF125" s="26">
        <v>0</v>
      </c>
      <c r="CG125" s="26">
        <v>0</v>
      </c>
      <c r="CH125" s="26">
        <v>0</v>
      </c>
      <c r="CI125" s="26">
        <v>0</v>
      </c>
      <c r="CJ125" s="26">
        <v>0</v>
      </c>
      <c r="CK125" s="26">
        <v>0</v>
      </c>
      <c r="CL125" s="26">
        <v>0</v>
      </c>
      <c r="CM125" s="26">
        <v>0</v>
      </c>
      <c r="CN125" s="26">
        <v>0</v>
      </c>
      <c r="CO125" s="26">
        <v>0</v>
      </c>
      <c r="CP125" s="26">
        <v>0</v>
      </c>
      <c r="CQ125" s="26">
        <v>0</v>
      </c>
      <c r="CR125" s="26">
        <v>0</v>
      </c>
      <c r="CS125" s="26">
        <v>0</v>
      </c>
      <c r="CT125" s="26">
        <v>0</v>
      </c>
      <c r="CU125" s="26">
        <v>0</v>
      </c>
      <c r="CV125" s="26">
        <v>0</v>
      </c>
      <c r="CW125" s="26">
        <v>0</v>
      </c>
      <c r="CX125" s="26">
        <v>0</v>
      </c>
      <c r="CY125" s="26">
        <v>0</v>
      </c>
      <c r="CZ125" s="26">
        <v>0</v>
      </c>
      <c r="DA125" s="26">
        <v>0</v>
      </c>
      <c r="DB125" s="26">
        <v>0</v>
      </c>
      <c r="DC125" s="26">
        <v>0</v>
      </c>
      <c r="DD125" s="26">
        <v>0</v>
      </c>
      <c r="DE125" s="26">
        <v>0</v>
      </c>
      <c r="DF125" s="26">
        <v>0</v>
      </c>
      <c r="DG125" s="26">
        <v>0</v>
      </c>
      <c r="DH125" s="26">
        <v>0</v>
      </c>
      <c r="DI125" s="26">
        <v>0</v>
      </c>
      <c r="DJ125" s="26">
        <v>0</v>
      </c>
      <c r="DK125" s="26">
        <v>0</v>
      </c>
      <c r="DL125" s="26">
        <v>0</v>
      </c>
      <c r="DM125" s="26">
        <v>0</v>
      </c>
      <c r="DN125" s="26">
        <v>0</v>
      </c>
      <c r="DO125" s="26">
        <v>0</v>
      </c>
      <c r="DP125" s="26">
        <v>0</v>
      </c>
      <c r="DQ125" s="26">
        <v>0</v>
      </c>
      <c r="DR125" s="26">
        <v>0</v>
      </c>
      <c r="DS125" s="26">
        <v>0</v>
      </c>
      <c r="DT125" s="26">
        <v>0</v>
      </c>
      <c r="DU125" s="26">
        <v>0</v>
      </c>
      <c r="DV125" s="26">
        <v>0</v>
      </c>
      <c r="DW125" s="26">
        <v>0</v>
      </c>
      <c r="DX125" s="26">
        <v>6.2732083100000002</v>
      </c>
      <c r="DY125" s="26">
        <v>0.15489835299999999</v>
      </c>
      <c r="DZ125" s="26">
        <v>6.49923159E-2</v>
      </c>
      <c r="EA125" s="26">
        <v>2.1154998800000002</v>
      </c>
      <c r="EB125" s="26">
        <v>0.257802853</v>
      </c>
      <c r="EC125" s="26">
        <v>62.375958500000003</v>
      </c>
      <c r="ED125" s="26">
        <v>0</v>
      </c>
      <c r="EE125" s="26">
        <v>13.120748799999999</v>
      </c>
      <c r="EF125" s="26">
        <v>20.539238300000001</v>
      </c>
      <c r="EG125" s="26">
        <v>2.60401602</v>
      </c>
      <c r="EH125" s="26">
        <v>0.28933553099999998</v>
      </c>
      <c r="EI125" s="26">
        <v>0</v>
      </c>
      <c r="EJ125" s="26">
        <v>0.53901114000000006</v>
      </c>
      <c r="EK125" s="26">
        <v>0</v>
      </c>
      <c r="EL125" s="26">
        <v>2.36548158</v>
      </c>
      <c r="EM125" s="26">
        <v>0</v>
      </c>
      <c r="EN125" s="26">
        <v>0</v>
      </c>
      <c r="EO125" s="26">
        <v>0</v>
      </c>
      <c r="EP125" s="26">
        <v>1.56757539</v>
      </c>
      <c r="EQ125" s="26">
        <v>110.700192</v>
      </c>
      <c r="ER125" s="26">
        <v>1.3367648000000001</v>
      </c>
      <c r="ES125" s="26">
        <v>31.840006200000005</v>
      </c>
      <c r="ET125" s="26">
        <v>1</v>
      </c>
      <c r="EU125" s="26">
        <v>0</v>
      </c>
      <c r="EV125" s="26">
        <v>0</v>
      </c>
      <c r="EW125" s="26">
        <v>1</v>
      </c>
      <c r="EX125" s="26">
        <v>-81659.588099999994</v>
      </c>
      <c r="EY125" s="26">
        <v>-1156.3445300000001</v>
      </c>
      <c r="EZ125" s="26">
        <v>-0.12800756199999999</v>
      </c>
      <c r="FA125" s="26">
        <v>-157.87382700000001</v>
      </c>
      <c r="FB125" s="26">
        <v>-2.2355799300000001</v>
      </c>
      <c r="FC125" s="26">
        <v>1.95443927E-2</v>
      </c>
      <c r="FD125" s="26">
        <v>1.3802002899999999</v>
      </c>
      <c r="FE125" s="26">
        <v>70.618735200000003</v>
      </c>
      <c r="FF125" s="26">
        <v>0</v>
      </c>
      <c r="FG125" s="26">
        <v>0.17091736699999999</v>
      </c>
      <c r="FH125" s="26">
        <v>-1667699515.6099999</v>
      </c>
      <c r="FI125" s="26">
        <v>0.61657222159924441</v>
      </c>
      <c r="FJ125" s="26">
        <v>0</v>
      </c>
      <c r="FK125" s="26">
        <v>0</v>
      </c>
      <c r="FL125" s="26">
        <v>0</v>
      </c>
      <c r="FM125" s="26">
        <v>0</v>
      </c>
      <c r="FN125" s="26">
        <v>0</v>
      </c>
      <c r="FO125" s="26">
        <v>0</v>
      </c>
      <c r="FP125" s="26">
        <v>0</v>
      </c>
      <c r="FQ125" s="26">
        <v>0</v>
      </c>
      <c r="FR125" s="26">
        <v>0</v>
      </c>
      <c r="FS125" s="26">
        <v>0</v>
      </c>
      <c r="FT125" s="26">
        <v>0</v>
      </c>
      <c r="FU125" s="26">
        <v>0</v>
      </c>
      <c r="FV125" s="26">
        <v>0</v>
      </c>
      <c r="FW125" s="26">
        <v>0</v>
      </c>
      <c r="FX125" s="26">
        <v>0</v>
      </c>
      <c r="FY125" s="26">
        <v>0</v>
      </c>
      <c r="FZ125" s="26">
        <v>0</v>
      </c>
      <c r="GA125" s="26">
        <v>0</v>
      </c>
      <c r="GB125" s="26">
        <v>0</v>
      </c>
      <c r="GC125" s="26">
        <v>0</v>
      </c>
      <c r="GD125" s="26">
        <v>0</v>
      </c>
      <c r="GE125" s="26">
        <v>0</v>
      </c>
      <c r="GF125" s="26">
        <v>0</v>
      </c>
      <c r="GG125" s="26">
        <v>0</v>
      </c>
      <c r="GH125" s="26">
        <v>0</v>
      </c>
      <c r="GI125" s="26">
        <v>0</v>
      </c>
      <c r="GJ125" s="26">
        <v>0</v>
      </c>
      <c r="GK125" s="26">
        <v>0</v>
      </c>
      <c r="GL125" s="26">
        <v>0</v>
      </c>
      <c r="GM125" s="26">
        <v>0</v>
      </c>
      <c r="GN125" s="26">
        <v>0</v>
      </c>
      <c r="GO125" s="26">
        <v>0</v>
      </c>
      <c r="GP125" s="26">
        <v>0</v>
      </c>
      <c r="GQ125" s="26">
        <v>0</v>
      </c>
      <c r="GR125" s="26">
        <v>0</v>
      </c>
      <c r="GS125" s="26">
        <v>0</v>
      </c>
      <c r="GT125" s="26">
        <v>0</v>
      </c>
      <c r="GU125" s="26">
        <v>0</v>
      </c>
      <c r="GV125" s="26">
        <v>0</v>
      </c>
      <c r="GW125" s="26">
        <v>0</v>
      </c>
      <c r="GX125" s="26">
        <v>0</v>
      </c>
      <c r="GY125" s="26">
        <v>0</v>
      </c>
      <c r="GZ125" s="26">
        <v>0</v>
      </c>
      <c r="HA125" s="26">
        <v>0</v>
      </c>
      <c r="HB125" s="26">
        <v>0</v>
      </c>
      <c r="HC125" s="26">
        <v>0</v>
      </c>
      <c r="HD125" s="26">
        <v>0</v>
      </c>
      <c r="HE125" s="26">
        <v>0</v>
      </c>
      <c r="HF125" s="26">
        <v>0</v>
      </c>
      <c r="HG125" s="26">
        <v>0</v>
      </c>
      <c r="HH125" s="26">
        <v>0</v>
      </c>
      <c r="HI125" s="26">
        <v>0</v>
      </c>
      <c r="HJ125" s="26">
        <v>0</v>
      </c>
      <c r="HK125" s="26">
        <v>0</v>
      </c>
      <c r="HL125" s="26">
        <v>0</v>
      </c>
      <c r="HM125" s="26">
        <v>0</v>
      </c>
      <c r="HN125" s="26">
        <v>0</v>
      </c>
      <c r="HO125" s="26">
        <v>0</v>
      </c>
      <c r="HP125" s="26">
        <v>0</v>
      </c>
      <c r="HQ125" s="26">
        <v>0</v>
      </c>
      <c r="HR125" s="26">
        <v>0</v>
      </c>
      <c r="HS125" s="26">
        <v>0</v>
      </c>
      <c r="HT125" s="26">
        <v>1.2239352903470379E-3</v>
      </c>
    </row>
    <row r="126" spans="2:228" x14ac:dyDescent="0.2">
      <c r="B126" s="27" t="s">
        <v>3480</v>
      </c>
      <c r="C126" s="26">
        <v>329324.97600000002</v>
      </c>
      <c r="D126" s="26">
        <v>-1085.82025</v>
      </c>
      <c r="E126" s="26">
        <v>261245.31499999997</v>
      </c>
      <c r="F126" s="26">
        <v>1.23459524</v>
      </c>
      <c r="G126" s="26">
        <v>29258.051499999998</v>
      </c>
      <c r="H126" s="26">
        <v>1162.5026499999999</v>
      </c>
      <c r="I126" s="26">
        <v>487.76335100000006</v>
      </c>
      <c r="J126" s="26">
        <v>16237.4036</v>
      </c>
      <c r="K126" s="26">
        <v>1978.7516999999998</v>
      </c>
      <c r="L126" s="26">
        <v>326.28453000000002</v>
      </c>
      <c r="M126" s="26">
        <v>0</v>
      </c>
      <c r="N126" s="26">
        <v>1116.7186999999999</v>
      </c>
      <c r="O126" s="26">
        <v>28.181967399999998</v>
      </c>
      <c r="P126" s="26">
        <v>11.824601700000001</v>
      </c>
      <c r="Q126" s="26">
        <v>384.88808599999999</v>
      </c>
      <c r="R126" s="26">
        <v>46.903924400000001</v>
      </c>
      <c r="S126" s="26">
        <v>12031.3122</v>
      </c>
      <c r="T126" s="26">
        <v>646.958843</v>
      </c>
      <c r="U126" s="26">
        <v>362.77667300000002</v>
      </c>
      <c r="V126" s="26">
        <v>120.18780599999998</v>
      </c>
      <c r="W126" s="26">
        <v>0</v>
      </c>
      <c r="X126" s="26">
        <v>41.118472599999997</v>
      </c>
      <c r="Y126" s="26">
        <v>4.7541647599999997E-5</v>
      </c>
      <c r="Z126" s="26">
        <v>3.0275297099999999E-3</v>
      </c>
      <c r="AA126" s="26">
        <v>2.9647997099999999E-3</v>
      </c>
      <c r="AB126" s="26">
        <v>3.8253436299999999E-2</v>
      </c>
      <c r="AC126" s="26">
        <v>0</v>
      </c>
      <c r="AD126" s="26">
        <v>2121.7321299999999</v>
      </c>
      <c r="AE126" s="26">
        <v>1591.1383699999999</v>
      </c>
      <c r="AF126" s="26">
        <v>0</v>
      </c>
      <c r="AG126" s="26">
        <v>0</v>
      </c>
      <c r="AH126" s="26">
        <v>0</v>
      </c>
      <c r="AI126" s="26">
        <v>0</v>
      </c>
      <c r="AJ126" s="26">
        <v>0</v>
      </c>
      <c r="AK126" s="26">
        <v>0</v>
      </c>
      <c r="AL126" s="26">
        <v>0</v>
      </c>
      <c r="AM126" s="26">
        <v>13.163881999999999</v>
      </c>
      <c r="AN126" s="26">
        <v>3.8975864699999999E-4</v>
      </c>
      <c r="AO126" s="26">
        <v>5.9001151399999999E-4</v>
      </c>
      <c r="AP126" s="26">
        <v>0</v>
      </c>
      <c r="AQ126" s="26">
        <v>0</v>
      </c>
      <c r="AR126" s="26">
        <v>0</v>
      </c>
      <c r="AS126" s="26">
        <v>1.7141113900000001E-2</v>
      </c>
      <c r="AT126" s="26">
        <v>0</v>
      </c>
      <c r="AU126" s="26">
        <v>0</v>
      </c>
      <c r="AV126" s="26">
        <v>1.7891584700000001E-4</v>
      </c>
      <c r="AW126" s="26">
        <v>0</v>
      </c>
      <c r="AX126" s="26">
        <v>0</v>
      </c>
      <c r="AY126" s="26">
        <v>0</v>
      </c>
      <c r="AZ126" s="26">
        <v>0</v>
      </c>
      <c r="BA126" s="26">
        <v>0</v>
      </c>
      <c r="BB126" s="26">
        <v>0</v>
      </c>
      <c r="BC126" s="26">
        <v>0</v>
      </c>
      <c r="BD126" s="26">
        <v>0</v>
      </c>
      <c r="BE126" s="26">
        <v>0</v>
      </c>
      <c r="BF126" s="26">
        <v>0</v>
      </c>
      <c r="BG126" s="26">
        <v>0</v>
      </c>
      <c r="BH126" s="26">
        <v>0</v>
      </c>
      <c r="BI126" s="26">
        <v>0</v>
      </c>
      <c r="BJ126" s="26">
        <v>0</v>
      </c>
      <c r="BK126" s="26">
        <v>0</v>
      </c>
      <c r="BL126" s="26">
        <v>0</v>
      </c>
      <c r="BM126" s="26">
        <v>0</v>
      </c>
      <c r="BN126" s="26">
        <v>0</v>
      </c>
      <c r="BO126" s="26">
        <v>14917.964299999998</v>
      </c>
      <c r="BP126" s="26">
        <v>329214.27500000002</v>
      </c>
      <c r="BQ126" s="26">
        <v>5252.3404200000004</v>
      </c>
      <c r="BR126" s="26">
        <v>87.018872900000019</v>
      </c>
      <c r="BS126" s="26">
        <v>0.6</v>
      </c>
      <c r="BT126" s="26">
        <v>0</v>
      </c>
      <c r="BU126" s="26">
        <v>1</v>
      </c>
      <c r="BV126" s="26">
        <v>0</v>
      </c>
      <c r="BW126" s="26">
        <v>-72777.625700000004</v>
      </c>
      <c r="BX126" s="26">
        <v>-3297.8339700000001</v>
      </c>
      <c r="BY126" s="26">
        <v>-1085.6940300000001</v>
      </c>
      <c r="BZ126" s="26">
        <v>-40.676946999999998</v>
      </c>
      <c r="CA126" s="26">
        <v>-1.84322882</v>
      </c>
      <c r="CB126" s="26">
        <v>4.7337513400000003E-2</v>
      </c>
      <c r="CC126" s="26">
        <v>1.04465897</v>
      </c>
      <c r="CD126" s="26">
        <v>22.068311000000001</v>
      </c>
      <c r="CE126" s="26">
        <v>0</v>
      </c>
      <c r="CF126" s="26">
        <v>0</v>
      </c>
      <c r="CG126" s="26">
        <v>0</v>
      </c>
      <c r="CH126" s="26">
        <v>0</v>
      </c>
      <c r="CI126" s="26">
        <v>0</v>
      </c>
      <c r="CJ126" s="26">
        <v>0</v>
      </c>
      <c r="CK126" s="26">
        <v>0</v>
      </c>
      <c r="CL126" s="26">
        <v>0</v>
      </c>
      <c r="CM126" s="26">
        <v>0</v>
      </c>
      <c r="CN126" s="26">
        <v>0</v>
      </c>
      <c r="CO126" s="26">
        <v>0</v>
      </c>
      <c r="CP126" s="26">
        <v>0</v>
      </c>
      <c r="CQ126" s="26">
        <v>0</v>
      </c>
      <c r="CR126" s="26">
        <v>0</v>
      </c>
      <c r="CS126" s="26">
        <v>0</v>
      </c>
      <c r="CT126" s="26">
        <v>0</v>
      </c>
      <c r="CU126" s="26">
        <v>0</v>
      </c>
      <c r="CV126" s="26">
        <v>0</v>
      </c>
      <c r="CW126" s="26">
        <v>0</v>
      </c>
      <c r="CX126" s="26">
        <v>0</v>
      </c>
      <c r="CY126" s="26">
        <v>0</v>
      </c>
      <c r="CZ126" s="26">
        <v>0</v>
      </c>
      <c r="DA126" s="26">
        <v>0</v>
      </c>
      <c r="DB126" s="26">
        <v>0</v>
      </c>
      <c r="DC126" s="26">
        <v>0</v>
      </c>
      <c r="DD126" s="26">
        <v>0</v>
      </c>
      <c r="DE126" s="26">
        <v>0</v>
      </c>
      <c r="DF126" s="26">
        <v>0</v>
      </c>
      <c r="DG126" s="26">
        <v>0</v>
      </c>
      <c r="DH126" s="26">
        <v>0</v>
      </c>
      <c r="DI126" s="26">
        <v>0</v>
      </c>
      <c r="DJ126" s="26">
        <v>0</v>
      </c>
      <c r="DK126" s="26">
        <v>0</v>
      </c>
      <c r="DL126" s="26">
        <v>0</v>
      </c>
      <c r="DM126" s="26">
        <v>0</v>
      </c>
      <c r="DN126" s="26">
        <v>0</v>
      </c>
      <c r="DO126" s="26">
        <v>0</v>
      </c>
      <c r="DP126" s="26">
        <v>0</v>
      </c>
      <c r="DQ126" s="26">
        <v>0</v>
      </c>
      <c r="DR126" s="26">
        <v>0</v>
      </c>
      <c r="DS126" s="26">
        <v>0</v>
      </c>
      <c r="DT126" s="26">
        <v>0</v>
      </c>
      <c r="DU126" s="26">
        <v>0</v>
      </c>
      <c r="DV126" s="26">
        <v>0</v>
      </c>
      <c r="DW126" s="26">
        <v>0</v>
      </c>
      <c r="DX126" s="26">
        <v>6.2732083100000002</v>
      </c>
      <c r="DY126" s="26">
        <v>0.15489835299999999</v>
      </c>
      <c r="DZ126" s="26">
        <v>6.49923159E-2</v>
      </c>
      <c r="EA126" s="26">
        <v>2.1154998800000002</v>
      </c>
      <c r="EB126" s="26">
        <v>0.257802853</v>
      </c>
      <c r="EC126" s="26">
        <v>62.375958500000003</v>
      </c>
      <c r="ED126" s="26">
        <v>0</v>
      </c>
      <c r="EE126" s="26">
        <v>13.120748799999999</v>
      </c>
      <c r="EF126" s="26">
        <v>20.539238300000001</v>
      </c>
      <c r="EG126" s="26">
        <v>2.60401602</v>
      </c>
      <c r="EH126" s="26">
        <v>0.28933553099999998</v>
      </c>
      <c r="EI126" s="26">
        <v>0</v>
      </c>
      <c r="EJ126" s="26">
        <v>0.53901114000000006</v>
      </c>
      <c r="EK126" s="26">
        <v>0</v>
      </c>
      <c r="EL126" s="26">
        <v>2.36548158</v>
      </c>
      <c r="EM126" s="26">
        <v>0</v>
      </c>
      <c r="EN126" s="26">
        <v>0</v>
      </c>
      <c r="EO126" s="26">
        <v>0</v>
      </c>
      <c r="EP126" s="26">
        <v>1.56757539</v>
      </c>
      <c r="EQ126" s="26">
        <v>110.700192</v>
      </c>
      <c r="ER126" s="26">
        <v>1.3367648000000001</v>
      </c>
      <c r="ES126" s="26">
        <v>87.018872900000019</v>
      </c>
      <c r="ET126" s="26">
        <v>0.6</v>
      </c>
      <c r="EU126" s="26">
        <v>0</v>
      </c>
      <c r="EV126" s="26">
        <v>0</v>
      </c>
      <c r="EW126" s="26">
        <v>1</v>
      </c>
      <c r="EX126" s="26">
        <v>-80519.607499999998</v>
      </c>
      <c r="EY126" s="26">
        <v>-1140.2017800000001</v>
      </c>
      <c r="EZ126" s="26">
        <v>-0.12622055600000001</v>
      </c>
      <c r="FA126" s="26">
        <v>-154.442599</v>
      </c>
      <c r="FB126" s="26">
        <v>-2.18699186</v>
      </c>
      <c r="FC126" s="26">
        <v>1.95443927E-2</v>
      </c>
      <c r="FD126" s="26">
        <v>1.3802002899999999</v>
      </c>
      <c r="FE126" s="26">
        <v>70.618735200000003</v>
      </c>
      <c r="FF126" s="26">
        <v>0</v>
      </c>
      <c r="FG126" s="26">
        <v>0.215280376</v>
      </c>
      <c r="FH126" s="26">
        <v>-1282887482.8399999</v>
      </c>
      <c r="FI126" s="26">
        <v>0.61344536601867405</v>
      </c>
      <c r="FJ126" s="26">
        <v>0</v>
      </c>
      <c r="FK126" s="26">
        <v>0</v>
      </c>
      <c r="FL126" s="26">
        <v>0</v>
      </c>
      <c r="FM126" s="26">
        <v>0</v>
      </c>
      <c r="FN126" s="26">
        <v>0</v>
      </c>
      <c r="FO126" s="26">
        <v>0</v>
      </c>
      <c r="FP126" s="26">
        <v>0</v>
      </c>
      <c r="FQ126" s="26">
        <v>0</v>
      </c>
      <c r="FR126" s="26">
        <v>0</v>
      </c>
      <c r="FS126" s="26">
        <v>0</v>
      </c>
      <c r="FT126" s="26">
        <v>0</v>
      </c>
      <c r="FU126" s="26">
        <v>0</v>
      </c>
      <c r="FV126" s="26">
        <v>0</v>
      </c>
      <c r="FW126" s="26">
        <v>0</v>
      </c>
      <c r="FX126" s="26">
        <v>0</v>
      </c>
      <c r="FY126" s="26">
        <v>0</v>
      </c>
      <c r="FZ126" s="26">
        <v>0</v>
      </c>
      <c r="GA126" s="26">
        <v>0</v>
      </c>
      <c r="GB126" s="26">
        <v>0</v>
      </c>
      <c r="GC126" s="26">
        <v>0</v>
      </c>
      <c r="GD126" s="26">
        <v>0</v>
      </c>
      <c r="GE126" s="26">
        <v>0</v>
      </c>
      <c r="GF126" s="26">
        <v>0</v>
      </c>
      <c r="GG126" s="26">
        <v>0</v>
      </c>
      <c r="GH126" s="26">
        <v>0</v>
      </c>
      <c r="GI126" s="26">
        <v>0</v>
      </c>
      <c r="GJ126" s="26">
        <v>0</v>
      </c>
      <c r="GK126" s="26">
        <v>0</v>
      </c>
      <c r="GL126" s="26">
        <v>0</v>
      </c>
      <c r="GM126" s="26">
        <v>0</v>
      </c>
      <c r="GN126" s="26">
        <v>0</v>
      </c>
      <c r="GO126" s="26">
        <v>0</v>
      </c>
      <c r="GP126" s="26">
        <v>0</v>
      </c>
      <c r="GQ126" s="26">
        <v>0</v>
      </c>
      <c r="GR126" s="26">
        <v>0</v>
      </c>
      <c r="GS126" s="26">
        <v>0</v>
      </c>
      <c r="GT126" s="26">
        <v>0</v>
      </c>
      <c r="GU126" s="26">
        <v>0</v>
      </c>
      <c r="GV126" s="26">
        <v>0</v>
      </c>
      <c r="GW126" s="26">
        <v>0</v>
      </c>
      <c r="GX126" s="26">
        <v>0</v>
      </c>
      <c r="GY126" s="26">
        <v>0</v>
      </c>
      <c r="GZ126" s="26">
        <v>0</v>
      </c>
      <c r="HA126" s="26">
        <v>0</v>
      </c>
      <c r="HB126" s="26">
        <v>0</v>
      </c>
      <c r="HC126" s="26">
        <v>0</v>
      </c>
      <c r="HD126" s="26">
        <v>0</v>
      </c>
      <c r="HE126" s="26">
        <v>0</v>
      </c>
      <c r="HF126" s="26">
        <v>0</v>
      </c>
      <c r="HG126" s="26">
        <v>0</v>
      </c>
      <c r="HH126" s="26">
        <v>0</v>
      </c>
      <c r="HI126" s="26">
        <v>0</v>
      </c>
      <c r="HJ126" s="26">
        <v>0</v>
      </c>
      <c r="HK126" s="26">
        <v>0</v>
      </c>
      <c r="HL126" s="26">
        <v>0</v>
      </c>
      <c r="HM126" s="26">
        <v>0</v>
      </c>
      <c r="HN126" s="26">
        <v>0</v>
      </c>
      <c r="HO126" s="26">
        <v>0</v>
      </c>
      <c r="HP126" s="26">
        <v>0</v>
      </c>
      <c r="HQ126" s="26">
        <v>0</v>
      </c>
      <c r="HR126" s="26">
        <v>0</v>
      </c>
      <c r="HS126" s="26">
        <v>0</v>
      </c>
      <c r="HT126" s="26">
        <v>1.2239352903470379E-3</v>
      </c>
    </row>
    <row r="127" spans="2:228" x14ac:dyDescent="0.2">
      <c r="B127" s="27" t="s">
        <v>3481</v>
      </c>
      <c r="C127" s="26">
        <v>87601.599300000002</v>
      </c>
      <c r="D127" s="26">
        <v>-278.083911</v>
      </c>
      <c r="E127" s="26">
        <v>87383.536600000007</v>
      </c>
      <c r="F127" s="26">
        <v>4.5583615100000001</v>
      </c>
      <c r="G127" s="26">
        <v>4.93063042E-5</v>
      </c>
      <c r="H127" s="26">
        <v>1.95907473E-6</v>
      </c>
      <c r="I127" s="26">
        <v>8.2198939900000001E-7</v>
      </c>
      <c r="J127" s="26">
        <v>1.2932850700000001E-3</v>
      </c>
      <c r="K127" s="26">
        <v>1.5760463400000001E-4</v>
      </c>
      <c r="L127" s="26">
        <v>2.0065896500000001E-4</v>
      </c>
      <c r="M127" s="26">
        <v>0</v>
      </c>
      <c r="N127" s="26">
        <v>1.8770744099999999E-6</v>
      </c>
      <c r="O127" s="26">
        <v>4.73706134E-8</v>
      </c>
      <c r="P127" s="26">
        <v>1.98757819E-8</v>
      </c>
      <c r="Q127" s="26">
        <v>3.0655764199999997E-5</v>
      </c>
      <c r="R127" s="26">
        <v>3.7358278999999994E-6</v>
      </c>
      <c r="S127" s="26">
        <v>2.0275428799999998E-5</v>
      </c>
      <c r="T127" s="26">
        <v>6.0994110599999998E-2</v>
      </c>
      <c r="U127" s="26">
        <v>1.14143061</v>
      </c>
      <c r="V127" s="26">
        <v>211.02712399999999</v>
      </c>
      <c r="W127" s="26">
        <v>0</v>
      </c>
      <c r="X127" s="26">
        <v>3.8630877100000002E-2</v>
      </c>
      <c r="Y127" s="26">
        <v>1.1577814400000001E-12</v>
      </c>
      <c r="Z127" s="26">
        <v>7.4135541500000001E-8</v>
      </c>
      <c r="AA127" s="26">
        <v>2.26794008E-8</v>
      </c>
      <c r="AB127" s="26">
        <v>0.160093083</v>
      </c>
      <c r="AC127" s="26">
        <v>0</v>
      </c>
      <c r="AD127" s="26">
        <v>0</v>
      </c>
      <c r="AE127" s="26">
        <v>0</v>
      </c>
      <c r="AF127" s="26">
        <v>0</v>
      </c>
      <c r="AG127" s="26">
        <v>0</v>
      </c>
      <c r="AH127" s="26">
        <v>0</v>
      </c>
      <c r="AI127" s="26">
        <v>0</v>
      </c>
      <c r="AJ127" s="26">
        <v>0</v>
      </c>
      <c r="AK127" s="26">
        <v>0</v>
      </c>
      <c r="AL127" s="26">
        <v>0</v>
      </c>
      <c r="AM127" s="26">
        <v>1.27686785E-5</v>
      </c>
      <c r="AN127" s="26">
        <v>7.7283808800000006E-2</v>
      </c>
      <c r="AO127" s="26">
        <v>0.17159165400000001</v>
      </c>
      <c r="AP127" s="26">
        <v>0</v>
      </c>
      <c r="AQ127" s="26">
        <v>0</v>
      </c>
      <c r="AR127" s="26">
        <v>0</v>
      </c>
      <c r="AS127" s="26">
        <v>0.82368741899999998</v>
      </c>
      <c r="AT127" s="26">
        <v>0</v>
      </c>
      <c r="AU127" s="26">
        <v>0</v>
      </c>
      <c r="AV127" s="26">
        <v>1.6722382199999999E-3</v>
      </c>
      <c r="AW127" s="26">
        <v>0</v>
      </c>
      <c r="AX127" s="26">
        <v>0</v>
      </c>
      <c r="AY127" s="26">
        <v>0</v>
      </c>
      <c r="AZ127" s="26">
        <v>0</v>
      </c>
      <c r="BA127" s="26">
        <v>0</v>
      </c>
      <c r="BB127" s="26">
        <v>0</v>
      </c>
      <c r="BC127" s="26">
        <v>0</v>
      </c>
      <c r="BD127" s="26">
        <v>0</v>
      </c>
      <c r="BE127" s="26">
        <v>0</v>
      </c>
      <c r="BF127" s="26">
        <v>0</v>
      </c>
      <c r="BG127" s="26">
        <v>0</v>
      </c>
      <c r="BH127" s="26">
        <v>0</v>
      </c>
      <c r="BI127" s="26">
        <v>0</v>
      </c>
      <c r="BJ127" s="26">
        <v>0</v>
      </c>
      <c r="BK127" s="26">
        <v>0</v>
      </c>
      <c r="BL127" s="26">
        <v>0</v>
      </c>
      <c r="BM127" s="26">
        <v>0</v>
      </c>
      <c r="BN127" s="26">
        <v>0</v>
      </c>
      <c r="BO127" s="26">
        <v>4852.8651300000001</v>
      </c>
      <c r="BP127" s="26">
        <v>87601.599300000002</v>
      </c>
      <c r="BQ127" s="26">
        <v>3936157.63</v>
      </c>
      <c r="BR127" s="26">
        <v>87.018872900000019</v>
      </c>
      <c r="BS127" s="26">
        <v>0.6</v>
      </c>
      <c r="BT127" s="26">
        <v>1</v>
      </c>
      <c r="BU127" s="26">
        <v>0</v>
      </c>
      <c r="BV127" s="26">
        <v>0</v>
      </c>
      <c r="BW127" s="26">
        <v>-57303.036800000002</v>
      </c>
      <c r="BX127" s="26">
        <v>-3174.4158900000002</v>
      </c>
      <c r="BY127" s="26">
        <v>-278.083911</v>
      </c>
      <c r="BZ127" s="26">
        <v>-8.1946726099999996</v>
      </c>
      <c r="CA127" s="26">
        <v>-0.453960217</v>
      </c>
      <c r="CB127" s="26">
        <v>2.0548233099999999E-5</v>
      </c>
      <c r="CC127" s="26">
        <v>3.7092687199999998E-4</v>
      </c>
      <c r="CD127" s="26">
        <v>18.0515215</v>
      </c>
      <c r="CE127" s="26">
        <v>0</v>
      </c>
      <c r="CF127" s="26">
        <v>0</v>
      </c>
      <c r="CG127" s="26">
        <v>0</v>
      </c>
      <c r="CH127" s="26">
        <v>0</v>
      </c>
      <c r="CI127" s="26">
        <v>0</v>
      </c>
      <c r="CJ127" s="26">
        <v>0</v>
      </c>
      <c r="CK127" s="26">
        <v>0</v>
      </c>
      <c r="CL127" s="26">
        <v>0</v>
      </c>
      <c r="CM127" s="26">
        <v>0</v>
      </c>
      <c r="CN127" s="26">
        <v>0</v>
      </c>
      <c r="CO127" s="26">
        <v>0</v>
      </c>
      <c r="CP127" s="26">
        <v>0</v>
      </c>
      <c r="CQ127" s="26">
        <v>0</v>
      </c>
      <c r="CR127" s="26">
        <v>0</v>
      </c>
      <c r="CS127" s="26">
        <v>0</v>
      </c>
      <c r="CT127" s="26">
        <v>0</v>
      </c>
      <c r="CU127" s="26">
        <v>0</v>
      </c>
      <c r="CV127" s="26">
        <v>0</v>
      </c>
      <c r="CW127" s="26">
        <v>0</v>
      </c>
      <c r="CX127" s="26">
        <v>0</v>
      </c>
      <c r="CY127" s="26">
        <v>0</v>
      </c>
      <c r="CZ127" s="26">
        <v>0</v>
      </c>
      <c r="DA127" s="26">
        <v>0</v>
      </c>
      <c r="DB127" s="26">
        <v>0</v>
      </c>
      <c r="DC127" s="26">
        <v>0</v>
      </c>
      <c r="DD127" s="26">
        <v>0</v>
      </c>
      <c r="DE127" s="26">
        <v>0</v>
      </c>
      <c r="DF127" s="26">
        <v>0</v>
      </c>
      <c r="DG127" s="26">
        <v>0</v>
      </c>
      <c r="DH127" s="26">
        <v>0</v>
      </c>
      <c r="DI127" s="26">
        <v>0</v>
      </c>
      <c r="DJ127" s="26">
        <v>0</v>
      </c>
      <c r="DK127" s="26">
        <v>0</v>
      </c>
      <c r="DL127" s="26">
        <v>0</v>
      </c>
      <c r="DM127" s="26">
        <v>0</v>
      </c>
      <c r="DN127" s="26">
        <v>0</v>
      </c>
      <c r="DO127" s="26">
        <v>0</v>
      </c>
      <c r="DP127" s="26">
        <v>0</v>
      </c>
      <c r="DQ127" s="26">
        <v>0</v>
      </c>
      <c r="DR127" s="26">
        <v>0</v>
      </c>
      <c r="DS127" s="26">
        <v>0</v>
      </c>
      <c r="DT127" s="26">
        <v>0</v>
      </c>
      <c r="DU127" s="26">
        <v>0</v>
      </c>
      <c r="DV127" s="26">
        <v>0</v>
      </c>
      <c r="DW127" s="26">
        <v>0</v>
      </c>
      <c r="DX127" s="26">
        <v>0</v>
      </c>
      <c r="DY127" s="26">
        <v>0</v>
      </c>
      <c r="DZ127" s="26">
        <v>0</v>
      </c>
      <c r="EA127" s="26">
        <v>0</v>
      </c>
      <c r="EB127" s="26">
        <v>0</v>
      </c>
      <c r="EC127" s="26">
        <v>0</v>
      </c>
      <c r="ED127" s="26">
        <v>0</v>
      </c>
      <c r="EE127" s="26">
        <v>0</v>
      </c>
      <c r="EF127" s="26">
        <v>0</v>
      </c>
      <c r="EG127" s="26">
        <v>0</v>
      </c>
      <c r="EH127" s="26">
        <v>0</v>
      </c>
      <c r="EI127" s="26">
        <v>0</v>
      </c>
      <c r="EJ127" s="26">
        <v>0</v>
      </c>
      <c r="EK127" s="26">
        <v>0</v>
      </c>
      <c r="EL127" s="26">
        <v>0</v>
      </c>
      <c r="EM127" s="26">
        <v>0</v>
      </c>
      <c r="EN127" s="26">
        <v>0</v>
      </c>
      <c r="EO127" s="26">
        <v>0</v>
      </c>
      <c r="EP127" s="26">
        <v>0</v>
      </c>
      <c r="EQ127" s="26">
        <v>0</v>
      </c>
      <c r="ER127" s="26">
        <v>0</v>
      </c>
      <c r="ES127" s="26">
        <v>0</v>
      </c>
      <c r="ET127" s="26">
        <v>0.6</v>
      </c>
      <c r="EU127" s="26">
        <v>0</v>
      </c>
      <c r="EV127" s="26">
        <v>0</v>
      </c>
      <c r="EW127" s="26">
        <v>0</v>
      </c>
      <c r="EX127" s="26">
        <v>0</v>
      </c>
      <c r="EY127" s="26">
        <v>0</v>
      </c>
      <c r="EZ127" s="26">
        <v>0</v>
      </c>
      <c r="FA127" s="26">
        <v>0</v>
      </c>
      <c r="FB127" s="26">
        <v>0</v>
      </c>
      <c r="FC127" s="26">
        <v>0</v>
      </c>
      <c r="FD127" s="26">
        <v>0</v>
      </c>
      <c r="FE127" s="26">
        <v>0</v>
      </c>
      <c r="FF127" s="26">
        <v>0</v>
      </c>
      <c r="FG127" s="26">
        <v>4.1413387500000001E-3</v>
      </c>
      <c r="FH127" s="26">
        <v>-327370958.028</v>
      </c>
      <c r="FI127" s="26">
        <v>3.1268549416815059E-3</v>
      </c>
      <c r="FJ127" s="26">
        <v>1.3473676135567187</v>
      </c>
      <c r="FK127" s="26">
        <v>2.7485086303214025E-5</v>
      </c>
      <c r="FL127" s="26">
        <v>7.6023379774853715E-11</v>
      </c>
      <c r="FM127" s="26">
        <v>3.0206174408316063E-12</v>
      </c>
      <c r="FN127" s="26">
        <v>1.2673919323613576E-12</v>
      </c>
      <c r="FO127" s="26">
        <v>2.3928762163652321E-9</v>
      </c>
      <c r="FP127" s="26">
        <v>2.91604988443951E-10</v>
      </c>
      <c r="FQ127" s="26">
        <v>1.6283549158046171E-10</v>
      </c>
      <c r="FR127" s="26">
        <v>0</v>
      </c>
      <c r="FS127" s="26">
        <v>3.2157508590593402E-12</v>
      </c>
      <c r="FT127" s="26">
        <v>8.115399703812087E-14</v>
      </c>
      <c r="FU127" s="26">
        <v>3.4050628050182798E-14</v>
      </c>
      <c r="FV127" s="26">
        <v>6.4454588293414489E-11</v>
      </c>
      <c r="FW127" s="26">
        <v>7.8546810350596706E-12</v>
      </c>
      <c r="FX127" s="26">
        <v>3.1261856916761522E-11</v>
      </c>
      <c r="FY127" s="26">
        <v>1.1135616061307151E-7</v>
      </c>
      <c r="FZ127" s="26">
        <v>2.5141865201134921E-6</v>
      </c>
      <c r="GA127" s="26">
        <v>6.1006717432498191E-4</v>
      </c>
      <c r="GB127" s="26">
        <v>0</v>
      </c>
      <c r="GC127" s="26">
        <v>1.1912674817523621E-7</v>
      </c>
      <c r="GD127" s="26">
        <v>2.1137805335769109E-18</v>
      </c>
      <c r="GE127" s="26">
        <v>2.236089770666496E-13</v>
      </c>
      <c r="GF127" s="26">
        <v>5.3348074871229048E-14</v>
      </c>
      <c r="GG127" s="26">
        <v>2.6112060486674264E-6</v>
      </c>
      <c r="GH127" s="26">
        <v>0</v>
      </c>
      <c r="GI127" s="26">
        <v>0</v>
      </c>
      <c r="GJ127" s="26">
        <v>0</v>
      </c>
      <c r="GK127" s="26">
        <v>0</v>
      </c>
      <c r="GL127" s="26">
        <v>0</v>
      </c>
      <c r="GM127" s="26">
        <v>0</v>
      </c>
      <c r="GN127" s="26">
        <v>0</v>
      </c>
      <c r="GO127" s="26">
        <v>0</v>
      </c>
      <c r="GP127" s="26">
        <v>0</v>
      </c>
      <c r="GQ127" s="26">
        <v>0</v>
      </c>
      <c r="GR127" s="26">
        <v>1.2556716989342624E-11</v>
      </c>
      <c r="GS127" s="26">
        <v>6.7089156092268801E-7</v>
      </c>
      <c r="GT127" s="26">
        <v>1.7014790302784988E-6</v>
      </c>
      <c r="GU127" s="26">
        <v>0</v>
      </c>
      <c r="GV127" s="26">
        <v>0</v>
      </c>
      <c r="GW127" s="26">
        <v>0</v>
      </c>
      <c r="GX127" s="26">
        <v>5.1988889582577787E-6</v>
      </c>
      <c r="GY127" s="26">
        <v>0</v>
      </c>
      <c r="GZ127" s="26">
        <v>0</v>
      </c>
      <c r="HA127" s="26">
        <v>7.2506371691162085E-9</v>
      </c>
      <c r="HB127" s="26">
        <v>0</v>
      </c>
      <c r="HC127" s="26">
        <v>0</v>
      </c>
      <c r="HD127" s="26">
        <v>0</v>
      </c>
      <c r="HE127" s="26">
        <v>0</v>
      </c>
      <c r="HF127" s="26">
        <v>0</v>
      </c>
      <c r="HG127" s="26">
        <v>0</v>
      </c>
      <c r="HH127" s="26">
        <v>0</v>
      </c>
      <c r="HI127" s="26">
        <v>0</v>
      </c>
      <c r="HJ127" s="26">
        <v>0</v>
      </c>
      <c r="HK127" s="26">
        <v>0</v>
      </c>
      <c r="HL127" s="26">
        <v>0</v>
      </c>
      <c r="HM127" s="26">
        <v>0</v>
      </c>
      <c r="HN127" s="26">
        <v>0</v>
      </c>
      <c r="HO127" s="26">
        <v>0</v>
      </c>
      <c r="HP127" s="26">
        <v>0</v>
      </c>
      <c r="HQ127" s="26">
        <v>0</v>
      </c>
      <c r="HR127" s="26">
        <v>0</v>
      </c>
      <c r="HS127" s="26">
        <v>0</v>
      </c>
      <c r="HT127" s="26">
        <v>0</v>
      </c>
    </row>
    <row r="128" spans="2:228" x14ac:dyDescent="0.2">
      <c r="B128" s="27" t="s">
        <v>3483</v>
      </c>
      <c r="C128" s="26">
        <v>87601.599300000002</v>
      </c>
      <c r="D128" s="26">
        <v>-326.75497200000001</v>
      </c>
      <c r="E128" s="26">
        <v>87383.536600000007</v>
      </c>
      <c r="F128" s="26">
        <v>4.5583615100000001</v>
      </c>
      <c r="G128" s="26">
        <v>4.93063042E-5</v>
      </c>
      <c r="H128" s="26">
        <v>1.95907473E-6</v>
      </c>
      <c r="I128" s="26">
        <v>8.2198939900000001E-7</v>
      </c>
      <c r="J128" s="26">
        <v>1.2932850700000001E-3</v>
      </c>
      <c r="K128" s="26">
        <v>1.5760463400000001E-4</v>
      </c>
      <c r="L128" s="26">
        <v>2.0065896500000001E-4</v>
      </c>
      <c r="M128" s="26">
        <v>0</v>
      </c>
      <c r="N128" s="26">
        <v>1.8770744099999999E-6</v>
      </c>
      <c r="O128" s="26">
        <v>4.73706134E-8</v>
      </c>
      <c r="P128" s="26">
        <v>1.98757819E-8</v>
      </c>
      <c r="Q128" s="26">
        <v>3.0655764199999997E-5</v>
      </c>
      <c r="R128" s="26">
        <v>3.7358278999999994E-6</v>
      </c>
      <c r="S128" s="26">
        <v>2.0275428799999998E-5</v>
      </c>
      <c r="T128" s="26">
        <v>6.0994110599999998E-2</v>
      </c>
      <c r="U128" s="26">
        <v>1.14143061</v>
      </c>
      <c r="V128" s="26">
        <v>211.02712399999999</v>
      </c>
      <c r="W128" s="26">
        <v>0</v>
      </c>
      <c r="X128" s="26">
        <v>3.8630877100000002E-2</v>
      </c>
      <c r="Y128" s="26">
        <v>1.1577814400000001E-12</v>
      </c>
      <c r="Z128" s="26">
        <v>7.4135541500000001E-8</v>
      </c>
      <c r="AA128" s="26">
        <v>2.26794008E-8</v>
      </c>
      <c r="AB128" s="26">
        <v>0.160093083</v>
      </c>
      <c r="AC128" s="26">
        <v>0</v>
      </c>
      <c r="AD128" s="26">
        <v>0</v>
      </c>
      <c r="AE128" s="26">
        <v>0</v>
      </c>
      <c r="AF128" s="26">
        <v>0</v>
      </c>
      <c r="AG128" s="26">
        <v>0</v>
      </c>
      <c r="AH128" s="26">
        <v>0</v>
      </c>
      <c r="AI128" s="26">
        <v>0</v>
      </c>
      <c r="AJ128" s="26">
        <v>0</v>
      </c>
      <c r="AK128" s="26">
        <v>0</v>
      </c>
      <c r="AL128" s="26">
        <v>0</v>
      </c>
      <c r="AM128" s="26">
        <v>1.27686785E-5</v>
      </c>
      <c r="AN128" s="26">
        <v>7.7283808800000006E-2</v>
      </c>
      <c r="AO128" s="26">
        <v>0.17159165400000001</v>
      </c>
      <c r="AP128" s="26">
        <v>0</v>
      </c>
      <c r="AQ128" s="26">
        <v>0</v>
      </c>
      <c r="AR128" s="26">
        <v>0</v>
      </c>
      <c r="AS128" s="26">
        <v>0.82368741899999998</v>
      </c>
      <c r="AT128" s="26">
        <v>0</v>
      </c>
      <c r="AU128" s="26">
        <v>0</v>
      </c>
      <c r="AV128" s="26">
        <v>1.6722382199999999E-3</v>
      </c>
      <c r="AW128" s="26">
        <v>0</v>
      </c>
      <c r="AX128" s="26">
        <v>0</v>
      </c>
      <c r="AY128" s="26">
        <v>0</v>
      </c>
      <c r="AZ128" s="26">
        <v>0</v>
      </c>
      <c r="BA128" s="26">
        <v>0</v>
      </c>
      <c r="BB128" s="26">
        <v>0</v>
      </c>
      <c r="BC128" s="26">
        <v>0</v>
      </c>
      <c r="BD128" s="26">
        <v>0</v>
      </c>
      <c r="BE128" s="26">
        <v>0</v>
      </c>
      <c r="BF128" s="26">
        <v>0</v>
      </c>
      <c r="BG128" s="26">
        <v>0</v>
      </c>
      <c r="BH128" s="26">
        <v>0</v>
      </c>
      <c r="BI128" s="26">
        <v>0</v>
      </c>
      <c r="BJ128" s="26">
        <v>0</v>
      </c>
      <c r="BK128" s="26">
        <v>0</v>
      </c>
      <c r="BL128" s="26">
        <v>0</v>
      </c>
      <c r="BM128" s="26">
        <v>0</v>
      </c>
      <c r="BN128" s="26">
        <v>0</v>
      </c>
      <c r="BO128" s="26">
        <v>4852.8651300000001</v>
      </c>
      <c r="BP128" s="26">
        <v>87601.599300000002</v>
      </c>
      <c r="BQ128" s="26">
        <v>1547.69937</v>
      </c>
      <c r="BR128" s="26">
        <v>76.308265800000015</v>
      </c>
      <c r="BS128" s="26">
        <v>0.6</v>
      </c>
      <c r="BT128" s="26">
        <v>0</v>
      </c>
      <c r="BU128" s="26">
        <v>1</v>
      </c>
      <c r="BV128" s="26">
        <v>0</v>
      </c>
      <c r="BW128" s="26">
        <v>-67332.381999999998</v>
      </c>
      <c r="BX128" s="26">
        <v>-3730.0114600000002</v>
      </c>
      <c r="BY128" s="26">
        <v>-326.75497200000001</v>
      </c>
      <c r="BZ128" s="26">
        <v>-36.125635699999997</v>
      </c>
      <c r="CA128" s="26">
        <v>-2.00125157</v>
      </c>
      <c r="CB128" s="26">
        <v>5.2258911499999998E-2</v>
      </c>
      <c r="CC128" s="26">
        <v>0.94335286500000004</v>
      </c>
      <c r="CD128" s="26">
        <v>18.0515215</v>
      </c>
      <c r="CE128" s="26">
        <v>0</v>
      </c>
      <c r="CF128" s="26">
        <v>0</v>
      </c>
      <c r="CG128" s="26">
        <v>0</v>
      </c>
      <c r="CH128" s="26">
        <v>0</v>
      </c>
      <c r="CI128" s="26">
        <v>0</v>
      </c>
      <c r="CJ128" s="26">
        <v>0</v>
      </c>
      <c r="CK128" s="26">
        <v>0</v>
      </c>
      <c r="CL128" s="26">
        <v>0</v>
      </c>
      <c r="CM128" s="26">
        <v>0</v>
      </c>
      <c r="CN128" s="26">
        <v>0</v>
      </c>
      <c r="CO128" s="26">
        <v>0</v>
      </c>
      <c r="CP128" s="26">
        <v>0</v>
      </c>
      <c r="CQ128" s="26">
        <v>0</v>
      </c>
      <c r="CR128" s="26">
        <v>0</v>
      </c>
      <c r="CS128" s="26">
        <v>0</v>
      </c>
      <c r="CT128" s="26">
        <v>0</v>
      </c>
      <c r="CU128" s="26">
        <v>0</v>
      </c>
      <c r="CV128" s="26">
        <v>0</v>
      </c>
      <c r="CW128" s="26">
        <v>0</v>
      </c>
      <c r="CX128" s="26">
        <v>0</v>
      </c>
      <c r="CY128" s="26">
        <v>0</v>
      </c>
      <c r="CZ128" s="26">
        <v>0</v>
      </c>
      <c r="DA128" s="26">
        <v>0</v>
      </c>
      <c r="DB128" s="26">
        <v>0</v>
      </c>
      <c r="DC128" s="26">
        <v>0</v>
      </c>
      <c r="DD128" s="26">
        <v>0</v>
      </c>
      <c r="DE128" s="26">
        <v>0</v>
      </c>
      <c r="DF128" s="26">
        <v>0</v>
      </c>
      <c r="DG128" s="26">
        <v>0</v>
      </c>
      <c r="DH128" s="26">
        <v>0</v>
      </c>
      <c r="DI128" s="26">
        <v>0</v>
      </c>
      <c r="DJ128" s="26">
        <v>0</v>
      </c>
      <c r="DK128" s="26">
        <v>0</v>
      </c>
      <c r="DL128" s="26">
        <v>0</v>
      </c>
      <c r="DM128" s="26">
        <v>0</v>
      </c>
      <c r="DN128" s="26">
        <v>0</v>
      </c>
      <c r="DO128" s="26">
        <v>0</v>
      </c>
      <c r="DP128" s="26">
        <v>0</v>
      </c>
      <c r="DQ128" s="26">
        <v>0</v>
      </c>
      <c r="DR128" s="26">
        <v>0</v>
      </c>
      <c r="DS128" s="26">
        <v>0</v>
      </c>
      <c r="DT128" s="26">
        <v>0</v>
      </c>
      <c r="DU128" s="26">
        <v>0</v>
      </c>
      <c r="DV128" s="26">
        <v>0</v>
      </c>
      <c r="DW128" s="26">
        <v>0</v>
      </c>
      <c r="DX128" s="26">
        <v>0</v>
      </c>
      <c r="DY128" s="26">
        <v>0</v>
      </c>
      <c r="DZ128" s="26">
        <v>0</v>
      </c>
      <c r="EA128" s="26">
        <v>0</v>
      </c>
      <c r="EB128" s="26">
        <v>0</v>
      </c>
      <c r="EC128" s="26">
        <v>0</v>
      </c>
      <c r="ED128" s="26">
        <v>0</v>
      </c>
      <c r="EE128" s="26">
        <v>0</v>
      </c>
      <c r="EF128" s="26">
        <v>0</v>
      </c>
      <c r="EG128" s="26">
        <v>0</v>
      </c>
      <c r="EH128" s="26">
        <v>0</v>
      </c>
      <c r="EI128" s="26">
        <v>0</v>
      </c>
      <c r="EJ128" s="26">
        <v>0</v>
      </c>
      <c r="EK128" s="26">
        <v>0</v>
      </c>
      <c r="EL128" s="26">
        <v>0</v>
      </c>
      <c r="EM128" s="26">
        <v>0</v>
      </c>
      <c r="EN128" s="26">
        <v>0</v>
      </c>
      <c r="EO128" s="26">
        <v>0</v>
      </c>
      <c r="EP128" s="26">
        <v>0</v>
      </c>
      <c r="EQ128" s="26">
        <v>0</v>
      </c>
      <c r="ER128" s="26">
        <v>0</v>
      </c>
      <c r="ES128" s="26">
        <v>0</v>
      </c>
      <c r="ET128" s="26">
        <v>0.6</v>
      </c>
      <c r="EU128" s="26">
        <v>0</v>
      </c>
      <c r="EV128" s="26">
        <v>0</v>
      </c>
      <c r="EW128" s="26">
        <v>0</v>
      </c>
      <c r="EX128" s="26">
        <v>0</v>
      </c>
      <c r="EY128" s="26">
        <v>0</v>
      </c>
      <c r="EZ128" s="26">
        <v>0</v>
      </c>
      <c r="FA128" s="26">
        <v>0</v>
      </c>
      <c r="FB128" s="26">
        <v>0</v>
      </c>
      <c r="FC128" s="26">
        <v>0</v>
      </c>
      <c r="FD128" s="26">
        <v>0</v>
      </c>
      <c r="FE128" s="26">
        <v>0</v>
      </c>
      <c r="FF128" s="26">
        <v>0</v>
      </c>
      <c r="FG128" s="26">
        <v>4.1413387500000001E-3</v>
      </c>
      <c r="FH128" s="26">
        <v>-385034399.53299999</v>
      </c>
      <c r="FI128" s="26">
        <v>3.1268549416815059E-3</v>
      </c>
      <c r="FJ128" s="26">
        <v>0</v>
      </c>
      <c r="FK128" s="26">
        <v>0</v>
      </c>
      <c r="FL128" s="26">
        <v>0</v>
      </c>
      <c r="FM128" s="26">
        <v>0</v>
      </c>
      <c r="FN128" s="26">
        <v>0</v>
      </c>
      <c r="FO128" s="26">
        <v>0</v>
      </c>
      <c r="FP128" s="26">
        <v>0</v>
      </c>
      <c r="FQ128" s="26">
        <v>0</v>
      </c>
      <c r="FR128" s="26">
        <v>0</v>
      </c>
      <c r="FS128" s="26">
        <v>0</v>
      </c>
      <c r="FT128" s="26">
        <v>0</v>
      </c>
      <c r="FU128" s="26">
        <v>0</v>
      </c>
      <c r="FV128" s="26">
        <v>0</v>
      </c>
      <c r="FW128" s="26">
        <v>0</v>
      </c>
      <c r="FX128" s="26">
        <v>0</v>
      </c>
      <c r="FY128" s="26">
        <v>0</v>
      </c>
      <c r="FZ128" s="26">
        <v>0</v>
      </c>
      <c r="GA128" s="26">
        <v>0</v>
      </c>
      <c r="GB128" s="26">
        <v>0</v>
      </c>
      <c r="GC128" s="26">
        <v>0</v>
      </c>
      <c r="GD128" s="26">
        <v>0</v>
      </c>
      <c r="GE128" s="26">
        <v>0</v>
      </c>
      <c r="GF128" s="26">
        <v>0</v>
      </c>
      <c r="GG128" s="26">
        <v>0</v>
      </c>
      <c r="GH128" s="26">
        <v>0</v>
      </c>
      <c r="GI128" s="26">
        <v>0</v>
      </c>
      <c r="GJ128" s="26">
        <v>0</v>
      </c>
      <c r="GK128" s="26">
        <v>0</v>
      </c>
      <c r="GL128" s="26">
        <v>0</v>
      </c>
      <c r="GM128" s="26">
        <v>0</v>
      </c>
      <c r="GN128" s="26">
        <v>0</v>
      </c>
      <c r="GO128" s="26">
        <v>0</v>
      </c>
      <c r="GP128" s="26">
        <v>0</v>
      </c>
      <c r="GQ128" s="26">
        <v>0</v>
      </c>
      <c r="GR128" s="26">
        <v>0</v>
      </c>
      <c r="GS128" s="26">
        <v>0</v>
      </c>
      <c r="GT128" s="26">
        <v>0</v>
      </c>
      <c r="GU128" s="26">
        <v>0</v>
      </c>
      <c r="GV128" s="26">
        <v>0</v>
      </c>
      <c r="GW128" s="26">
        <v>0</v>
      </c>
      <c r="GX128" s="26">
        <v>0</v>
      </c>
      <c r="GY128" s="26">
        <v>0</v>
      </c>
      <c r="GZ128" s="26">
        <v>0</v>
      </c>
      <c r="HA128" s="26">
        <v>0</v>
      </c>
      <c r="HB128" s="26">
        <v>0</v>
      </c>
      <c r="HC128" s="26">
        <v>0</v>
      </c>
      <c r="HD128" s="26">
        <v>0</v>
      </c>
      <c r="HE128" s="26">
        <v>0</v>
      </c>
      <c r="HF128" s="26">
        <v>0</v>
      </c>
      <c r="HG128" s="26">
        <v>0</v>
      </c>
      <c r="HH128" s="26">
        <v>0</v>
      </c>
      <c r="HI128" s="26">
        <v>0</v>
      </c>
      <c r="HJ128" s="26">
        <v>0</v>
      </c>
      <c r="HK128" s="26">
        <v>0</v>
      </c>
      <c r="HL128" s="26">
        <v>0</v>
      </c>
      <c r="HM128" s="26">
        <v>0</v>
      </c>
      <c r="HN128" s="26">
        <v>0</v>
      </c>
      <c r="HO128" s="26">
        <v>0</v>
      </c>
      <c r="HP128" s="26">
        <v>0</v>
      </c>
      <c r="HQ128" s="26">
        <v>0</v>
      </c>
      <c r="HR128" s="26">
        <v>0</v>
      </c>
      <c r="HS128" s="26">
        <v>0</v>
      </c>
      <c r="HT128" s="26">
        <v>0</v>
      </c>
    </row>
    <row r="129" spans="2:228" x14ac:dyDescent="0.2">
      <c r="B129" s="27" t="s">
        <v>3472</v>
      </c>
      <c r="C129" s="26">
        <v>97439.711599999995</v>
      </c>
      <c r="D129" s="26">
        <v>-310.84787</v>
      </c>
      <c r="E129" s="26">
        <v>97412.637100000007</v>
      </c>
      <c r="F129" s="26">
        <v>0.14866797400000001</v>
      </c>
      <c r="G129" s="26">
        <v>1.3864530099999999E-5</v>
      </c>
      <c r="H129" s="26">
        <v>5.5087581800000004E-7</v>
      </c>
      <c r="I129" s="26">
        <v>2.3113670700000001E-7</v>
      </c>
      <c r="J129" s="26">
        <v>6.7266732599999995E-4</v>
      </c>
      <c r="K129" s="26">
        <v>8.1973796600000003E-5</v>
      </c>
      <c r="L129" s="26">
        <v>3.1636758100000002E-4</v>
      </c>
      <c r="M129" s="26">
        <v>0</v>
      </c>
      <c r="N129" s="26">
        <v>5.2836611099999999E-7</v>
      </c>
      <c r="O129" s="26">
        <v>1.3334062099999999E-8</v>
      </c>
      <c r="P129" s="26">
        <v>5.5947113899999998E-9</v>
      </c>
      <c r="Q129" s="26">
        <v>1.5944768399999999E-5</v>
      </c>
      <c r="R129" s="26">
        <v>1.94309006E-6</v>
      </c>
      <c r="S129" s="26">
        <v>5.7012850100000004E-6</v>
      </c>
      <c r="T129" s="26">
        <v>0.100658147</v>
      </c>
      <c r="U129" s="26">
        <v>1.1647125899999999</v>
      </c>
      <c r="V129" s="26">
        <v>25.593051500000001</v>
      </c>
      <c r="W129" s="26">
        <v>0</v>
      </c>
      <c r="X129" s="26">
        <v>6.2654927499999999E-2</v>
      </c>
      <c r="Y129" s="26">
        <v>7.1547271699999999E-13</v>
      </c>
      <c r="Z129" s="26">
        <v>1.25051899E-7</v>
      </c>
      <c r="AA129" s="26">
        <v>3.1268558799999999E-8</v>
      </c>
      <c r="AB129" s="26">
        <v>3.5270535900000003E-3</v>
      </c>
      <c r="AC129" s="26">
        <v>0</v>
      </c>
      <c r="AD129" s="26">
        <v>0</v>
      </c>
      <c r="AE129" s="26">
        <v>0</v>
      </c>
      <c r="AF129" s="26">
        <v>0</v>
      </c>
      <c r="AG129" s="26">
        <v>0</v>
      </c>
      <c r="AH129" s="26">
        <v>0</v>
      </c>
      <c r="AI129" s="26">
        <v>0</v>
      </c>
      <c r="AJ129" s="26">
        <v>0</v>
      </c>
      <c r="AK129" s="26">
        <v>0</v>
      </c>
      <c r="AL129" s="26">
        <v>0</v>
      </c>
      <c r="AM129" s="26">
        <v>1.1272982600000001E-5</v>
      </c>
      <c r="AN129" s="26">
        <v>6.9153575799999998E-7</v>
      </c>
      <c r="AO129" s="26">
        <v>6.9210502400000002E-7</v>
      </c>
      <c r="AP129" s="26">
        <v>0</v>
      </c>
      <c r="AQ129" s="26">
        <v>0</v>
      </c>
      <c r="AR129" s="26">
        <v>0</v>
      </c>
      <c r="AS129" s="26">
        <v>1.21416849E-4</v>
      </c>
      <c r="AT129" s="26">
        <v>0</v>
      </c>
      <c r="AU129" s="26">
        <v>0</v>
      </c>
      <c r="AV129" s="26">
        <v>7.4585476900000007E-6</v>
      </c>
      <c r="AW129" s="26">
        <v>0</v>
      </c>
      <c r="AX129" s="26">
        <v>0</v>
      </c>
      <c r="AY129" s="26">
        <v>0</v>
      </c>
      <c r="AZ129" s="26">
        <v>0</v>
      </c>
      <c r="BA129" s="26">
        <v>0</v>
      </c>
      <c r="BB129" s="26">
        <v>0</v>
      </c>
      <c r="BC129" s="26">
        <v>0</v>
      </c>
      <c r="BD129" s="26">
        <v>0</v>
      </c>
      <c r="BE129" s="26">
        <v>0</v>
      </c>
      <c r="BF129" s="26">
        <v>0</v>
      </c>
      <c r="BG129" s="26">
        <v>0</v>
      </c>
      <c r="BH129" s="26">
        <v>0</v>
      </c>
      <c r="BI129" s="26">
        <v>0</v>
      </c>
      <c r="BJ129" s="26">
        <v>0</v>
      </c>
      <c r="BK129" s="26">
        <v>0</v>
      </c>
      <c r="BL129" s="26">
        <v>0</v>
      </c>
      <c r="BM129" s="26">
        <v>0</v>
      </c>
      <c r="BN129" s="26">
        <v>0</v>
      </c>
      <c r="BO129" s="26">
        <v>5407.5034299999998</v>
      </c>
      <c r="BP129" s="26">
        <v>97439.711599999995</v>
      </c>
      <c r="BQ129" s="26">
        <v>12334811.699999999</v>
      </c>
      <c r="BR129" s="26">
        <v>62.624328199999979</v>
      </c>
      <c r="BS129" s="26">
        <v>0.2</v>
      </c>
      <c r="BT129" s="26">
        <v>1</v>
      </c>
      <c r="BU129" s="26">
        <v>0</v>
      </c>
      <c r="BV129" s="26">
        <v>0</v>
      </c>
      <c r="BW129" s="26">
        <v>-57484.543799999999</v>
      </c>
      <c r="BX129" s="26">
        <v>-3190.15587</v>
      </c>
      <c r="BY129" s="26">
        <v>-310.84787</v>
      </c>
      <c r="BZ129" s="26">
        <v>-6.5245252599999999</v>
      </c>
      <c r="CA129" s="26">
        <v>-0.36208433099999998</v>
      </c>
      <c r="CB129" s="26">
        <v>7.3065611799999998E-6</v>
      </c>
      <c r="CC129" s="26">
        <v>1.31659503E-4</v>
      </c>
      <c r="CD129" s="26">
        <v>18.019352699999999</v>
      </c>
      <c r="CE129" s="26">
        <v>0</v>
      </c>
      <c r="CF129" s="26">
        <v>0</v>
      </c>
      <c r="CG129" s="26">
        <v>0</v>
      </c>
      <c r="CH129" s="26">
        <v>0</v>
      </c>
      <c r="CI129" s="26">
        <v>0</v>
      </c>
      <c r="CJ129" s="26">
        <v>0</v>
      </c>
      <c r="CK129" s="26">
        <v>0</v>
      </c>
      <c r="CL129" s="26">
        <v>0</v>
      </c>
      <c r="CM129" s="26">
        <v>0</v>
      </c>
      <c r="CN129" s="26">
        <v>0</v>
      </c>
      <c r="CO129" s="26">
        <v>0</v>
      </c>
      <c r="CP129" s="26">
        <v>0</v>
      </c>
      <c r="CQ129" s="26">
        <v>0</v>
      </c>
      <c r="CR129" s="26">
        <v>0</v>
      </c>
      <c r="CS129" s="26">
        <v>0</v>
      </c>
      <c r="CT129" s="26">
        <v>0</v>
      </c>
      <c r="CU129" s="26">
        <v>0</v>
      </c>
      <c r="CV129" s="26">
        <v>0</v>
      </c>
      <c r="CW129" s="26">
        <v>0</v>
      </c>
      <c r="CX129" s="26">
        <v>0</v>
      </c>
      <c r="CY129" s="26">
        <v>0</v>
      </c>
      <c r="CZ129" s="26">
        <v>0</v>
      </c>
      <c r="DA129" s="26">
        <v>0</v>
      </c>
      <c r="DB129" s="26">
        <v>0</v>
      </c>
      <c r="DC129" s="26">
        <v>0</v>
      </c>
      <c r="DD129" s="26">
        <v>0</v>
      </c>
      <c r="DE129" s="26">
        <v>0</v>
      </c>
      <c r="DF129" s="26">
        <v>0</v>
      </c>
      <c r="DG129" s="26">
        <v>0</v>
      </c>
      <c r="DH129" s="26">
        <v>0</v>
      </c>
      <c r="DI129" s="26">
        <v>0</v>
      </c>
      <c r="DJ129" s="26">
        <v>0</v>
      </c>
      <c r="DK129" s="26">
        <v>0</v>
      </c>
      <c r="DL129" s="26">
        <v>0</v>
      </c>
      <c r="DM129" s="26">
        <v>0</v>
      </c>
      <c r="DN129" s="26">
        <v>0</v>
      </c>
      <c r="DO129" s="26">
        <v>0</v>
      </c>
      <c r="DP129" s="26">
        <v>0</v>
      </c>
      <c r="DQ129" s="26">
        <v>0</v>
      </c>
      <c r="DR129" s="26">
        <v>0</v>
      </c>
      <c r="DS129" s="26">
        <v>0</v>
      </c>
      <c r="DT129" s="26">
        <v>0</v>
      </c>
      <c r="DU129" s="26">
        <v>0</v>
      </c>
      <c r="DV129" s="26">
        <v>0</v>
      </c>
      <c r="DW129" s="26">
        <v>0</v>
      </c>
      <c r="DX129" s="26">
        <v>0</v>
      </c>
      <c r="DY129" s="26">
        <v>0</v>
      </c>
      <c r="DZ129" s="26">
        <v>0</v>
      </c>
      <c r="EA129" s="26">
        <v>0</v>
      </c>
      <c r="EB129" s="26">
        <v>0</v>
      </c>
      <c r="EC129" s="26">
        <v>0</v>
      </c>
      <c r="ED129" s="26">
        <v>0</v>
      </c>
      <c r="EE129" s="26">
        <v>0</v>
      </c>
      <c r="EF129" s="26">
        <v>0</v>
      </c>
      <c r="EG129" s="26">
        <v>0</v>
      </c>
      <c r="EH129" s="26">
        <v>0</v>
      </c>
      <c r="EI129" s="26">
        <v>0</v>
      </c>
      <c r="EJ129" s="26">
        <v>0</v>
      </c>
      <c r="EK129" s="26">
        <v>0</v>
      </c>
      <c r="EL129" s="26">
        <v>0</v>
      </c>
      <c r="EM129" s="26">
        <v>0</v>
      </c>
      <c r="EN129" s="26">
        <v>0</v>
      </c>
      <c r="EO129" s="26">
        <v>0</v>
      </c>
      <c r="EP129" s="26">
        <v>0</v>
      </c>
      <c r="EQ129" s="26">
        <v>0</v>
      </c>
      <c r="ER129" s="26">
        <v>0</v>
      </c>
      <c r="ES129" s="26">
        <v>0</v>
      </c>
      <c r="ET129" s="26">
        <v>0.2</v>
      </c>
      <c r="EU129" s="26">
        <v>0</v>
      </c>
      <c r="EV129" s="26">
        <v>0</v>
      </c>
      <c r="EW129" s="26">
        <v>0</v>
      </c>
      <c r="EX129" s="26">
        <v>0</v>
      </c>
      <c r="EY129" s="26">
        <v>0</v>
      </c>
      <c r="EZ129" s="26">
        <v>0</v>
      </c>
      <c r="FA129" s="26">
        <v>0</v>
      </c>
      <c r="FB129" s="26">
        <v>0</v>
      </c>
      <c r="FC129" s="26">
        <v>0</v>
      </c>
      <c r="FD129" s="26">
        <v>0</v>
      </c>
      <c r="FE129" s="26">
        <v>0</v>
      </c>
      <c r="FF129" s="26">
        <v>0</v>
      </c>
      <c r="FG129" s="26">
        <v>4.6129152299999998E-4</v>
      </c>
      <c r="FH129" s="26">
        <v>-363760039.44199997</v>
      </c>
      <c r="FI129" s="26">
        <v>3.8918696978016245E-4</v>
      </c>
      <c r="FJ129" s="26">
        <v>1.5020064120160512</v>
      </c>
      <c r="FK129" s="26">
        <v>8.9640807939348692E-7</v>
      </c>
      <c r="FL129" s="26">
        <v>2.1377153587683898E-11</v>
      </c>
      <c r="FM129" s="26">
        <v>8.4937295957276153E-13</v>
      </c>
      <c r="FN129" s="26">
        <v>3.5638026118437544E-13</v>
      </c>
      <c r="FO129" s="26">
        <v>1.2445899821789421E-9</v>
      </c>
      <c r="FP129" s="26">
        <v>1.5167046482447482E-10</v>
      </c>
      <c r="FQ129" s="26">
        <v>2.5673346149831211E-10</v>
      </c>
      <c r="FR129" s="26">
        <v>0</v>
      </c>
      <c r="FS129" s="26">
        <v>9.0518189890812187E-13</v>
      </c>
      <c r="FT129" s="26">
        <v>2.2843538627192752E-14</v>
      </c>
      <c r="FU129" s="26">
        <v>9.5847015211220563E-15</v>
      </c>
      <c r="FV129" s="26">
        <v>3.3524314712638962E-11</v>
      </c>
      <c r="FW129" s="26">
        <v>4.0854003382387589E-12</v>
      </c>
      <c r="FX129" s="26">
        <v>8.7905788758801865E-12</v>
      </c>
      <c r="FY129" s="26">
        <v>1.8377027897016225E-7</v>
      </c>
      <c r="FZ129" s="26">
        <v>2.5654688510793064E-6</v>
      </c>
      <c r="GA129" s="26">
        <v>7.3988027258570886E-5</v>
      </c>
      <c r="GB129" s="26">
        <v>0</v>
      </c>
      <c r="GC129" s="26">
        <v>1.9321015515679236E-7</v>
      </c>
      <c r="GD129" s="26">
        <v>1.3062502521166688E-18</v>
      </c>
      <c r="GE129" s="26">
        <v>3.7718382523969285E-13</v>
      </c>
      <c r="GF129" s="26">
        <v>7.3552093643972307E-14</v>
      </c>
      <c r="GG129" s="26">
        <v>5.75281796268921E-8</v>
      </c>
      <c r="GH129" s="26">
        <v>0</v>
      </c>
      <c r="GI129" s="26">
        <v>0</v>
      </c>
      <c r="GJ129" s="26">
        <v>0</v>
      </c>
      <c r="GK129" s="26">
        <v>0</v>
      </c>
      <c r="GL129" s="26">
        <v>0</v>
      </c>
      <c r="GM129" s="26">
        <v>0</v>
      </c>
      <c r="GN129" s="26">
        <v>0</v>
      </c>
      <c r="GO129" s="26">
        <v>0</v>
      </c>
      <c r="GP129" s="26">
        <v>0</v>
      </c>
      <c r="GQ129" s="26">
        <v>0</v>
      </c>
      <c r="GR129" s="26">
        <v>1.1085849838686799E-11</v>
      </c>
      <c r="GS129" s="26">
        <v>6.0031397424695626E-12</v>
      </c>
      <c r="GT129" s="26">
        <v>6.8628173604580943E-12</v>
      </c>
      <c r="GU129" s="26">
        <v>0</v>
      </c>
      <c r="GV129" s="26">
        <v>0</v>
      </c>
      <c r="GW129" s="26">
        <v>0</v>
      </c>
      <c r="GX129" s="26">
        <v>7.6634983390857647E-10</v>
      </c>
      <c r="GY129" s="26">
        <v>0</v>
      </c>
      <c r="GZ129" s="26">
        <v>0</v>
      </c>
      <c r="HA129" s="26">
        <v>3.2339425536493182E-11</v>
      </c>
      <c r="HB129" s="26">
        <v>0</v>
      </c>
      <c r="HC129" s="26">
        <v>0</v>
      </c>
      <c r="HD129" s="26">
        <v>0</v>
      </c>
      <c r="HE129" s="26">
        <v>0</v>
      </c>
      <c r="HF129" s="26">
        <v>0</v>
      </c>
      <c r="HG129" s="26">
        <v>0</v>
      </c>
      <c r="HH129" s="26">
        <v>0</v>
      </c>
      <c r="HI129" s="26">
        <v>0</v>
      </c>
      <c r="HJ129" s="26">
        <v>0</v>
      </c>
      <c r="HK129" s="26">
        <v>0</v>
      </c>
      <c r="HL129" s="26">
        <v>0</v>
      </c>
      <c r="HM129" s="26">
        <v>0</v>
      </c>
      <c r="HN129" s="26">
        <v>0</v>
      </c>
      <c r="HO129" s="26">
        <v>0</v>
      </c>
      <c r="HP129" s="26">
        <v>0</v>
      </c>
      <c r="HQ129" s="26">
        <v>0</v>
      </c>
      <c r="HR129" s="26">
        <v>0</v>
      </c>
      <c r="HS129" s="26">
        <v>0</v>
      </c>
      <c r="HT129" s="26">
        <v>0</v>
      </c>
    </row>
    <row r="130" spans="2:228" x14ac:dyDescent="0.2">
      <c r="B130" s="27" t="s">
        <v>3475</v>
      </c>
      <c r="C130" s="26">
        <v>97439.711599999995</v>
      </c>
      <c r="D130" s="26">
        <v>-365.88558699999999</v>
      </c>
      <c r="E130" s="26">
        <v>97412.637100000007</v>
      </c>
      <c r="F130" s="26">
        <v>0.14866797400000001</v>
      </c>
      <c r="G130" s="26">
        <v>1.3864530099999999E-5</v>
      </c>
      <c r="H130" s="26">
        <v>5.5087581800000004E-7</v>
      </c>
      <c r="I130" s="26">
        <v>2.3113670700000001E-7</v>
      </c>
      <c r="J130" s="26">
        <v>6.7266732599999995E-4</v>
      </c>
      <c r="K130" s="26">
        <v>8.1973796600000003E-5</v>
      </c>
      <c r="L130" s="26">
        <v>3.1636758100000002E-4</v>
      </c>
      <c r="M130" s="26">
        <v>0</v>
      </c>
      <c r="N130" s="26">
        <v>5.2836611099999999E-7</v>
      </c>
      <c r="O130" s="26">
        <v>1.3334062099999999E-8</v>
      </c>
      <c r="P130" s="26">
        <v>5.5947113899999998E-9</v>
      </c>
      <c r="Q130" s="26">
        <v>1.5944768399999999E-5</v>
      </c>
      <c r="R130" s="26">
        <v>1.94309006E-6</v>
      </c>
      <c r="S130" s="26">
        <v>5.7012850100000004E-6</v>
      </c>
      <c r="T130" s="26">
        <v>0.100658147</v>
      </c>
      <c r="U130" s="26">
        <v>1.1647125899999999</v>
      </c>
      <c r="V130" s="26">
        <v>25.593051500000001</v>
      </c>
      <c r="W130" s="26">
        <v>0</v>
      </c>
      <c r="X130" s="26">
        <v>6.2654927499999999E-2</v>
      </c>
      <c r="Y130" s="26">
        <v>7.1547271699999999E-13</v>
      </c>
      <c r="Z130" s="26">
        <v>1.25051899E-7</v>
      </c>
      <c r="AA130" s="26">
        <v>3.1268558799999999E-8</v>
      </c>
      <c r="AB130" s="26">
        <v>3.5270535900000003E-3</v>
      </c>
      <c r="AC130" s="26">
        <v>0</v>
      </c>
      <c r="AD130" s="26">
        <v>0</v>
      </c>
      <c r="AE130" s="26">
        <v>0</v>
      </c>
      <c r="AF130" s="26">
        <v>0</v>
      </c>
      <c r="AG130" s="26">
        <v>0</v>
      </c>
      <c r="AH130" s="26">
        <v>0</v>
      </c>
      <c r="AI130" s="26">
        <v>0</v>
      </c>
      <c r="AJ130" s="26">
        <v>0</v>
      </c>
      <c r="AK130" s="26">
        <v>0</v>
      </c>
      <c r="AL130" s="26">
        <v>0</v>
      </c>
      <c r="AM130" s="26">
        <v>1.1272982600000001E-5</v>
      </c>
      <c r="AN130" s="26">
        <v>6.9153575799999998E-7</v>
      </c>
      <c r="AO130" s="26">
        <v>6.9210502400000002E-7</v>
      </c>
      <c r="AP130" s="26">
        <v>0</v>
      </c>
      <c r="AQ130" s="26">
        <v>0</v>
      </c>
      <c r="AR130" s="26">
        <v>0</v>
      </c>
      <c r="AS130" s="26">
        <v>1.21416849E-4</v>
      </c>
      <c r="AT130" s="26">
        <v>0</v>
      </c>
      <c r="AU130" s="26">
        <v>0</v>
      </c>
      <c r="AV130" s="26">
        <v>7.4585476900000007E-6</v>
      </c>
      <c r="AW130" s="26">
        <v>0</v>
      </c>
      <c r="AX130" s="26">
        <v>0</v>
      </c>
      <c r="AY130" s="26">
        <v>0</v>
      </c>
      <c r="AZ130" s="26">
        <v>0</v>
      </c>
      <c r="BA130" s="26">
        <v>0</v>
      </c>
      <c r="BB130" s="26">
        <v>0</v>
      </c>
      <c r="BC130" s="26">
        <v>0</v>
      </c>
      <c r="BD130" s="26">
        <v>0</v>
      </c>
      <c r="BE130" s="26">
        <v>0</v>
      </c>
      <c r="BF130" s="26">
        <v>0</v>
      </c>
      <c r="BG130" s="26">
        <v>0</v>
      </c>
      <c r="BH130" s="26">
        <v>0</v>
      </c>
      <c r="BI130" s="26">
        <v>0</v>
      </c>
      <c r="BJ130" s="26">
        <v>0</v>
      </c>
      <c r="BK130" s="26">
        <v>0</v>
      </c>
      <c r="BL130" s="26">
        <v>0</v>
      </c>
      <c r="BM130" s="26">
        <v>0</v>
      </c>
      <c r="BN130" s="26">
        <v>0</v>
      </c>
      <c r="BO130" s="26">
        <v>5407.5034299999998</v>
      </c>
      <c r="BP130" s="26">
        <v>97439.711599999995</v>
      </c>
      <c r="BQ130" s="26">
        <v>1693.0229899999999</v>
      </c>
      <c r="BR130" s="26">
        <v>60.339926600000013</v>
      </c>
      <c r="BS130" s="26">
        <v>0.2</v>
      </c>
      <c r="BT130" s="26">
        <v>0</v>
      </c>
      <c r="BU130" s="26">
        <v>1</v>
      </c>
      <c r="BV130" s="26">
        <v>0</v>
      </c>
      <c r="BW130" s="26">
        <v>-67662.570699999997</v>
      </c>
      <c r="BX130" s="26">
        <v>-3754.9945200000002</v>
      </c>
      <c r="BY130" s="26">
        <v>-365.88558699999999</v>
      </c>
      <c r="BZ130" s="26">
        <v>-37.0433843</v>
      </c>
      <c r="CA130" s="26">
        <v>-2.0557555500000002</v>
      </c>
      <c r="CB130" s="26">
        <v>5.3233214700000003E-2</v>
      </c>
      <c r="CC130" s="26">
        <v>0.95922807099999996</v>
      </c>
      <c r="CD130" s="26">
        <v>18.019352699999999</v>
      </c>
      <c r="CE130" s="26">
        <v>0</v>
      </c>
      <c r="CF130" s="26">
        <v>0</v>
      </c>
      <c r="CG130" s="26">
        <v>0</v>
      </c>
      <c r="CH130" s="26">
        <v>0</v>
      </c>
      <c r="CI130" s="26">
        <v>0</v>
      </c>
      <c r="CJ130" s="26">
        <v>0</v>
      </c>
      <c r="CK130" s="26">
        <v>0</v>
      </c>
      <c r="CL130" s="26">
        <v>0</v>
      </c>
      <c r="CM130" s="26">
        <v>0</v>
      </c>
      <c r="CN130" s="26">
        <v>0</v>
      </c>
      <c r="CO130" s="26">
        <v>0</v>
      </c>
      <c r="CP130" s="26">
        <v>0</v>
      </c>
      <c r="CQ130" s="26">
        <v>0</v>
      </c>
      <c r="CR130" s="26">
        <v>0</v>
      </c>
      <c r="CS130" s="26">
        <v>0</v>
      </c>
      <c r="CT130" s="26">
        <v>0</v>
      </c>
      <c r="CU130" s="26">
        <v>0</v>
      </c>
      <c r="CV130" s="26">
        <v>0</v>
      </c>
      <c r="CW130" s="26">
        <v>0</v>
      </c>
      <c r="CX130" s="26">
        <v>0</v>
      </c>
      <c r="CY130" s="26">
        <v>0</v>
      </c>
      <c r="CZ130" s="26">
        <v>0</v>
      </c>
      <c r="DA130" s="26">
        <v>0</v>
      </c>
      <c r="DB130" s="26">
        <v>0</v>
      </c>
      <c r="DC130" s="26">
        <v>0</v>
      </c>
      <c r="DD130" s="26">
        <v>0</v>
      </c>
      <c r="DE130" s="26">
        <v>0</v>
      </c>
      <c r="DF130" s="26">
        <v>0</v>
      </c>
      <c r="DG130" s="26">
        <v>0</v>
      </c>
      <c r="DH130" s="26">
        <v>0</v>
      </c>
      <c r="DI130" s="26">
        <v>0</v>
      </c>
      <c r="DJ130" s="26">
        <v>0</v>
      </c>
      <c r="DK130" s="26">
        <v>0</v>
      </c>
      <c r="DL130" s="26">
        <v>0</v>
      </c>
      <c r="DM130" s="26">
        <v>0</v>
      </c>
      <c r="DN130" s="26">
        <v>0</v>
      </c>
      <c r="DO130" s="26">
        <v>0</v>
      </c>
      <c r="DP130" s="26">
        <v>0</v>
      </c>
      <c r="DQ130" s="26">
        <v>0</v>
      </c>
      <c r="DR130" s="26">
        <v>0</v>
      </c>
      <c r="DS130" s="26">
        <v>0</v>
      </c>
      <c r="DT130" s="26">
        <v>0</v>
      </c>
      <c r="DU130" s="26">
        <v>0</v>
      </c>
      <c r="DV130" s="26">
        <v>0</v>
      </c>
      <c r="DW130" s="26">
        <v>0</v>
      </c>
      <c r="DX130" s="26">
        <v>0</v>
      </c>
      <c r="DY130" s="26">
        <v>0</v>
      </c>
      <c r="DZ130" s="26">
        <v>0</v>
      </c>
      <c r="EA130" s="26">
        <v>0</v>
      </c>
      <c r="EB130" s="26">
        <v>0</v>
      </c>
      <c r="EC130" s="26">
        <v>0</v>
      </c>
      <c r="ED130" s="26">
        <v>0</v>
      </c>
      <c r="EE130" s="26">
        <v>0</v>
      </c>
      <c r="EF130" s="26">
        <v>0</v>
      </c>
      <c r="EG130" s="26">
        <v>0</v>
      </c>
      <c r="EH130" s="26">
        <v>0</v>
      </c>
      <c r="EI130" s="26">
        <v>0</v>
      </c>
      <c r="EJ130" s="26">
        <v>0</v>
      </c>
      <c r="EK130" s="26">
        <v>0</v>
      </c>
      <c r="EL130" s="26">
        <v>0</v>
      </c>
      <c r="EM130" s="26">
        <v>0</v>
      </c>
      <c r="EN130" s="26">
        <v>0</v>
      </c>
      <c r="EO130" s="26">
        <v>0</v>
      </c>
      <c r="EP130" s="26">
        <v>0</v>
      </c>
      <c r="EQ130" s="26">
        <v>0</v>
      </c>
      <c r="ER130" s="26">
        <v>0</v>
      </c>
      <c r="ES130" s="26">
        <v>0</v>
      </c>
      <c r="ET130" s="26">
        <v>0.2</v>
      </c>
      <c r="EU130" s="26">
        <v>0</v>
      </c>
      <c r="EV130" s="26">
        <v>0</v>
      </c>
      <c r="EW130" s="26">
        <v>0</v>
      </c>
      <c r="EX130" s="26">
        <v>0</v>
      </c>
      <c r="EY130" s="26">
        <v>0</v>
      </c>
      <c r="EZ130" s="26">
        <v>0</v>
      </c>
      <c r="FA130" s="26">
        <v>0</v>
      </c>
      <c r="FB130" s="26">
        <v>0</v>
      </c>
      <c r="FC130" s="26">
        <v>0</v>
      </c>
      <c r="FD130" s="26">
        <v>0</v>
      </c>
      <c r="FE130" s="26">
        <v>0</v>
      </c>
      <c r="FF130" s="26">
        <v>0</v>
      </c>
      <c r="FG130" s="26">
        <v>4.6129152299999998E-4</v>
      </c>
      <c r="FH130" s="26">
        <v>-429184618.398</v>
      </c>
      <c r="FI130" s="26">
        <v>3.8918696978016245E-4</v>
      </c>
      <c r="FJ130" s="26">
        <v>0</v>
      </c>
      <c r="FK130" s="26">
        <v>0</v>
      </c>
      <c r="FL130" s="26">
        <v>0</v>
      </c>
      <c r="FM130" s="26">
        <v>0</v>
      </c>
      <c r="FN130" s="26">
        <v>0</v>
      </c>
      <c r="FO130" s="26">
        <v>0</v>
      </c>
      <c r="FP130" s="26">
        <v>0</v>
      </c>
      <c r="FQ130" s="26">
        <v>0</v>
      </c>
      <c r="FR130" s="26">
        <v>0</v>
      </c>
      <c r="FS130" s="26">
        <v>0</v>
      </c>
      <c r="FT130" s="26">
        <v>0</v>
      </c>
      <c r="FU130" s="26">
        <v>0</v>
      </c>
      <c r="FV130" s="26">
        <v>0</v>
      </c>
      <c r="FW130" s="26">
        <v>0</v>
      </c>
      <c r="FX130" s="26">
        <v>0</v>
      </c>
      <c r="FY130" s="26">
        <v>0</v>
      </c>
      <c r="FZ130" s="26">
        <v>0</v>
      </c>
      <c r="GA130" s="26">
        <v>0</v>
      </c>
      <c r="GB130" s="26">
        <v>0</v>
      </c>
      <c r="GC130" s="26">
        <v>0</v>
      </c>
      <c r="GD130" s="26">
        <v>0</v>
      </c>
      <c r="GE130" s="26">
        <v>0</v>
      </c>
      <c r="GF130" s="26">
        <v>0</v>
      </c>
      <c r="GG130" s="26">
        <v>0</v>
      </c>
      <c r="GH130" s="26">
        <v>0</v>
      </c>
      <c r="GI130" s="26">
        <v>0</v>
      </c>
      <c r="GJ130" s="26">
        <v>0</v>
      </c>
      <c r="GK130" s="26">
        <v>0</v>
      </c>
      <c r="GL130" s="26">
        <v>0</v>
      </c>
      <c r="GM130" s="26">
        <v>0</v>
      </c>
      <c r="GN130" s="26">
        <v>0</v>
      </c>
      <c r="GO130" s="26">
        <v>0</v>
      </c>
      <c r="GP130" s="26">
        <v>0</v>
      </c>
      <c r="GQ130" s="26">
        <v>0</v>
      </c>
      <c r="GR130" s="26">
        <v>0</v>
      </c>
      <c r="GS130" s="26">
        <v>0</v>
      </c>
      <c r="GT130" s="26">
        <v>0</v>
      </c>
      <c r="GU130" s="26">
        <v>0</v>
      </c>
      <c r="GV130" s="26">
        <v>0</v>
      </c>
      <c r="GW130" s="26">
        <v>0</v>
      </c>
      <c r="GX130" s="26">
        <v>0</v>
      </c>
      <c r="GY130" s="26">
        <v>0</v>
      </c>
      <c r="GZ130" s="26">
        <v>0</v>
      </c>
      <c r="HA130" s="26">
        <v>0</v>
      </c>
      <c r="HB130" s="26">
        <v>0</v>
      </c>
      <c r="HC130" s="26">
        <v>0</v>
      </c>
      <c r="HD130" s="26">
        <v>0</v>
      </c>
      <c r="HE130" s="26">
        <v>0</v>
      </c>
      <c r="HF130" s="26">
        <v>0</v>
      </c>
      <c r="HG130" s="26">
        <v>0</v>
      </c>
      <c r="HH130" s="26">
        <v>0</v>
      </c>
      <c r="HI130" s="26">
        <v>0</v>
      </c>
      <c r="HJ130" s="26">
        <v>0</v>
      </c>
      <c r="HK130" s="26">
        <v>0</v>
      </c>
      <c r="HL130" s="26">
        <v>0</v>
      </c>
      <c r="HM130" s="26">
        <v>0</v>
      </c>
      <c r="HN130" s="26">
        <v>0</v>
      </c>
      <c r="HO130" s="26">
        <v>0</v>
      </c>
      <c r="HP130" s="26">
        <v>0</v>
      </c>
      <c r="HQ130" s="26">
        <v>0</v>
      </c>
      <c r="HR130" s="26">
        <v>0</v>
      </c>
      <c r="HS130" s="26">
        <v>0</v>
      </c>
      <c r="HT130" s="26">
        <v>0</v>
      </c>
    </row>
    <row r="131" spans="2:228" x14ac:dyDescent="0.2">
      <c r="B131" s="27" t="s">
        <v>3477</v>
      </c>
      <c r="C131" s="26">
        <v>280809.272</v>
      </c>
      <c r="D131" s="26">
        <v>-1051.01477</v>
      </c>
      <c r="E131" s="26">
        <v>280474.71100000001</v>
      </c>
      <c r="F131" s="26">
        <v>5.7829446000000004</v>
      </c>
      <c r="G131" s="26">
        <v>7.7123009699999999E-5</v>
      </c>
      <c r="H131" s="26">
        <v>3.06430876E-6</v>
      </c>
      <c r="I131" s="26">
        <v>1.2857239500000001E-6</v>
      </c>
      <c r="J131" s="26">
        <v>2.5227983300000001E-3</v>
      </c>
      <c r="K131" s="26">
        <v>3.0743779200000001E-4</v>
      </c>
      <c r="L131" s="26">
        <v>6.9539713700000005E-4</v>
      </c>
      <c r="M131" s="26">
        <v>0</v>
      </c>
      <c r="N131" s="26">
        <v>2.9369417199999999E-6</v>
      </c>
      <c r="O131" s="26">
        <v>7.4117856100000004E-8</v>
      </c>
      <c r="P131" s="26">
        <v>3.10984012E-8</v>
      </c>
      <c r="Q131" s="26">
        <v>5.9799894500000005E-5</v>
      </c>
      <c r="R131" s="26">
        <v>7.2874423500000004E-6</v>
      </c>
      <c r="S131" s="26">
        <v>3.1714039800000001E-5</v>
      </c>
      <c r="T131" s="26">
        <v>0.21759477599999999</v>
      </c>
      <c r="U131" s="26">
        <v>3.43736525</v>
      </c>
      <c r="V131" s="26">
        <v>323.69176099999999</v>
      </c>
      <c r="W131" s="26">
        <v>0</v>
      </c>
      <c r="X131" s="26">
        <v>0.136702295</v>
      </c>
      <c r="Y131" s="26">
        <v>2.4013657999999999E-12</v>
      </c>
      <c r="Z131" s="26">
        <v>2.6718218000000001E-7</v>
      </c>
      <c r="AA131" s="26">
        <v>7.2399505099999999E-8</v>
      </c>
      <c r="AB131" s="26">
        <v>0.19821719900000001</v>
      </c>
      <c r="AC131" s="26">
        <v>0</v>
      </c>
      <c r="AD131" s="26">
        <v>0</v>
      </c>
      <c r="AE131" s="26">
        <v>0</v>
      </c>
      <c r="AF131" s="26">
        <v>0</v>
      </c>
      <c r="AG131" s="26">
        <v>0</v>
      </c>
      <c r="AH131" s="26">
        <v>0</v>
      </c>
      <c r="AI131" s="26">
        <v>0</v>
      </c>
      <c r="AJ131" s="26">
        <v>0</v>
      </c>
      <c r="AK131" s="26">
        <v>0</v>
      </c>
      <c r="AL131" s="26">
        <v>0</v>
      </c>
      <c r="AM131" s="26">
        <v>3.1831929199999998E-5</v>
      </c>
      <c r="AN131" s="26">
        <v>7.7673567099999993E-2</v>
      </c>
      <c r="AO131" s="26">
        <v>0.17218166500000001</v>
      </c>
      <c r="AP131" s="26">
        <v>0</v>
      </c>
      <c r="AQ131" s="26">
        <v>0</v>
      </c>
      <c r="AR131" s="26">
        <v>0</v>
      </c>
      <c r="AS131" s="26">
        <v>0.84082826099999997</v>
      </c>
      <c r="AT131" s="26">
        <v>0</v>
      </c>
      <c r="AU131" s="26">
        <v>0</v>
      </c>
      <c r="AV131" s="26">
        <v>1.85104124E-3</v>
      </c>
      <c r="AW131" s="26">
        <v>0</v>
      </c>
      <c r="AX131" s="26">
        <v>0</v>
      </c>
      <c r="AY131" s="26">
        <v>0</v>
      </c>
      <c r="AZ131" s="26">
        <v>0</v>
      </c>
      <c r="BA131" s="26">
        <v>0</v>
      </c>
      <c r="BB131" s="26">
        <v>0</v>
      </c>
      <c r="BC131" s="26">
        <v>0</v>
      </c>
      <c r="BD131" s="26">
        <v>0</v>
      </c>
      <c r="BE131" s="26">
        <v>0</v>
      </c>
      <c r="BF131" s="26">
        <v>0</v>
      </c>
      <c r="BG131" s="26">
        <v>0</v>
      </c>
      <c r="BH131" s="26">
        <v>0</v>
      </c>
      <c r="BI131" s="26">
        <v>0</v>
      </c>
      <c r="BJ131" s="26">
        <v>0</v>
      </c>
      <c r="BK131" s="26">
        <v>0</v>
      </c>
      <c r="BL131" s="26">
        <v>0</v>
      </c>
      <c r="BM131" s="26">
        <v>0</v>
      </c>
      <c r="BN131" s="26">
        <v>0</v>
      </c>
      <c r="BO131" s="26">
        <v>15572.2762</v>
      </c>
      <c r="BP131" s="26">
        <v>280809.272</v>
      </c>
      <c r="BQ131" s="26">
        <v>4916.8205500000004</v>
      </c>
      <c r="BR131" s="26">
        <v>67.772764100000018</v>
      </c>
      <c r="BS131" s="26">
        <v>2</v>
      </c>
      <c r="BT131" s="26">
        <v>0</v>
      </c>
      <c r="BU131" s="26">
        <v>1</v>
      </c>
      <c r="BV131" s="26">
        <v>0</v>
      </c>
      <c r="BW131" s="26">
        <v>-67492.686799999996</v>
      </c>
      <c r="BX131" s="26">
        <v>-3742.80647</v>
      </c>
      <c r="BY131" s="26">
        <v>-1051.01477</v>
      </c>
      <c r="BZ131" s="26">
        <v>-36.567785299999997</v>
      </c>
      <c r="CA131" s="26">
        <v>-2.0278662700000001</v>
      </c>
      <c r="CB131" s="26">
        <v>5.27857241E-2</v>
      </c>
      <c r="CC131" s="26">
        <v>0.95186603400000003</v>
      </c>
      <c r="CD131" s="26">
        <v>18.032641399999999</v>
      </c>
      <c r="CE131" s="26">
        <v>0</v>
      </c>
      <c r="CF131" s="26">
        <v>0</v>
      </c>
      <c r="CG131" s="26">
        <v>0</v>
      </c>
      <c r="CH131" s="26">
        <v>0</v>
      </c>
      <c r="CI131" s="26">
        <v>0</v>
      </c>
      <c r="CJ131" s="26">
        <v>0</v>
      </c>
      <c r="CK131" s="26">
        <v>0</v>
      </c>
      <c r="CL131" s="26">
        <v>0</v>
      </c>
      <c r="CM131" s="26">
        <v>0</v>
      </c>
      <c r="CN131" s="26">
        <v>0</v>
      </c>
      <c r="CO131" s="26">
        <v>0</v>
      </c>
      <c r="CP131" s="26">
        <v>0</v>
      </c>
      <c r="CQ131" s="26">
        <v>0</v>
      </c>
      <c r="CR131" s="26">
        <v>0</v>
      </c>
      <c r="CS131" s="26">
        <v>0</v>
      </c>
      <c r="CT131" s="26">
        <v>0</v>
      </c>
      <c r="CU131" s="26">
        <v>0</v>
      </c>
      <c r="CV131" s="26">
        <v>0</v>
      </c>
      <c r="CW131" s="26">
        <v>0</v>
      </c>
      <c r="CX131" s="26">
        <v>0</v>
      </c>
      <c r="CY131" s="26">
        <v>0</v>
      </c>
      <c r="CZ131" s="26">
        <v>0</v>
      </c>
      <c r="DA131" s="26">
        <v>0</v>
      </c>
      <c r="DB131" s="26">
        <v>0</v>
      </c>
      <c r="DC131" s="26">
        <v>0</v>
      </c>
      <c r="DD131" s="26">
        <v>0</v>
      </c>
      <c r="DE131" s="26">
        <v>0</v>
      </c>
      <c r="DF131" s="26">
        <v>0</v>
      </c>
      <c r="DG131" s="26">
        <v>0</v>
      </c>
      <c r="DH131" s="26">
        <v>0</v>
      </c>
      <c r="DI131" s="26">
        <v>0</v>
      </c>
      <c r="DJ131" s="26">
        <v>0</v>
      </c>
      <c r="DK131" s="26">
        <v>0</v>
      </c>
      <c r="DL131" s="26">
        <v>0</v>
      </c>
      <c r="DM131" s="26">
        <v>0</v>
      </c>
      <c r="DN131" s="26">
        <v>0</v>
      </c>
      <c r="DO131" s="26">
        <v>0</v>
      </c>
      <c r="DP131" s="26">
        <v>0</v>
      </c>
      <c r="DQ131" s="26">
        <v>0</v>
      </c>
      <c r="DR131" s="26">
        <v>0</v>
      </c>
      <c r="DS131" s="26">
        <v>0</v>
      </c>
      <c r="DT131" s="26">
        <v>0</v>
      </c>
      <c r="DU131" s="26">
        <v>0</v>
      </c>
      <c r="DV131" s="26">
        <v>0</v>
      </c>
      <c r="DW131" s="26">
        <v>0</v>
      </c>
      <c r="DX131" s="26">
        <v>0</v>
      </c>
      <c r="DY131" s="26">
        <v>0</v>
      </c>
      <c r="DZ131" s="26">
        <v>0</v>
      </c>
      <c r="EA131" s="26">
        <v>0</v>
      </c>
      <c r="EB131" s="26">
        <v>0</v>
      </c>
      <c r="EC131" s="26">
        <v>0</v>
      </c>
      <c r="ED131" s="26">
        <v>0</v>
      </c>
      <c r="EE131" s="26">
        <v>0</v>
      </c>
      <c r="EF131" s="26">
        <v>0</v>
      </c>
      <c r="EG131" s="26">
        <v>0</v>
      </c>
      <c r="EH131" s="26">
        <v>0</v>
      </c>
      <c r="EI131" s="26">
        <v>0</v>
      </c>
      <c r="EJ131" s="26">
        <v>0</v>
      </c>
      <c r="EK131" s="26">
        <v>0</v>
      </c>
      <c r="EL131" s="26">
        <v>0</v>
      </c>
      <c r="EM131" s="26">
        <v>0</v>
      </c>
      <c r="EN131" s="26">
        <v>0</v>
      </c>
      <c r="EO131" s="26">
        <v>0</v>
      </c>
      <c r="EP131" s="26">
        <v>0</v>
      </c>
      <c r="EQ131" s="26">
        <v>0</v>
      </c>
      <c r="ER131" s="26">
        <v>0</v>
      </c>
      <c r="ES131" s="26">
        <v>0</v>
      </c>
      <c r="ET131" s="26">
        <v>2</v>
      </c>
      <c r="EU131" s="26">
        <v>0</v>
      </c>
      <c r="EV131" s="26">
        <v>0</v>
      </c>
      <c r="EW131" s="26">
        <v>0</v>
      </c>
      <c r="EX131" s="26">
        <v>0</v>
      </c>
      <c r="EY131" s="26">
        <v>0</v>
      </c>
      <c r="EZ131" s="26">
        <v>0</v>
      </c>
      <c r="FA131" s="26">
        <v>0</v>
      </c>
      <c r="FB131" s="26">
        <v>0</v>
      </c>
      <c r="FC131" s="26">
        <v>0</v>
      </c>
      <c r="FD131" s="26">
        <v>0</v>
      </c>
      <c r="FE131" s="26">
        <v>0</v>
      </c>
      <c r="FF131" s="26">
        <v>0</v>
      </c>
      <c r="FG131" s="26">
        <v>1.9829441800000001E-3</v>
      </c>
      <c r="FH131" s="26">
        <v>-1235631559.7</v>
      </c>
      <c r="FI131" s="26">
        <v>4.80382142731946E-3</v>
      </c>
      <c r="FJ131" s="26">
        <v>0</v>
      </c>
      <c r="FK131" s="26">
        <v>0</v>
      </c>
      <c r="FL131" s="26">
        <v>0</v>
      </c>
      <c r="FM131" s="26">
        <v>0</v>
      </c>
      <c r="FN131" s="26">
        <v>0</v>
      </c>
      <c r="FO131" s="26">
        <v>0</v>
      </c>
      <c r="FP131" s="26">
        <v>0</v>
      </c>
      <c r="FQ131" s="26">
        <v>0</v>
      </c>
      <c r="FR131" s="26">
        <v>0</v>
      </c>
      <c r="FS131" s="26">
        <v>0</v>
      </c>
      <c r="FT131" s="26">
        <v>0</v>
      </c>
      <c r="FU131" s="26">
        <v>0</v>
      </c>
      <c r="FV131" s="26">
        <v>0</v>
      </c>
      <c r="FW131" s="26">
        <v>0</v>
      </c>
      <c r="FX131" s="26">
        <v>0</v>
      </c>
      <c r="FY131" s="26">
        <v>0</v>
      </c>
      <c r="FZ131" s="26">
        <v>0</v>
      </c>
      <c r="GA131" s="26">
        <v>0</v>
      </c>
      <c r="GB131" s="26">
        <v>0</v>
      </c>
      <c r="GC131" s="26">
        <v>0</v>
      </c>
      <c r="GD131" s="26">
        <v>0</v>
      </c>
      <c r="GE131" s="26">
        <v>0</v>
      </c>
      <c r="GF131" s="26">
        <v>0</v>
      </c>
      <c r="GG131" s="26">
        <v>0</v>
      </c>
      <c r="GH131" s="26">
        <v>0</v>
      </c>
      <c r="GI131" s="26">
        <v>0</v>
      </c>
      <c r="GJ131" s="26">
        <v>0</v>
      </c>
      <c r="GK131" s="26">
        <v>0</v>
      </c>
      <c r="GL131" s="26">
        <v>0</v>
      </c>
      <c r="GM131" s="26">
        <v>0</v>
      </c>
      <c r="GN131" s="26">
        <v>0</v>
      </c>
      <c r="GO131" s="26">
        <v>0</v>
      </c>
      <c r="GP131" s="26">
        <v>0</v>
      </c>
      <c r="GQ131" s="26">
        <v>0</v>
      </c>
      <c r="GR131" s="26">
        <v>0</v>
      </c>
      <c r="GS131" s="26">
        <v>0</v>
      </c>
      <c r="GT131" s="26">
        <v>0</v>
      </c>
      <c r="GU131" s="26">
        <v>0</v>
      </c>
      <c r="GV131" s="26">
        <v>0</v>
      </c>
      <c r="GW131" s="26">
        <v>0</v>
      </c>
      <c r="GX131" s="26">
        <v>0</v>
      </c>
      <c r="GY131" s="26">
        <v>0</v>
      </c>
      <c r="GZ131" s="26">
        <v>0</v>
      </c>
      <c r="HA131" s="26">
        <v>0</v>
      </c>
      <c r="HB131" s="26">
        <v>0</v>
      </c>
      <c r="HC131" s="26">
        <v>0</v>
      </c>
      <c r="HD131" s="26">
        <v>0</v>
      </c>
      <c r="HE131" s="26">
        <v>0</v>
      </c>
      <c r="HF131" s="26">
        <v>0</v>
      </c>
      <c r="HG131" s="26">
        <v>0</v>
      </c>
      <c r="HH131" s="26">
        <v>0</v>
      </c>
      <c r="HI131" s="26">
        <v>0</v>
      </c>
      <c r="HJ131" s="26">
        <v>0</v>
      </c>
      <c r="HK131" s="26">
        <v>0</v>
      </c>
      <c r="HL131" s="26">
        <v>0</v>
      </c>
      <c r="HM131" s="26">
        <v>0</v>
      </c>
      <c r="HN131" s="26">
        <v>0</v>
      </c>
      <c r="HO131" s="26">
        <v>0</v>
      </c>
      <c r="HP131" s="26">
        <v>0</v>
      </c>
      <c r="HQ131" s="26">
        <v>0</v>
      </c>
      <c r="HR131" s="26">
        <v>0</v>
      </c>
      <c r="HS131" s="26">
        <v>0</v>
      </c>
      <c r="HT131" s="26">
        <v>0</v>
      </c>
    </row>
    <row r="132" spans="2:228" x14ac:dyDescent="0.2">
      <c r="B132" s="27" t="s">
        <v>3473</v>
      </c>
      <c r="C132" s="26">
        <v>233557.01499999998</v>
      </c>
      <c r="D132" s="26">
        <v>-732.10243200000002</v>
      </c>
      <c r="E132" s="26">
        <v>165566.77799999999</v>
      </c>
      <c r="F132" s="26">
        <v>0.15868012100000001</v>
      </c>
      <c r="G132" s="26">
        <v>29258.051499999998</v>
      </c>
      <c r="H132" s="26">
        <v>1162.5026499999999</v>
      </c>
      <c r="I132" s="26">
        <v>487.76335100000006</v>
      </c>
      <c r="J132" s="26">
        <v>16237.403</v>
      </c>
      <c r="K132" s="26">
        <v>1978.7516399999997</v>
      </c>
      <c r="L132" s="26">
        <v>326.28435100000002</v>
      </c>
      <c r="M132" s="26">
        <v>0</v>
      </c>
      <c r="N132" s="26">
        <v>1116.7186999999999</v>
      </c>
      <c r="O132" s="26">
        <v>28.181967399999998</v>
      </c>
      <c r="P132" s="26">
        <v>11.824601700000001</v>
      </c>
      <c r="Q132" s="26">
        <v>384.88807300000002</v>
      </c>
      <c r="R132" s="26">
        <v>46.903922799999997</v>
      </c>
      <c r="S132" s="26">
        <v>12031.3122</v>
      </c>
      <c r="T132" s="26">
        <v>646.90290000000005</v>
      </c>
      <c r="U132" s="26">
        <v>361.64545099999998</v>
      </c>
      <c r="V132" s="26">
        <v>33.116220200000001</v>
      </c>
      <c r="W132" s="26">
        <v>0</v>
      </c>
      <c r="X132" s="26">
        <v>41.0830561</v>
      </c>
      <c r="Y132" s="26">
        <v>4.7541647000000001E-5</v>
      </c>
      <c r="Z132" s="26">
        <v>3.0274617200000001E-3</v>
      </c>
      <c r="AA132" s="26">
        <v>2.9647812599999999E-3</v>
      </c>
      <c r="AB132" s="26">
        <v>3.6563744599999999E-3</v>
      </c>
      <c r="AC132" s="26">
        <v>0</v>
      </c>
      <c r="AD132" s="26">
        <v>2121.7321299999999</v>
      </c>
      <c r="AE132" s="26">
        <v>1591.1383699999999</v>
      </c>
      <c r="AF132" s="26">
        <v>0</v>
      </c>
      <c r="AG132" s="26">
        <v>0</v>
      </c>
      <c r="AH132" s="26">
        <v>0</v>
      </c>
      <c r="AI132" s="26">
        <v>0</v>
      </c>
      <c r="AJ132" s="26">
        <v>0</v>
      </c>
      <c r="AK132" s="26">
        <v>0</v>
      </c>
      <c r="AL132" s="26">
        <v>0</v>
      </c>
      <c r="AM132" s="26">
        <v>13.1638742</v>
      </c>
      <c r="AN132" s="26">
        <v>6.9192225999999996E-7</v>
      </c>
      <c r="AO132" s="26">
        <v>6.9235651400000005E-7</v>
      </c>
      <c r="AP132" s="26">
        <v>0</v>
      </c>
      <c r="AQ132" s="26">
        <v>0</v>
      </c>
      <c r="AR132" s="26">
        <v>0</v>
      </c>
      <c r="AS132" s="26">
        <v>1.21688897E-4</v>
      </c>
      <c r="AT132" s="26">
        <v>0</v>
      </c>
      <c r="AU132" s="26">
        <v>0</v>
      </c>
      <c r="AV132" s="26">
        <v>7.5713702899999996E-6</v>
      </c>
      <c r="AW132" s="26">
        <v>0</v>
      </c>
      <c r="AX132" s="26">
        <v>0</v>
      </c>
      <c r="AY132" s="26">
        <v>0</v>
      </c>
      <c r="AZ132" s="26">
        <v>0</v>
      </c>
      <c r="BA132" s="26">
        <v>0</v>
      </c>
      <c r="BB132" s="26">
        <v>0</v>
      </c>
      <c r="BC132" s="26">
        <v>0</v>
      </c>
      <c r="BD132" s="26">
        <v>0</v>
      </c>
      <c r="BE132" s="26">
        <v>0</v>
      </c>
      <c r="BF132" s="26">
        <v>0</v>
      </c>
      <c r="BG132" s="26">
        <v>0</v>
      </c>
      <c r="BH132" s="26">
        <v>0</v>
      </c>
      <c r="BI132" s="26">
        <v>0</v>
      </c>
      <c r="BJ132" s="26">
        <v>0</v>
      </c>
      <c r="BK132" s="26">
        <v>0</v>
      </c>
      <c r="BL132" s="26">
        <v>0</v>
      </c>
      <c r="BM132" s="26">
        <v>0</v>
      </c>
      <c r="BN132" s="26">
        <v>0</v>
      </c>
      <c r="BO132" s="26">
        <v>9606.0566799999997</v>
      </c>
      <c r="BP132" s="26">
        <v>233446.315</v>
      </c>
      <c r="BQ132" s="26">
        <v>3457.3407999999999</v>
      </c>
      <c r="BR132" s="26">
        <v>70.435567699999979</v>
      </c>
      <c r="BS132" s="26">
        <v>0.3</v>
      </c>
      <c r="BT132" s="26">
        <v>0</v>
      </c>
      <c r="BU132" s="26">
        <v>1</v>
      </c>
      <c r="BV132" s="26">
        <v>0</v>
      </c>
      <c r="BW132" s="26">
        <v>-76199.389200000005</v>
      </c>
      <c r="BX132" s="26">
        <v>-3135.52027</v>
      </c>
      <c r="BY132" s="26">
        <v>-731.97565699999996</v>
      </c>
      <c r="BZ132" s="26">
        <v>-44.4370756</v>
      </c>
      <c r="CA132" s="26">
        <v>-1.8285363299999999</v>
      </c>
      <c r="CB132" s="26">
        <v>4.6307538699999998E-2</v>
      </c>
      <c r="CC132" s="26">
        <v>1.1253654399999999</v>
      </c>
      <c r="CD132" s="26">
        <v>24.301992200000001</v>
      </c>
      <c r="CE132" s="26">
        <v>0</v>
      </c>
      <c r="CF132" s="26">
        <v>0</v>
      </c>
      <c r="CG132" s="26">
        <v>0</v>
      </c>
      <c r="CH132" s="26">
        <v>0</v>
      </c>
      <c r="CI132" s="26">
        <v>0</v>
      </c>
      <c r="CJ132" s="26">
        <v>0</v>
      </c>
      <c r="CK132" s="26">
        <v>0</v>
      </c>
      <c r="CL132" s="26">
        <v>0</v>
      </c>
      <c r="CM132" s="26">
        <v>0</v>
      </c>
      <c r="CN132" s="26">
        <v>0</v>
      </c>
      <c r="CO132" s="26">
        <v>0</v>
      </c>
      <c r="CP132" s="26">
        <v>0</v>
      </c>
      <c r="CQ132" s="26">
        <v>0</v>
      </c>
      <c r="CR132" s="26">
        <v>0</v>
      </c>
      <c r="CS132" s="26">
        <v>0</v>
      </c>
      <c r="CT132" s="26">
        <v>0</v>
      </c>
      <c r="CU132" s="26">
        <v>0</v>
      </c>
      <c r="CV132" s="26">
        <v>0</v>
      </c>
      <c r="CW132" s="26">
        <v>0</v>
      </c>
      <c r="CX132" s="26">
        <v>0</v>
      </c>
      <c r="CY132" s="26">
        <v>0</v>
      </c>
      <c r="CZ132" s="26">
        <v>0</v>
      </c>
      <c r="DA132" s="26">
        <v>0</v>
      </c>
      <c r="DB132" s="26">
        <v>0</v>
      </c>
      <c r="DC132" s="26">
        <v>0</v>
      </c>
      <c r="DD132" s="26">
        <v>0</v>
      </c>
      <c r="DE132" s="26">
        <v>0</v>
      </c>
      <c r="DF132" s="26">
        <v>0</v>
      </c>
      <c r="DG132" s="26">
        <v>0</v>
      </c>
      <c r="DH132" s="26">
        <v>0</v>
      </c>
      <c r="DI132" s="26">
        <v>0</v>
      </c>
      <c r="DJ132" s="26">
        <v>0</v>
      </c>
      <c r="DK132" s="26">
        <v>0</v>
      </c>
      <c r="DL132" s="26">
        <v>0</v>
      </c>
      <c r="DM132" s="26">
        <v>0</v>
      </c>
      <c r="DN132" s="26">
        <v>0</v>
      </c>
      <c r="DO132" s="26">
        <v>0</v>
      </c>
      <c r="DP132" s="26">
        <v>0</v>
      </c>
      <c r="DQ132" s="26">
        <v>0</v>
      </c>
      <c r="DR132" s="26">
        <v>0</v>
      </c>
      <c r="DS132" s="26">
        <v>0</v>
      </c>
      <c r="DT132" s="26">
        <v>0</v>
      </c>
      <c r="DU132" s="26">
        <v>0</v>
      </c>
      <c r="DV132" s="26">
        <v>0</v>
      </c>
      <c r="DW132" s="26">
        <v>0</v>
      </c>
      <c r="DX132" s="26">
        <v>6.2732083100000002</v>
      </c>
      <c r="DY132" s="26">
        <v>0.15489835299999999</v>
      </c>
      <c r="DZ132" s="26">
        <v>6.49923159E-2</v>
      </c>
      <c r="EA132" s="26">
        <v>2.1154998800000002</v>
      </c>
      <c r="EB132" s="26">
        <v>0.257802853</v>
      </c>
      <c r="EC132" s="26">
        <v>62.375958500000003</v>
      </c>
      <c r="ED132" s="26">
        <v>0</v>
      </c>
      <c r="EE132" s="26">
        <v>13.120748799999999</v>
      </c>
      <c r="EF132" s="26">
        <v>20.539238300000001</v>
      </c>
      <c r="EG132" s="26">
        <v>2.60401602</v>
      </c>
      <c r="EH132" s="26">
        <v>0.28933553099999998</v>
      </c>
      <c r="EI132" s="26">
        <v>0</v>
      </c>
      <c r="EJ132" s="26">
        <v>0.53901114000000006</v>
      </c>
      <c r="EK132" s="26">
        <v>0</v>
      </c>
      <c r="EL132" s="26">
        <v>2.36548158</v>
      </c>
      <c r="EM132" s="26">
        <v>0</v>
      </c>
      <c r="EN132" s="26">
        <v>0</v>
      </c>
      <c r="EO132" s="26">
        <v>0</v>
      </c>
      <c r="EP132" s="26">
        <v>1.56757539</v>
      </c>
      <c r="EQ132" s="26">
        <v>110.700192</v>
      </c>
      <c r="ER132" s="26">
        <v>1.3367648000000001</v>
      </c>
      <c r="ES132" s="26">
        <v>70.435567699999979</v>
      </c>
      <c r="ET132" s="26">
        <v>0.3</v>
      </c>
      <c r="EU132" s="26">
        <v>0</v>
      </c>
      <c r="EV132" s="26">
        <v>0</v>
      </c>
      <c r="EW132" s="26">
        <v>1</v>
      </c>
      <c r="EX132" s="26">
        <v>-80873.195099999997</v>
      </c>
      <c r="EY132" s="26">
        <v>-1145.20877</v>
      </c>
      <c r="EZ132" s="26">
        <v>-0.126774832</v>
      </c>
      <c r="FA132" s="26">
        <v>-155.44754</v>
      </c>
      <c r="FB132" s="26">
        <v>-2.2012223799999999</v>
      </c>
      <c r="FC132" s="26">
        <v>1.95443927E-2</v>
      </c>
      <c r="FD132" s="26">
        <v>1.3802002899999999</v>
      </c>
      <c r="FE132" s="26">
        <v>70.618735200000003</v>
      </c>
      <c r="FF132" s="26">
        <v>0</v>
      </c>
      <c r="FG132" s="26">
        <v>0.30291580699999998</v>
      </c>
      <c r="FH132" s="26">
        <v>-861310589.39999998</v>
      </c>
      <c r="FI132" s="26">
        <v>0.61215758823059407</v>
      </c>
      <c r="FJ132" s="26">
        <v>0</v>
      </c>
      <c r="FK132" s="26">
        <v>0</v>
      </c>
      <c r="FL132" s="26">
        <v>0</v>
      </c>
      <c r="FM132" s="26">
        <v>0</v>
      </c>
      <c r="FN132" s="26">
        <v>0</v>
      </c>
      <c r="FO132" s="26">
        <v>0</v>
      </c>
      <c r="FP132" s="26">
        <v>0</v>
      </c>
      <c r="FQ132" s="26">
        <v>0</v>
      </c>
      <c r="FR132" s="26">
        <v>0</v>
      </c>
      <c r="FS132" s="26">
        <v>0</v>
      </c>
      <c r="FT132" s="26">
        <v>0</v>
      </c>
      <c r="FU132" s="26">
        <v>0</v>
      </c>
      <c r="FV132" s="26">
        <v>0</v>
      </c>
      <c r="FW132" s="26">
        <v>0</v>
      </c>
      <c r="FX132" s="26">
        <v>0</v>
      </c>
      <c r="FY132" s="26">
        <v>0</v>
      </c>
      <c r="FZ132" s="26">
        <v>0</v>
      </c>
      <c r="GA132" s="26">
        <v>0</v>
      </c>
      <c r="GB132" s="26">
        <v>0</v>
      </c>
      <c r="GC132" s="26">
        <v>0</v>
      </c>
      <c r="GD132" s="26">
        <v>0</v>
      </c>
      <c r="GE132" s="26">
        <v>0</v>
      </c>
      <c r="GF132" s="26">
        <v>0</v>
      </c>
      <c r="GG132" s="26">
        <v>0</v>
      </c>
      <c r="GH132" s="26">
        <v>0</v>
      </c>
      <c r="GI132" s="26">
        <v>0</v>
      </c>
      <c r="GJ132" s="26">
        <v>0</v>
      </c>
      <c r="GK132" s="26">
        <v>0</v>
      </c>
      <c r="GL132" s="26">
        <v>0</v>
      </c>
      <c r="GM132" s="26">
        <v>0</v>
      </c>
      <c r="GN132" s="26">
        <v>0</v>
      </c>
      <c r="GO132" s="26">
        <v>0</v>
      </c>
      <c r="GP132" s="26">
        <v>0</v>
      </c>
      <c r="GQ132" s="26">
        <v>0</v>
      </c>
      <c r="GR132" s="26">
        <v>0</v>
      </c>
      <c r="GS132" s="26">
        <v>0</v>
      </c>
      <c r="GT132" s="26">
        <v>0</v>
      </c>
      <c r="GU132" s="26">
        <v>0</v>
      </c>
      <c r="GV132" s="26">
        <v>0</v>
      </c>
      <c r="GW132" s="26">
        <v>0</v>
      </c>
      <c r="GX132" s="26">
        <v>0</v>
      </c>
      <c r="GY132" s="26">
        <v>0</v>
      </c>
      <c r="GZ132" s="26">
        <v>0</v>
      </c>
      <c r="HA132" s="26">
        <v>0</v>
      </c>
      <c r="HB132" s="26">
        <v>0</v>
      </c>
      <c r="HC132" s="26">
        <v>0</v>
      </c>
      <c r="HD132" s="26">
        <v>0</v>
      </c>
      <c r="HE132" s="26">
        <v>0</v>
      </c>
      <c r="HF132" s="26">
        <v>0</v>
      </c>
      <c r="HG132" s="26">
        <v>0</v>
      </c>
      <c r="HH132" s="26">
        <v>0</v>
      </c>
      <c r="HI132" s="26">
        <v>0</v>
      </c>
      <c r="HJ132" s="26">
        <v>0</v>
      </c>
      <c r="HK132" s="26">
        <v>0</v>
      </c>
      <c r="HL132" s="26">
        <v>0</v>
      </c>
      <c r="HM132" s="26">
        <v>0</v>
      </c>
      <c r="HN132" s="26">
        <v>0</v>
      </c>
      <c r="HO132" s="26">
        <v>0</v>
      </c>
      <c r="HP132" s="26">
        <v>0</v>
      </c>
      <c r="HQ132" s="26">
        <v>0</v>
      </c>
      <c r="HR132" s="26">
        <v>0</v>
      </c>
      <c r="HS132" s="26">
        <v>0</v>
      </c>
      <c r="HT132" s="26">
        <v>1.2239352903470379E-3</v>
      </c>
    </row>
    <row r="133" spans="2:228" x14ac:dyDescent="0.2">
      <c r="B133" s="27" t="s">
        <v>3476</v>
      </c>
      <c r="C133" s="26">
        <v>95767.960900000005</v>
      </c>
      <c r="D133" s="26">
        <v>-305.04675700000001</v>
      </c>
      <c r="E133" s="26">
        <v>95678.537200000006</v>
      </c>
      <c r="F133" s="26">
        <v>1.0759151199999999</v>
      </c>
      <c r="G133" s="26">
        <v>1.39521754E-5</v>
      </c>
      <c r="H133" s="26">
        <v>5.5435820699999995E-7</v>
      </c>
      <c r="I133" s="26">
        <v>2.3259784899999998E-7</v>
      </c>
      <c r="J133" s="26">
        <v>5.5684593499999999E-4</v>
      </c>
      <c r="K133" s="26">
        <v>6.7859361700000004E-5</v>
      </c>
      <c r="L133" s="26">
        <v>1.7837059100000001E-4</v>
      </c>
      <c r="M133" s="26">
        <v>0</v>
      </c>
      <c r="N133" s="26">
        <v>5.3150120300000004E-7</v>
      </c>
      <c r="O133" s="26">
        <v>1.3413180600000002E-8</v>
      </c>
      <c r="P133" s="26">
        <v>5.6279079399999998E-9</v>
      </c>
      <c r="Q133" s="26">
        <v>1.31993619E-5</v>
      </c>
      <c r="R133" s="26">
        <v>1.6085243900000001E-6</v>
      </c>
      <c r="S133" s="26">
        <v>5.7373259700000001E-6</v>
      </c>
      <c r="T133" s="26">
        <v>5.5942518500000003E-2</v>
      </c>
      <c r="U133" s="26">
        <v>1.1312220399999999</v>
      </c>
      <c r="V133" s="26">
        <v>87.071586100000005</v>
      </c>
      <c r="W133" s="26">
        <v>0</v>
      </c>
      <c r="X133" s="26">
        <v>3.54164909E-2</v>
      </c>
      <c r="Y133" s="26">
        <v>5.2811164000000002E-13</v>
      </c>
      <c r="Z133" s="26">
        <v>6.7994739599999997E-8</v>
      </c>
      <c r="AA133" s="26">
        <v>1.8451545500000001E-8</v>
      </c>
      <c r="AB133" s="26">
        <v>3.4597061800000002E-2</v>
      </c>
      <c r="AC133" s="26">
        <v>0</v>
      </c>
      <c r="AD133" s="26">
        <v>0</v>
      </c>
      <c r="AE133" s="26">
        <v>0</v>
      </c>
      <c r="AF133" s="26">
        <v>0</v>
      </c>
      <c r="AG133" s="26">
        <v>0</v>
      </c>
      <c r="AH133" s="26">
        <v>0</v>
      </c>
      <c r="AI133" s="26">
        <v>0</v>
      </c>
      <c r="AJ133" s="26">
        <v>0</v>
      </c>
      <c r="AK133" s="26">
        <v>0</v>
      </c>
      <c r="AL133" s="26">
        <v>0</v>
      </c>
      <c r="AM133" s="26">
        <v>7.7902680899999998E-6</v>
      </c>
      <c r="AN133" s="26">
        <v>3.8906672500000001E-4</v>
      </c>
      <c r="AO133" s="26">
        <v>5.8931915799999995E-4</v>
      </c>
      <c r="AP133" s="26">
        <v>0</v>
      </c>
      <c r="AQ133" s="26">
        <v>0</v>
      </c>
      <c r="AR133" s="26">
        <v>0</v>
      </c>
      <c r="AS133" s="26">
        <v>1.7019425000000001E-2</v>
      </c>
      <c r="AT133" s="26">
        <v>0</v>
      </c>
      <c r="AU133" s="26">
        <v>0</v>
      </c>
      <c r="AV133" s="26">
        <v>1.71344477E-4</v>
      </c>
      <c r="AW133" s="26">
        <v>0</v>
      </c>
      <c r="AX133" s="26">
        <v>0</v>
      </c>
      <c r="AY133" s="26">
        <v>0</v>
      </c>
      <c r="AZ133" s="26">
        <v>0</v>
      </c>
      <c r="BA133" s="26">
        <v>0</v>
      </c>
      <c r="BB133" s="26">
        <v>0</v>
      </c>
      <c r="BC133" s="26">
        <v>0</v>
      </c>
      <c r="BD133" s="26">
        <v>0</v>
      </c>
      <c r="BE133" s="26">
        <v>0</v>
      </c>
      <c r="BF133" s="26">
        <v>0</v>
      </c>
      <c r="BG133" s="26">
        <v>0</v>
      </c>
      <c r="BH133" s="26">
        <v>0</v>
      </c>
      <c r="BI133" s="26">
        <v>0</v>
      </c>
      <c r="BJ133" s="26">
        <v>0</v>
      </c>
      <c r="BK133" s="26">
        <v>0</v>
      </c>
      <c r="BL133" s="26">
        <v>0</v>
      </c>
      <c r="BM133" s="26">
        <v>0</v>
      </c>
      <c r="BN133" s="26">
        <v>0</v>
      </c>
      <c r="BO133" s="26">
        <v>5311.9075999999995</v>
      </c>
      <c r="BP133" s="26">
        <v>95767.960900000005</v>
      </c>
      <c r="BQ133" s="26">
        <v>8251064.4399999995</v>
      </c>
      <c r="BR133" s="26">
        <v>70.435567699999979</v>
      </c>
      <c r="BS133" s="26">
        <v>0.3</v>
      </c>
      <c r="BT133" s="26">
        <v>1</v>
      </c>
      <c r="BU133" s="26">
        <v>0</v>
      </c>
      <c r="BV133" s="26">
        <v>0</v>
      </c>
      <c r="BW133" s="26">
        <v>-57426.969299999997</v>
      </c>
      <c r="BX133" s="26">
        <v>-3185.2693899999999</v>
      </c>
      <c r="BY133" s="26">
        <v>-305.04675700000001</v>
      </c>
      <c r="BZ133" s="26">
        <v>-7.1633187200000004</v>
      </c>
      <c r="CA133" s="26">
        <v>-0.39732376899999999</v>
      </c>
      <c r="CB133" s="26">
        <v>1.0729742E-5</v>
      </c>
      <c r="CC133" s="26">
        <v>1.9344566700000001E-4</v>
      </c>
      <c r="CD133" s="26">
        <v>18.0289207</v>
      </c>
      <c r="CE133" s="26">
        <v>0</v>
      </c>
      <c r="CF133" s="26">
        <v>0</v>
      </c>
      <c r="CG133" s="26">
        <v>0</v>
      </c>
      <c r="CH133" s="26">
        <v>0</v>
      </c>
      <c r="CI133" s="26">
        <v>0</v>
      </c>
      <c r="CJ133" s="26">
        <v>0</v>
      </c>
      <c r="CK133" s="26">
        <v>0</v>
      </c>
      <c r="CL133" s="26">
        <v>0</v>
      </c>
      <c r="CM133" s="26">
        <v>0</v>
      </c>
      <c r="CN133" s="26">
        <v>0</v>
      </c>
      <c r="CO133" s="26">
        <v>0</v>
      </c>
      <c r="CP133" s="26">
        <v>0</v>
      </c>
      <c r="CQ133" s="26">
        <v>0</v>
      </c>
      <c r="CR133" s="26">
        <v>0</v>
      </c>
      <c r="CS133" s="26">
        <v>0</v>
      </c>
      <c r="CT133" s="26">
        <v>0</v>
      </c>
      <c r="CU133" s="26">
        <v>0</v>
      </c>
      <c r="CV133" s="26">
        <v>0</v>
      </c>
      <c r="CW133" s="26">
        <v>0</v>
      </c>
      <c r="CX133" s="26">
        <v>0</v>
      </c>
      <c r="CY133" s="26">
        <v>0</v>
      </c>
      <c r="CZ133" s="26">
        <v>0</v>
      </c>
      <c r="DA133" s="26">
        <v>0</v>
      </c>
      <c r="DB133" s="26">
        <v>0</v>
      </c>
      <c r="DC133" s="26">
        <v>0</v>
      </c>
      <c r="DD133" s="26">
        <v>0</v>
      </c>
      <c r="DE133" s="26">
        <v>0</v>
      </c>
      <c r="DF133" s="26">
        <v>0</v>
      </c>
      <c r="DG133" s="26">
        <v>0</v>
      </c>
      <c r="DH133" s="26">
        <v>0</v>
      </c>
      <c r="DI133" s="26">
        <v>0</v>
      </c>
      <c r="DJ133" s="26">
        <v>0</v>
      </c>
      <c r="DK133" s="26">
        <v>0</v>
      </c>
      <c r="DL133" s="26">
        <v>0</v>
      </c>
      <c r="DM133" s="26">
        <v>0</v>
      </c>
      <c r="DN133" s="26">
        <v>0</v>
      </c>
      <c r="DO133" s="26">
        <v>0</v>
      </c>
      <c r="DP133" s="26">
        <v>0</v>
      </c>
      <c r="DQ133" s="26">
        <v>0</v>
      </c>
      <c r="DR133" s="26">
        <v>0</v>
      </c>
      <c r="DS133" s="26">
        <v>0</v>
      </c>
      <c r="DT133" s="26">
        <v>0</v>
      </c>
      <c r="DU133" s="26">
        <v>0</v>
      </c>
      <c r="DV133" s="26">
        <v>0</v>
      </c>
      <c r="DW133" s="26">
        <v>0</v>
      </c>
      <c r="DX133" s="26">
        <v>0</v>
      </c>
      <c r="DY133" s="26">
        <v>0</v>
      </c>
      <c r="DZ133" s="26">
        <v>0</v>
      </c>
      <c r="EA133" s="26">
        <v>0</v>
      </c>
      <c r="EB133" s="26">
        <v>0</v>
      </c>
      <c r="EC133" s="26">
        <v>0</v>
      </c>
      <c r="ED133" s="26">
        <v>0</v>
      </c>
      <c r="EE133" s="26">
        <v>0</v>
      </c>
      <c r="EF133" s="26">
        <v>0</v>
      </c>
      <c r="EG133" s="26">
        <v>0</v>
      </c>
      <c r="EH133" s="26">
        <v>0</v>
      </c>
      <c r="EI133" s="26">
        <v>0</v>
      </c>
      <c r="EJ133" s="26">
        <v>0</v>
      </c>
      <c r="EK133" s="26">
        <v>0</v>
      </c>
      <c r="EL133" s="26">
        <v>0</v>
      </c>
      <c r="EM133" s="26">
        <v>0</v>
      </c>
      <c r="EN133" s="26">
        <v>0</v>
      </c>
      <c r="EO133" s="26">
        <v>0</v>
      </c>
      <c r="EP133" s="26">
        <v>0</v>
      </c>
      <c r="EQ133" s="26">
        <v>0</v>
      </c>
      <c r="ER133" s="26">
        <v>0</v>
      </c>
      <c r="ES133" s="26">
        <v>0</v>
      </c>
      <c r="ET133" s="26">
        <v>0.3</v>
      </c>
      <c r="EU133" s="26">
        <v>0</v>
      </c>
      <c r="EV133" s="26">
        <v>0</v>
      </c>
      <c r="EW133" s="26">
        <v>0</v>
      </c>
      <c r="EX133" s="26">
        <v>0</v>
      </c>
      <c r="EY133" s="26">
        <v>0</v>
      </c>
      <c r="EZ133" s="26">
        <v>0</v>
      </c>
      <c r="FA133" s="26">
        <v>0</v>
      </c>
      <c r="FB133" s="26">
        <v>0</v>
      </c>
      <c r="FC133" s="26">
        <v>0</v>
      </c>
      <c r="FD133" s="26">
        <v>0</v>
      </c>
      <c r="FE133" s="26">
        <v>0</v>
      </c>
      <c r="FF133" s="26">
        <v>0</v>
      </c>
      <c r="FG133" s="26">
        <v>1.5568160599999999E-3</v>
      </c>
      <c r="FH133" s="26">
        <v>-357578735.14700001</v>
      </c>
      <c r="FI133" s="26">
        <v>1.2877795353022363E-3</v>
      </c>
      <c r="FJ133" s="26">
        <v>1.4752683090243688</v>
      </c>
      <c r="FK133" s="26">
        <v>6.4873354130097944E-6</v>
      </c>
      <c r="FL133" s="26">
        <v>2.1512290338764988E-11</v>
      </c>
      <c r="FM133" s="26">
        <v>8.5474231239349401E-13</v>
      </c>
      <c r="FN133" s="26">
        <v>3.5863313898017625E-13</v>
      </c>
      <c r="FO133" s="26">
        <v>1.0302936471312381E-9</v>
      </c>
      <c r="FP133" s="26">
        <v>1.2555549905999954E-10</v>
      </c>
      <c r="FQ133" s="26">
        <v>1.4474839365798716E-10</v>
      </c>
      <c r="FR133" s="26">
        <v>0</v>
      </c>
      <c r="FS133" s="26">
        <v>9.1055284895108957E-13</v>
      </c>
      <c r="FT133" s="26">
        <v>2.2979082128277102E-14</v>
      </c>
      <c r="FU133" s="26">
        <v>9.6415729104659167E-15</v>
      </c>
      <c r="FV133" s="26">
        <v>2.7752021805349508E-11</v>
      </c>
      <c r="FW133" s="26">
        <v>3.3819668048335125E-12</v>
      </c>
      <c r="FX133" s="26">
        <v>8.8461489318803038E-12</v>
      </c>
      <c r="FY133" s="26">
        <v>1.0213353387262383E-7</v>
      </c>
      <c r="FZ133" s="26">
        <v>2.4917004866002707E-6</v>
      </c>
      <c r="GA133" s="26">
        <v>2.5171890451375123E-4</v>
      </c>
      <c r="GB133" s="26">
        <v>0</v>
      </c>
      <c r="GC133" s="26">
        <v>1.0921448615149367E-7</v>
      </c>
      <c r="GD133" s="26">
        <v>9.6418206882456773E-19</v>
      </c>
      <c r="GE133" s="26">
        <v>2.0508697802958472E-13</v>
      </c>
      <c r="GF133" s="26">
        <v>4.3403017291668587E-14</v>
      </c>
      <c r="GG133" s="26">
        <v>5.6429706562548765E-7</v>
      </c>
      <c r="GH133" s="26">
        <v>0</v>
      </c>
      <c r="GI133" s="26">
        <v>0</v>
      </c>
      <c r="GJ133" s="26">
        <v>0</v>
      </c>
      <c r="GK133" s="26">
        <v>0</v>
      </c>
      <c r="GL133" s="26">
        <v>0</v>
      </c>
      <c r="GM133" s="26">
        <v>0</v>
      </c>
      <c r="GN133" s="26">
        <v>0</v>
      </c>
      <c r="GO133" s="26">
        <v>0</v>
      </c>
      <c r="GP133" s="26">
        <v>0</v>
      </c>
      <c r="GQ133" s="26">
        <v>0</v>
      </c>
      <c r="GR133" s="26">
        <v>7.6609487557320346E-12</v>
      </c>
      <c r="GS133" s="26">
        <v>3.3774419992417584E-9</v>
      </c>
      <c r="GT133" s="26">
        <v>5.8436069911933006E-9</v>
      </c>
      <c r="GU133" s="26">
        <v>0</v>
      </c>
      <c r="GV133" s="26">
        <v>0</v>
      </c>
      <c r="GW133" s="26">
        <v>0</v>
      </c>
      <c r="GX133" s="26">
        <v>1.0742194030381997E-7</v>
      </c>
      <c r="GY133" s="26">
        <v>0</v>
      </c>
      <c r="GZ133" s="26">
        <v>0</v>
      </c>
      <c r="HA133" s="26">
        <v>7.4293041427677668E-10</v>
      </c>
      <c r="HB133" s="26">
        <v>0</v>
      </c>
      <c r="HC133" s="26">
        <v>0</v>
      </c>
      <c r="HD133" s="26">
        <v>0</v>
      </c>
      <c r="HE133" s="26">
        <v>0</v>
      </c>
      <c r="HF133" s="26">
        <v>0</v>
      </c>
      <c r="HG133" s="26">
        <v>0</v>
      </c>
      <c r="HH133" s="26">
        <v>0</v>
      </c>
      <c r="HI133" s="26">
        <v>0</v>
      </c>
      <c r="HJ133" s="26">
        <v>0</v>
      </c>
      <c r="HK133" s="26">
        <v>0</v>
      </c>
      <c r="HL133" s="26">
        <v>0</v>
      </c>
      <c r="HM133" s="26">
        <v>0</v>
      </c>
      <c r="HN133" s="26">
        <v>0</v>
      </c>
      <c r="HO133" s="26">
        <v>0</v>
      </c>
      <c r="HP133" s="26">
        <v>0</v>
      </c>
      <c r="HQ133" s="26">
        <v>0</v>
      </c>
      <c r="HR133" s="26">
        <v>0</v>
      </c>
      <c r="HS133" s="26">
        <v>0</v>
      </c>
      <c r="HT133" s="26">
        <v>0</v>
      </c>
    </row>
    <row r="134" spans="2:228" x14ac:dyDescent="0.2">
      <c r="B134" s="27" t="s">
        <v>3484</v>
      </c>
      <c r="C134" s="26">
        <v>95767.960900000005</v>
      </c>
      <c r="D134" s="26">
        <v>-358.37420800000001</v>
      </c>
      <c r="E134" s="26">
        <v>95678.537200000006</v>
      </c>
      <c r="F134" s="26">
        <v>1.0759151199999999</v>
      </c>
      <c r="G134" s="26">
        <v>1.39521754E-5</v>
      </c>
      <c r="H134" s="26">
        <v>5.5435820699999995E-7</v>
      </c>
      <c r="I134" s="26">
        <v>2.3259784899999998E-7</v>
      </c>
      <c r="J134" s="26">
        <v>5.5684593499999999E-4</v>
      </c>
      <c r="K134" s="26">
        <v>6.7859361700000004E-5</v>
      </c>
      <c r="L134" s="26">
        <v>1.7837059100000001E-4</v>
      </c>
      <c r="M134" s="26">
        <v>0</v>
      </c>
      <c r="N134" s="26">
        <v>5.3150120300000004E-7</v>
      </c>
      <c r="O134" s="26">
        <v>1.3413180600000002E-8</v>
      </c>
      <c r="P134" s="26">
        <v>5.6279079399999998E-9</v>
      </c>
      <c r="Q134" s="26">
        <v>1.31993619E-5</v>
      </c>
      <c r="R134" s="26">
        <v>1.6085243900000001E-6</v>
      </c>
      <c r="S134" s="26">
        <v>5.7373259700000001E-6</v>
      </c>
      <c r="T134" s="26">
        <v>5.5942518500000003E-2</v>
      </c>
      <c r="U134" s="26">
        <v>1.1312220399999999</v>
      </c>
      <c r="V134" s="26">
        <v>87.071586100000005</v>
      </c>
      <c r="W134" s="26">
        <v>0</v>
      </c>
      <c r="X134" s="26">
        <v>3.54164909E-2</v>
      </c>
      <c r="Y134" s="26">
        <v>5.2811164000000002E-13</v>
      </c>
      <c r="Z134" s="26">
        <v>6.7994739599999997E-8</v>
      </c>
      <c r="AA134" s="26">
        <v>1.8451545500000001E-8</v>
      </c>
      <c r="AB134" s="26">
        <v>3.4597061800000002E-2</v>
      </c>
      <c r="AC134" s="26">
        <v>0</v>
      </c>
      <c r="AD134" s="26">
        <v>0</v>
      </c>
      <c r="AE134" s="26">
        <v>0</v>
      </c>
      <c r="AF134" s="26">
        <v>0</v>
      </c>
      <c r="AG134" s="26">
        <v>0</v>
      </c>
      <c r="AH134" s="26">
        <v>0</v>
      </c>
      <c r="AI134" s="26">
        <v>0</v>
      </c>
      <c r="AJ134" s="26">
        <v>0</v>
      </c>
      <c r="AK134" s="26">
        <v>0</v>
      </c>
      <c r="AL134" s="26">
        <v>0</v>
      </c>
      <c r="AM134" s="26">
        <v>7.7902680899999998E-6</v>
      </c>
      <c r="AN134" s="26">
        <v>3.8906672500000001E-4</v>
      </c>
      <c r="AO134" s="26">
        <v>5.8931915799999995E-4</v>
      </c>
      <c r="AP134" s="26">
        <v>0</v>
      </c>
      <c r="AQ134" s="26">
        <v>0</v>
      </c>
      <c r="AR134" s="26">
        <v>0</v>
      </c>
      <c r="AS134" s="26">
        <v>1.7019425000000001E-2</v>
      </c>
      <c r="AT134" s="26">
        <v>0</v>
      </c>
      <c r="AU134" s="26">
        <v>0</v>
      </c>
      <c r="AV134" s="26">
        <v>1.71344477E-4</v>
      </c>
      <c r="AW134" s="26">
        <v>0</v>
      </c>
      <c r="AX134" s="26">
        <v>0</v>
      </c>
      <c r="AY134" s="26">
        <v>0</v>
      </c>
      <c r="AZ134" s="26">
        <v>0</v>
      </c>
      <c r="BA134" s="26">
        <v>0</v>
      </c>
      <c r="BB134" s="26">
        <v>0</v>
      </c>
      <c r="BC134" s="26">
        <v>0</v>
      </c>
      <c r="BD134" s="26">
        <v>0</v>
      </c>
      <c r="BE134" s="26">
        <v>0</v>
      </c>
      <c r="BF134" s="26">
        <v>0</v>
      </c>
      <c r="BG134" s="26">
        <v>0</v>
      </c>
      <c r="BH134" s="26">
        <v>0</v>
      </c>
      <c r="BI134" s="26">
        <v>0</v>
      </c>
      <c r="BJ134" s="26">
        <v>0</v>
      </c>
      <c r="BK134" s="26">
        <v>0</v>
      </c>
      <c r="BL134" s="26">
        <v>0</v>
      </c>
      <c r="BM134" s="26">
        <v>0</v>
      </c>
      <c r="BN134" s="26">
        <v>0</v>
      </c>
      <c r="BO134" s="26">
        <v>5311.9075999999995</v>
      </c>
      <c r="BP134" s="26">
        <v>95767.960900000005</v>
      </c>
      <c r="BQ134" s="26">
        <v>1679.66893</v>
      </c>
      <c r="BR134" s="26">
        <v>69.311201400000016</v>
      </c>
      <c r="BS134" s="26">
        <v>0.3</v>
      </c>
      <c r="BT134" s="26">
        <v>0</v>
      </c>
      <c r="BU134" s="26">
        <v>1</v>
      </c>
      <c r="BV134" s="26">
        <v>0</v>
      </c>
      <c r="BW134" s="26">
        <v>-67466.197199999995</v>
      </c>
      <c r="BX134" s="26">
        <v>-3742.1095999999998</v>
      </c>
      <c r="BY134" s="26">
        <v>-358.37420800000001</v>
      </c>
      <c r="BZ134" s="26">
        <v>-36.487088300000003</v>
      </c>
      <c r="CA134" s="26">
        <v>-2.0238087999999999</v>
      </c>
      <c r="CB134" s="26">
        <v>5.27078822E-2</v>
      </c>
      <c r="CC134" s="26">
        <v>0.95026622900000002</v>
      </c>
      <c r="CD134" s="26">
        <v>18.0289207</v>
      </c>
      <c r="CE134" s="26">
        <v>0</v>
      </c>
      <c r="CF134" s="26">
        <v>0</v>
      </c>
      <c r="CG134" s="26">
        <v>0</v>
      </c>
      <c r="CH134" s="26">
        <v>0</v>
      </c>
      <c r="CI134" s="26">
        <v>0</v>
      </c>
      <c r="CJ134" s="26">
        <v>0</v>
      </c>
      <c r="CK134" s="26">
        <v>0</v>
      </c>
      <c r="CL134" s="26">
        <v>0</v>
      </c>
      <c r="CM134" s="26">
        <v>0</v>
      </c>
      <c r="CN134" s="26">
        <v>0</v>
      </c>
      <c r="CO134" s="26">
        <v>0</v>
      </c>
      <c r="CP134" s="26">
        <v>0</v>
      </c>
      <c r="CQ134" s="26">
        <v>0</v>
      </c>
      <c r="CR134" s="26">
        <v>0</v>
      </c>
      <c r="CS134" s="26">
        <v>0</v>
      </c>
      <c r="CT134" s="26">
        <v>0</v>
      </c>
      <c r="CU134" s="26">
        <v>0</v>
      </c>
      <c r="CV134" s="26">
        <v>0</v>
      </c>
      <c r="CW134" s="26">
        <v>0</v>
      </c>
      <c r="CX134" s="26">
        <v>0</v>
      </c>
      <c r="CY134" s="26">
        <v>0</v>
      </c>
      <c r="CZ134" s="26">
        <v>0</v>
      </c>
      <c r="DA134" s="26">
        <v>0</v>
      </c>
      <c r="DB134" s="26">
        <v>0</v>
      </c>
      <c r="DC134" s="26">
        <v>0</v>
      </c>
      <c r="DD134" s="26">
        <v>0</v>
      </c>
      <c r="DE134" s="26">
        <v>0</v>
      </c>
      <c r="DF134" s="26">
        <v>0</v>
      </c>
      <c r="DG134" s="26">
        <v>0</v>
      </c>
      <c r="DH134" s="26">
        <v>0</v>
      </c>
      <c r="DI134" s="26">
        <v>0</v>
      </c>
      <c r="DJ134" s="26">
        <v>0</v>
      </c>
      <c r="DK134" s="26">
        <v>0</v>
      </c>
      <c r="DL134" s="26">
        <v>0</v>
      </c>
      <c r="DM134" s="26">
        <v>0</v>
      </c>
      <c r="DN134" s="26">
        <v>0</v>
      </c>
      <c r="DO134" s="26">
        <v>0</v>
      </c>
      <c r="DP134" s="26">
        <v>0</v>
      </c>
      <c r="DQ134" s="26">
        <v>0</v>
      </c>
      <c r="DR134" s="26">
        <v>0</v>
      </c>
      <c r="DS134" s="26">
        <v>0</v>
      </c>
      <c r="DT134" s="26">
        <v>0</v>
      </c>
      <c r="DU134" s="26">
        <v>0</v>
      </c>
      <c r="DV134" s="26">
        <v>0</v>
      </c>
      <c r="DW134" s="26">
        <v>0</v>
      </c>
      <c r="DX134" s="26">
        <v>0</v>
      </c>
      <c r="DY134" s="26">
        <v>0</v>
      </c>
      <c r="DZ134" s="26">
        <v>0</v>
      </c>
      <c r="EA134" s="26">
        <v>0</v>
      </c>
      <c r="EB134" s="26">
        <v>0</v>
      </c>
      <c r="EC134" s="26">
        <v>0</v>
      </c>
      <c r="ED134" s="26">
        <v>0</v>
      </c>
      <c r="EE134" s="26">
        <v>0</v>
      </c>
      <c r="EF134" s="26">
        <v>0</v>
      </c>
      <c r="EG134" s="26">
        <v>0</v>
      </c>
      <c r="EH134" s="26">
        <v>0</v>
      </c>
      <c r="EI134" s="26">
        <v>0</v>
      </c>
      <c r="EJ134" s="26">
        <v>0</v>
      </c>
      <c r="EK134" s="26">
        <v>0</v>
      </c>
      <c r="EL134" s="26">
        <v>0</v>
      </c>
      <c r="EM134" s="26">
        <v>0</v>
      </c>
      <c r="EN134" s="26">
        <v>0</v>
      </c>
      <c r="EO134" s="26">
        <v>0</v>
      </c>
      <c r="EP134" s="26">
        <v>0</v>
      </c>
      <c r="EQ134" s="26">
        <v>0</v>
      </c>
      <c r="ER134" s="26">
        <v>0</v>
      </c>
      <c r="ES134" s="26">
        <v>0</v>
      </c>
      <c r="ET134" s="26">
        <v>0.3</v>
      </c>
      <c r="EU134" s="26">
        <v>0</v>
      </c>
      <c r="EV134" s="26">
        <v>0</v>
      </c>
      <c r="EW134" s="26">
        <v>0</v>
      </c>
      <c r="EX134" s="26">
        <v>0</v>
      </c>
      <c r="EY134" s="26">
        <v>0</v>
      </c>
      <c r="EZ134" s="26">
        <v>0</v>
      </c>
      <c r="FA134" s="26">
        <v>0</v>
      </c>
      <c r="FB134" s="26">
        <v>0</v>
      </c>
      <c r="FC134" s="26">
        <v>0</v>
      </c>
      <c r="FD134" s="26">
        <v>0</v>
      </c>
      <c r="FE134" s="26">
        <v>0</v>
      </c>
      <c r="FF134" s="26">
        <v>0</v>
      </c>
      <c r="FG134" s="26">
        <v>1.5568160599999999E-3</v>
      </c>
      <c r="FH134" s="26">
        <v>-421496853.454</v>
      </c>
      <c r="FI134" s="26">
        <v>1.2877795353022363E-3</v>
      </c>
      <c r="FJ134" s="26">
        <v>0</v>
      </c>
      <c r="FK134" s="26">
        <v>0</v>
      </c>
      <c r="FL134" s="26">
        <v>0</v>
      </c>
      <c r="FM134" s="26">
        <v>0</v>
      </c>
      <c r="FN134" s="26">
        <v>0</v>
      </c>
      <c r="FO134" s="26">
        <v>0</v>
      </c>
      <c r="FP134" s="26">
        <v>0</v>
      </c>
      <c r="FQ134" s="26">
        <v>0</v>
      </c>
      <c r="FR134" s="26">
        <v>0</v>
      </c>
      <c r="FS134" s="26">
        <v>0</v>
      </c>
      <c r="FT134" s="26">
        <v>0</v>
      </c>
      <c r="FU134" s="26">
        <v>0</v>
      </c>
      <c r="FV134" s="26">
        <v>0</v>
      </c>
      <c r="FW134" s="26">
        <v>0</v>
      </c>
      <c r="FX134" s="26">
        <v>0</v>
      </c>
      <c r="FY134" s="26">
        <v>0</v>
      </c>
      <c r="FZ134" s="26">
        <v>0</v>
      </c>
      <c r="GA134" s="26">
        <v>0</v>
      </c>
      <c r="GB134" s="26">
        <v>0</v>
      </c>
      <c r="GC134" s="26">
        <v>0</v>
      </c>
      <c r="GD134" s="26">
        <v>0</v>
      </c>
      <c r="GE134" s="26">
        <v>0</v>
      </c>
      <c r="GF134" s="26">
        <v>0</v>
      </c>
      <c r="GG134" s="26">
        <v>0</v>
      </c>
      <c r="GH134" s="26">
        <v>0</v>
      </c>
      <c r="GI134" s="26">
        <v>0</v>
      </c>
      <c r="GJ134" s="26">
        <v>0</v>
      </c>
      <c r="GK134" s="26">
        <v>0</v>
      </c>
      <c r="GL134" s="26">
        <v>0</v>
      </c>
      <c r="GM134" s="26">
        <v>0</v>
      </c>
      <c r="GN134" s="26">
        <v>0</v>
      </c>
      <c r="GO134" s="26">
        <v>0</v>
      </c>
      <c r="GP134" s="26">
        <v>0</v>
      </c>
      <c r="GQ134" s="26">
        <v>0</v>
      </c>
      <c r="GR134" s="26">
        <v>0</v>
      </c>
      <c r="GS134" s="26">
        <v>0</v>
      </c>
      <c r="GT134" s="26">
        <v>0</v>
      </c>
      <c r="GU134" s="26">
        <v>0</v>
      </c>
      <c r="GV134" s="26">
        <v>0</v>
      </c>
      <c r="GW134" s="26">
        <v>0</v>
      </c>
      <c r="GX134" s="26">
        <v>0</v>
      </c>
      <c r="GY134" s="26">
        <v>0</v>
      </c>
      <c r="GZ134" s="26">
        <v>0</v>
      </c>
      <c r="HA134" s="26">
        <v>0</v>
      </c>
      <c r="HB134" s="26">
        <v>0</v>
      </c>
      <c r="HC134" s="26">
        <v>0</v>
      </c>
      <c r="HD134" s="26">
        <v>0</v>
      </c>
      <c r="HE134" s="26">
        <v>0</v>
      </c>
      <c r="HF134" s="26">
        <v>0</v>
      </c>
      <c r="HG134" s="26">
        <v>0</v>
      </c>
      <c r="HH134" s="26">
        <v>0</v>
      </c>
      <c r="HI134" s="26">
        <v>0</v>
      </c>
      <c r="HJ134" s="26">
        <v>0</v>
      </c>
      <c r="HK134" s="26">
        <v>0</v>
      </c>
      <c r="HL134" s="26">
        <v>0</v>
      </c>
      <c r="HM134" s="26">
        <v>0</v>
      </c>
      <c r="HN134" s="26">
        <v>0</v>
      </c>
      <c r="HO134" s="26">
        <v>0</v>
      </c>
      <c r="HP134" s="26">
        <v>0</v>
      </c>
      <c r="HQ134" s="26">
        <v>0</v>
      </c>
      <c r="HR134" s="26">
        <v>0</v>
      </c>
      <c r="HS134" s="26">
        <v>0</v>
      </c>
      <c r="HT134" s="26">
        <v>0</v>
      </c>
    </row>
    <row r="135" spans="2:228" x14ac:dyDescent="0.2">
      <c r="B135" s="27" t="s">
        <v>3486</v>
      </c>
      <c r="C135" s="26">
        <v>95926.926900000006</v>
      </c>
      <c r="D135" s="26">
        <v>-283.54286300000001</v>
      </c>
      <c r="E135" s="26">
        <v>63781.617100000003</v>
      </c>
      <c r="F135" s="26">
        <v>0.85233762400000002</v>
      </c>
      <c r="G135" s="26">
        <v>4304.8376200000002</v>
      </c>
      <c r="H135" s="26">
        <v>171.04300900000001</v>
      </c>
      <c r="I135" s="26">
        <v>71.766297399999999</v>
      </c>
      <c r="J135" s="26">
        <v>2389.0651499999999</v>
      </c>
      <c r="K135" s="26">
        <v>291.140558</v>
      </c>
      <c r="L135" s="26">
        <v>48.007393100000002</v>
      </c>
      <c r="M135" s="26">
        <v>0</v>
      </c>
      <c r="N135" s="26">
        <v>164.306658</v>
      </c>
      <c r="O135" s="26">
        <v>4.1465096700000004</v>
      </c>
      <c r="P135" s="26">
        <v>1.73979427</v>
      </c>
      <c r="Q135" s="26">
        <v>56.629910600000002</v>
      </c>
      <c r="R135" s="26">
        <v>6.9011360599999998</v>
      </c>
      <c r="S135" s="26">
        <v>1770.2083</v>
      </c>
      <c r="T135" s="26">
        <v>95.198250999999999</v>
      </c>
      <c r="U135" s="26">
        <v>53.544520599999998</v>
      </c>
      <c r="V135" s="26">
        <v>48.732790299999998</v>
      </c>
      <c r="W135" s="26">
        <v>0</v>
      </c>
      <c r="X135" s="26">
        <v>6.0555860099999999</v>
      </c>
      <c r="Y135" s="26">
        <v>6.9949660699999999E-6</v>
      </c>
      <c r="Z135" s="26">
        <v>4.45461753E-4</v>
      </c>
      <c r="AA135" s="26">
        <v>4.3622450199999998E-4</v>
      </c>
      <c r="AB135" s="26">
        <v>2.9183404699999999E-2</v>
      </c>
      <c r="AC135" s="26">
        <v>0</v>
      </c>
      <c r="AD135" s="26">
        <v>359.825917</v>
      </c>
      <c r="AE135" s="26">
        <v>269.84217899999999</v>
      </c>
      <c r="AF135" s="26">
        <v>0</v>
      </c>
      <c r="AG135" s="26">
        <v>0</v>
      </c>
      <c r="AH135" s="26">
        <v>0</v>
      </c>
      <c r="AI135" s="26">
        <v>0</v>
      </c>
      <c r="AJ135" s="26">
        <v>0</v>
      </c>
      <c r="AK135" s="26">
        <v>0</v>
      </c>
      <c r="AL135" s="26">
        <v>0</v>
      </c>
      <c r="AM135" s="26">
        <v>1.9368490599999997</v>
      </c>
      <c r="AN135" s="26">
        <v>1.14283788E-2</v>
      </c>
      <c r="AO135" s="26">
        <v>2.5333679899999999E-2</v>
      </c>
      <c r="AP135" s="26">
        <v>0</v>
      </c>
      <c r="AQ135" s="26">
        <v>0</v>
      </c>
      <c r="AR135" s="26">
        <v>0</v>
      </c>
      <c r="AS135" s="26">
        <v>0.12371399</v>
      </c>
      <c r="AT135" s="26">
        <v>0</v>
      </c>
      <c r="AU135" s="26">
        <v>0</v>
      </c>
      <c r="AV135" s="26">
        <v>3.1393840799999998E-4</v>
      </c>
      <c r="AW135" s="26">
        <v>0</v>
      </c>
      <c r="AX135" s="26">
        <v>0</v>
      </c>
      <c r="AY135" s="26">
        <v>0</v>
      </c>
      <c r="AZ135" s="26">
        <v>0</v>
      </c>
      <c r="BA135" s="26">
        <v>0</v>
      </c>
      <c r="BB135" s="26">
        <v>0</v>
      </c>
      <c r="BC135" s="26">
        <v>0</v>
      </c>
      <c r="BD135" s="26">
        <v>0</v>
      </c>
      <c r="BE135" s="26">
        <v>0</v>
      </c>
      <c r="BF135" s="26">
        <v>0</v>
      </c>
      <c r="BG135" s="26">
        <v>0</v>
      </c>
      <c r="BH135" s="26">
        <v>0</v>
      </c>
      <c r="BI135" s="26">
        <v>0</v>
      </c>
      <c r="BJ135" s="26">
        <v>0</v>
      </c>
      <c r="BK135" s="26">
        <v>0</v>
      </c>
      <c r="BL135" s="26">
        <v>0</v>
      </c>
      <c r="BM135" s="26">
        <v>0</v>
      </c>
      <c r="BN135" s="26">
        <v>0</v>
      </c>
      <c r="BO135" s="26">
        <v>3602.8889599999998</v>
      </c>
      <c r="BP135" s="26">
        <v>73897.588799999998</v>
      </c>
      <c r="BQ135" s="26">
        <v>1159.5494100000001</v>
      </c>
      <c r="BR135" s="26">
        <v>30.82569060000003</v>
      </c>
      <c r="BS135" s="26">
        <v>1</v>
      </c>
      <c r="BT135" s="26">
        <v>0</v>
      </c>
      <c r="BU135" s="26">
        <v>1</v>
      </c>
      <c r="BV135" s="26">
        <v>0</v>
      </c>
      <c r="BW135" s="26">
        <v>-71626.721600000004</v>
      </c>
      <c r="BX135" s="26">
        <v>-3492.1724599999998</v>
      </c>
      <c r="BY135" s="26">
        <v>-258.06312600000001</v>
      </c>
      <c r="BZ135" s="26">
        <v>-41.752806300000003</v>
      </c>
      <c r="CA135" s="26">
        <v>-2.0356648599999998</v>
      </c>
      <c r="CB135" s="26">
        <v>5.1785761E-2</v>
      </c>
      <c r="CC135" s="26">
        <v>1.0621595399999999</v>
      </c>
      <c r="CD135" s="26">
        <v>20.510648400000001</v>
      </c>
      <c r="CE135" s="26">
        <v>0</v>
      </c>
      <c r="CF135" s="26">
        <v>0</v>
      </c>
      <c r="CG135" s="26">
        <v>0</v>
      </c>
      <c r="CH135" s="26">
        <v>0</v>
      </c>
      <c r="CI135" s="26">
        <v>0</v>
      </c>
      <c r="CJ135" s="26">
        <v>0</v>
      </c>
      <c r="CK135" s="26">
        <v>0</v>
      </c>
      <c r="CL135" s="26">
        <v>0</v>
      </c>
      <c r="CM135" s="26">
        <v>0</v>
      </c>
      <c r="CN135" s="26">
        <v>0</v>
      </c>
      <c r="CO135" s="26">
        <v>0</v>
      </c>
      <c r="CP135" s="26">
        <v>0</v>
      </c>
      <c r="CQ135" s="26">
        <v>0</v>
      </c>
      <c r="CR135" s="26">
        <v>0</v>
      </c>
      <c r="CS135" s="26">
        <v>0</v>
      </c>
      <c r="CT135" s="26">
        <v>0</v>
      </c>
      <c r="CU135" s="26">
        <v>0</v>
      </c>
      <c r="CV135" s="26">
        <v>0</v>
      </c>
      <c r="CW135" s="26">
        <v>0</v>
      </c>
      <c r="CX135" s="26">
        <v>0</v>
      </c>
      <c r="CY135" s="26">
        <v>0</v>
      </c>
      <c r="CZ135" s="26">
        <v>0</v>
      </c>
      <c r="DA135" s="26">
        <v>0</v>
      </c>
      <c r="DB135" s="26">
        <v>0</v>
      </c>
      <c r="DC135" s="26">
        <v>0</v>
      </c>
      <c r="DD135" s="26">
        <v>0</v>
      </c>
      <c r="DE135" s="26">
        <v>0</v>
      </c>
      <c r="DF135" s="26">
        <v>0</v>
      </c>
      <c r="DG135" s="26">
        <v>0</v>
      </c>
      <c r="DH135" s="26">
        <v>0</v>
      </c>
      <c r="DI135" s="26">
        <v>0</v>
      </c>
      <c r="DJ135" s="26">
        <v>0</v>
      </c>
      <c r="DK135" s="26">
        <v>0</v>
      </c>
      <c r="DL135" s="26">
        <v>0</v>
      </c>
      <c r="DM135" s="26">
        <v>0</v>
      </c>
      <c r="DN135" s="26">
        <v>0</v>
      </c>
      <c r="DO135" s="26">
        <v>0</v>
      </c>
      <c r="DP135" s="26">
        <v>0</v>
      </c>
      <c r="DQ135" s="26">
        <v>0</v>
      </c>
      <c r="DR135" s="26">
        <v>0</v>
      </c>
      <c r="DS135" s="26">
        <v>0</v>
      </c>
      <c r="DT135" s="26">
        <v>0</v>
      </c>
      <c r="DU135" s="26">
        <v>0</v>
      </c>
      <c r="DV135" s="26">
        <v>0</v>
      </c>
      <c r="DW135" s="26">
        <v>0</v>
      </c>
      <c r="DX135" s="26">
        <v>1248.3684499999999</v>
      </c>
      <c r="DY135" s="26">
        <v>30.824772200000002</v>
      </c>
      <c r="DZ135" s="26">
        <v>12.9334709</v>
      </c>
      <c r="EA135" s="26">
        <v>420.98447599999997</v>
      </c>
      <c r="EB135" s="26">
        <v>51.302767699999997</v>
      </c>
      <c r="EC135" s="26">
        <v>12412.8158</v>
      </c>
      <c r="ED135" s="26">
        <v>0</v>
      </c>
      <c r="EE135" s="26">
        <v>2611.0290100000002</v>
      </c>
      <c r="EF135" s="26">
        <v>4087.3084199999998</v>
      </c>
      <c r="EG135" s="26">
        <v>518.19918800000005</v>
      </c>
      <c r="EH135" s="26">
        <v>57.577770599999994</v>
      </c>
      <c r="EI135" s="26">
        <v>0</v>
      </c>
      <c r="EJ135" s="26">
        <v>107.263217</v>
      </c>
      <c r="EK135" s="26">
        <v>0</v>
      </c>
      <c r="EL135" s="26">
        <v>470.73083400000002</v>
      </c>
      <c r="EM135" s="26">
        <v>0</v>
      </c>
      <c r="EN135" s="26">
        <v>0</v>
      </c>
      <c r="EO135" s="26">
        <v>0</v>
      </c>
      <c r="EP135" s="26">
        <v>311.94750299999998</v>
      </c>
      <c r="EQ135" s="26">
        <v>22029.338100000001</v>
      </c>
      <c r="ER135" s="26">
        <v>266.01619599999998</v>
      </c>
      <c r="ES135" s="26">
        <v>30.82569060000003</v>
      </c>
      <c r="ET135" s="26">
        <v>1</v>
      </c>
      <c r="EU135" s="26">
        <v>0</v>
      </c>
      <c r="EV135" s="26">
        <v>0</v>
      </c>
      <c r="EW135" s="26">
        <v>1</v>
      </c>
      <c r="EX135" s="26">
        <v>-81679.565700000006</v>
      </c>
      <c r="EY135" s="26">
        <v>-1156.62742</v>
      </c>
      <c r="EZ135" s="26">
        <v>-25.479736800000001</v>
      </c>
      <c r="FA135" s="26">
        <v>-157.93943899999999</v>
      </c>
      <c r="FB135" s="26">
        <v>-2.2365090300000001</v>
      </c>
      <c r="FC135" s="26">
        <v>1.95443927E-2</v>
      </c>
      <c r="FD135" s="26">
        <v>1.3802002899999999</v>
      </c>
      <c r="FE135" s="26">
        <v>70.618735200000003</v>
      </c>
      <c r="FF135" s="26">
        <v>0</v>
      </c>
      <c r="FG135" s="26">
        <v>0.41689384699999998</v>
      </c>
      <c r="FH135" s="26">
        <v>-330232645.13199997</v>
      </c>
      <c r="FI135" s="26">
        <v>9.0975921283362918E-2</v>
      </c>
      <c r="FJ135" s="26">
        <v>0</v>
      </c>
      <c r="FK135" s="26">
        <v>0</v>
      </c>
      <c r="FL135" s="26">
        <v>0</v>
      </c>
      <c r="FM135" s="26">
        <v>0</v>
      </c>
      <c r="FN135" s="26">
        <v>0</v>
      </c>
      <c r="FO135" s="26">
        <v>0</v>
      </c>
      <c r="FP135" s="26">
        <v>0</v>
      </c>
      <c r="FQ135" s="26">
        <v>0</v>
      </c>
      <c r="FR135" s="26">
        <v>0</v>
      </c>
      <c r="FS135" s="26">
        <v>0</v>
      </c>
      <c r="FT135" s="26">
        <v>0</v>
      </c>
      <c r="FU135" s="26">
        <v>0</v>
      </c>
      <c r="FV135" s="26">
        <v>0</v>
      </c>
      <c r="FW135" s="26">
        <v>0</v>
      </c>
      <c r="FX135" s="26">
        <v>0</v>
      </c>
      <c r="FY135" s="26">
        <v>0</v>
      </c>
      <c r="FZ135" s="26">
        <v>0</v>
      </c>
      <c r="GA135" s="26">
        <v>0</v>
      </c>
      <c r="GB135" s="26">
        <v>0</v>
      </c>
      <c r="GC135" s="26">
        <v>0</v>
      </c>
      <c r="GD135" s="26">
        <v>0</v>
      </c>
      <c r="GE135" s="26">
        <v>0</v>
      </c>
      <c r="GF135" s="26">
        <v>0</v>
      </c>
      <c r="GG135" s="26">
        <v>0</v>
      </c>
      <c r="GH135" s="26">
        <v>0</v>
      </c>
      <c r="GI135" s="26">
        <v>0</v>
      </c>
      <c r="GJ135" s="26">
        <v>0</v>
      </c>
      <c r="GK135" s="26">
        <v>0</v>
      </c>
      <c r="GL135" s="26">
        <v>0</v>
      </c>
      <c r="GM135" s="26">
        <v>0</v>
      </c>
      <c r="GN135" s="26">
        <v>0</v>
      </c>
      <c r="GO135" s="26">
        <v>0</v>
      </c>
      <c r="GP135" s="26">
        <v>0</v>
      </c>
      <c r="GQ135" s="26">
        <v>0</v>
      </c>
      <c r="GR135" s="26">
        <v>0</v>
      </c>
      <c r="GS135" s="26">
        <v>0</v>
      </c>
      <c r="GT135" s="26">
        <v>0</v>
      </c>
      <c r="GU135" s="26">
        <v>0</v>
      </c>
      <c r="GV135" s="26">
        <v>0</v>
      </c>
      <c r="GW135" s="26">
        <v>0</v>
      </c>
      <c r="GX135" s="26">
        <v>0</v>
      </c>
      <c r="GY135" s="26">
        <v>0</v>
      </c>
      <c r="GZ135" s="26">
        <v>0</v>
      </c>
      <c r="HA135" s="26">
        <v>0</v>
      </c>
      <c r="HB135" s="26">
        <v>0</v>
      </c>
      <c r="HC135" s="26">
        <v>0</v>
      </c>
      <c r="HD135" s="26">
        <v>0</v>
      </c>
      <c r="HE135" s="26">
        <v>0</v>
      </c>
      <c r="HF135" s="26">
        <v>0</v>
      </c>
      <c r="HG135" s="26">
        <v>0</v>
      </c>
      <c r="HH135" s="26">
        <v>0</v>
      </c>
      <c r="HI135" s="26">
        <v>0</v>
      </c>
      <c r="HJ135" s="26">
        <v>0</v>
      </c>
      <c r="HK135" s="26">
        <v>0</v>
      </c>
      <c r="HL135" s="26">
        <v>0</v>
      </c>
      <c r="HM135" s="26">
        <v>0</v>
      </c>
      <c r="HN135" s="26">
        <v>0</v>
      </c>
      <c r="HO135" s="26">
        <v>0</v>
      </c>
      <c r="HP135" s="26">
        <v>0</v>
      </c>
      <c r="HQ135" s="26">
        <v>0</v>
      </c>
      <c r="HR135" s="26">
        <v>0</v>
      </c>
      <c r="HS135" s="26">
        <v>0</v>
      </c>
      <c r="HT135" s="26">
        <v>0.24356312278183831</v>
      </c>
    </row>
    <row r="136" spans="2:228" x14ac:dyDescent="0.2">
      <c r="B136" s="27" t="s">
        <v>3478</v>
      </c>
      <c r="C136" s="26">
        <v>56373.885799999996</v>
      </c>
      <c r="D136" s="26">
        <v>-194.87776600000001</v>
      </c>
      <c r="E136" s="26">
        <v>47836.212899999999</v>
      </c>
      <c r="F136" s="26">
        <v>0.76710386200000003</v>
      </c>
      <c r="G136" s="26">
        <v>3874.3538600000002</v>
      </c>
      <c r="H136" s="26">
        <v>153.93870799999999</v>
      </c>
      <c r="I136" s="26">
        <v>64.589667700000007</v>
      </c>
      <c r="J136" s="26">
        <v>2150.1586400000001</v>
      </c>
      <c r="K136" s="26">
        <v>262.02650199999999</v>
      </c>
      <c r="L136" s="26">
        <v>43.206653799999998</v>
      </c>
      <c r="M136" s="26">
        <v>0</v>
      </c>
      <c r="N136" s="26">
        <v>147.875992</v>
      </c>
      <c r="O136" s="26">
        <v>3.7318587000000005</v>
      </c>
      <c r="P136" s="26">
        <v>1.56581484</v>
      </c>
      <c r="Q136" s="26">
        <v>50.966919500000003</v>
      </c>
      <c r="R136" s="26">
        <v>6.2110224499999998</v>
      </c>
      <c r="S136" s="26">
        <v>1593.1874700000001</v>
      </c>
      <c r="T136" s="26">
        <v>85.678425899999993</v>
      </c>
      <c r="U136" s="26">
        <v>48.190068599999996</v>
      </c>
      <c r="V136" s="26">
        <v>43.859511300000001</v>
      </c>
      <c r="W136" s="26">
        <v>0</v>
      </c>
      <c r="X136" s="26">
        <v>5.4500273999999997</v>
      </c>
      <c r="Y136" s="26">
        <v>6.2954694699999997E-6</v>
      </c>
      <c r="Z136" s="26">
        <v>4.0091557799999997E-4</v>
      </c>
      <c r="AA136" s="26">
        <v>3.9260205199999999E-4</v>
      </c>
      <c r="AB136" s="26">
        <v>2.6265064300000002E-2</v>
      </c>
      <c r="AC136" s="26">
        <v>0</v>
      </c>
      <c r="AD136" s="26">
        <v>0</v>
      </c>
      <c r="AE136" s="26">
        <v>0</v>
      </c>
      <c r="AF136" s="26">
        <v>0</v>
      </c>
      <c r="AG136" s="26">
        <v>0</v>
      </c>
      <c r="AH136" s="26">
        <v>0</v>
      </c>
      <c r="AI136" s="26">
        <v>0</v>
      </c>
      <c r="AJ136" s="26">
        <v>0</v>
      </c>
      <c r="AK136" s="26">
        <v>0</v>
      </c>
      <c r="AL136" s="26">
        <v>0</v>
      </c>
      <c r="AM136" s="26">
        <v>1.7431641499999999</v>
      </c>
      <c r="AN136" s="26">
        <v>1.0285540899999999E-2</v>
      </c>
      <c r="AO136" s="26">
        <v>2.2800311899999998E-2</v>
      </c>
      <c r="AP136" s="26">
        <v>0</v>
      </c>
      <c r="AQ136" s="26">
        <v>0</v>
      </c>
      <c r="AR136" s="26">
        <v>0</v>
      </c>
      <c r="AS136" s="26">
        <v>0.111342591</v>
      </c>
      <c r="AT136" s="26">
        <v>0</v>
      </c>
      <c r="AU136" s="26">
        <v>0</v>
      </c>
      <c r="AV136" s="26">
        <v>0</v>
      </c>
      <c r="AW136" s="26">
        <v>0</v>
      </c>
      <c r="AX136" s="26">
        <v>0</v>
      </c>
      <c r="AY136" s="26">
        <v>0</v>
      </c>
      <c r="AZ136" s="26">
        <v>0</v>
      </c>
      <c r="BA136" s="26">
        <v>0</v>
      </c>
      <c r="BB136" s="26">
        <v>0</v>
      </c>
      <c r="BC136" s="26">
        <v>0</v>
      </c>
      <c r="BD136" s="26">
        <v>0</v>
      </c>
      <c r="BE136" s="26">
        <v>0</v>
      </c>
      <c r="BF136" s="26">
        <v>0</v>
      </c>
      <c r="BG136" s="26">
        <v>0</v>
      </c>
      <c r="BH136" s="26">
        <v>0</v>
      </c>
      <c r="BI136" s="26">
        <v>0</v>
      </c>
      <c r="BJ136" s="26">
        <v>0</v>
      </c>
      <c r="BK136" s="26">
        <v>0</v>
      </c>
      <c r="BL136" s="26">
        <v>0</v>
      </c>
      <c r="BM136" s="26">
        <v>0</v>
      </c>
      <c r="BN136" s="26">
        <v>0</v>
      </c>
      <c r="BO136" s="26">
        <v>2705.9360499999998</v>
      </c>
      <c r="BP136" s="26">
        <v>56373.885799999996</v>
      </c>
      <c r="BQ136" s="26">
        <v>866.794579</v>
      </c>
      <c r="BR136" s="26">
        <v>30.82569060000003</v>
      </c>
      <c r="BS136" s="26">
        <v>1</v>
      </c>
      <c r="BT136" s="26">
        <v>0</v>
      </c>
      <c r="BU136" s="26">
        <v>1</v>
      </c>
      <c r="BV136" s="26">
        <v>0</v>
      </c>
      <c r="BW136" s="26">
        <v>-72018.614100000006</v>
      </c>
      <c r="BX136" s="26">
        <v>-3456.8801100000001</v>
      </c>
      <c r="BY136" s="26">
        <v>-194.87776600000001</v>
      </c>
      <c r="BZ136" s="26">
        <v>-42.431490699999998</v>
      </c>
      <c r="CA136" s="26">
        <v>-2.0367036700000001</v>
      </c>
      <c r="CB136" s="26">
        <v>5.2029552E-2</v>
      </c>
      <c r="CC136" s="26">
        <v>1.0839531899999999</v>
      </c>
      <c r="CD136" s="26">
        <v>20.8334139</v>
      </c>
      <c r="CE136" s="26">
        <v>910.20077800000001</v>
      </c>
      <c r="CF136" s="26">
        <v>0</v>
      </c>
      <c r="CG136" s="26">
        <v>0</v>
      </c>
      <c r="CH136" s="26">
        <v>0</v>
      </c>
      <c r="CI136" s="26">
        <v>0</v>
      </c>
      <c r="CJ136" s="26">
        <v>0</v>
      </c>
      <c r="CK136" s="26">
        <v>0</v>
      </c>
      <c r="CL136" s="26">
        <v>0</v>
      </c>
      <c r="CM136" s="26">
        <v>0</v>
      </c>
      <c r="CN136" s="26">
        <v>0</v>
      </c>
      <c r="CO136" s="26">
        <v>0</v>
      </c>
      <c r="CP136" s="26">
        <v>0</v>
      </c>
      <c r="CQ136" s="26">
        <v>0</v>
      </c>
      <c r="CR136" s="26">
        <v>0</v>
      </c>
      <c r="CS136" s="26">
        <v>0</v>
      </c>
      <c r="CT136" s="26">
        <v>0</v>
      </c>
      <c r="CU136" s="26">
        <v>0</v>
      </c>
      <c r="CV136" s="26">
        <v>0</v>
      </c>
      <c r="CW136" s="26">
        <v>0</v>
      </c>
      <c r="CX136" s="26">
        <v>0</v>
      </c>
      <c r="CY136" s="26">
        <v>0</v>
      </c>
      <c r="CZ136" s="26">
        <v>0</v>
      </c>
      <c r="DA136" s="26">
        <v>0</v>
      </c>
      <c r="DB136" s="26">
        <v>0</v>
      </c>
      <c r="DC136" s="26">
        <v>0</v>
      </c>
      <c r="DD136" s="26">
        <v>0</v>
      </c>
      <c r="DE136" s="26">
        <v>0</v>
      </c>
      <c r="DF136" s="26">
        <v>0</v>
      </c>
      <c r="DG136" s="26">
        <v>0</v>
      </c>
      <c r="DH136" s="26">
        <v>0</v>
      </c>
      <c r="DI136" s="26">
        <v>0</v>
      </c>
      <c r="DJ136" s="26">
        <v>0</v>
      </c>
      <c r="DK136" s="26">
        <v>0</v>
      </c>
      <c r="DL136" s="26">
        <v>0</v>
      </c>
      <c r="DM136" s="26">
        <v>0</v>
      </c>
      <c r="DN136" s="26">
        <v>0</v>
      </c>
      <c r="DO136" s="26">
        <v>0</v>
      </c>
      <c r="DP136" s="26">
        <v>0</v>
      </c>
      <c r="DQ136" s="26">
        <v>0</v>
      </c>
      <c r="DR136" s="26">
        <v>0</v>
      </c>
      <c r="DS136" s="26">
        <v>0</v>
      </c>
      <c r="DT136" s="26">
        <v>0</v>
      </c>
      <c r="DU136" s="26">
        <v>0</v>
      </c>
      <c r="DV136" s="26">
        <v>0</v>
      </c>
      <c r="DW136" s="26">
        <v>0</v>
      </c>
      <c r="DX136" s="26">
        <v>0</v>
      </c>
      <c r="DY136" s="26">
        <v>0</v>
      </c>
      <c r="DZ136" s="26">
        <v>0</v>
      </c>
      <c r="EA136" s="26">
        <v>0</v>
      </c>
      <c r="EB136" s="26">
        <v>0</v>
      </c>
      <c r="EC136" s="26">
        <v>0</v>
      </c>
      <c r="ED136" s="26">
        <v>0</v>
      </c>
      <c r="EE136" s="26">
        <v>0</v>
      </c>
      <c r="EF136" s="26">
        <v>0</v>
      </c>
      <c r="EG136" s="26">
        <v>0</v>
      </c>
      <c r="EH136" s="26">
        <v>0</v>
      </c>
      <c r="EI136" s="26">
        <v>0</v>
      </c>
      <c r="EJ136" s="26">
        <v>0</v>
      </c>
      <c r="EK136" s="26">
        <v>0</v>
      </c>
      <c r="EL136" s="26">
        <v>0</v>
      </c>
      <c r="EM136" s="26">
        <v>0</v>
      </c>
      <c r="EN136" s="26">
        <v>0</v>
      </c>
      <c r="EO136" s="26">
        <v>0</v>
      </c>
      <c r="EP136" s="26">
        <v>0</v>
      </c>
      <c r="EQ136" s="26">
        <v>0</v>
      </c>
      <c r="ER136" s="26">
        <v>0</v>
      </c>
      <c r="ES136" s="26">
        <v>0</v>
      </c>
      <c r="ET136" s="26">
        <v>1</v>
      </c>
      <c r="EU136" s="26">
        <v>0</v>
      </c>
      <c r="EV136" s="26">
        <v>0</v>
      </c>
      <c r="EW136" s="26">
        <v>0</v>
      </c>
      <c r="EX136" s="26">
        <v>0</v>
      </c>
      <c r="EY136" s="26">
        <v>0</v>
      </c>
      <c r="EZ136" s="26">
        <v>0</v>
      </c>
      <c r="FA136" s="26">
        <v>0</v>
      </c>
      <c r="FB136" s="26">
        <v>0</v>
      </c>
      <c r="FC136" s="26">
        <v>0</v>
      </c>
      <c r="FD136" s="26">
        <v>0</v>
      </c>
      <c r="FE136" s="26">
        <v>0</v>
      </c>
      <c r="FF136" s="26">
        <v>0</v>
      </c>
      <c r="FG136" s="26">
        <v>0.163935622</v>
      </c>
      <c r="FH136" s="26">
        <v>-226970036.78899997</v>
      </c>
      <c r="FI136" s="26">
        <v>8.0127996752135083E-2</v>
      </c>
      <c r="FJ136" s="26">
        <v>0</v>
      </c>
      <c r="FK136" s="26">
        <v>0</v>
      </c>
      <c r="FL136" s="26">
        <v>0</v>
      </c>
      <c r="FM136" s="26">
        <v>0</v>
      </c>
      <c r="FN136" s="26">
        <v>0</v>
      </c>
      <c r="FO136" s="26">
        <v>0</v>
      </c>
      <c r="FP136" s="26">
        <v>0</v>
      </c>
      <c r="FQ136" s="26">
        <v>0</v>
      </c>
      <c r="FR136" s="26">
        <v>0</v>
      </c>
      <c r="FS136" s="26">
        <v>0</v>
      </c>
      <c r="FT136" s="26">
        <v>0</v>
      </c>
      <c r="FU136" s="26">
        <v>0</v>
      </c>
      <c r="FV136" s="26">
        <v>0</v>
      </c>
      <c r="FW136" s="26">
        <v>0</v>
      </c>
      <c r="FX136" s="26">
        <v>0</v>
      </c>
      <c r="FY136" s="26">
        <v>0</v>
      </c>
      <c r="FZ136" s="26">
        <v>0</v>
      </c>
      <c r="GA136" s="26">
        <v>0</v>
      </c>
      <c r="GB136" s="26">
        <v>0</v>
      </c>
      <c r="GC136" s="26">
        <v>0</v>
      </c>
      <c r="GD136" s="26">
        <v>0</v>
      </c>
      <c r="GE136" s="26">
        <v>0</v>
      </c>
      <c r="GF136" s="26">
        <v>0</v>
      </c>
      <c r="GG136" s="26">
        <v>0</v>
      </c>
      <c r="GH136" s="26">
        <v>0</v>
      </c>
      <c r="GI136" s="26">
        <v>0</v>
      </c>
      <c r="GJ136" s="26">
        <v>0</v>
      </c>
      <c r="GK136" s="26">
        <v>0</v>
      </c>
      <c r="GL136" s="26">
        <v>0</v>
      </c>
      <c r="GM136" s="26">
        <v>0</v>
      </c>
      <c r="GN136" s="26">
        <v>0</v>
      </c>
      <c r="GO136" s="26">
        <v>0</v>
      </c>
      <c r="GP136" s="26">
        <v>0</v>
      </c>
      <c r="GQ136" s="26">
        <v>0</v>
      </c>
      <c r="GR136" s="26">
        <v>0</v>
      </c>
      <c r="GS136" s="26">
        <v>0</v>
      </c>
      <c r="GT136" s="26">
        <v>0</v>
      </c>
      <c r="GU136" s="26">
        <v>0</v>
      </c>
      <c r="GV136" s="26">
        <v>0</v>
      </c>
      <c r="GW136" s="26">
        <v>0</v>
      </c>
      <c r="GX136" s="26">
        <v>0</v>
      </c>
      <c r="GY136" s="26">
        <v>0</v>
      </c>
      <c r="GZ136" s="26">
        <v>0</v>
      </c>
      <c r="HA136" s="26">
        <v>0</v>
      </c>
      <c r="HB136" s="26">
        <v>0</v>
      </c>
      <c r="HC136" s="26">
        <v>0</v>
      </c>
      <c r="HD136" s="26">
        <v>0</v>
      </c>
      <c r="HE136" s="26">
        <v>0</v>
      </c>
      <c r="HF136" s="26">
        <v>0</v>
      </c>
      <c r="HG136" s="26">
        <v>0</v>
      </c>
      <c r="HH136" s="26">
        <v>0</v>
      </c>
      <c r="HI136" s="26">
        <v>0</v>
      </c>
      <c r="HJ136" s="26">
        <v>0</v>
      </c>
      <c r="HK136" s="26">
        <v>0</v>
      </c>
      <c r="HL136" s="26">
        <v>0</v>
      </c>
      <c r="HM136" s="26">
        <v>0</v>
      </c>
      <c r="HN136" s="26">
        <v>0</v>
      </c>
      <c r="HO136" s="26">
        <v>0</v>
      </c>
      <c r="HP136" s="26">
        <v>0</v>
      </c>
      <c r="HQ136" s="26">
        <v>0</v>
      </c>
      <c r="HR136" s="26">
        <v>0</v>
      </c>
      <c r="HS136" s="26">
        <v>0</v>
      </c>
      <c r="HT136" s="26">
        <v>0</v>
      </c>
    </row>
    <row r="137" spans="2:228" x14ac:dyDescent="0.2">
      <c r="B137" s="27" t="s">
        <v>3482</v>
      </c>
      <c r="C137" s="26">
        <v>39553.0412</v>
      </c>
      <c r="D137" s="26">
        <v>-88.665119700000005</v>
      </c>
      <c r="E137" s="26">
        <v>15945.4043</v>
      </c>
      <c r="F137" s="26">
        <v>8.5233762399999996E-2</v>
      </c>
      <c r="G137" s="26">
        <v>430.48376200000001</v>
      </c>
      <c r="H137" s="26">
        <v>17.104300899999998</v>
      </c>
      <c r="I137" s="26">
        <v>7.1766297400000001</v>
      </c>
      <c r="J137" s="26">
        <v>238.90651500000004</v>
      </c>
      <c r="K137" s="26">
        <v>29.114055800000003</v>
      </c>
      <c r="L137" s="26">
        <v>4.80073931</v>
      </c>
      <c r="M137" s="26">
        <v>0</v>
      </c>
      <c r="N137" s="26">
        <v>16.4306658</v>
      </c>
      <c r="O137" s="26">
        <v>0.41465096699999998</v>
      </c>
      <c r="P137" s="26">
        <v>0.17397942699999999</v>
      </c>
      <c r="Q137" s="26">
        <v>5.6629910600000004</v>
      </c>
      <c r="R137" s="26">
        <v>0.69011360600000005</v>
      </c>
      <c r="S137" s="26">
        <v>177.02082999999999</v>
      </c>
      <c r="T137" s="26">
        <v>9.5198251000000003</v>
      </c>
      <c r="U137" s="26">
        <v>5.3544520599999998</v>
      </c>
      <c r="V137" s="26">
        <v>4.87327903</v>
      </c>
      <c r="W137" s="26">
        <v>0</v>
      </c>
      <c r="X137" s="26">
        <v>0.60555860100000003</v>
      </c>
      <c r="Y137" s="26">
        <v>6.9949660700000001E-7</v>
      </c>
      <c r="Z137" s="26">
        <v>4.4546175299999997E-5</v>
      </c>
      <c r="AA137" s="26">
        <v>4.3622450199999998E-5</v>
      </c>
      <c r="AB137" s="26">
        <v>2.91834047E-3</v>
      </c>
      <c r="AC137" s="26">
        <v>0</v>
      </c>
      <c r="AD137" s="26">
        <v>359.825917</v>
      </c>
      <c r="AE137" s="26">
        <v>269.84217899999999</v>
      </c>
      <c r="AF137" s="26">
        <v>0</v>
      </c>
      <c r="AG137" s="26">
        <v>0</v>
      </c>
      <c r="AH137" s="26">
        <v>0</v>
      </c>
      <c r="AI137" s="26">
        <v>0</v>
      </c>
      <c r="AJ137" s="26">
        <v>0</v>
      </c>
      <c r="AK137" s="26">
        <v>0</v>
      </c>
      <c r="AL137" s="26">
        <v>0</v>
      </c>
      <c r="AM137" s="26">
        <v>0.19368490599999999</v>
      </c>
      <c r="AN137" s="26">
        <v>1.14283788E-3</v>
      </c>
      <c r="AO137" s="26">
        <v>2.5333679899999999E-3</v>
      </c>
      <c r="AP137" s="26">
        <v>0</v>
      </c>
      <c r="AQ137" s="26">
        <v>0</v>
      </c>
      <c r="AR137" s="26">
        <v>0</v>
      </c>
      <c r="AS137" s="26">
        <v>1.2371399E-2</v>
      </c>
      <c r="AT137" s="26">
        <v>0</v>
      </c>
      <c r="AU137" s="26">
        <v>0</v>
      </c>
      <c r="AV137" s="26">
        <v>3.1393840799999998E-4</v>
      </c>
      <c r="AW137" s="26">
        <v>0</v>
      </c>
      <c r="AX137" s="26">
        <v>0</v>
      </c>
      <c r="AY137" s="26">
        <v>0</v>
      </c>
      <c r="AZ137" s="26">
        <v>0</v>
      </c>
      <c r="BA137" s="26">
        <v>0</v>
      </c>
      <c r="BB137" s="26">
        <v>0</v>
      </c>
      <c r="BC137" s="26">
        <v>0</v>
      </c>
      <c r="BD137" s="26">
        <v>0</v>
      </c>
      <c r="BE137" s="26">
        <v>0</v>
      </c>
      <c r="BF137" s="26">
        <v>0</v>
      </c>
      <c r="BG137" s="26">
        <v>0</v>
      </c>
      <c r="BH137" s="26">
        <v>0</v>
      </c>
      <c r="BI137" s="26">
        <v>0</v>
      </c>
      <c r="BJ137" s="26">
        <v>0</v>
      </c>
      <c r="BK137" s="26">
        <v>0</v>
      </c>
      <c r="BL137" s="26">
        <v>0</v>
      </c>
      <c r="BM137" s="26">
        <v>0</v>
      </c>
      <c r="BN137" s="26">
        <v>0</v>
      </c>
      <c r="BO137" s="26">
        <v>896.95290999999997</v>
      </c>
      <c r="BP137" s="26">
        <v>17523.703000000001</v>
      </c>
      <c r="BQ137" s="26">
        <v>292.744484</v>
      </c>
      <c r="BR137" s="26">
        <v>30.82569060000003</v>
      </c>
      <c r="BS137" s="26">
        <v>1</v>
      </c>
      <c r="BT137" s="26">
        <v>0</v>
      </c>
      <c r="BU137" s="26">
        <v>1</v>
      </c>
      <c r="BV137" s="26">
        <v>0</v>
      </c>
      <c r="BW137" s="26">
        <v>-70444.481199999995</v>
      </c>
      <c r="BX137" s="26">
        <v>-3605.7094999999999</v>
      </c>
      <c r="BY137" s="26">
        <v>-63.1853829</v>
      </c>
      <c r="BZ137" s="26">
        <v>-39.733493600000003</v>
      </c>
      <c r="CA137" s="26">
        <v>-2.0337637900000001</v>
      </c>
      <c r="CB137" s="26">
        <v>5.1065744400000002E-2</v>
      </c>
      <c r="CC137" s="26">
        <v>0.99766769099999997</v>
      </c>
      <c r="CD137" s="26">
        <v>19.536926399999999</v>
      </c>
      <c r="CE137" s="26">
        <v>0</v>
      </c>
      <c r="CF137" s="26">
        <v>0</v>
      </c>
      <c r="CG137" s="26">
        <v>0</v>
      </c>
      <c r="CH137" s="26">
        <v>0</v>
      </c>
      <c r="CI137" s="26">
        <v>0</v>
      </c>
      <c r="CJ137" s="26">
        <v>0</v>
      </c>
      <c r="CK137" s="26">
        <v>0</v>
      </c>
      <c r="CL137" s="26">
        <v>0</v>
      </c>
      <c r="CM137" s="26">
        <v>0</v>
      </c>
      <c r="CN137" s="26">
        <v>0</v>
      </c>
      <c r="CO137" s="26">
        <v>0</v>
      </c>
      <c r="CP137" s="26">
        <v>0</v>
      </c>
      <c r="CQ137" s="26">
        <v>0</v>
      </c>
      <c r="CR137" s="26">
        <v>0</v>
      </c>
      <c r="CS137" s="26">
        <v>0</v>
      </c>
      <c r="CT137" s="26">
        <v>0</v>
      </c>
      <c r="CU137" s="26">
        <v>0</v>
      </c>
      <c r="CV137" s="26">
        <v>0</v>
      </c>
      <c r="CW137" s="26">
        <v>0</v>
      </c>
      <c r="CX137" s="26">
        <v>0</v>
      </c>
      <c r="CY137" s="26">
        <v>0</v>
      </c>
      <c r="CZ137" s="26">
        <v>0</v>
      </c>
      <c r="DA137" s="26">
        <v>0</v>
      </c>
      <c r="DB137" s="26">
        <v>0</v>
      </c>
      <c r="DC137" s="26">
        <v>0</v>
      </c>
      <c r="DD137" s="26">
        <v>0</v>
      </c>
      <c r="DE137" s="26">
        <v>0</v>
      </c>
      <c r="DF137" s="26">
        <v>0</v>
      </c>
      <c r="DG137" s="26">
        <v>0</v>
      </c>
      <c r="DH137" s="26">
        <v>0</v>
      </c>
      <c r="DI137" s="26">
        <v>0</v>
      </c>
      <c r="DJ137" s="26">
        <v>0</v>
      </c>
      <c r="DK137" s="26">
        <v>0</v>
      </c>
      <c r="DL137" s="26">
        <v>0</v>
      </c>
      <c r="DM137" s="26">
        <v>0</v>
      </c>
      <c r="DN137" s="26">
        <v>0</v>
      </c>
      <c r="DO137" s="26">
        <v>0</v>
      </c>
      <c r="DP137" s="26">
        <v>0</v>
      </c>
      <c r="DQ137" s="26">
        <v>0</v>
      </c>
      <c r="DR137" s="26">
        <v>0</v>
      </c>
      <c r="DS137" s="26">
        <v>0</v>
      </c>
      <c r="DT137" s="26">
        <v>0</v>
      </c>
      <c r="DU137" s="26">
        <v>0</v>
      </c>
      <c r="DV137" s="26">
        <v>0</v>
      </c>
      <c r="DW137" s="26">
        <v>0</v>
      </c>
      <c r="DX137" s="26">
        <v>1248.3684499999999</v>
      </c>
      <c r="DY137" s="26">
        <v>30.824772200000002</v>
      </c>
      <c r="DZ137" s="26">
        <v>12.9334709</v>
      </c>
      <c r="EA137" s="26">
        <v>420.98447599999997</v>
      </c>
      <c r="EB137" s="26">
        <v>51.302767699999997</v>
      </c>
      <c r="EC137" s="26">
        <v>12412.8158</v>
      </c>
      <c r="ED137" s="26">
        <v>0</v>
      </c>
      <c r="EE137" s="26">
        <v>2611.0290100000002</v>
      </c>
      <c r="EF137" s="26">
        <v>4087.3084199999998</v>
      </c>
      <c r="EG137" s="26">
        <v>518.19918800000005</v>
      </c>
      <c r="EH137" s="26">
        <v>57.577770599999994</v>
      </c>
      <c r="EI137" s="26">
        <v>0</v>
      </c>
      <c r="EJ137" s="26">
        <v>107.263217</v>
      </c>
      <c r="EK137" s="26">
        <v>0</v>
      </c>
      <c r="EL137" s="26">
        <v>470.73083400000002</v>
      </c>
      <c r="EM137" s="26">
        <v>0</v>
      </c>
      <c r="EN137" s="26">
        <v>0</v>
      </c>
      <c r="EO137" s="26">
        <v>0</v>
      </c>
      <c r="EP137" s="26">
        <v>311.94750299999998</v>
      </c>
      <c r="EQ137" s="26">
        <v>22029.338100000001</v>
      </c>
      <c r="ER137" s="26">
        <v>266.01619599999998</v>
      </c>
      <c r="ES137" s="26">
        <v>30.82569060000003</v>
      </c>
      <c r="ET137" s="26">
        <v>1</v>
      </c>
      <c r="EU137" s="26">
        <v>0</v>
      </c>
      <c r="EV137" s="26">
        <v>0</v>
      </c>
      <c r="EW137" s="26">
        <v>1</v>
      </c>
      <c r="EX137" s="26">
        <v>-81679.565700000006</v>
      </c>
      <c r="EY137" s="26">
        <v>-1156.62742</v>
      </c>
      <c r="EZ137" s="26">
        <v>-25.479736800000001</v>
      </c>
      <c r="FA137" s="26">
        <v>-157.93943899999999</v>
      </c>
      <c r="FB137" s="26">
        <v>-2.2365090300000001</v>
      </c>
      <c r="FC137" s="26">
        <v>1.95443927E-2</v>
      </c>
      <c r="FD137" s="26">
        <v>1.3802002899999999</v>
      </c>
      <c r="FE137" s="26">
        <v>70.618735200000003</v>
      </c>
      <c r="FF137" s="26">
        <v>0</v>
      </c>
      <c r="FG137" s="26">
        <v>0.77742840099999999</v>
      </c>
      <c r="FH137" s="26">
        <v>-103262635.5572</v>
      </c>
      <c r="FI137" s="26">
        <v>1.0847924642338953E-2</v>
      </c>
      <c r="FJ137" s="26">
        <v>0</v>
      </c>
      <c r="FK137" s="26">
        <v>0</v>
      </c>
      <c r="FL137" s="26">
        <v>0</v>
      </c>
      <c r="FM137" s="26">
        <v>0</v>
      </c>
      <c r="FN137" s="26">
        <v>0</v>
      </c>
      <c r="FO137" s="26">
        <v>0</v>
      </c>
      <c r="FP137" s="26">
        <v>0</v>
      </c>
      <c r="FQ137" s="26">
        <v>0</v>
      </c>
      <c r="FR137" s="26">
        <v>0</v>
      </c>
      <c r="FS137" s="26">
        <v>0</v>
      </c>
      <c r="FT137" s="26">
        <v>0</v>
      </c>
      <c r="FU137" s="26">
        <v>0</v>
      </c>
      <c r="FV137" s="26">
        <v>0</v>
      </c>
      <c r="FW137" s="26">
        <v>0</v>
      </c>
      <c r="FX137" s="26">
        <v>0</v>
      </c>
      <c r="FY137" s="26">
        <v>0</v>
      </c>
      <c r="FZ137" s="26">
        <v>0</v>
      </c>
      <c r="GA137" s="26">
        <v>0</v>
      </c>
      <c r="GB137" s="26">
        <v>0</v>
      </c>
      <c r="GC137" s="26">
        <v>0</v>
      </c>
      <c r="GD137" s="26">
        <v>0</v>
      </c>
      <c r="GE137" s="26">
        <v>0</v>
      </c>
      <c r="GF137" s="26">
        <v>0</v>
      </c>
      <c r="GG137" s="26">
        <v>0</v>
      </c>
      <c r="GH137" s="26">
        <v>0</v>
      </c>
      <c r="GI137" s="26">
        <v>0</v>
      </c>
      <c r="GJ137" s="26">
        <v>0</v>
      </c>
      <c r="GK137" s="26">
        <v>0</v>
      </c>
      <c r="GL137" s="26">
        <v>0</v>
      </c>
      <c r="GM137" s="26">
        <v>0</v>
      </c>
      <c r="GN137" s="26">
        <v>0</v>
      </c>
      <c r="GO137" s="26">
        <v>0</v>
      </c>
      <c r="GP137" s="26">
        <v>0</v>
      </c>
      <c r="GQ137" s="26">
        <v>0</v>
      </c>
      <c r="GR137" s="26">
        <v>0</v>
      </c>
      <c r="GS137" s="26">
        <v>0</v>
      </c>
      <c r="GT137" s="26">
        <v>0</v>
      </c>
      <c r="GU137" s="26">
        <v>0</v>
      </c>
      <c r="GV137" s="26">
        <v>0</v>
      </c>
      <c r="GW137" s="26">
        <v>0</v>
      </c>
      <c r="GX137" s="26">
        <v>0</v>
      </c>
      <c r="GY137" s="26">
        <v>0</v>
      </c>
      <c r="GZ137" s="26">
        <v>0</v>
      </c>
      <c r="HA137" s="26">
        <v>0</v>
      </c>
      <c r="HB137" s="26">
        <v>0</v>
      </c>
      <c r="HC137" s="26">
        <v>0</v>
      </c>
      <c r="HD137" s="26">
        <v>0</v>
      </c>
      <c r="HE137" s="26">
        <v>0</v>
      </c>
      <c r="HF137" s="26">
        <v>0</v>
      </c>
      <c r="HG137" s="26">
        <v>0</v>
      </c>
      <c r="HH137" s="26">
        <v>0</v>
      </c>
      <c r="HI137" s="26">
        <v>0</v>
      </c>
      <c r="HJ137" s="26">
        <v>0</v>
      </c>
      <c r="HK137" s="26">
        <v>0</v>
      </c>
      <c r="HL137" s="26">
        <v>0</v>
      </c>
      <c r="HM137" s="26">
        <v>0</v>
      </c>
      <c r="HN137" s="26">
        <v>0</v>
      </c>
      <c r="HO137" s="26">
        <v>0</v>
      </c>
      <c r="HP137" s="26">
        <v>0</v>
      </c>
      <c r="HQ137" s="26">
        <v>0</v>
      </c>
      <c r="HR137" s="26">
        <v>0</v>
      </c>
      <c r="HS137" s="26">
        <v>0</v>
      </c>
      <c r="HT137" s="26">
        <v>0.24356312278183831</v>
      </c>
    </row>
    <row r="138" spans="2:228" x14ac:dyDescent="0.2">
      <c r="B138" s="27" t="s">
        <v>3487</v>
      </c>
      <c r="C138" s="26">
        <v>7610456.8699999992</v>
      </c>
      <c r="D138" s="26">
        <v>-4.9289695600000002E-14</v>
      </c>
      <c r="E138" s="26">
        <v>0</v>
      </c>
      <c r="F138" s="26">
        <v>0</v>
      </c>
      <c r="G138" s="26">
        <v>0</v>
      </c>
      <c r="H138" s="26">
        <v>0</v>
      </c>
      <c r="I138" s="26">
        <v>0</v>
      </c>
      <c r="J138" s="26">
        <v>0</v>
      </c>
      <c r="K138" s="26">
        <v>0</v>
      </c>
      <c r="L138" s="26">
        <v>0</v>
      </c>
      <c r="M138" s="26">
        <v>0</v>
      </c>
      <c r="N138" s="26">
        <v>0</v>
      </c>
      <c r="O138" s="26">
        <v>0</v>
      </c>
      <c r="P138" s="26">
        <v>0</v>
      </c>
      <c r="Q138" s="26">
        <v>0</v>
      </c>
      <c r="R138" s="26">
        <v>0</v>
      </c>
      <c r="S138" s="26">
        <v>0</v>
      </c>
      <c r="T138" s="26">
        <v>0</v>
      </c>
      <c r="U138" s="26">
        <v>0</v>
      </c>
      <c r="V138" s="26">
        <v>0</v>
      </c>
      <c r="W138" s="26">
        <v>0</v>
      </c>
      <c r="X138" s="26">
        <v>0</v>
      </c>
      <c r="Y138" s="26">
        <v>0</v>
      </c>
      <c r="Z138" s="26">
        <v>0</v>
      </c>
      <c r="AA138" s="26">
        <v>0</v>
      </c>
      <c r="AB138" s="26">
        <v>0</v>
      </c>
      <c r="AC138" s="26">
        <v>0</v>
      </c>
      <c r="AD138" s="26">
        <v>0</v>
      </c>
      <c r="AE138" s="26">
        <v>0</v>
      </c>
      <c r="AF138" s="26">
        <v>0</v>
      </c>
      <c r="AG138" s="26">
        <v>0</v>
      </c>
      <c r="AH138" s="26">
        <v>0</v>
      </c>
      <c r="AI138" s="26">
        <v>0</v>
      </c>
      <c r="AJ138" s="26">
        <v>0</v>
      </c>
      <c r="AK138" s="26">
        <v>0</v>
      </c>
      <c r="AL138" s="26">
        <v>0</v>
      </c>
      <c r="AM138" s="26">
        <v>0</v>
      </c>
      <c r="AN138" s="26">
        <v>1772604.79</v>
      </c>
      <c r="AO138" s="26">
        <v>5837852.0800000001</v>
      </c>
      <c r="AP138" s="26">
        <v>0</v>
      </c>
      <c r="AQ138" s="26">
        <v>0</v>
      </c>
      <c r="AR138" s="26">
        <v>0</v>
      </c>
      <c r="AS138" s="26">
        <v>0</v>
      </c>
      <c r="AT138" s="26">
        <v>0</v>
      </c>
      <c r="AU138" s="26">
        <v>0</v>
      </c>
      <c r="AV138" s="26">
        <v>0</v>
      </c>
      <c r="AW138" s="26">
        <v>0</v>
      </c>
      <c r="AX138" s="26">
        <v>0</v>
      </c>
      <c r="AY138" s="26">
        <v>0</v>
      </c>
      <c r="AZ138" s="26">
        <v>0</v>
      </c>
      <c r="BA138" s="26">
        <v>0</v>
      </c>
      <c r="BB138" s="26">
        <v>0</v>
      </c>
      <c r="BC138" s="26">
        <v>0</v>
      </c>
      <c r="BD138" s="26">
        <v>0</v>
      </c>
      <c r="BE138" s="26">
        <v>0</v>
      </c>
      <c r="BF138" s="26">
        <v>0</v>
      </c>
      <c r="BG138" s="26">
        <v>0</v>
      </c>
      <c r="BH138" s="26">
        <v>0</v>
      </c>
      <c r="BI138" s="26">
        <v>0</v>
      </c>
      <c r="BJ138" s="26">
        <v>0</v>
      </c>
      <c r="BK138" s="26">
        <v>0</v>
      </c>
      <c r="BL138" s="26">
        <v>0</v>
      </c>
      <c r="BM138" s="26">
        <v>0</v>
      </c>
      <c r="BN138" s="26">
        <v>0</v>
      </c>
      <c r="BO138" s="26">
        <v>263790.36700000003</v>
      </c>
      <c r="BP138" s="26">
        <v>7610456.8699999992</v>
      </c>
      <c r="BQ138" s="26">
        <v>107560580</v>
      </c>
      <c r="BR138" s="26">
        <v>25</v>
      </c>
      <c r="BS138" s="26">
        <v>1</v>
      </c>
      <c r="BT138" s="26">
        <v>1</v>
      </c>
      <c r="BU138" s="26">
        <v>0</v>
      </c>
      <c r="BV138" s="26">
        <v>0</v>
      </c>
      <c r="BW138" s="26">
        <v>-1.86851763E-13</v>
      </c>
      <c r="BX138" s="26">
        <v>-6.4765750700000001E-15</v>
      </c>
      <c r="BY138" s="26">
        <v>-4.9289695600000002E-14</v>
      </c>
      <c r="BZ138" s="26">
        <v>1.0206375700000001</v>
      </c>
      <c r="CA138" s="26">
        <v>3.5376898300000001E-2</v>
      </c>
      <c r="CB138" s="26">
        <v>4.0874696499999997E-5</v>
      </c>
      <c r="CC138" s="26">
        <v>1.17925123E-3</v>
      </c>
      <c r="CD138" s="26">
        <v>28.8503972</v>
      </c>
      <c r="CE138" s="26">
        <v>235467.193</v>
      </c>
      <c r="CF138" s="26">
        <v>0</v>
      </c>
      <c r="CG138" s="26">
        <v>0</v>
      </c>
      <c r="CH138" s="26">
        <v>0</v>
      </c>
      <c r="CI138" s="26">
        <v>0</v>
      </c>
      <c r="CJ138" s="26">
        <v>0</v>
      </c>
      <c r="CK138" s="26">
        <v>0</v>
      </c>
      <c r="CL138" s="26">
        <v>0</v>
      </c>
      <c r="CM138" s="26">
        <v>0</v>
      </c>
      <c r="CN138" s="26">
        <v>0</v>
      </c>
      <c r="CO138" s="26">
        <v>0</v>
      </c>
      <c r="CP138" s="26">
        <v>0</v>
      </c>
      <c r="CQ138" s="26">
        <v>0</v>
      </c>
      <c r="CR138" s="26">
        <v>0</v>
      </c>
      <c r="CS138" s="26">
        <v>0</v>
      </c>
      <c r="CT138" s="26">
        <v>0</v>
      </c>
      <c r="CU138" s="26">
        <v>0</v>
      </c>
      <c r="CV138" s="26">
        <v>0</v>
      </c>
      <c r="CW138" s="26">
        <v>0</v>
      </c>
      <c r="CX138" s="26">
        <v>0</v>
      </c>
      <c r="CY138" s="26">
        <v>0</v>
      </c>
      <c r="CZ138" s="26">
        <v>0</v>
      </c>
      <c r="DA138" s="26">
        <v>0</v>
      </c>
      <c r="DB138" s="26">
        <v>0</v>
      </c>
      <c r="DC138" s="26">
        <v>0</v>
      </c>
      <c r="DD138" s="26">
        <v>0</v>
      </c>
      <c r="DE138" s="26">
        <v>0</v>
      </c>
      <c r="DF138" s="26">
        <v>0</v>
      </c>
      <c r="DG138" s="26">
        <v>0</v>
      </c>
      <c r="DH138" s="26">
        <v>0</v>
      </c>
      <c r="DI138" s="26">
        <v>0</v>
      </c>
      <c r="DJ138" s="26">
        <v>0</v>
      </c>
      <c r="DK138" s="26">
        <v>0</v>
      </c>
      <c r="DL138" s="26">
        <v>0</v>
      </c>
      <c r="DM138" s="26">
        <v>0</v>
      </c>
      <c r="DN138" s="26">
        <v>0</v>
      </c>
      <c r="DO138" s="26">
        <v>0</v>
      </c>
      <c r="DP138" s="26">
        <v>0</v>
      </c>
      <c r="DQ138" s="26">
        <v>0</v>
      </c>
      <c r="DR138" s="26">
        <v>0</v>
      </c>
      <c r="DS138" s="26">
        <v>0</v>
      </c>
      <c r="DT138" s="26">
        <v>0</v>
      </c>
      <c r="DU138" s="26">
        <v>0</v>
      </c>
      <c r="DV138" s="26">
        <v>0</v>
      </c>
      <c r="DW138" s="26">
        <v>0</v>
      </c>
      <c r="DX138" s="26">
        <v>0</v>
      </c>
      <c r="DY138" s="26">
        <v>0</v>
      </c>
      <c r="DZ138" s="26">
        <v>0</v>
      </c>
      <c r="EA138" s="26">
        <v>0</v>
      </c>
      <c r="EB138" s="26">
        <v>0</v>
      </c>
      <c r="EC138" s="26">
        <v>0</v>
      </c>
      <c r="ED138" s="26">
        <v>0</v>
      </c>
      <c r="EE138" s="26">
        <v>0</v>
      </c>
      <c r="EF138" s="26">
        <v>0</v>
      </c>
      <c r="EG138" s="26">
        <v>0</v>
      </c>
      <c r="EH138" s="26">
        <v>0</v>
      </c>
      <c r="EI138" s="26">
        <v>0</v>
      </c>
      <c r="EJ138" s="26">
        <v>0</v>
      </c>
      <c r="EK138" s="26">
        <v>0</v>
      </c>
      <c r="EL138" s="26">
        <v>0</v>
      </c>
      <c r="EM138" s="26">
        <v>0</v>
      </c>
      <c r="EN138" s="26">
        <v>0</v>
      </c>
      <c r="EO138" s="26">
        <v>0</v>
      </c>
      <c r="EP138" s="26">
        <v>0</v>
      </c>
      <c r="EQ138" s="26">
        <v>0</v>
      </c>
      <c r="ER138" s="26">
        <v>0</v>
      </c>
      <c r="ES138" s="26">
        <v>0</v>
      </c>
      <c r="ET138" s="26">
        <v>1</v>
      </c>
      <c r="EU138" s="26">
        <v>0</v>
      </c>
      <c r="EV138" s="26">
        <v>0</v>
      </c>
      <c r="EW138" s="26">
        <v>0</v>
      </c>
      <c r="EX138" s="26">
        <v>0</v>
      </c>
      <c r="EY138" s="26">
        <v>0</v>
      </c>
      <c r="EZ138" s="26">
        <v>0</v>
      </c>
      <c r="FA138" s="26">
        <v>0</v>
      </c>
      <c r="FB138" s="26">
        <v>0</v>
      </c>
      <c r="FC138" s="26">
        <v>0</v>
      </c>
      <c r="FD138" s="26">
        <v>0</v>
      </c>
      <c r="FE138" s="26">
        <v>0</v>
      </c>
      <c r="FF138" s="26">
        <v>0</v>
      </c>
      <c r="FG138" s="26">
        <v>0</v>
      </c>
      <c r="FH138" s="26">
        <v>-5.7323915982800001E-8</v>
      </c>
      <c r="FI138" s="26">
        <v>0</v>
      </c>
      <c r="FJ138" s="26">
        <v>0</v>
      </c>
      <c r="FK138" s="26">
        <v>0</v>
      </c>
      <c r="FL138" s="26">
        <v>0</v>
      </c>
      <c r="FM138" s="26">
        <v>0</v>
      </c>
      <c r="FN138" s="26">
        <v>0</v>
      </c>
      <c r="FO138" s="26">
        <v>0</v>
      </c>
      <c r="FP138" s="26">
        <v>0</v>
      </c>
      <c r="FQ138" s="26">
        <v>0</v>
      </c>
      <c r="FR138" s="26">
        <v>0</v>
      </c>
      <c r="FS138" s="26">
        <v>0</v>
      </c>
      <c r="FT138" s="26">
        <v>0</v>
      </c>
      <c r="FU138" s="26">
        <v>0</v>
      </c>
      <c r="FV138" s="26">
        <v>0</v>
      </c>
      <c r="FW138" s="26">
        <v>0</v>
      </c>
      <c r="FX138" s="26">
        <v>0</v>
      </c>
      <c r="FY138" s="26">
        <v>0</v>
      </c>
      <c r="FZ138" s="26">
        <v>0</v>
      </c>
      <c r="GA138" s="26">
        <v>0</v>
      </c>
      <c r="GB138" s="26">
        <v>0</v>
      </c>
      <c r="GC138" s="26">
        <v>0</v>
      </c>
      <c r="GD138" s="26">
        <v>0</v>
      </c>
      <c r="GE138" s="26">
        <v>0</v>
      </c>
      <c r="GF138" s="26">
        <v>0</v>
      </c>
      <c r="GG138" s="26">
        <v>0</v>
      </c>
      <c r="GH138" s="26">
        <v>0</v>
      </c>
      <c r="GI138" s="26">
        <v>0</v>
      </c>
      <c r="GJ138" s="26">
        <v>0</v>
      </c>
      <c r="GK138" s="26">
        <v>0</v>
      </c>
      <c r="GL138" s="26">
        <v>0</v>
      </c>
      <c r="GM138" s="26">
        <v>0</v>
      </c>
      <c r="GN138" s="26">
        <v>0</v>
      </c>
      <c r="GO138" s="26">
        <v>0</v>
      </c>
      <c r="GP138" s="26">
        <v>0</v>
      </c>
      <c r="GQ138" s="26">
        <v>0</v>
      </c>
      <c r="GR138" s="26">
        <v>0</v>
      </c>
      <c r="GS138" s="26">
        <v>15.387771539768838</v>
      </c>
      <c r="GT138" s="26">
        <v>57.887331018654208</v>
      </c>
      <c r="GU138" s="26">
        <v>0</v>
      </c>
      <c r="GV138" s="26">
        <v>0</v>
      </c>
      <c r="GW138" s="26">
        <v>0</v>
      </c>
      <c r="GX138" s="26">
        <v>0</v>
      </c>
      <c r="GY138" s="26">
        <v>0</v>
      </c>
      <c r="GZ138" s="26">
        <v>0</v>
      </c>
      <c r="HA138" s="26">
        <v>0</v>
      </c>
      <c r="HB138" s="26">
        <v>0</v>
      </c>
      <c r="HC138" s="26">
        <v>0</v>
      </c>
      <c r="HD138" s="26">
        <v>0</v>
      </c>
      <c r="HE138" s="26">
        <v>0</v>
      </c>
      <c r="HF138" s="26">
        <v>0</v>
      </c>
      <c r="HG138" s="26">
        <v>0</v>
      </c>
      <c r="HH138" s="26">
        <v>0</v>
      </c>
      <c r="HI138" s="26">
        <v>0</v>
      </c>
      <c r="HJ138" s="26">
        <v>0</v>
      </c>
      <c r="HK138" s="26">
        <v>0</v>
      </c>
      <c r="HL138" s="26">
        <v>0</v>
      </c>
      <c r="HM138" s="26">
        <v>0</v>
      </c>
      <c r="HN138" s="26">
        <v>0</v>
      </c>
      <c r="HO138" s="26">
        <v>0</v>
      </c>
      <c r="HP138" s="26">
        <v>0</v>
      </c>
      <c r="HQ138" s="26">
        <v>0</v>
      </c>
      <c r="HR138" s="26">
        <v>0</v>
      </c>
      <c r="HS138" s="26">
        <v>0</v>
      </c>
      <c r="HT138" s="26">
        <v>0</v>
      </c>
    </row>
    <row r="139" spans="2:228" x14ac:dyDescent="0.2">
      <c r="B139" s="27" t="s">
        <v>3489</v>
      </c>
      <c r="C139" s="26">
        <v>39553.0412</v>
      </c>
      <c r="D139" s="26">
        <v>-88.665119700000005</v>
      </c>
      <c r="E139" s="26">
        <v>15945.4043</v>
      </c>
      <c r="F139" s="26">
        <v>8.5233762399999996E-2</v>
      </c>
      <c r="G139" s="26">
        <v>430.48376200000001</v>
      </c>
      <c r="H139" s="26">
        <v>17.104300899999998</v>
      </c>
      <c r="I139" s="26">
        <v>7.1766297400000001</v>
      </c>
      <c r="J139" s="26">
        <v>238.90651500000004</v>
      </c>
      <c r="K139" s="26">
        <v>29.114055800000003</v>
      </c>
      <c r="L139" s="26">
        <v>4.80073931</v>
      </c>
      <c r="M139" s="26">
        <v>0</v>
      </c>
      <c r="N139" s="26">
        <v>16.4306658</v>
      </c>
      <c r="O139" s="26">
        <v>0.41465096699999998</v>
      </c>
      <c r="P139" s="26">
        <v>0.17397942699999999</v>
      </c>
      <c r="Q139" s="26">
        <v>5.6629910600000004</v>
      </c>
      <c r="R139" s="26">
        <v>0.69011360600000005</v>
      </c>
      <c r="S139" s="26">
        <v>177.02082999999999</v>
      </c>
      <c r="T139" s="26">
        <v>9.5198251000000003</v>
      </c>
      <c r="U139" s="26">
        <v>5.3544520599999998</v>
      </c>
      <c r="V139" s="26">
        <v>4.87327903</v>
      </c>
      <c r="W139" s="26">
        <v>0</v>
      </c>
      <c r="X139" s="26">
        <v>0.60555860100000003</v>
      </c>
      <c r="Y139" s="26">
        <v>6.9949660700000001E-7</v>
      </c>
      <c r="Z139" s="26">
        <v>4.4546175299999997E-5</v>
      </c>
      <c r="AA139" s="26">
        <v>4.3622450199999998E-5</v>
      </c>
      <c r="AB139" s="26">
        <v>2.91834047E-3</v>
      </c>
      <c r="AC139" s="26">
        <v>0</v>
      </c>
      <c r="AD139" s="26">
        <v>359.825917</v>
      </c>
      <c r="AE139" s="26">
        <v>269.84217899999999</v>
      </c>
      <c r="AF139" s="26">
        <v>0</v>
      </c>
      <c r="AG139" s="26">
        <v>0</v>
      </c>
      <c r="AH139" s="26">
        <v>0</v>
      </c>
      <c r="AI139" s="26">
        <v>0</v>
      </c>
      <c r="AJ139" s="26">
        <v>0</v>
      </c>
      <c r="AK139" s="26">
        <v>0</v>
      </c>
      <c r="AL139" s="26">
        <v>0</v>
      </c>
      <c r="AM139" s="26">
        <v>0.19368490599999999</v>
      </c>
      <c r="AN139" s="26">
        <v>1.14283788E-3</v>
      </c>
      <c r="AO139" s="26">
        <v>2.5333679899999999E-3</v>
      </c>
      <c r="AP139" s="26">
        <v>0</v>
      </c>
      <c r="AQ139" s="26">
        <v>0</v>
      </c>
      <c r="AR139" s="26">
        <v>0</v>
      </c>
      <c r="AS139" s="26">
        <v>1.2371399E-2</v>
      </c>
      <c r="AT139" s="26">
        <v>0</v>
      </c>
      <c r="AU139" s="26">
        <v>0</v>
      </c>
      <c r="AV139" s="26">
        <v>3.1393840799999998E-4</v>
      </c>
      <c r="AW139" s="26">
        <v>0</v>
      </c>
      <c r="AX139" s="26">
        <v>0</v>
      </c>
      <c r="AY139" s="26">
        <v>0</v>
      </c>
      <c r="AZ139" s="26">
        <v>0</v>
      </c>
      <c r="BA139" s="26">
        <v>0</v>
      </c>
      <c r="BB139" s="26">
        <v>0</v>
      </c>
      <c r="BC139" s="26">
        <v>0</v>
      </c>
      <c r="BD139" s="26">
        <v>0</v>
      </c>
      <c r="BE139" s="26">
        <v>0</v>
      </c>
      <c r="BF139" s="26">
        <v>0</v>
      </c>
      <c r="BG139" s="26">
        <v>0</v>
      </c>
      <c r="BH139" s="26">
        <v>0</v>
      </c>
      <c r="BI139" s="26">
        <v>0</v>
      </c>
      <c r="BJ139" s="26">
        <v>0</v>
      </c>
      <c r="BK139" s="26">
        <v>0</v>
      </c>
      <c r="BL139" s="26">
        <v>0</v>
      </c>
      <c r="BM139" s="26">
        <v>0</v>
      </c>
      <c r="BN139" s="26">
        <v>0</v>
      </c>
      <c r="BO139" s="26">
        <v>896.95290999999997</v>
      </c>
      <c r="BP139" s="26">
        <v>17523.703000000001</v>
      </c>
      <c r="BQ139" s="26">
        <v>292.744484</v>
      </c>
      <c r="BR139" s="26">
        <v>30.82569060000003</v>
      </c>
      <c r="BS139" s="26">
        <v>1</v>
      </c>
      <c r="BT139" s="26">
        <v>0</v>
      </c>
      <c r="BU139" s="26">
        <v>1</v>
      </c>
      <c r="BV139" s="26">
        <v>0</v>
      </c>
      <c r="BW139" s="26">
        <v>-70444.481199999995</v>
      </c>
      <c r="BX139" s="26">
        <v>-3605.7094999999999</v>
      </c>
      <c r="BY139" s="26">
        <v>-63.1853829</v>
      </c>
      <c r="BZ139" s="26">
        <v>-39.733493600000003</v>
      </c>
      <c r="CA139" s="26">
        <v>-2.0337637900000001</v>
      </c>
      <c r="CB139" s="26">
        <v>5.1065744400000002E-2</v>
      </c>
      <c r="CC139" s="26">
        <v>0.99766769099999997</v>
      </c>
      <c r="CD139" s="26">
        <v>19.536926399999999</v>
      </c>
      <c r="CE139" s="26">
        <v>0</v>
      </c>
      <c r="CF139" s="26">
        <v>0</v>
      </c>
      <c r="CG139" s="26">
        <v>0</v>
      </c>
      <c r="CH139" s="26">
        <v>0</v>
      </c>
      <c r="CI139" s="26">
        <v>0</v>
      </c>
      <c r="CJ139" s="26">
        <v>0</v>
      </c>
      <c r="CK139" s="26">
        <v>0</v>
      </c>
      <c r="CL139" s="26">
        <v>0</v>
      </c>
      <c r="CM139" s="26">
        <v>0</v>
      </c>
      <c r="CN139" s="26">
        <v>0</v>
      </c>
      <c r="CO139" s="26">
        <v>0</v>
      </c>
      <c r="CP139" s="26">
        <v>0</v>
      </c>
      <c r="CQ139" s="26">
        <v>0</v>
      </c>
      <c r="CR139" s="26">
        <v>0</v>
      </c>
      <c r="CS139" s="26">
        <v>0</v>
      </c>
      <c r="CT139" s="26">
        <v>0</v>
      </c>
      <c r="CU139" s="26">
        <v>0</v>
      </c>
      <c r="CV139" s="26">
        <v>0</v>
      </c>
      <c r="CW139" s="26">
        <v>0</v>
      </c>
      <c r="CX139" s="26">
        <v>0</v>
      </c>
      <c r="CY139" s="26">
        <v>0</v>
      </c>
      <c r="CZ139" s="26">
        <v>0</v>
      </c>
      <c r="DA139" s="26">
        <v>0</v>
      </c>
      <c r="DB139" s="26">
        <v>0</v>
      </c>
      <c r="DC139" s="26">
        <v>0</v>
      </c>
      <c r="DD139" s="26">
        <v>0</v>
      </c>
      <c r="DE139" s="26">
        <v>0</v>
      </c>
      <c r="DF139" s="26">
        <v>0</v>
      </c>
      <c r="DG139" s="26">
        <v>0</v>
      </c>
      <c r="DH139" s="26">
        <v>0</v>
      </c>
      <c r="DI139" s="26">
        <v>0</v>
      </c>
      <c r="DJ139" s="26">
        <v>0</v>
      </c>
      <c r="DK139" s="26">
        <v>0</v>
      </c>
      <c r="DL139" s="26">
        <v>0</v>
      </c>
      <c r="DM139" s="26">
        <v>0</v>
      </c>
      <c r="DN139" s="26">
        <v>0</v>
      </c>
      <c r="DO139" s="26">
        <v>0</v>
      </c>
      <c r="DP139" s="26">
        <v>0</v>
      </c>
      <c r="DQ139" s="26">
        <v>0</v>
      </c>
      <c r="DR139" s="26">
        <v>0</v>
      </c>
      <c r="DS139" s="26">
        <v>0</v>
      </c>
      <c r="DT139" s="26">
        <v>0</v>
      </c>
      <c r="DU139" s="26">
        <v>0</v>
      </c>
      <c r="DV139" s="26">
        <v>0</v>
      </c>
      <c r="DW139" s="26">
        <v>0</v>
      </c>
      <c r="DX139" s="26">
        <v>1248.3684499999999</v>
      </c>
      <c r="DY139" s="26">
        <v>30.824772200000002</v>
      </c>
      <c r="DZ139" s="26">
        <v>12.9334709</v>
      </c>
      <c r="EA139" s="26">
        <v>420.98447599999997</v>
      </c>
      <c r="EB139" s="26">
        <v>51.302767699999997</v>
      </c>
      <c r="EC139" s="26">
        <v>12412.8158</v>
      </c>
      <c r="ED139" s="26">
        <v>0</v>
      </c>
      <c r="EE139" s="26">
        <v>2611.0290100000002</v>
      </c>
      <c r="EF139" s="26">
        <v>4087.3084199999998</v>
      </c>
      <c r="EG139" s="26">
        <v>518.19918800000005</v>
      </c>
      <c r="EH139" s="26">
        <v>57.577770599999994</v>
      </c>
      <c r="EI139" s="26">
        <v>0</v>
      </c>
      <c r="EJ139" s="26">
        <v>107.263217</v>
      </c>
      <c r="EK139" s="26">
        <v>0</v>
      </c>
      <c r="EL139" s="26">
        <v>470.73083400000002</v>
      </c>
      <c r="EM139" s="26">
        <v>0</v>
      </c>
      <c r="EN139" s="26">
        <v>0</v>
      </c>
      <c r="EO139" s="26">
        <v>0</v>
      </c>
      <c r="EP139" s="26">
        <v>311.94750299999998</v>
      </c>
      <c r="EQ139" s="26">
        <v>22029.338100000001</v>
      </c>
      <c r="ER139" s="26">
        <v>266.01619599999998</v>
      </c>
      <c r="ES139" s="26">
        <v>30.82569060000003</v>
      </c>
      <c r="ET139" s="26">
        <v>1</v>
      </c>
      <c r="EU139" s="26">
        <v>0</v>
      </c>
      <c r="EV139" s="26">
        <v>0</v>
      </c>
      <c r="EW139" s="26">
        <v>1</v>
      </c>
      <c r="EX139" s="26">
        <v>-81679.565700000006</v>
      </c>
      <c r="EY139" s="26">
        <v>-1156.62742</v>
      </c>
      <c r="EZ139" s="26">
        <v>-25.479736800000001</v>
      </c>
      <c r="FA139" s="26">
        <v>-157.93943899999999</v>
      </c>
      <c r="FB139" s="26">
        <v>-2.2365090300000001</v>
      </c>
      <c r="FC139" s="26">
        <v>1.95443927E-2</v>
      </c>
      <c r="FD139" s="26">
        <v>1.3802002899999999</v>
      </c>
      <c r="FE139" s="26">
        <v>70.618735200000003</v>
      </c>
      <c r="FF139" s="26">
        <v>0</v>
      </c>
      <c r="FG139" s="26">
        <v>0.77742840099999999</v>
      </c>
      <c r="FH139" s="26">
        <v>-103262635.5572</v>
      </c>
      <c r="FI139" s="26">
        <v>1.0847924642338953E-2</v>
      </c>
      <c r="FJ139" s="26">
        <v>0</v>
      </c>
      <c r="FK139" s="26">
        <v>0</v>
      </c>
      <c r="FL139" s="26">
        <v>0</v>
      </c>
      <c r="FM139" s="26">
        <v>0</v>
      </c>
      <c r="FN139" s="26">
        <v>0</v>
      </c>
      <c r="FO139" s="26">
        <v>0</v>
      </c>
      <c r="FP139" s="26">
        <v>0</v>
      </c>
      <c r="FQ139" s="26">
        <v>0</v>
      </c>
      <c r="FR139" s="26">
        <v>0</v>
      </c>
      <c r="FS139" s="26">
        <v>0</v>
      </c>
      <c r="FT139" s="26">
        <v>0</v>
      </c>
      <c r="FU139" s="26">
        <v>0</v>
      </c>
      <c r="FV139" s="26">
        <v>0</v>
      </c>
      <c r="FW139" s="26">
        <v>0</v>
      </c>
      <c r="FX139" s="26">
        <v>0</v>
      </c>
      <c r="FY139" s="26">
        <v>0</v>
      </c>
      <c r="FZ139" s="26">
        <v>0</v>
      </c>
      <c r="GA139" s="26">
        <v>0</v>
      </c>
      <c r="GB139" s="26">
        <v>0</v>
      </c>
      <c r="GC139" s="26">
        <v>0</v>
      </c>
      <c r="GD139" s="26">
        <v>0</v>
      </c>
      <c r="GE139" s="26">
        <v>0</v>
      </c>
      <c r="GF139" s="26">
        <v>0</v>
      </c>
      <c r="GG139" s="26">
        <v>0</v>
      </c>
      <c r="GH139" s="26">
        <v>0</v>
      </c>
      <c r="GI139" s="26">
        <v>0</v>
      </c>
      <c r="GJ139" s="26">
        <v>0</v>
      </c>
      <c r="GK139" s="26">
        <v>0</v>
      </c>
      <c r="GL139" s="26">
        <v>0</v>
      </c>
      <c r="GM139" s="26">
        <v>0</v>
      </c>
      <c r="GN139" s="26">
        <v>0</v>
      </c>
      <c r="GO139" s="26">
        <v>0</v>
      </c>
      <c r="GP139" s="26">
        <v>0</v>
      </c>
      <c r="GQ139" s="26">
        <v>0</v>
      </c>
      <c r="GR139" s="26">
        <v>0</v>
      </c>
      <c r="GS139" s="26">
        <v>0</v>
      </c>
      <c r="GT139" s="26">
        <v>0</v>
      </c>
      <c r="GU139" s="26">
        <v>0</v>
      </c>
      <c r="GV139" s="26">
        <v>0</v>
      </c>
      <c r="GW139" s="26">
        <v>0</v>
      </c>
      <c r="GX139" s="26">
        <v>0</v>
      </c>
      <c r="GY139" s="26">
        <v>0</v>
      </c>
      <c r="GZ139" s="26">
        <v>0</v>
      </c>
      <c r="HA139" s="26">
        <v>0</v>
      </c>
      <c r="HB139" s="26">
        <v>0</v>
      </c>
      <c r="HC139" s="26">
        <v>0</v>
      </c>
      <c r="HD139" s="26">
        <v>0</v>
      </c>
      <c r="HE139" s="26">
        <v>0</v>
      </c>
      <c r="HF139" s="26">
        <v>0</v>
      </c>
      <c r="HG139" s="26">
        <v>0</v>
      </c>
      <c r="HH139" s="26">
        <v>0</v>
      </c>
      <c r="HI139" s="26">
        <v>0</v>
      </c>
      <c r="HJ139" s="26">
        <v>0</v>
      </c>
      <c r="HK139" s="26">
        <v>0</v>
      </c>
      <c r="HL139" s="26">
        <v>0</v>
      </c>
      <c r="HM139" s="26">
        <v>0</v>
      </c>
      <c r="HN139" s="26">
        <v>0</v>
      </c>
      <c r="HO139" s="26">
        <v>0</v>
      </c>
      <c r="HP139" s="26">
        <v>0</v>
      </c>
      <c r="HQ139" s="26">
        <v>0</v>
      </c>
      <c r="HR139" s="26">
        <v>0</v>
      </c>
      <c r="HS139" s="26">
        <v>0</v>
      </c>
      <c r="HT139" s="26">
        <v>0.24356312278183831</v>
      </c>
    </row>
    <row r="140" spans="2:228" x14ac:dyDescent="0.2">
      <c r="B140" s="27" t="s">
        <v>3490</v>
      </c>
      <c r="C140" s="26">
        <v>360552.68900000001</v>
      </c>
      <c r="D140" s="26">
        <v>-1236.6612</v>
      </c>
      <c r="E140" s="26">
        <v>300792.63900000002</v>
      </c>
      <c r="F140" s="26">
        <v>5.0258528900000004</v>
      </c>
      <c r="G140" s="26">
        <v>25383.697700000001</v>
      </c>
      <c r="H140" s="26">
        <v>1008.5639500000001</v>
      </c>
      <c r="I140" s="26">
        <v>423.17368499999998</v>
      </c>
      <c r="J140" s="26">
        <v>14087.2462</v>
      </c>
      <c r="K140" s="26">
        <v>1716.7253599999999</v>
      </c>
      <c r="L140" s="26">
        <v>283.07807700000001</v>
      </c>
      <c r="M140" s="26">
        <v>0</v>
      </c>
      <c r="N140" s="26">
        <v>968.84270800000013</v>
      </c>
      <c r="O140" s="26">
        <v>24.450108700000001</v>
      </c>
      <c r="P140" s="26">
        <v>10.2587869</v>
      </c>
      <c r="Q140" s="26">
        <v>333.92119700000001</v>
      </c>
      <c r="R140" s="26">
        <v>40.692905699999997</v>
      </c>
      <c r="S140" s="26">
        <v>10438.1248</v>
      </c>
      <c r="T140" s="26">
        <v>561.34141099999999</v>
      </c>
      <c r="U140" s="26">
        <v>315.72803499999998</v>
      </c>
      <c r="V140" s="26">
        <v>287.35541899999998</v>
      </c>
      <c r="W140" s="26">
        <v>0</v>
      </c>
      <c r="X140" s="26">
        <v>35.707076100000002</v>
      </c>
      <c r="Y140" s="26">
        <v>4.1246179300000002E-5</v>
      </c>
      <c r="Z140" s="26">
        <v>2.6266882700000001E-3</v>
      </c>
      <c r="AA140" s="26">
        <v>2.57222034E-3</v>
      </c>
      <c r="AB140" s="26">
        <v>0.17208145499999999</v>
      </c>
      <c r="AC140" s="26">
        <v>0</v>
      </c>
      <c r="AD140" s="26">
        <v>2121.7321299999999</v>
      </c>
      <c r="AE140" s="26">
        <v>1591.1383699999999</v>
      </c>
      <c r="AF140" s="26">
        <v>0</v>
      </c>
      <c r="AG140" s="26">
        <v>0</v>
      </c>
      <c r="AH140" s="26">
        <v>0</v>
      </c>
      <c r="AI140" s="26">
        <v>0</v>
      </c>
      <c r="AJ140" s="26">
        <v>0</v>
      </c>
      <c r="AK140" s="26">
        <v>0</v>
      </c>
      <c r="AL140" s="26">
        <v>0</v>
      </c>
      <c r="AM140" s="26">
        <v>11.420730600000001</v>
      </c>
      <c r="AN140" s="26">
        <v>6.7388026599999998E-2</v>
      </c>
      <c r="AO140" s="26">
        <v>0.14938135399999999</v>
      </c>
      <c r="AP140" s="26">
        <v>0</v>
      </c>
      <c r="AQ140" s="26">
        <v>0</v>
      </c>
      <c r="AR140" s="26">
        <v>0</v>
      </c>
      <c r="AS140" s="26">
        <v>0.72948594200000005</v>
      </c>
      <c r="AT140" s="26">
        <v>0</v>
      </c>
      <c r="AU140" s="26">
        <v>0</v>
      </c>
      <c r="AV140" s="26">
        <v>1.8511540600000002E-3</v>
      </c>
      <c r="AW140" s="26">
        <v>0</v>
      </c>
      <c r="AX140" s="26">
        <v>0</v>
      </c>
      <c r="AY140" s="26">
        <v>0</v>
      </c>
      <c r="AZ140" s="26">
        <v>0</v>
      </c>
      <c r="BA140" s="26">
        <v>0</v>
      </c>
      <c r="BB140" s="26">
        <v>0</v>
      </c>
      <c r="BC140" s="26">
        <v>0</v>
      </c>
      <c r="BD140" s="26">
        <v>0</v>
      </c>
      <c r="BE140" s="26">
        <v>0</v>
      </c>
      <c r="BF140" s="26">
        <v>0</v>
      </c>
      <c r="BG140" s="26">
        <v>0</v>
      </c>
      <c r="BH140" s="26">
        <v>0</v>
      </c>
      <c r="BI140" s="26">
        <v>0</v>
      </c>
      <c r="BJ140" s="26">
        <v>0</v>
      </c>
      <c r="BK140" s="26">
        <v>0</v>
      </c>
      <c r="BL140" s="26">
        <v>0</v>
      </c>
      <c r="BM140" s="26">
        <v>0</v>
      </c>
      <c r="BN140" s="26">
        <v>0</v>
      </c>
      <c r="BO140" s="26">
        <v>17064.893400000001</v>
      </c>
      <c r="BP140" s="26">
        <v>360441.989</v>
      </c>
      <c r="BQ140" s="26">
        <v>5570.0682900000002</v>
      </c>
      <c r="BR140" s="26">
        <v>32</v>
      </c>
      <c r="BS140" s="26">
        <v>1</v>
      </c>
      <c r="BT140" s="26">
        <v>0</v>
      </c>
      <c r="BU140" s="26">
        <v>1</v>
      </c>
      <c r="BV140" s="26">
        <v>0</v>
      </c>
      <c r="BW140" s="26">
        <v>-72460.645399999994</v>
      </c>
      <c r="BX140" s="26">
        <v>-3430.6025</v>
      </c>
      <c r="BY140" s="26">
        <v>-1236.5332000000001</v>
      </c>
      <c r="BZ140" s="26">
        <v>-42.481349399999999</v>
      </c>
      <c r="CA140" s="26">
        <v>-2.0112520699999998</v>
      </c>
      <c r="CB140" s="26">
        <v>5.1061292500000001E-2</v>
      </c>
      <c r="CC140" s="26">
        <v>1.0785085700000001</v>
      </c>
      <c r="CD140" s="26">
        <v>21.121842399999998</v>
      </c>
      <c r="CE140" s="26">
        <v>0</v>
      </c>
      <c r="CF140" s="26">
        <v>0</v>
      </c>
      <c r="CG140" s="26">
        <v>0</v>
      </c>
      <c r="CH140" s="26">
        <v>0</v>
      </c>
      <c r="CI140" s="26">
        <v>0</v>
      </c>
      <c r="CJ140" s="26">
        <v>0</v>
      </c>
      <c r="CK140" s="26">
        <v>0</v>
      </c>
      <c r="CL140" s="26">
        <v>0</v>
      </c>
      <c r="CM140" s="26">
        <v>0</v>
      </c>
      <c r="CN140" s="26">
        <v>0</v>
      </c>
      <c r="CO140" s="26">
        <v>0</v>
      </c>
      <c r="CP140" s="26">
        <v>0</v>
      </c>
      <c r="CQ140" s="26">
        <v>0</v>
      </c>
      <c r="CR140" s="26">
        <v>0</v>
      </c>
      <c r="CS140" s="26">
        <v>0</v>
      </c>
      <c r="CT140" s="26">
        <v>0</v>
      </c>
      <c r="CU140" s="26">
        <v>0</v>
      </c>
      <c r="CV140" s="26">
        <v>0</v>
      </c>
      <c r="CW140" s="26">
        <v>0</v>
      </c>
      <c r="CX140" s="26">
        <v>0</v>
      </c>
      <c r="CY140" s="26">
        <v>0</v>
      </c>
      <c r="CZ140" s="26">
        <v>0</v>
      </c>
      <c r="DA140" s="26">
        <v>0</v>
      </c>
      <c r="DB140" s="26">
        <v>0</v>
      </c>
      <c r="DC140" s="26">
        <v>0</v>
      </c>
      <c r="DD140" s="26">
        <v>0</v>
      </c>
      <c r="DE140" s="26">
        <v>0</v>
      </c>
      <c r="DF140" s="26">
        <v>0</v>
      </c>
      <c r="DG140" s="26">
        <v>0</v>
      </c>
      <c r="DH140" s="26">
        <v>0</v>
      </c>
      <c r="DI140" s="26">
        <v>0</v>
      </c>
      <c r="DJ140" s="26">
        <v>0</v>
      </c>
      <c r="DK140" s="26">
        <v>0</v>
      </c>
      <c r="DL140" s="26">
        <v>0</v>
      </c>
      <c r="DM140" s="26">
        <v>0</v>
      </c>
      <c r="DN140" s="26">
        <v>0</v>
      </c>
      <c r="DO140" s="26">
        <v>0</v>
      </c>
      <c r="DP140" s="26">
        <v>0</v>
      </c>
      <c r="DQ140" s="26">
        <v>0</v>
      </c>
      <c r="DR140" s="26">
        <v>0</v>
      </c>
      <c r="DS140" s="26">
        <v>0</v>
      </c>
      <c r="DT140" s="26">
        <v>0</v>
      </c>
      <c r="DU140" s="26">
        <v>0</v>
      </c>
      <c r="DV140" s="26">
        <v>0</v>
      </c>
      <c r="DW140" s="26">
        <v>0</v>
      </c>
      <c r="DX140" s="26">
        <v>6.2732083100000002</v>
      </c>
      <c r="DY140" s="26">
        <v>0.15489835299999999</v>
      </c>
      <c r="DZ140" s="26">
        <v>6.49923159E-2</v>
      </c>
      <c r="EA140" s="26">
        <v>2.1154998800000002</v>
      </c>
      <c r="EB140" s="26">
        <v>0.257802853</v>
      </c>
      <c r="EC140" s="26">
        <v>62.375958500000003</v>
      </c>
      <c r="ED140" s="26">
        <v>0</v>
      </c>
      <c r="EE140" s="26">
        <v>13.120748799999999</v>
      </c>
      <c r="EF140" s="26">
        <v>20.539238300000001</v>
      </c>
      <c r="EG140" s="26">
        <v>2.60401602</v>
      </c>
      <c r="EH140" s="26">
        <v>0.28933553099999998</v>
      </c>
      <c r="EI140" s="26">
        <v>0</v>
      </c>
      <c r="EJ140" s="26">
        <v>0.53901114000000006</v>
      </c>
      <c r="EK140" s="26">
        <v>0</v>
      </c>
      <c r="EL140" s="26">
        <v>2.36548158</v>
      </c>
      <c r="EM140" s="26">
        <v>0</v>
      </c>
      <c r="EN140" s="26">
        <v>0</v>
      </c>
      <c r="EO140" s="26">
        <v>0</v>
      </c>
      <c r="EP140" s="26">
        <v>1.56757539</v>
      </c>
      <c r="EQ140" s="26">
        <v>110.700192</v>
      </c>
      <c r="ER140" s="26">
        <v>1.3367648000000001</v>
      </c>
      <c r="ES140" s="26">
        <v>32</v>
      </c>
      <c r="ET140" s="26">
        <v>1</v>
      </c>
      <c r="EU140" s="26">
        <v>0</v>
      </c>
      <c r="EV140" s="26">
        <v>0</v>
      </c>
      <c r="EW140" s="26">
        <v>1</v>
      </c>
      <c r="EX140" s="26">
        <v>-81656.433699999994</v>
      </c>
      <c r="EY140" s="26">
        <v>-1156.2998600000001</v>
      </c>
      <c r="EZ140" s="26">
        <v>-0.12800261700000001</v>
      </c>
      <c r="FA140" s="26">
        <v>-157.86348699999999</v>
      </c>
      <c r="FB140" s="26">
        <v>-2.23543351</v>
      </c>
      <c r="FC140" s="26">
        <v>1.95443927E-2</v>
      </c>
      <c r="FD140" s="26">
        <v>1.3802002899999999</v>
      </c>
      <c r="FE140" s="26">
        <v>70.618735200000003</v>
      </c>
      <c r="FF140" s="26">
        <v>0</v>
      </c>
      <c r="FG140" s="26">
        <v>0.172008992</v>
      </c>
      <c r="FH140" s="26">
        <v>-1440729482.3100002</v>
      </c>
      <c r="FI140" s="26">
        <v>0.5364442265137761</v>
      </c>
      <c r="FJ140" s="26">
        <v>0</v>
      </c>
      <c r="FK140" s="26">
        <v>0</v>
      </c>
      <c r="FL140" s="26">
        <v>0</v>
      </c>
      <c r="FM140" s="26">
        <v>0</v>
      </c>
      <c r="FN140" s="26">
        <v>0</v>
      </c>
      <c r="FO140" s="26">
        <v>0</v>
      </c>
      <c r="FP140" s="26">
        <v>0</v>
      </c>
      <c r="FQ140" s="26">
        <v>0</v>
      </c>
      <c r="FR140" s="26">
        <v>0</v>
      </c>
      <c r="FS140" s="26">
        <v>0</v>
      </c>
      <c r="FT140" s="26">
        <v>0</v>
      </c>
      <c r="FU140" s="26">
        <v>0</v>
      </c>
      <c r="FV140" s="26">
        <v>0</v>
      </c>
      <c r="FW140" s="26">
        <v>0</v>
      </c>
      <c r="FX140" s="26">
        <v>0</v>
      </c>
      <c r="FY140" s="26">
        <v>0</v>
      </c>
      <c r="FZ140" s="26">
        <v>0</v>
      </c>
      <c r="GA140" s="26">
        <v>0</v>
      </c>
      <c r="GB140" s="26">
        <v>0</v>
      </c>
      <c r="GC140" s="26">
        <v>0</v>
      </c>
      <c r="GD140" s="26">
        <v>0</v>
      </c>
      <c r="GE140" s="26">
        <v>0</v>
      </c>
      <c r="GF140" s="26">
        <v>0</v>
      </c>
      <c r="GG140" s="26">
        <v>0</v>
      </c>
      <c r="GH140" s="26">
        <v>0</v>
      </c>
      <c r="GI140" s="26">
        <v>0</v>
      </c>
      <c r="GJ140" s="26">
        <v>0</v>
      </c>
      <c r="GK140" s="26">
        <v>0</v>
      </c>
      <c r="GL140" s="26">
        <v>0</v>
      </c>
      <c r="GM140" s="26">
        <v>0</v>
      </c>
      <c r="GN140" s="26">
        <v>0</v>
      </c>
      <c r="GO140" s="26">
        <v>0</v>
      </c>
      <c r="GP140" s="26">
        <v>0</v>
      </c>
      <c r="GQ140" s="26">
        <v>0</v>
      </c>
      <c r="GR140" s="26">
        <v>0</v>
      </c>
      <c r="GS140" s="26">
        <v>0</v>
      </c>
      <c r="GT140" s="26">
        <v>0</v>
      </c>
      <c r="GU140" s="26">
        <v>0</v>
      </c>
      <c r="GV140" s="26">
        <v>0</v>
      </c>
      <c r="GW140" s="26">
        <v>0</v>
      </c>
      <c r="GX140" s="26">
        <v>0</v>
      </c>
      <c r="GY140" s="26">
        <v>0</v>
      </c>
      <c r="GZ140" s="26">
        <v>0</v>
      </c>
      <c r="HA140" s="26">
        <v>0</v>
      </c>
      <c r="HB140" s="26">
        <v>0</v>
      </c>
      <c r="HC140" s="26">
        <v>0</v>
      </c>
      <c r="HD140" s="26">
        <v>0</v>
      </c>
      <c r="HE140" s="26">
        <v>0</v>
      </c>
      <c r="HF140" s="26">
        <v>0</v>
      </c>
      <c r="HG140" s="26">
        <v>0</v>
      </c>
      <c r="HH140" s="26">
        <v>0</v>
      </c>
      <c r="HI140" s="26">
        <v>0</v>
      </c>
      <c r="HJ140" s="26">
        <v>0</v>
      </c>
      <c r="HK140" s="26">
        <v>0</v>
      </c>
      <c r="HL140" s="26">
        <v>0</v>
      </c>
      <c r="HM140" s="26">
        <v>0</v>
      </c>
      <c r="HN140" s="26">
        <v>0</v>
      </c>
      <c r="HO140" s="26">
        <v>0</v>
      </c>
      <c r="HP140" s="26">
        <v>0</v>
      </c>
      <c r="HQ140" s="26">
        <v>0</v>
      </c>
      <c r="HR140" s="26">
        <v>0</v>
      </c>
      <c r="HS140" s="26">
        <v>0</v>
      </c>
      <c r="HT140" s="26">
        <v>1.2239352903470379E-3</v>
      </c>
    </row>
    <row r="141" spans="2:228" x14ac:dyDescent="0.2">
      <c r="B141" s="27" t="s">
        <v>3492</v>
      </c>
      <c r="C141" s="26">
        <v>136117.30300000001</v>
      </c>
      <c r="D141" s="26">
        <v>-367.92711100000002</v>
      </c>
      <c r="E141" s="26">
        <v>68154.141000000003</v>
      </c>
      <c r="F141" s="26">
        <v>1.0012147399999999E-2</v>
      </c>
      <c r="G141" s="26">
        <v>29258.051499999998</v>
      </c>
      <c r="H141" s="26">
        <v>1162.5026499999999</v>
      </c>
      <c r="I141" s="26">
        <v>487.76335100000006</v>
      </c>
      <c r="J141" s="26">
        <v>16237.402299999998</v>
      </c>
      <c r="K141" s="26">
        <v>1978.7515599999999</v>
      </c>
      <c r="L141" s="26">
        <v>326.28403500000002</v>
      </c>
      <c r="M141" s="26">
        <v>0</v>
      </c>
      <c r="N141" s="26">
        <v>1116.7186999999999</v>
      </c>
      <c r="O141" s="26">
        <v>28.181967399999998</v>
      </c>
      <c r="P141" s="26">
        <v>11.824601700000001</v>
      </c>
      <c r="Q141" s="26">
        <v>384.888057</v>
      </c>
      <c r="R141" s="26">
        <v>46.903920900000003</v>
      </c>
      <c r="S141" s="26">
        <v>12031.3122</v>
      </c>
      <c r="T141" s="26">
        <v>646.80224199999998</v>
      </c>
      <c r="U141" s="26">
        <v>360.48073900000003</v>
      </c>
      <c r="V141" s="26">
        <v>7.5231687100000011</v>
      </c>
      <c r="W141" s="26">
        <v>0</v>
      </c>
      <c r="X141" s="26">
        <v>41.020401200000002</v>
      </c>
      <c r="Y141" s="26">
        <v>4.75416463E-5</v>
      </c>
      <c r="Z141" s="26">
        <v>3.0273366700000002E-3</v>
      </c>
      <c r="AA141" s="26">
        <v>2.96474999E-3</v>
      </c>
      <c r="AB141" s="26">
        <v>1.29320873E-4</v>
      </c>
      <c r="AC141" s="26">
        <v>0</v>
      </c>
      <c r="AD141" s="26">
        <v>2121.7321299999999</v>
      </c>
      <c r="AE141" s="26">
        <v>1591.1383699999999</v>
      </c>
      <c r="AF141" s="26">
        <v>0</v>
      </c>
      <c r="AG141" s="26">
        <v>0</v>
      </c>
      <c r="AH141" s="26">
        <v>0</v>
      </c>
      <c r="AI141" s="26">
        <v>0</v>
      </c>
      <c r="AJ141" s="26">
        <v>0</v>
      </c>
      <c r="AK141" s="26">
        <v>0</v>
      </c>
      <c r="AL141" s="26">
        <v>0</v>
      </c>
      <c r="AM141" s="26">
        <v>13.163862999999999</v>
      </c>
      <c r="AN141" s="26">
        <v>3.86501548E-10</v>
      </c>
      <c r="AO141" s="26">
        <v>2.5149005299999997E-10</v>
      </c>
      <c r="AP141" s="26">
        <v>0</v>
      </c>
      <c r="AQ141" s="26">
        <v>0</v>
      </c>
      <c r="AR141" s="26">
        <v>0</v>
      </c>
      <c r="AS141" s="26">
        <v>2.7204798299999999E-7</v>
      </c>
      <c r="AT141" s="26">
        <v>0</v>
      </c>
      <c r="AU141" s="26">
        <v>0</v>
      </c>
      <c r="AV141" s="26">
        <v>1.12822591E-7</v>
      </c>
      <c r="AW141" s="26">
        <v>0</v>
      </c>
      <c r="AX141" s="26">
        <v>0</v>
      </c>
      <c r="AY141" s="26">
        <v>0</v>
      </c>
      <c r="AZ141" s="26">
        <v>0</v>
      </c>
      <c r="BA141" s="26">
        <v>0</v>
      </c>
      <c r="BB141" s="26">
        <v>0</v>
      </c>
      <c r="BC141" s="26">
        <v>0</v>
      </c>
      <c r="BD141" s="26">
        <v>0</v>
      </c>
      <c r="BE141" s="26">
        <v>0</v>
      </c>
      <c r="BF141" s="26">
        <v>0</v>
      </c>
      <c r="BG141" s="26">
        <v>0</v>
      </c>
      <c r="BH141" s="26">
        <v>0</v>
      </c>
      <c r="BI141" s="26">
        <v>0</v>
      </c>
      <c r="BJ141" s="26">
        <v>0</v>
      </c>
      <c r="BK141" s="26">
        <v>0</v>
      </c>
      <c r="BL141" s="26">
        <v>0</v>
      </c>
      <c r="BM141" s="26">
        <v>0</v>
      </c>
      <c r="BN141" s="26">
        <v>0</v>
      </c>
      <c r="BO141" s="26">
        <v>4198.5532499999999</v>
      </c>
      <c r="BP141" s="26">
        <v>136006.603</v>
      </c>
      <c r="BQ141" s="26">
        <v>1681.7292299999999</v>
      </c>
      <c r="BR141" s="26">
        <v>62.624328199999979</v>
      </c>
      <c r="BS141" s="26">
        <v>0.2</v>
      </c>
      <c r="BT141" s="26">
        <v>0</v>
      </c>
      <c r="BU141" s="26">
        <v>1</v>
      </c>
      <c r="BV141" s="26">
        <v>0</v>
      </c>
      <c r="BW141" s="26">
        <v>-87601.622600000002</v>
      </c>
      <c r="BX141" s="26">
        <v>-2704.2810399999998</v>
      </c>
      <c r="BY141" s="26">
        <v>-367.80007999999998</v>
      </c>
      <c r="BZ141" s="26">
        <v>-55.347998099999998</v>
      </c>
      <c r="CA141" s="26">
        <v>-1.7086046699999999</v>
      </c>
      <c r="CB141" s="26">
        <v>4.1609484600000003E-2</v>
      </c>
      <c r="CC141" s="26">
        <v>1.34788446</v>
      </c>
      <c r="CD141" s="26">
        <v>32.393683000000003</v>
      </c>
      <c r="CE141" s="26">
        <v>0</v>
      </c>
      <c r="CF141" s="26">
        <v>0</v>
      </c>
      <c r="CG141" s="26">
        <v>0</v>
      </c>
      <c r="CH141" s="26">
        <v>0</v>
      </c>
      <c r="CI141" s="26">
        <v>0</v>
      </c>
      <c r="CJ141" s="26">
        <v>0</v>
      </c>
      <c r="CK141" s="26">
        <v>0</v>
      </c>
      <c r="CL141" s="26">
        <v>0</v>
      </c>
      <c r="CM141" s="26">
        <v>0</v>
      </c>
      <c r="CN141" s="26">
        <v>0</v>
      </c>
      <c r="CO141" s="26">
        <v>0</v>
      </c>
      <c r="CP141" s="26">
        <v>0</v>
      </c>
      <c r="CQ141" s="26">
        <v>0</v>
      </c>
      <c r="CR141" s="26">
        <v>0</v>
      </c>
      <c r="CS141" s="26">
        <v>0</v>
      </c>
      <c r="CT141" s="26">
        <v>0</v>
      </c>
      <c r="CU141" s="26">
        <v>0</v>
      </c>
      <c r="CV141" s="26">
        <v>0</v>
      </c>
      <c r="CW141" s="26">
        <v>0</v>
      </c>
      <c r="CX141" s="26">
        <v>0</v>
      </c>
      <c r="CY141" s="26">
        <v>0</v>
      </c>
      <c r="CZ141" s="26">
        <v>0</v>
      </c>
      <c r="DA141" s="26">
        <v>0</v>
      </c>
      <c r="DB141" s="26">
        <v>0</v>
      </c>
      <c r="DC141" s="26">
        <v>0</v>
      </c>
      <c r="DD141" s="26">
        <v>0</v>
      </c>
      <c r="DE141" s="26">
        <v>0</v>
      </c>
      <c r="DF141" s="26">
        <v>0</v>
      </c>
      <c r="DG141" s="26">
        <v>0</v>
      </c>
      <c r="DH141" s="26">
        <v>0</v>
      </c>
      <c r="DI141" s="26">
        <v>0</v>
      </c>
      <c r="DJ141" s="26">
        <v>0</v>
      </c>
      <c r="DK141" s="26">
        <v>0</v>
      </c>
      <c r="DL141" s="26">
        <v>0</v>
      </c>
      <c r="DM141" s="26">
        <v>0</v>
      </c>
      <c r="DN141" s="26">
        <v>0</v>
      </c>
      <c r="DO141" s="26">
        <v>0</v>
      </c>
      <c r="DP141" s="26">
        <v>0</v>
      </c>
      <c r="DQ141" s="26">
        <v>0</v>
      </c>
      <c r="DR141" s="26">
        <v>0</v>
      </c>
      <c r="DS141" s="26">
        <v>0</v>
      </c>
      <c r="DT141" s="26">
        <v>0</v>
      </c>
      <c r="DU141" s="26">
        <v>0</v>
      </c>
      <c r="DV141" s="26">
        <v>0</v>
      </c>
      <c r="DW141" s="26">
        <v>0</v>
      </c>
      <c r="DX141" s="26">
        <v>6.2732083100000002</v>
      </c>
      <c r="DY141" s="26">
        <v>0.15489835299999999</v>
      </c>
      <c r="DZ141" s="26">
        <v>6.49923159E-2</v>
      </c>
      <c r="EA141" s="26">
        <v>2.1154998800000002</v>
      </c>
      <c r="EB141" s="26">
        <v>0.257802853</v>
      </c>
      <c r="EC141" s="26">
        <v>62.375958500000003</v>
      </c>
      <c r="ED141" s="26">
        <v>0</v>
      </c>
      <c r="EE141" s="26">
        <v>13.120748799999999</v>
      </c>
      <c r="EF141" s="26">
        <v>20.539238300000001</v>
      </c>
      <c r="EG141" s="26">
        <v>2.60401602</v>
      </c>
      <c r="EH141" s="26">
        <v>0.28933553099999998</v>
      </c>
      <c r="EI141" s="26">
        <v>0</v>
      </c>
      <c r="EJ141" s="26">
        <v>0.53901114000000006</v>
      </c>
      <c r="EK141" s="26">
        <v>0</v>
      </c>
      <c r="EL141" s="26">
        <v>2.36548158</v>
      </c>
      <c r="EM141" s="26">
        <v>0</v>
      </c>
      <c r="EN141" s="26">
        <v>0</v>
      </c>
      <c r="EO141" s="26">
        <v>0</v>
      </c>
      <c r="EP141" s="26">
        <v>1.56757539</v>
      </c>
      <c r="EQ141" s="26">
        <v>110.700192</v>
      </c>
      <c r="ER141" s="26">
        <v>1.3367648000000001</v>
      </c>
      <c r="ES141" s="26">
        <v>62.624328199999979</v>
      </c>
      <c r="ET141" s="26">
        <v>0.2</v>
      </c>
      <c r="EU141" s="26">
        <v>0</v>
      </c>
      <c r="EV141" s="26">
        <v>0</v>
      </c>
      <c r="EW141" s="26">
        <v>1</v>
      </c>
      <c r="EX141" s="26">
        <v>-81036.476299999995</v>
      </c>
      <c r="EY141" s="26">
        <v>-1147.5209199999999</v>
      </c>
      <c r="EZ141" s="26">
        <v>-0.12703078700000001</v>
      </c>
      <c r="FA141" s="26">
        <v>-155.92824100000001</v>
      </c>
      <c r="FB141" s="26">
        <v>-2.2080293700000002</v>
      </c>
      <c r="FC141" s="26">
        <v>1.95443927E-2</v>
      </c>
      <c r="FD141" s="26">
        <v>1.3802002899999999</v>
      </c>
      <c r="FE141" s="26">
        <v>70.618735200000003</v>
      </c>
      <c r="FF141" s="26">
        <v>0</v>
      </c>
      <c r="FG141" s="26">
        <v>0.51942818300000004</v>
      </c>
      <c r="FH141" s="26">
        <v>-432129187.85999995</v>
      </c>
      <c r="FI141" s="26">
        <v>0.61176839933859162</v>
      </c>
      <c r="FJ141" s="26">
        <v>0</v>
      </c>
      <c r="FK141" s="26">
        <v>0</v>
      </c>
      <c r="FL141" s="26">
        <v>0</v>
      </c>
      <c r="FM141" s="26">
        <v>0</v>
      </c>
      <c r="FN141" s="26">
        <v>0</v>
      </c>
      <c r="FO141" s="26">
        <v>0</v>
      </c>
      <c r="FP141" s="26">
        <v>0</v>
      </c>
      <c r="FQ141" s="26">
        <v>0</v>
      </c>
      <c r="FR141" s="26">
        <v>0</v>
      </c>
      <c r="FS141" s="26">
        <v>0</v>
      </c>
      <c r="FT141" s="26">
        <v>0</v>
      </c>
      <c r="FU141" s="26">
        <v>0</v>
      </c>
      <c r="FV141" s="26">
        <v>0</v>
      </c>
      <c r="FW141" s="26">
        <v>0</v>
      </c>
      <c r="FX141" s="26">
        <v>0</v>
      </c>
      <c r="FY141" s="26">
        <v>0</v>
      </c>
      <c r="FZ141" s="26">
        <v>0</v>
      </c>
      <c r="GA141" s="26">
        <v>0</v>
      </c>
      <c r="GB141" s="26">
        <v>0</v>
      </c>
      <c r="GC141" s="26">
        <v>0</v>
      </c>
      <c r="GD141" s="26">
        <v>0</v>
      </c>
      <c r="GE141" s="26">
        <v>0</v>
      </c>
      <c r="GF141" s="26">
        <v>0</v>
      </c>
      <c r="GG141" s="26">
        <v>0</v>
      </c>
      <c r="GH141" s="26">
        <v>0</v>
      </c>
      <c r="GI141" s="26">
        <v>0</v>
      </c>
      <c r="GJ141" s="26">
        <v>0</v>
      </c>
      <c r="GK141" s="26">
        <v>0</v>
      </c>
      <c r="GL141" s="26">
        <v>0</v>
      </c>
      <c r="GM141" s="26">
        <v>0</v>
      </c>
      <c r="GN141" s="26">
        <v>0</v>
      </c>
      <c r="GO141" s="26">
        <v>0</v>
      </c>
      <c r="GP141" s="26">
        <v>0</v>
      </c>
      <c r="GQ141" s="26">
        <v>0</v>
      </c>
      <c r="GR141" s="26">
        <v>0</v>
      </c>
      <c r="GS141" s="26">
        <v>0</v>
      </c>
      <c r="GT141" s="26">
        <v>0</v>
      </c>
      <c r="GU141" s="26">
        <v>0</v>
      </c>
      <c r="GV141" s="26">
        <v>0</v>
      </c>
      <c r="GW141" s="26">
        <v>0</v>
      </c>
      <c r="GX141" s="26">
        <v>0</v>
      </c>
      <c r="GY141" s="26">
        <v>0</v>
      </c>
      <c r="GZ141" s="26">
        <v>0</v>
      </c>
      <c r="HA141" s="26">
        <v>0</v>
      </c>
      <c r="HB141" s="26">
        <v>0</v>
      </c>
      <c r="HC141" s="26">
        <v>0</v>
      </c>
      <c r="HD141" s="26">
        <v>0</v>
      </c>
      <c r="HE141" s="26">
        <v>0</v>
      </c>
      <c r="HF141" s="26">
        <v>0</v>
      </c>
      <c r="HG141" s="26">
        <v>0</v>
      </c>
      <c r="HH141" s="26">
        <v>0</v>
      </c>
      <c r="HI141" s="26">
        <v>0</v>
      </c>
      <c r="HJ141" s="26">
        <v>0</v>
      </c>
      <c r="HK141" s="26">
        <v>0</v>
      </c>
      <c r="HL141" s="26">
        <v>0</v>
      </c>
      <c r="HM141" s="26">
        <v>0</v>
      </c>
      <c r="HN141" s="26">
        <v>0</v>
      </c>
      <c r="HO141" s="26">
        <v>0</v>
      </c>
      <c r="HP141" s="26">
        <v>0</v>
      </c>
      <c r="HQ141" s="26">
        <v>0</v>
      </c>
      <c r="HR141" s="26">
        <v>0</v>
      </c>
      <c r="HS141" s="26">
        <v>0</v>
      </c>
      <c r="HT141" s="26">
        <v>1.2239352903470379E-3</v>
      </c>
    </row>
    <row r="142" spans="2:228" x14ac:dyDescent="0.2">
      <c r="B142" s="27" t="s">
        <v>3491</v>
      </c>
      <c r="C142" s="26">
        <v>83156.926900000006</v>
      </c>
      <c r="D142" s="26">
        <v>-235.17698099999998</v>
      </c>
      <c r="E142" s="26">
        <v>51011.617100000003</v>
      </c>
      <c r="F142" s="26">
        <v>0.85233762400000002</v>
      </c>
      <c r="G142" s="26">
        <v>4304.8376200000002</v>
      </c>
      <c r="H142" s="26">
        <v>171.04300900000001</v>
      </c>
      <c r="I142" s="26">
        <v>71.766297399999999</v>
      </c>
      <c r="J142" s="26">
        <v>2389.0651499999999</v>
      </c>
      <c r="K142" s="26">
        <v>291.140558</v>
      </c>
      <c r="L142" s="26">
        <v>48.007393100000002</v>
      </c>
      <c r="M142" s="26">
        <v>0</v>
      </c>
      <c r="N142" s="26">
        <v>164.306658</v>
      </c>
      <c r="O142" s="26">
        <v>4.1465096700000004</v>
      </c>
      <c r="P142" s="26">
        <v>1.73979427</v>
      </c>
      <c r="Q142" s="26">
        <v>56.629910600000002</v>
      </c>
      <c r="R142" s="26">
        <v>6.9011360599999998</v>
      </c>
      <c r="S142" s="26">
        <v>1770.2083</v>
      </c>
      <c r="T142" s="26">
        <v>95.198250999999999</v>
      </c>
      <c r="U142" s="26">
        <v>53.544520599999998</v>
      </c>
      <c r="V142" s="26">
        <v>48.732790299999998</v>
      </c>
      <c r="W142" s="26">
        <v>0</v>
      </c>
      <c r="X142" s="26">
        <v>6.0555860099999999</v>
      </c>
      <c r="Y142" s="26">
        <v>6.9949660699999999E-6</v>
      </c>
      <c r="Z142" s="26">
        <v>4.45461753E-4</v>
      </c>
      <c r="AA142" s="26">
        <v>4.3622450199999998E-4</v>
      </c>
      <c r="AB142" s="26">
        <v>2.9183404699999999E-2</v>
      </c>
      <c r="AC142" s="26">
        <v>0</v>
      </c>
      <c r="AD142" s="26">
        <v>359.825917</v>
      </c>
      <c r="AE142" s="26">
        <v>269.84217899999999</v>
      </c>
      <c r="AF142" s="26">
        <v>0</v>
      </c>
      <c r="AG142" s="26">
        <v>0</v>
      </c>
      <c r="AH142" s="26">
        <v>0</v>
      </c>
      <c r="AI142" s="26">
        <v>0</v>
      </c>
      <c r="AJ142" s="26">
        <v>0</v>
      </c>
      <c r="AK142" s="26">
        <v>0</v>
      </c>
      <c r="AL142" s="26">
        <v>0</v>
      </c>
      <c r="AM142" s="26">
        <v>1.9368490599999997</v>
      </c>
      <c r="AN142" s="26">
        <v>1.14283788E-2</v>
      </c>
      <c r="AO142" s="26">
        <v>2.5333679899999999E-2</v>
      </c>
      <c r="AP142" s="26">
        <v>0</v>
      </c>
      <c r="AQ142" s="26">
        <v>0</v>
      </c>
      <c r="AR142" s="26">
        <v>0</v>
      </c>
      <c r="AS142" s="26">
        <v>0.12371399</v>
      </c>
      <c r="AT142" s="26">
        <v>0</v>
      </c>
      <c r="AU142" s="26">
        <v>0</v>
      </c>
      <c r="AV142" s="26">
        <v>3.1393840799999998E-4</v>
      </c>
      <c r="AW142" s="26">
        <v>0</v>
      </c>
      <c r="AX142" s="26">
        <v>0</v>
      </c>
      <c r="AY142" s="26">
        <v>0</v>
      </c>
      <c r="AZ142" s="26">
        <v>0</v>
      </c>
      <c r="BA142" s="26">
        <v>0</v>
      </c>
      <c r="BB142" s="26">
        <v>0</v>
      </c>
      <c r="BC142" s="26">
        <v>0</v>
      </c>
      <c r="BD142" s="26">
        <v>0</v>
      </c>
      <c r="BE142" s="26">
        <v>0</v>
      </c>
      <c r="BF142" s="26">
        <v>0</v>
      </c>
      <c r="BG142" s="26">
        <v>0</v>
      </c>
      <c r="BH142" s="26">
        <v>0</v>
      </c>
      <c r="BI142" s="26">
        <v>0</v>
      </c>
      <c r="BJ142" s="26">
        <v>0</v>
      </c>
      <c r="BK142" s="26">
        <v>0</v>
      </c>
      <c r="BL142" s="26">
        <v>0</v>
      </c>
      <c r="BM142" s="26">
        <v>0</v>
      </c>
      <c r="BN142" s="26">
        <v>0</v>
      </c>
      <c r="BO142" s="26">
        <v>2894.0462400000001</v>
      </c>
      <c r="BP142" s="26">
        <v>61127.588799999998</v>
      </c>
      <c r="BQ142" s="26">
        <v>944.63146400000016</v>
      </c>
      <c r="BR142" s="26">
        <v>32</v>
      </c>
      <c r="BS142" s="26">
        <v>1</v>
      </c>
      <c r="BT142" s="26">
        <v>0</v>
      </c>
      <c r="BU142" s="26">
        <v>1</v>
      </c>
      <c r="BV142" s="26">
        <v>0</v>
      </c>
      <c r="BW142" s="26">
        <v>-72460.645399999994</v>
      </c>
      <c r="BX142" s="26">
        <v>-3430.6025</v>
      </c>
      <c r="BY142" s="26">
        <v>-209.70446000000001</v>
      </c>
      <c r="BZ142" s="26">
        <v>-42.481349399999999</v>
      </c>
      <c r="CA142" s="26">
        <v>-2.0112520699999998</v>
      </c>
      <c r="CB142" s="26">
        <v>5.1061292500000001E-2</v>
      </c>
      <c r="CC142" s="26">
        <v>1.0785085700000001</v>
      </c>
      <c r="CD142" s="26">
        <v>21.121842399999998</v>
      </c>
      <c r="CE142" s="26">
        <v>0</v>
      </c>
      <c r="CF142" s="26">
        <v>0</v>
      </c>
      <c r="CG142" s="26">
        <v>0</v>
      </c>
      <c r="CH142" s="26">
        <v>0</v>
      </c>
      <c r="CI142" s="26">
        <v>0</v>
      </c>
      <c r="CJ142" s="26">
        <v>0</v>
      </c>
      <c r="CK142" s="26">
        <v>0</v>
      </c>
      <c r="CL142" s="26">
        <v>0</v>
      </c>
      <c r="CM142" s="26">
        <v>0</v>
      </c>
      <c r="CN142" s="26">
        <v>0</v>
      </c>
      <c r="CO142" s="26">
        <v>0</v>
      </c>
      <c r="CP142" s="26">
        <v>0</v>
      </c>
      <c r="CQ142" s="26">
        <v>0</v>
      </c>
      <c r="CR142" s="26">
        <v>0</v>
      </c>
      <c r="CS142" s="26">
        <v>0</v>
      </c>
      <c r="CT142" s="26">
        <v>0</v>
      </c>
      <c r="CU142" s="26">
        <v>0</v>
      </c>
      <c r="CV142" s="26">
        <v>0</v>
      </c>
      <c r="CW142" s="26">
        <v>0</v>
      </c>
      <c r="CX142" s="26">
        <v>0</v>
      </c>
      <c r="CY142" s="26">
        <v>0</v>
      </c>
      <c r="CZ142" s="26">
        <v>0</v>
      </c>
      <c r="DA142" s="26">
        <v>0</v>
      </c>
      <c r="DB142" s="26">
        <v>0</v>
      </c>
      <c r="DC142" s="26">
        <v>0</v>
      </c>
      <c r="DD142" s="26">
        <v>0</v>
      </c>
      <c r="DE142" s="26">
        <v>0</v>
      </c>
      <c r="DF142" s="26">
        <v>0</v>
      </c>
      <c r="DG142" s="26">
        <v>0</v>
      </c>
      <c r="DH142" s="26">
        <v>0</v>
      </c>
      <c r="DI142" s="26">
        <v>0</v>
      </c>
      <c r="DJ142" s="26">
        <v>0</v>
      </c>
      <c r="DK142" s="26">
        <v>0</v>
      </c>
      <c r="DL142" s="26">
        <v>0</v>
      </c>
      <c r="DM142" s="26">
        <v>0</v>
      </c>
      <c r="DN142" s="26">
        <v>0</v>
      </c>
      <c r="DO142" s="26">
        <v>0</v>
      </c>
      <c r="DP142" s="26">
        <v>0</v>
      </c>
      <c r="DQ142" s="26">
        <v>0</v>
      </c>
      <c r="DR142" s="26">
        <v>0</v>
      </c>
      <c r="DS142" s="26">
        <v>0</v>
      </c>
      <c r="DT142" s="26">
        <v>0</v>
      </c>
      <c r="DU142" s="26">
        <v>0</v>
      </c>
      <c r="DV142" s="26">
        <v>0</v>
      </c>
      <c r="DW142" s="26">
        <v>0</v>
      </c>
      <c r="DX142" s="26">
        <v>1248.3684499999999</v>
      </c>
      <c r="DY142" s="26">
        <v>30.824772200000002</v>
      </c>
      <c r="DZ142" s="26">
        <v>12.9334709</v>
      </c>
      <c r="EA142" s="26">
        <v>420.98447599999997</v>
      </c>
      <c r="EB142" s="26">
        <v>51.302767699999997</v>
      </c>
      <c r="EC142" s="26">
        <v>12412.8158</v>
      </c>
      <c r="ED142" s="26">
        <v>0</v>
      </c>
      <c r="EE142" s="26">
        <v>2611.0290100000002</v>
      </c>
      <c r="EF142" s="26">
        <v>4087.3084199999998</v>
      </c>
      <c r="EG142" s="26">
        <v>518.19918800000005</v>
      </c>
      <c r="EH142" s="26">
        <v>57.577770599999994</v>
      </c>
      <c r="EI142" s="26">
        <v>0</v>
      </c>
      <c r="EJ142" s="26">
        <v>107.263217</v>
      </c>
      <c r="EK142" s="26">
        <v>0</v>
      </c>
      <c r="EL142" s="26">
        <v>470.73083400000002</v>
      </c>
      <c r="EM142" s="26">
        <v>0</v>
      </c>
      <c r="EN142" s="26">
        <v>0</v>
      </c>
      <c r="EO142" s="26">
        <v>0</v>
      </c>
      <c r="EP142" s="26">
        <v>311.94750299999998</v>
      </c>
      <c r="EQ142" s="26">
        <v>22029.338100000001</v>
      </c>
      <c r="ER142" s="26">
        <v>266.01619599999998</v>
      </c>
      <c r="ES142" s="26">
        <v>32</v>
      </c>
      <c r="ET142" s="26">
        <v>1</v>
      </c>
      <c r="EU142" s="26">
        <v>0</v>
      </c>
      <c r="EV142" s="26">
        <v>0</v>
      </c>
      <c r="EW142" s="26">
        <v>1</v>
      </c>
      <c r="EX142" s="26">
        <v>-81656.433699999994</v>
      </c>
      <c r="EY142" s="26">
        <v>-1156.2998600000001</v>
      </c>
      <c r="EZ142" s="26">
        <v>-25.472520800000002</v>
      </c>
      <c r="FA142" s="26">
        <v>-157.86348699999999</v>
      </c>
      <c r="FB142" s="26">
        <v>-2.23543351</v>
      </c>
      <c r="FC142" s="26">
        <v>1.95443927E-2</v>
      </c>
      <c r="FD142" s="26">
        <v>1.3802002899999999</v>
      </c>
      <c r="FE142" s="26">
        <v>70.618735200000003</v>
      </c>
      <c r="FF142" s="26">
        <v>0</v>
      </c>
      <c r="FG142" s="26">
        <v>0.480914183</v>
      </c>
      <c r="FH142" s="26">
        <v>-273983263.926</v>
      </c>
      <c r="FI142" s="26">
        <v>9.0975921283362918E-2</v>
      </c>
      <c r="FJ142" s="26">
        <v>0</v>
      </c>
      <c r="FK142" s="26">
        <v>0</v>
      </c>
      <c r="FL142" s="26">
        <v>0</v>
      </c>
      <c r="FM142" s="26">
        <v>0</v>
      </c>
      <c r="FN142" s="26">
        <v>0</v>
      </c>
      <c r="FO142" s="26">
        <v>0</v>
      </c>
      <c r="FP142" s="26">
        <v>0</v>
      </c>
      <c r="FQ142" s="26">
        <v>0</v>
      </c>
      <c r="FR142" s="26">
        <v>0</v>
      </c>
      <c r="FS142" s="26">
        <v>0</v>
      </c>
      <c r="FT142" s="26">
        <v>0</v>
      </c>
      <c r="FU142" s="26">
        <v>0</v>
      </c>
      <c r="FV142" s="26">
        <v>0</v>
      </c>
      <c r="FW142" s="26">
        <v>0</v>
      </c>
      <c r="FX142" s="26">
        <v>0</v>
      </c>
      <c r="FY142" s="26">
        <v>0</v>
      </c>
      <c r="FZ142" s="26">
        <v>0</v>
      </c>
      <c r="GA142" s="26">
        <v>0</v>
      </c>
      <c r="GB142" s="26">
        <v>0</v>
      </c>
      <c r="GC142" s="26">
        <v>0</v>
      </c>
      <c r="GD142" s="26">
        <v>0</v>
      </c>
      <c r="GE142" s="26">
        <v>0</v>
      </c>
      <c r="GF142" s="26">
        <v>0</v>
      </c>
      <c r="GG142" s="26">
        <v>0</v>
      </c>
      <c r="GH142" s="26">
        <v>0</v>
      </c>
      <c r="GI142" s="26">
        <v>0</v>
      </c>
      <c r="GJ142" s="26">
        <v>0</v>
      </c>
      <c r="GK142" s="26">
        <v>0</v>
      </c>
      <c r="GL142" s="26">
        <v>0</v>
      </c>
      <c r="GM142" s="26">
        <v>0</v>
      </c>
      <c r="GN142" s="26">
        <v>0</v>
      </c>
      <c r="GO142" s="26">
        <v>0</v>
      </c>
      <c r="GP142" s="26">
        <v>0</v>
      </c>
      <c r="GQ142" s="26">
        <v>0</v>
      </c>
      <c r="GR142" s="26">
        <v>0</v>
      </c>
      <c r="GS142" s="26">
        <v>0</v>
      </c>
      <c r="GT142" s="26">
        <v>0</v>
      </c>
      <c r="GU142" s="26">
        <v>0</v>
      </c>
      <c r="GV142" s="26">
        <v>0</v>
      </c>
      <c r="GW142" s="26">
        <v>0</v>
      </c>
      <c r="GX142" s="26">
        <v>0</v>
      </c>
      <c r="GY142" s="26">
        <v>0</v>
      </c>
      <c r="GZ142" s="26">
        <v>0</v>
      </c>
      <c r="HA142" s="26">
        <v>0</v>
      </c>
      <c r="HB142" s="26">
        <v>0</v>
      </c>
      <c r="HC142" s="26">
        <v>0</v>
      </c>
      <c r="HD142" s="26">
        <v>0</v>
      </c>
      <c r="HE142" s="26">
        <v>0</v>
      </c>
      <c r="HF142" s="26">
        <v>0</v>
      </c>
      <c r="HG142" s="26">
        <v>0</v>
      </c>
      <c r="HH142" s="26">
        <v>0</v>
      </c>
      <c r="HI142" s="26">
        <v>0</v>
      </c>
      <c r="HJ142" s="26">
        <v>0</v>
      </c>
      <c r="HK142" s="26">
        <v>0</v>
      </c>
      <c r="HL142" s="26">
        <v>0</v>
      </c>
      <c r="HM142" s="26">
        <v>0</v>
      </c>
      <c r="HN142" s="26">
        <v>0</v>
      </c>
      <c r="HO142" s="26">
        <v>0</v>
      </c>
      <c r="HP142" s="26">
        <v>0</v>
      </c>
      <c r="HQ142" s="26">
        <v>0</v>
      </c>
      <c r="HR142" s="26">
        <v>0</v>
      </c>
      <c r="HS142" s="26">
        <v>0</v>
      </c>
      <c r="HT142" s="26">
        <v>0.24356312278183831</v>
      </c>
    </row>
    <row r="143" spans="2:228" x14ac:dyDescent="0.2">
      <c r="B143" s="27" t="s">
        <v>3488</v>
      </c>
      <c r="C143" s="26">
        <v>0</v>
      </c>
      <c r="D143" s="26">
        <v>0</v>
      </c>
      <c r="E143" s="26">
        <v>0</v>
      </c>
      <c r="F143" s="26">
        <v>0</v>
      </c>
      <c r="G143" s="26">
        <v>0</v>
      </c>
      <c r="H143" s="26">
        <v>0</v>
      </c>
      <c r="I143" s="26">
        <v>0</v>
      </c>
      <c r="J143" s="26">
        <v>0</v>
      </c>
      <c r="K143" s="26">
        <v>0</v>
      </c>
      <c r="L143" s="26">
        <v>0</v>
      </c>
      <c r="M143" s="26">
        <v>0</v>
      </c>
      <c r="N143" s="26">
        <v>0</v>
      </c>
      <c r="O143" s="26">
        <v>0</v>
      </c>
      <c r="P143" s="26">
        <v>0</v>
      </c>
      <c r="Q143" s="26">
        <v>0</v>
      </c>
      <c r="R143" s="26">
        <v>0</v>
      </c>
      <c r="S143" s="26">
        <v>0</v>
      </c>
      <c r="T143" s="26">
        <v>0</v>
      </c>
      <c r="U143" s="26">
        <v>0</v>
      </c>
      <c r="V143" s="26">
        <v>0</v>
      </c>
      <c r="W143" s="26">
        <v>0</v>
      </c>
      <c r="X143" s="26">
        <v>0</v>
      </c>
      <c r="Y143" s="26">
        <v>0</v>
      </c>
      <c r="Z143" s="26">
        <v>0</v>
      </c>
      <c r="AA143" s="26">
        <v>0</v>
      </c>
      <c r="AB143" s="26">
        <v>0</v>
      </c>
      <c r="AC143" s="26">
        <v>0</v>
      </c>
      <c r="AD143" s="26">
        <v>0</v>
      </c>
      <c r="AE143" s="26">
        <v>0</v>
      </c>
      <c r="AF143" s="26">
        <v>0</v>
      </c>
      <c r="AG143" s="26">
        <v>0</v>
      </c>
      <c r="AH143" s="26">
        <v>0</v>
      </c>
      <c r="AI143" s="26">
        <v>0</v>
      </c>
      <c r="AJ143" s="26">
        <v>0</v>
      </c>
      <c r="AK143" s="26">
        <v>0</v>
      </c>
      <c r="AL143" s="26">
        <v>0</v>
      </c>
      <c r="AM143" s="26">
        <v>0</v>
      </c>
      <c r="AN143" s="26">
        <v>0</v>
      </c>
      <c r="AO143" s="26">
        <v>0</v>
      </c>
      <c r="AP143" s="26">
        <v>0</v>
      </c>
      <c r="AQ143" s="26">
        <v>0</v>
      </c>
      <c r="AR143" s="26">
        <v>0</v>
      </c>
      <c r="AS143" s="26">
        <v>0</v>
      </c>
      <c r="AT143" s="26">
        <v>0</v>
      </c>
      <c r="AU143" s="26">
        <v>0</v>
      </c>
      <c r="AV143" s="26">
        <v>0</v>
      </c>
      <c r="AW143" s="26">
        <v>0</v>
      </c>
      <c r="AX143" s="26">
        <v>0</v>
      </c>
      <c r="AY143" s="26">
        <v>0</v>
      </c>
      <c r="AZ143" s="26">
        <v>0</v>
      </c>
      <c r="BA143" s="26">
        <v>0</v>
      </c>
      <c r="BB143" s="26">
        <v>0</v>
      </c>
      <c r="BC143" s="26">
        <v>0</v>
      </c>
      <c r="BD143" s="26">
        <v>0</v>
      </c>
      <c r="BE143" s="26">
        <v>0</v>
      </c>
      <c r="BF143" s="26">
        <v>0</v>
      </c>
      <c r="BG143" s="26">
        <v>0</v>
      </c>
      <c r="BH143" s="26">
        <v>0</v>
      </c>
      <c r="BI143" s="26">
        <v>0</v>
      </c>
      <c r="BJ143" s="26">
        <v>0</v>
      </c>
      <c r="BK143" s="26">
        <v>0</v>
      </c>
      <c r="BL143" s="26">
        <v>0</v>
      </c>
      <c r="BM143" s="26">
        <v>0</v>
      </c>
      <c r="BN143" s="26">
        <v>0</v>
      </c>
      <c r="BO143" s="26">
        <v>0</v>
      </c>
      <c r="BP143" s="26">
        <v>0</v>
      </c>
      <c r="BQ143" s="26">
        <v>0</v>
      </c>
      <c r="BR143" s="26">
        <v>0</v>
      </c>
      <c r="BS143" s="26">
        <v>1</v>
      </c>
      <c r="BT143" s="26">
        <v>0</v>
      </c>
      <c r="BU143" s="26">
        <v>0</v>
      </c>
      <c r="BV143" s="26">
        <v>0</v>
      </c>
      <c r="BW143" s="26">
        <v>0</v>
      </c>
      <c r="BX143" s="26">
        <v>0</v>
      </c>
      <c r="BY143" s="26">
        <v>0</v>
      </c>
      <c r="BZ143" s="26">
        <v>0</v>
      </c>
      <c r="CA143" s="26">
        <v>0</v>
      </c>
      <c r="CB143" s="26">
        <v>0</v>
      </c>
      <c r="CC143" s="26">
        <v>0</v>
      </c>
      <c r="CD143" s="26">
        <v>0</v>
      </c>
      <c r="CE143" s="26">
        <v>0</v>
      </c>
      <c r="CF143" s="26">
        <v>0</v>
      </c>
      <c r="CG143" s="26">
        <v>0</v>
      </c>
      <c r="CH143" s="26">
        <v>0</v>
      </c>
      <c r="CI143" s="26">
        <v>0</v>
      </c>
      <c r="CJ143" s="26">
        <v>0</v>
      </c>
      <c r="CK143" s="26">
        <v>0</v>
      </c>
      <c r="CL143" s="26">
        <v>0</v>
      </c>
      <c r="CM143" s="26">
        <v>0</v>
      </c>
      <c r="CN143" s="26">
        <v>0</v>
      </c>
      <c r="CO143" s="26">
        <v>0</v>
      </c>
      <c r="CP143" s="26">
        <v>0</v>
      </c>
      <c r="CQ143" s="26">
        <v>0</v>
      </c>
      <c r="CR143" s="26">
        <v>0</v>
      </c>
      <c r="CS143" s="26">
        <v>0</v>
      </c>
      <c r="CT143" s="26">
        <v>0</v>
      </c>
      <c r="CU143" s="26">
        <v>0</v>
      </c>
      <c r="CV143" s="26">
        <v>0</v>
      </c>
      <c r="CW143" s="26">
        <v>0</v>
      </c>
      <c r="CX143" s="26">
        <v>0</v>
      </c>
      <c r="CY143" s="26">
        <v>0</v>
      </c>
      <c r="CZ143" s="26">
        <v>0</v>
      </c>
      <c r="DA143" s="26">
        <v>0</v>
      </c>
      <c r="DB143" s="26">
        <v>0</v>
      </c>
      <c r="DC143" s="26">
        <v>0</v>
      </c>
      <c r="DD143" s="26">
        <v>0</v>
      </c>
      <c r="DE143" s="26">
        <v>0</v>
      </c>
      <c r="DF143" s="26">
        <v>0</v>
      </c>
      <c r="DG143" s="26">
        <v>0</v>
      </c>
      <c r="DH143" s="26">
        <v>0</v>
      </c>
      <c r="DI143" s="26">
        <v>0</v>
      </c>
      <c r="DJ143" s="26">
        <v>0</v>
      </c>
      <c r="DK143" s="26">
        <v>0</v>
      </c>
      <c r="DL143" s="26">
        <v>0</v>
      </c>
      <c r="DM143" s="26">
        <v>0</v>
      </c>
      <c r="DN143" s="26">
        <v>0</v>
      </c>
      <c r="DO143" s="26">
        <v>0</v>
      </c>
      <c r="DP143" s="26">
        <v>0</v>
      </c>
      <c r="DQ143" s="26">
        <v>0</v>
      </c>
      <c r="DR143" s="26">
        <v>0</v>
      </c>
      <c r="DS143" s="26">
        <v>0</v>
      </c>
      <c r="DT143" s="26">
        <v>0</v>
      </c>
      <c r="DU143" s="26">
        <v>0</v>
      </c>
      <c r="DV143" s="26">
        <v>0</v>
      </c>
      <c r="DW143" s="26">
        <v>0</v>
      </c>
      <c r="DX143" s="26">
        <v>0</v>
      </c>
      <c r="DY143" s="26">
        <v>0</v>
      </c>
      <c r="DZ143" s="26">
        <v>0</v>
      </c>
      <c r="EA143" s="26">
        <v>0</v>
      </c>
      <c r="EB143" s="26">
        <v>0</v>
      </c>
      <c r="EC143" s="26">
        <v>0</v>
      </c>
      <c r="ED143" s="26">
        <v>0</v>
      </c>
      <c r="EE143" s="26">
        <v>0</v>
      </c>
      <c r="EF143" s="26">
        <v>0</v>
      </c>
      <c r="EG143" s="26">
        <v>0</v>
      </c>
      <c r="EH143" s="26">
        <v>0</v>
      </c>
      <c r="EI143" s="26">
        <v>0</v>
      </c>
      <c r="EJ143" s="26">
        <v>0</v>
      </c>
      <c r="EK143" s="26">
        <v>0</v>
      </c>
      <c r="EL143" s="26">
        <v>0</v>
      </c>
      <c r="EM143" s="26">
        <v>0</v>
      </c>
      <c r="EN143" s="26">
        <v>0</v>
      </c>
      <c r="EO143" s="26">
        <v>0</v>
      </c>
      <c r="EP143" s="26">
        <v>0</v>
      </c>
      <c r="EQ143" s="26">
        <v>0</v>
      </c>
      <c r="ER143" s="26">
        <v>0</v>
      </c>
      <c r="ES143" s="26">
        <v>0</v>
      </c>
      <c r="ET143" s="26">
        <v>1</v>
      </c>
      <c r="EU143" s="26">
        <v>0</v>
      </c>
      <c r="EV143" s="26">
        <v>0</v>
      </c>
      <c r="EW143" s="26">
        <v>0</v>
      </c>
      <c r="EX143" s="26">
        <v>0</v>
      </c>
      <c r="EY143" s="26">
        <v>0</v>
      </c>
      <c r="EZ143" s="26">
        <v>0</v>
      </c>
      <c r="FA143" s="26">
        <v>0</v>
      </c>
      <c r="FB143" s="26">
        <v>0</v>
      </c>
      <c r="FC143" s="26">
        <v>0</v>
      </c>
      <c r="FD143" s="26">
        <v>0</v>
      </c>
      <c r="FE143" s="26">
        <v>0</v>
      </c>
      <c r="FF143" s="26">
        <v>0</v>
      </c>
      <c r="FG143" s="26">
        <v>0</v>
      </c>
      <c r="FH143" s="26">
        <v>0</v>
      </c>
      <c r="FI143" s="26">
        <v>0</v>
      </c>
      <c r="FJ143" s="26">
        <v>0</v>
      </c>
      <c r="FK143" s="26">
        <v>0</v>
      </c>
      <c r="FL143" s="26">
        <v>0</v>
      </c>
      <c r="FM143" s="26">
        <v>0</v>
      </c>
      <c r="FN143" s="26">
        <v>0</v>
      </c>
      <c r="FO143" s="26">
        <v>0</v>
      </c>
      <c r="FP143" s="26">
        <v>0</v>
      </c>
      <c r="FQ143" s="26">
        <v>0</v>
      </c>
      <c r="FR143" s="26">
        <v>0</v>
      </c>
      <c r="FS143" s="26">
        <v>0</v>
      </c>
      <c r="FT143" s="26">
        <v>0</v>
      </c>
      <c r="FU143" s="26">
        <v>0</v>
      </c>
      <c r="FV143" s="26">
        <v>0</v>
      </c>
      <c r="FW143" s="26">
        <v>0</v>
      </c>
      <c r="FX143" s="26">
        <v>0</v>
      </c>
      <c r="FY143" s="26">
        <v>0</v>
      </c>
      <c r="FZ143" s="26">
        <v>0</v>
      </c>
      <c r="GA143" s="26">
        <v>0</v>
      </c>
      <c r="GB143" s="26">
        <v>0</v>
      </c>
      <c r="GC143" s="26">
        <v>0</v>
      </c>
      <c r="GD143" s="26">
        <v>0</v>
      </c>
      <c r="GE143" s="26">
        <v>0</v>
      </c>
      <c r="GF143" s="26">
        <v>0</v>
      </c>
      <c r="GG143" s="26">
        <v>0</v>
      </c>
      <c r="GH143" s="26">
        <v>0</v>
      </c>
      <c r="GI143" s="26">
        <v>0</v>
      </c>
      <c r="GJ143" s="26">
        <v>0</v>
      </c>
      <c r="GK143" s="26">
        <v>0</v>
      </c>
      <c r="GL143" s="26">
        <v>0</v>
      </c>
      <c r="GM143" s="26">
        <v>0</v>
      </c>
      <c r="GN143" s="26">
        <v>0</v>
      </c>
      <c r="GO143" s="26">
        <v>0</v>
      </c>
      <c r="GP143" s="26">
        <v>0</v>
      </c>
      <c r="GQ143" s="26">
        <v>0</v>
      </c>
      <c r="GR143" s="26">
        <v>0</v>
      </c>
      <c r="GS143" s="26">
        <v>0</v>
      </c>
      <c r="GT143" s="26">
        <v>0</v>
      </c>
      <c r="GU143" s="26">
        <v>0</v>
      </c>
      <c r="GV143" s="26">
        <v>0</v>
      </c>
      <c r="GW143" s="26">
        <v>0</v>
      </c>
      <c r="GX143" s="26">
        <v>0</v>
      </c>
      <c r="GY143" s="26">
        <v>0</v>
      </c>
      <c r="GZ143" s="26">
        <v>0</v>
      </c>
      <c r="HA143" s="26">
        <v>0</v>
      </c>
      <c r="HB143" s="26">
        <v>0</v>
      </c>
      <c r="HC143" s="26">
        <v>0</v>
      </c>
      <c r="HD143" s="26">
        <v>0</v>
      </c>
      <c r="HE143" s="26">
        <v>0</v>
      </c>
      <c r="HF143" s="26">
        <v>0</v>
      </c>
      <c r="HG143" s="26">
        <v>0</v>
      </c>
      <c r="HH143" s="26">
        <v>0</v>
      </c>
      <c r="HI143" s="26">
        <v>0</v>
      </c>
      <c r="HJ143" s="26">
        <v>0</v>
      </c>
      <c r="HK143" s="26">
        <v>0</v>
      </c>
      <c r="HL143" s="26">
        <v>0</v>
      </c>
      <c r="HM143" s="26">
        <v>0</v>
      </c>
      <c r="HN143" s="26">
        <v>0</v>
      </c>
      <c r="HO143" s="26">
        <v>0</v>
      </c>
      <c r="HP143" s="26">
        <v>0</v>
      </c>
      <c r="HQ143" s="26">
        <v>0</v>
      </c>
      <c r="HR143" s="26">
        <v>0</v>
      </c>
      <c r="HS143" s="26">
        <v>0</v>
      </c>
      <c r="HT143" s="26">
        <v>0</v>
      </c>
    </row>
    <row r="144" spans="2:228" x14ac:dyDescent="0.2">
      <c r="B144" s="27" t="s">
        <v>3485</v>
      </c>
      <c r="C144" s="26">
        <v>12770</v>
      </c>
      <c r="D144" s="26">
        <v>-48.365881999999999</v>
      </c>
      <c r="E144" s="26">
        <v>12770</v>
      </c>
      <c r="F144" s="26">
        <v>0</v>
      </c>
      <c r="G144" s="26">
        <v>0</v>
      </c>
      <c r="H144" s="26">
        <v>0</v>
      </c>
      <c r="I144" s="26">
        <v>0</v>
      </c>
      <c r="J144" s="26">
        <v>0</v>
      </c>
      <c r="K144" s="26">
        <v>0</v>
      </c>
      <c r="L144" s="26">
        <v>0</v>
      </c>
      <c r="M144" s="26">
        <v>0</v>
      </c>
      <c r="N144" s="26">
        <v>0</v>
      </c>
      <c r="O144" s="26">
        <v>0</v>
      </c>
      <c r="P144" s="26">
        <v>0</v>
      </c>
      <c r="Q144" s="26">
        <v>0</v>
      </c>
      <c r="R144" s="26">
        <v>0</v>
      </c>
      <c r="S144" s="26">
        <v>0</v>
      </c>
      <c r="T144" s="26">
        <v>0</v>
      </c>
      <c r="U144" s="26">
        <v>0</v>
      </c>
      <c r="V144" s="26">
        <v>0</v>
      </c>
      <c r="W144" s="26">
        <v>0</v>
      </c>
      <c r="X144" s="26">
        <v>0</v>
      </c>
      <c r="Y144" s="26">
        <v>0</v>
      </c>
      <c r="Z144" s="26">
        <v>0</v>
      </c>
      <c r="AA144" s="26">
        <v>0</v>
      </c>
      <c r="AB144" s="26">
        <v>0</v>
      </c>
      <c r="AC144" s="26">
        <v>0</v>
      </c>
      <c r="AD144" s="26">
        <v>0</v>
      </c>
      <c r="AE144" s="26">
        <v>0</v>
      </c>
      <c r="AF144" s="26">
        <v>0</v>
      </c>
      <c r="AG144" s="26">
        <v>0</v>
      </c>
      <c r="AH144" s="26">
        <v>0</v>
      </c>
      <c r="AI144" s="26">
        <v>0</v>
      </c>
      <c r="AJ144" s="26">
        <v>0</v>
      </c>
      <c r="AK144" s="26">
        <v>0</v>
      </c>
      <c r="AL144" s="26">
        <v>0</v>
      </c>
      <c r="AM144" s="26">
        <v>0</v>
      </c>
      <c r="AN144" s="26">
        <v>0</v>
      </c>
      <c r="AO144" s="26">
        <v>0</v>
      </c>
      <c r="AP144" s="26">
        <v>0</v>
      </c>
      <c r="AQ144" s="26">
        <v>0</v>
      </c>
      <c r="AR144" s="26">
        <v>0</v>
      </c>
      <c r="AS144" s="26">
        <v>0</v>
      </c>
      <c r="AT144" s="26">
        <v>0</v>
      </c>
      <c r="AU144" s="26">
        <v>0</v>
      </c>
      <c r="AV144" s="26">
        <v>0</v>
      </c>
      <c r="AW144" s="26">
        <v>0</v>
      </c>
      <c r="AX144" s="26">
        <v>0</v>
      </c>
      <c r="AY144" s="26">
        <v>0</v>
      </c>
      <c r="AZ144" s="26">
        <v>0</v>
      </c>
      <c r="BA144" s="26">
        <v>0</v>
      </c>
      <c r="BB144" s="26">
        <v>0</v>
      </c>
      <c r="BC144" s="26">
        <v>0</v>
      </c>
      <c r="BD144" s="26">
        <v>0</v>
      </c>
      <c r="BE144" s="26">
        <v>0</v>
      </c>
      <c r="BF144" s="26">
        <v>0</v>
      </c>
      <c r="BG144" s="26">
        <v>0</v>
      </c>
      <c r="BH144" s="26">
        <v>0</v>
      </c>
      <c r="BI144" s="26">
        <v>0</v>
      </c>
      <c r="BJ144" s="26">
        <v>0</v>
      </c>
      <c r="BK144" s="26">
        <v>0</v>
      </c>
      <c r="BL144" s="26">
        <v>0</v>
      </c>
      <c r="BM144" s="26">
        <v>0</v>
      </c>
      <c r="BN144" s="26">
        <v>0</v>
      </c>
      <c r="BO144" s="26">
        <v>708.842716</v>
      </c>
      <c r="BP144" s="26">
        <v>12770</v>
      </c>
      <c r="BQ144" s="26">
        <v>214.12730199999999</v>
      </c>
      <c r="BR144" s="26">
        <v>25</v>
      </c>
      <c r="BS144" s="26">
        <v>1</v>
      </c>
      <c r="BT144" s="26">
        <v>0</v>
      </c>
      <c r="BU144" s="26">
        <v>1</v>
      </c>
      <c r="BV144" s="26">
        <v>0</v>
      </c>
      <c r="BW144" s="26">
        <v>-68232.176999999996</v>
      </c>
      <c r="BX144" s="26">
        <v>-3787.4613599999998</v>
      </c>
      <c r="BY144" s="26">
        <v>-48.365881999999999</v>
      </c>
      <c r="BZ144" s="26">
        <v>-38.850064500000002</v>
      </c>
      <c r="CA144" s="26">
        <v>-2.1565062799999999</v>
      </c>
      <c r="CB144" s="26">
        <v>5.5172997600000002E-2</v>
      </c>
      <c r="CC144" s="26">
        <v>0.99395699999999998</v>
      </c>
      <c r="CD144" s="26">
        <v>18.015280000000001</v>
      </c>
      <c r="CE144" s="26">
        <v>213.243514</v>
      </c>
      <c r="CF144" s="26">
        <v>0</v>
      </c>
      <c r="CG144" s="26">
        <v>0</v>
      </c>
      <c r="CH144" s="26">
        <v>0</v>
      </c>
      <c r="CI144" s="26">
        <v>0</v>
      </c>
      <c r="CJ144" s="26">
        <v>0</v>
      </c>
      <c r="CK144" s="26">
        <v>0</v>
      </c>
      <c r="CL144" s="26">
        <v>0</v>
      </c>
      <c r="CM144" s="26">
        <v>0</v>
      </c>
      <c r="CN144" s="26">
        <v>0</v>
      </c>
      <c r="CO144" s="26">
        <v>0</v>
      </c>
      <c r="CP144" s="26">
        <v>0</v>
      </c>
      <c r="CQ144" s="26">
        <v>0</v>
      </c>
      <c r="CR144" s="26">
        <v>0</v>
      </c>
      <c r="CS144" s="26">
        <v>0</v>
      </c>
      <c r="CT144" s="26">
        <v>0</v>
      </c>
      <c r="CU144" s="26">
        <v>0</v>
      </c>
      <c r="CV144" s="26">
        <v>0</v>
      </c>
      <c r="CW144" s="26">
        <v>0</v>
      </c>
      <c r="CX144" s="26">
        <v>0</v>
      </c>
      <c r="CY144" s="26">
        <v>0</v>
      </c>
      <c r="CZ144" s="26">
        <v>0</v>
      </c>
      <c r="DA144" s="26">
        <v>0</v>
      </c>
      <c r="DB144" s="26">
        <v>0</v>
      </c>
      <c r="DC144" s="26">
        <v>0</v>
      </c>
      <c r="DD144" s="26">
        <v>0</v>
      </c>
      <c r="DE144" s="26">
        <v>0</v>
      </c>
      <c r="DF144" s="26">
        <v>0</v>
      </c>
      <c r="DG144" s="26">
        <v>0</v>
      </c>
      <c r="DH144" s="26">
        <v>0</v>
      </c>
      <c r="DI144" s="26">
        <v>0</v>
      </c>
      <c r="DJ144" s="26">
        <v>0</v>
      </c>
      <c r="DK144" s="26">
        <v>0</v>
      </c>
      <c r="DL144" s="26">
        <v>0</v>
      </c>
      <c r="DM144" s="26">
        <v>0</v>
      </c>
      <c r="DN144" s="26">
        <v>0</v>
      </c>
      <c r="DO144" s="26">
        <v>0</v>
      </c>
      <c r="DP144" s="26">
        <v>0</v>
      </c>
      <c r="DQ144" s="26">
        <v>0</v>
      </c>
      <c r="DR144" s="26">
        <v>0</v>
      </c>
      <c r="DS144" s="26">
        <v>0</v>
      </c>
      <c r="DT144" s="26">
        <v>0</v>
      </c>
      <c r="DU144" s="26">
        <v>0</v>
      </c>
      <c r="DV144" s="26">
        <v>0</v>
      </c>
      <c r="DW144" s="26">
        <v>0</v>
      </c>
      <c r="DX144" s="26">
        <v>0</v>
      </c>
      <c r="DY144" s="26">
        <v>0</v>
      </c>
      <c r="DZ144" s="26">
        <v>0</v>
      </c>
      <c r="EA144" s="26">
        <v>0</v>
      </c>
      <c r="EB144" s="26">
        <v>0</v>
      </c>
      <c r="EC144" s="26">
        <v>0</v>
      </c>
      <c r="ED144" s="26">
        <v>0</v>
      </c>
      <c r="EE144" s="26">
        <v>0</v>
      </c>
      <c r="EF144" s="26">
        <v>0</v>
      </c>
      <c r="EG144" s="26">
        <v>0</v>
      </c>
      <c r="EH144" s="26">
        <v>0</v>
      </c>
      <c r="EI144" s="26">
        <v>0</v>
      </c>
      <c r="EJ144" s="26">
        <v>0</v>
      </c>
      <c r="EK144" s="26">
        <v>0</v>
      </c>
      <c r="EL144" s="26">
        <v>0</v>
      </c>
      <c r="EM144" s="26">
        <v>0</v>
      </c>
      <c r="EN144" s="26">
        <v>0</v>
      </c>
      <c r="EO144" s="26">
        <v>0</v>
      </c>
      <c r="EP144" s="26">
        <v>0</v>
      </c>
      <c r="EQ144" s="26">
        <v>0</v>
      </c>
      <c r="ER144" s="26">
        <v>0</v>
      </c>
      <c r="ES144" s="26">
        <v>0</v>
      </c>
      <c r="ET144" s="26">
        <v>1</v>
      </c>
      <c r="EU144" s="26">
        <v>0</v>
      </c>
      <c r="EV144" s="26">
        <v>0</v>
      </c>
      <c r="EW144" s="26">
        <v>0</v>
      </c>
      <c r="EX144" s="26">
        <v>0</v>
      </c>
      <c r="EY144" s="26">
        <v>0</v>
      </c>
      <c r="EZ144" s="26">
        <v>0</v>
      </c>
      <c r="FA144" s="26">
        <v>0</v>
      </c>
      <c r="FB144" s="26">
        <v>0</v>
      </c>
      <c r="FC144" s="26">
        <v>0</v>
      </c>
      <c r="FD144" s="26">
        <v>0</v>
      </c>
      <c r="FE144" s="26">
        <v>0</v>
      </c>
      <c r="FF144" s="26">
        <v>0</v>
      </c>
      <c r="FG144" s="26">
        <v>0</v>
      </c>
      <c r="FH144" s="26">
        <v>-56249520.766000003</v>
      </c>
      <c r="FI144" s="26">
        <v>0</v>
      </c>
      <c r="FJ144" s="26">
        <v>0</v>
      </c>
      <c r="FK144" s="26">
        <v>0</v>
      </c>
      <c r="FL144" s="26">
        <v>0</v>
      </c>
      <c r="FM144" s="26">
        <v>0</v>
      </c>
      <c r="FN144" s="26">
        <v>0</v>
      </c>
      <c r="FO144" s="26">
        <v>0</v>
      </c>
      <c r="FP144" s="26">
        <v>0</v>
      </c>
      <c r="FQ144" s="26">
        <v>0</v>
      </c>
      <c r="FR144" s="26">
        <v>0</v>
      </c>
      <c r="FS144" s="26">
        <v>0</v>
      </c>
      <c r="FT144" s="26">
        <v>0</v>
      </c>
      <c r="FU144" s="26">
        <v>0</v>
      </c>
      <c r="FV144" s="26">
        <v>0</v>
      </c>
      <c r="FW144" s="26">
        <v>0</v>
      </c>
      <c r="FX144" s="26">
        <v>0</v>
      </c>
      <c r="FY144" s="26">
        <v>0</v>
      </c>
      <c r="FZ144" s="26">
        <v>0</v>
      </c>
      <c r="GA144" s="26">
        <v>0</v>
      </c>
      <c r="GB144" s="26">
        <v>0</v>
      </c>
      <c r="GC144" s="26">
        <v>0</v>
      </c>
      <c r="GD144" s="26">
        <v>0</v>
      </c>
      <c r="GE144" s="26">
        <v>0</v>
      </c>
      <c r="GF144" s="26">
        <v>0</v>
      </c>
      <c r="GG144" s="26">
        <v>0</v>
      </c>
      <c r="GH144" s="26">
        <v>0</v>
      </c>
      <c r="GI144" s="26">
        <v>0</v>
      </c>
      <c r="GJ144" s="26">
        <v>0</v>
      </c>
      <c r="GK144" s="26">
        <v>0</v>
      </c>
      <c r="GL144" s="26">
        <v>0</v>
      </c>
      <c r="GM144" s="26">
        <v>0</v>
      </c>
      <c r="GN144" s="26">
        <v>0</v>
      </c>
      <c r="GO144" s="26">
        <v>0</v>
      </c>
      <c r="GP144" s="26">
        <v>0</v>
      </c>
      <c r="GQ144" s="26">
        <v>0</v>
      </c>
      <c r="GR144" s="26">
        <v>0</v>
      </c>
      <c r="GS144" s="26">
        <v>0</v>
      </c>
      <c r="GT144" s="26">
        <v>0</v>
      </c>
      <c r="GU144" s="26">
        <v>0</v>
      </c>
      <c r="GV144" s="26">
        <v>0</v>
      </c>
      <c r="GW144" s="26">
        <v>0</v>
      </c>
      <c r="GX144" s="26">
        <v>0</v>
      </c>
      <c r="GY144" s="26">
        <v>0</v>
      </c>
      <c r="GZ144" s="26">
        <v>0</v>
      </c>
      <c r="HA144" s="26">
        <v>0</v>
      </c>
      <c r="HB144" s="26">
        <v>0</v>
      </c>
      <c r="HC144" s="26">
        <v>0</v>
      </c>
      <c r="HD144" s="26">
        <v>0</v>
      </c>
      <c r="HE144" s="26">
        <v>0</v>
      </c>
      <c r="HF144" s="26">
        <v>0</v>
      </c>
      <c r="HG144" s="26">
        <v>0</v>
      </c>
      <c r="HH144" s="26">
        <v>0</v>
      </c>
      <c r="HI144" s="26">
        <v>0</v>
      </c>
      <c r="HJ144" s="26">
        <v>0</v>
      </c>
      <c r="HK144" s="26">
        <v>0</v>
      </c>
      <c r="HL144" s="26">
        <v>0</v>
      </c>
      <c r="HM144" s="26">
        <v>0</v>
      </c>
      <c r="HN144" s="26">
        <v>0</v>
      </c>
      <c r="HO144" s="26">
        <v>0</v>
      </c>
      <c r="HP144" s="26">
        <v>0</v>
      </c>
      <c r="HQ144" s="26">
        <v>0</v>
      </c>
      <c r="HR144" s="26">
        <v>0</v>
      </c>
      <c r="HS144" s="26">
        <v>0</v>
      </c>
      <c r="HT144" s="26">
        <v>0</v>
      </c>
    </row>
    <row r="145" spans="2:228" x14ac:dyDescent="0.2">
      <c r="B145" s="27" t="s">
        <v>1355</v>
      </c>
      <c r="C145" s="26">
        <v>443709.94699999999</v>
      </c>
      <c r="D145" s="26">
        <v>-1466.3022100000001</v>
      </c>
      <c r="E145" s="26">
        <v>354435.76799999998</v>
      </c>
      <c r="F145" s="26">
        <v>5.8779036800000002</v>
      </c>
      <c r="G145" s="26">
        <v>3550.2458900000001</v>
      </c>
      <c r="H145" s="26">
        <v>1179.6069600000001</v>
      </c>
      <c r="I145" s="26">
        <v>494.93998199999999</v>
      </c>
      <c r="J145" s="26">
        <v>16476.311399999999</v>
      </c>
      <c r="K145" s="26">
        <v>2007.8659200000002</v>
      </c>
      <c r="L145" s="26">
        <v>1.4712044599999999E-4</v>
      </c>
      <c r="M145" s="26">
        <v>0</v>
      </c>
      <c r="N145" s="26">
        <v>87.614647399999996</v>
      </c>
      <c r="O145" s="26">
        <v>28.596618400000004</v>
      </c>
      <c r="P145" s="26">
        <v>11.998581100000001</v>
      </c>
      <c r="Q145" s="26">
        <v>390.551108</v>
      </c>
      <c r="R145" s="26">
        <v>47.594041799999999</v>
      </c>
      <c r="S145" s="26">
        <v>12208.3331</v>
      </c>
      <c r="T145" s="26">
        <v>656.53966200000002</v>
      </c>
      <c r="U145" s="26">
        <v>369.27255600000001</v>
      </c>
      <c r="V145" s="26">
        <v>336.08816999999999</v>
      </c>
      <c r="W145" s="26">
        <v>0</v>
      </c>
      <c r="X145" s="26">
        <v>41.762609300000001</v>
      </c>
      <c r="Y145" s="26">
        <v>4.8241179799999997E-5</v>
      </c>
      <c r="Z145" s="26">
        <v>3.0721527100000001E-3</v>
      </c>
      <c r="AA145" s="26">
        <v>3.0084470800000001E-3</v>
      </c>
      <c r="AB145" s="26">
        <v>0.20126190999999999</v>
      </c>
      <c r="AC145" s="26">
        <v>0</v>
      </c>
      <c r="AD145" s="26">
        <v>2481.5580500000001</v>
      </c>
      <c r="AE145" s="26">
        <v>1860.9805199999998</v>
      </c>
      <c r="AF145" s="26">
        <v>0</v>
      </c>
      <c r="AG145" s="26">
        <v>0</v>
      </c>
      <c r="AH145" s="26">
        <v>0</v>
      </c>
      <c r="AI145" s="26">
        <v>0</v>
      </c>
      <c r="AJ145" s="26">
        <v>0</v>
      </c>
      <c r="AK145" s="26">
        <v>0</v>
      </c>
      <c r="AL145" s="26">
        <v>0</v>
      </c>
      <c r="AM145" s="26">
        <v>13.3575654</v>
      </c>
      <c r="AN145" s="26">
        <v>7.8815718500000007E-2</v>
      </c>
      <c r="AO145" s="26">
        <v>0.174713493</v>
      </c>
      <c r="AP145" s="26">
        <v>0</v>
      </c>
      <c r="AQ145" s="26">
        <v>0</v>
      </c>
      <c r="AR145" s="26">
        <v>0</v>
      </c>
      <c r="AS145" s="26">
        <v>0.85319220100000004</v>
      </c>
      <c r="AT145" s="26">
        <v>0</v>
      </c>
      <c r="AU145" s="26">
        <v>0</v>
      </c>
      <c r="AV145" s="26">
        <v>2.1650779600000001E-3</v>
      </c>
      <c r="AW145" s="26">
        <v>0</v>
      </c>
      <c r="AX145" s="26">
        <v>0</v>
      </c>
      <c r="AY145" s="26">
        <v>0</v>
      </c>
      <c r="AZ145" s="26">
        <v>0</v>
      </c>
      <c r="BA145" s="26">
        <v>0</v>
      </c>
      <c r="BB145" s="26">
        <v>0</v>
      </c>
      <c r="BC145" s="26">
        <v>0</v>
      </c>
      <c r="BD145" s="26">
        <v>0</v>
      </c>
      <c r="BE145" s="26">
        <v>0</v>
      </c>
      <c r="BF145" s="26">
        <v>0</v>
      </c>
      <c r="BG145" s="26">
        <v>0</v>
      </c>
      <c r="BH145" s="26">
        <v>0</v>
      </c>
      <c r="BI145" s="26">
        <v>0</v>
      </c>
      <c r="BJ145" s="26">
        <v>0</v>
      </c>
      <c r="BK145" s="26">
        <v>0</v>
      </c>
      <c r="BL145" s="26">
        <v>0</v>
      </c>
      <c r="BM145" s="26">
        <v>0</v>
      </c>
      <c r="BN145" s="26">
        <v>0</v>
      </c>
      <c r="BO145" s="26">
        <v>19952.509600000001</v>
      </c>
      <c r="BP145" s="26">
        <v>396686.18</v>
      </c>
      <c r="BQ145" s="26">
        <v>6470.4227099999998</v>
      </c>
      <c r="BR145" s="26">
        <v>48.006982600000015</v>
      </c>
      <c r="BS145" s="26">
        <v>1</v>
      </c>
      <c r="BT145" s="26">
        <v>0</v>
      </c>
      <c r="BU145" s="26">
        <v>1</v>
      </c>
      <c r="BV145" s="26">
        <v>0</v>
      </c>
      <c r="BW145" s="26">
        <v>-70419.801500000001</v>
      </c>
      <c r="BX145" s="26">
        <v>-3541.97307</v>
      </c>
      <c r="BY145" s="26">
        <v>-1405.05178</v>
      </c>
      <c r="BZ145" s="26">
        <v>-40.033921399999997</v>
      </c>
      <c r="CA145" s="26">
        <v>-2.0136249799999999</v>
      </c>
      <c r="CB145" s="26">
        <v>5.1394141900000002E-2</v>
      </c>
      <c r="CC145" s="26">
        <v>1.0217935600000001</v>
      </c>
      <c r="CD145" s="26">
        <v>19.881518100000001</v>
      </c>
      <c r="CE145" s="26">
        <v>0</v>
      </c>
      <c r="CF145" s="26">
        <v>0</v>
      </c>
      <c r="CG145" s="26">
        <v>0</v>
      </c>
      <c r="CH145" s="26">
        <v>0</v>
      </c>
      <c r="CI145" s="26">
        <v>0</v>
      </c>
      <c r="CJ145" s="26">
        <v>0</v>
      </c>
      <c r="CK145" s="26">
        <v>0</v>
      </c>
      <c r="CL145" s="26">
        <v>0</v>
      </c>
      <c r="CM145" s="26">
        <v>0</v>
      </c>
      <c r="CN145" s="26">
        <v>0</v>
      </c>
      <c r="CO145" s="26">
        <v>0</v>
      </c>
      <c r="CP145" s="26">
        <v>0</v>
      </c>
      <c r="CQ145" s="26">
        <v>0</v>
      </c>
      <c r="CR145" s="26">
        <v>0</v>
      </c>
      <c r="CS145" s="26">
        <v>0</v>
      </c>
      <c r="CT145" s="26">
        <v>0</v>
      </c>
      <c r="CU145" s="26">
        <v>0</v>
      </c>
      <c r="CV145" s="26">
        <v>0</v>
      </c>
      <c r="CW145" s="26">
        <v>0</v>
      </c>
      <c r="CX145" s="26">
        <v>0</v>
      </c>
      <c r="CY145" s="26">
        <v>0</v>
      </c>
      <c r="CZ145" s="26">
        <v>0</v>
      </c>
      <c r="DA145" s="26">
        <v>0</v>
      </c>
      <c r="DB145" s="26">
        <v>0</v>
      </c>
      <c r="DC145" s="26">
        <v>0</v>
      </c>
      <c r="DD145" s="26">
        <v>0</v>
      </c>
      <c r="DE145" s="26">
        <v>0</v>
      </c>
      <c r="DF145" s="26">
        <v>0</v>
      </c>
      <c r="DG145" s="26">
        <v>0</v>
      </c>
      <c r="DH145" s="26">
        <v>0</v>
      </c>
      <c r="DI145" s="26">
        <v>0</v>
      </c>
      <c r="DJ145" s="26">
        <v>0</v>
      </c>
      <c r="DK145" s="26">
        <v>0</v>
      </c>
      <c r="DL145" s="26">
        <v>0</v>
      </c>
      <c r="DM145" s="26">
        <v>0</v>
      </c>
      <c r="DN145" s="26">
        <v>0</v>
      </c>
      <c r="DO145" s="26">
        <v>0</v>
      </c>
      <c r="DP145" s="26">
        <v>0</v>
      </c>
      <c r="DQ145" s="26">
        <v>0</v>
      </c>
      <c r="DR145" s="26">
        <v>0</v>
      </c>
      <c r="DS145" s="26">
        <v>0</v>
      </c>
      <c r="DT145" s="26">
        <v>0</v>
      </c>
      <c r="DU145" s="26">
        <v>0</v>
      </c>
      <c r="DV145" s="26">
        <v>0</v>
      </c>
      <c r="DW145" s="26">
        <v>0</v>
      </c>
      <c r="DX145" s="26">
        <v>26138.367999999999</v>
      </c>
      <c r="DY145" s="26">
        <v>30.979670600000002</v>
      </c>
      <c r="DZ145" s="26">
        <v>12.9984632</v>
      </c>
      <c r="EA145" s="26">
        <v>423.09997600000003</v>
      </c>
      <c r="EB145" s="26">
        <v>51.560570599999998</v>
      </c>
      <c r="EC145" s="26">
        <v>12475.191699999999</v>
      </c>
      <c r="ED145" s="26">
        <v>0</v>
      </c>
      <c r="EE145" s="26">
        <v>2624.1516000000001</v>
      </c>
      <c r="EF145" s="26">
        <v>4107.8476600000004</v>
      </c>
      <c r="EG145" s="26">
        <v>520.80320400000005</v>
      </c>
      <c r="EH145" s="26">
        <v>57.867214300000001</v>
      </c>
      <c r="EI145" s="26">
        <v>0</v>
      </c>
      <c r="EJ145" s="26">
        <v>107.802228</v>
      </c>
      <c r="EK145" s="26">
        <v>0</v>
      </c>
      <c r="EL145" s="26">
        <v>473.096384</v>
      </c>
      <c r="EM145" s="26">
        <v>0</v>
      </c>
      <c r="EN145" s="26">
        <v>0</v>
      </c>
      <c r="EO145" s="26">
        <v>0</v>
      </c>
      <c r="EP145" s="26">
        <v>466.98351200000002</v>
      </c>
      <c r="EQ145" s="26">
        <v>47023.766600000003</v>
      </c>
      <c r="ER145" s="26">
        <v>336.45210600000001</v>
      </c>
      <c r="ES145" s="26">
        <v>48.006982600000015</v>
      </c>
      <c r="ET145" s="26">
        <v>1</v>
      </c>
      <c r="EU145" s="26">
        <v>0</v>
      </c>
      <c r="EV145" s="26">
        <v>0</v>
      </c>
      <c r="EW145" s="26">
        <v>1</v>
      </c>
      <c r="EX145" s="26">
        <v>-131161.88</v>
      </c>
      <c r="EY145" s="26">
        <v>-1302.5420899999999</v>
      </c>
      <c r="EZ145" s="26">
        <v>-61.250435899999999</v>
      </c>
      <c r="FA145" s="26">
        <v>-360.95119499999998</v>
      </c>
      <c r="FB145" s="26">
        <v>-3.58453329</v>
      </c>
      <c r="FC145" s="26">
        <v>2.3132738100000001E-2</v>
      </c>
      <c r="FD145" s="26">
        <v>2.3293937599999999</v>
      </c>
      <c r="FE145" s="26">
        <v>100.69684599999999</v>
      </c>
      <c r="FF145" s="26">
        <v>0</v>
      </c>
      <c r="FG145" s="26">
        <v>0.22990165800000001</v>
      </c>
      <c r="FH145" s="26">
        <v>-1714942343.3700001</v>
      </c>
      <c r="FI145" s="26">
        <v>0.37163955852867203</v>
      </c>
      <c r="FJ145" s="26">
        <v>0</v>
      </c>
      <c r="FK145" s="26">
        <v>0</v>
      </c>
      <c r="FL145" s="26">
        <v>0</v>
      </c>
      <c r="FM145" s="26">
        <v>0</v>
      </c>
      <c r="FN145" s="26">
        <v>0</v>
      </c>
      <c r="FO145" s="26">
        <v>0</v>
      </c>
      <c r="FP145" s="26">
        <v>0</v>
      </c>
      <c r="FQ145" s="26">
        <v>0</v>
      </c>
      <c r="FR145" s="26">
        <v>0</v>
      </c>
      <c r="FS145" s="26">
        <v>0</v>
      </c>
      <c r="FT145" s="26">
        <v>0</v>
      </c>
      <c r="FU145" s="26">
        <v>0</v>
      </c>
      <c r="FV145" s="26">
        <v>0</v>
      </c>
      <c r="FW145" s="26">
        <v>0</v>
      </c>
      <c r="FX145" s="26">
        <v>0</v>
      </c>
      <c r="FY145" s="26">
        <v>0</v>
      </c>
      <c r="FZ145" s="26">
        <v>0</v>
      </c>
      <c r="GA145" s="26">
        <v>0</v>
      </c>
      <c r="GB145" s="26">
        <v>0</v>
      </c>
      <c r="GC145" s="26">
        <v>0</v>
      </c>
      <c r="GD145" s="26">
        <v>0</v>
      </c>
      <c r="GE145" s="26">
        <v>0</v>
      </c>
      <c r="GF145" s="26">
        <v>0</v>
      </c>
      <c r="GG145" s="26">
        <v>0</v>
      </c>
      <c r="GH145" s="26">
        <v>0</v>
      </c>
      <c r="GI145" s="26">
        <v>0</v>
      </c>
      <c r="GJ145" s="26">
        <v>0</v>
      </c>
      <c r="GK145" s="26">
        <v>0</v>
      </c>
      <c r="GL145" s="26">
        <v>0</v>
      </c>
      <c r="GM145" s="26">
        <v>0</v>
      </c>
      <c r="GN145" s="26">
        <v>0</v>
      </c>
      <c r="GO145" s="26">
        <v>0</v>
      </c>
      <c r="GP145" s="26">
        <v>0</v>
      </c>
      <c r="GQ145" s="26">
        <v>0</v>
      </c>
      <c r="GR145" s="26">
        <v>0</v>
      </c>
      <c r="GS145" s="26">
        <v>0</v>
      </c>
      <c r="GT145" s="26">
        <v>0</v>
      </c>
      <c r="GU145" s="26">
        <v>0</v>
      </c>
      <c r="GV145" s="26">
        <v>0</v>
      </c>
      <c r="GW145" s="26">
        <v>0</v>
      </c>
      <c r="GX145" s="26">
        <v>0</v>
      </c>
      <c r="GY145" s="26">
        <v>0</v>
      </c>
      <c r="GZ145" s="26">
        <v>0</v>
      </c>
      <c r="HA145" s="26">
        <v>0</v>
      </c>
      <c r="HB145" s="26">
        <v>0</v>
      </c>
      <c r="HC145" s="26">
        <v>0</v>
      </c>
      <c r="HD145" s="26">
        <v>0</v>
      </c>
      <c r="HE145" s="26">
        <v>0</v>
      </c>
      <c r="HF145" s="26">
        <v>0</v>
      </c>
      <c r="HG145" s="26">
        <v>0</v>
      </c>
      <c r="HH145" s="26">
        <v>0</v>
      </c>
      <c r="HI145" s="26">
        <v>0</v>
      </c>
      <c r="HJ145" s="26">
        <v>0</v>
      </c>
      <c r="HK145" s="26">
        <v>0</v>
      </c>
      <c r="HL145" s="26">
        <v>0</v>
      </c>
      <c r="HM145" s="26">
        <v>0</v>
      </c>
      <c r="HN145" s="26">
        <v>0</v>
      </c>
      <c r="HO145" s="26">
        <v>0</v>
      </c>
      <c r="HP145" s="26">
        <v>0</v>
      </c>
      <c r="HQ145" s="26">
        <v>0</v>
      </c>
      <c r="HR145" s="26">
        <v>0</v>
      </c>
      <c r="HS145" s="26">
        <v>0</v>
      </c>
      <c r="HT145" s="26">
        <v>0.50056766511565243</v>
      </c>
    </row>
    <row r="146" spans="2:228" x14ac:dyDescent="0.2">
      <c r="B146" s="27" t="s">
        <v>1364</v>
      </c>
      <c r="C146" s="26">
        <v>11419.2086</v>
      </c>
      <c r="D146" s="26">
        <v>-43.165667599999999</v>
      </c>
      <c r="E146" s="26">
        <v>11419.2086</v>
      </c>
      <c r="F146" s="26">
        <v>0</v>
      </c>
      <c r="G146" s="26">
        <v>0</v>
      </c>
      <c r="H146" s="26">
        <v>0</v>
      </c>
      <c r="I146" s="26">
        <v>0</v>
      </c>
      <c r="J146" s="26">
        <v>0</v>
      </c>
      <c r="K146" s="26">
        <v>0</v>
      </c>
      <c r="L146" s="26">
        <v>0</v>
      </c>
      <c r="M146" s="26">
        <v>0</v>
      </c>
      <c r="N146" s="26">
        <v>0</v>
      </c>
      <c r="O146" s="26">
        <v>0</v>
      </c>
      <c r="P146" s="26">
        <v>0</v>
      </c>
      <c r="Q146" s="26">
        <v>0</v>
      </c>
      <c r="R146" s="26">
        <v>0</v>
      </c>
      <c r="S146" s="26">
        <v>0</v>
      </c>
      <c r="T146" s="26">
        <v>0</v>
      </c>
      <c r="U146" s="26">
        <v>0</v>
      </c>
      <c r="V146" s="26">
        <v>0</v>
      </c>
      <c r="W146" s="26">
        <v>0</v>
      </c>
      <c r="X146" s="26">
        <v>0</v>
      </c>
      <c r="Y146" s="26">
        <v>0</v>
      </c>
      <c r="Z146" s="26">
        <v>0</v>
      </c>
      <c r="AA146" s="26">
        <v>0</v>
      </c>
      <c r="AB146" s="26">
        <v>0</v>
      </c>
      <c r="AC146" s="26">
        <v>0</v>
      </c>
      <c r="AD146" s="26">
        <v>0</v>
      </c>
      <c r="AE146" s="26">
        <v>0</v>
      </c>
      <c r="AF146" s="26">
        <v>0</v>
      </c>
      <c r="AG146" s="26">
        <v>0</v>
      </c>
      <c r="AH146" s="26">
        <v>0</v>
      </c>
      <c r="AI146" s="26">
        <v>0</v>
      </c>
      <c r="AJ146" s="26">
        <v>0</v>
      </c>
      <c r="AK146" s="26">
        <v>0</v>
      </c>
      <c r="AL146" s="26">
        <v>0</v>
      </c>
      <c r="AM146" s="26">
        <v>0</v>
      </c>
      <c r="AN146" s="26">
        <v>0</v>
      </c>
      <c r="AO146" s="26">
        <v>0</v>
      </c>
      <c r="AP146" s="26">
        <v>0</v>
      </c>
      <c r="AQ146" s="26">
        <v>0</v>
      </c>
      <c r="AR146" s="26">
        <v>0</v>
      </c>
      <c r="AS146" s="26">
        <v>0</v>
      </c>
      <c r="AT146" s="26">
        <v>0</v>
      </c>
      <c r="AU146" s="26">
        <v>0</v>
      </c>
      <c r="AV146" s="26">
        <v>0</v>
      </c>
      <c r="AW146" s="26">
        <v>0</v>
      </c>
      <c r="AX146" s="26">
        <v>0</v>
      </c>
      <c r="AY146" s="26">
        <v>0</v>
      </c>
      <c r="AZ146" s="26">
        <v>0</v>
      </c>
      <c r="BA146" s="26">
        <v>0</v>
      </c>
      <c r="BB146" s="26">
        <v>0</v>
      </c>
      <c r="BC146" s="26">
        <v>0</v>
      </c>
      <c r="BD146" s="26">
        <v>0</v>
      </c>
      <c r="BE146" s="26">
        <v>0</v>
      </c>
      <c r="BF146" s="26">
        <v>0</v>
      </c>
      <c r="BG146" s="26">
        <v>0</v>
      </c>
      <c r="BH146" s="26">
        <v>0</v>
      </c>
      <c r="BI146" s="26">
        <v>0</v>
      </c>
      <c r="BJ146" s="26">
        <v>0</v>
      </c>
      <c r="BK146" s="26">
        <v>0</v>
      </c>
      <c r="BL146" s="26">
        <v>0</v>
      </c>
      <c r="BM146" s="26">
        <v>0</v>
      </c>
      <c r="BN146" s="26">
        <v>0</v>
      </c>
      <c r="BO146" s="26">
        <v>633.86239799999998</v>
      </c>
      <c r="BP146" s="26">
        <v>11419.2086</v>
      </c>
      <c r="BQ146" s="26">
        <v>192.982056</v>
      </c>
      <c r="BR146" s="26">
        <v>33</v>
      </c>
      <c r="BS146" s="26">
        <v>5</v>
      </c>
      <c r="BT146" s="26">
        <v>0</v>
      </c>
      <c r="BU146" s="26">
        <v>1</v>
      </c>
      <c r="BV146" s="26">
        <v>0</v>
      </c>
      <c r="BW146" s="26">
        <v>-68099.428700000004</v>
      </c>
      <c r="BX146" s="26">
        <v>-3780.0927200000001</v>
      </c>
      <c r="BY146" s="26">
        <v>-43.165667599999999</v>
      </c>
      <c r="BZ146" s="26">
        <v>-38.4147356</v>
      </c>
      <c r="CA146" s="26">
        <v>-2.1323418599999999</v>
      </c>
      <c r="CB146" s="26">
        <v>5.4742774600000002E-2</v>
      </c>
      <c r="CC146" s="26">
        <v>0.986206413</v>
      </c>
      <c r="CD146" s="26">
        <v>18.015280000000001</v>
      </c>
      <c r="CE146" s="26">
        <v>190.686936</v>
      </c>
      <c r="CF146" s="26">
        <v>0</v>
      </c>
      <c r="CG146" s="26">
        <v>0</v>
      </c>
      <c r="CH146" s="26">
        <v>0</v>
      </c>
      <c r="CI146" s="26">
        <v>0</v>
      </c>
      <c r="CJ146" s="26">
        <v>0</v>
      </c>
      <c r="CK146" s="26">
        <v>0</v>
      </c>
      <c r="CL146" s="26">
        <v>0</v>
      </c>
      <c r="CM146" s="26">
        <v>0</v>
      </c>
      <c r="CN146" s="26">
        <v>0</v>
      </c>
      <c r="CO146" s="26">
        <v>0</v>
      </c>
      <c r="CP146" s="26">
        <v>0</v>
      </c>
      <c r="CQ146" s="26">
        <v>0</v>
      </c>
      <c r="CR146" s="26">
        <v>0</v>
      </c>
      <c r="CS146" s="26">
        <v>0</v>
      </c>
      <c r="CT146" s="26">
        <v>0</v>
      </c>
      <c r="CU146" s="26">
        <v>0</v>
      </c>
      <c r="CV146" s="26">
        <v>0</v>
      </c>
      <c r="CW146" s="26">
        <v>0</v>
      </c>
      <c r="CX146" s="26">
        <v>0</v>
      </c>
      <c r="CY146" s="26">
        <v>0</v>
      </c>
      <c r="CZ146" s="26">
        <v>0</v>
      </c>
      <c r="DA146" s="26">
        <v>0</v>
      </c>
      <c r="DB146" s="26">
        <v>0</v>
      </c>
      <c r="DC146" s="26">
        <v>0</v>
      </c>
      <c r="DD146" s="26">
        <v>0</v>
      </c>
      <c r="DE146" s="26">
        <v>0</v>
      </c>
      <c r="DF146" s="26">
        <v>0</v>
      </c>
      <c r="DG146" s="26">
        <v>0</v>
      </c>
      <c r="DH146" s="26">
        <v>0</v>
      </c>
      <c r="DI146" s="26">
        <v>0</v>
      </c>
      <c r="DJ146" s="26">
        <v>0</v>
      </c>
      <c r="DK146" s="26">
        <v>0</v>
      </c>
      <c r="DL146" s="26">
        <v>0</v>
      </c>
      <c r="DM146" s="26">
        <v>0</v>
      </c>
      <c r="DN146" s="26">
        <v>0</v>
      </c>
      <c r="DO146" s="26">
        <v>0</v>
      </c>
      <c r="DP146" s="26">
        <v>0</v>
      </c>
      <c r="DQ146" s="26">
        <v>0</v>
      </c>
      <c r="DR146" s="26">
        <v>0</v>
      </c>
      <c r="DS146" s="26">
        <v>0</v>
      </c>
      <c r="DT146" s="26">
        <v>0</v>
      </c>
      <c r="DU146" s="26">
        <v>0</v>
      </c>
      <c r="DV146" s="26">
        <v>0</v>
      </c>
      <c r="DW146" s="26">
        <v>0</v>
      </c>
      <c r="DX146" s="26">
        <v>0</v>
      </c>
      <c r="DY146" s="26">
        <v>0</v>
      </c>
      <c r="DZ146" s="26">
        <v>0</v>
      </c>
      <c r="EA146" s="26">
        <v>0</v>
      </c>
      <c r="EB146" s="26">
        <v>0</v>
      </c>
      <c r="EC146" s="26">
        <v>0</v>
      </c>
      <c r="ED146" s="26">
        <v>0</v>
      </c>
      <c r="EE146" s="26">
        <v>0</v>
      </c>
      <c r="EF146" s="26">
        <v>0</v>
      </c>
      <c r="EG146" s="26">
        <v>0</v>
      </c>
      <c r="EH146" s="26">
        <v>0</v>
      </c>
      <c r="EI146" s="26">
        <v>0</v>
      </c>
      <c r="EJ146" s="26">
        <v>0</v>
      </c>
      <c r="EK146" s="26">
        <v>0</v>
      </c>
      <c r="EL146" s="26">
        <v>0</v>
      </c>
      <c r="EM146" s="26">
        <v>0</v>
      </c>
      <c r="EN146" s="26">
        <v>0</v>
      </c>
      <c r="EO146" s="26">
        <v>0</v>
      </c>
      <c r="EP146" s="26">
        <v>0</v>
      </c>
      <c r="EQ146" s="26">
        <v>0</v>
      </c>
      <c r="ER146" s="26">
        <v>0</v>
      </c>
      <c r="ES146" s="26">
        <v>0</v>
      </c>
      <c r="ET146" s="26">
        <v>5</v>
      </c>
      <c r="EU146" s="26">
        <v>0</v>
      </c>
      <c r="EV146" s="26">
        <v>0</v>
      </c>
      <c r="EW146" s="26">
        <v>0</v>
      </c>
      <c r="EX146" s="26">
        <v>0</v>
      </c>
      <c r="EY146" s="26">
        <v>0</v>
      </c>
      <c r="EZ146" s="26">
        <v>0</v>
      </c>
      <c r="FA146" s="26">
        <v>0</v>
      </c>
      <c r="FB146" s="26">
        <v>0</v>
      </c>
      <c r="FC146" s="26">
        <v>0</v>
      </c>
      <c r="FD146" s="26">
        <v>0</v>
      </c>
      <c r="FE146" s="26">
        <v>0</v>
      </c>
      <c r="FF146" s="26">
        <v>0</v>
      </c>
      <c r="FG146" s="26">
        <v>0</v>
      </c>
      <c r="FH146" s="26">
        <v>-50299531.007100001</v>
      </c>
      <c r="FI146" s="26">
        <v>0</v>
      </c>
      <c r="FJ146" s="26">
        <v>0</v>
      </c>
      <c r="FK146" s="26">
        <v>0</v>
      </c>
      <c r="FL146" s="26">
        <v>0</v>
      </c>
      <c r="FM146" s="26">
        <v>0</v>
      </c>
      <c r="FN146" s="26">
        <v>0</v>
      </c>
      <c r="FO146" s="26">
        <v>0</v>
      </c>
      <c r="FP146" s="26">
        <v>0</v>
      </c>
      <c r="FQ146" s="26">
        <v>0</v>
      </c>
      <c r="FR146" s="26">
        <v>0</v>
      </c>
      <c r="FS146" s="26">
        <v>0</v>
      </c>
      <c r="FT146" s="26">
        <v>0</v>
      </c>
      <c r="FU146" s="26">
        <v>0</v>
      </c>
      <c r="FV146" s="26">
        <v>0</v>
      </c>
      <c r="FW146" s="26">
        <v>0</v>
      </c>
      <c r="FX146" s="26">
        <v>0</v>
      </c>
      <c r="FY146" s="26">
        <v>0</v>
      </c>
      <c r="FZ146" s="26">
        <v>0</v>
      </c>
      <c r="GA146" s="26">
        <v>0</v>
      </c>
      <c r="GB146" s="26">
        <v>0</v>
      </c>
      <c r="GC146" s="26">
        <v>0</v>
      </c>
      <c r="GD146" s="26">
        <v>0</v>
      </c>
      <c r="GE146" s="26">
        <v>0</v>
      </c>
      <c r="GF146" s="26">
        <v>0</v>
      </c>
      <c r="GG146" s="26">
        <v>0</v>
      </c>
      <c r="GH146" s="26">
        <v>0</v>
      </c>
      <c r="GI146" s="26">
        <v>0</v>
      </c>
      <c r="GJ146" s="26">
        <v>0</v>
      </c>
      <c r="GK146" s="26">
        <v>0</v>
      </c>
      <c r="GL146" s="26">
        <v>0</v>
      </c>
      <c r="GM146" s="26">
        <v>0</v>
      </c>
      <c r="GN146" s="26">
        <v>0</v>
      </c>
      <c r="GO146" s="26">
        <v>0</v>
      </c>
      <c r="GP146" s="26">
        <v>0</v>
      </c>
      <c r="GQ146" s="26">
        <v>0</v>
      </c>
      <c r="GR146" s="26">
        <v>0</v>
      </c>
      <c r="GS146" s="26">
        <v>0</v>
      </c>
      <c r="GT146" s="26">
        <v>0</v>
      </c>
      <c r="GU146" s="26">
        <v>0</v>
      </c>
      <c r="GV146" s="26">
        <v>0</v>
      </c>
      <c r="GW146" s="26">
        <v>0</v>
      </c>
      <c r="GX146" s="26">
        <v>0</v>
      </c>
      <c r="GY146" s="26">
        <v>0</v>
      </c>
      <c r="GZ146" s="26">
        <v>0</v>
      </c>
      <c r="HA146" s="26">
        <v>0</v>
      </c>
      <c r="HB146" s="26">
        <v>0</v>
      </c>
      <c r="HC146" s="26">
        <v>0</v>
      </c>
      <c r="HD146" s="26">
        <v>0</v>
      </c>
      <c r="HE146" s="26">
        <v>0</v>
      </c>
      <c r="HF146" s="26">
        <v>0</v>
      </c>
      <c r="HG146" s="26">
        <v>0</v>
      </c>
      <c r="HH146" s="26">
        <v>0</v>
      </c>
      <c r="HI146" s="26">
        <v>0</v>
      </c>
      <c r="HJ146" s="26">
        <v>0</v>
      </c>
      <c r="HK146" s="26">
        <v>0</v>
      </c>
      <c r="HL146" s="26">
        <v>0</v>
      </c>
      <c r="HM146" s="26">
        <v>0</v>
      </c>
      <c r="HN146" s="26">
        <v>0</v>
      </c>
      <c r="HO146" s="26">
        <v>0</v>
      </c>
      <c r="HP146" s="26">
        <v>0</v>
      </c>
      <c r="HQ146" s="26">
        <v>0</v>
      </c>
      <c r="HR146" s="26">
        <v>0</v>
      </c>
      <c r="HS146" s="26">
        <v>0</v>
      </c>
      <c r="HT146" s="26">
        <v>0</v>
      </c>
    </row>
    <row r="147" spans="2:228" x14ac:dyDescent="0.2">
      <c r="B147" s="27" t="s">
        <v>1368</v>
      </c>
      <c r="C147" s="26">
        <v>2844.6651299999999</v>
      </c>
      <c r="D147" s="26">
        <v>-5.6435249699999996</v>
      </c>
      <c r="E147" s="26">
        <v>426.69977</v>
      </c>
      <c r="F147" s="26">
        <v>0</v>
      </c>
      <c r="G147" s="26">
        <v>2417.9653600000001</v>
      </c>
      <c r="H147" s="26">
        <v>0</v>
      </c>
      <c r="I147" s="26">
        <v>0</v>
      </c>
      <c r="J147" s="26">
        <v>0</v>
      </c>
      <c r="K147" s="26">
        <v>0</v>
      </c>
      <c r="L147" s="26">
        <v>0</v>
      </c>
      <c r="M147" s="26">
        <v>0</v>
      </c>
      <c r="N147" s="26">
        <v>0</v>
      </c>
      <c r="O147" s="26">
        <v>0</v>
      </c>
      <c r="P147" s="26">
        <v>0</v>
      </c>
      <c r="Q147" s="26">
        <v>0</v>
      </c>
      <c r="R147" s="26">
        <v>0</v>
      </c>
      <c r="S147" s="26">
        <v>0</v>
      </c>
      <c r="T147" s="26">
        <v>0</v>
      </c>
      <c r="U147" s="26">
        <v>0</v>
      </c>
      <c r="V147" s="26">
        <v>0</v>
      </c>
      <c r="W147" s="26">
        <v>0</v>
      </c>
      <c r="X147" s="26">
        <v>0</v>
      </c>
      <c r="Y147" s="26">
        <v>0</v>
      </c>
      <c r="Z147" s="26">
        <v>0</v>
      </c>
      <c r="AA147" s="26">
        <v>0</v>
      </c>
      <c r="AB147" s="26">
        <v>0</v>
      </c>
      <c r="AC147" s="26">
        <v>0</v>
      </c>
      <c r="AD147" s="26">
        <v>0</v>
      </c>
      <c r="AE147" s="26">
        <v>0</v>
      </c>
      <c r="AF147" s="26">
        <v>0</v>
      </c>
      <c r="AG147" s="26">
        <v>0</v>
      </c>
      <c r="AH147" s="26">
        <v>0</v>
      </c>
      <c r="AI147" s="26">
        <v>0</v>
      </c>
      <c r="AJ147" s="26">
        <v>0</v>
      </c>
      <c r="AK147" s="26">
        <v>0</v>
      </c>
      <c r="AL147" s="26">
        <v>0</v>
      </c>
      <c r="AM147" s="26">
        <v>0</v>
      </c>
      <c r="AN147" s="26">
        <v>0</v>
      </c>
      <c r="AO147" s="26">
        <v>0</v>
      </c>
      <c r="AP147" s="26">
        <v>0</v>
      </c>
      <c r="AQ147" s="26">
        <v>0</v>
      </c>
      <c r="AR147" s="26">
        <v>0</v>
      </c>
      <c r="AS147" s="26">
        <v>0</v>
      </c>
      <c r="AT147" s="26">
        <v>0</v>
      </c>
      <c r="AU147" s="26">
        <v>0</v>
      </c>
      <c r="AV147" s="26">
        <v>0</v>
      </c>
      <c r="AW147" s="26">
        <v>0</v>
      </c>
      <c r="AX147" s="26">
        <v>0</v>
      </c>
      <c r="AY147" s="26">
        <v>0</v>
      </c>
      <c r="AZ147" s="26">
        <v>0</v>
      </c>
      <c r="BA147" s="26">
        <v>0</v>
      </c>
      <c r="BB147" s="26">
        <v>0</v>
      </c>
      <c r="BC147" s="26">
        <v>0</v>
      </c>
      <c r="BD147" s="26">
        <v>0</v>
      </c>
      <c r="BE147" s="26">
        <v>0</v>
      </c>
      <c r="BF147" s="26">
        <v>0</v>
      </c>
      <c r="BG147" s="26">
        <v>0</v>
      </c>
      <c r="BH147" s="26">
        <v>0</v>
      </c>
      <c r="BI147" s="26">
        <v>0</v>
      </c>
      <c r="BJ147" s="26">
        <v>0</v>
      </c>
      <c r="BK147" s="26">
        <v>0</v>
      </c>
      <c r="BL147" s="26">
        <v>0</v>
      </c>
      <c r="BM147" s="26">
        <v>0</v>
      </c>
      <c r="BN147" s="26">
        <v>0</v>
      </c>
      <c r="BO147" s="26">
        <v>37.106820200000001</v>
      </c>
      <c r="BP147" s="26">
        <v>2844.6651299999999</v>
      </c>
      <c r="BQ147" s="26">
        <v>16.375803399999999</v>
      </c>
      <c r="BR147" s="26">
        <v>28</v>
      </c>
      <c r="BS147" s="26">
        <v>1</v>
      </c>
      <c r="BT147" s="26">
        <v>0</v>
      </c>
      <c r="BU147" s="26">
        <v>1</v>
      </c>
      <c r="BV147" s="26">
        <v>0</v>
      </c>
      <c r="BW147" s="26">
        <v>-152088.61600000001</v>
      </c>
      <c r="BX147" s="26">
        <v>-1983.8978099999999</v>
      </c>
      <c r="BY147" s="26">
        <v>-5.6435249699999996</v>
      </c>
      <c r="BZ147" s="26">
        <v>-117.882704</v>
      </c>
      <c r="CA147" s="26">
        <v>-1.53770377</v>
      </c>
      <c r="CB147" s="26">
        <v>3.7765902499999997E-2</v>
      </c>
      <c r="CC147" s="26">
        <v>2.8951913800000004</v>
      </c>
      <c r="CD147" s="26">
        <v>76.661517099999998</v>
      </c>
      <c r="CE147" s="26">
        <v>41.262657900000001</v>
      </c>
      <c r="CF147" s="26">
        <v>0</v>
      </c>
      <c r="CG147" s="26">
        <v>0</v>
      </c>
      <c r="CH147" s="26">
        <v>0</v>
      </c>
      <c r="CI147" s="26">
        <v>0</v>
      </c>
      <c r="CJ147" s="26">
        <v>0</v>
      </c>
      <c r="CK147" s="26">
        <v>0</v>
      </c>
      <c r="CL147" s="26">
        <v>0</v>
      </c>
      <c r="CM147" s="26">
        <v>0</v>
      </c>
      <c r="CN147" s="26">
        <v>0</v>
      </c>
      <c r="CO147" s="26">
        <v>0</v>
      </c>
      <c r="CP147" s="26">
        <v>0</v>
      </c>
      <c r="CQ147" s="26">
        <v>0</v>
      </c>
      <c r="CR147" s="26">
        <v>0</v>
      </c>
      <c r="CS147" s="26">
        <v>0</v>
      </c>
      <c r="CT147" s="26">
        <v>0</v>
      </c>
      <c r="CU147" s="26">
        <v>0</v>
      </c>
      <c r="CV147" s="26">
        <v>0</v>
      </c>
      <c r="CW147" s="26">
        <v>0</v>
      </c>
      <c r="CX147" s="26">
        <v>0</v>
      </c>
      <c r="CY147" s="26">
        <v>0</v>
      </c>
      <c r="CZ147" s="26">
        <v>0</v>
      </c>
      <c r="DA147" s="26">
        <v>0</v>
      </c>
      <c r="DB147" s="26">
        <v>0</v>
      </c>
      <c r="DC147" s="26">
        <v>0</v>
      </c>
      <c r="DD147" s="26">
        <v>0</v>
      </c>
      <c r="DE147" s="26">
        <v>0</v>
      </c>
      <c r="DF147" s="26">
        <v>0</v>
      </c>
      <c r="DG147" s="26">
        <v>0</v>
      </c>
      <c r="DH147" s="26">
        <v>0</v>
      </c>
      <c r="DI147" s="26">
        <v>0</v>
      </c>
      <c r="DJ147" s="26">
        <v>0</v>
      </c>
      <c r="DK147" s="26">
        <v>0</v>
      </c>
      <c r="DL147" s="26">
        <v>0</v>
      </c>
      <c r="DM147" s="26">
        <v>0</v>
      </c>
      <c r="DN147" s="26">
        <v>0</v>
      </c>
      <c r="DO147" s="26">
        <v>0</v>
      </c>
      <c r="DP147" s="26">
        <v>0</v>
      </c>
      <c r="DQ147" s="26">
        <v>0</v>
      </c>
      <c r="DR147" s="26">
        <v>0</v>
      </c>
      <c r="DS147" s="26">
        <v>0</v>
      </c>
      <c r="DT147" s="26">
        <v>0</v>
      </c>
      <c r="DU147" s="26">
        <v>0</v>
      </c>
      <c r="DV147" s="26">
        <v>0</v>
      </c>
      <c r="DW147" s="26">
        <v>0</v>
      </c>
      <c r="DX147" s="26">
        <v>0</v>
      </c>
      <c r="DY147" s="26">
        <v>0</v>
      </c>
      <c r="DZ147" s="26">
        <v>0</v>
      </c>
      <c r="EA147" s="26">
        <v>0</v>
      </c>
      <c r="EB147" s="26">
        <v>0</v>
      </c>
      <c r="EC147" s="26">
        <v>0</v>
      </c>
      <c r="ED147" s="26">
        <v>0</v>
      </c>
      <c r="EE147" s="26">
        <v>0</v>
      </c>
      <c r="EF147" s="26">
        <v>0</v>
      </c>
      <c r="EG147" s="26">
        <v>0</v>
      </c>
      <c r="EH147" s="26">
        <v>0</v>
      </c>
      <c r="EI147" s="26">
        <v>0</v>
      </c>
      <c r="EJ147" s="26">
        <v>0</v>
      </c>
      <c r="EK147" s="26">
        <v>0</v>
      </c>
      <c r="EL147" s="26">
        <v>0</v>
      </c>
      <c r="EM147" s="26">
        <v>0</v>
      </c>
      <c r="EN147" s="26">
        <v>0</v>
      </c>
      <c r="EO147" s="26">
        <v>0</v>
      </c>
      <c r="EP147" s="26">
        <v>0</v>
      </c>
      <c r="EQ147" s="26">
        <v>0</v>
      </c>
      <c r="ER147" s="26">
        <v>0</v>
      </c>
      <c r="ES147" s="26">
        <v>28</v>
      </c>
      <c r="ET147" s="26">
        <v>1</v>
      </c>
      <c r="EU147" s="26">
        <v>0</v>
      </c>
      <c r="EV147" s="26">
        <v>0</v>
      </c>
      <c r="EW147" s="26">
        <v>0</v>
      </c>
      <c r="EX147" s="26">
        <v>0</v>
      </c>
      <c r="EY147" s="26">
        <v>0</v>
      </c>
      <c r="EZ147" s="26">
        <v>0</v>
      </c>
      <c r="FA147" s="26">
        <v>0</v>
      </c>
      <c r="FB147" s="26">
        <v>0</v>
      </c>
      <c r="FC147" s="26">
        <v>0</v>
      </c>
      <c r="FD147" s="26">
        <v>0</v>
      </c>
      <c r="FE147" s="26">
        <v>162.14240000000001</v>
      </c>
      <c r="FF147" s="26">
        <v>0</v>
      </c>
      <c r="FG147" s="26">
        <v>0.90587312200000003</v>
      </c>
      <c r="FH147" s="26">
        <v>-6568934.5791500006</v>
      </c>
      <c r="FI147" s="26">
        <v>2.2368973123396231E-2</v>
      </c>
      <c r="FJ147" s="26">
        <v>0</v>
      </c>
      <c r="FK147" s="26">
        <v>0</v>
      </c>
      <c r="FL147" s="26">
        <v>0</v>
      </c>
      <c r="FM147" s="26">
        <v>0</v>
      </c>
      <c r="FN147" s="26">
        <v>0</v>
      </c>
      <c r="FO147" s="26">
        <v>0</v>
      </c>
      <c r="FP147" s="26">
        <v>0</v>
      </c>
      <c r="FQ147" s="26">
        <v>0</v>
      </c>
      <c r="FR147" s="26">
        <v>0</v>
      </c>
      <c r="FS147" s="26">
        <v>0</v>
      </c>
      <c r="FT147" s="26">
        <v>0</v>
      </c>
      <c r="FU147" s="26">
        <v>0</v>
      </c>
      <c r="FV147" s="26">
        <v>0</v>
      </c>
      <c r="FW147" s="26">
        <v>0</v>
      </c>
      <c r="FX147" s="26">
        <v>0</v>
      </c>
      <c r="FY147" s="26">
        <v>0</v>
      </c>
      <c r="FZ147" s="26">
        <v>0</v>
      </c>
      <c r="GA147" s="26">
        <v>0</v>
      </c>
      <c r="GB147" s="26">
        <v>0</v>
      </c>
      <c r="GC147" s="26">
        <v>0</v>
      </c>
      <c r="GD147" s="26">
        <v>0</v>
      </c>
      <c r="GE147" s="26">
        <v>0</v>
      </c>
      <c r="GF147" s="26">
        <v>0</v>
      </c>
      <c r="GG147" s="26">
        <v>0</v>
      </c>
      <c r="GH147" s="26">
        <v>0</v>
      </c>
      <c r="GI147" s="26">
        <v>0</v>
      </c>
      <c r="GJ147" s="26">
        <v>0</v>
      </c>
      <c r="GK147" s="26">
        <v>0</v>
      </c>
      <c r="GL147" s="26">
        <v>0</v>
      </c>
      <c r="GM147" s="26">
        <v>0</v>
      </c>
      <c r="GN147" s="26">
        <v>0</v>
      </c>
      <c r="GO147" s="26">
        <v>0</v>
      </c>
      <c r="GP147" s="26">
        <v>0</v>
      </c>
      <c r="GQ147" s="26">
        <v>0</v>
      </c>
      <c r="GR147" s="26">
        <v>0</v>
      </c>
      <c r="GS147" s="26">
        <v>0</v>
      </c>
      <c r="GT147" s="26">
        <v>0</v>
      </c>
      <c r="GU147" s="26">
        <v>0</v>
      </c>
      <c r="GV147" s="26">
        <v>0</v>
      </c>
      <c r="GW147" s="26">
        <v>0</v>
      </c>
      <c r="GX147" s="26">
        <v>0</v>
      </c>
      <c r="GY147" s="26">
        <v>0</v>
      </c>
      <c r="GZ147" s="26">
        <v>0</v>
      </c>
      <c r="HA147" s="26">
        <v>0</v>
      </c>
      <c r="HB147" s="26">
        <v>0</v>
      </c>
      <c r="HC147" s="26">
        <v>0</v>
      </c>
      <c r="HD147" s="26">
        <v>0</v>
      </c>
      <c r="HE147" s="26">
        <v>0</v>
      </c>
      <c r="HF147" s="26">
        <v>0</v>
      </c>
      <c r="HG147" s="26">
        <v>0</v>
      </c>
      <c r="HH147" s="26">
        <v>0</v>
      </c>
      <c r="HI147" s="26">
        <v>0</v>
      </c>
      <c r="HJ147" s="26">
        <v>0</v>
      </c>
      <c r="HK147" s="26">
        <v>0</v>
      </c>
      <c r="HL147" s="26">
        <v>0</v>
      </c>
      <c r="HM147" s="26">
        <v>0</v>
      </c>
      <c r="HN147" s="26">
        <v>0</v>
      </c>
      <c r="HO147" s="26">
        <v>0</v>
      </c>
      <c r="HP147" s="26">
        <v>0</v>
      </c>
      <c r="HQ147" s="26">
        <v>0</v>
      </c>
      <c r="HR147" s="26">
        <v>0</v>
      </c>
      <c r="HS147" s="26">
        <v>0</v>
      </c>
      <c r="HT147" s="26">
        <v>0</v>
      </c>
    </row>
    <row r="148" spans="2:228" x14ac:dyDescent="0.2">
      <c r="B148" s="27" t="s">
        <v>1370</v>
      </c>
      <c r="C148" s="26">
        <v>15801.275600000003</v>
      </c>
      <c r="D148" s="26">
        <v>-53.950195200000003</v>
      </c>
      <c r="E148" s="26">
        <v>13296.313200000001</v>
      </c>
      <c r="F148" s="26">
        <v>0</v>
      </c>
      <c r="G148" s="26">
        <v>2417.9653600000001</v>
      </c>
      <c r="H148" s="26">
        <v>0</v>
      </c>
      <c r="I148" s="26">
        <v>0</v>
      </c>
      <c r="J148" s="26">
        <v>0</v>
      </c>
      <c r="K148" s="26">
        <v>0</v>
      </c>
      <c r="L148" s="26">
        <v>0</v>
      </c>
      <c r="M148" s="26">
        <v>0</v>
      </c>
      <c r="N148" s="26">
        <v>0</v>
      </c>
      <c r="O148" s="26">
        <v>0</v>
      </c>
      <c r="P148" s="26">
        <v>0</v>
      </c>
      <c r="Q148" s="26">
        <v>0</v>
      </c>
      <c r="R148" s="26">
        <v>0</v>
      </c>
      <c r="S148" s="26">
        <v>0</v>
      </c>
      <c r="T148" s="26">
        <v>0</v>
      </c>
      <c r="U148" s="26">
        <v>0</v>
      </c>
      <c r="V148" s="26">
        <v>0</v>
      </c>
      <c r="W148" s="26">
        <v>0</v>
      </c>
      <c r="X148" s="26">
        <v>4.5235248600000002</v>
      </c>
      <c r="Y148" s="26">
        <v>0</v>
      </c>
      <c r="Z148" s="26">
        <v>0</v>
      </c>
      <c r="AA148" s="26">
        <v>0</v>
      </c>
      <c r="AB148" s="26">
        <v>2.2362762200000001E-2</v>
      </c>
      <c r="AC148" s="26">
        <v>0</v>
      </c>
      <c r="AD148" s="26">
        <v>0</v>
      </c>
      <c r="AE148" s="26">
        <v>0</v>
      </c>
      <c r="AF148" s="26">
        <v>0</v>
      </c>
      <c r="AG148" s="26">
        <v>0</v>
      </c>
      <c r="AH148" s="26">
        <v>0</v>
      </c>
      <c r="AI148" s="26">
        <v>0</v>
      </c>
      <c r="AJ148" s="26">
        <v>0</v>
      </c>
      <c r="AK148" s="26">
        <v>0</v>
      </c>
      <c r="AL148" s="26">
        <v>0</v>
      </c>
      <c r="AM148" s="26">
        <v>1.48417376</v>
      </c>
      <c r="AN148" s="26">
        <v>8.7573783700000008E-3</v>
      </c>
      <c r="AO148" s="26">
        <v>1.94127815E-2</v>
      </c>
      <c r="AP148" s="26">
        <v>0</v>
      </c>
      <c r="AQ148" s="26">
        <v>0</v>
      </c>
      <c r="AR148" s="26">
        <v>0</v>
      </c>
      <c r="AS148" s="26">
        <v>9.4799992499999999E-2</v>
      </c>
      <c r="AT148" s="26">
        <v>0</v>
      </c>
      <c r="AU148" s="26">
        <v>0</v>
      </c>
      <c r="AV148" s="26">
        <v>2.4056583000000003E-4</v>
      </c>
      <c r="AW148" s="26">
        <v>0</v>
      </c>
      <c r="AX148" s="26">
        <v>0</v>
      </c>
      <c r="AY148" s="26">
        <v>0</v>
      </c>
      <c r="AZ148" s="26">
        <v>0</v>
      </c>
      <c r="BA148" s="26">
        <v>0</v>
      </c>
      <c r="BB148" s="26">
        <v>0</v>
      </c>
      <c r="BC148" s="26">
        <v>0</v>
      </c>
      <c r="BD148" s="26">
        <v>0</v>
      </c>
      <c r="BE148" s="26">
        <v>0</v>
      </c>
      <c r="BF148" s="26">
        <v>0</v>
      </c>
      <c r="BG148" s="26">
        <v>0</v>
      </c>
      <c r="BH148" s="26">
        <v>0</v>
      </c>
      <c r="BI148" s="26">
        <v>0</v>
      </c>
      <c r="BJ148" s="26">
        <v>0</v>
      </c>
      <c r="BK148" s="26">
        <v>0</v>
      </c>
      <c r="BL148" s="26">
        <v>0</v>
      </c>
      <c r="BM148" s="26">
        <v>0</v>
      </c>
      <c r="BN148" s="26">
        <v>0</v>
      </c>
      <c r="BO148" s="26">
        <v>751.53882999999996</v>
      </c>
      <c r="BP148" s="26">
        <v>15720.431799999998</v>
      </c>
      <c r="BQ148" s="26">
        <v>249.63461799999999</v>
      </c>
      <c r="BR148" s="26">
        <v>62.107559400000014</v>
      </c>
      <c r="BS148" s="26">
        <v>3.0413789199999997</v>
      </c>
      <c r="BT148" s="26">
        <v>0</v>
      </c>
      <c r="BU148" s="26">
        <v>1</v>
      </c>
      <c r="BV148" s="26">
        <v>0</v>
      </c>
      <c r="BW148" s="26">
        <v>-71703.742400000003</v>
      </c>
      <c r="BX148" s="26">
        <v>-3427.90499</v>
      </c>
      <c r="BY148" s="26">
        <v>-53.888147099999998</v>
      </c>
      <c r="BZ148" s="26">
        <v>-40.507018199999997</v>
      </c>
      <c r="CA148" s="26">
        <v>-1.93649878</v>
      </c>
      <c r="CB148" s="26">
        <v>5.0175921499999998E-2</v>
      </c>
      <c r="CC148" s="26">
        <v>1.04956274</v>
      </c>
      <c r="CD148" s="26">
        <v>20.917657500000001</v>
      </c>
      <c r="CE148" s="26">
        <v>256.26330200000001</v>
      </c>
      <c r="CF148" s="26">
        <v>0</v>
      </c>
      <c r="CG148" s="26">
        <v>0</v>
      </c>
      <c r="CH148" s="26">
        <v>0</v>
      </c>
      <c r="CI148" s="26">
        <v>0</v>
      </c>
      <c r="CJ148" s="26">
        <v>0</v>
      </c>
      <c r="CK148" s="26">
        <v>0</v>
      </c>
      <c r="CL148" s="26">
        <v>0</v>
      </c>
      <c r="CM148" s="26">
        <v>0</v>
      </c>
      <c r="CN148" s="26">
        <v>0</v>
      </c>
      <c r="CO148" s="26">
        <v>0</v>
      </c>
      <c r="CP148" s="26">
        <v>0</v>
      </c>
      <c r="CQ148" s="26">
        <v>0</v>
      </c>
      <c r="CR148" s="26">
        <v>0</v>
      </c>
      <c r="CS148" s="26">
        <v>0</v>
      </c>
      <c r="CT148" s="26">
        <v>0</v>
      </c>
      <c r="CU148" s="26">
        <v>0</v>
      </c>
      <c r="CV148" s="26">
        <v>0</v>
      </c>
      <c r="CW148" s="26">
        <v>0</v>
      </c>
      <c r="CX148" s="26">
        <v>0</v>
      </c>
      <c r="CY148" s="26">
        <v>0</v>
      </c>
      <c r="CZ148" s="26">
        <v>0</v>
      </c>
      <c r="DA148" s="26">
        <v>0</v>
      </c>
      <c r="DB148" s="26">
        <v>0</v>
      </c>
      <c r="DC148" s="26">
        <v>0</v>
      </c>
      <c r="DD148" s="26">
        <v>0</v>
      </c>
      <c r="DE148" s="26">
        <v>0</v>
      </c>
      <c r="DF148" s="26">
        <v>0</v>
      </c>
      <c r="DG148" s="26">
        <v>0</v>
      </c>
      <c r="DH148" s="26">
        <v>0</v>
      </c>
      <c r="DI148" s="26">
        <v>0</v>
      </c>
      <c r="DJ148" s="26">
        <v>0</v>
      </c>
      <c r="DK148" s="26">
        <v>0</v>
      </c>
      <c r="DL148" s="26">
        <v>0</v>
      </c>
      <c r="DM148" s="26">
        <v>0</v>
      </c>
      <c r="DN148" s="26">
        <v>0</v>
      </c>
      <c r="DO148" s="26">
        <v>0</v>
      </c>
      <c r="DP148" s="26">
        <v>0</v>
      </c>
      <c r="DQ148" s="26">
        <v>0</v>
      </c>
      <c r="DR148" s="26">
        <v>0</v>
      </c>
      <c r="DS148" s="26">
        <v>0</v>
      </c>
      <c r="DT148" s="26">
        <v>0</v>
      </c>
      <c r="DU148" s="26">
        <v>0</v>
      </c>
      <c r="DV148" s="26">
        <v>0</v>
      </c>
      <c r="DW148" s="26">
        <v>0</v>
      </c>
      <c r="DX148" s="26">
        <v>0</v>
      </c>
      <c r="DY148" s="26">
        <v>0</v>
      </c>
      <c r="DZ148" s="26">
        <v>0</v>
      </c>
      <c r="EA148" s="26">
        <v>0</v>
      </c>
      <c r="EB148" s="26">
        <v>0</v>
      </c>
      <c r="EC148" s="26">
        <v>0</v>
      </c>
      <c r="ED148" s="26">
        <v>0</v>
      </c>
      <c r="EE148" s="26">
        <v>4.5690913699999998</v>
      </c>
      <c r="EF148" s="26">
        <v>0</v>
      </c>
      <c r="EG148" s="26">
        <v>0</v>
      </c>
      <c r="EH148" s="26">
        <v>64.296701200000001</v>
      </c>
      <c r="EI148" s="26">
        <v>0</v>
      </c>
      <c r="EJ148" s="26">
        <v>11.978025300000001</v>
      </c>
      <c r="EK148" s="26">
        <v>0</v>
      </c>
      <c r="EL148" s="26">
        <v>0</v>
      </c>
      <c r="EM148" s="26">
        <v>0</v>
      </c>
      <c r="EN148" s="26">
        <v>0</v>
      </c>
      <c r="EO148" s="26">
        <v>0</v>
      </c>
      <c r="EP148" s="26">
        <v>3.38018763</v>
      </c>
      <c r="EQ148" s="26">
        <v>80.843817900000005</v>
      </c>
      <c r="ER148" s="26">
        <v>0.85874461800000002</v>
      </c>
      <c r="ES148" s="26">
        <v>62.107559400000014</v>
      </c>
      <c r="ET148" s="26">
        <v>3.0413789199999997</v>
      </c>
      <c r="EU148" s="26">
        <v>0</v>
      </c>
      <c r="EV148" s="26">
        <v>0</v>
      </c>
      <c r="EW148" s="26">
        <v>1</v>
      </c>
      <c r="EX148" s="26">
        <v>-18356.386299999998</v>
      </c>
      <c r="EY148" s="26">
        <v>-767.50494200000003</v>
      </c>
      <c r="EZ148" s="26">
        <v>-6.20480302E-2</v>
      </c>
      <c r="FA148" s="26">
        <v>-60.366612600000003</v>
      </c>
      <c r="FB148" s="26">
        <v>-2.5240084199999999</v>
      </c>
      <c r="FC148" s="26">
        <v>6.5603275599999997E-2</v>
      </c>
      <c r="FD148" s="26">
        <v>1.5690310300000001</v>
      </c>
      <c r="FE148" s="26">
        <v>23.916961700000002</v>
      </c>
      <c r="FF148" s="26">
        <v>0</v>
      </c>
      <c r="FG148" s="26">
        <v>0.17068159499999999</v>
      </c>
      <c r="FH148" s="26">
        <v>-63341649.793899998</v>
      </c>
      <c r="FI148" s="26">
        <v>2.2437690957279308E-2</v>
      </c>
      <c r="FJ148" s="26">
        <v>0</v>
      </c>
      <c r="FK148" s="26">
        <v>0</v>
      </c>
      <c r="FL148" s="26">
        <v>0</v>
      </c>
      <c r="FM148" s="26">
        <v>0</v>
      </c>
      <c r="FN148" s="26">
        <v>0</v>
      </c>
      <c r="FO148" s="26">
        <v>0</v>
      </c>
      <c r="FP148" s="26">
        <v>0</v>
      </c>
      <c r="FQ148" s="26">
        <v>0</v>
      </c>
      <c r="FR148" s="26">
        <v>0</v>
      </c>
      <c r="FS148" s="26">
        <v>0</v>
      </c>
      <c r="FT148" s="26">
        <v>0</v>
      </c>
      <c r="FU148" s="26">
        <v>0</v>
      </c>
      <c r="FV148" s="26">
        <v>0</v>
      </c>
      <c r="FW148" s="26">
        <v>0</v>
      </c>
      <c r="FX148" s="26">
        <v>0</v>
      </c>
      <c r="FY148" s="26">
        <v>0</v>
      </c>
      <c r="FZ148" s="26">
        <v>0</v>
      </c>
      <c r="GA148" s="26">
        <v>0</v>
      </c>
      <c r="GB148" s="26">
        <v>0</v>
      </c>
      <c r="GC148" s="26">
        <v>0</v>
      </c>
      <c r="GD148" s="26">
        <v>0</v>
      </c>
      <c r="GE148" s="26">
        <v>0</v>
      </c>
      <c r="GF148" s="26">
        <v>0</v>
      </c>
      <c r="GG148" s="26">
        <v>0</v>
      </c>
      <c r="GH148" s="26">
        <v>0</v>
      </c>
      <c r="GI148" s="26">
        <v>0</v>
      </c>
      <c r="GJ148" s="26">
        <v>0</v>
      </c>
      <c r="GK148" s="26">
        <v>0</v>
      </c>
      <c r="GL148" s="26">
        <v>0</v>
      </c>
      <c r="GM148" s="26">
        <v>0</v>
      </c>
      <c r="GN148" s="26">
        <v>0</v>
      </c>
      <c r="GO148" s="26">
        <v>0</v>
      </c>
      <c r="GP148" s="26">
        <v>0</v>
      </c>
      <c r="GQ148" s="26">
        <v>0</v>
      </c>
      <c r="GR148" s="26">
        <v>0</v>
      </c>
      <c r="GS148" s="26">
        <v>0</v>
      </c>
      <c r="GT148" s="26">
        <v>0</v>
      </c>
      <c r="GU148" s="26">
        <v>0</v>
      </c>
      <c r="GV148" s="26">
        <v>0</v>
      </c>
      <c r="GW148" s="26">
        <v>0</v>
      </c>
      <c r="GX148" s="26">
        <v>0</v>
      </c>
      <c r="GY148" s="26">
        <v>0</v>
      </c>
      <c r="GZ148" s="26">
        <v>0</v>
      </c>
      <c r="HA148" s="26">
        <v>0</v>
      </c>
      <c r="HB148" s="26">
        <v>0</v>
      </c>
      <c r="HC148" s="26">
        <v>0</v>
      </c>
      <c r="HD148" s="26">
        <v>0</v>
      </c>
      <c r="HE148" s="26">
        <v>0</v>
      </c>
      <c r="HF148" s="26">
        <v>0</v>
      </c>
      <c r="HG148" s="26">
        <v>0</v>
      </c>
      <c r="HH148" s="26">
        <v>0</v>
      </c>
      <c r="HI148" s="26">
        <v>0</v>
      </c>
      <c r="HJ148" s="26">
        <v>0</v>
      </c>
      <c r="HK148" s="26">
        <v>0</v>
      </c>
      <c r="HL148" s="26">
        <v>0</v>
      </c>
      <c r="HM148" s="26">
        <v>0</v>
      </c>
      <c r="HN148" s="26">
        <v>0</v>
      </c>
      <c r="HO148" s="26">
        <v>0</v>
      </c>
      <c r="HP148" s="26">
        <v>0</v>
      </c>
      <c r="HQ148" s="26">
        <v>0</v>
      </c>
      <c r="HR148" s="26">
        <v>0</v>
      </c>
      <c r="HS148" s="26">
        <v>0</v>
      </c>
      <c r="HT148" s="26">
        <v>9.3894101584486144E-4</v>
      </c>
    </row>
    <row r="149" spans="2:228" x14ac:dyDescent="0.2">
      <c r="B149" s="27" t="s">
        <v>2410</v>
      </c>
      <c r="C149" s="26">
        <v>15801.275600000003</v>
      </c>
      <c r="D149" s="26">
        <v>-53.951738599999999</v>
      </c>
      <c r="E149" s="26">
        <v>13296.313200000001</v>
      </c>
      <c r="F149" s="26">
        <v>0</v>
      </c>
      <c r="G149" s="26">
        <v>2417.9653600000001</v>
      </c>
      <c r="H149" s="26">
        <v>0</v>
      </c>
      <c r="I149" s="26">
        <v>0</v>
      </c>
      <c r="J149" s="26">
        <v>0</v>
      </c>
      <c r="K149" s="26">
        <v>0</v>
      </c>
      <c r="L149" s="26">
        <v>0</v>
      </c>
      <c r="M149" s="26">
        <v>0</v>
      </c>
      <c r="N149" s="26">
        <v>0</v>
      </c>
      <c r="O149" s="26">
        <v>0</v>
      </c>
      <c r="P149" s="26">
        <v>0</v>
      </c>
      <c r="Q149" s="26">
        <v>0</v>
      </c>
      <c r="R149" s="26">
        <v>0</v>
      </c>
      <c r="S149" s="26">
        <v>0</v>
      </c>
      <c r="T149" s="26">
        <v>0</v>
      </c>
      <c r="U149" s="26">
        <v>0</v>
      </c>
      <c r="V149" s="26">
        <v>0</v>
      </c>
      <c r="W149" s="26">
        <v>0</v>
      </c>
      <c r="X149" s="26">
        <v>4.5235248600000002</v>
      </c>
      <c r="Y149" s="26">
        <v>0</v>
      </c>
      <c r="Z149" s="26">
        <v>0</v>
      </c>
      <c r="AA149" s="26">
        <v>0</v>
      </c>
      <c r="AB149" s="26">
        <v>2.2362762200000001E-2</v>
      </c>
      <c r="AC149" s="26">
        <v>0</v>
      </c>
      <c r="AD149" s="26">
        <v>0</v>
      </c>
      <c r="AE149" s="26">
        <v>0</v>
      </c>
      <c r="AF149" s="26">
        <v>0</v>
      </c>
      <c r="AG149" s="26">
        <v>0</v>
      </c>
      <c r="AH149" s="26">
        <v>0</v>
      </c>
      <c r="AI149" s="26">
        <v>0</v>
      </c>
      <c r="AJ149" s="26">
        <v>0</v>
      </c>
      <c r="AK149" s="26">
        <v>0</v>
      </c>
      <c r="AL149" s="26">
        <v>0</v>
      </c>
      <c r="AM149" s="26">
        <v>1.48417376</v>
      </c>
      <c r="AN149" s="26">
        <v>8.7573783700000008E-3</v>
      </c>
      <c r="AO149" s="26">
        <v>1.94127815E-2</v>
      </c>
      <c r="AP149" s="26">
        <v>0</v>
      </c>
      <c r="AQ149" s="26">
        <v>0</v>
      </c>
      <c r="AR149" s="26">
        <v>0</v>
      </c>
      <c r="AS149" s="26">
        <v>9.4799992499999999E-2</v>
      </c>
      <c r="AT149" s="26">
        <v>0</v>
      </c>
      <c r="AU149" s="26">
        <v>0</v>
      </c>
      <c r="AV149" s="26">
        <v>2.4056583000000003E-4</v>
      </c>
      <c r="AW149" s="26">
        <v>0</v>
      </c>
      <c r="AX149" s="26">
        <v>0</v>
      </c>
      <c r="AY149" s="26">
        <v>0</v>
      </c>
      <c r="AZ149" s="26">
        <v>0</v>
      </c>
      <c r="BA149" s="26">
        <v>0</v>
      </c>
      <c r="BB149" s="26">
        <v>0</v>
      </c>
      <c r="BC149" s="26">
        <v>0</v>
      </c>
      <c r="BD149" s="26">
        <v>0</v>
      </c>
      <c r="BE149" s="26">
        <v>0</v>
      </c>
      <c r="BF149" s="26">
        <v>0</v>
      </c>
      <c r="BG149" s="26">
        <v>0</v>
      </c>
      <c r="BH149" s="26">
        <v>0</v>
      </c>
      <c r="BI149" s="26">
        <v>0</v>
      </c>
      <c r="BJ149" s="26">
        <v>0</v>
      </c>
      <c r="BK149" s="26">
        <v>0</v>
      </c>
      <c r="BL149" s="26">
        <v>0</v>
      </c>
      <c r="BM149" s="26">
        <v>0</v>
      </c>
      <c r="BN149" s="26">
        <v>0</v>
      </c>
      <c r="BO149" s="26">
        <v>751.53882999999996</v>
      </c>
      <c r="BP149" s="26">
        <v>15720.431799999998</v>
      </c>
      <c r="BQ149" s="26">
        <v>249.60533200000003</v>
      </c>
      <c r="BR149" s="26">
        <v>62</v>
      </c>
      <c r="BS149" s="26">
        <v>1</v>
      </c>
      <c r="BT149" s="26">
        <v>0</v>
      </c>
      <c r="BU149" s="26">
        <v>1</v>
      </c>
      <c r="BV149" s="26">
        <v>0</v>
      </c>
      <c r="BW149" s="26">
        <v>-71705.792100000006</v>
      </c>
      <c r="BX149" s="26">
        <v>-3428.0029800000002</v>
      </c>
      <c r="BY149" s="26">
        <v>-53.889687500000001</v>
      </c>
      <c r="BZ149" s="26">
        <v>-40.513136799999998</v>
      </c>
      <c r="CA149" s="26">
        <v>-1.9367912899999999</v>
      </c>
      <c r="CB149" s="26">
        <v>5.0181808699999997E-2</v>
      </c>
      <c r="CC149" s="26">
        <v>1.0496858899999999</v>
      </c>
      <c r="CD149" s="26">
        <v>20.917657500000001</v>
      </c>
      <c r="CE149" s="26">
        <v>256.26330200000001</v>
      </c>
      <c r="CF149" s="26">
        <v>0</v>
      </c>
      <c r="CG149" s="26">
        <v>0</v>
      </c>
      <c r="CH149" s="26">
        <v>0</v>
      </c>
      <c r="CI149" s="26">
        <v>0</v>
      </c>
      <c r="CJ149" s="26">
        <v>0</v>
      </c>
      <c r="CK149" s="26">
        <v>0</v>
      </c>
      <c r="CL149" s="26">
        <v>0</v>
      </c>
      <c r="CM149" s="26">
        <v>0</v>
      </c>
      <c r="CN149" s="26">
        <v>0</v>
      </c>
      <c r="CO149" s="26">
        <v>0</v>
      </c>
      <c r="CP149" s="26">
        <v>0</v>
      </c>
      <c r="CQ149" s="26">
        <v>0</v>
      </c>
      <c r="CR149" s="26">
        <v>0</v>
      </c>
      <c r="CS149" s="26">
        <v>0</v>
      </c>
      <c r="CT149" s="26">
        <v>0</v>
      </c>
      <c r="CU149" s="26">
        <v>0</v>
      </c>
      <c r="CV149" s="26">
        <v>0</v>
      </c>
      <c r="CW149" s="26">
        <v>0</v>
      </c>
      <c r="CX149" s="26">
        <v>0</v>
      </c>
      <c r="CY149" s="26">
        <v>0</v>
      </c>
      <c r="CZ149" s="26">
        <v>0</v>
      </c>
      <c r="DA149" s="26">
        <v>0</v>
      </c>
      <c r="DB149" s="26">
        <v>0</v>
      </c>
      <c r="DC149" s="26">
        <v>0</v>
      </c>
      <c r="DD149" s="26">
        <v>0</v>
      </c>
      <c r="DE149" s="26">
        <v>0</v>
      </c>
      <c r="DF149" s="26">
        <v>0</v>
      </c>
      <c r="DG149" s="26">
        <v>0</v>
      </c>
      <c r="DH149" s="26">
        <v>0</v>
      </c>
      <c r="DI149" s="26">
        <v>0</v>
      </c>
      <c r="DJ149" s="26">
        <v>0</v>
      </c>
      <c r="DK149" s="26">
        <v>0</v>
      </c>
      <c r="DL149" s="26">
        <v>0</v>
      </c>
      <c r="DM149" s="26">
        <v>0</v>
      </c>
      <c r="DN149" s="26">
        <v>0</v>
      </c>
      <c r="DO149" s="26">
        <v>0</v>
      </c>
      <c r="DP149" s="26">
        <v>0</v>
      </c>
      <c r="DQ149" s="26">
        <v>0</v>
      </c>
      <c r="DR149" s="26">
        <v>0</v>
      </c>
      <c r="DS149" s="26">
        <v>0</v>
      </c>
      <c r="DT149" s="26">
        <v>0</v>
      </c>
      <c r="DU149" s="26">
        <v>0</v>
      </c>
      <c r="DV149" s="26">
        <v>0</v>
      </c>
      <c r="DW149" s="26">
        <v>0</v>
      </c>
      <c r="DX149" s="26">
        <v>0</v>
      </c>
      <c r="DY149" s="26">
        <v>0</v>
      </c>
      <c r="DZ149" s="26">
        <v>0</v>
      </c>
      <c r="EA149" s="26">
        <v>0</v>
      </c>
      <c r="EB149" s="26">
        <v>0</v>
      </c>
      <c r="EC149" s="26">
        <v>0</v>
      </c>
      <c r="ED149" s="26">
        <v>0</v>
      </c>
      <c r="EE149" s="26">
        <v>4.5690913699999998</v>
      </c>
      <c r="EF149" s="26">
        <v>0</v>
      </c>
      <c r="EG149" s="26">
        <v>0</v>
      </c>
      <c r="EH149" s="26">
        <v>64.296701200000001</v>
      </c>
      <c r="EI149" s="26">
        <v>0</v>
      </c>
      <c r="EJ149" s="26">
        <v>11.978025300000001</v>
      </c>
      <c r="EK149" s="26">
        <v>0</v>
      </c>
      <c r="EL149" s="26">
        <v>0</v>
      </c>
      <c r="EM149" s="26">
        <v>0</v>
      </c>
      <c r="EN149" s="26">
        <v>0</v>
      </c>
      <c r="EO149" s="26">
        <v>0</v>
      </c>
      <c r="EP149" s="26">
        <v>3.38018763</v>
      </c>
      <c r="EQ149" s="26">
        <v>80.843817900000005</v>
      </c>
      <c r="ER149" s="26">
        <v>0.85874471299999999</v>
      </c>
      <c r="ES149" s="26">
        <v>62</v>
      </c>
      <c r="ET149" s="26">
        <v>1</v>
      </c>
      <c r="EU149" s="26">
        <v>0</v>
      </c>
      <c r="EV149" s="26">
        <v>0</v>
      </c>
      <c r="EW149" s="26">
        <v>1</v>
      </c>
      <c r="EX149" s="26">
        <v>-18357.300500000001</v>
      </c>
      <c r="EY149" s="26">
        <v>-767.54316900000003</v>
      </c>
      <c r="EZ149" s="26">
        <v>-6.205112069999999E-2</v>
      </c>
      <c r="FA149" s="26">
        <v>-60.369326200000003</v>
      </c>
      <c r="FB149" s="26">
        <v>-2.52412188</v>
      </c>
      <c r="FC149" s="26">
        <v>6.5603268299999989E-2</v>
      </c>
      <c r="FD149" s="26">
        <v>1.5690308500000001</v>
      </c>
      <c r="FE149" s="26">
        <v>23.916961700000002</v>
      </c>
      <c r="FF149" s="26">
        <v>0</v>
      </c>
      <c r="FG149" s="26">
        <v>0.17068159499999999</v>
      </c>
      <c r="FH149" s="26">
        <v>-63341649.793899998</v>
      </c>
      <c r="FI149" s="26">
        <v>2.2437690957279308E-2</v>
      </c>
      <c r="FJ149" s="26">
        <v>0</v>
      </c>
      <c r="FK149" s="26">
        <v>0</v>
      </c>
      <c r="FL149" s="26">
        <v>0</v>
      </c>
      <c r="FM149" s="26">
        <v>0</v>
      </c>
      <c r="FN149" s="26">
        <v>0</v>
      </c>
      <c r="FO149" s="26">
        <v>0</v>
      </c>
      <c r="FP149" s="26">
        <v>0</v>
      </c>
      <c r="FQ149" s="26">
        <v>0</v>
      </c>
      <c r="FR149" s="26">
        <v>0</v>
      </c>
      <c r="FS149" s="26">
        <v>0</v>
      </c>
      <c r="FT149" s="26">
        <v>0</v>
      </c>
      <c r="FU149" s="26">
        <v>0</v>
      </c>
      <c r="FV149" s="26">
        <v>0</v>
      </c>
      <c r="FW149" s="26">
        <v>0</v>
      </c>
      <c r="FX149" s="26">
        <v>0</v>
      </c>
      <c r="FY149" s="26">
        <v>0</v>
      </c>
      <c r="FZ149" s="26">
        <v>0</v>
      </c>
      <c r="GA149" s="26">
        <v>0</v>
      </c>
      <c r="GB149" s="26">
        <v>0</v>
      </c>
      <c r="GC149" s="26">
        <v>0</v>
      </c>
      <c r="GD149" s="26">
        <v>0</v>
      </c>
      <c r="GE149" s="26">
        <v>0</v>
      </c>
      <c r="GF149" s="26">
        <v>0</v>
      </c>
      <c r="GG149" s="26">
        <v>0</v>
      </c>
      <c r="GH149" s="26">
        <v>0</v>
      </c>
      <c r="GI149" s="26">
        <v>0</v>
      </c>
      <c r="GJ149" s="26">
        <v>0</v>
      </c>
      <c r="GK149" s="26">
        <v>0</v>
      </c>
      <c r="GL149" s="26">
        <v>0</v>
      </c>
      <c r="GM149" s="26">
        <v>0</v>
      </c>
      <c r="GN149" s="26">
        <v>0</v>
      </c>
      <c r="GO149" s="26">
        <v>0</v>
      </c>
      <c r="GP149" s="26">
        <v>0</v>
      </c>
      <c r="GQ149" s="26">
        <v>0</v>
      </c>
      <c r="GR149" s="26">
        <v>0</v>
      </c>
      <c r="GS149" s="26">
        <v>0</v>
      </c>
      <c r="GT149" s="26">
        <v>0</v>
      </c>
      <c r="GU149" s="26">
        <v>0</v>
      </c>
      <c r="GV149" s="26">
        <v>0</v>
      </c>
      <c r="GW149" s="26">
        <v>0</v>
      </c>
      <c r="GX149" s="26">
        <v>0</v>
      </c>
      <c r="GY149" s="26">
        <v>0</v>
      </c>
      <c r="GZ149" s="26">
        <v>0</v>
      </c>
      <c r="HA149" s="26">
        <v>0</v>
      </c>
      <c r="HB149" s="26">
        <v>0</v>
      </c>
      <c r="HC149" s="26">
        <v>0</v>
      </c>
      <c r="HD149" s="26">
        <v>0</v>
      </c>
      <c r="HE149" s="26">
        <v>0</v>
      </c>
      <c r="HF149" s="26">
        <v>0</v>
      </c>
      <c r="HG149" s="26">
        <v>0</v>
      </c>
      <c r="HH149" s="26">
        <v>0</v>
      </c>
      <c r="HI149" s="26">
        <v>0</v>
      </c>
      <c r="HJ149" s="26">
        <v>0</v>
      </c>
      <c r="HK149" s="26">
        <v>0</v>
      </c>
      <c r="HL149" s="26">
        <v>0</v>
      </c>
      <c r="HM149" s="26">
        <v>0</v>
      </c>
      <c r="HN149" s="26">
        <v>0</v>
      </c>
      <c r="HO149" s="26">
        <v>0</v>
      </c>
      <c r="HP149" s="26">
        <v>0</v>
      </c>
      <c r="HQ149" s="26">
        <v>0</v>
      </c>
      <c r="HR149" s="26">
        <v>0</v>
      </c>
      <c r="HS149" s="26">
        <v>0</v>
      </c>
      <c r="HT149" s="26">
        <v>9.3894101584486144E-4</v>
      </c>
    </row>
    <row r="150" spans="2:228" x14ac:dyDescent="0.2">
      <c r="B150" s="27" t="s">
        <v>1374</v>
      </c>
      <c r="C150" s="26">
        <v>790.06378199999995</v>
      </c>
      <c r="D150" s="26">
        <v>-2.69750976</v>
      </c>
      <c r="E150" s="26">
        <v>664.81565899999998</v>
      </c>
      <c r="F150" s="26">
        <v>0</v>
      </c>
      <c r="G150" s="26">
        <v>120.898268</v>
      </c>
      <c r="H150" s="26">
        <v>0</v>
      </c>
      <c r="I150" s="26">
        <v>0</v>
      </c>
      <c r="J150" s="26">
        <v>0</v>
      </c>
      <c r="K150" s="26">
        <v>0</v>
      </c>
      <c r="L150" s="26">
        <v>0</v>
      </c>
      <c r="M150" s="26">
        <v>0</v>
      </c>
      <c r="N150" s="26">
        <v>0</v>
      </c>
      <c r="O150" s="26">
        <v>0</v>
      </c>
      <c r="P150" s="26">
        <v>0</v>
      </c>
      <c r="Q150" s="26">
        <v>0</v>
      </c>
      <c r="R150" s="26">
        <v>0</v>
      </c>
      <c r="S150" s="26">
        <v>0</v>
      </c>
      <c r="T150" s="26">
        <v>0</v>
      </c>
      <c r="U150" s="26">
        <v>0</v>
      </c>
      <c r="V150" s="26">
        <v>0</v>
      </c>
      <c r="W150" s="26">
        <v>0</v>
      </c>
      <c r="X150" s="26">
        <v>0.226176243</v>
      </c>
      <c r="Y150" s="26">
        <v>0</v>
      </c>
      <c r="Z150" s="26">
        <v>0</v>
      </c>
      <c r="AA150" s="26">
        <v>0</v>
      </c>
      <c r="AB150" s="26">
        <v>1.1181381100000001E-3</v>
      </c>
      <c r="AC150" s="26">
        <v>0</v>
      </c>
      <c r="AD150" s="26">
        <v>0</v>
      </c>
      <c r="AE150" s="26">
        <v>0</v>
      </c>
      <c r="AF150" s="26">
        <v>0</v>
      </c>
      <c r="AG150" s="26">
        <v>0</v>
      </c>
      <c r="AH150" s="26">
        <v>0</v>
      </c>
      <c r="AI150" s="26">
        <v>0</v>
      </c>
      <c r="AJ150" s="26">
        <v>0</v>
      </c>
      <c r="AK150" s="26">
        <v>0</v>
      </c>
      <c r="AL150" s="26">
        <v>0</v>
      </c>
      <c r="AM150" s="26">
        <v>7.4208688100000003E-2</v>
      </c>
      <c r="AN150" s="26">
        <v>4.3786891900000002E-4</v>
      </c>
      <c r="AO150" s="26">
        <v>9.7063907600000005E-4</v>
      </c>
      <c r="AP150" s="26">
        <v>0</v>
      </c>
      <c r="AQ150" s="26">
        <v>0</v>
      </c>
      <c r="AR150" s="26">
        <v>0</v>
      </c>
      <c r="AS150" s="26">
        <v>4.7399996200000001E-3</v>
      </c>
      <c r="AT150" s="26">
        <v>0</v>
      </c>
      <c r="AU150" s="26">
        <v>0</v>
      </c>
      <c r="AV150" s="26">
        <v>1.20282915E-5</v>
      </c>
      <c r="AW150" s="26">
        <v>0</v>
      </c>
      <c r="AX150" s="26">
        <v>0</v>
      </c>
      <c r="AY150" s="26">
        <v>0</v>
      </c>
      <c r="AZ150" s="26">
        <v>0</v>
      </c>
      <c r="BA150" s="26">
        <v>0</v>
      </c>
      <c r="BB150" s="26">
        <v>0</v>
      </c>
      <c r="BC150" s="26">
        <v>0</v>
      </c>
      <c r="BD150" s="26">
        <v>0</v>
      </c>
      <c r="BE150" s="26">
        <v>0</v>
      </c>
      <c r="BF150" s="26">
        <v>0</v>
      </c>
      <c r="BG150" s="26">
        <v>0</v>
      </c>
      <c r="BH150" s="26">
        <v>0</v>
      </c>
      <c r="BI150" s="26">
        <v>0</v>
      </c>
      <c r="BJ150" s="26">
        <v>0</v>
      </c>
      <c r="BK150" s="26">
        <v>0</v>
      </c>
      <c r="BL150" s="26">
        <v>0</v>
      </c>
      <c r="BM150" s="26">
        <v>0</v>
      </c>
      <c r="BN150" s="26">
        <v>0</v>
      </c>
      <c r="BO150" s="26">
        <v>37.576941499999997</v>
      </c>
      <c r="BP150" s="26">
        <v>786.02159099999994</v>
      </c>
      <c r="BQ150" s="26">
        <v>12.481730900000001</v>
      </c>
      <c r="BR150" s="26">
        <v>62.107559400000014</v>
      </c>
      <c r="BS150" s="26">
        <v>3.0413789199999997</v>
      </c>
      <c r="BT150" s="26">
        <v>0</v>
      </c>
      <c r="BU150" s="26">
        <v>1</v>
      </c>
      <c r="BV150" s="26">
        <v>0</v>
      </c>
      <c r="BW150" s="26">
        <v>-71703.742400000003</v>
      </c>
      <c r="BX150" s="26">
        <v>-3427.90499</v>
      </c>
      <c r="BY150" s="26">
        <v>-2.69440736</v>
      </c>
      <c r="BZ150" s="26">
        <v>-40.507018199999997</v>
      </c>
      <c r="CA150" s="26">
        <v>-1.93649878</v>
      </c>
      <c r="CB150" s="26">
        <v>5.0175921499999998E-2</v>
      </c>
      <c r="CC150" s="26">
        <v>1.04956274</v>
      </c>
      <c r="CD150" s="26">
        <v>20.917657500000001</v>
      </c>
      <c r="CE150" s="26">
        <v>12.813165100000001</v>
      </c>
      <c r="CF150" s="26">
        <v>0</v>
      </c>
      <c r="CG150" s="26">
        <v>0</v>
      </c>
      <c r="CH150" s="26">
        <v>0</v>
      </c>
      <c r="CI150" s="26">
        <v>0</v>
      </c>
      <c r="CJ150" s="26">
        <v>0</v>
      </c>
      <c r="CK150" s="26">
        <v>0</v>
      </c>
      <c r="CL150" s="26">
        <v>0</v>
      </c>
      <c r="CM150" s="26">
        <v>0</v>
      </c>
      <c r="CN150" s="26">
        <v>0</v>
      </c>
      <c r="CO150" s="26">
        <v>0</v>
      </c>
      <c r="CP150" s="26">
        <v>0</v>
      </c>
      <c r="CQ150" s="26">
        <v>0</v>
      </c>
      <c r="CR150" s="26">
        <v>0</v>
      </c>
      <c r="CS150" s="26">
        <v>0</v>
      </c>
      <c r="CT150" s="26">
        <v>0</v>
      </c>
      <c r="CU150" s="26">
        <v>0</v>
      </c>
      <c r="CV150" s="26">
        <v>0</v>
      </c>
      <c r="CW150" s="26">
        <v>0</v>
      </c>
      <c r="CX150" s="26">
        <v>0</v>
      </c>
      <c r="CY150" s="26">
        <v>0</v>
      </c>
      <c r="CZ150" s="26">
        <v>0</v>
      </c>
      <c r="DA150" s="26">
        <v>0</v>
      </c>
      <c r="DB150" s="26">
        <v>0</v>
      </c>
      <c r="DC150" s="26">
        <v>0</v>
      </c>
      <c r="DD150" s="26">
        <v>0</v>
      </c>
      <c r="DE150" s="26">
        <v>0</v>
      </c>
      <c r="DF150" s="26">
        <v>0</v>
      </c>
      <c r="DG150" s="26">
        <v>0</v>
      </c>
      <c r="DH150" s="26">
        <v>0</v>
      </c>
      <c r="DI150" s="26">
        <v>0</v>
      </c>
      <c r="DJ150" s="26">
        <v>0</v>
      </c>
      <c r="DK150" s="26">
        <v>0</v>
      </c>
      <c r="DL150" s="26">
        <v>0</v>
      </c>
      <c r="DM150" s="26">
        <v>0</v>
      </c>
      <c r="DN150" s="26">
        <v>0</v>
      </c>
      <c r="DO150" s="26">
        <v>0</v>
      </c>
      <c r="DP150" s="26">
        <v>0</v>
      </c>
      <c r="DQ150" s="26">
        <v>0</v>
      </c>
      <c r="DR150" s="26">
        <v>0</v>
      </c>
      <c r="DS150" s="26">
        <v>0</v>
      </c>
      <c r="DT150" s="26">
        <v>0</v>
      </c>
      <c r="DU150" s="26">
        <v>0</v>
      </c>
      <c r="DV150" s="26">
        <v>0</v>
      </c>
      <c r="DW150" s="26">
        <v>0</v>
      </c>
      <c r="DX150" s="26">
        <v>0</v>
      </c>
      <c r="DY150" s="26">
        <v>0</v>
      </c>
      <c r="DZ150" s="26">
        <v>0</v>
      </c>
      <c r="EA150" s="26">
        <v>0</v>
      </c>
      <c r="EB150" s="26">
        <v>0</v>
      </c>
      <c r="EC150" s="26">
        <v>0</v>
      </c>
      <c r="ED150" s="26">
        <v>0</v>
      </c>
      <c r="EE150" s="26">
        <v>0.228454569</v>
      </c>
      <c r="EF150" s="26">
        <v>0</v>
      </c>
      <c r="EG150" s="26">
        <v>0</v>
      </c>
      <c r="EH150" s="26">
        <v>3.21483506</v>
      </c>
      <c r="EI150" s="26">
        <v>0</v>
      </c>
      <c r="EJ150" s="26">
        <v>0.59890126600000004</v>
      </c>
      <c r="EK150" s="26">
        <v>0</v>
      </c>
      <c r="EL150" s="26">
        <v>0</v>
      </c>
      <c r="EM150" s="26">
        <v>0</v>
      </c>
      <c r="EN150" s="26">
        <v>0</v>
      </c>
      <c r="EO150" s="26">
        <v>0</v>
      </c>
      <c r="EP150" s="26">
        <v>0.16900938099999999</v>
      </c>
      <c r="EQ150" s="26">
        <v>4.0421908899999996</v>
      </c>
      <c r="ER150" s="26">
        <v>4.2937230899999998E-2</v>
      </c>
      <c r="ES150" s="26">
        <v>62.107559400000014</v>
      </c>
      <c r="ET150" s="26">
        <v>3.0413789199999997</v>
      </c>
      <c r="EU150" s="26">
        <v>0</v>
      </c>
      <c r="EV150" s="26">
        <v>0</v>
      </c>
      <c r="EW150" s="26">
        <v>1</v>
      </c>
      <c r="EX150" s="26">
        <v>-18356.386299999998</v>
      </c>
      <c r="EY150" s="26">
        <v>-767.50494200000003</v>
      </c>
      <c r="EZ150" s="26">
        <v>-3.10240151E-3</v>
      </c>
      <c r="FA150" s="26">
        <v>-60.366612600000003</v>
      </c>
      <c r="FB150" s="26">
        <v>-2.5240084199999999</v>
      </c>
      <c r="FC150" s="26">
        <v>6.5603275599999997E-2</v>
      </c>
      <c r="FD150" s="26">
        <v>1.5690310300000001</v>
      </c>
      <c r="FE150" s="26">
        <v>23.916961700000002</v>
      </c>
      <c r="FF150" s="26">
        <v>0</v>
      </c>
      <c r="FG150" s="26">
        <v>0.17068159499999999</v>
      </c>
      <c r="FH150" s="26">
        <v>-3167082.4955100003</v>
      </c>
      <c r="FI150" s="26">
        <v>1.1218845478639654E-3</v>
      </c>
      <c r="FJ150" s="26">
        <v>0</v>
      </c>
      <c r="FK150" s="26">
        <v>0</v>
      </c>
      <c r="FL150" s="26">
        <v>0</v>
      </c>
      <c r="FM150" s="26">
        <v>0</v>
      </c>
      <c r="FN150" s="26">
        <v>0</v>
      </c>
      <c r="FO150" s="26">
        <v>0</v>
      </c>
      <c r="FP150" s="26">
        <v>0</v>
      </c>
      <c r="FQ150" s="26">
        <v>0</v>
      </c>
      <c r="FR150" s="26">
        <v>0</v>
      </c>
      <c r="FS150" s="26">
        <v>0</v>
      </c>
      <c r="FT150" s="26">
        <v>0</v>
      </c>
      <c r="FU150" s="26">
        <v>0</v>
      </c>
      <c r="FV150" s="26">
        <v>0</v>
      </c>
      <c r="FW150" s="26">
        <v>0</v>
      </c>
      <c r="FX150" s="26">
        <v>0</v>
      </c>
      <c r="FY150" s="26">
        <v>0</v>
      </c>
      <c r="FZ150" s="26">
        <v>0</v>
      </c>
      <c r="GA150" s="26">
        <v>0</v>
      </c>
      <c r="GB150" s="26">
        <v>0</v>
      </c>
      <c r="GC150" s="26">
        <v>0</v>
      </c>
      <c r="GD150" s="26">
        <v>0</v>
      </c>
      <c r="GE150" s="26">
        <v>0</v>
      </c>
      <c r="GF150" s="26">
        <v>0</v>
      </c>
      <c r="GG150" s="26">
        <v>0</v>
      </c>
      <c r="GH150" s="26">
        <v>0</v>
      </c>
      <c r="GI150" s="26">
        <v>0</v>
      </c>
      <c r="GJ150" s="26">
        <v>0</v>
      </c>
      <c r="GK150" s="26">
        <v>0</v>
      </c>
      <c r="GL150" s="26">
        <v>0</v>
      </c>
      <c r="GM150" s="26">
        <v>0</v>
      </c>
      <c r="GN150" s="26">
        <v>0</v>
      </c>
      <c r="GO150" s="26">
        <v>0</v>
      </c>
      <c r="GP150" s="26">
        <v>0</v>
      </c>
      <c r="GQ150" s="26">
        <v>0</v>
      </c>
      <c r="GR150" s="26">
        <v>0</v>
      </c>
      <c r="GS150" s="26">
        <v>0</v>
      </c>
      <c r="GT150" s="26">
        <v>0</v>
      </c>
      <c r="GU150" s="26">
        <v>0</v>
      </c>
      <c r="GV150" s="26">
        <v>0</v>
      </c>
      <c r="GW150" s="26">
        <v>0</v>
      </c>
      <c r="GX150" s="26">
        <v>0</v>
      </c>
      <c r="GY150" s="26">
        <v>0</v>
      </c>
      <c r="GZ150" s="26">
        <v>0</v>
      </c>
      <c r="HA150" s="26">
        <v>0</v>
      </c>
      <c r="HB150" s="26">
        <v>0</v>
      </c>
      <c r="HC150" s="26">
        <v>0</v>
      </c>
      <c r="HD150" s="26">
        <v>0</v>
      </c>
      <c r="HE150" s="26">
        <v>0</v>
      </c>
      <c r="HF150" s="26">
        <v>0</v>
      </c>
      <c r="HG150" s="26">
        <v>0</v>
      </c>
      <c r="HH150" s="26">
        <v>0</v>
      </c>
      <c r="HI150" s="26">
        <v>0</v>
      </c>
      <c r="HJ150" s="26">
        <v>0</v>
      </c>
      <c r="HK150" s="26">
        <v>0</v>
      </c>
      <c r="HL150" s="26">
        <v>0</v>
      </c>
      <c r="HM150" s="26">
        <v>0</v>
      </c>
      <c r="HN150" s="26">
        <v>0</v>
      </c>
      <c r="HO150" s="26">
        <v>0</v>
      </c>
      <c r="HP150" s="26">
        <v>0</v>
      </c>
      <c r="HQ150" s="26">
        <v>0</v>
      </c>
      <c r="HR150" s="26">
        <v>0</v>
      </c>
      <c r="HS150" s="26">
        <v>0</v>
      </c>
      <c r="HT150" s="26">
        <v>4.6947050653354181E-5</v>
      </c>
    </row>
    <row r="151" spans="2:228" x14ac:dyDescent="0.2">
      <c r="B151" s="27" t="s">
        <v>1378</v>
      </c>
      <c r="C151" s="26">
        <v>7.86021591</v>
      </c>
      <c r="D151" s="26">
        <v>-2.00247546E-2</v>
      </c>
      <c r="E151" s="26">
        <v>3.9497584899999998</v>
      </c>
      <c r="F151" s="26">
        <v>0</v>
      </c>
      <c r="G151" s="26">
        <v>0</v>
      </c>
      <c r="H151" s="26">
        <v>0</v>
      </c>
      <c r="I151" s="26">
        <v>0</v>
      </c>
      <c r="J151" s="26">
        <v>0</v>
      </c>
      <c r="K151" s="26">
        <v>0</v>
      </c>
      <c r="L151" s="26">
        <v>0</v>
      </c>
      <c r="M151" s="26">
        <v>0</v>
      </c>
      <c r="N151" s="26">
        <v>0</v>
      </c>
      <c r="O151" s="26">
        <v>0</v>
      </c>
      <c r="P151" s="26">
        <v>0</v>
      </c>
      <c r="Q151" s="26">
        <v>0</v>
      </c>
      <c r="R151" s="26">
        <v>0</v>
      </c>
      <c r="S151" s="26">
        <v>0</v>
      </c>
      <c r="T151" s="26">
        <v>0</v>
      </c>
      <c r="U151" s="26">
        <v>0</v>
      </c>
      <c r="V151" s="26">
        <v>0</v>
      </c>
      <c r="W151" s="26">
        <v>0</v>
      </c>
      <c r="X151" s="26">
        <v>1.94540344</v>
      </c>
      <c r="Y151" s="26">
        <v>0</v>
      </c>
      <c r="Z151" s="26">
        <v>0</v>
      </c>
      <c r="AA151" s="26">
        <v>0</v>
      </c>
      <c r="AB151" s="26">
        <v>0</v>
      </c>
      <c r="AC151" s="26">
        <v>0</v>
      </c>
      <c r="AD151" s="26">
        <v>0</v>
      </c>
      <c r="AE151" s="26">
        <v>0</v>
      </c>
      <c r="AF151" s="26">
        <v>0</v>
      </c>
      <c r="AG151" s="26">
        <v>0</v>
      </c>
      <c r="AH151" s="26">
        <v>0</v>
      </c>
      <c r="AI151" s="26">
        <v>0</v>
      </c>
      <c r="AJ151" s="26">
        <v>0</v>
      </c>
      <c r="AK151" s="26">
        <v>0</v>
      </c>
      <c r="AL151" s="26">
        <v>0</v>
      </c>
      <c r="AM151" s="26">
        <v>0</v>
      </c>
      <c r="AN151" s="26">
        <v>0</v>
      </c>
      <c r="AO151" s="26">
        <v>0</v>
      </c>
      <c r="AP151" s="26">
        <v>0</v>
      </c>
      <c r="AQ151" s="26">
        <v>0</v>
      </c>
      <c r="AR151" s="26">
        <v>0</v>
      </c>
      <c r="AS151" s="26">
        <v>0</v>
      </c>
      <c r="AT151" s="26">
        <v>0</v>
      </c>
      <c r="AU151" s="26">
        <v>0</v>
      </c>
      <c r="AV151" s="26">
        <v>0</v>
      </c>
      <c r="AW151" s="26">
        <v>0</v>
      </c>
      <c r="AX151" s="26">
        <v>0</v>
      </c>
      <c r="AY151" s="26">
        <v>0</v>
      </c>
      <c r="AZ151" s="26">
        <v>0</v>
      </c>
      <c r="BA151" s="26">
        <v>0</v>
      </c>
      <c r="BB151" s="26">
        <v>0</v>
      </c>
      <c r="BC151" s="26">
        <v>0</v>
      </c>
      <c r="BD151" s="26">
        <v>0</v>
      </c>
      <c r="BE151" s="26">
        <v>0</v>
      </c>
      <c r="BF151" s="26">
        <v>0</v>
      </c>
      <c r="BG151" s="26">
        <v>0</v>
      </c>
      <c r="BH151" s="26">
        <v>0</v>
      </c>
      <c r="BI151" s="26">
        <v>0</v>
      </c>
      <c r="BJ151" s="26">
        <v>0</v>
      </c>
      <c r="BK151" s="26">
        <v>0</v>
      </c>
      <c r="BL151" s="26">
        <v>0</v>
      </c>
      <c r="BM151" s="26">
        <v>0</v>
      </c>
      <c r="BN151" s="26">
        <v>0</v>
      </c>
      <c r="BO151" s="26">
        <v>0.24084158799999997</v>
      </c>
      <c r="BP151" s="26">
        <v>5.8951619300000004</v>
      </c>
      <c r="BQ151" s="26">
        <v>9.2171209700000006E-2</v>
      </c>
      <c r="BR151" s="26">
        <v>20</v>
      </c>
      <c r="BS151" s="26">
        <v>1</v>
      </c>
      <c r="BT151" s="26">
        <v>0</v>
      </c>
      <c r="BU151" s="26">
        <v>1</v>
      </c>
      <c r="BV151" s="26">
        <v>0</v>
      </c>
      <c r="BW151" s="26">
        <v>-76835.986900000004</v>
      </c>
      <c r="BX151" s="26">
        <v>-3139.0657799999999</v>
      </c>
      <c r="BY151" s="26">
        <v>-1.8505301299999999E-2</v>
      </c>
      <c r="BZ151" s="26">
        <v>-46.320903999999999</v>
      </c>
      <c r="CA151" s="26">
        <v>-1.8923992599999999</v>
      </c>
      <c r="CB151" s="26">
        <v>4.3549677100000003E-2</v>
      </c>
      <c r="CC151" s="26">
        <v>1.0659803400000001</v>
      </c>
      <c r="CD151" s="26">
        <v>24.477342100000001</v>
      </c>
      <c r="CE151" s="26">
        <v>9.2512924299999993E-2</v>
      </c>
      <c r="CF151" s="26">
        <v>0</v>
      </c>
      <c r="CG151" s="26">
        <v>0</v>
      </c>
      <c r="CH151" s="26">
        <v>0</v>
      </c>
      <c r="CI151" s="26">
        <v>0</v>
      </c>
      <c r="CJ151" s="26">
        <v>0</v>
      </c>
      <c r="CK151" s="26">
        <v>0</v>
      </c>
      <c r="CL151" s="26">
        <v>0</v>
      </c>
      <c r="CM151" s="26">
        <v>0</v>
      </c>
      <c r="CN151" s="26">
        <v>0</v>
      </c>
      <c r="CO151" s="26">
        <v>0</v>
      </c>
      <c r="CP151" s="26">
        <v>0</v>
      </c>
      <c r="CQ151" s="26">
        <v>0</v>
      </c>
      <c r="CR151" s="26">
        <v>0</v>
      </c>
      <c r="CS151" s="26">
        <v>0</v>
      </c>
      <c r="CT151" s="26">
        <v>0</v>
      </c>
      <c r="CU151" s="26">
        <v>0</v>
      </c>
      <c r="CV151" s="26">
        <v>0</v>
      </c>
      <c r="CW151" s="26">
        <v>0</v>
      </c>
      <c r="CX151" s="26">
        <v>0</v>
      </c>
      <c r="CY151" s="26">
        <v>0</v>
      </c>
      <c r="CZ151" s="26">
        <v>0</v>
      </c>
      <c r="DA151" s="26">
        <v>0</v>
      </c>
      <c r="DB151" s="26">
        <v>0</v>
      </c>
      <c r="DC151" s="26">
        <v>0</v>
      </c>
      <c r="DD151" s="26">
        <v>0</v>
      </c>
      <c r="DE151" s="26">
        <v>0</v>
      </c>
      <c r="DF151" s="26">
        <v>0</v>
      </c>
      <c r="DG151" s="26">
        <v>0</v>
      </c>
      <c r="DH151" s="26">
        <v>0</v>
      </c>
      <c r="DI151" s="26">
        <v>0</v>
      </c>
      <c r="DJ151" s="26">
        <v>0</v>
      </c>
      <c r="DK151" s="26">
        <v>0</v>
      </c>
      <c r="DL151" s="26">
        <v>0</v>
      </c>
      <c r="DM151" s="26">
        <v>0</v>
      </c>
      <c r="DN151" s="26">
        <v>0</v>
      </c>
      <c r="DO151" s="26">
        <v>0</v>
      </c>
      <c r="DP151" s="26">
        <v>0</v>
      </c>
      <c r="DQ151" s="26">
        <v>0</v>
      </c>
      <c r="DR151" s="26">
        <v>0</v>
      </c>
      <c r="DS151" s="26">
        <v>0</v>
      </c>
      <c r="DT151" s="26">
        <v>0</v>
      </c>
      <c r="DU151" s="26">
        <v>0</v>
      </c>
      <c r="DV151" s="26">
        <v>0</v>
      </c>
      <c r="DW151" s="26">
        <v>0</v>
      </c>
      <c r="DX151" s="26">
        <v>0</v>
      </c>
      <c r="DY151" s="26">
        <v>0</v>
      </c>
      <c r="DZ151" s="26">
        <v>0</v>
      </c>
      <c r="EA151" s="26">
        <v>0</v>
      </c>
      <c r="EB151" s="26">
        <v>0</v>
      </c>
      <c r="EC151" s="26">
        <v>0</v>
      </c>
      <c r="ED151" s="26">
        <v>0</v>
      </c>
      <c r="EE151" s="26">
        <v>1.9650539799999998</v>
      </c>
      <c r="EF151" s="26">
        <v>0</v>
      </c>
      <c r="EG151" s="26">
        <v>0</v>
      </c>
      <c r="EH151" s="26">
        <v>0</v>
      </c>
      <c r="EI151" s="26">
        <v>0</v>
      </c>
      <c r="EJ151" s="26">
        <v>0</v>
      </c>
      <c r="EK151" s="26">
        <v>0</v>
      </c>
      <c r="EL151" s="26">
        <v>0</v>
      </c>
      <c r="EM151" s="26">
        <v>0</v>
      </c>
      <c r="EN151" s="26">
        <v>0</v>
      </c>
      <c r="EO151" s="26">
        <v>0</v>
      </c>
      <c r="EP151" s="26">
        <v>8.6037144999999995E-2</v>
      </c>
      <c r="EQ151" s="26">
        <v>1.9650539799999998</v>
      </c>
      <c r="ER151" s="26">
        <v>2.1796076500000001E-2</v>
      </c>
      <c r="ES151" s="26">
        <v>20</v>
      </c>
      <c r="ET151" s="26">
        <v>1</v>
      </c>
      <c r="EU151" s="26">
        <v>0</v>
      </c>
      <c r="EV151" s="26">
        <v>0</v>
      </c>
      <c r="EW151" s="26">
        <v>1</v>
      </c>
      <c r="EX151" s="26">
        <v>-17660.434600000001</v>
      </c>
      <c r="EY151" s="26">
        <v>-773.23747200000003</v>
      </c>
      <c r="EZ151" s="26">
        <v>-1.51945338E-3</v>
      </c>
      <c r="FA151" s="26">
        <v>-59.234594700000002</v>
      </c>
      <c r="FB151" s="26">
        <v>-2.5935040300000001</v>
      </c>
      <c r="FC151" s="26">
        <v>6.5789473700000003E-2</v>
      </c>
      <c r="FD151" s="26">
        <v>1.5026052599999999</v>
      </c>
      <c r="FE151" s="26">
        <v>22.839600000000001</v>
      </c>
      <c r="FF151" s="26">
        <v>0</v>
      </c>
      <c r="FG151" s="26">
        <v>0.62472096899999996</v>
      </c>
      <c r="FH151" s="26">
        <v>-23257.970681300001</v>
      </c>
      <c r="FI151" s="26">
        <v>1.7997229366200058E-5</v>
      </c>
      <c r="FJ151" s="26">
        <v>0</v>
      </c>
      <c r="FK151" s="26">
        <v>0</v>
      </c>
      <c r="FL151" s="26">
        <v>0</v>
      </c>
      <c r="FM151" s="26">
        <v>0</v>
      </c>
      <c r="FN151" s="26">
        <v>0</v>
      </c>
      <c r="FO151" s="26">
        <v>0</v>
      </c>
      <c r="FP151" s="26">
        <v>0</v>
      </c>
      <c r="FQ151" s="26">
        <v>0</v>
      </c>
      <c r="FR151" s="26">
        <v>0</v>
      </c>
      <c r="FS151" s="26">
        <v>0</v>
      </c>
      <c r="FT151" s="26">
        <v>0</v>
      </c>
      <c r="FU151" s="26">
        <v>0</v>
      </c>
      <c r="FV151" s="26">
        <v>0</v>
      </c>
      <c r="FW151" s="26">
        <v>0</v>
      </c>
      <c r="FX151" s="26">
        <v>0</v>
      </c>
      <c r="FY151" s="26">
        <v>0</v>
      </c>
      <c r="FZ151" s="26">
        <v>0</v>
      </c>
      <c r="GA151" s="26">
        <v>0</v>
      </c>
      <c r="GB151" s="26">
        <v>0</v>
      </c>
      <c r="GC151" s="26">
        <v>0</v>
      </c>
      <c r="GD151" s="26">
        <v>0</v>
      </c>
      <c r="GE151" s="26">
        <v>0</v>
      </c>
      <c r="GF151" s="26">
        <v>0</v>
      </c>
      <c r="GG151" s="26">
        <v>0</v>
      </c>
      <c r="GH151" s="26">
        <v>0</v>
      </c>
      <c r="GI151" s="26">
        <v>0</v>
      </c>
      <c r="GJ151" s="26">
        <v>0</v>
      </c>
      <c r="GK151" s="26">
        <v>0</v>
      </c>
      <c r="GL151" s="26">
        <v>0</v>
      </c>
      <c r="GM151" s="26">
        <v>0</v>
      </c>
      <c r="GN151" s="26">
        <v>0</v>
      </c>
      <c r="GO151" s="26">
        <v>0</v>
      </c>
      <c r="GP151" s="26">
        <v>0</v>
      </c>
      <c r="GQ151" s="26">
        <v>0</v>
      </c>
      <c r="GR151" s="26">
        <v>0</v>
      </c>
      <c r="GS151" s="26">
        <v>0</v>
      </c>
      <c r="GT151" s="26">
        <v>0</v>
      </c>
      <c r="GU151" s="26">
        <v>0</v>
      </c>
      <c r="GV151" s="26">
        <v>0</v>
      </c>
      <c r="GW151" s="26">
        <v>0</v>
      </c>
      <c r="GX151" s="26">
        <v>0</v>
      </c>
      <c r="GY151" s="26">
        <v>0</v>
      </c>
      <c r="GZ151" s="26">
        <v>0</v>
      </c>
      <c r="HA151" s="26">
        <v>0</v>
      </c>
      <c r="HB151" s="26">
        <v>0</v>
      </c>
      <c r="HC151" s="26">
        <v>0</v>
      </c>
      <c r="HD151" s="26">
        <v>0</v>
      </c>
      <c r="HE151" s="26">
        <v>0</v>
      </c>
      <c r="HF151" s="26">
        <v>0</v>
      </c>
      <c r="HG151" s="26">
        <v>0</v>
      </c>
      <c r="HH151" s="26">
        <v>0</v>
      </c>
      <c r="HI151" s="26">
        <v>0</v>
      </c>
      <c r="HJ151" s="26">
        <v>0</v>
      </c>
      <c r="HK151" s="26">
        <v>0</v>
      </c>
      <c r="HL151" s="26">
        <v>0</v>
      </c>
      <c r="HM151" s="26">
        <v>0</v>
      </c>
      <c r="HN151" s="26">
        <v>0</v>
      </c>
      <c r="HO151" s="26">
        <v>0</v>
      </c>
      <c r="HP151" s="26">
        <v>0</v>
      </c>
      <c r="HQ151" s="26">
        <v>0</v>
      </c>
      <c r="HR151" s="26">
        <v>0</v>
      </c>
      <c r="HS151" s="26">
        <v>0</v>
      </c>
      <c r="HT151" s="26">
        <v>2.3899207135638102E-5</v>
      </c>
    </row>
    <row r="152" spans="2:228" x14ac:dyDescent="0.2">
      <c r="B152" s="27" t="s">
        <v>1381</v>
      </c>
      <c r="C152" s="26">
        <v>0.489061574</v>
      </c>
      <c r="D152" s="26">
        <v>-5.4101447499999998E-4</v>
      </c>
      <c r="E152" s="26">
        <v>0</v>
      </c>
      <c r="F152" s="26">
        <v>0</v>
      </c>
      <c r="G152" s="26">
        <v>0</v>
      </c>
      <c r="H152" s="26">
        <v>0</v>
      </c>
      <c r="I152" s="26">
        <v>0</v>
      </c>
      <c r="J152" s="26">
        <v>0</v>
      </c>
      <c r="K152" s="26">
        <v>0</v>
      </c>
      <c r="L152" s="26">
        <v>0</v>
      </c>
      <c r="M152" s="26">
        <v>0</v>
      </c>
      <c r="N152" s="26">
        <v>0</v>
      </c>
      <c r="O152" s="26">
        <v>0</v>
      </c>
      <c r="P152" s="26">
        <v>0</v>
      </c>
      <c r="Q152" s="26">
        <v>0</v>
      </c>
      <c r="R152" s="26">
        <v>0</v>
      </c>
      <c r="S152" s="26">
        <v>0</v>
      </c>
      <c r="T152" s="26">
        <v>0</v>
      </c>
      <c r="U152" s="26">
        <v>0</v>
      </c>
      <c r="V152" s="26">
        <v>0</v>
      </c>
      <c r="W152" s="26">
        <v>0</v>
      </c>
      <c r="X152" s="26">
        <v>0</v>
      </c>
      <c r="Y152" s="26">
        <v>0</v>
      </c>
      <c r="Z152" s="26">
        <v>0</v>
      </c>
      <c r="AA152" s="26">
        <v>0</v>
      </c>
      <c r="AB152" s="26">
        <v>0</v>
      </c>
      <c r="AC152" s="26">
        <v>0</v>
      </c>
      <c r="AD152" s="26">
        <v>0</v>
      </c>
      <c r="AE152" s="26">
        <v>0</v>
      </c>
      <c r="AF152" s="26">
        <v>0</v>
      </c>
      <c r="AG152" s="26">
        <v>0</v>
      </c>
      <c r="AH152" s="26">
        <v>0</v>
      </c>
      <c r="AI152" s="26">
        <v>0</v>
      </c>
      <c r="AJ152" s="26">
        <v>0</v>
      </c>
      <c r="AK152" s="26">
        <v>0</v>
      </c>
      <c r="AL152" s="26">
        <v>0</v>
      </c>
      <c r="AM152" s="26">
        <v>0</v>
      </c>
      <c r="AN152" s="26">
        <v>0</v>
      </c>
      <c r="AO152" s="26">
        <v>0</v>
      </c>
      <c r="AP152" s="26">
        <v>0</v>
      </c>
      <c r="AQ152" s="26">
        <v>0</v>
      </c>
      <c r="AR152" s="26">
        <v>0</v>
      </c>
      <c r="AS152" s="26">
        <v>0</v>
      </c>
      <c r="AT152" s="26">
        <v>0</v>
      </c>
      <c r="AU152" s="26">
        <v>0</v>
      </c>
      <c r="AV152" s="26">
        <v>0.489061574</v>
      </c>
      <c r="AW152" s="26">
        <v>0</v>
      </c>
      <c r="AX152" s="26">
        <v>0</v>
      </c>
      <c r="AY152" s="26">
        <v>0</v>
      </c>
      <c r="AZ152" s="26">
        <v>0</v>
      </c>
      <c r="BA152" s="26">
        <v>0</v>
      </c>
      <c r="BB152" s="26">
        <v>0</v>
      </c>
      <c r="BC152" s="26">
        <v>0</v>
      </c>
      <c r="BD152" s="26">
        <v>0</v>
      </c>
      <c r="BE152" s="26">
        <v>0</v>
      </c>
      <c r="BF152" s="26">
        <v>0</v>
      </c>
      <c r="BG152" s="26">
        <v>0</v>
      </c>
      <c r="BH152" s="26">
        <v>0</v>
      </c>
      <c r="BI152" s="26">
        <v>0</v>
      </c>
      <c r="BJ152" s="26">
        <v>0</v>
      </c>
      <c r="BK152" s="26">
        <v>0</v>
      </c>
      <c r="BL152" s="26">
        <v>0</v>
      </c>
      <c r="BM152" s="26">
        <v>0</v>
      </c>
      <c r="BN152" s="26">
        <v>0</v>
      </c>
      <c r="BO152" s="26">
        <v>7.6338578100000002E-3</v>
      </c>
      <c r="BP152" s="26">
        <v>0.489061574</v>
      </c>
      <c r="BQ152" s="26">
        <v>1.04800914</v>
      </c>
      <c r="BR152" s="26">
        <v>28</v>
      </c>
      <c r="BS152" s="26">
        <v>3</v>
      </c>
      <c r="BT152" s="26">
        <v>1</v>
      </c>
      <c r="BU152" s="26">
        <v>0</v>
      </c>
      <c r="BV152" s="26">
        <v>0</v>
      </c>
      <c r="BW152" s="26">
        <v>-70870.388699999996</v>
      </c>
      <c r="BX152" s="26">
        <v>-1106.2297699999999</v>
      </c>
      <c r="BY152" s="26">
        <v>-5.4101447499999998E-4</v>
      </c>
      <c r="BZ152" s="26">
        <v>0.54144914399999999</v>
      </c>
      <c r="CA152" s="26">
        <v>8.4515856400000002E-3</v>
      </c>
      <c r="CB152" s="26">
        <v>1.2140253099999999E-4</v>
      </c>
      <c r="CC152" s="26">
        <v>7.7776288799999999E-3</v>
      </c>
      <c r="CD152" s="26">
        <v>64.064800000000005</v>
      </c>
      <c r="CE152" s="26">
        <v>5.9645875000000001E-3</v>
      </c>
      <c r="CF152" s="26">
        <v>0</v>
      </c>
      <c r="CG152" s="26">
        <v>0</v>
      </c>
      <c r="CH152" s="26">
        <v>0</v>
      </c>
      <c r="CI152" s="26">
        <v>0</v>
      </c>
      <c r="CJ152" s="26">
        <v>0</v>
      </c>
      <c r="CK152" s="26">
        <v>0</v>
      </c>
      <c r="CL152" s="26">
        <v>0</v>
      </c>
      <c r="CM152" s="26">
        <v>0</v>
      </c>
      <c r="CN152" s="26">
        <v>0</v>
      </c>
      <c r="CO152" s="26">
        <v>0</v>
      </c>
      <c r="CP152" s="26">
        <v>0</v>
      </c>
      <c r="CQ152" s="26">
        <v>0</v>
      </c>
      <c r="CR152" s="26">
        <v>0</v>
      </c>
      <c r="CS152" s="26">
        <v>0</v>
      </c>
      <c r="CT152" s="26">
        <v>0</v>
      </c>
      <c r="CU152" s="26">
        <v>0</v>
      </c>
      <c r="CV152" s="26">
        <v>0</v>
      </c>
      <c r="CW152" s="26">
        <v>0</v>
      </c>
      <c r="CX152" s="26">
        <v>0</v>
      </c>
      <c r="CY152" s="26">
        <v>0</v>
      </c>
      <c r="CZ152" s="26">
        <v>0</v>
      </c>
      <c r="DA152" s="26">
        <v>0</v>
      </c>
      <c r="DB152" s="26">
        <v>0</v>
      </c>
      <c r="DC152" s="26">
        <v>0</v>
      </c>
      <c r="DD152" s="26">
        <v>0</v>
      </c>
      <c r="DE152" s="26">
        <v>0</v>
      </c>
      <c r="DF152" s="26">
        <v>0</v>
      </c>
      <c r="DG152" s="26">
        <v>0</v>
      </c>
      <c r="DH152" s="26">
        <v>0</v>
      </c>
      <c r="DI152" s="26">
        <v>0</v>
      </c>
      <c r="DJ152" s="26">
        <v>0</v>
      </c>
      <c r="DK152" s="26">
        <v>0</v>
      </c>
      <c r="DL152" s="26">
        <v>0</v>
      </c>
      <c r="DM152" s="26">
        <v>0</v>
      </c>
      <c r="DN152" s="26">
        <v>0</v>
      </c>
      <c r="DO152" s="26">
        <v>0</v>
      </c>
      <c r="DP152" s="26">
        <v>0</v>
      </c>
      <c r="DQ152" s="26">
        <v>0</v>
      </c>
      <c r="DR152" s="26">
        <v>0</v>
      </c>
      <c r="DS152" s="26">
        <v>0</v>
      </c>
      <c r="DT152" s="26">
        <v>0</v>
      </c>
      <c r="DU152" s="26">
        <v>0</v>
      </c>
      <c r="DV152" s="26">
        <v>0</v>
      </c>
      <c r="DW152" s="26">
        <v>0</v>
      </c>
      <c r="DX152" s="26">
        <v>0</v>
      </c>
      <c r="DY152" s="26">
        <v>0</v>
      </c>
      <c r="DZ152" s="26">
        <v>0</v>
      </c>
      <c r="EA152" s="26">
        <v>0</v>
      </c>
      <c r="EB152" s="26">
        <v>0</v>
      </c>
      <c r="EC152" s="26">
        <v>0</v>
      </c>
      <c r="ED152" s="26">
        <v>0</v>
      </c>
      <c r="EE152" s="26">
        <v>0</v>
      </c>
      <c r="EF152" s="26">
        <v>0</v>
      </c>
      <c r="EG152" s="26">
        <v>0</v>
      </c>
      <c r="EH152" s="26">
        <v>0</v>
      </c>
      <c r="EI152" s="26">
        <v>0</v>
      </c>
      <c r="EJ152" s="26">
        <v>0</v>
      </c>
      <c r="EK152" s="26">
        <v>0</v>
      </c>
      <c r="EL152" s="26">
        <v>0</v>
      </c>
      <c r="EM152" s="26">
        <v>0</v>
      </c>
      <c r="EN152" s="26">
        <v>0</v>
      </c>
      <c r="EO152" s="26">
        <v>0</v>
      </c>
      <c r="EP152" s="26">
        <v>0</v>
      </c>
      <c r="EQ152" s="26">
        <v>0</v>
      </c>
      <c r="ER152" s="26">
        <v>0</v>
      </c>
      <c r="ES152" s="26">
        <v>0</v>
      </c>
      <c r="ET152" s="26">
        <v>3</v>
      </c>
      <c r="EU152" s="26">
        <v>0</v>
      </c>
      <c r="EV152" s="26">
        <v>0</v>
      </c>
      <c r="EW152" s="26">
        <v>0</v>
      </c>
      <c r="EX152" s="26">
        <v>0</v>
      </c>
      <c r="EY152" s="26">
        <v>0</v>
      </c>
      <c r="EZ152" s="26">
        <v>0</v>
      </c>
      <c r="FA152" s="26">
        <v>0</v>
      </c>
      <c r="FB152" s="26">
        <v>0</v>
      </c>
      <c r="FC152" s="26">
        <v>0</v>
      </c>
      <c r="FD152" s="26">
        <v>0</v>
      </c>
      <c r="FE152" s="26">
        <v>0</v>
      </c>
      <c r="FF152" s="26">
        <v>0</v>
      </c>
      <c r="FG152" s="26">
        <v>0.24974713100000001</v>
      </c>
      <c r="FH152" s="26">
        <v>-629.453991793</v>
      </c>
      <c r="FI152" s="26">
        <v>0</v>
      </c>
      <c r="FJ152" s="26">
        <v>0</v>
      </c>
      <c r="FK152" s="26">
        <v>0</v>
      </c>
      <c r="FL152" s="26">
        <v>0</v>
      </c>
      <c r="FM152" s="26">
        <v>0</v>
      </c>
      <c r="FN152" s="26">
        <v>0</v>
      </c>
      <c r="FO152" s="26">
        <v>0</v>
      </c>
      <c r="FP152" s="26">
        <v>0</v>
      </c>
      <c r="FQ152" s="26">
        <v>0</v>
      </c>
      <c r="FR152" s="26">
        <v>0</v>
      </c>
      <c r="FS152" s="26">
        <v>0</v>
      </c>
      <c r="FT152" s="26">
        <v>0</v>
      </c>
      <c r="FU152" s="26">
        <v>0</v>
      </c>
      <c r="FV152" s="26">
        <v>0</v>
      </c>
      <c r="FW152" s="26">
        <v>0</v>
      </c>
      <c r="FX152" s="26">
        <v>0</v>
      </c>
      <c r="FY152" s="26">
        <v>0</v>
      </c>
      <c r="FZ152" s="26">
        <v>0</v>
      </c>
      <c r="GA152" s="26">
        <v>0</v>
      </c>
      <c r="GB152" s="26">
        <v>0</v>
      </c>
      <c r="GC152" s="26">
        <v>0</v>
      </c>
      <c r="GD152" s="26">
        <v>0</v>
      </c>
      <c r="GE152" s="26">
        <v>0</v>
      </c>
      <c r="GF152" s="26">
        <v>0</v>
      </c>
      <c r="GG152" s="26">
        <v>0</v>
      </c>
      <c r="GH152" s="26">
        <v>0</v>
      </c>
      <c r="GI152" s="26">
        <v>0</v>
      </c>
      <c r="GJ152" s="26">
        <v>0</v>
      </c>
      <c r="GK152" s="26">
        <v>0</v>
      </c>
      <c r="GL152" s="26">
        <v>0</v>
      </c>
      <c r="GM152" s="26">
        <v>0</v>
      </c>
      <c r="GN152" s="26">
        <v>0</v>
      </c>
      <c r="GO152" s="26">
        <v>0</v>
      </c>
      <c r="GP152" s="26">
        <v>0</v>
      </c>
      <c r="GQ152" s="26">
        <v>0</v>
      </c>
      <c r="GR152" s="26">
        <v>0</v>
      </c>
      <c r="GS152" s="26">
        <v>0</v>
      </c>
      <c r="GT152" s="26">
        <v>0</v>
      </c>
      <c r="GU152" s="26">
        <v>0</v>
      </c>
      <c r="GV152" s="26">
        <v>0</v>
      </c>
      <c r="GW152" s="26">
        <v>0</v>
      </c>
      <c r="GX152" s="26">
        <v>0</v>
      </c>
      <c r="GY152" s="26">
        <v>0</v>
      </c>
      <c r="GZ152" s="26">
        <v>0</v>
      </c>
      <c r="HA152" s="26">
        <v>2.1205160752974621E-6</v>
      </c>
      <c r="HB152" s="26">
        <v>0</v>
      </c>
      <c r="HC152" s="26">
        <v>0</v>
      </c>
      <c r="HD152" s="26">
        <v>0</v>
      </c>
      <c r="HE152" s="26">
        <v>0</v>
      </c>
      <c r="HF152" s="26">
        <v>0</v>
      </c>
      <c r="HG152" s="26">
        <v>0</v>
      </c>
      <c r="HH152" s="26">
        <v>0</v>
      </c>
      <c r="HI152" s="26">
        <v>0</v>
      </c>
      <c r="HJ152" s="26">
        <v>0</v>
      </c>
      <c r="HK152" s="26">
        <v>0</v>
      </c>
      <c r="HL152" s="26">
        <v>0</v>
      </c>
      <c r="HM152" s="26">
        <v>0</v>
      </c>
      <c r="HN152" s="26">
        <v>0</v>
      </c>
      <c r="HO152" s="26">
        <v>0</v>
      </c>
      <c r="HP152" s="26">
        <v>0</v>
      </c>
      <c r="HQ152" s="26">
        <v>0</v>
      </c>
      <c r="HR152" s="26">
        <v>0</v>
      </c>
      <c r="HS152" s="26">
        <v>0</v>
      </c>
      <c r="HT152" s="26">
        <v>0</v>
      </c>
    </row>
    <row r="153" spans="2:228" x14ac:dyDescent="0.2">
      <c r="B153" s="27" t="s">
        <v>1383</v>
      </c>
      <c r="C153" s="26">
        <v>5.7200563799999999</v>
      </c>
      <c r="D153" s="26">
        <v>-3.6734259899999996E-3</v>
      </c>
      <c r="E153" s="26">
        <v>0</v>
      </c>
      <c r="F153" s="26">
        <v>0</v>
      </c>
      <c r="G153" s="26">
        <v>0</v>
      </c>
      <c r="H153" s="26">
        <v>0</v>
      </c>
      <c r="I153" s="26">
        <v>0</v>
      </c>
      <c r="J153" s="26">
        <v>0</v>
      </c>
      <c r="K153" s="26">
        <v>0</v>
      </c>
      <c r="L153" s="26">
        <v>0</v>
      </c>
      <c r="M153" s="26">
        <v>0</v>
      </c>
      <c r="N153" s="26">
        <v>0</v>
      </c>
      <c r="O153" s="26">
        <v>0</v>
      </c>
      <c r="P153" s="26">
        <v>0</v>
      </c>
      <c r="Q153" s="26">
        <v>0</v>
      </c>
      <c r="R153" s="26">
        <v>0</v>
      </c>
      <c r="S153" s="26">
        <v>0</v>
      </c>
      <c r="T153" s="26">
        <v>0</v>
      </c>
      <c r="U153" s="26">
        <v>0</v>
      </c>
      <c r="V153" s="26">
        <v>0</v>
      </c>
      <c r="W153" s="26">
        <v>0</v>
      </c>
      <c r="X153" s="26">
        <v>0</v>
      </c>
      <c r="Y153" s="26">
        <v>0</v>
      </c>
      <c r="Z153" s="26">
        <v>0</v>
      </c>
      <c r="AA153" s="26">
        <v>0</v>
      </c>
      <c r="AB153" s="26">
        <v>5.7200563799999999</v>
      </c>
      <c r="AC153" s="26">
        <v>0</v>
      </c>
      <c r="AD153" s="26">
        <v>0</v>
      </c>
      <c r="AE153" s="26">
        <v>0</v>
      </c>
      <c r="AF153" s="26">
        <v>0</v>
      </c>
      <c r="AG153" s="26">
        <v>0</v>
      </c>
      <c r="AH153" s="26">
        <v>0</v>
      </c>
      <c r="AI153" s="26">
        <v>0</v>
      </c>
      <c r="AJ153" s="26">
        <v>0</v>
      </c>
      <c r="AK153" s="26">
        <v>0</v>
      </c>
      <c r="AL153" s="26">
        <v>0</v>
      </c>
      <c r="AM153" s="26">
        <v>0</v>
      </c>
      <c r="AN153" s="26">
        <v>0</v>
      </c>
      <c r="AO153" s="26">
        <v>0</v>
      </c>
      <c r="AP153" s="26">
        <v>0</v>
      </c>
      <c r="AQ153" s="26">
        <v>0</v>
      </c>
      <c r="AR153" s="26">
        <v>0</v>
      </c>
      <c r="AS153" s="26">
        <v>0</v>
      </c>
      <c r="AT153" s="26">
        <v>0</v>
      </c>
      <c r="AU153" s="26">
        <v>0</v>
      </c>
      <c r="AV153" s="26">
        <v>0</v>
      </c>
      <c r="AW153" s="26">
        <v>0</v>
      </c>
      <c r="AX153" s="26">
        <v>0</v>
      </c>
      <c r="AY153" s="26">
        <v>0</v>
      </c>
      <c r="AZ153" s="26">
        <v>0</v>
      </c>
      <c r="BA153" s="26">
        <v>0</v>
      </c>
      <c r="BB153" s="26">
        <v>0</v>
      </c>
      <c r="BC153" s="26">
        <v>0</v>
      </c>
      <c r="BD153" s="26">
        <v>0</v>
      </c>
      <c r="BE153" s="26">
        <v>0</v>
      </c>
      <c r="BF153" s="26">
        <v>0</v>
      </c>
      <c r="BG153" s="26">
        <v>0</v>
      </c>
      <c r="BH153" s="26">
        <v>0</v>
      </c>
      <c r="BI153" s="26">
        <v>0</v>
      </c>
      <c r="BJ153" s="26">
        <v>0</v>
      </c>
      <c r="BK153" s="26">
        <v>0</v>
      </c>
      <c r="BL153" s="26">
        <v>0</v>
      </c>
      <c r="BM153" s="26">
        <v>0</v>
      </c>
      <c r="BN153" s="26">
        <v>0</v>
      </c>
      <c r="BO153" s="26">
        <v>0.33587012900000002</v>
      </c>
      <c r="BP153" s="26">
        <v>5.7200563799999999</v>
      </c>
      <c r="BQ153" s="26">
        <v>15.369903100000002</v>
      </c>
      <c r="BR153" s="26">
        <v>28</v>
      </c>
      <c r="BS153" s="26">
        <v>9</v>
      </c>
      <c r="BT153" s="26">
        <v>1</v>
      </c>
      <c r="BU153" s="26">
        <v>0</v>
      </c>
      <c r="BV153" s="26">
        <v>0</v>
      </c>
      <c r="BW153" s="26">
        <v>-10937.042799999999</v>
      </c>
      <c r="BX153" s="26">
        <v>-642.20100500000001</v>
      </c>
      <c r="BY153" s="26">
        <v>-3.6734259899999996E-3</v>
      </c>
      <c r="BZ153" s="26">
        <v>-27.908867000000001</v>
      </c>
      <c r="CA153" s="26">
        <v>-1.6387521599999999</v>
      </c>
      <c r="CB153" s="26">
        <v>3.6420759399999998E-4</v>
      </c>
      <c r="CC153" s="26">
        <v>6.2026592799999999E-3</v>
      </c>
      <c r="CD153" s="26">
        <v>17.030560000000001</v>
      </c>
      <c r="CE153" s="26">
        <v>0.29980774900000001</v>
      </c>
      <c r="CF153" s="26">
        <v>0</v>
      </c>
      <c r="CG153" s="26">
        <v>0</v>
      </c>
      <c r="CH153" s="26">
        <v>0</v>
      </c>
      <c r="CI153" s="26">
        <v>0</v>
      </c>
      <c r="CJ153" s="26">
        <v>0</v>
      </c>
      <c r="CK153" s="26">
        <v>0</v>
      </c>
      <c r="CL153" s="26">
        <v>0</v>
      </c>
      <c r="CM153" s="26">
        <v>0</v>
      </c>
      <c r="CN153" s="26">
        <v>0</v>
      </c>
      <c r="CO153" s="26">
        <v>0</v>
      </c>
      <c r="CP153" s="26">
        <v>0</v>
      </c>
      <c r="CQ153" s="26">
        <v>0</v>
      </c>
      <c r="CR153" s="26">
        <v>0</v>
      </c>
      <c r="CS153" s="26">
        <v>0</v>
      </c>
      <c r="CT153" s="26">
        <v>0</v>
      </c>
      <c r="CU153" s="26">
        <v>0</v>
      </c>
      <c r="CV153" s="26">
        <v>0</v>
      </c>
      <c r="CW153" s="26">
        <v>0</v>
      </c>
      <c r="CX153" s="26">
        <v>0</v>
      </c>
      <c r="CY153" s="26">
        <v>0</v>
      </c>
      <c r="CZ153" s="26">
        <v>0</v>
      </c>
      <c r="DA153" s="26">
        <v>0</v>
      </c>
      <c r="DB153" s="26">
        <v>0</v>
      </c>
      <c r="DC153" s="26">
        <v>0</v>
      </c>
      <c r="DD153" s="26">
        <v>0</v>
      </c>
      <c r="DE153" s="26">
        <v>0</v>
      </c>
      <c r="DF153" s="26">
        <v>0</v>
      </c>
      <c r="DG153" s="26">
        <v>0</v>
      </c>
      <c r="DH153" s="26">
        <v>0</v>
      </c>
      <c r="DI153" s="26">
        <v>0</v>
      </c>
      <c r="DJ153" s="26">
        <v>0</v>
      </c>
      <c r="DK153" s="26">
        <v>0</v>
      </c>
      <c r="DL153" s="26">
        <v>0</v>
      </c>
      <c r="DM153" s="26">
        <v>0</v>
      </c>
      <c r="DN153" s="26">
        <v>0</v>
      </c>
      <c r="DO153" s="26">
        <v>0</v>
      </c>
      <c r="DP153" s="26">
        <v>0</v>
      </c>
      <c r="DQ153" s="26">
        <v>0</v>
      </c>
      <c r="DR153" s="26">
        <v>0</v>
      </c>
      <c r="DS153" s="26">
        <v>0</v>
      </c>
      <c r="DT153" s="26">
        <v>0</v>
      </c>
      <c r="DU153" s="26">
        <v>0</v>
      </c>
      <c r="DV153" s="26">
        <v>0</v>
      </c>
      <c r="DW153" s="26">
        <v>0</v>
      </c>
      <c r="DX153" s="26">
        <v>0</v>
      </c>
      <c r="DY153" s="26">
        <v>0</v>
      </c>
      <c r="DZ153" s="26">
        <v>0</v>
      </c>
      <c r="EA153" s="26">
        <v>0</v>
      </c>
      <c r="EB153" s="26">
        <v>0</v>
      </c>
      <c r="EC153" s="26">
        <v>0</v>
      </c>
      <c r="ED153" s="26">
        <v>0</v>
      </c>
      <c r="EE153" s="26">
        <v>0</v>
      </c>
      <c r="EF153" s="26">
        <v>0</v>
      </c>
      <c r="EG153" s="26">
        <v>0</v>
      </c>
      <c r="EH153" s="26">
        <v>0</v>
      </c>
      <c r="EI153" s="26">
        <v>0</v>
      </c>
      <c r="EJ153" s="26">
        <v>0</v>
      </c>
      <c r="EK153" s="26">
        <v>0</v>
      </c>
      <c r="EL153" s="26">
        <v>0</v>
      </c>
      <c r="EM153" s="26">
        <v>0</v>
      </c>
      <c r="EN153" s="26">
        <v>0</v>
      </c>
      <c r="EO153" s="26">
        <v>0</v>
      </c>
      <c r="EP153" s="26">
        <v>0</v>
      </c>
      <c r="EQ153" s="26">
        <v>0</v>
      </c>
      <c r="ER153" s="26">
        <v>0</v>
      </c>
      <c r="ES153" s="26">
        <v>0</v>
      </c>
      <c r="ET153" s="26">
        <v>9</v>
      </c>
      <c r="EU153" s="26">
        <v>0</v>
      </c>
      <c r="EV153" s="26">
        <v>0</v>
      </c>
      <c r="EW153" s="26">
        <v>0</v>
      </c>
      <c r="EX153" s="26">
        <v>0</v>
      </c>
      <c r="EY153" s="26">
        <v>0</v>
      </c>
      <c r="EZ153" s="26">
        <v>0</v>
      </c>
      <c r="FA153" s="26">
        <v>0</v>
      </c>
      <c r="FB153" s="26">
        <v>0</v>
      </c>
      <c r="FC153" s="26">
        <v>0</v>
      </c>
      <c r="FD153" s="26">
        <v>0</v>
      </c>
      <c r="FE153" s="26">
        <v>0</v>
      </c>
      <c r="FF153" s="26">
        <v>0</v>
      </c>
      <c r="FG153" s="26">
        <v>0</v>
      </c>
      <c r="FH153" s="26">
        <v>-4282.1575798799995</v>
      </c>
      <c r="FI153" s="26">
        <v>0</v>
      </c>
      <c r="FJ153" s="26">
        <v>0</v>
      </c>
      <c r="FK153" s="26">
        <v>0</v>
      </c>
      <c r="FL153" s="26">
        <v>0</v>
      </c>
      <c r="FM153" s="26">
        <v>0</v>
      </c>
      <c r="FN153" s="26">
        <v>0</v>
      </c>
      <c r="FO153" s="26">
        <v>0</v>
      </c>
      <c r="FP153" s="26">
        <v>0</v>
      </c>
      <c r="FQ153" s="26">
        <v>0</v>
      </c>
      <c r="FR153" s="26">
        <v>0</v>
      </c>
      <c r="FS153" s="26">
        <v>0</v>
      </c>
      <c r="FT153" s="26">
        <v>0</v>
      </c>
      <c r="FU153" s="26">
        <v>0</v>
      </c>
      <c r="FV153" s="26">
        <v>0</v>
      </c>
      <c r="FW153" s="26">
        <v>0</v>
      </c>
      <c r="FX153" s="26">
        <v>0</v>
      </c>
      <c r="FY153" s="26">
        <v>0</v>
      </c>
      <c r="FZ153" s="26">
        <v>0</v>
      </c>
      <c r="GA153" s="26">
        <v>0</v>
      </c>
      <c r="GB153" s="26">
        <v>0</v>
      </c>
      <c r="GC153" s="26">
        <v>0</v>
      </c>
      <c r="GD153" s="26">
        <v>0</v>
      </c>
      <c r="GE153" s="26">
        <v>0</v>
      </c>
      <c r="GF153" s="26">
        <v>0</v>
      </c>
      <c r="GG153" s="26">
        <v>9.329725880193363E-5</v>
      </c>
      <c r="GH153" s="26">
        <v>0</v>
      </c>
      <c r="GI153" s="26">
        <v>0</v>
      </c>
      <c r="GJ153" s="26">
        <v>0</v>
      </c>
      <c r="GK153" s="26">
        <v>0</v>
      </c>
      <c r="GL153" s="26">
        <v>0</v>
      </c>
      <c r="GM153" s="26">
        <v>0</v>
      </c>
      <c r="GN153" s="26">
        <v>0</v>
      </c>
      <c r="GO153" s="26">
        <v>0</v>
      </c>
      <c r="GP153" s="26">
        <v>0</v>
      </c>
      <c r="GQ153" s="26">
        <v>0</v>
      </c>
      <c r="GR153" s="26">
        <v>0</v>
      </c>
      <c r="GS153" s="26">
        <v>0</v>
      </c>
      <c r="GT153" s="26">
        <v>0</v>
      </c>
      <c r="GU153" s="26">
        <v>0</v>
      </c>
      <c r="GV153" s="26">
        <v>0</v>
      </c>
      <c r="GW153" s="26">
        <v>0</v>
      </c>
      <c r="GX153" s="26">
        <v>0</v>
      </c>
      <c r="GY153" s="26">
        <v>0</v>
      </c>
      <c r="GZ153" s="26">
        <v>0</v>
      </c>
      <c r="HA153" s="26">
        <v>0</v>
      </c>
      <c r="HB153" s="26">
        <v>0</v>
      </c>
      <c r="HC153" s="26">
        <v>0</v>
      </c>
      <c r="HD153" s="26">
        <v>0</v>
      </c>
      <c r="HE153" s="26">
        <v>0</v>
      </c>
      <c r="HF153" s="26">
        <v>0</v>
      </c>
      <c r="HG153" s="26">
        <v>0</v>
      </c>
      <c r="HH153" s="26">
        <v>0</v>
      </c>
      <c r="HI153" s="26">
        <v>0</v>
      </c>
      <c r="HJ153" s="26">
        <v>0</v>
      </c>
      <c r="HK153" s="26">
        <v>0</v>
      </c>
      <c r="HL153" s="26">
        <v>0</v>
      </c>
      <c r="HM153" s="26">
        <v>0</v>
      </c>
      <c r="HN153" s="26">
        <v>0</v>
      </c>
      <c r="HO153" s="26">
        <v>0</v>
      </c>
      <c r="HP153" s="26">
        <v>0</v>
      </c>
      <c r="HQ153" s="26">
        <v>0</v>
      </c>
      <c r="HR153" s="26">
        <v>0</v>
      </c>
      <c r="HS153" s="26">
        <v>0</v>
      </c>
      <c r="HT153" s="26">
        <v>0</v>
      </c>
    </row>
    <row r="154" spans="2:228" x14ac:dyDescent="0.2">
      <c r="B154" s="27" t="s">
        <v>1386</v>
      </c>
      <c r="C154" s="26">
        <v>14.0693339</v>
      </c>
      <c r="D154" s="26">
        <v>-2.4239195099999999E-2</v>
      </c>
      <c r="E154" s="26">
        <v>3.9497584899999998</v>
      </c>
      <c r="F154" s="26">
        <v>0</v>
      </c>
      <c r="G154" s="26">
        <v>0</v>
      </c>
      <c r="H154" s="26">
        <v>0</v>
      </c>
      <c r="I154" s="26">
        <v>0</v>
      </c>
      <c r="J154" s="26">
        <v>0</v>
      </c>
      <c r="K154" s="26">
        <v>0</v>
      </c>
      <c r="L154" s="26">
        <v>0</v>
      </c>
      <c r="M154" s="26">
        <v>0</v>
      </c>
      <c r="N154" s="26">
        <v>0</v>
      </c>
      <c r="O154" s="26">
        <v>0</v>
      </c>
      <c r="P154" s="26">
        <v>0</v>
      </c>
      <c r="Q154" s="26">
        <v>0</v>
      </c>
      <c r="R154" s="26">
        <v>0</v>
      </c>
      <c r="S154" s="26">
        <v>0</v>
      </c>
      <c r="T154" s="26">
        <v>0</v>
      </c>
      <c r="U154" s="26">
        <v>0</v>
      </c>
      <c r="V154" s="26">
        <v>0</v>
      </c>
      <c r="W154" s="26">
        <v>0</v>
      </c>
      <c r="X154" s="26">
        <v>1.94540344</v>
      </c>
      <c r="Y154" s="26">
        <v>0</v>
      </c>
      <c r="Z154" s="26">
        <v>0</v>
      </c>
      <c r="AA154" s="26">
        <v>0</v>
      </c>
      <c r="AB154" s="26">
        <v>5.7200563799999999</v>
      </c>
      <c r="AC154" s="26">
        <v>0</v>
      </c>
      <c r="AD154" s="26">
        <v>0</v>
      </c>
      <c r="AE154" s="26">
        <v>0</v>
      </c>
      <c r="AF154" s="26">
        <v>0</v>
      </c>
      <c r="AG154" s="26">
        <v>0</v>
      </c>
      <c r="AH154" s="26">
        <v>0</v>
      </c>
      <c r="AI154" s="26">
        <v>0</v>
      </c>
      <c r="AJ154" s="26">
        <v>0</v>
      </c>
      <c r="AK154" s="26">
        <v>0</v>
      </c>
      <c r="AL154" s="26">
        <v>0</v>
      </c>
      <c r="AM154" s="26">
        <v>0</v>
      </c>
      <c r="AN154" s="26">
        <v>0</v>
      </c>
      <c r="AO154" s="26">
        <v>0</v>
      </c>
      <c r="AP154" s="26">
        <v>0</v>
      </c>
      <c r="AQ154" s="26">
        <v>0</v>
      </c>
      <c r="AR154" s="26">
        <v>0</v>
      </c>
      <c r="AS154" s="26">
        <v>0</v>
      </c>
      <c r="AT154" s="26">
        <v>0</v>
      </c>
      <c r="AU154" s="26">
        <v>0</v>
      </c>
      <c r="AV154" s="26">
        <v>0.489061574</v>
      </c>
      <c r="AW154" s="26">
        <v>0</v>
      </c>
      <c r="AX154" s="26">
        <v>0</v>
      </c>
      <c r="AY154" s="26">
        <v>0</v>
      </c>
      <c r="AZ154" s="26">
        <v>0</v>
      </c>
      <c r="BA154" s="26">
        <v>0</v>
      </c>
      <c r="BB154" s="26">
        <v>0</v>
      </c>
      <c r="BC154" s="26">
        <v>0</v>
      </c>
      <c r="BD154" s="26">
        <v>0</v>
      </c>
      <c r="BE154" s="26">
        <v>0</v>
      </c>
      <c r="BF154" s="26">
        <v>0</v>
      </c>
      <c r="BG154" s="26">
        <v>0</v>
      </c>
      <c r="BH154" s="26">
        <v>0</v>
      </c>
      <c r="BI154" s="26">
        <v>0</v>
      </c>
      <c r="BJ154" s="26">
        <v>0</v>
      </c>
      <c r="BK154" s="26">
        <v>0</v>
      </c>
      <c r="BL154" s="26">
        <v>0</v>
      </c>
      <c r="BM154" s="26">
        <v>0</v>
      </c>
      <c r="BN154" s="26">
        <v>0</v>
      </c>
      <c r="BO154" s="26">
        <v>0.58434557499999995</v>
      </c>
      <c r="BP154" s="26">
        <v>12.1042799</v>
      </c>
      <c r="BQ154" s="26">
        <v>135.49685500000001</v>
      </c>
      <c r="BR154" s="26">
        <v>46.286077900000009</v>
      </c>
      <c r="BS154" s="26">
        <v>1</v>
      </c>
      <c r="BT154" s="26">
        <v>0.53033970200000002</v>
      </c>
      <c r="BU154" s="26">
        <v>0.46966029799999998</v>
      </c>
      <c r="BV154" s="26">
        <v>0</v>
      </c>
      <c r="BW154" s="26">
        <v>-38913.506600000001</v>
      </c>
      <c r="BX154" s="26">
        <v>-1878.58638</v>
      </c>
      <c r="BY154" s="26">
        <v>-2.2738935500000002E-2</v>
      </c>
      <c r="BZ154" s="26">
        <v>-32.235619300000003</v>
      </c>
      <c r="CA154" s="26">
        <v>-1.55620505</v>
      </c>
      <c r="CB154" s="26">
        <v>7.1876892000000001E-5</v>
      </c>
      <c r="CC154" s="26">
        <v>1.48887586E-3</v>
      </c>
      <c r="CD154" s="26">
        <v>20.714249299999999</v>
      </c>
      <c r="CE154" s="26">
        <v>0.398285261</v>
      </c>
      <c r="CF154" s="26">
        <v>0</v>
      </c>
      <c r="CG154" s="26">
        <v>0</v>
      </c>
      <c r="CH154" s="26">
        <v>0</v>
      </c>
      <c r="CI154" s="26">
        <v>0</v>
      </c>
      <c r="CJ154" s="26">
        <v>0</v>
      </c>
      <c r="CK154" s="26">
        <v>0</v>
      </c>
      <c r="CL154" s="26">
        <v>0</v>
      </c>
      <c r="CM154" s="26">
        <v>0</v>
      </c>
      <c r="CN154" s="26">
        <v>0</v>
      </c>
      <c r="CO154" s="26">
        <v>0</v>
      </c>
      <c r="CP154" s="26">
        <v>0</v>
      </c>
      <c r="CQ154" s="26">
        <v>0</v>
      </c>
      <c r="CR154" s="26">
        <v>0</v>
      </c>
      <c r="CS154" s="26">
        <v>0</v>
      </c>
      <c r="CT154" s="26">
        <v>0</v>
      </c>
      <c r="CU154" s="26">
        <v>0</v>
      </c>
      <c r="CV154" s="26">
        <v>0</v>
      </c>
      <c r="CW154" s="26">
        <v>0</v>
      </c>
      <c r="CX154" s="26">
        <v>0</v>
      </c>
      <c r="CY154" s="26">
        <v>0</v>
      </c>
      <c r="CZ154" s="26">
        <v>0</v>
      </c>
      <c r="DA154" s="26">
        <v>0</v>
      </c>
      <c r="DB154" s="26">
        <v>0</v>
      </c>
      <c r="DC154" s="26">
        <v>0</v>
      </c>
      <c r="DD154" s="26">
        <v>0</v>
      </c>
      <c r="DE154" s="26">
        <v>0</v>
      </c>
      <c r="DF154" s="26">
        <v>0</v>
      </c>
      <c r="DG154" s="26">
        <v>0</v>
      </c>
      <c r="DH154" s="26">
        <v>0</v>
      </c>
      <c r="DI154" s="26">
        <v>0</v>
      </c>
      <c r="DJ154" s="26">
        <v>0</v>
      </c>
      <c r="DK154" s="26">
        <v>0</v>
      </c>
      <c r="DL154" s="26">
        <v>0</v>
      </c>
      <c r="DM154" s="26">
        <v>0</v>
      </c>
      <c r="DN154" s="26">
        <v>0</v>
      </c>
      <c r="DO154" s="26">
        <v>0</v>
      </c>
      <c r="DP154" s="26">
        <v>0</v>
      </c>
      <c r="DQ154" s="26">
        <v>0</v>
      </c>
      <c r="DR154" s="26">
        <v>0</v>
      </c>
      <c r="DS154" s="26">
        <v>0</v>
      </c>
      <c r="DT154" s="26">
        <v>0</v>
      </c>
      <c r="DU154" s="26">
        <v>0</v>
      </c>
      <c r="DV154" s="26">
        <v>0</v>
      </c>
      <c r="DW154" s="26">
        <v>0</v>
      </c>
      <c r="DX154" s="26">
        <v>0</v>
      </c>
      <c r="DY154" s="26">
        <v>0</v>
      </c>
      <c r="DZ154" s="26">
        <v>0</v>
      </c>
      <c r="EA154" s="26">
        <v>0</v>
      </c>
      <c r="EB154" s="26">
        <v>0</v>
      </c>
      <c r="EC154" s="26">
        <v>0</v>
      </c>
      <c r="ED154" s="26">
        <v>0</v>
      </c>
      <c r="EE154" s="26">
        <v>1.9650539799999998</v>
      </c>
      <c r="EF154" s="26">
        <v>0</v>
      </c>
      <c r="EG154" s="26">
        <v>0</v>
      </c>
      <c r="EH154" s="26">
        <v>0</v>
      </c>
      <c r="EI154" s="26">
        <v>0</v>
      </c>
      <c r="EJ154" s="26">
        <v>0</v>
      </c>
      <c r="EK154" s="26">
        <v>0</v>
      </c>
      <c r="EL154" s="26">
        <v>0</v>
      </c>
      <c r="EM154" s="26">
        <v>0</v>
      </c>
      <c r="EN154" s="26">
        <v>0</v>
      </c>
      <c r="EO154" s="26">
        <v>0</v>
      </c>
      <c r="EP154" s="26">
        <v>8.6037144999999995E-2</v>
      </c>
      <c r="EQ154" s="26">
        <v>1.9650539799999998</v>
      </c>
      <c r="ER154" s="26">
        <v>2.1796076500000001E-2</v>
      </c>
      <c r="ES154" s="26">
        <v>46.286077900000009</v>
      </c>
      <c r="ET154" s="26">
        <v>1</v>
      </c>
      <c r="EU154" s="26">
        <v>0</v>
      </c>
      <c r="EV154" s="26">
        <v>0</v>
      </c>
      <c r="EW154" s="26">
        <v>1</v>
      </c>
      <c r="EX154" s="26">
        <v>-17437.3469</v>
      </c>
      <c r="EY154" s="26">
        <v>-763.46989199999996</v>
      </c>
      <c r="EZ154" s="26">
        <v>-1.50025956E-3</v>
      </c>
      <c r="FA154" s="26">
        <v>-58.505800200000003</v>
      </c>
      <c r="FB154" s="26">
        <v>-2.5615947800000001</v>
      </c>
      <c r="FC154" s="26">
        <v>6.5789473700000003E-2</v>
      </c>
      <c r="FD154" s="26">
        <v>1.5026052599999999</v>
      </c>
      <c r="FE154" s="26">
        <v>22.839600000000001</v>
      </c>
      <c r="FF154" s="26">
        <v>0</v>
      </c>
      <c r="FG154" s="26">
        <v>0.35769877</v>
      </c>
      <c r="FH154" s="26">
        <v>-28547.790468200001</v>
      </c>
      <c r="FI154" s="26">
        <v>1.7997229366200058E-5</v>
      </c>
      <c r="FJ154" s="26">
        <v>5.7204992957639951E-6</v>
      </c>
      <c r="FK154" s="26">
        <v>0</v>
      </c>
      <c r="FL154" s="26">
        <v>0</v>
      </c>
      <c r="FM154" s="26">
        <v>0</v>
      </c>
      <c r="FN154" s="26">
        <v>0</v>
      </c>
      <c r="FO154" s="26">
        <v>0</v>
      </c>
      <c r="FP154" s="26">
        <v>0</v>
      </c>
      <c r="FQ154" s="26">
        <v>0</v>
      </c>
      <c r="FR154" s="26">
        <v>0</v>
      </c>
      <c r="FS154" s="26">
        <v>0</v>
      </c>
      <c r="FT154" s="26">
        <v>0</v>
      </c>
      <c r="FU154" s="26">
        <v>0</v>
      </c>
      <c r="FV154" s="26">
        <v>0</v>
      </c>
      <c r="FW154" s="26">
        <v>0</v>
      </c>
      <c r="FX154" s="26">
        <v>0</v>
      </c>
      <c r="FY154" s="26">
        <v>0</v>
      </c>
      <c r="FZ154" s="26">
        <v>0</v>
      </c>
      <c r="GA154" s="26">
        <v>0</v>
      </c>
      <c r="GB154" s="26">
        <v>0</v>
      </c>
      <c r="GC154" s="26">
        <v>4.3500041459111442E-10</v>
      </c>
      <c r="GD154" s="26">
        <v>0</v>
      </c>
      <c r="GE154" s="26">
        <v>0</v>
      </c>
      <c r="GF154" s="26">
        <v>0</v>
      </c>
      <c r="GG154" s="26">
        <v>7.84174770162287E-5</v>
      </c>
      <c r="GH154" s="26">
        <v>0</v>
      </c>
      <c r="GI154" s="26">
        <v>0</v>
      </c>
      <c r="GJ154" s="26">
        <v>0</v>
      </c>
      <c r="GK154" s="26">
        <v>0</v>
      </c>
      <c r="GL154" s="26">
        <v>0</v>
      </c>
      <c r="GM154" s="26">
        <v>0</v>
      </c>
      <c r="GN154" s="26">
        <v>0</v>
      </c>
      <c r="GO154" s="26">
        <v>0</v>
      </c>
      <c r="GP154" s="26">
        <v>0</v>
      </c>
      <c r="GQ154" s="26">
        <v>0</v>
      </c>
      <c r="GR154" s="26">
        <v>0</v>
      </c>
      <c r="GS154" s="26">
        <v>0</v>
      </c>
      <c r="GT154" s="26">
        <v>0</v>
      </c>
      <c r="GU154" s="26">
        <v>0</v>
      </c>
      <c r="GV154" s="26">
        <v>0</v>
      </c>
      <c r="GW154" s="26">
        <v>0</v>
      </c>
      <c r="GX154" s="26">
        <v>0</v>
      </c>
      <c r="GY154" s="26">
        <v>0</v>
      </c>
      <c r="GZ154" s="26">
        <v>0</v>
      </c>
      <c r="HA154" s="26">
        <v>1.9453833350075113E-6</v>
      </c>
      <c r="HB154" s="26">
        <v>0</v>
      </c>
      <c r="HC154" s="26">
        <v>0</v>
      </c>
      <c r="HD154" s="26">
        <v>0</v>
      </c>
      <c r="HE154" s="26">
        <v>0</v>
      </c>
      <c r="HF154" s="26">
        <v>0</v>
      </c>
      <c r="HG154" s="26">
        <v>0</v>
      </c>
      <c r="HH154" s="26">
        <v>0</v>
      </c>
      <c r="HI154" s="26">
        <v>0</v>
      </c>
      <c r="HJ154" s="26">
        <v>0</v>
      </c>
      <c r="HK154" s="26">
        <v>0</v>
      </c>
      <c r="HL154" s="26">
        <v>0</v>
      </c>
      <c r="HM154" s="26">
        <v>0</v>
      </c>
      <c r="HN154" s="26">
        <v>0</v>
      </c>
      <c r="HO154" s="26">
        <v>0</v>
      </c>
      <c r="HP154" s="26">
        <v>0</v>
      </c>
      <c r="HQ154" s="26">
        <v>0</v>
      </c>
      <c r="HR154" s="26">
        <v>0</v>
      </c>
      <c r="HS154" s="26">
        <v>0</v>
      </c>
      <c r="HT154" s="26">
        <v>2.3899207135638102E-5</v>
      </c>
    </row>
    <row r="155" spans="2:228" x14ac:dyDescent="0.2">
      <c r="B155" s="27" t="s">
        <v>2411</v>
      </c>
      <c r="C155" s="26">
        <v>769.70881299999996</v>
      </c>
      <c r="D155" s="26">
        <v>-2.7657839499999999</v>
      </c>
      <c r="E155" s="26">
        <v>714.16866600000003</v>
      </c>
      <c r="F155" s="26">
        <v>0</v>
      </c>
      <c r="G155" s="26">
        <v>12.089826800000001</v>
      </c>
      <c r="H155" s="26">
        <v>0</v>
      </c>
      <c r="I155" s="26">
        <v>0</v>
      </c>
      <c r="J155" s="26">
        <v>0</v>
      </c>
      <c r="K155" s="26">
        <v>0</v>
      </c>
      <c r="L155" s="26">
        <v>0</v>
      </c>
      <c r="M155" s="26">
        <v>0</v>
      </c>
      <c r="N155" s="26">
        <v>0</v>
      </c>
      <c r="O155" s="26">
        <v>0</v>
      </c>
      <c r="P155" s="26">
        <v>0</v>
      </c>
      <c r="Q155" s="26">
        <v>0</v>
      </c>
      <c r="R155" s="26">
        <v>0</v>
      </c>
      <c r="S155" s="26">
        <v>0</v>
      </c>
      <c r="T155" s="26">
        <v>0</v>
      </c>
      <c r="U155" s="26">
        <v>0</v>
      </c>
      <c r="V155" s="26">
        <v>0</v>
      </c>
      <c r="W155" s="26">
        <v>0</v>
      </c>
      <c r="X155" s="26">
        <v>2.1715595699999999</v>
      </c>
      <c r="Y155" s="26">
        <v>0</v>
      </c>
      <c r="Z155" s="26">
        <v>0</v>
      </c>
      <c r="AA155" s="26">
        <v>0</v>
      </c>
      <c r="AB155" s="26">
        <v>0.29852735400000002</v>
      </c>
      <c r="AC155" s="26">
        <v>0</v>
      </c>
      <c r="AD155" s="26">
        <v>0</v>
      </c>
      <c r="AE155" s="26">
        <v>0</v>
      </c>
      <c r="AF155" s="26">
        <v>0</v>
      </c>
      <c r="AG155" s="26">
        <v>0</v>
      </c>
      <c r="AH155" s="26">
        <v>0</v>
      </c>
      <c r="AI155" s="26">
        <v>0</v>
      </c>
      <c r="AJ155" s="26">
        <v>0</v>
      </c>
      <c r="AK155" s="26">
        <v>0</v>
      </c>
      <c r="AL155" s="26">
        <v>0</v>
      </c>
      <c r="AM155" s="26">
        <v>7.4208687999999995E-2</v>
      </c>
      <c r="AN155" s="26">
        <v>4.5554876700000003E-3</v>
      </c>
      <c r="AO155" s="26">
        <v>9.5767089799999993E-3</v>
      </c>
      <c r="AP155" s="26">
        <v>0</v>
      </c>
      <c r="AQ155" s="26">
        <v>0</v>
      </c>
      <c r="AR155" s="26">
        <v>0</v>
      </c>
      <c r="AS155" s="26">
        <v>3.8822413600000001E-2</v>
      </c>
      <c r="AT155" s="26">
        <v>0</v>
      </c>
      <c r="AU155" s="26">
        <v>0</v>
      </c>
      <c r="AV155" s="26">
        <v>7.1190064899999994E-5</v>
      </c>
      <c r="AW155" s="26">
        <v>0</v>
      </c>
      <c r="AX155" s="26">
        <v>0</v>
      </c>
      <c r="AY155" s="26">
        <v>0</v>
      </c>
      <c r="AZ155" s="26">
        <v>0</v>
      </c>
      <c r="BA155" s="26">
        <v>0</v>
      </c>
      <c r="BB155" s="26">
        <v>0</v>
      </c>
      <c r="BC155" s="26">
        <v>0</v>
      </c>
      <c r="BD155" s="26">
        <v>0</v>
      </c>
      <c r="BE155" s="26">
        <v>0</v>
      </c>
      <c r="BF155" s="26">
        <v>0</v>
      </c>
      <c r="BG155" s="26">
        <v>0</v>
      </c>
      <c r="BH155" s="26">
        <v>0</v>
      </c>
      <c r="BI155" s="26">
        <v>0</v>
      </c>
      <c r="BJ155" s="26">
        <v>0</v>
      </c>
      <c r="BK155" s="26">
        <v>0</v>
      </c>
      <c r="BL155" s="26">
        <v>0</v>
      </c>
      <c r="BM155" s="26">
        <v>0</v>
      </c>
      <c r="BN155" s="26">
        <v>0</v>
      </c>
      <c r="BO155" s="26">
        <v>39.752758399999998</v>
      </c>
      <c r="BP155" s="26">
        <v>728.85581400000001</v>
      </c>
      <c r="BQ155" s="26">
        <v>12.139322699999999</v>
      </c>
      <c r="BR155" s="26">
        <v>28</v>
      </c>
      <c r="BS155" s="26">
        <v>1</v>
      </c>
      <c r="BT155" s="26">
        <v>0</v>
      </c>
      <c r="BU155" s="26">
        <v>1</v>
      </c>
      <c r="BV155" s="26">
        <v>0</v>
      </c>
      <c r="BW155" s="26">
        <v>-68613.193599999999</v>
      </c>
      <c r="BX155" s="26">
        <v>-3742.2541700000002</v>
      </c>
      <c r="BY155" s="26">
        <v>-2.72756373</v>
      </c>
      <c r="BZ155" s="26">
        <v>-39.086060799999998</v>
      </c>
      <c r="CA155" s="26">
        <v>-2.13180536</v>
      </c>
      <c r="CB155" s="26">
        <v>5.4578495099999999E-2</v>
      </c>
      <c r="CC155" s="26">
        <v>1.0006815899999999</v>
      </c>
      <c r="CD155" s="26">
        <v>18.334723</v>
      </c>
      <c r="CE155" s="26">
        <v>12.1443482</v>
      </c>
      <c r="CF155" s="26">
        <v>0</v>
      </c>
      <c r="CG155" s="26">
        <v>0</v>
      </c>
      <c r="CH155" s="26">
        <v>0</v>
      </c>
      <c r="CI155" s="26">
        <v>0</v>
      </c>
      <c r="CJ155" s="26">
        <v>0</v>
      </c>
      <c r="CK155" s="26">
        <v>0</v>
      </c>
      <c r="CL155" s="26">
        <v>0</v>
      </c>
      <c r="CM155" s="26">
        <v>0</v>
      </c>
      <c r="CN155" s="26">
        <v>0</v>
      </c>
      <c r="CO155" s="26">
        <v>0</v>
      </c>
      <c r="CP155" s="26">
        <v>0</v>
      </c>
      <c r="CQ155" s="26">
        <v>0</v>
      </c>
      <c r="CR155" s="26">
        <v>0</v>
      </c>
      <c r="CS155" s="26">
        <v>0</v>
      </c>
      <c r="CT155" s="26">
        <v>0</v>
      </c>
      <c r="CU155" s="26">
        <v>0</v>
      </c>
      <c r="CV155" s="26">
        <v>0</v>
      </c>
      <c r="CW155" s="26">
        <v>0</v>
      </c>
      <c r="CX155" s="26">
        <v>0</v>
      </c>
      <c r="CY155" s="26">
        <v>0</v>
      </c>
      <c r="CZ155" s="26">
        <v>0</v>
      </c>
      <c r="DA155" s="26">
        <v>0</v>
      </c>
      <c r="DB155" s="26">
        <v>0</v>
      </c>
      <c r="DC155" s="26">
        <v>0</v>
      </c>
      <c r="DD155" s="26">
        <v>0</v>
      </c>
      <c r="DE155" s="26">
        <v>0</v>
      </c>
      <c r="DF155" s="26">
        <v>0</v>
      </c>
      <c r="DG155" s="26">
        <v>0</v>
      </c>
      <c r="DH155" s="26">
        <v>0</v>
      </c>
      <c r="DI155" s="26">
        <v>0</v>
      </c>
      <c r="DJ155" s="26">
        <v>0</v>
      </c>
      <c r="DK155" s="26">
        <v>0</v>
      </c>
      <c r="DL155" s="26">
        <v>0</v>
      </c>
      <c r="DM155" s="26">
        <v>0</v>
      </c>
      <c r="DN155" s="26">
        <v>0</v>
      </c>
      <c r="DO155" s="26">
        <v>0</v>
      </c>
      <c r="DP155" s="26">
        <v>0</v>
      </c>
      <c r="DQ155" s="26">
        <v>0</v>
      </c>
      <c r="DR155" s="26">
        <v>0</v>
      </c>
      <c r="DS155" s="26">
        <v>0</v>
      </c>
      <c r="DT155" s="26">
        <v>0</v>
      </c>
      <c r="DU155" s="26">
        <v>0</v>
      </c>
      <c r="DV155" s="26">
        <v>0</v>
      </c>
      <c r="DW155" s="26">
        <v>0</v>
      </c>
      <c r="DX155" s="26">
        <v>0</v>
      </c>
      <c r="DY155" s="26">
        <v>0</v>
      </c>
      <c r="DZ155" s="26">
        <v>0</v>
      </c>
      <c r="EA155" s="26">
        <v>0</v>
      </c>
      <c r="EB155" s="26">
        <v>0</v>
      </c>
      <c r="EC155" s="26">
        <v>0</v>
      </c>
      <c r="ED155" s="26">
        <v>0</v>
      </c>
      <c r="EE155" s="26">
        <v>2.1935085499999998</v>
      </c>
      <c r="EF155" s="26">
        <v>0</v>
      </c>
      <c r="EG155" s="26">
        <v>1.5108883200000001</v>
      </c>
      <c r="EH155" s="26">
        <v>3.21483506</v>
      </c>
      <c r="EI155" s="26">
        <v>0</v>
      </c>
      <c r="EJ155" s="26">
        <v>33.933767400000001</v>
      </c>
      <c r="EK155" s="26">
        <v>0</v>
      </c>
      <c r="EL155" s="26">
        <v>0</v>
      </c>
      <c r="EM155" s="26">
        <v>0</v>
      </c>
      <c r="EN155" s="26">
        <v>0</v>
      </c>
      <c r="EO155" s="26">
        <v>0</v>
      </c>
      <c r="EP155" s="26">
        <v>1.7173844300000001</v>
      </c>
      <c r="EQ155" s="26">
        <v>40.8529993</v>
      </c>
      <c r="ER155" s="26">
        <v>0.441956128</v>
      </c>
      <c r="ES155" s="26">
        <v>28</v>
      </c>
      <c r="ET155" s="26">
        <v>1</v>
      </c>
      <c r="EU155" s="26">
        <v>0</v>
      </c>
      <c r="EV155" s="26">
        <v>0</v>
      </c>
      <c r="EW155" s="26">
        <v>1</v>
      </c>
      <c r="EX155" s="26">
        <v>-22254.9025</v>
      </c>
      <c r="EY155" s="26">
        <v>-935.55488700000001</v>
      </c>
      <c r="EZ155" s="26">
        <v>-3.8220223499999997E-2</v>
      </c>
      <c r="FA155" s="26">
        <v>-73.380015200000003</v>
      </c>
      <c r="FB155" s="26">
        <v>-3.0847599400000001</v>
      </c>
      <c r="FC155" s="26">
        <v>6.4764513400000001E-2</v>
      </c>
      <c r="FD155" s="26">
        <v>1.5406129099999999</v>
      </c>
      <c r="FE155" s="26">
        <v>23.7879176</v>
      </c>
      <c r="FF155" s="26">
        <v>0</v>
      </c>
      <c r="FG155" s="26">
        <v>9.42464898E-2</v>
      </c>
      <c r="FH155" s="26">
        <v>-3218983.2313100002</v>
      </c>
      <c r="FI155" s="26">
        <v>1.3349291967905446E-4</v>
      </c>
      <c r="FJ155" s="26">
        <v>0</v>
      </c>
      <c r="FK155" s="26">
        <v>0</v>
      </c>
      <c r="FL155" s="26">
        <v>0</v>
      </c>
      <c r="FM155" s="26">
        <v>0</v>
      </c>
      <c r="FN155" s="26">
        <v>0</v>
      </c>
      <c r="FO155" s="26">
        <v>0</v>
      </c>
      <c r="FP155" s="26">
        <v>0</v>
      </c>
      <c r="FQ155" s="26">
        <v>0</v>
      </c>
      <c r="FR155" s="26">
        <v>0</v>
      </c>
      <c r="FS155" s="26">
        <v>0</v>
      </c>
      <c r="FT155" s="26">
        <v>0</v>
      </c>
      <c r="FU155" s="26">
        <v>0</v>
      </c>
      <c r="FV155" s="26">
        <v>0</v>
      </c>
      <c r="FW155" s="26">
        <v>0</v>
      </c>
      <c r="FX155" s="26">
        <v>0</v>
      </c>
      <c r="FY155" s="26">
        <v>0</v>
      </c>
      <c r="FZ155" s="26">
        <v>0</v>
      </c>
      <c r="GA155" s="26">
        <v>0</v>
      </c>
      <c r="GB155" s="26">
        <v>0</v>
      </c>
      <c r="GC155" s="26">
        <v>0</v>
      </c>
      <c r="GD155" s="26">
        <v>0</v>
      </c>
      <c r="GE155" s="26">
        <v>0</v>
      </c>
      <c r="GF155" s="26">
        <v>0</v>
      </c>
      <c r="GG155" s="26">
        <v>0</v>
      </c>
      <c r="GH155" s="26">
        <v>0</v>
      </c>
      <c r="GI155" s="26">
        <v>0</v>
      </c>
      <c r="GJ155" s="26">
        <v>0</v>
      </c>
      <c r="GK155" s="26">
        <v>0</v>
      </c>
      <c r="GL155" s="26">
        <v>0</v>
      </c>
      <c r="GM155" s="26">
        <v>0</v>
      </c>
      <c r="GN155" s="26">
        <v>0</v>
      </c>
      <c r="GO155" s="26">
        <v>0</v>
      </c>
      <c r="GP155" s="26">
        <v>0</v>
      </c>
      <c r="GQ155" s="26">
        <v>0</v>
      </c>
      <c r="GR155" s="26">
        <v>0</v>
      </c>
      <c r="GS155" s="26">
        <v>0</v>
      </c>
      <c r="GT155" s="26">
        <v>0</v>
      </c>
      <c r="GU155" s="26">
        <v>0</v>
      </c>
      <c r="GV155" s="26">
        <v>0</v>
      </c>
      <c r="GW155" s="26">
        <v>0</v>
      </c>
      <c r="GX155" s="26">
        <v>0</v>
      </c>
      <c r="GY155" s="26">
        <v>0</v>
      </c>
      <c r="GZ155" s="26">
        <v>0</v>
      </c>
      <c r="HA155" s="26">
        <v>0</v>
      </c>
      <c r="HB155" s="26">
        <v>0</v>
      </c>
      <c r="HC155" s="26">
        <v>0</v>
      </c>
      <c r="HD155" s="26">
        <v>0</v>
      </c>
      <c r="HE155" s="26">
        <v>0</v>
      </c>
      <c r="HF155" s="26">
        <v>0</v>
      </c>
      <c r="HG155" s="26">
        <v>0</v>
      </c>
      <c r="HH155" s="26">
        <v>0</v>
      </c>
      <c r="HI155" s="26">
        <v>0</v>
      </c>
      <c r="HJ155" s="26">
        <v>0</v>
      </c>
      <c r="HK155" s="26">
        <v>0</v>
      </c>
      <c r="HL155" s="26">
        <v>0</v>
      </c>
      <c r="HM155" s="26">
        <v>0</v>
      </c>
      <c r="HN155" s="26">
        <v>0</v>
      </c>
      <c r="HO155" s="26">
        <v>0</v>
      </c>
      <c r="HP155" s="26">
        <v>0</v>
      </c>
      <c r="HQ155" s="26">
        <v>0</v>
      </c>
      <c r="HR155" s="26">
        <v>0</v>
      </c>
      <c r="HS155" s="26">
        <v>0</v>
      </c>
      <c r="HT155" s="26">
        <v>4.7705123437196545E-4</v>
      </c>
    </row>
    <row r="156" spans="2:228" x14ac:dyDescent="0.2">
      <c r="B156" s="27" t="s">
        <v>2412</v>
      </c>
      <c r="C156" s="26">
        <v>2355.6961799999999</v>
      </c>
      <c r="D156" s="26">
        <v>-3.0858284299999998</v>
      </c>
      <c r="E156" s="26">
        <v>750.96027700000002</v>
      </c>
      <c r="F156" s="26">
        <v>0</v>
      </c>
      <c r="G156" s="26">
        <v>12.089826800000001</v>
      </c>
      <c r="H156" s="26">
        <v>0</v>
      </c>
      <c r="I156" s="26">
        <v>0</v>
      </c>
      <c r="J156" s="26">
        <v>0</v>
      </c>
      <c r="K156" s="26">
        <v>0</v>
      </c>
      <c r="L156" s="26">
        <v>0</v>
      </c>
      <c r="M156" s="26">
        <v>0</v>
      </c>
      <c r="N156" s="26">
        <v>0</v>
      </c>
      <c r="O156" s="26">
        <v>0</v>
      </c>
      <c r="P156" s="26">
        <v>0</v>
      </c>
      <c r="Q156" s="26">
        <v>0</v>
      </c>
      <c r="R156" s="26">
        <v>0</v>
      </c>
      <c r="S156" s="26">
        <v>0</v>
      </c>
      <c r="T156" s="26">
        <v>0</v>
      </c>
      <c r="U156" s="26">
        <v>0</v>
      </c>
      <c r="V156" s="26">
        <v>0</v>
      </c>
      <c r="W156" s="26">
        <v>0</v>
      </c>
      <c r="X156" s="26">
        <v>2.1715796799999998</v>
      </c>
      <c r="Y156" s="26">
        <v>0</v>
      </c>
      <c r="Z156" s="26">
        <v>0</v>
      </c>
      <c r="AA156" s="26">
        <v>0</v>
      </c>
      <c r="AB156" s="26">
        <v>0.57826668400000003</v>
      </c>
      <c r="AC156" s="26">
        <v>0</v>
      </c>
      <c r="AD156" s="26">
        <v>0</v>
      </c>
      <c r="AE156" s="26">
        <v>0</v>
      </c>
      <c r="AF156" s="26">
        <v>0</v>
      </c>
      <c r="AG156" s="26">
        <v>0</v>
      </c>
      <c r="AH156" s="26">
        <v>0</v>
      </c>
      <c r="AI156" s="26">
        <v>0</v>
      </c>
      <c r="AJ156" s="26">
        <v>0</v>
      </c>
      <c r="AK156" s="26">
        <v>0</v>
      </c>
      <c r="AL156" s="26">
        <v>0</v>
      </c>
      <c r="AM156" s="26">
        <v>7.4208688100000003E-2</v>
      </c>
      <c r="AN156" s="26">
        <v>286.97100899999998</v>
      </c>
      <c r="AO156" s="26">
        <v>1166.86844</v>
      </c>
      <c r="AP156" s="26">
        <v>0</v>
      </c>
      <c r="AQ156" s="26">
        <v>0</v>
      </c>
      <c r="AR156" s="26">
        <v>0</v>
      </c>
      <c r="AS156" s="26">
        <v>95.129073399999996</v>
      </c>
      <c r="AT156" s="26">
        <v>0</v>
      </c>
      <c r="AU156" s="26">
        <v>0</v>
      </c>
      <c r="AV156" s="26">
        <v>5.0060129199999996E-4</v>
      </c>
      <c r="AW156" s="26">
        <v>0</v>
      </c>
      <c r="AX156" s="26">
        <v>0</v>
      </c>
      <c r="AY156" s="26">
        <v>0</v>
      </c>
      <c r="AZ156" s="26">
        <v>0</v>
      </c>
      <c r="BA156" s="26">
        <v>0</v>
      </c>
      <c r="BB156" s="26">
        <v>0</v>
      </c>
      <c r="BC156" s="26">
        <v>0</v>
      </c>
      <c r="BD156" s="26">
        <v>0</v>
      </c>
      <c r="BE156" s="26">
        <v>0</v>
      </c>
      <c r="BF156" s="26">
        <v>0</v>
      </c>
      <c r="BG156" s="26">
        <v>0</v>
      </c>
      <c r="BH156" s="26">
        <v>0</v>
      </c>
      <c r="BI156" s="26">
        <v>0</v>
      </c>
      <c r="BJ156" s="26">
        <v>0</v>
      </c>
      <c r="BK156" s="26">
        <v>0</v>
      </c>
      <c r="BL156" s="26">
        <v>0</v>
      </c>
      <c r="BM156" s="26">
        <v>0</v>
      </c>
      <c r="BN156" s="26">
        <v>0</v>
      </c>
      <c r="BO156" s="26">
        <v>94.593612199999995</v>
      </c>
      <c r="BP156" s="26">
        <v>2314.8431799999998</v>
      </c>
      <c r="BQ156" s="26">
        <v>22598.510699999999</v>
      </c>
      <c r="BR156" s="26">
        <v>28</v>
      </c>
      <c r="BS156" s="26">
        <v>1</v>
      </c>
      <c r="BT156" s="26">
        <v>0.57975219</v>
      </c>
      <c r="BU156" s="26">
        <v>0.42024781</v>
      </c>
      <c r="BV156" s="26">
        <v>0</v>
      </c>
      <c r="BW156" s="26">
        <v>-32217.906799999997</v>
      </c>
      <c r="BX156" s="26">
        <v>-1316.5506</v>
      </c>
      <c r="BY156" s="26">
        <v>-3.0476082</v>
      </c>
      <c r="BZ156" s="26">
        <v>-15.729804400000003</v>
      </c>
      <c r="CA156" s="26">
        <v>-0.64278177800000003</v>
      </c>
      <c r="CB156" s="26">
        <v>6.9763897400000003E-5</v>
      </c>
      <c r="CC156" s="26">
        <v>1.7072239699999999E-3</v>
      </c>
      <c r="CD156" s="26">
        <v>24.471453499999999</v>
      </c>
      <c r="CE156" s="26">
        <v>59.888344699999998</v>
      </c>
      <c r="CF156" s="26">
        <v>0</v>
      </c>
      <c r="CG156" s="26">
        <v>0</v>
      </c>
      <c r="CH156" s="26">
        <v>0</v>
      </c>
      <c r="CI156" s="26">
        <v>0</v>
      </c>
      <c r="CJ156" s="26">
        <v>0</v>
      </c>
      <c r="CK156" s="26">
        <v>0</v>
      </c>
      <c r="CL156" s="26">
        <v>0</v>
      </c>
      <c r="CM156" s="26">
        <v>0</v>
      </c>
      <c r="CN156" s="26">
        <v>0</v>
      </c>
      <c r="CO156" s="26">
        <v>0</v>
      </c>
      <c r="CP156" s="26">
        <v>0</v>
      </c>
      <c r="CQ156" s="26">
        <v>0</v>
      </c>
      <c r="CR156" s="26">
        <v>0</v>
      </c>
      <c r="CS156" s="26">
        <v>0</v>
      </c>
      <c r="CT156" s="26">
        <v>0</v>
      </c>
      <c r="CU156" s="26">
        <v>0</v>
      </c>
      <c r="CV156" s="26">
        <v>0</v>
      </c>
      <c r="CW156" s="26">
        <v>0</v>
      </c>
      <c r="CX156" s="26">
        <v>0</v>
      </c>
      <c r="CY156" s="26">
        <v>0</v>
      </c>
      <c r="CZ156" s="26">
        <v>0</v>
      </c>
      <c r="DA156" s="26">
        <v>0</v>
      </c>
      <c r="DB156" s="26">
        <v>0</v>
      </c>
      <c r="DC156" s="26">
        <v>0</v>
      </c>
      <c r="DD156" s="26">
        <v>0</v>
      </c>
      <c r="DE156" s="26">
        <v>0</v>
      </c>
      <c r="DF156" s="26">
        <v>0</v>
      </c>
      <c r="DG156" s="26">
        <v>0</v>
      </c>
      <c r="DH156" s="26">
        <v>0</v>
      </c>
      <c r="DI156" s="26">
        <v>0</v>
      </c>
      <c r="DJ156" s="26">
        <v>0</v>
      </c>
      <c r="DK156" s="26">
        <v>0</v>
      </c>
      <c r="DL156" s="26">
        <v>0</v>
      </c>
      <c r="DM156" s="26">
        <v>0</v>
      </c>
      <c r="DN156" s="26">
        <v>0</v>
      </c>
      <c r="DO156" s="26">
        <v>0</v>
      </c>
      <c r="DP156" s="26">
        <v>0</v>
      </c>
      <c r="DQ156" s="26">
        <v>0</v>
      </c>
      <c r="DR156" s="26">
        <v>0</v>
      </c>
      <c r="DS156" s="26">
        <v>0</v>
      </c>
      <c r="DT156" s="26">
        <v>0</v>
      </c>
      <c r="DU156" s="26">
        <v>0</v>
      </c>
      <c r="DV156" s="26">
        <v>0</v>
      </c>
      <c r="DW156" s="26">
        <v>0</v>
      </c>
      <c r="DX156" s="26">
        <v>0</v>
      </c>
      <c r="DY156" s="26">
        <v>0</v>
      </c>
      <c r="DZ156" s="26">
        <v>0</v>
      </c>
      <c r="EA156" s="26">
        <v>0</v>
      </c>
      <c r="EB156" s="26">
        <v>0</v>
      </c>
      <c r="EC156" s="26">
        <v>0</v>
      </c>
      <c r="ED156" s="26">
        <v>0</v>
      </c>
      <c r="EE156" s="26">
        <v>2.1935085499999998</v>
      </c>
      <c r="EF156" s="26">
        <v>0</v>
      </c>
      <c r="EG156" s="26">
        <v>1.5108883200000001</v>
      </c>
      <c r="EH156" s="26">
        <v>3.21483506</v>
      </c>
      <c r="EI156" s="26">
        <v>0</v>
      </c>
      <c r="EJ156" s="26">
        <v>33.933767400000001</v>
      </c>
      <c r="EK156" s="26">
        <v>0</v>
      </c>
      <c r="EL156" s="26">
        <v>0</v>
      </c>
      <c r="EM156" s="26">
        <v>0</v>
      </c>
      <c r="EN156" s="26">
        <v>0</v>
      </c>
      <c r="EO156" s="26">
        <v>0</v>
      </c>
      <c r="EP156" s="26">
        <v>1.7173844300000001</v>
      </c>
      <c r="EQ156" s="26">
        <v>40.8529993</v>
      </c>
      <c r="ER156" s="26">
        <v>0.441956128</v>
      </c>
      <c r="ES156" s="26">
        <v>28</v>
      </c>
      <c r="ET156" s="26">
        <v>1</v>
      </c>
      <c r="EU156" s="26">
        <v>0</v>
      </c>
      <c r="EV156" s="26">
        <v>0</v>
      </c>
      <c r="EW156" s="26">
        <v>1</v>
      </c>
      <c r="EX156" s="26">
        <v>-22254.9025</v>
      </c>
      <c r="EY156" s="26">
        <v>-935.55488700000001</v>
      </c>
      <c r="EZ156" s="26">
        <v>-3.8220223499999997E-2</v>
      </c>
      <c r="FA156" s="26">
        <v>-73.380015200000003</v>
      </c>
      <c r="FB156" s="26">
        <v>-3.0847599400000001</v>
      </c>
      <c r="FC156" s="26">
        <v>6.4764513400000001E-2</v>
      </c>
      <c r="FD156" s="26">
        <v>1.5406129099999999</v>
      </c>
      <c r="FE156" s="26">
        <v>23.7879176</v>
      </c>
      <c r="FF156" s="26">
        <v>0</v>
      </c>
      <c r="FG156" s="26">
        <v>3.07944985E-2</v>
      </c>
      <c r="FH156" s="26">
        <v>-3592550.1938199997</v>
      </c>
      <c r="FI156" s="26">
        <v>7.3367667531385784E-4</v>
      </c>
      <c r="FJ156" s="26">
        <v>5.6729021842721059E-4</v>
      </c>
      <c r="FK156" s="26">
        <v>0</v>
      </c>
      <c r="FL156" s="26">
        <v>3.3596048324323941E-18</v>
      </c>
      <c r="FM156" s="26">
        <v>0</v>
      </c>
      <c r="FN156" s="26">
        <v>0</v>
      </c>
      <c r="FO156" s="26">
        <v>0</v>
      </c>
      <c r="FP156" s="26">
        <v>0</v>
      </c>
      <c r="FQ156" s="26">
        <v>0</v>
      </c>
      <c r="FR156" s="26">
        <v>0</v>
      </c>
      <c r="FS156" s="26">
        <v>0</v>
      </c>
      <c r="FT156" s="26">
        <v>0</v>
      </c>
      <c r="FU156" s="26">
        <v>0</v>
      </c>
      <c r="FV156" s="26">
        <v>0</v>
      </c>
      <c r="FW156" s="26">
        <v>0</v>
      </c>
      <c r="FX156" s="26">
        <v>0</v>
      </c>
      <c r="FY156" s="26">
        <v>0</v>
      </c>
      <c r="FZ156" s="26">
        <v>0</v>
      </c>
      <c r="GA156" s="26">
        <v>0</v>
      </c>
      <c r="GB156" s="26">
        <v>0</v>
      </c>
      <c r="GC156" s="26">
        <v>6.2029166329566658E-11</v>
      </c>
      <c r="GD156" s="26">
        <v>0</v>
      </c>
      <c r="GE156" s="26">
        <v>0</v>
      </c>
      <c r="GF156" s="26">
        <v>0</v>
      </c>
      <c r="GG156" s="26">
        <v>4.562702036501616E-6</v>
      </c>
      <c r="GH156" s="26">
        <v>0</v>
      </c>
      <c r="GI156" s="26">
        <v>0</v>
      </c>
      <c r="GJ156" s="26">
        <v>0</v>
      </c>
      <c r="GK156" s="26">
        <v>0</v>
      </c>
      <c r="GL156" s="26">
        <v>0</v>
      </c>
      <c r="GM156" s="26">
        <v>0</v>
      </c>
      <c r="GN156" s="26">
        <v>0</v>
      </c>
      <c r="GO156" s="26">
        <v>0</v>
      </c>
      <c r="GP156" s="26">
        <v>0</v>
      </c>
      <c r="GQ156" s="26">
        <v>0</v>
      </c>
      <c r="GR156" s="26">
        <v>1.4152351029885474E-16</v>
      </c>
      <c r="GS156" s="26">
        <v>2.4911216810400848E-3</v>
      </c>
      <c r="GT156" s="26">
        <v>1.157041053700773E-2</v>
      </c>
      <c r="GU156" s="26">
        <v>0</v>
      </c>
      <c r="GV156" s="26">
        <v>0</v>
      </c>
      <c r="GW156" s="26">
        <v>0</v>
      </c>
      <c r="GX156" s="26">
        <v>6.001835686903574E-4</v>
      </c>
      <c r="GY156" s="26">
        <v>0</v>
      </c>
      <c r="GZ156" s="26">
        <v>0</v>
      </c>
      <c r="HA156" s="26">
        <v>1.8618788621172532E-9</v>
      </c>
      <c r="HB156" s="26">
        <v>0</v>
      </c>
      <c r="HC156" s="26">
        <v>0</v>
      </c>
      <c r="HD156" s="26">
        <v>0</v>
      </c>
      <c r="HE156" s="26">
        <v>0</v>
      </c>
      <c r="HF156" s="26">
        <v>0</v>
      </c>
      <c r="HG156" s="26">
        <v>0</v>
      </c>
      <c r="HH156" s="26">
        <v>0</v>
      </c>
      <c r="HI156" s="26">
        <v>0</v>
      </c>
      <c r="HJ156" s="26">
        <v>0</v>
      </c>
      <c r="HK156" s="26">
        <v>0</v>
      </c>
      <c r="HL156" s="26">
        <v>0</v>
      </c>
      <c r="HM156" s="26">
        <v>0</v>
      </c>
      <c r="HN156" s="26">
        <v>0</v>
      </c>
      <c r="HO156" s="26">
        <v>0</v>
      </c>
      <c r="HP156" s="26">
        <v>0</v>
      </c>
      <c r="HQ156" s="26">
        <v>0</v>
      </c>
      <c r="HR156" s="26">
        <v>0</v>
      </c>
      <c r="HS156" s="26">
        <v>0</v>
      </c>
      <c r="HT156" s="26">
        <v>4.7705123437196545E-4</v>
      </c>
    </row>
    <row r="157" spans="2:228" x14ac:dyDescent="0.2">
      <c r="B157" s="27" t="s">
        <v>1387</v>
      </c>
      <c r="C157" s="26">
        <v>769.70881299999996</v>
      </c>
      <c r="D157" s="26">
        <v>-2.7657231000000002</v>
      </c>
      <c r="E157" s="26">
        <v>714.16866600000003</v>
      </c>
      <c r="F157" s="26">
        <v>0</v>
      </c>
      <c r="G157" s="26">
        <v>12.089826800000001</v>
      </c>
      <c r="H157" s="26">
        <v>0</v>
      </c>
      <c r="I157" s="26">
        <v>0</v>
      </c>
      <c r="J157" s="26">
        <v>0</v>
      </c>
      <c r="K157" s="26">
        <v>0</v>
      </c>
      <c r="L157" s="26">
        <v>0</v>
      </c>
      <c r="M157" s="26">
        <v>0</v>
      </c>
      <c r="N157" s="26">
        <v>0</v>
      </c>
      <c r="O157" s="26">
        <v>0</v>
      </c>
      <c r="P157" s="26">
        <v>0</v>
      </c>
      <c r="Q157" s="26">
        <v>0</v>
      </c>
      <c r="R157" s="26">
        <v>0</v>
      </c>
      <c r="S157" s="26">
        <v>0</v>
      </c>
      <c r="T157" s="26">
        <v>0</v>
      </c>
      <c r="U157" s="26">
        <v>0</v>
      </c>
      <c r="V157" s="26">
        <v>0</v>
      </c>
      <c r="W157" s="26">
        <v>0</v>
      </c>
      <c r="X157" s="26">
        <v>2.1715595699999999</v>
      </c>
      <c r="Y157" s="26">
        <v>0</v>
      </c>
      <c r="Z157" s="26">
        <v>0</v>
      </c>
      <c r="AA157" s="26">
        <v>0</v>
      </c>
      <c r="AB157" s="26">
        <v>0.29852735400000002</v>
      </c>
      <c r="AC157" s="26">
        <v>0</v>
      </c>
      <c r="AD157" s="26">
        <v>0</v>
      </c>
      <c r="AE157" s="26">
        <v>0</v>
      </c>
      <c r="AF157" s="26">
        <v>0</v>
      </c>
      <c r="AG157" s="26">
        <v>0</v>
      </c>
      <c r="AH157" s="26">
        <v>0</v>
      </c>
      <c r="AI157" s="26">
        <v>0</v>
      </c>
      <c r="AJ157" s="26">
        <v>0</v>
      </c>
      <c r="AK157" s="26">
        <v>0</v>
      </c>
      <c r="AL157" s="26">
        <v>0</v>
      </c>
      <c r="AM157" s="26">
        <v>7.4208687999999995E-2</v>
      </c>
      <c r="AN157" s="26">
        <v>4.5554876700000003E-3</v>
      </c>
      <c r="AO157" s="26">
        <v>9.5767089799999993E-3</v>
      </c>
      <c r="AP157" s="26">
        <v>0</v>
      </c>
      <c r="AQ157" s="26">
        <v>0</v>
      </c>
      <c r="AR157" s="26">
        <v>0</v>
      </c>
      <c r="AS157" s="26">
        <v>3.8822413600000001E-2</v>
      </c>
      <c r="AT157" s="26">
        <v>0</v>
      </c>
      <c r="AU157" s="26">
        <v>0</v>
      </c>
      <c r="AV157" s="26">
        <v>7.1190064899999994E-5</v>
      </c>
      <c r="AW157" s="26">
        <v>0</v>
      </c>
      <c r="AX157" s="26">
        <v>0</v>
      </c>
      <c r="AY157" s="26">
        <v>0</v>
      </c>
      <c r="AZ157" s="26">
        <v>0</v>
      </c>
      <c r="BA157" s="26">
        <v>0</v>
      </c>
      <c r="BB157" s="26">
        <v>0</v>
      </c>
      <c r="BC157" s="26">
        <v>0</v>
      </c>
      <c r="BD157" s="26">
        <v>0</v>
      </c>
      <c r="BE157" s="26">
        <v>0</v>
      </c>
      <c r="BF157" s="26">
        <v>0</v>
      </c>
      <c r="BG157" s="26">
        <v>0</v>
      </c>
      <c r="BH157" s="26">
        <v>0</v>
      </c>
      <c r="BI157" s="26">
        <v>0</v>
      </c>
      <c r="BJ157" s="26">
        <v>0</v>
      </c>
      <c r="BK157" s="26">
        <v>0</v>
      </c>
      <c r="BL157" s="26">
        <v>0</v>
      </c>
      <c r="BM157" s="26">
        <v>0</v>
      </c>
      <c r="BN157" s="26">
        <v>0</v>
      </c>
      <c r="BO157" s="26">
        <v>39.752758399999998</v>
      </c>
      <c r="BP157" s="26">
        <v>728.85581400000001</v>
      </c>
      <c r="BQ157" s="26">
        <v>12.1403847</v>
      </c>
      <c r="BR157" s="26">
        <v>28.089114499999994</v>
      </c>
      <c r="BS157" s="26">
        <v>2.0206894599999998</v>
      </c>
      <c r="BT157" s="26">
        <v>0</v>
      </c>
      <c r="BU157" s="26">
        <v>1</v>
      </c>
      <c r="BV157" s="26">
        <v>0</v>
      </c>
      <c r="BW157" s="26">
        <v>-68611.695800000001</v>
      </c>
      <c r="BX157" s="26">
        <v>-3742.17247</v>
      </c>
      <c r="BY157" s="26">
        <v>-2.7275041899999999</v>
      </c>
      <c r="BZ157" s="26">
        <v>-39.081129500000003</v>
      </c>
      <c r="CA157" s="26">
        <v>-2.1315363999999999</v>
      </c>
      <c r="CB157" s="26">
        <v>5.4573720899999997E-2</v>
      </c>
      <c r="CC157" s="26">
        <v>1.0005940600000001</v>
      </c>
      <c r="CD157" s="26">
        <v>18.334723</v>
      </c>
      <c r="CE157" s="26">
        <v>12.1443482</v>
      </c>
      <c r="CF157" s="26">
        <v>0</v>
      </c>
      <c r="CG157" s="26">
        <v>0</v>
      </c>
      <c r="CH157" s="26">
        <v>0</v>
      </c>
      <c r="CI157" s="26">
        <v>0</v>
      </c>
      <c r="CJ157" s="26">
        <v>0</v>
      </c>
      <c r="CK157" s="26">
        <v>0</v>
      </c>
      <c r="CL157" s="26">
        <v>0</v>
      </c>
      <c r="CM157" s="26">
        <v>0</v>
      </c>
      <c r="CN157" s="26">
        <v>0</v>
      </c>
      <c r="CO157" s="26">
        <v>0</v>
      </c>
      <c r="CP157" s="26">
        <v>0</v>
      </c>
      <c r="CQ157" s="26">
        <v>0</v>
      </c>
      <c r="CR157" s="26">
        <v>0</v>
      </c>
      <c r="CS157" s="26">
        <v>0</v>
      </c>
      <c r="CT157" s="26">
        <v>0</v>
      </c>
      <c r="CU157" s="26">
        <v>0</v>
      </c>
      <c r="CV157" s="26">
        <v>0</v>
      </c>
      <c r="CW157" s="26">
        <v>0</v>
      </c>
      <c r="CX157" s="26">
        <v>0</v>
      </c>
      <c r="CY157" s="26">
        <v>0</v>
      </c>
      <c r="CZ157" s="26">
        <v>0</v>
      </c>
      <c r="DA157" s="26">
        <v>0</v>
      </c>
      <c r="DB157" s="26">
        <v>0</v>
      </c>
      <c r="DC157" s="26">
        <v>0</v>
      </c>
      <c r="DD157" s="26">
        <v>0</v>
      </c>
      <c r="DE157" s="26">
        <v>0</v>
      </c>
      <c r="DF157" s="26">
        <v>0</v>
      </c>
      <c r="DG157" s="26">
        <v>0</v>
      </c>
      <c r="DH157" s="26">
        <v>0</v>
      </c>
      <c r="DI157" s="26">
        <v>0</v>
      </c>
      <c r="DJ157" s="26">
        <v>0</v>
      </c>
      <c r="DK157" s="26">
        <v>0</v>
      </c>
      <c r="DL157" s="26">
        <v>0</v>
      </c>
      <c r="DM157" s="26">
        <v>0</v>
      </c>
      <c r="DN157" s="26">
        <v>0</v>
      </c>
      <c r="DO157" s="26">
        <v>0</v>
      </c>
      <c r="DP157" s="26">
        <v>0</v>
      </c>
      <c r="DQ157" s="26">
        <v>0</v>
      </c>
      <c r="DR157" s="26">
        <v>0</v>
      </c>
      <c r="DS157" s="26">
        <v>0</v>
      </c>
      <c r="DT157" s="26">
        <v>0</v>
      </c>
      <c r="DU157" s="26">
        <v>0</v>
      </c>
      <c r="DV157" s="26">
        <v>0</v>
      </c>
      <c r="DW157" s="26">
        <v>0</v>
      </c>
      <c r="DX157" s="26">
        <v>0</v>
      </c>
      <c r="DY157" s="26">
        <v>0</v>
      </c>
      <c r="DZ157" s="26">
        <v>0</v>
      </c>
      <c r="EA157" s="26">
        <v>0</v>
      </c>
      <c r="EB157" s="26">
        <v>0</v>
      </c>
      <c r="EC157" s="26">
        <v>0</v>
      </c>
      <c r="ED157" s="26">
        <v>0</v>
      </c>
      <c r="EE157" s="26">
        <v>2.1935085499999998</v>
      </c>
      <c r="EF157" s="26">
        <v>0</v>
      </c>
      <c r="EG157" s="26">
        <v>1.5108883200000001</v>
      </c>
      <c r="EH157" s="26">
        <v>3.21483506</v>
      </c>
      <c r="EI157" s="26">
        <v>0</v>
      </c>
      <c r="EJ157" s="26">
        <v>33.933767400000001</v>
      </c>
      <c r="EK157" s="26">
        <v>0</v>
      </c>
      <c r="EL157" s="26">
        <v>0</v>
      </c>
      <c r="EM157" s="26">
        <v>0</v>
      </c>
      <c r="EN157" s="26">
        <v>0</v>
      </c>
      <c r="EO157" s="26">
        <v>0</v>
      </c>
      <c r="EP157" s="26">
        <v>1.7173844300000001</v>
      </c>
      <c r="EQ157" s="26">
        <v>40.8529993</v>
      </c>
      <c r="ER157" s="26">
        <v>0.441956128</v>
      </c>
      <c r="ES157" s="26">
        <v>28.089114499999994</v>
      </c>
      <c r="ET157" s="26">
        <v>2.0206894599999998</v>
      </c>
      <c r="EU157" s="26">
        <v>0</v>
      </c>
      <c r="EV157" s="26">
        <v>0</v>
      </c>
      <c r="EW157" s="26">
        <v>1</v>
      </c>
      <c r="EX157" s="26">
        <v>-22254.139599999999</v>
      </c>
      <c r="EY157" s="26">
        <v>-935.52281400000004</v>
      </c>
      <c r="EZ157" s="26">
        <v>-3.8218913200000003E-2</v>
      </c>
      <c r="FA157" s="26">
        <v>-73.377482099999995</v>
      </c>
      <c r="FB157" s="26">
        <v>-3.0846534499999998</v>
      </c>
      <c r="FC157" s="26">
        <v>6.4764513400000001E-2</v>
      </c>
      <c r="FD157" s="26">
        <v>1.5406129099999999</v>
      </c>
      <c r="FE157" s="26">
        <v>23.7879176</v>
      </c>
      <c r="FF157" s="26">
        <v>0</v>
      </c>
      <c r="FG157" s="26">
        <v>9.42464898E-2</v>
      </c>
      <c r="FH157" s="26">
        <v>-3218983.2313100002</v>
      </c>
      <c r="FI157" s="26">
        <v>1.3349291967905446E-4</v>
      </c>
      <c r="FJ157" s="26">
        <v>0</v>
      </c>
      <c r="FK157" s="26">
        <v>0</v>
      </c>
      <c r="FL157" s="26">
        <v>0</v>
      </c>
      <c r="FM157" s="26">
        <v>0</v>
      </c>
      <c r="FN157" s="26">
        <v>0</v>
      </c>
      <c r="FO157" s="26">
        <v>0</v>
      </c>
      <c r="FP157" s="26">
        <v>0</v>
      </c>
      <c r="FQ157" s="26">
        <v>0</v>
      </c>
      <c r="FR157" s="26">
        <v>0</v>
      </c>
      <c r="FS157" s="26">
        <v>0</v>
      </c>
      <c r="FT157" s="26">
        <v>0</v>
      </c>
      <c r="FU157" s="26">
        <v>0</v>
      </c>
      <c r="FV157" s="26">
        <v>0</v>
      </c>
      <c r="FW157" s="26">
        <v>0</v>
      </c>
      <c r="FX157" s="26">
        <v>0</v>
      </c>
      <c r="FY157" s="26">
        <v>0</v>
      </c>
      <c r="FZ157" s="26">
        <v>0</v>
      </c>
      <c r="GA157" s="26">
        <v>0</v>
      </c>
      <c r="GB157" s="26">
        <v>0</v>
      </c>
      <c r="GC157" s="26">
        <v>0</v>
      </c>
      <c r="GD157" s="26">
        <v>0</v>
      </c>
      <c r="GE157" s="26">
        <v>0</v>
      </c>
      <c r="GF157" s="26">
        <v>0</v>
      </c>
      <c r="GG157" s="26">
        <v>0</v>
      </c>
      <c r="GH157" s="26">
        <v>0</v>
      </c>
      <c r="GI157" s="26">
        <v>0</v>
      </c>
      <c r="GJ157" s="26">
        <v>0</v>
      </c>
      <c r="GK157" s="26">
        <v>0</v>
      </c>
      <c r="GL157" s="26">
        <v>0</v>
      </c>
      <c r="GM157" s="26">
        <v>0</v>
      </c>
      <c r="GN157" s="26">
        <v>0</v>
      </c>
      <c r="GO157" s="26">
        <v>0</v>
      </c>
      <c r="GP157" s="26">
        <v>0</v>
      </c>
      <c r="GQ157" s="26">
        <v>0</v>
      </c>
      <c r="GR157" s="26">
        <v>0</v>
      </c>
      <c r="GS157" s="26">
        <v>0</v>
      </c>
      <c r="GT157" s="26">
        <v>0</v>
      </c>
      <c r="GU157" s="26">
        <v>0</v>
      </c>
      <c r="GV157" s="26">
        <v>0</v>
      </c>
      <c r="GW157" s="26">
        <v>0</v>
      </c>
      <c r="GX157" s="26">
        <v>0</v>
      </c>
      <c r="GY157" s="26">
        <v>0</v>
      </c>
      <c r="GZ157" s="26">
        <v>0</v>
      </c>
      <c r="HA157" s="26">
        <v>0</v>
      </c>
      <c r="HB157" s="26">
        <v>0</v>
      </c>
      <c r="HC157" s="26">
        <v>0</v>
      </c>
      <c r="HD157" s="26">
        <v>0</v>
      </c>
      <c r="HE157" s="26">
        <v>0</v>
      </c>
      <c r="HF157" s="26">
        <v>0</v>
      </c>
      <c r="HG157" s="26">
        <v>0</v>
      </c>
      <c r="HH157" s="26">
        <v>0</v>
      </c>
      <c r="HI157" s="26">
        <v>0</v>
      </c>
      <c r="HJ157" s="26">
        <v>0</v>
      </c>
      <c r="HK157" s="26">
        <v>0</v>
      </c>
      <c r="HL157" s="26">
        <v>0</v>
      </c>
      <c r="HM157" s="26">
        <v>0</v>
      </c>
      <c r="HN157" s="26">
        <v>0</v>
      </c>
      <c r="HO157" s="26">
        <v>0</v>
      </c>
      <c r="HP157" s="26">
        <v>0</v>
      </c>
      <c r="HQ157" s="26">
        <v>0</v>
      </c>
      <c r="HR157" s="26">
        <v>0</v>
      </c>
      <c r="HS157" s="26">
        <v>0</v>
      </c>
      <c r="HT157" s="26">
        <v>4.7705123437196545E-4</v>
      </c>
    </row>
    <row r="158" spans="2:228" x14ac:dyDescent="0.2">
      <c r="B158" s="27" t="s">
        <v>1365</v>
      </c>
      <c r="C158" s="26">
        <v>15011.2119</v>
      </c>
      <c r="D158" s="26">
        <v>-51.252685399999997</v>
      </c>
      <c r="E158" s="26">
        <v>12631.497499999999</v>
      </c>
      <c r="F158" s="26">
        <v>0</v>
      </c>
      <c r="G158" s="26">
        <v>2297.06709</v>
      </c>
      <c r="H158" s="26">
        <v>0</v>
      </c>
      <c r="I158" s="26">
        <v>0</v>
      </c>
      <c r="J158" s="26">
        <v>0</v>
      </c>
      <c r="K158" s="26">
        <v>0</v>
      </c>
      <c r="L158" s="26">
        <v>0</v>
      </c>
      <c r="M158" s="26">
        <v>0</v>
      </c>
      <c r="N158" s="26">
        <v>0</v>
      </c>
      <c r="O158" s="26">
        <v>0</v>
      </c>
      <c r="P158" s="26">
        <v>0</v>
      </c>
      <c r="Q158" s="26">
        <v>0</v>
      </c>
      <c r="R158" s="26">
        <v>0</v>
      </c>
      <c r="S158" s="26">
        <v>0</v>
      </c>
      <c r="T158" s="26">
        <v>0</v>
      </c>
      <c r="U158" s="26">
        <v>0</v>
      </c>
      <c r="V158" s="26">
        <v>0</v>
      </c>
      <c r="W158" s="26">
        <v>0</v>
      </c>
      <c r="X158" s="26">
        <v>4.2973486200000002</v>
      </c>
      <c r="Y158" s="26">
        <v>0</v>
      </c>
      <c r="Z158" s="26">
        <v>0</v>
      </c>
      <c r="AA158" s="26">
        <v>0</v>
      </c>
      <c r="AB158" s="26">
        <v>2.1244624100000001E-2</v>
      </c>
      <c r="AC158" s="26">
        <v>0</v>
      </c>
      <c r="AD158" s="26">
        <v>0</v>
      </c>
      <c r="AE158" s="26">
        <v>0</v>
      </c>
      <c r="AF158" s="26">
        <v>0</v>
      </c>
      <c r="AG158" s="26">
        <v>0</v>
      </c>
      <c r="AH158" s="26">
        <v>0</v>
      </c>
      <c r="AI158" s="26">
        <v>0</v>
      </c>
      <c r="AJ158" s="26">
        <v>0</v>
      </c>
      <c r="AK158" s="26">
        <v>0</v>
      </c>
      <c r="AL158" s="26">
        <v>0</v>
      </c>
      <c r="AM158" s="26">
        <v>1.4099650699999999</v>
      </c>
      <c r="AN158" s="26">
        <v>8.31950945E-3</v>
      </c>
      <c r="AO158" s="26">
        <v>1.84421424E-2</v>
      </c>
      <c r="AP158" s="26">
        <v>0</v>
      </c>
      <c r="AQ158" s="26">
        <v>0</v>
      </c>
      <c r="AR158" s="26">
        <v>0</v>
      </c>
      <c r="AS158" s="26">
        <v>9.0059992899999997E-2</v>
      </c>
      <c r="AT158" s="26">
        <v>0</v>
      </c>
      <c r="AU158" s="26">
        <v>0</v>
      </c>
      <c r="AV158" s="26">
        <v>2.28537539E-4</v>
      </c>
      <c r="AW158" s="26">
        <v>0</v>
      </c>
      <c r="AX158" s="26">
        <v>0</v>
      </c>
      <c r="AY158" s="26">
        <v>0</v>
      </c>
      <c r="AZ158" s="26">
        <v>0</v>
      </c>
      <c r="BA158" s="26">
        <v>0</v>
      </c>
      <c r="BB158" s="26">
        <v>0</v>
      </c>
      <c r="BC158" s="26">
        <v>0</v>
      </c>
      <c r="BD158" s="26">
        <v>0</v>
      </c>
      <c r="BE158" s="26">
        <v>0</v>
      </c>
      <c r="BF158" s="26">
        <v>0</v>
      </c>
      <c r="BG158" s="26">
        <v>0</v>
      </c>
      <c r="BH158" s="26">
        <v>0</v>
      </c>
      <c r="BI158" s="26">
        <v>0</v>
      </c>
      <c r="BJ158" s="26">
        <v>0</v>
      </c>
      <c r="BK158" s="26">
        <v>0</v>
      </c>
      <c r="BL158" s="26">
        <v>0</v>
      </c>
      <c r="BM158" s="26">
        <v>0</v>
      </c>
      <c r="BN158" s="26">
        <v>0</v>
      </c>
      <c r="BO158" s="26">
        <v>713.96188800000004</v>
      </c>
      <c r="BP158" s="26">
        <v>14934.4102</v>
      </c>
      <c r="BQ158" s="26">
        <v>237.15288799999999</v>
      </c>
      <c r="BR158" s="26">
        <v>62.107559400000014</v>
      </c>
      <c r="BS158" s="26">
        <v>3.0413789199999997</v>
      </c>
      <c r="BT158" s="26">
        <v>0</v>
      </c>
      <c r="BU158" s="26">
        <v>1</v>
      </c>
      <c r="BV158" s="26">
        <v>0</v>
      </c>
      <c r="BW158" s="26">
        <v>-71703.742400000003</v>
      </c>
      <c r="BX158" s="26">
        <v>-3427.90499</v>
      </c>
      <c r="BY158" s="26">
        <v>-51.193739800000003</v>
      </c>
      <c r="BZ158" s="26">
        <v>-40.507018199999997</v>
      </c>
      <c r="CA158" s="26">
        <v>-1.93649878</v>
      </c>
      <c r="CB158" s="26">
        <v>5.0175921499999998E-2</v>
      </c>
      <c r="CC158" s="26">
        <v>1.04956274</v>
      </c>
      <c r="CD158" s="26">
        <v>20.917657500000001</v>
      </c>
      <c r="CE158" s="26">
        <v>243.45013700000001</v>
      </c>
      <c r="CF158" s="26">
        <v>0</v>
      </c>
      <c r="CG158" s="26">
        <v>0</v>
      </c>
      <c r="CH158" s="26">
        <v>0</v>
      </c>
      <c r="CI158" s="26">
        <v>0</v>
      </c>
      <c r="CJ158" s="26">
        <v>0</v>
      </c>
      <c r="CK158" s="26">
        <v>0</v>
      </c>
      <c r="CL158" s="26">
        <v>0</v>
      </c>
      <c r="CM158" s="26">
        <v>0</v>
      </c>
      <c r="CN158" s="26">
        <v>0</v>
      </c>
      <c r="CO158" s="26">
        <v>0</v>
      </c>
      <c r="CP158" s="26">
        <v>0</v>
      </c>
      <c r="CQ158" s="26">
        <v>0</v>
      </c>
      <c r="CR158" s="26">
        <v>0</v>
      </c>
      <c r="CS158" s="26">
        <v>0</v>
      </c>
      <c r="CT158" s="26">
        <v>0</v>
      </c>
      <c r="CU158" s="26">
        <v>0</v>
      </c>
      <c r="CV158" s="26">
        <v>0</v>
      </c>
      <c r="CW158" s="26">
        <v>0</v>
      </c>
      <c r="CX158" s="26">
        <v>0</v>
      </c>
      <c r="CY158" s="26">
        <v>0</v>
      </c>
      <c r="CZ158" s="26">
        <v>0</v>
      </c>
      <c r="DA158" s="26">
        <v>0</v>
      </c>
      <c r="DB158" s="26">
        <v>0</v>
      </c>
      <c r="DC158" s="26">
        <v>0</v>
      </c>
      <c r="DD158" s="26">
        <v>0</v>
      </c>
      <c r="DE158" s="26">
        <v>0</v>
      </c>
      <c r="DF158" s="26">
        <v>0</v>
      </c>
      <c r="DG158" s="26">
        <v>0</v>
      </c>
      <c r="DH158" s="26">
        <v>0</v>
      </c>
      <c r="DI158" s="26">
        <v>0</v>
      </c>
      <c r="DJ158" s="26">
        <v>0</v>
      </c>
      <c r="DK158" s="26">
        <v>0</v>
      </c>
      <c r="DL158" s="26">
        <v>0</v>
      </c>
      <c r="DM158" s="26">
        <v>0</v>
      </c>
      <c r="DN158" s="26">
        <v>0</v>
      </c>
      <c r="DO158" s="26">
        <v>0</v>
      </c>
      <c r="DP158" s="26">
        <v>0</v>
      </c>
      <c r="DQ158" s="26">
        <v>0</v>
      </c>
      <c r="DR158" s="26">
        <v>0</v>
      </c>
      <c r="DS158" s="26">
        <v>0</v>
      </c>
      <c r="DT158" s="26">
        <v>0</v>
      </c>
      <c r="DU158" s="26">
        <v>0</v>
      </c>
      <c r="DV158" s="26">
        <v>0</v>
      </c>
      <c r="DW158" s="26">
        <v>0</v>
      </c>
      <c r="DX158" s="26">
        <v>0</v>
      </c>
      <c r="DY158" s="26">
        <v>0</v>
      </c>
      <c r="DZ158" s="26">
        <v>0</v>
      </c>
      <c r="EA158" s="26">
        <v>0</v>
      </c>
      <c r="EB158" s="26">
        <v>0</v>
      </c>
      <c r="EC158" s="26">
        <v>0</v>
      </c>
      <c r="ED158" s="26">
        <v>0</v>
      </c>
      <c r="EE158" s="26">
        <v>4.3406368000000004</v>
      </c>
      <c r="EF158" s="26">
        <v>0</v>
      </c>
      <c r="EG158" s="26">
        <v>0</v>
      </c>
      <c r="EH158" s="26">
        <v>61.081866099999999</v>
      </c>
      <c r="EI158" s="26">
        <v>0</v>
      </c>
      <c r="EJ158" s="26">
        <v>11.3791241</v>
      </c>
      <c r="EK158" s="26">
        <v>0</v>
      </c>
      <c r="EL158" s="26">
        <v>0</v>
      </c>
      <c r="EM158" s="26">
        <v>0</v>
      </c>
      <c r="EN158" s="26">
        <v>0</v>
      </c>
      <c r="EO158" s="26">
        <v>0</v>
      </c>
      <c r="EP158" s="26">
        <v>3.2111782500000001</v>
      </c>
      <c r="EQ158" s="26">
        <v>76.801626999999996</v>
      </c>
      <c r="ER158" s="26">
        <v>0.81580738699999999</v>
      </c>
      <c r="ES158" s="26">
        <v>62.107559400000014</v>
      </c>
      <c r="ET158" s="26">
        <v>3.0413789199999997</v>
      </c>
      <c r="EU158" s="26">
        <v>0</v>
      </c>
      <c r="EV158" s="26">
        <v>0</v>
      </c>
      <c r="EW158" s="26">
        <v>1</v>
      </c>
      <c r="EX158" s="26">
        <v>-18356.386299999998</v>
      </c>
      <c r="EY158" s="26">
        <v>-767.50494200000003</v>
      </c>
      <c r="EZ158" s="26">
        <v>-5.8945628700000002E-2</v>
      </c>
      <c r="FA158" s="26">
        <v>-60.366612600000003</v>
      </c>
      <c r="FB158" s="26">
        <v>-2.5240084199999999</v>
      </c>
      <c r="FC158" s="26">
        <v>6.5603275599999997E-2</v>
      </c>
      <c r="FD158" s="26">
        <v>1.5690310300000001</v>
      </c>
      <c r="FE158" s="26">
        <v>23.916961700000002</v>
      </c>
      <c r="FF158" s="26">
        <v>0</v>
      </c>
      <c r="FG158" s="26">
        <v>0.17068159499999999</v>
      </c>
      <c r="FH158" s="26">
        <v>-60174567.263499998</v>
      </c>
      <c r="FI158" s="26">
        <v>2.131580642052645E-2</v>
      </c>
      <c r="FJ158" s="26">
        <v>0</v>
      </c>
      <c r="FK158" s="26">
        <v>0</v>
      </c>
      <c r="FL158" s="26">
        <v>0</v>
      </c>
      <c r="FM158" s="26">
        <v>0</v>
      </c>
      <c r="FN158" s="26">
        <v>0</v>
      </c>
      <c r="FO158" s="26">
        <v>0</v>
      </c>
      <c r="FP158" s="26">
        <v>0</v>
      </c>
      <c r="FQ158" s="26">
        <v>0</v>
      </c>
      <c r="FR158" s="26">
        <v>0</v>
      </c>
      <c r="FS158" s="26">
        <v>0</v>
      </c>
      <c r="FT158" s="26">
        <v>0</v>
      </c>
      <c r="FU158" s="26">
        <v>0</v>
      </c>
      <c r="FV158" s="26">
        <v>0</v>
      </c>
      <c r="FW158" s="26">
        <v>0</v>
      </c>
      <c r="FX158" s="26">
        <v>0</v>
      </c>
      <c r="FY158" s="26">
        <v>0</v>
      </c>
      <c r="FZ158" s="26">
        <v>0</v>
      </c>
      <c r="GA158" s="26">
        <v>0</v>
      </c>
      <c r="GB158" s="26">
        <v>0</v>
      </c>
      <c r="GC158" s="26">
        <v>0</v>
      </c>
      <c r="GD158" s="26">
        <v>0</v>
      </c>
      <c r="GE158" s="26">
        <v>0</v>
      </c>
      <c r="GF158" s="26">
        <v>0</v>
      </c>
      <c r="GG158" s="26">
        <v>0</v>
      </c>
      <c r="GH158" s="26">
        <v>0</v>
      </c>
      <c r="GI158" s="26">
        <v>0</v>
      </c>
      <c r="GJ158" s="26">
        <v>0</v>
      </c>
      <c r="GK158" s="26">
        <v>0</v>
      </c>
      <c r="GL158" s="26">
        <v>0</v>
      </c>
      <c r="GM158" s="26">
        <v>0</v>
      </c>
      <c r="GN158" s="26">
        <v>0</v>
      </c>
      <c r="GO158" s="26">
        <v>0</v>
      </c>
      <c r="GP158" s="26">
        <v>0</v>
      </c>
      <c r="GQ158" s="26">
        <v>0</v>
      </c>
      <c r="GR158" s="26">
        <v>0</v>
      </c>
      <c r="GS158" s="26">
        <v>0</v>
      </c>
      <c r="GT158" s="26">
        <v>0</v>
      </c>
      <c r="GU158" s="26">
        <v>0</v>
      </c>
      <c r="GV158" s="26">
        <v>0</v>
      </c>
      <c r="GW158" s="26">
        <v>0</v>
      </c>
      <c r="GX158" s="26">
        <v>0</v>
      </c>
      <c r="GY158" s="26">
        <v>0</v>
      </c>
      <c r="GZ158" s="26">
        <v>0</v>
      </c>
      <c r="HA158" s="26">
        <v>0</v>
      </c>
      <c r="HB158" s="26">
        <v>0</v>
      </c>
      <c r="HC158" s="26">
        <v>0</v>
      </c>
      <c r="HD158" s="26">
        <v>0</v>
      </c>
      <c r="HE158" s="26">
        <v>0</v>
      </c>
      <c r="HF158" s="26">
        <v>0</v>
      </c>
      <c r="HG158" s="26">
        <v>0</v>
      </c>
      <c r="HH158" s="26">
        <v>0</v>
      </c>
      <c r="HI158" s="26">
        <v>0</v>
      </c>
      <c r="HJ158" s="26">
        <v>0</v>
      </c>
      <c r="HK158" s="26">
        <v>0</v>
      </c>
      <c r="HL158" s="26">
        <v>0</v>
      </c>
      <c r="HM158" s="26">
        <v>0</v>
      </c>
      <c r="HN158" s="26">
        <v>0</v>
      </c>
      <c r="HO158" s="26">
        <v>0</v>
      </c>
      <c r="HP158" s="26">
        <v>0</v>
      </c>
      <c r="HQ158" s="26">
        <v>0</v>
      </c>
      <c r="HR158" s="26">
        <v>0</v>
      </c>
      <c r="HS158" s="26">
        <v>0</v>
      </c>
      <c r="HT158" s="26">
        <v>8.9199396546928514E-4</v>
      </c>
    </row>
    <row r="159" spans="2:228" x14ac:dyDescent="0.2">
      <c r="B159" s="27" t="s">
        <v>2408</v>
      </c>
      <c r="C159" s="26">
        <v>15780.920699999999</v>
      </c>
      <c r="D159" s="26">
        <v>-54.0184085</v>
      </c>
      <c r="E159" s="26">
        <v>13345.6662</v>
      </c>
      <c r="F159" s="26">
        <v>0</v>
      </c>
      <c r="G159" s="26">
        <v>2309.1569199999999</v>
      </c>
      <c r="H159" s="26">
        <v>0</v>
      </c>
      <c r="I159" s="26">
        <v>0</v>
      </c>
      <c r="J159" s="26">
        <v>0</v>
      </c>
      <c r="K159" s="26">
        <v>0</v>
      </c>
      <c r="L159" s="26">
        <v>0</v>
      </c>
      <c r="M159" s="26">
        <v>0</v>
      </c>
      <c r="N159" s="26">
        <v>0</v>
      </c>
      <c r="O159" s="26">
        <v>0</v>
      </c>
      <c r="P159" s="26">
        <v>0</v>
      </c>
      <c r="Q159" s="26">
        <v>0</v>
      </c>
      <c r="R159" s="26">
        <v>0</v>
      </c>
      <c r="S159" s="26">
        <v>0</v>
      </c>
      <c r="T159" s="26">
        <v>0</v>
      </c>
      <c r="U159" s="26">
        <v>0</v>
      </c>
      <c r="V159" s="26">
        <v>0</v>
      </c>
      <c r="W159" s="26">
        <v>0</v>
      </c>
      <c r="X159" s="26">
        <v>6.4689081799999997</v>
      </c>
      <c r="Y159" s="26">
        <v>0</v>
      </c>
      <c r="Z159" s="26">
        <v>0</v>
      </c>
      <c r="AA159" s="26">
        <v>0</v>
      </c>
      <c r="AB159" s="26">
        <v>0.31977197800000001</v>
      </c>
      <c r="AC159" s="26">
        <v>0</v>
      </c>
      <c r="AD159" s="26">
        <v>0</v>
      </c>
      <c r="AE159" s="26">
        <v>0</v>
      </c>
      <c r="AF159" s="26">
        <v>0</v>
      </c>
      <c r="AG159" s="26">
        <v>0</v>
      </c>
      <c r="AH159" s="26">
        <v>0</v>
      </c>
      <c r="AI159" s="26">
        <v>0</v>
      </c>
      <c r="AJ159" s="26">
        <v>0</v>
      </c>
      <c r="AK159" s="26">
        <v>0</v>
      </c>
      <c r="AL159" s="26">
        <v>0</v>
      </c>
      <c r="AM159" s="26">
        <v>1.48417376</v>
      </c>
      <c r="AN159" s="26">
        <v>1.28749971E-2</v>
      </c>
      <c r="AO159" s="26">
        <v>2.8018851400000003E-2</v>
      </c>
      <c r="AP159" s="26">
        <v>0</v>
      </c>
      <c r="AQ159" s="26">
        <v>0</v>
      </c>
      <c r="AR159" s="26">
        <v>0</v>
      </c>
      <c r="AS159" s="26">
        <v>0.128882406</v>
      </c>
      <c r="AT159" s="26">
        <v>0</v>
      </c>
      <c r="AU159" s="26">
        <v>0</v>
      </c>
      <c r="AV159" s="26">
        <v>2.9972760399999998E-4</v>
      </c>
      <c r="AW159" s="26">
        <v>0</v>
      </c>
      <c r="AX159" s="26">
        <v>0</v>
      </c>
      <c r="AY159" s="26">
        <v>0</v>
      </c>
      <c r="AZ159" s="26">
        <v>0</v>
      </c>
      <c r="BA159" s="26">
        <v>0</v>
      </c>
      <c r="BB159" s="26">
        <v>0</v>
      </c>
      <c r="BC159" s="26">
        <v>0</v>
      </c>
      <c r="BD159" s="26">
        <v>0</v>
      </c>
      <c r="BE159" s="26">
        <v>0</v>
      </c>
      <c r="BF159" s="26">
        <v>0</v>
      </c>
      <c r="BG159" s="26">
        <v>0</v>
      </c>
      <c r="BH159" s="26">
        <v>0</v>
      </c>
      <c r="BI159" s="26">
        <v>0</v>
      </c>
      <c r="BJ159" s="26">
        <v>0</v>
      </c>
      <c r="BK159" s="26">
        <v>0</v>
      </c>
      <c r="BL159" s="26">
        <v>0</v>
      </c>
      <c r="BM159" s="26">
        <v>0</v>
      </c>
      <c r="BN159" s="26">
        <v>0</v>
      </c>
      <c r="BO159" s="26">
        <v>753.71464700000001</v>
      </c>
      <c r="BP159" s="26">
        <v>15663.265999999998</v>
      </c>
      <c r="BQ159" s="26">
        <v>249.300445</v>
      </c>
      <c r="BR159" s="26">
        <v>60.437183500000003</v>
      </c>
      <c r="BS159" s="26">
        <v>2.0206894599999998</v>
      </c>
      <c r="BT159" s="26">
        <v>0</v>
      </c>
      <c r="BU159" s="26">
        <v>1</v>
      </c>
      <c r="BV159" s="26">
        <v>0</v>
      </c>
      <c r="BW159" s="26">
        <v>-71541.230899999995</v>
      </c>
      <c r="BX159" s="26">
        <v>-3442.5562</v>
      </c>
      <c r="BY159" s="26">
        <v>-53.921674000000003</v>
      </c>
      <c r="BZ159" s="26">
        <v>-40.427928100000003</v>
      </c>
      <c r="CA159" s="26">
        <v>-1.9453874799999999</v>
      </c>
      <c r="CB159" s="26">
        <v>5.0388641099999999E-2</v>
      </c>
      <c r="CC159" s="26">
        <v>1.04714788</v>
      </c>
      <c r="CD159" s="26">
        <v>20.7814272</v>
      </c>
      <c r="CE159" s="26">
        <v>255.59448499999999</v>
      </c>
      <c r="CF159" s="26">
        <v>0</v>
      </c>
      <c r="CG159" s="26">
        <v>0</v>
      </c>
      <c r="CH159" s="26">
        <v>0</v>
      </c>
      <c r="CI159" s="26">
        <v>0</v>
      </c>
      <c r="CJ159" s="26">
        <v>0</v>
      </c>
      <c r="CK159" s="26">
        <v>0</v>
      </c>
      <c r="CL159" s="26">
        <v>0</v>
      </c>
      <c r="CM159" s="26">
        <v>0</v>
      </c>
      <c r="CN159" s="26">
        <v>0</v>
      </c>
      <c r="CO159" s="26">
        <v>0</v>
      </c>
      <c r="CP159" s="26">
        <v>0</v>
      </c>
      <c r="CQ159" s="26">
        <v>0</v>
      </c>
      <c r="CR159" s="26">
        <v>0</v>
      </c>
      <c r="CS159" s="26">
        <v>0</v>
      </c>
      <c r="CT159" s="26">
        <v>0</v>
      </c>
      <c r="CU159" s="26">
        <v>0</v>
      </c>
      <c r="CV159" s="26">
        <v>0</v>
      </c>
      <c r="CW159" s="26">
        <v>0</v>
      </c>
      <c r="CX159" s="26">
        <v>0</v>
      </c>
      <c r="CY159" s="26">
        <v>0</v>
      </c>
      <c r="CZ159" s="26">
        <v>0</v>
      </c>
      <c r="DA159" s="26">
        <v>0</v>
      </c>
      <c r="DB159" s="26">
        <v>0</v>
      </c>
      <c r="DC159" s="26">
        <v>0</v>
      </c>
      <c r="DD159" s="26">
        <v>0</v>
      </c>
      <c r="DE159" s="26">
        <v>0</v>
      </c>
      <c r="DF159" s="26">
        <v>0</v>
      </c>
      <c r="DG159" s="26">
        <v>0</v>
      </c>
      <c r="DH159" s="26">
        <v>0</v>
      </c>
      <c r="DI159" s="26">
        <v>0</v>
      </c>
      <c r="DJ159" s="26">
        <v>0</v>
      </c>
      <c r="DK159" s="26">
        <v>0</v>
      </c>
      <c r="DL159" s="26">
        <v>0</v>
      </c>
      <c r="DM159" s="26">
        <v>0</v>
      </c>
      <c r="DN159" s="26">
        <v>0</v>
      </c>
      <c r="DO159" s="26">
        <v>0</v>
      </c>
      <c r="DP159" s="26">
        <v>0</v>
      </c>
      <c r="DQ159" s="26">
        <v>0</v>
      </c>
      <c r="DR159" s="26">
        <v>0</v>
      </c>
      <c r="DS159" s="26">
        <v>0</v>
      </c>
      <c r="DT159" s="26">
        <v>0</v>
      </c>
      <c r="DU159" s="26">
        <v>0</v>
      </c>
      <c r="DV159" s="26">
        <v>0</v>
      </c>
      <c r="DW159" s="26">
        <v>0</v>
      </c>
      <c r="DX159" s="26">
        <v>0</v>
      </c>
      <c r="DY159" s="26">
        <v>0</v>
      </c>
      <c r="DZ159" s="26">
        <v>0</v>
      </c>
      <c r="EA159" s="26">
        <v>0</v>
      </c>
      <c r="EB159" s="26">
        <v>0</v>
      </c>
      <c r="EC159" s="26">
        <v>0</v>
      </c>
      <c r="ED159" s="26">
        <v>0</v>
      </c>
      <c r="EE159" s="26">
        <v>6.5341453500000002</v>
      </c>
      <c r="EF159" s="26">
        <v>0</v>
      </c>
      <c r="EG159" s="26">
        <v>1.5108883200000001</v>
      </c>
      <c r="EH159" s="26">
        <v>64.296701200000001</v>
      </c>
      <c r="EI159" s="26">
        <v>0</v>
      </c>
      <c r="EJ159" s="26">
        <v>45.312891499999999</v>
      </c>
      <c r="EK159" s="26">
        <v>0</v>
      </c>
      <c r="EL159" s="26">
        <v>0</v>
      </c>
      <c r="EM159" s="26">
        <v>0</v>
      </c>
      <c r="EN159" s="26">
        <v>0</v>
      </c>
      <c r="EO159" s="26">
        <v>0</v>
      </c>
      <c r="EP159" s="26">
        <v>4.9285626799999998</v>
      </c>
      <c r="EQ159" s="26">
        <v>117.65462599999999</v>
      </c>
      <c r="ER159" s="26">
        <v>1.25776351</v>
      </c>
      <c r="ES159" s="26">
        <v>60.437183500000003</v>
      </c>
      <c r="ET159" s="26">
        <v>2.0206894599999998</v>
      </c>
      <c r="EU159" s="26">
        <v>0</v>
      </c>
      <c r="EV159" s="26">
        <v>0</v>
      </c>
      <c r="EW159" s="26">
        <v>1</v>
      </c>
      <c r="EX159" s="26">
        <v>-19627.325499999999</v>
      </c>
      <c r="EY159" s="26">
        <v>-822.19039599999996</v>
      </c>
      <c r="EZ159" s="26">
        <v>-9.6734504599999993E-2</v>
      </c>
      <c r="FA159" s="26">
        <v>-64.0595316</v>
      </c>
      <c r="FB159" s="26">
        <v>-2.6834594300000001</v>
      </c>
      <c r="FC159" s="26">
        <v>6.5308549199999996E-2</v>
      </c>
      <c r="FD159" s="26">
        <v>1.5590454</v>
      </c>
      <c r="FE159" s="26">
        <v>23.871995500000001</v>
      </c>
      <c r="FF159" s="26">
        <v>0</v>
      </c>
      <c r="FG159" s="26">
        <v>0.16695349900000001</v>
      </c>
      <c r="FH159" s="26">
        <v>-63393547.389599994</v>
      </c>
      <c r="FI159" s="26">
        <v>2.1449299338261063E-2</v>
      </c>
      <c r="FJ159" s="26">
        <v>0</v>
      </c>
      <c r="FK159" s="26">
        <v>0</v>
      </c>
      <c r="FL159" s="26">
        <v>0</v>
      </c>
      <c r="FM159" s="26">
        <v>0</v>
      </c>
      <c r="FN159" s="26">
        <v>0</v>
      </c>
      <c r="FO159" s="26">
        <v>0</v>
      </c>
      <c r="FP159" s="26">
        <v>0</v>
      </c>
      <c r="FQ159" s="26">
        <v>0</v>
      </c>
      <c r="FR159" s="26">
        <v>0</v>
      </c>
      <c r="FS159" s="26">
        <v>0</v>
      </c>
      <c r="FT159" s="26">
        <v>0</v>
      </c>
      <c r="FU159" s="26">
        <v>0</v>
      </c>
      <c r="FV159" s="26">
        <v>0</v>
      </c>
      <c r="FW159" s="26">
        <v>0</v>
      </c>
      <c r="FX159" s="26">
        <v>0</v>
      </c>
      <c r="FY159" s="26">
        <v>0</v>
      </c>
      <c r="FZ159" s="26">
        <v>0</v>
      </c>
      <c r="GA159" s="26">
        <v>0</v>
      </c>
      <c r="GB159" s="26">
        <v>0</v>
      </c>
      <c r="GC159" s="26">
        <v>0</v>
      </c>
      <c r="GD159" s="26">
        <v>0</v>
      </c>
      <c r="GE159" s="26">
        <v>0</v>
      </c>
      <c r="GF159" s="26">
        <v>0</v>
      </c>
      <c r="GG159" s="26">
        <v>0</v>
      </c>
      <c r="GH159" s="26">
        <v>0</v>
      </c>
      <c r="GI159" s="26">
        <v>0</v>
      </c>
      <c r="GJ159" s="26">
        <v>0</v>
      </c>
      <c r="GK159" s="26">
        <v>0</v>
      </c>
      <c r="GL159" s="26">
        <v>0</v>
      </c>
      <c r="GM159" s="26">
        <v>0</v>
      </c>
      <c r="GN159" s="26">
        <v>0</v>
      </c>
      <c r="GO159" s="26">
        <v>0</v>
      </c>
      <c r="GP159" s="26">
        <v>0</v>
      </c>
      <c r="GQ159" s="26">
        <v>0</v>
      </c>
      <c r="GR159" s="26">
        <v>0</v>
      </c>
      <c r="GS159" s="26">
        <v>0</v>
      </c>
      <c r="GT159" s="26">
        <v>0</v>
      </c>
      <c r="GU159" s="26">
        <v>0</v>
      </c>
      <c r="GV159" s="26">
        <v>0</v>
      </c>
      <c r="GW159" s="26">
        <v>0</v>
      </c>
      <c r="GX159" s="26">
        <v>0</v>
      </c>
      <c r="GY159" s="26">
        <v>0</v>
      </c>
      <c r="GZ159" s="26">
        <v>0</v>
      </c>
      <c r="HA159" s="26">
        <v>0</v>
      </c>
      <c r="HB159" s="26">
        <v>0</v>
      </c>
      <c r="HC159" s="26">
        <v>0</v>
      </c>
      <c r="HD159" s="26">
        <v>0</v>
      </c>
      <c r="HE159" s="26">
        <v>0</v>
      </c>
      <c r="HF159" s="26">
        <v>0</v>
      </c>
      <c r="HG159" s="26">
        <v>0</v>
      </c>
      <c r="HH159" s="26">
        <v>0</v>
      </c>
      <c r="HI159" s="26">
        <v>0</v>
      </c>
      <c r="HJ159" s="26">
        <v>0</v>
      </c>
      <c r="HK159" s="26">
        <v>0</v>
      </c>
      <c r="HL159" s="26">
        <v>0</v>
      </c>
      <c r="HM159" s="26">
        <v>0</v>
      </c>
      <c r="HN159" s="26">
        <v>0</v>
      </c>
      <c r="HO159" s="26">
        <v>0</v>
      </c>
      <c r="HP159" s="26">
        <v>0</v>
      </c>
      <c r="HQ159" s="26">
        <v>0</v>
      </c>
      <c r="HR159" s="26">
        <v>0</v>
      </c>
      <c r="HS159" s="26">
        <v>0</v>
      </c>
      <c r="HT159" s="26">
        <v>1.3690451998412505E-3</v>
      </c>
    </row>
    <row r="160" spans="2:228" x14ac:dyDescent="0.2">
      <c r="B160" s="27" t="s">
        <v>1384</v>
      </c>
      <c r="C160" s="26">
        <v>223.98470399999999</v>
      </c>
      <c r="D160" s="26">
        <v>-0.50958383500000004</v>
      </c>
      <c r="E160" s="26">
        <v>78.707911800000005</v>
      </c>
      <c r="F160" s="26">
        <v>0</v>
      </c>
      <c r="G160" s="26">
        <v>0</v>
      </c>
      <c r="H160" s="26">
        <v>0</v>
      </c>
      <c r="I160" s="26">
        <v>0</v>
      </c>
      <c r="J160" s="26">
        <v>0</v>
      </c>
      <c r="K160" s="26">
        <v>0</v>
      </c>
      <c r="L160" s="26">
        <v>0</v>
      </c>
      <c r="M160" s="26">
        <v>0</v>
      </c>
      <c r="N160" s="26">
        <v>0</v>
      </c>
      <c r="O160" s="26">
        <v>0</v>
      </c>
      <c r="P160" s="26">
        <v>0</v>
      </c>
      <c r="Q160" s="26">
        <v>0</v>
      </c>
      <c r="R160" s="26">
        <v>0</v>
      </c>
      <c r="S160" s="26">
        <v>0</v>
      </c>
      <c r="T160" s="26">
        <v>0</v>
      </c>
      <c r="U160" s="26">
        <v>0</v>
      </c>
      <c r="V160" s="26">
        <v>0</v>
      </c>
      <c r="W160" s="26">
        <v>0</v>
      </c>
      <c r="X160" s="26">
        <v>38.766583400000002</v>
      </c>
      <c r="Y160" s="26">
        <v>0</v>
      </c>
      <c r="Z160" s="26">
        <v>0</v>
      </c>
      <c r="AA160" s="26">
        <v>0</v>
      </c>
      <c r="AB160" s="26">
        <v>0</v>
      </c>
      <c r="AC160" s="26">
        <v>0</v>
      </c>
      <c r="AD160" s="26">
        <v>0</v>
      </c>
      <c r="AE160" s="26">
        <v>0</v>
      </c>
      <c r="AF160" s="26">
        <v>0</v>
      </c>
      <c r="AG160" s="26">
        <v>0</v>
      </c>
      <c r="AH160" s="26">
        <v>0</v>
      </c>
      <c r="AI160" s="26">
        <v>0</v>
      </c>
      <c r="AJ160" s="26">
        <v>67.352044000000006</v>
      </c>
      <c r="AK160" s="26">
        <v>0</v>
      </c>
      <c r="AL160" s="26">
        <v>0</v>
      </c>
      <c r="AM160" s="26">
        <v>0</v>
      </c>
      <c r="AN160" s="26">
        <v>0</v>
      </c>
      <c r="AO160" s="26">
        <v>0</v>
      </c>
      <c r="AP160" s="26">
        <v>0</v>
      </c>
      <c r="AQ160" s="26">
        <v>0</v>
      </c>
      <c r="AR160" s="26">
        <v>0</v>
      </c>
      <c r="AS160" s="26">
        <v>0</v>
      </c>
      <c r="AT160" s="26">
        <v>0</v>
      </c>
      <c r="AU160" s="26">
        <v>0</v>
      </c>
      <c r="AV160" s="26">
        <v>0</v>
      </c>
      <c r="AW160" s="26">
        <v>0</v>
      </c>
      <c r="AX160" s="26">
        <v>0</v>
      </c>
      <c r="AY160" s="26">
        <v>0</v>
      </c>
      <c r="AZ160" s="26">
        <v>0</v>
      </c>
      <c r="BA160" s="26">
        <v>0</v>
      </c>
      <c r="BB160" s="26">
        <v>0</v>
      </c>
      <c r="BC160" s="26">
        <v>0</v>
      </c>
      <c r="BD160" s="26">
        <v>0</v>
      </c>
      <c r="BE160" s="26">
        <v>0</v>
      </c>
      <c r="BF160" s="26">
        <v>0</v>
      </c>
      <c r="BG160" s="26">
        <v>0</v>
      </c>
      <c r="BH160" s="26">
        <v>0</v>
      </c>
      <c r="BI160" s="26">
        <v>0</v>
      </c>
      <c r="BJ160" s="26">
        <v>0</v>
      </c>
      <c r="BK160" s="26">
        <v>0</v>
      </c>
      <c r="BL160" s="26">
        <v>0</v>
      </c>
      <c r="BM160" s="26">
        <v>0</v>
      </c>
      <c r="BN160" s="26">
        <v>0</v>
      </c>
      <c r="BO160" s="26">
        <v>5.1731663599999997</v>
      </c>
      <c r="BP160" s="26">
        <v>184.826539</v>
      </c>
      <c r="BQ160" s="26">
        <v>2.2411255099999998</v>
      </c>
      <c r="BR160" s="26">
        <v>33.86774459999998</v>
      </c>
      <c r="BS160" s="26">
        <v>2.0206894599999998</v>
      </c>
      <c r="BT160" s="26">
        <v>0</v>
      </c>
      <c r="BU160" s="26">
        <v>1</v>
      </c>
      <c r="BV160" s="26">
        <v>0</v>
      </c>
      <c r="BW160" s="26">
        <v>-92691.211200000005</v>
      </c>
      <c r="BX160" s="26">
        <v>-2594.3625699999998</v>
      </c>
      <c r="BY160" s="26">
        <v>-0.47950705900000007</v>
      </c>
      <c r="BZ160" s="26">
        <v>-60.404158299999999</v>
      </c>
      <c r="CA160" s="26">
        <v>-1.6906703999999999</v>
      </c>
      <c r="CB160" s="26">
        <v>3.8471490300000001E-2</v>
      </c>
      <c r="CC160" s="26">
        <v>1.3745068199999999</v>
      </c>
      <c r="CD160" s="26">
        <v>35.727932600000003</v>
      </c>
      <c r="CE160" s="26">
        <v>2.7944190099999999</v>
      </c>
      <c r="CF160" s="26">
        <v>0</v>
      </c>
      <c r="CG160" s="26">
        <v>0</v>
      </c>
      <c r="CH160" s="26">
        <v>0</v>
      </c>
      <c r="CI160" s="26">
        <v>0</v>
      </c>
      <c r="CJ160" s="26">
        <v>0</v>
      </c>
      <c r="CK160" s="26">
        <v>0</v>
      </c>
      <c r="CL160" s="26">
        <v>0</v>
      </c>
      <c r="CM160" s="26">
        <v>0</v>
      </c>
      <c r="CN160" s="26">
        <v>0</v>
      </c>
      <c r="CO160" s="26">
        <v>0</v>
      </c>
      <c r="CP160" s="26">
        <v>0</v>
      </c>
      <c r="CQ160" s="26">
        <v>0</v>
      </c>
      <c r="CR160" s="26">
        <v>0</v>
      </c>
      <c r="CS160" s="26">
        <v>0</v>
      </c>
      <c r="CT160" s="26">
        <v>0</v>
      </c>
      <c r="CU160" s="26">
        <v>0</v>
      </c>
      <c r="CV160" s="26">
        <v>0</v>
      </c>
      <c r="CW160" s="26">
        <v>0</v>
      </c>
      <c r="CX160" s="26">
        <v>0</v>
      </c>
      <c r="CY160" s="26">
        <v>0</v>
      </c>
      <c r="CZ160" s="26">
        <v>0</v>
      </c>
      <c r="DA160" s="26">
        <v>0</v>
      </c>
      <c r="DB160" s="26">
        <v>0</v>
      </c>
      <c r="DC160" s="26">
        <v>0</v>
      </c>
      <c r="DD160" s="26">
        <v>0</v>
      </c>
      <c r="DE160" s="26">
        <v>0</v>
      </c>
      <c r="DF160" s="26">
        <v>0</v>
      </c>
      <c r="DG160" s="26">
        <v>0</v>
      </c>
      <c r="DH160" s="26">
        <v>0</v>
      </c>
      <c r="DI160" s="26">
        <v>0</v>
      </c>
      <c r="DJ160" s="26">
        <v>0</v>
      </c>
      <c r="DK160" s="26">
        <v>0</v>
      </c>
      <c r="DL160" s="26">
        <v>0</v>
      </c>
      <c r="DM160" s="26">
        <v>0</v>
      </c>
      <c r="DN160" s="26">
        <v>0</v>
      </c>
      <c r="DO160" s="26">
        <v>0</v>
      </c>
      <c r="DP160" s="26">
        <v>0</v>
      </c>
      <c r="DQ160" s="26">
        <v>0</v>
      </c>
      <c r="DR160" s="26">
        <v>0</v>
      </c>
      <c r="DS160" s="26">
        <v>0</v>
      </c>
      <c r="DT160" s="26">
        <v>0</v>
      </c>
      <c r="DU160" s="26">
        <v>0</v>
      </c>
      <c r="DV160" s="26">
        <v>0</v>
      </c>
      <c r="DW160" s="26">
        <v>0</v>
      </c>
      <c r="DX160" s="26">
        <v>0</v>
      </c>
      <c r="DY160" s="26">
        <v>0</v>
      </c>
      <c r="DZ160" s="26">
        <v>0</v>
      </c>
      <c r="EA160" s="26">
        <v>0</v>
      </c>
      <c r="EB160" s="26">
        <v>0</v>
      </c>
      <c r="EC160" s="26">
        <v>0</v>
      </c>
      <c r="ED160" s="26">
        <v>0</v>
      </c>
      <c r="EE160" s="26">
        <v>39.158165099999998</v>
      </c>
      <c r="EF160" s="26">
        <v>0</v>
      </c>
      <c r="EG160" s="26">
        <v>0</v>
      </c>
      <c r="EH160" s="26">
        <v>0</v>
      </c>
      <c r="EI160" s="26">
        <v>0</v>
      </c>
      <c r="EJ160" s="26">
        <v>0</v>
      </c>
      <c r="EK160" s="26">
        <v>0</v>
      </c>
      <c r="EL160" s="26">
        <v>0</v>
      </c>
      <c r="EM160" s="26">
        <v>0</v>
      </c>
      <c r="EN160" s="26">
        <v>0</v>
      </c>
      <c r="EO160" s="26">
        <v>0</v>
      </c>
      <c r="EP160" s="26">
        <v>1.71448559</v>
      </c>
      <c r="EQ160" s="26">
        <v>39.158165099999998</v>
      </c>
      <c r="ER160" s="26">
        <v>0.43433634399999999</v>
      </c>
      <c r="ES160" s="26">
        <v>33.86774459999998</v>
      </c>
      <c r="ET160" s="26">
        <v>2.0206894599999998</v>
      </c>
      <c r="EU160" s="26">
        <v>0</v>
      </c>
      <c r="EV160" s="26">
        <v>0</v>
      </c>
      <c r="EW160" s="26">
        <v>1</v>
      </c>
      <c r="EX160" s="26">
        <v>-17542.7402</v>
      </c>
      <c r="EY160" s="26">
        <v>-768.08438999999998</v>
      </c>
      <c r="EZ160" s="26">
        <v>-3.0076775600000001E-2</v>
      </c>
      <c r="FA160" s="26">
        <v>-58.842320100000002</v>
      </c>
      <c r="FB160" s="26">
        <v>-2.57632884</v>
      </c>
      <c r="FC160" s="26">
        <v>6.5789473700000003E-2</v>
      </c>
      <c r="FD160" s="26">
        <v>1.5026052599999999</v>
      </c>
      <c r="FE160" s="26">
        <v>22.839600000000001</v>
      </c>
      <c r="FF160" s="26">
        <v>0</v>
      </c>
      <c r="FG160" s="26">
        <v>0.75733300400000003</v>
      </c>
      <c r="FH160" s="26">
        <v>-594090.40307400003</v>
      </c>
      <c r="FI160" s="26">
        <v>9.8171990507598143E-4</v>
      </c>
      <c r="FJ160" s="26">
        <v>0</v>
      </c>
      <c r="FK160" s="26">
        <v>0</v>
      </c>
      <c r="FL160" s="26">
        <v>0</v>
      </c>
      <c r="FM160" s="26">
        <v>0</v>
      </c>
      <c r="FN160" s="26">
        <v>0</v>
      </c>
      <c r="FO160" s="26">
        <v>0</v>
      </c>
      <c r="FP160" s="26">
        <v>0</v>
      </c>
      <c r="FQ160" s="26">
        <v>0</v>
      </c>
      <c r="FR160" s="26">
        <v>0</v>
      </c>
      <c r="FS160" s="26">
        <v>0</v>
      </c>
      <c r="FT160" s="26">
        <v>0</v>
      </c>
      <c r="FU160" s="26">
        <v>0</v>
      </c>
      <c r="FV160" s="26">
        <v>0</v>
      </c>
      <c r="FW160" s="26">
        <v>0</v>
      </c>
      <c r="FX160" s="26">
        <v>0</v>
      </c>
      <c r="FY160" s="26">
        <v>0</v>
      </c>
      <c r="FZ160" s="26">
        <v>0</v>
      </c>
      <c r="GA160" s="26">
        <v>0</v>
      </c>
      <c r="GB160" s="26">
        <v>0</v>
      </c>
      <c r="GC160" s="26">
        <v>0</v>
      </c>
      <c r="GD160" s="26">
        <v>0</v>
      </c>
      <c r="GE160" s="26">
        <v>0</v>
      </c>
      <c r="GF160" s="26">
        <v>0</v>
      </c>
      <c r="GG160" s="26">
        <v>0</v>
      </c>
      <c r="GH160" s="26">
        <v>0</v>
      </c>
      <c r="GI160" s="26">
        <v>0</v>
      </c>
      <c r="GJ160" s="26">
        <v>0</v>
      </c>
      <c r="GK160" s="26">
        <v>0</v>
      </c>
      <c r="GL160" s="26">
        <v>0</v>
      </c>
      <c r="GM160" s="26">
        <v>0</v>
      </c>
      <c r="GN160" s="26">
        <v>0</v>
      </c>
      <c r="GO160" s="26">
        <v>0</v>
      </c>
      <c r="GP160" s="26">
        <v>0</v>
      </c>
      <c r="GQ160" s="26">
        <v>0</v>
      </c>
      <c r="GR160" s="26">
        <v>0</v>
      </c>
      <c r="GS160" s="26">
        <v>0</v>
      </c>
      <c r="GT160" s="26">
        <v>0</v>
      </c>
      <c r="GU160" s="26">
        <v>0</v>
      </c>
      <c r="GV160" s="26">
        <v>0</v>
      </c>
      <c r="GW160" s="26">
        <v>0</v>
      </c>
      <c r="GX160" s="26">
        <v>0</v>
      </c>
      <c r="GY160" s="26">
        <v>0</v>
      </c>
      <c r="GZ160" s="26">
        <v>0</v>
      </c>
      <c r="HA160" s="26">
        <v>0</v>
      </c>
      <c r="HB160" s="26">
        <v>0</v>
      </c>
      <c r="HC160" s="26">
        <v>0</v>
      </c>
      <c r="HD160" s="26">
        <v>0</v>
      </c>
      <c r="HE160" s="26">
        <v>0</v>
      </c>
      <c r="HF160" s="26">
        <v>0</v>
      </c>
      <c r="HG160" s="26">
        <v>0</v>
      </c>
      <c r="HH160" s="26">
        <v>0</v>
      </c>
      <c r="HI160" s="26">
        <v>0</v>
      </c>
      <c r="HJ160" s="26">
        <v>0</v>
      </c>
      <c r="HK160" s="26">
        <v>0</v>
      </c>
      <c r="HL160" s="26">
        <v>0</v>
      </c>
      <c r="HM160" s="26">
        <v>0</v>
      </c>
      <c r="HN160" s="26">
        <v>0</v>
      </c>
      <c r="HO160" s="26">
        <v>0</v>
      </c>
      <c r="HP160" s="26">
        <v>0</v>
      </c>
      <c r="HQ160" s="26">
        <v>0</v>
      </c>
      <c r="HR160" s="26">
        <v>0</v>
      </c>
      <c r="HS160" s="26">
        <v>0</v>
      </c>
      <c r="HT160" s="26">
        <v>4.7624600103219022E-4</v>
      </c>
    </row>
    <row r="161" spans="2:228" x14ac:dyDescent="0.2">
      <c r="B161" s="27" t="s">
        <v>2881</v>
      </c>
      <c r="C161" s="26">
        <v>223.98470399999999</v>
      </c>
      <c r="D161" s="26">
        <v>-0.50959506899999996</v>
      </c>
      <c r="E161" s="26">
        <v>78.707911800000005</v>
      </c>
      <c r="F161" s="26">
        <v>0</v>
      </c>
      <c r="G161" s="26">
        <v>0</v>
      </c>
      <c r="H161" s="26">
        <v>0</v>
      </c>
      <c r="I161" s="26">
        <v>0</v>
      </c>
      <c r="J161" s="26">
        <v>0</v>
      </c>
      <c r="K161" s="26">
        <v>0</v>
      </c>
      <c r="L161" s="26">
        <v>0</v>
      </c>
      <c r="M161" s="26">
        <v>0</v>
      </c>
      <c r="N161" s="26">
        <v>0</v>
      </c>
      <c r="O161" s="26">
        <v>0</v>
      </c>
      <c r="P161" s="26">
        <v>0</v>
      </c>
      <c r="Q161" s="26">
        <v>0</v>
      </c>
      <c r="R161" s="26">
        <v>0</v>
      </c>
      <c r="S161" s="26">
        <v>0</v>
      </c>
      <c r="T161" s="26">
        <v>0</v>
      </c>
      <c r="U161" s="26">
        <v>0</v>
      </c>
      <c r="V161" s="26">
        <v>0</v>
      </c>
      <c r="W161" s="26">
        <v>0</v>
      </c>
      <c r="X161" s="26">
        <v>38.766583400000002</v>
      </c>
      <c r="Y161" s="26">
        <v>0</v>
      </c>
      <c r="Z161" s="26">
        <v>0</v>
      </c>
      <c r="AA161" s="26">
        <v>0</v>
      </c>
      <c r="AB161" s="26">
        <v>0</v>
      </c>
      <c r="AC161" s="26">
        <v>0</v>
      </c>
      <c r="AD161" s="26">
        <v>0</v>
      </c>
      <c r="AE161" s="26">
        <v>0</v>
      </c>
      <c r="AF161" s="26">
        <v>0</v>
      </c>
      <c r="AG161" s="26">
        <v>0</v>
      </c>
      <c r="AH161" s="26">
        <v>0</v>
      </c>
      <c r="AI161" s="26">
        <v>0</v>
      </c>
      <c r="AJ161" s="26">
        <v>67.352044000000006</v>
      </c>
      <c r="AK161" s="26">
        <v>0</v>
      </c>
      <c r="AL161" s="26">
        <v>0</v>
      </c>
      <c r="AM161" s="26">
        <v>0</v>
      </c>
      <c r="AN161" s="26">
        <v>0</v>
      </c>
      <c r="AO161" s="26">
        <v>0</v>
      </c>
      <c r="AP161" s="26">
        <v>0</v>
      </c>
      <c r="AQ161" s="26">
        <v>0</v>
      </c>
      <c r="AR161" s="26">
        <v>0</v>
      </c>
      <c r="AS161" s="26">
        <v>0</v>
      </c>
      <c r="AT161" s="26">
        <v>0</v>
      </c>
      <c r="AU161" s="26">
        <v>0</v>
      </c>
      <c r="AV161" s="26">
        <v>0</v>
      </c>
      <c r="AW161" s="26">
        <v>0</v>
      </c>
      <c r="AX161" s="26">
        <v>0</v>
      </c>
      <c r="AY161" s="26">
        <v>0</v>
      </c>
      <c r="AZ161" s="26">
        <v>0</v>
      </c>
      <c r="BA161" s="26">
        <v>0</v>
      </c>
      <c r="BB161" s="26">
        <v>0</v>
      </c>
      <c r="BC161" s="26">
        <v>0</v>
      </c>
      <c r="BD161" s="26">
        <v>0</v>
      </c>
      <c r="BE161" s="26">
        <v>0</v>
      </c>
      <c r="BF161" s="26">
        <v>0</v>
      </c>
      <c r="BG161" s="26">
        <v>0</v>
      </c>
      <c r="BH161" s="26">
        <v>0</v>
      </c>
      <c r="BI161" s="26">
        <v>0</v>
      </c>
      <c r="BJ161" s="26">
        <v>0</v>
      </c>
      <c r="BK161" s="26">
        <v>0</v>
      </c>
      <c r="BL161" s="26">
        <v>0</v>
      </c>
      <c r="BM161" s="26">
        <v>0</v>
      </c>
      <c r="BN161" s="26">
        <v>0</v>
      </c>
      <c r="BO161" s="26">
        <v>5.1731663599999997</v>
      </c>
      <c r="BP161" s="26">
        <v>184.826539</v>
      </c>
      <c r="BQ161" s="26">
        <v>2.2409400700000002</v>
      </c>
      <c r="BR161" s="26">
        <v>33.788083599999993</v>
      </c>
      <c r="BS161" s="26">
        <v>1</v>
      </c>
      <c r="BT161" s="26">
        <v>0</v>
      </c>
      <c r="BU161" s="26">
        <v>1</v>
      </c>
      <c r="BV161" s="26">
        <v>0</v>
      </c>
      <c r="BW161" s="26">
        <v>-92693.158599999995</v>
      </c>
      <c r="BX161" s="26">
        <v>-2594.4170800000002</v>
      </c>
      <c r="BY161" s="26">
        <v>-0.47951713400000001</v>
      </c>
      <c r="BZ161" s="26">
        <v>-60.410569700000003</v>
      </c>
      <c r="CA161" s="26">
        <v>-1.6908498599999999</v>
      </c>
      <c r="CB161" s="26">
        <v>3.8474673899999999E-2</v>
      </c>
      <c r="CC161" s="26">
        <v>1.3746205600000001</v>
      </c>
      <c r="CD161" s="26">
        <v>35.727932600000003</v>
      </c>
      <c r="CE161" s="26">
        <v>2.7944190099999999</v>
      </c>
      <c r="CF161" s="26">
        <v>0</v>
      </c>
      <c r="CG161" s="26">
        <v>0</v>
      </c>
      <c r="CH161" s="26">
        <v>0</v>
      </c>
      <c r="CI161" s="26">
        <v>0</v>
      </c>
      <c r="CJ161" s="26">
        <v>0</v>
      </c>
      <c r="CK161" s="26">
        <v>0</v>
      </c>
      <c r="CL161" s="26">
        <v>0</v>
      </c>
      <c r="CM161" s="26">
        <v>0</v>
      </c>
      <c r="CN161" s="26">
        <v>0</v>
      </c>
      <c r="CO161" s="26">
        <v>0</v>
      </c>
      <c r="CP161" s="26">
        <v>0</v>
      </c>
      <c r="CQ161" s="26">
        <v>0</v>
      </c>
      <c r="CR161" s="26">
        <v>0</v>
      </c>
      <c r="CS161" s="26">
        <v>0</v>
      </c>
      <c r="CT161" s="26">
        <v>0</v>
      </c>
      <c r="CU161" s="26">
        <v>0</v>
      </c>
      <c r="CV161" s="26">
        <v>0</v>
      </c>
      <c r="CW161" s="26">
        <v>0</v>
      </c>
      <c r="CX161" s="26">
        <v>0</v>
      </c>
      <c r="CY161" s="26">
        <v>0</v>
      </c>
      <c r="CZ161" s="26">
        <v>0</v>
      </c>
      <c r="DA161" s="26">
        <v>0</v>
      </c>
      <c r="DB161" s="26">
        <v>0</v>
      </c>
      <c r="DC161" s="26">
        <v>0</v>
      </c>
      <c r="DD161" s="26">
        <v>0</v>
      </c>
      <c r="DE161" s="26">
        <v>0</v>
      </c>
      <c r="DF161" s="26">
        <v>0</v>
      </c>
      <c r="DG161" s="26">
        <v>0</v>
      </c>
      <c r="DH161" s="26">
        <v>0</v>
      </c>
      <c r="DI161" s="26">
        <v>0</v>
      </c>
      <c r="DJ161" s="26">
        <v>0</v>
      </c>
      <c r="DK161" s="26">
        <v>0</v>
      </c>
      <c r="DL161" s="26">
        <v>0</v>
      </c>
      <c r="DM161" s="26">
        <v>0</v>
      </c>
      <c r="DN161" s="26">
        <v>0</v>
      </c>
      <c r="DO161" s="26">
        <v>0</v>
      </c>
      <c r="DP161" s="26">
        <v>0</v>
      </c>
      <c r="DQ161" s="26">
        <v>0</v>
      </c>
      <c r="DR161" s="26">
        <v>0</v>
      </c>
      <c r="DS161" s="26">
        <v>0</v>
      </c>
      <c r="DT161" s="26">
        <v>0</v>
      </c>
      <c r="DU161" s="26">
        <v>0</v>
      </c>
      <c r="DV161" s="26">
        <v>0</v>
      </c>
      <c r="DW161" s="26">
        <v>0</v>
      </c>
      <c r="DX161" s="26">
        <v>0</v>
      </c>
      <c r="DY161" s="26">
        <v>0</v>
      </c>
      <c r="DZ161" s="26">
        <v>0</v>
      </c>
      <c r="EA161" s="26">
        <v>0</v>
      </c>
      <c r="EB161" s="26">
        <v>0</v>
      </c>
      <c r="EC161" s="26">
        <v>0</v>
      </c>
      <c r="ED161" s="26">
        <v>0</v>
      </c>
      <c r="EE161" s="26">
        <v>39.158165099999998</v>
      </c>
      <c r="EF161" s="26">
        <v>0</v>
      </c>
      <c r="EG161" s="26">
        <v>0</v>
      </c>
      <c r="EH161" s="26">
        <v>0</v>
      </c>
      <c r="EI161" s="26">
        <v>0</v>
      </c>
      <c r="EJ161" s="26">
        <v>0</v>
      </c>
      <c r="EK161" s="26">
        <v>0</v>
      </c>
      <c r="EL161" s="26">
        <v>0</v>
      </c>
      <c r="EM161" s="26">
        <v>0</v>
      </c>
      <c r="EN161" s="26">
        <v>0</v>
      </c>
      <c r="EO161" s="26">
        <v>0</v>
      </c>
      <c r="EP161" s="26">
        <v>1.71448559</v>
      </c>
      <c r="EQ161" s="26">
        <v>39.158165099999998</v>
      </c>
      <c r="ER161" s="26">
        <v>0.43433634399999999</v>
      </c>
      <c r="ES161" s="26">
        <v>33.788083599999993</v>
      </c>
      <c r="ET161" s="26">
        <v>1</v>
      </c>
      <c r="EU161" s="26">
        <v>0</v>
      </c>
      <c r="EV161" s="26">
        <v>0</v>
      </c>
      <c r="EW161" s="26">
        <v>1</v>
      </c>
      <c r="EX161" s="26">
        <v>-17543.416300000001</v>
      </c>
      <c r="EY161" s="26">
        <v>-768.11399100000006</v>
      </c>
      <c r="EZ161" s="26">
        <v>-3.0077934699999996E-2</v>
      </c>
      <c r="FA161" s="26">
        <v>-58.844522499999997</v>
      </c>
      <c r="FB161" s="26">
        <v>-2.5764252600000002</v>
      </c>
      <c r="FC161" s="26">
        <v>6.5789473700000003E-2</v>
      </c>
      <c r="FD161" s="26">
        <v>1.5026052599999999</v>
      </c>
      <c r="FE161" s="26">
        <v>22.839600000000001</v>
      </c>
      <c r="FF161" s="26">
        <v>0</v>
      </c>
      <c r="FG161" s="26">
        <v>0.75733300400000003</v>
      </c>
      <c r="FH161" s="26">
        <v>-594090.40307400003</v>
      </c>
      <c r="FI161" s="26">
        <v>9.8171990507598143E-4</v>
      </c>
      <c r="FJ161" s="26">
        <v>0</v>
      </c>
      <c r="FK161" s="26">
        <v>0</v>
      </c>
      <c r="FL161" s="26">
        <v>0</v>
      </c>
      <c r="FM161" s="26">
        <v>0</v>
      </c>
      <c r="FN161" s="26">
        <v>0</v>
      </c>
      <c r="FO161" s="26">
        <v>0</v>
      </c>
      <c r="FP161" s="26">
        <v>0</v>
      </c>
      <c r="FQ161" s="26">
        <v>0</v>
      </c>
      <c r="FR161" s="26">
        <v>0</v>
      </c>
      <c r="FS161" s="26">
        <v>0</v>
      </c>
      <c r="FT161" s="26">
        <v>0</v>
      </c>
      <c r="FU161" s="26">
        <v>0</v>
      </c>
      <c r="FV161" s="26">
        <v>0</v>
      </c>
      <c r="FW161" s="26">
        <v>0</v>
      </c>
      <c r="FX161" s="26">
        <v>0</v>
      </c>
      <c r="FY161" s="26">
        <v>0</v>
      </c>
      <c r="FZ161" s="26">
        <v>0</v>
      </c>
      <c r="GA161" s="26">
        <v>0</v>
      </c>
      <c r="GB161" s="26">
        <v>0</v>
      </c>
      <c r="GC161" s="26">
        <v>0</v>
      </c>
      <c r="GD161" s="26">
        <v>0</v>
      </c>
      <c r="GE161" s="26">
        <v>0</v>
      </c>
      <c r="GF161" s="26">
        <v>0</v>
      </c>
      <c r="GG161" s="26">
        <v>0</v>
      </c>
      <c r="GH161" s="26">
        <v>0</v>
      </c>
      <c r="GI161" s="26">
        <v>0</v>
      </c>
      <c r="GJ161" s="26">
        <v>0</v>
      </c>
      <c r="GK161" s="26">
        <v>0</v>
      </c>
      <c r="GL161" s="26">
        <v>0</v>
      </c>
      <c r="GM161" s="26">
        <v>0</v>
      </c>
      <c r="GN161" s="26">
        <v>0</v>
      </c>
      <c r="GO161" s="26">
        <v>0</v>
      </c>
      <c r="GP161" s="26">
        <v>0</v>
      </c>
      <c r="GQ161" s="26">
        <v>0</v>
      </c>
      <c r="GR161" s="26">
        <v>0</v>
      </c>
      <c r="GS161" s="26">
        <v>0</v>
      </c>
      <c r="GT161" s="26">
        <v>0</v>
      </c>
      <c r="GU161" s="26">
        <v>0</v>
      </c>
      <c r="GV161" s="26">
        <v>0</v>
      </c>
      <c r="GW161" s="26">
        <v>0</v>
      </c>
      <c r="GX161" s="26">
        <v>0</v>
      </c>
      <c r="GY161" s="26">
        <v>0</v>
      </c>
      <c r="GZ161" s="26">
        <v>0</v>
      </c>
      <c r="HA161" s="26">
        <v>0</v>
      </c>
      <c r="HB161" s="26">
        <v>0</v>
      </c>
      <c r="HC161" s="26">
        <v>0</v>
      </c>
      <c r="HD161" s="26">
        <v>0</v>
      </c>
      <c r="HE161" s="26">
        <v>0</v>
      </c>
      <c r="HF161" s="26">
        <v>0</v>
      </c>
      <c r="HG161" s="26">
        <v>0</v>
      </c>
      <c r="HH161" s="26">
        <v>0</v>
      </c>
      <c r="HI161" s="26">
        <v>0</v>
      </c>
      <c r="HJ161" s="26">
        <v>0</v>
      </c>
      <c r="HK161" s="26">
        <v>0</v>
      </c>
      <c r="HL161" s="26">
        <v>0</v>
      </c>
      <c r="HM161" s="26">
        <v>0</v>
      </c>
      <c r="HN161" s="26">
        <v>0</v>
      </c>
      <c r="HO161" s="26">
        <v>0</v>
      </c>
      <c r="HP161" s="26">
        <v>0</v>
      </c>
      <c r="HQ161" s="26">
        <v>0</v>
      </c>
      <c r="HR161" s="26">
        <v>0</v>
      </c>
      <c r="HS161" s="26">
        <v>0</v>
      </c>
      <c r="HT161" s="26">
        <v>4.7624600103219022E-4</v>
      </c>
    </row>
    <row r="162" spans="2:228" x14ac:dyDescent="0.2">
      <c r="B162" s="27" t="s">
        <v>2413</v>
      </c>
      <c r="C162" s="26">
        <v>47175.196199999998</v>
      </c>
      <c r="D162" s="26">
        <v>-62.841416400000007</v>
      </c>
      <c r="E162" s="26">
        <v>15240.676299999997</v>
      </c>
      <c r="F162" s="26">
        <v>0</v>
      </c>
      <c r="G162" s="26">
        <v>0</v>
      </c>
      <c r="H162" s="26">
        <v>0</v>
      </c>
      <c r="I162" s="26">
        <v>0</v>
      </c>
      <c r="J162" s="26">
        <v>0</v>
      </c>
      <c r="K162" s="26">
        <v>0</v>
      </c>
      <c r="L162" s="26">
        <v>0</v>
      </c>
      <c r="M162" s="26">
        <v>0</v>
      </c>
      <c r="N162" s="26">
        <v>0</v>
      </c>
      <c r="O162" s="26">
        <v>0</v>
      </c>
      <c r="P162" s="26">
        <v>0</v>
      </c>
      <c r="Q162" s="26">
        <v>0</v>
      </c>
      <c r="R162" s="26">
        <v>0</v>
      </c>
      <c r="S162" s="26">
        <v>0</v>
      </c>
      <c r="T162" s="26">
        <v>0</v>
      </c>
      <c r="U162" s="26">
        <v>0</v>
      </c>
      <c r="V162" s="26">
        <v>0</v>
      </c>
      <c r="W162" s="26">
        <v>0</v>
      </c>
      <c r="X162" s="26">
        <v>45.235594800000001</v>
      </c>
      <c r="Y162" s="26">
        <v>0</v>
      </c>
      <c r="Z162" s="26">
        <v>0</v>
      </c>
      <c r="AA162" s="26">
        <v>0</v>
      </c>
      <c r="AB162" s="26">
        <v>0.42891610800000002</v>
      </c>
      <c r="AC162" s="26">
        <v>0</v>
      </c>
      <c r="AD162" s="26">
        <v>0</v>
      </c>
      <c r="AE162" s="26">
        <v>0</v>
      </c>
      <c r="AF162" s="26">
        <v>0</v>
      </c>
      <c r="AG162" s="26">
        <v>0</v>
      </c>
      <c r="AH162" s="26">
        <v>0</v>
      </c>
      <c r="AI162" s="26">
        <v>0</v>
      </c>
      <c r="AJ162" s="26">
        <v>0</v>
      </c>
      <c r="AK162" s="26">
        <v>0</v>
      </c>
      <c r="AL162" s="26">
        <v>0</v>
      </c>
      <c r="AM162" s="26">
        <v>14.841721700000001</v>
      </c>
      <c r="AN162" s="26">
        <v>5440.0435399999997</v>
      </c>
      <c r="AO162" s="26">
        <v>23337.377400000001</v>
      </c>
      <c r="AP162" s="26">
        <v>0</v>
      </c>
      <c r="AQ162" s="26">
        <v>0</v>
      </c>
      <c r="AR162" s="26">
        <v>0</v>
      </c>
      <c r="AS162" s="26">
        <v>2288.1356599999999</v>
      </c>
      <c r="AT162" s="26">
        <v>0</v>
      </c>
      <c r="AU162" s="26">
        <v>0</v>
      </c>
      <c r="AV162" s="26">
        <v>1.6698826999999999E-2</v>
      </c>
      <c r="AW162" s="26">
        <v>0</v>
      </c>
      <c r="AX162" s="26">
        <v>0</v>
      </c>
      <c r="AY162" s="26">
        <v>0</v>
      </c>
      <c r="AZ162" s="26">
        <v>0</v>
      </c>
      <c r="BA162" s="26">
        <v>0</v>
      </c>
      <c r="BB162" s="26">
        <v>0</v>
      </c>
      <c r="BC162" s="26">
        <v>0</v>
      </c>
      <c r="BD162" s="26">
        <v>0</v>
      </c>
      <c r="BE162" s="26">
        <v>0</v>
      </c>
      <c r="BF162" s="26">
        <v>0</v>
      </c>
      <c r="BG162" s="26">
        <v>0</v>
      </c>
      <c r="BH162" s="26">
        <v>0</v>
      </c>
      <c r="BI162" s="26">
        <v>0</v>
      </c>
      <c r="BJ162" s="26">
        <v>0</v>
      </c>
      <c r="BK162" s="26">
        <v>0</v>
      </c>
      <c r="BL162" s="26">
        <v>0</v>
      </c>
      <c r="BM162" s="26">
        <v>0</v>
      </c>
      <c r="BN162" s="26">
        <v>0</v>
      </c>
      <c r="BO162" s="26">
        <v>1901.64219</v>
      </c>
      <c r="BP162" s="26">
        <v>46366.755799999999</v>
      </c>
      <c r="BQ162" s="26">
        <v>451616.48</v>
      </c>
      <c r="BR162" s="26">
        <v>28</v>
      </c>
      <c r="BS162" s="26">
        <v>1</v>
      </c>
      <c r="BT162" s="26">
        <v>0.57631927699999996</v>
      </c>
      <c r="BU162" s="26">
        <v>0.42368072299999998</v>
      </c>
      <c r="BV162" s="26">
        <v>0</v>
      </c>
      <c r="BW162" s="26">
        <v>-32714.426599999995</v>
      </c>
      <c r="BX162" s="26">
        <v>-1341.7184999999999</v>
      </c>
      <c r="BY162" s="26">
        <v>-62.211134399999999</v>
      </c>
      <c r="BZ162" s="26">
        <v>-15.711566700000002</v>
      </c>
      <c r="CA162" s="26">
        <v>-0.64437931000000004</v>
      </c>
      <c r="CB162" s="26">
        <v>7.0179095800000006E-5</v>
      </c>
      <c r="CC162" s="26">
        <v>1.71114051E-3</v>
      </c>
      <c r="CD162" s="26">
        <v>24.382481599999998</v>
      </c>
      <c r="CE162" s="26">
        <v>1197.2133799999999</v>
      </c>
      <c r="CF162" s="26">
        <v>0</v>
      </c>
      <c r="CG162" s="26">
        <v>0</v>
      </c>
      <c r="CH162" s="26">
        <v>0</v>
      </c>
      <c r="CI162" s="26">
        <v>0</v>
      </c>
      <c r="CJ162" s="26">
        <v>0</v>
      </c>
      <c r="CK162" s="26">
        <v>0</v>
      </c>
      <c r="CL162" s="26">
        <v>0</v>
      </c>
      <c r="CM162" s="26">
        <v>0</v>
      </c>
      <c r="CN162" s="26">
        <v>0</v>
      </c>
      <c r="CO162" s="26">
        <v>0</v>
      </c>
      <c r="CP162" s="26">
        <v>0</v>
      </c>
      <c r="CQ162" s="26">
        <v>0</v>
      </c>
      <c r="CR162" s="26">
        <v>0</v>
      </c>
      <c r="CS162" s="26">
        <v>0</v>
      </c>
      <c r="CT162" s="26">
        <v>0</v>
      </c>
      <c r="CU162" s="26">
        <v>0</v>
      </c>
      <c r="CV162" s="26">
        <v>0</v>
      </c>
      <c r="CW162" s="26">
        <v>0</v>
      </c>
      <c r="CX162" s="26">
        <v>0</v>
      </c>
      <c r="CY162" s="26">
        <v>0</v>
      </c>
      <c r="CZ162" s="26">
        <v>0</v>
      </c>
      <c r="DA162" s="26">
        <v>0</v>
      </c>
      <c r="DB162" s="26">
        <v>0</v>
      </c>
      <c r="DC162" s="26">
        <v>0</v>
      </c>
      <c r="DD162" s="26">
        <v>0</v>
      </c>
      <c r="DE162" s="26">
        <v>0</v>
      </c>
      <c r="DF162" s="26">
        <v>0</v>
      </c>
      <c r="DG162" s="26">
        <v>0</v>
      </c>
      <c r="DH162" s="26">
        <v>0</v>
      </c>
      <c r="DI162" s="26">
        <v>0</v>
      </c>
      <c r="DJ162" s="26">
        <v>0</v>
      </c>
      <c r="DK162" s="26">
        <v>0</v>
      </c>
      <c r="DL162" s="26">
        <v>0</v>
      </c>
      <c r="DM162" s="26">
        <v>0</v>
      </c>
      <c r="DN162" s="26">
        <v>0</v>
      </c>
      <c r="DO162" s="26">
        <v>0</v>
      </c>
      <c r="DP162" s="26">
        <v>0</v>
      </c>
      <c r="DQ162" s="26">
        <v>0</v>
      </c>
      <c r="DR162" s="26">
        <v>0</v>
      </c>
      <c r="DS162" s="26">
        <v>0</v>
      </c>
      <c r="DT162" s="26">
        <v>0</v>
      </c>
      <c r="DU162" s="26">
        <v>0</v>
      </c>
      <c r="DV162" s="26">
        <v>0</v>
      </c>
      <c r="DW162" s="26">
        <v>0</v>
      </c>
      <c r="DX162" s="26">
        <v>0</v>
      </c>
      <c r="DY162" s="26">
        <v>0</v>
      </c>
      <c r="DZ162" s="26">
        <v>0</v>
      </c>
      <c r="EA162" s="26">
        <v>0</v>
      </c>
      <c r="EB162" s="26">
        <v>0</v>
      </c>
      <c r="EC162" s="26">
        <v>0</v>
      </c>
      <c r="ED162" s="26">
        <v>0</v>
      </c>
      <c r="EE162" s="26">
        <v>45.692955699999999</v>
      </c>
      <c r="EF162" s="26">
        <v>0</v>
      </c>
      <c r="EG162" s="26">
        <v>578.67022699999995</v>
      </c>
      <c r="EH162" s="26">
        <v>64.296904799999993</v>
      </c>
      <c r="EI162" s="26">
        <v>0</v>
      </c>
      <c r="EJ162" s="26">
        <v>119.780253</v>
      </c>
      <c r="EK162" s="26">
        <v>0</v>
      </c>
      <c r="EL162" s="26">
        <v>0</v>
      </c>
      <c r="EM162" s="26">
        <v>0</v>
      </c>
      <c r="EN162" s="26">
        <v>0</v>
      </c>
      <c r="EO162" s="26">
        <v>0</v>
      </c>
      <c r="EP162" s="26">
        <v>33.801970699999998</v>
      </c>
      <c r="EQ162" s="26">
        <v>808.44034099999999</v>
      </c>
      <c r="ER162" s="26">
        <v>8.5874700900000001</v>
      </c>
      <c r="ES162" s="26">
        <v>28</v>
      </c>
      <c r="ET162" s="26">
        <v>1</v>
      </c>
      <c r="EU162" s="26">
        <v>0</v>
      </c>
      <c r="EV162" s="26">
        <v>0</v>
      </c>
      <c r="EW162" s="26">
        <v>1</v>
      </c>
      <c r="EX162" s="26">
        <v>-18646.308099999998</v>
      </c>
      <c r="EY162" s="26">
        <v>-779.62705100000005</v>
      </c>
      <c r="EZ162" s="26">
        <v>-0.63028196400000003</v>
      </c>
      <c r="FA162" s="26">
        <v>-60.767273600000003</v>
      </c>
      <c r="FB162" s="26">
        <v>-2.54076089</v>
      </c>
      <c r="FC162" s="26">
        <v>6.5603276099999996E-2</v>
      </c>
      <c r="FD162" s="26">
        <v>1.5690308500000001</v>
      </c>
      <c r="FE162" s="26">
        <v>23.9169588</v>
      </c>
      <c r="FF162" s="26">
        <v>0</v>
      </c>
      <c r="FG162" s="26">
        <v>2.5454465200000002E-2</v>
      </c>
      <c r="FH162" s="26">
        <v>-73159226.755999997</v>
      </c>
      <c r="FI162" s="26">
        <v>1.5123282148764034E-2</v>
      </c>
      <c r="FJ162" s="26">
        <v>1.1360012146435654E-2</v>
      </c>
      <c r="FK162" s="26">
        <v>0</v>
      </c>
      <c r="FL162" s="26">
        <v>0</v>
      </c>
      <c r="FM162" s="26">
        <v>0</v>
      </c>
      <c r="FN162" s="26">
        <v>0</v>
      </c>
      <c r="FO162" s="26">
        <v>0</v>
      </c>
      <c r="FP162" s="26">
        <v>0</v>
      </c>
      <c r="FQ162" s="26">
        <v>0</v>
      </c>
      <c r="FR162" s="26">
        <v>0</v>
      </c>
      <c r="FS162" s="26">
        <v>0</v>
      </c>
      <c r="FT162" s="26">
        <v>0</v>
      </c>
      <c r="FU162" s="26">
        <v>0</v>
      </c>
      <c r="FV162" s="26">
        <v>0</v>
      </c>
      <c r="FW162" s="26">
        <v>0</v>
      </c>
      <c r="FX162" s="26">
        <v>0</v>
      </c>
      <c r="FY162" s="26">
        <v>0</v>
      </c>
      <c r="FZ162" s="26">
        <v>0</v>
      </c>
      <c r="GA162" s="26">
        <v>0</v>
      </c>
      <c r="GB162" s="26">
        <v>0</v>
      </c>
      <c r="GC162" s="26">
        <v>1.272754079626477E-9</v>
      </c>
      <c r="GD162" s="26">
        <v>0</v>
      </c>
      <c r="GE162" s="26">
        <v>0</v>
      </c>
      <c r="GF162" s="26">
        <v>0</v>
      </c>
      <c r="GG162" s="26">
        <v>3.3484213323429262E-6</v>
      </c>
      <c r="GH162" s="26">
        <v>0</v>
      </c>
      <c r="GI162" s="26">
        <v>0</v>
      </c>
      <c r="GJ162" s="26">
        <v>0</v>
      </c>
      <c r="GK162" s="26">
        <v>0</v>
      </c>
      <c r="GL162" s="26">
        <v>0</v>
      </c>
      <c r="GM162" s="26">
        <v>0</v>
      </c>
      <c r="GN162" s="26">
        <v>0</v>
      </c>
      <c r="GO162" s="26">
        <v>0</v>
      </c>
      <c r="GP162" s="26">
        <v>0</v>
      </c>
      <c r="GQ162" s="26">
        <v>0</v>
      </c>
      <c r="GR162" s="26">
        <v>2.7880597723044782E-14</v>
      </c>
      <c r="GS162" s="26">
        <v>4.7223611211122223E-2</v>
      </c>
      <c r="GT162" s="26">
        <v>0.23140827018459947</v>
      </c>
      <c r="GU162" s="26">
        <v>0</v>
      </c>
      <c r="GV162" s="26">
        <v>0</v>
      </c>
      <c r="GW162" s="26">
        <v>0</v>
      </c>
      <c r="GX162" s="26">
        <v>1.4436100921044363E-2</v>
      </c>
      <c r="GY162" s="26">
        <v>0</v>
      </c>
      <c r="GZ162" s="26">
        <v>0</v>
      </c>
      <c r="HA162" s="26">
        <v>6.1973643829122487E-8</v>
      </c>
      <c r="HB162" s="26">
        <v>0</v>
      </c>
      <c r="HC162" s="26">
        <v>0</v>
      </c>
      <c r="HD162" s="26">
        <v>0</v>
      </c>
      <c r="HE162" s="26">
        <v>0</v>
      </c>
      <c r="HF162" s="26">
        <v>0</v>
      </c>
      <c r="HG162" s="26">
        <v>0</v>
      </c>
      <c r="HH162" s="26">
        <v>0</v>
      </c>
      <c r="HI162" s="26">
        <v>0</v>
      </c>
      <c r="HJ162" s="26">
        <v>0</v>
      </c>
      <c r="HK162" s="26">
        <v>0</v>
      </c>
      <c r="HL162" s="26">
        <v>0</v>
      </c>
      <c r="HM162" s="26">
        <v>0</v>
      </c>
      <c r="HN162" s="26">
        <v>0</v>
      </c>
      <c r="HO162" s="26">
        <v>0</v>
      </c>
      <c r="HP162" s="26">
        <v>0</v>
      </c>
      <c r="HQ162" s="26">
        <v>0</v>
      </c>
      <c r="HR162" s="26">
        <v>0</v>
      </c>
      <c r="HS162" s="26">
        <v>0</v>
      </c>
      <c r="HT162" s="26">
        <v>9.389436380671046E-3</v>
      </c>
    </row>
    <row r="163" spans="2:228" x14ac:dyDescent="0.2">
      <c r="B163" s="27" t="s">
        <v>2402</v>
      </c>
      <c r="C163" s="26">
        <v>13836.505999999999</v>
      </c>
      <c r="D163" s="26">
        <v>-50.055226400000002</v>
      </c>
      <c r="E163" s="26">
        <v>13053.5304</v>
      </c>
      <c r="F163" s="26">
        <v>0</v>
      </c>
      <c r="G163" s="26">
        <v>0</v>
      </c>
      <c r="H163" s="26">
        <v>0</v>
      </c>
      <c r="I163" s="26">
        <v>0</v>
      </c>
      <c r="J163" s="26">
        <v>0</v>
      </c>
      <c r="K163" s="26">
        <v>0</v>
      </c>
      <c r="L163" s="26">
        <v>0</v>
      </c>
      <c r="M163" s="26">
        <v>0</v>
      </c>
      <c r="N163" s="26">
        <v>0</v>
      </c>
      <c r="O163" s="26">
        <v>0</v>
      </c>
      <c r="P163" s="26">
        <v>0</v>
      </c>
      <c r="Q163" s="26">
        <v>0</v>
      </c>
      <c r="R163" s="26">
        <v>0</v>
      </c>
      <c r="S163" s="26">
        <v>0</v>
      </c>
      <c r="T163" s="26">
        <v>0</v>
      </c>
      <c r="U163" s="26">
        <v>0</v>
      </c>
      <c r="V163" s="26">
        <v>0</v>
      </c>
      <c r="W163" s="26">
        <v>0</v>
      </c>
      <c r="X163" s="26">
        <v>40.711663899999998</v>
      </c>
      <c r="Y163" s="26">
        <v>0</v>
      </c>
      <c r="Z163" s="26">
        <v>0</v>
      </c>
      <c r="AA163" s="26">
        <v>0</v>
      </c>
      <c r="AB163" s="26">
        <v>0.20126190999999999</v>
      </c>
      <c r="AC163" s="26">
        <v>0</v>
      </c>
      <c r="AD163" s="26">
        <v>0</v>
      </c>
      <c r="AE163" s="26">
        <v>0</v>
      </c>
      <c r="AF163" s="26">
        <v>0</v>
      </c>
      <c r="AG163" s="26">
        <v>0</v>
      </c>
      <c r="AH163" s="26">
        <v>0</v>
      </c>
      <c r="AI163" s="26">
        <v>0</v>
      </c>
      <c r="AJ163" s="26">
        <v>0</v>
      </c>
      <c r="AK163" s="26">
        <v>0</v>
      </c>
      <c r="AL163" s="26">
        <v>0</v>
      </c>
      <c r="AM163" s="26">
        <v>13.357549499999999</v>
      </c>
      <c r="AN163" s="26">
        <v>7.8815718500000007E-2</v>
      </c>
      <c r="AO163" s="26">
        <v>0.174713493</v>
      </c>
      <c r="AP163" s="26">
        <v>0</v>
      </c>
      <c r="AQ163" s="26">
        <v>0</v>
      </c>
      <c r="AR163" s="26">
        <v>0</v>
      </c>
      <c r="AS163" s="26">
        <v>0.85319220100000004</v>
      </c>
      <c r="AT163" s="26">
        <v>0</v>
      </c>
      <c r="AU163" s="26">
        <v>0</v>
      </c>
      <c r="AV163" s="26">
        <v>2.1650779600000001E-3</v>
      </c>
      <c r="AW163" s="26">
        <v>0</v>
      </c>
      <c r="AX163" s="26">
        <v>0</v>
      </c>
      <c r="AY163" s="26">
        <v>0</v>
      </c>
      <c r="AZ163" s="26">
        <v>0</v>
      </c>
      <c r="BA163" s="26">
        <v>0</v>
      </c>
      <c r="BB163" s="26">
        <v>0</v>
      </c>
      <c r="BC163" s="26">
        <v>0</v>
      </c>
      <c r="BD163" s="26">
        <v>0</v>
      </c>
      <c r="BE163" s="26">
        <v>0</v>
      </c>
      <c r="BF163" s="26">
        <v>0</v>
      </c>
      <c r="BG163" s="26">
        <v>0</v>
      </c>
      <c r="BH163" s="26">
        <v>0</v>
      </c>
      <c r="BI163" s="26">
        <v>0</v>
      </c>
      <c r="BJ163" s="26">
        <v>0</v>
      </c>
      <c r="BK163" s="26">
        <v>0</v>
      </c>
      <c r="BL163" s="26">
        <v>0</v>
      </c>
      <c r="BM163" s="26">
        <v>0</v>
      </c>
      <c r="BN163" s="26">
        <v>0</v>
      </c>
      <c r="BO163" s="26">
        <v>725.120225</v>
      </c>
      <c r="BP163" s="26">
        <v>13108.9097</v>
      </c>
      <c r="BQ163" s="26">
        <v>220.42946000000001</v>
      </c>
      <c r="BR163" s="26">
        <v>28.081770600000027</v>
      </c>
      <c r="BS163" s="26">
        <v>2.4970112100000001</v>
      </c>
      <c r="BT163" s="26">
        <v>0</v>
      </c>
      <c r="BU163" s="26">
        <v>1</v>
      </c>
      <c r="BV163" s="26">
        <v>0</v>
      </c>
      <c r="BW163" s="26">
        <v>-68247.983699999997</v>
      </c>
      <c r="BX163" s="26">
        <v>-3775.1418199999998</v>
      </c>
      <c r="BY163" s="26">
        <v>-49.487993699999997</v>
      </c>
      <c r="BZ163" s="26">
        <v>-38.748427700000001</v>
      </c>
      <c r="CA163" s="26">
        <v>-2.1433718900000001</v>
      </c>
      <c r="CB163" s="26">
        <v>5.4826323699999999E-2</v>
      </c>
      <c r="CC163" s="26">
        <v>0.99116436600000002</v>
      </c>
      <c r="CD163" s="26">
        <v>18.0782569</v>
      </c>
      <c r="CE163" s="26">
        <v>218.821482</v>
      </c>
      <c r="CF163" s="26">
        <v>0</v>
      </c>
      <c r="CG163" s="26">
        <v>0</v>
      </c>
      <c r="CH163" s="26">
        <v>0</v>
      </c>
      <c r="CI163" s="26">
        <v>0</v>
      </c>
      <c r="CJ163" s="26">
        <v>0</v>
      </c>
      <c r="CK163" s="26">
        <v>0</v>
      </c>
      <c r="CL163" s="26">
        <v>0</v>
      </c>
      <c r="CM163" s="26">
        <v>0</v>
      </c>
      <c r="CN163" s="26">
        <v>0</v>
      </c>
      <c r="CO163" s="26">
        <v>0</v>
      </c>
      <c r="CP163" s="26">
        <v>0</v>
      </c>
      <c r="CQ163" s="26">
        <v>0</v>
      </c>
      <c r="CR163" s="26">
        <v>0</v>
      </c>
      <c r="CS163" s="26">
        <v>0</v>
      </c>
      <c r="CT163" s="26">
        <v>0</v>
      </c>
      <c r="CU163" s="26">
        <v>0</v>
      </c>
      <c r="CV163" s="26">
        <v>0</v>
      </c>
      <c r="CW163" s="26">
        <v>0</v>
      </c>
      <c r="CX163" s="26">
        <v>0</v>
      </c>
      <c r="CY163" s="26">
        <v>0</v>
      </c>
      <c r="CZ163" s="26">
        <v>0</v>
      </c>
      <c r="DA163" s="26">
        <v>0</v>
      </c>
      <c r="DB163" s="26">
        <v>0</v>
      </c>
      <c r="DC163" s="26">
        <v>0</v>
      </c>
      <c r="DD163" s="26">
        <v>0</v>
      </c>
      <c r="DE163" s="26">
        <v>0</v>
      </c>
      <c r="DF163" s="26">
        <v>0</v>
      </c>
      <c r="DG163" s="26">
        <v>0</v>
      </c>
      <c r="DH163" s="26">
        <v>0</v>
      </c>
      <c r="DI163" s="26">
        <v>0</v>
      </c>
      <c r="DJ163" s="26">
        <v>0</v>
      </c>
      <c r="DK163" s="26">
        <v>0</v>
      </c>
      <c r="DL163" s="26">
        <v>0</v>
      </c>
      <c r="DM163" s="26">
        <v>0</v>
      </c>
      <c r="DN163" s="26">
        <v>0</v>
      </c>
      <c r="DO163" s="26">
        <v>0</v>
      </c>
      <c r="DP163" s="26">
        <v>0</v>
      </c>
      <c r="DQ163" s="26">
        <v>0</v>
      </c>
      <c r="DR163" s="26">
        <v>0</v>
      </c>
      <c r="DS163" s="26">
        <v>0</v>
      </c>
      <c r="DT163" s="26">
        <v>0</v>
      </c>
      <c r="DU163" s="26">
        <v>0</v>
      </c>
      <c r="DV163" s="26">
        <v>0</v>
      </c>
      <c r="DW163" s="26">
        <v>0</v>
      </c>
      <c r="DX163" s="26">
        <v>0</v>
      </c>
      <c r="DY163" s="26">
        <v>0</v>
      </c>
      <c r="DZ163" s="26">
        <v>0</v>
      </c>
      <c r="EA163" s="26">
        <v>0</v>
      </c>
      <c r="EB163" s="26">
        <v>0</v>
      </c>
      <c r="EC163" s="26">
        <v>0</v>
      </c>
      <c r="ED163" s="26">
        <v>0</v>
      </c>
      <c r="EE163" s="26">
        <v>41.123660100000002</v>
      </c>
      <c r="EF163" s="26">
        <v>0</v>
      </c>
      <c r="EG163" s="26">
        <v>520.80320400000005</v>
      </c>
      <c r="EH163" s="26">
        <v>57.867214300000001</v>
      </c>
      <c r="EI163" s="26">
        <v>0</v>
      </c>
      <c r="EJ163" s="26">
        <v>107.802228</v>
      </c>
      <c r="EK163" s="26">
        <v>0</v>
      </c>
      <c r="EL163" s="26">
        <v>0</v>
      </c>
      <c r="EM163" s="26">
        <v>0</v>
      </c>
      <c r="EN163" s="26">
        <v>0</v>
      </c>
      <c r="EO163" s="26">
        <v>0</v>
      </c>
      <c r="EP163" s="26">
        <v>30.421773599999998</v>
      </c>
      <c r="EQ163" s="26">
        <v>727.59630700000002</v>
      </c>
      <c r="ER163" s="26">
        <v>7.7287230799999991</v>
      </c>
      <c r="ES163" s="26">
        <v>28.081770600000027</v>
      </c>
      <c r="ET163" s="26">
        <v>2.4970112100000001</v>
      </c>
      <c r="EU163" s="26">
        <v>0</v>
      </c>
      <c r="EV163" s="26">
        <v>0</v>
      </c>
      <c r="EW163" s="26">
        <v>1</v>
      </c>
      <c r="EX163" s="26">
        <v>-18645.613000000001</v>
      </c>
      <c r="EY163" s="26">
        <v>-779.59798899999998</v>
      </c>
      <c r="EZ163" s="26">
        <v>-0.56723262200000002</v>
      </c>
      <c r="FA163" s="26">
        <v>-60.7649659</v>
      </c>
      <c r="FB163" s="26">
        <v>-2.5406643999999998</v>
      </c>
      <c r="FC163" s="26">
        <v>6.5603276099999996E-2</v>
      </c>
      <c r="FD163" s="26">
        <v>1.5690308500000001</v>
      </c>
      <c r="FE163" s="26">
        <v>23.9169588</v>
      </c>
      <c r="FF163" s="26">
        <v>0</v>
      </c>
      <c r="FG163" s="26">
        <v>7.8107423999999995E-2</v>
      </c>
      <c r="FH163" s="26">
        <v>-58258164.349799998</v>
      </c>
      <c r="FI163" s="26">
        <v>6.1845966883656623E-4</v>
      </c>
      <c r="FJ163" s="26">
        <v>0</v>
      </c>
      <c r="FK163" s="26">
        <v>0</v>
      </c>
      <c r="FL163" s="26">
        <v>0</v>
      </c>
      <c r="FM163" s="26">
        <v>0</v>
      </c>
      <c r="FN163" s="26">
        <v>0</v>
      </c>
      <c r="FO163" s="26">
        <v>0</v>
      </c>
      <c r="FP163" s="26">
        <v>0</v>
      </c>
      <c r="FQ163" s="26">
        <v>0</v>
      </c>
      <c r="FR163" s="26">
        <v>0</v>
      </c>
      <c r="FS163" s="26">
        <v>0</v>
      </c>
      <c r="FT163" s="26">
        <v>0</v>
      </c>
      <c r="FU163" s="26">
        <v>0</v>
      </c>
      <c r="FV163" s="26">
        <v>0</v>
      </c>
      <c r="FW163" s="26">
        <v>0</v>
      </c>
      <c r="FX163" s="26">
        <v>0</v>
      </c>
      <c r="FY163" s="26">
        <v>0</v>
      </c>
      <c r="FZ163" s="26">
        <v>0</v>
      </c>
      <c r="GA163" s="26">
        <v>0</v>
      </c>
      <c r="GB163" s="26">
        <v>0</v>
      </c>
      <c r="GC163" s="26">
        <v>0</v>
      </c>
      <c r="GD163" s="26">
        <v>0</v>
      </c>
      <c r="GE163" s="26">
        <v>0</v>
      </c>
      <c r="GF163" s="26">
        <v>0</v>
      </c>
      <c r="GG163" s="26">
        <v>0</v>
      </c>
      <c r="GH163" s="26">
        <v>0</v>
      </c>
      <c r="GI163" s="26">
        <v>0</v>
      </c>
      <c r="GJ163" s="26">
        <v>0</v>
      </c>
      <c r="GK163" s="26">
        <v>0</v>
      </c>
      <c r="GL163" s="26">
        <v>0</v>
      </c>
      <c r="GM163" s="26">
        <v>0</v>
      </c>
      <c r="GN163" s="26">
        <v>0</v>
      </c>
      <c r="GO163" s="26">
        <v>0</v>
      </c>
      <c r="GP163" s="26">
        <v>0</v>
      </c>
      <c r="GQ163" s="26">
        <v>0</v>
      </c>
      <c r="GR163" s="26">
        <v>0</v>
      </c>
      <c r="GS163" s="26">
        <v>0</v>
      </c>
      <c r="GT163" s="26">
        <v>0</v>
      </c>
      <c r="GU163" s="26">
        <v>0</v>
      </c>
      <c r="GV163" s="26">
        <v>0</v>
      </c>
      <c r="GW163" s="26">
        <v>0</v>
      </c>
      <c r="GX163" s="26">
        <v>0</v>
      </c>
      <c r="GY163" s="26">
        <v>0</v>
      </c>
      <c r="GZ163" s="26">
        <v>0</v>
      </c>
      <c r="HA163" s="26">
        <v>0</v>
      </c>
      <c r="HB163" s="26">
        <v>0</v>
      </c>
      <c r="HC163" s="26">
        <v>0</v>
      </c>
      <c r="HD163" s="26">
        <v>0</v>
      </c>
      <c r="HE163" s="26">
        <v>0</v>
      </c>
      <c r="HF163" s="26">
        <v>0</v>
      </c>
      <c r="HG163" s="26">
        <v>0</v>
      </c>
      <c r="HH163" s="26">
        <v>0</v>
      </c>
      <c r="HI163" s="26">
        <v>0</v>
      </c>
      <c r="HJ163" s="26">
        <v>0</v>
      </c>
      <c r="HK163" s="26">
        <v>0</v>
      </c>
      <c r="HL163" s="26">
        <v>0</v>
      </c>
      <c r="HM163" s="26">
        <v>0</v>
      </c>
      <c r="HN163" s="26">
        <v>0</v>
      </c>
      <c r="HO163" s="26">
        <v>0</v>
      </c>
      <c r="HP163" s="26">
        <v>0</v>
      </c>
      <c r="HQ163" s="26">
        <v>0</v>
      </c>
      <c r="HR163" s="26">
        <v>0</v>
      </c>
      <c r="HS163" s="26">
        <v>0</v>
      </c>
      <c r="HT163" s="26">
        <v>8.4504927342706083E-3</v>
      </c>
    </row>
    <row r="164" spans="2:228" x14ac:dyDescent="0.2">
      <c r="B164" s="27" t="s">
        <v>2403</v>
      </c>
      <c r="C164" s="26">
        <v>15373.8956</v>
      </c>
      <c r="D164" s="26">
        <v>-55.618034899999998</v>
      </c>
      <c r="E164" s="26">
        <v>14503.922599999998</v>
      </c>
      <c r="F164" s="26">
        <v>0</v>
      </c>
      <c r="G164" s="26">
        <v>0</v>
      </c>
      <c r="H164" s="26">
        <v>0</v>
      </c>
      <c r="I164" s="26">
        <v>0</v>
      </c>
      <c r="J164" s="26">
        <v>0</v>
      </c>
      <c r="K164" s="26">
        <v>0</v>
      </c>
      <c r="L164" s="26">
        <v>0</v>
      </c>
      <c r="M164" s="26">
        <v>0</v>
      </c>
      <c r="N164" s="26">
        <v>0</v>
      </c>
      <c r="O164" s="26">
        <v>0</v>
      </c>
      <c r="P164" s="26">
        <v>0</v>
      </c>
      <c r="Q164" s="26">
        <v>0</v>
      </c>
      <c r="R164" s="26">
        <v>0</v>
      </c>
      <c r="S164" s="26">
        <v>0</v>
      </c>
      <c r="T164" s="26">
        <v>0</v>
      </c>
      <c r="U164" s="26">
        <v>0</v>
      </c>
      <c r="V164" s="26">
        <v>0</v>
      </c>
      <c r="W164" s="26">
        <v>0</v>
      </c>
      <c r="X164" s="26">
        <v>45.235182100000003</v>
      </c>
      <c r="Y164" s="26">
        <v>0</v>
      </c>
      <c r="Z164" s="26">
        <v>0</v>
      </c>
      <c r="AA164" s="26">
        <v>0</v>
      </c>
      <c r="AB164" s="26">
        <v>0.223624344</v>
      </c>
      <c r="AC164" s="26">
        <v>0</v>
      </c>
      <c r="AD164" s="26">
        <v>0</v>
      </c>
      <c r="AE164" s="26">
        <v>0</v>
      </c>
      <c r="AF164" s="26">
        <v>0</v>
      </c>
      <c r="AG164" s="26">
        <v>0</v>
      </c>
      <c r="AH164" s="26">
        <v>0</v>
      </c>
      <c r="AI164" s="26">
        <v>0</v>
      </c>
      <c r="AJ164" s="26">
        <v>0</v>
      </c>
      <c r="AK164" s="26">
        <v>0</v>
      </c>
      <c r="AL164" s="26">
        <v>0</v>
      </c>
      <c r="AM164" s="26">
        <v>14.841721700000001</v>
      </c>
      <c r="AN164" s="26">
        <v>8.7573020500000001E-2</v>
      </c>
      <c r="AO164" s="26">
        <v>0.19412610399999999</v>
      </c>
      <c r="AP164" s="26">
        <v>0</v>
      </c>
      <c r="AQ164" s="26">
        <v>0</v>
      </c>
      <c r="AR164" s="26">
        <v>0</v>
      </c>
      <c r="AS164" s="26">
        <v>0.94799133400000002</v>
      </c>
      <c r="AT164" s="26">
        <v>0</v>
      </c>
      <c r="AU164" s="26">
        <v>0</v>
      </c>
      <c r="AV164" s="26">
        <v>2.4056421800000001E-3</v>
      </c>
      <c r="AW164" s="26">
        <v>0</v>
      </c>
      <c r="AX164" s="26">
        <v>0</v>
      </c>
      <c r="AY164" s="26">
        <v>0</v>
      </c>
      <c r="AZ164" s="26">
        <v>0</v>
      </c>
      <c r="BA164" s="26">
        <v>0</v>
      </c>
      <c r="BB164" s="26">
        <v>0</v>
      </c>
      <c r="BC164" s="26">
        <v>0</v>
      </c>
      <c r="BD164" s="26">
        <v>0</v>
      </c>
      <c r="BE164" s="26">
        <v>0</v>
      </c>
      <c r="BF164" s="26">
        <v>0</v>
      </c>
      <c r="BG164" s="26">
        <v>0</v>
      </c>
      <c r="BH164" s="26">
        <v>0</v>
      </c>
      <c r="BI164" s="26">
        <v>0</v>
      </c>
      <c r="BJ164" s="26">
        <v>0</v>
      </c>
      <c r="BK164" s="26">
        <v>0</v>
      </c>
      <c r="BL164" s="26">
        <v>0</v>
      </c>
      <c r="BM164" s="26">
        <v>0</v>
      </c>
      <c r="BN164" s="26">
        <v>0</v>
      </c>
      <c r="BO164" s="26">
        <v>805.68913899999995</v>
      </c>
      <c r="BP164" s="26">
        <v>14565.455299999998</v>
      </c>
      <c r="BQ164" s="26">
        <v>244.90203599999998</v>
      </c>
      <c r="BR164" s="26">
        <v>28.000000499999999</v>
      </c>
      <c r="BS164" s="26">
        <v>1</v>
      </c>
      <c r="BT164" s="26">
        <v>0</v>
      </c>
      <c r="BU164" s="26">
        <v>1</v>
      </c>
      <c r="BV164" s="26">
        <v>0</v>
      </c>
      <c r="BW164" s="26">
        <v>-68249.340599999996</v>
      </c>
      <c r="BX164" s="26">
        <v>-3775.2168799999999</v>
      </c>
      <c r="BY164" s="26">
        <v>-54.987752899999997</v>
      </c>
      <c r="BZ164" s="26">
        <v>-38.752889500000002</v>
      </c>
      <c r="CA164" s="26">
        <v>-2.1436187000000002</v>
      </c>
      <c r="CB164" s="26">
        <v>5.48307086E-2</v>
      </c>
      <c r="CC164" s="26">
        <v>0.99124363699999996</v>
      </c>
      <c r="CD164" s="26">
        <v>18.0782569</v>
      </c>
      <c r="CE164" s="26">
        <v>243.13498000000004</v>
      </c>
      <c r="CF164" s="26">
        <v>0</v>
      </c>
      <c r="CG164" s="26">
        <v>0</v>
      </c>
      <c r="CH164" s="26">
        <v>0</v>
      </c>
      <c r="CI164" s="26">
        <v>0</v>
      </c>
      <c r="CJ164" s="26">
        <v>0</v>
      </c>
      <c r="CK164" s="26">
        <v>0</v>
      </c>
      <c r="CL164" s="26">
        <v>0</v>
      </c>
      <c r="CM164" s="26">
        <v>0</v>
      </c>
      <c r="CN164" s="26">
        <v>0</v>
      </c>
      <c r="CO164" s="26">
        <v>0</v>
      </c>
      <c r="CP164" s="26">
        <v>0</v>
      </c>
      <c r="CQ164" s="26">
        <v>0</v>
      </c>
      <c r="CR164" s="26">
        <v>0</v>
      </c>
      <c r="CS164" s="26">
        <v>0</v>
      </c>
      <c r="CT164" s="26">
        <v>0</v>
      </c>
      <c r="CU164" s="26">
        <v>0</v>
      </c>
      <c r="CV164" s="26">
        <v>0</v>
      </c>
      <c r="CW164" s="26">
        <v>0</v>
      </c>
      <c r="CX164" s="26">
        <v>0</v>
      </c>
      <c r="CY164" s="26">
        <v>0</v>
      </c>
      <c r="CZ164" s="26">
        <v>0</v>
      </c>
      <c r="DA164" s="26">
        <v>0</v>
      </c>
      <c r="DB164" s="26">
        <v>0</v>
      </c>
      <c r="DC164" s="26">
        <v>0</v>
      </c>
      <c r="DD164" s="26">
        <v>0</v>
      </c>
      <c r="DE164" s="26">
        <v>0</v>
      </c>
      <c r="DF164" s="26">
        <v>0</v>
      </c>
      <c r="DG164" s="26">
        <v>0</v>
      </c>
      <c r="DH164" s="26">
        <v>0</v>
      </c>
      <c r="DI164" s="26">
        <v>0</v>
      </c>
      <c r="DJ164" s="26">
        <v>0</v>
      </c>
      <c r="DK164" s="26">
        <v>0</v>
      </c>
      <c r="DL164" s="26">
        <v>0</v>
      </c>
      <c r="DM164" s="26">
        <v>0</v>
      </c>
      <c r="DN164" s="26">
        <v>0</v>
      </c>
      <c r="DO164" s="26">
        <v>0</v>
      </c>
      <c r="DP164" s="26">
        <v>0</v>
      </c>
      <c r="DQ164" s="26">
        <v>0</v>
      </c>
      <c r="DR164" s="26">
        <v>0</v>
      </c>
      <c r="DS164" s="26">
        <v>0</v>
      </c>
      <c r="DT164" s="26">
        <v>0</v>
      </c>
      <c r="DU164" s="26">
        <v>0</v>
      </c>
      <c r="DV164" s="26">
        <v>0</v>
      </c>
      <c r="DW164" s="26">
        <v>0</v>
      </c>
      <c r="DX164" s="26">
        <v>0</v>
      </c>
      <c r="DY164" s="26">
        <v>0</v>
      </c>
      <c r="DZ164" s="26">
        <v>0</v>
      </c>
      <c r="EA164" s="26">
        <v>0</v>
      </c>
      <c r="EB164" s="26">
        <v>0</v>
      </c>
      <c r="EC164" s="26">
        <v>0</v>
      </c>
      <c r="ED164" s="26">
        <v>0</v>
      </c>
      <c r="EE164" s="26">
        <v>45.692955699999999</v>
      </c>
      <c r="EF164" s="26">
        <v>0</v>
      </c>
      <c r="EG164" s="26">
        <v>578.67022699999995</v>
      </c>
      <c r="EH164" s="26">
        <v>64.296904799999993</v>
      </c>
      <c r="EI164" s="26">
        <v>0</v>
      </c>
      <c r="EJ164" s="26">
        <v>119.780253</v>
      </c>
      <c r="EK164" s="26">
        <v>0</v>
      </c>
      <c r="EL164" s="26">
        <v>0</v>
      </c>
      <c r="EM164" s="26">
        <v>0</v>
      </c>
      <c r="EN164" s="26">
        <v>0</v>
      </c>
      <c r="EO164" s="26">
        <v>0</v>
      </c>
      <c r="EP164" s="26">
        <v>33.801970699999998</v>
      </c>
      <c r="EQ164" s="26">
        <v>808.44034099999999</v>
      </c>
      <c r="ER164" s="26">
        <v>8.5874700900000001</v>
      </c>
      <c r="ES164" s="26">
        <v>28.000000499999999</v>
      </c>
      <c r="ET164" s="26">
        <v>1</v>
      </c>
      <c r="EU164" s="26">
        <v>0</v>
      </c>
      <c r="EV164" s="26">
        <v>0</v>
      </c>
      <c r="EW164" s="26">
        <v>1</v>
      </c>
      <c r="EX164" s="26">
        <v>-18646.308099999998</v>
      </c>
      <c r="EY164" s="26">
        <v>-779.62705100000005</v>
      </c>
      <c r="EZ164" s="26">
        <v>-0.63028196400000003</v>
      </c>
      <c r="FA164" s="26">
        <v>-60.767273600000003</v>
      </c>
      <c r="FB164" s="26">
        <v>-2.54076089</v>
      </c>
      <c r="FC164" s="26">
        <v>6.5603276099999996E-2</v>
      </c>
      <c r="FD164" s="26">
        <v>1.5690308500000001</v>
      </c>
      <c r="FE164" s="26">
        <v>23.9169588</v>
      </c>
      <c r="FF164" s="26">
        <v>0</v>
      </c>
      <c r="FG164" s="26">
        <v>7.8107423999999995E-2</v>
      </c>
      <c r="FH164" s="26">
        <v>-64731293.721999995</v>
      </c>
      <c r="FI164" s="26">
        <v>6.8717741105297494E-4</v>
      </c>
      <c r="FJ164" s="26">
        <v>0</v>
      </c>
      <c r="FK164" s="26">
        <v>0</v>
      </c>
      <c r="FL164" s="26">
        <v>0</v>
      </c>
      <c r="FM164" s="26">
        <v>0</v>
      </c>
      <c r="FN164" s="26">
        <v>0</v>
      </c>
      <c r="FO164" s="26">
        <v>0</v>
      </c>
      <c r="FP164" s="26">
        <v>0</v>
      </c>
      <c r="FQ164" s="26">
        <v>0</v>
      </c>
      <c r="FR164" s="26">
        <v>0</v>
      </c>
      <c r="FS164" s="26">
        <v>0</v>
      </c>
      <c r="FT164" s="26">
        <v>0</v>
      </c>
      <c r="FU164" s="26">
        <v>0</v>
      </c>
      <c r="FV164" s="26">
        <v>0</v>
      </c>
      <c r="FW164" s="26">
        <v>0</v>
      </c>
      <c r="FX164" s="26">
        <v>0</v>
      </c>
      <c r="FY164" s="26">
        <v>0</v>
      </c>
      <c r="FZ164" s="26">
        <v>0</v>
      </c>
      <c r="GA164" s="26">
        <v>0</v>
      </c>
      <c r="GB164" s="26">
        <v>0</v>
      </c>
      <c r="GC164" s="26">
        <v>0</v>
      </c>
      <c r="GD164" s="26">
        <v>0</v>
      </c>
      <c r="GE164" s="26">
        <v>0</v>
      </c>
      <c r="GF164" s="26">
        <v>0</v>
      </c>
      <c r="GG164" s="26">
        <v>0</v>
      </c>
      <c r="GH164" s="26">
        <v>0</v>
      </c>
      <c r="GI164" s="26">
        <v>0</v>
      </c>
      <c r="GJ164" s="26">
        <v>0</v>
      </c>
      <c r="GK164" s="26">
        <v>0</v>
      </c>
      <c r="GL164" s="26">
        <v>0</v>
      </c>
      <c r="GM164" s="26">
        <v>0</v>
      </c>
      <c r="GN164" s="26">
        <v>0</v>
      </c>
      <c r="GO164" s="26">
        <v>0</v>
      </c>
      <c r="GP164" s="26">
        <v>0</v>
      </c>
      <c r="GQ164" s="26">
        <v>0</v>
      </c>
      <c r="GR164" s="26">
        <v>0</v>
      </c>
      <c r="GS164" s="26">
        <v>0</v>
      </c>
      <c r="GT164" s="26">
        <v>0</v>
      </c>
      <c r="GU164" s="26">
        <v>0</v>
      </c>
      <c r="GV164" s="26">
        <v>0</v>
      </c>
      <c r="GW164" s="26">
        <v>0</v>
      </c>
      <c r="GX164" s="26">
        <v>0</v>
      </c>
      <c r="GY164" s="26">
        <v>0</v>
      </c>
      <c r="GZ164" s="26">
        <v>0</v>
      </c>
      <c r="HA164" s="26">
        <v>0</v>
      </c>
      <c r="HB164" s="26">
        <v>0</v>
      </c>
      <c r="HC164" s="26">
        <v>0</v>
      </c>
      <c r="HD164" s="26">
        <v>0</v>
      </c>
      <c r="HE164" s="26">
        <v>0</v>
      </c>
      <c r="HF164" s="26">
        <v>0</v>
      </c>
      <c r="HG164" s="26">
        <v>0</v>
      </c>
      <c r="HH164" s="26">
        <v>0</v>
      </c>
      <c r="HI164" s="26">
        <v>0</v>
      </c>
      <c r="HJ164" s="26">
        <v>0</v>
      </c>
      <c r="HK164" s="26">
        <v>0</v>
      </c>
      <c r="HL164" s="26">
        <v>0</v>
      </c>
      <c r="HM164" s="26">
        <v>0</v>
      </c>
      <c r="HN164" s="26">
        <v>0</v>
      </c>
      <c r="HO164" s="26">
        <v>0</v>
      </c>
      <c r="HP164" s="26">
        <v>0</v>
      </c>
      <c r="HQ164" s="26">
        <v>0</v>
      </c>
      <c r="HR164" s="26">
        <v>0</v>
      </c>
      <c r="HS164" s="26">
        <v>0</v>
      </c>
      <c r="HT164" s="26">
        <v>9.389436380671046E-3</v>
      </c>
    </row>
    <row r="165" spans="2:228" x14ac:dyDescent="0.2">
      <c r="B165" s="27" t="s">
        <v>2404</v>
      </c>
      <c r="C165" s="26">
        <v>15373.8956</v>
      </c>
      <c r="D165" s="26">
        <v>-55.616918200000001</v>
      </c>
      <c r="E165" s="26">
        <v>14503.922599999998</v>
      </c>
      <c r="F165" s="26">
        <v>0</v>
      </c>
      <c r="G165" s="26">
        <v>0</v>
      </c>
      <c r="H165" s="26">
        <v>0</v>
      </c>
      <c r="I165" s="26">
        <v>0</v>
      </c>
      <c r="J165" s="26">
        <v>0</v>
      </c>
      <c r="K165" s="26">
        <v>0</v>
      </c>
      <c r="L165" s="26">
        <v>0</v>
      </c>
      <c r="M165" s="26">
        <v>0</v>
      </c>
      <c r="N165" s="26">
        <v>0</v>
      </c>
      <c r="O165" s="26">
        <v>0</v>
      </c>
      <c r="P165" s="26">
        <v>0</v>
      </c>
      <c r="Q165" s="26">
        <v>0</v>
      </c>
      <c r="R165" s="26">
        <v>0</v>
      </c>
      <c r="S165" s="26">
        <v>0</v>
      </c>
      <c r="T165" s="26">
        <v>0</v>
      </c>
      <c r="U165" s="26">
        <v>0</v>
      </c>
      <c r="V165" s="26">
        <v>0</v>
      </c>
      <c r="W165" s="26">
        <v>0</v>
      </c>
      <c r="X165" s="26">
        <v>45.235182100000003</v>
      </c>
      <c r="Y165" s="26">
        <v>0</v>
      </c>
      <c r="Z165" s="26">
        <v>0</v>
      </c>
      <c r="AA165" s="26">
        <v>0</v>
      </c>
      <c r="AB165" s="26">
        <v>0.223624344</v>
      </c>
      <c r="AC165" s="26">
        <v>0</v>
      </c>
      <c r="AD165" s="26">
        <v>0</v>
      </c>
      <c r="AE165" s="26">
        <v>0</v>
      </c>
      <c r="AF165" s="26">
        <v>0</v>
      </c>
      <c r="AG165" s="26">
        <v>0</v>
      </c>
      <c r="AH165" s="26">
        <v>0</v>
      </c>
      <c r="AI165" s="26">
        <v>0</v>
      </c>
      <c r="AJ165" s="26">
        <v>0</v>
      </c>
      <c r="AK165" s="26">
        <v>0</v>
      </c>
      <c r="AL165" s="26">
        <v>0</v>
      </c>
      <c r="AM165" s="26">
        <v>14.841721700000001</v>
      </c>
      <c r="AN165" s="26">
        <v>8.7573020500000001E-2</v>
      </c>
      <c r="AO165" s="26">
        <v>0.19412610399999999</v>
      </c>
      <c r="AP165" s="26">
        <v>0</v>
      </c>
      <c r="AQ165" s="26">
        <v>0</v>
      </c>
      <c r="AR165" s="26">
        <v>0</v>
      </c>
      <c r="AS165" s="26">
        <v>0.94799133400000002</v>
      </c>
      <c r="AT165" s="26">
        <v>0</v>
      </c>
      <c r="AU165" s="26">
        <v>0</v>
      </c>
      <c r="AV165" s="26">
        <v>2.4056421800000001E-3</v>
      </c>
      <c r="AW165" s="26">
        <v>0</v>
      </c>
      <c r="AX165" s="26">
        <v>0</v>
      </c>
      <c r="AY165" s="26">
        <v>0</v>
      </c>
      <c r="AZ165" s="26">
        <v>0</v>
      </c>
      <c r="BA165" s="26">
        <v>0</v>
      </c>
      <c r="BB165" s="26">
        <v>0</v>
      </c>
      <c r="BC165" s="26">
        <v>0</v>
      </c>
      <c r="BD165" s="26">
        <v>0</v>
      </c>
      <c r="BE165" s="26">
        <v>0</v>
      </c>
      <c r="BF165" s="26">
        <v>0</v>
      </c>
      <c r="BG165" s="26">
        <v>0</v>
      </c>
      <c r="BH165" s="26">
        <v>0</v>
      </c>
      <c r="BI165" s="26">
        <v>0</v>
      </c>
      <c r="BJ165" s="26">
        <v>0</v>
      </c>
      <c r="BK165" s="26">
        <v>0</v>
      </c>
      <c r="BL165" s="26">
        <v>0</v>
      </c>
      <c r="BM165" s="26">
        <v>0</v>
      </c>
      <c r="BN165" s="26">
        <v>0</v>
      </c>
      <c r="BO165" s="26">
        <v>805.68913899999995</v>
      </c>
      <c r="BP165" s="26">
        <v>14565.455299999998</v>
      </c>
      <c r="BQ165" s="26">
        <v>244.92162200000001</v>
      </c>
      <c r="BR165" s="26">
        <v>28.081770600000027</v>
      </c>
      <c r="BS165" s="26">
        <v>2.4970112100000001</v>
      </c>
      <c r="BT165" s="26">
        <v>0</v>
      </c>
      <c r="BU165" s="26">
        <v>1</v>
      </c>
      <c r="BV165" s="26">
        <v>0</v>
      </c>
      <c r="BW165" s="26">
        <v>-68247.983699999997</v>
      </c>
      <c r="BX165" s="26">
        <v>-3775.1418199999998</v>
      </c>
      <c r="BY165" s="26">
        <v>-54.986659699999997</v>
      </c>
      <c r="BZ165" s="26">
        <v>-38.748427700000001</v>
      </c>
      <c r="CA165" s="26">
        <v>-2.1433718900000001</v>
      </c>
      <c r="CB165" s="26">
        <v>5.4826323699999999E-2</v>
      </c>
      <c r="CC165" s="26">
        <v>0.99116436600000002</v>
      </c>
      <c r="CD165" s="26">
        <v>18.0782569</v>
      </c>
      <c r="CE165" s="26">
        <v>243.13498000000004</v>
      </c>
      <c r="CF165" s="26">
        <v>0</v>
      </c>
      <c r="CG165" s="26">
        <v>0</v>
      </c>
      <c r="CH165" s="26">
        <v>0</v>
      </c>
      <c r="CI165" s="26">
        <v>0</v>
      </c>
      <c r="CJ165" s="26">
        <v>0</v>
      </c>
      <c r="CK165" s="26">
        <v>0</v>
      </c>
      <c r="CL165" s="26">
        <v>0</v>
      </c>
      <c r="CM165" s="26">
        <v>0</v>
      </c>
      <c r="CN165" s="26">
        <v>0</v>
      </c>
      <c r="CO165" s="26">
        <v>0</v>
      </c>
      <c r="CP165" s="26">
        <v>0</v>
      </c>
      <c r="CQ165" s="26">
        <v>0</v>
      </c>
      <c r="CR165" s="26">
        <v>0</v>
      </c>
      <c r="CS165" s="26">
        <v>0</v>
      </c>
      <c r="CT165" s="26">
        <v>0</v>
      </c>
      <c r="CU165" s="26">
        <v>0</v>
      </c>
      <c r="CV165" s="26">
        <v>0</v>
      </c>
      <c r="CW165" s="26">
        <v>0</v>
      </c>
      <c r="CX165" s="26">
        <v>0</v>
      </c>
      <c r="CY165" s="26">
        <v>0</v>
      </c>
      <c r="CZ165" s="26">
        <v>0</v>
      </c>
      <c r="DA165" s="26">
        <v>0</v>
      </c>
      <c r="DB165" s="26">
        <v>0</v>
      </c>
      <c r="DC165" s="26">
        <v>0</v>
      </c>
      <c r="DD165" s="26">
        <v>0</v>
      </c>
      <c r="DE165" s="26">
        <v>0</v>
      </c>
      <c r="DF165" s="26">
        <v>0</v>
      </c>
      <c r="DG165" s="26">
        <v>0</v>
      </c>
      <c r="DH165" s="26">
        <v>0</v>
      </c>
      <c r="DI165" s="26">
        <v>0</v>
      </c>
      <c r="DJ165" s="26">
        <v>0</v>
      </c>
      <c r="DK165" s="26">
        <v>0</v>
      </c>
      <c r="DL165" s="26">
        <v>0</v>
      </c>
      <c r="DM165" s="26">
        <v>0</v>
      </c>
      <c r="DN165" s="26">
        <v>0</v>
      </c>
      <c r="DO165" s="26">
        <v>0</v>
      </c>
      <c r="DP165" s="26">
        <v>0</v>
      </c>
      <c r="DQ165" s="26">
        <v>0</v>
      </c>
      <c r="DR165" s="26">
        <v>0</v>
      </c>
      <c r="DS165" s="26">
        <v>0</v>
      </c>
      <c r="DT165" s="26">
        <v>0</v>
      </c>
      <c r="DU165" s="26">
        <v>0</v>
      </c>
      <c r="DV165" s="26">
        <v>0</v>
      </c>
      <c r="DW165" s="26">
        <v>0</v>
      </c>
      <c r="DX165" s="26">
        <v>0</v>
      </c>
      <c r="DY165" s="26">
        <v>0</v>
      </c>
      <c r="DZ165" s="26">
        <v>0</v>
      </c>
      <c r="EA165" s="26">
        <v>0</v>
      </c>
      <c r="EB165" s="26">
        <v>0</v>
      </c>
      <c r="EC165" s="26">
        <v>0</v>
      </c>
      <c r="ED165" s="26">
        <v>0</v>
      </c>
      <c r="EE165" s="26">
        <v>45.692955699999999</v>
      </c>
      <c r="EF165" s="26">
        <v>0</v>
      </c>
      <c r="EG165" s="26">
        <v>578.67022699999995</v>
      </c>
      <c r="EH165" s="26">
        <v>64.296904799999993</v>
      </c>
      <c r="EI165" s="26">
        <v>0</v>
      </c>
      <c r="EJ165" s="26">
        <v>119.780253</v>
      </c>
      <c r="EK165" s="26">
        <v>0</v>
      </c>
      <c r="EL165" s="26">
        <v>0</v>
      </c>
      <c r="EM165" s="26">
        <v>0</v>
      </c>
      <c r="EN165" s="26">
        <v>0</v>
      </c>
      <c r="EO165" s="26">
        <v>0</v>
      </c>
      <c r="EP165" s="26">
        <v>33.801970699999998</v>
      </c>
      <c r="EQ165" s="26">
        <v>808.44034099999999</v>
      </c>
      <c r="ER165" s="26">
        <v>8.5874700900000001</v>
      </c>
      <c r="ES165" s="26">
        <v>28.081770600000027</v>
      </c>
      <c r="ET165" s="26">
        <v>2.4970112100000001</v>
      </c>
      <c r="EU165" s="26">
        <v>0</v>
      </c>
      <c r="EV165" s="26">
        <v>0</v>
      </c>
      <c r="EW165" s="26">
        <v>1</v>
      </c>
      <c r="EX165" s="26">
        <v>-18645.613000000001</v>
      </c>
      <c r="EY165" s="26">
        <v>-779.59798899999998</v>
      </c>
      <c r="EZ165" s="26">
        <v>-0.63025846900000004</v>
      </c>
      <c r="FA165" s="26">
        <v>-60.7649659</v>
      </c>
      <c r="FB165" s="26">
        <v>-2.5406643999999998</v>
      </c>
      <c r="FC165" s="26">
        <v>6.5603276099999996E-2</v>
      </c>
      <c r="FD165" s="26">
        <v>1.5690308500000001</v>
      </c>
      <c r="FE165" s="26">
        <v>23.9169588</v>
      </c>
      <c r="FF165" s="26">
        <v>0</v>
      </c>
      <c r="FG165" s="26">
        <v>7.8107423999999995E-2</v>
      </c>
      <c r="FH165" s="26">
        <v>-64731293.721999995</v>
      </c>
      <c r="FI165" s="26">
        <v>6.8717741105297494E-4</v>
      </c>
      <c r="FJ165" s="26">
        <v>0</v>
      </c>
      <c r="FK165" s="26">
        <v>0</v>
      </c>
      <c r="FL165" s="26">
        <v>0</v>
      </c>
      <c r="FM165" s="26">
        <v>0</v>
      </c>
      <c r="FN165" s="26">
        <v>0</v>
      </c>
      <c r="FO165" s="26">
        <v>0</v>
      </c>
      <c r="FP165" s="26">
        <v>0</v>
      </c>
      <c r="FQ165" s="26">
        <v>0</v>
      </c>
      <c r="FR165" s="26">
        <v>0</v>
      </c>
      <c r="FS165" s="26">
        <v>0</v>
      </c>
      <c r="FT165" s="26">
        <v>0</v>
      </c>
      <c r="FU165" s="26">
        <v>0</v>
      </c>
      <c r="FV165" s="26">
        <v>0</v>
      </c>
      <c r="FW165" s="26">
        <v>0</v>
      </c>
      <c r="FX165" s="26">
        <v>0</v>
      </c>
      <c r="FY165" s="26">
        <v>0</v>
      </c>
      <c r="FZ165" s="26">
        <v>0</v>
      </c>
      <c r="GA165" s="26">
        <v>0</v>
      </c>
      <c r="GB165" s="26">
        <v>0</v>
      </c>
      <c r="GC165" s="26">
        <v>0</v>
      </c>
      <c r="GD165" s="26">
        <v>0</v>
      </c>
      <c r="GE165" s="26">
        <v>0</v>
      </c>
      <c r="GF165" s="26">
        <v>0</v>
      </c>
      <c r="GG165" s="26">
        <v>0</v>
      </c>
      <c r="GH165" s="26">
        <v>0</v>
      </c>
      <c r="GI165" s="26">
        <v>0</v>
      </c>
      <c r="GJ165" s="26">
        <v>0</v>
      </c>
      <c r="GK165" s="26">
        <v>0</v>
      </c>
      <c r="GL165" s="26">
        <v>0</v>
      </c>
      <c r="GM165" s="26">
        <v>0</v>
      </c>
      <c r="GN165" s="26">
        <v>0</v>
      </c>
      <c r="GO165" s="26">
        <v>0</v>
      </c>
      <c r="GP165" s="26">
        <v>0</v>
      </c>
      <c r="GQ165" s="26">
        <v>0</v>
      </c>
      <c r="GR165" s="26">
        <v>0</v>
      </c>
      <c r="GS165" s="26">
        <v>0</v>
      </c>
      <c r="GT165" s="26">
        <v>0</v>
      </c>
      <c r="GU165" s="26">
        <v>0</v>
      </c>
      <c r="GV165" s="26">
        <v>0</v>
      </c>
      <c r="GW165" s="26">
        <v>0</v>
      </c>
      <c r="GX165" s="26">
        <v>0</v>
      </c>
      <c r="GY165" s="26">
        <v>0</v>
      </c>
      <c r="GZ165" s="26">
        <v>0</v>
      </c>
      <c r="HA165" s="26">
        <v>0</v>
      </c>
      <c r="HB165" s="26">
        <v>0</v>
      </c>
      <c r="HC165" s="26">
        <v>0</v>
      </c>
      <c r="HD165" s="26">
        <v>0</v>
      </c>
      <c r="HE165" s="26">
        <v>0</v>
      </c>
      <c r="HF165" s="26">
        <v>0</v>
      </c>
      <c r="HG165" s="26">
        <v>0</v>
      </c>
      <c r="HH165" s="26">
        <v>0</v>
      </c>
      <c r="HI165" s="26">
        <v>0</v>
      </c>
      <c r="HJ165" s="26">
        <v>0</v>
      </c>
      <c r="HK165" s="26">
        <v>0</v>
      </c>
      <c r="HL165" s="26">
        <v>0</v>
      </c>
      <c r="HM165" s="26">
        <v>0</v>
      </c>
      <c r="HN165" s="26">
        <v>0</v>
      </c>
      <c r="HO165" s="26">
        <v>0</v>
      </c>
      <c r="HP165" s="26">
        <v>0</v>
      </c>
      <c r="HQ165" s="26">
        <v>0</v>
      </c>
      <c r="HR165" s="26">
        <v>0</v>
      </c>
      <c r="HS165" s="26">
        <v>0</v>
      </c>
      <c r="HT165" s="26">
        <v>9.389436380671046E-3</v>
      </c>
    </row>
    <row r="166" spans="2:228" x14ac:dyDescent="0.2">
      <c r="B166" s="27" t="s">
        <v>2406</v>
      </c>
      <c r="C166" s="26">
        <v>1537.3895600000001</v>
      </c>
      <c r="D166" s="26">
        <v>-5.5616918200000001</v>
      </c>
      <c r="E166" s="26">
        <v>1450.3922600000001</v>
      </c>
      <c r="F166" s="26">
        <v>0</v>
      </c>
      <c r="G166" s="26">
        <v>0</v>
      </c>
      <c r="H166" s="26">
        <v>0</v>
      </c>
      <c r="I166" s="26">
        <v>0</v>
      </c>
      <c r="J166" s="26">
        <v>0</v>
      </c>
      <c r="K166" s="26">
        <v>0</v>
      </c>
      <c r="L166" s="26">
        <v>0</v>
      </c>
      <c r="M166" s="26">
        <v>0</v>
      </c>
      <c r="N166" s="26">
        <v>0</v>
      </c>
      <c r="O166" s="26">
        <v>0</v>
      </c>
      <c r="P166" s="26">
        <v>0</v>
      </c>
      <c r="Q166" s="26">
        <v>0</v>
      </c>
      <c r="R166" s="26">
        <v>0</v>
      </c>
      <c r="S166" s="26">
        <v>0</v>
      </c>
      <c r="T166" s="26">
        <v>0</v>
      </c>
      <c r="U166" s="26">
        <v>0</v>
      </c>
      <c r="V166" s="26">
        <v>0</v>
      </c>
      <c r="W166" s="26">
        <v>0</v>
      </c>
      <c r="X166" s="26">
        <v>4.5235182099999998</v>
      </c>
      <c r="Y166" s="26">
        <v>0</v>
      </c>
      <c r="Z166" s="26">
        <v>0</v>
      </c>
      <c r="AA166" s="26">
        <v>0</v>
      </c>
      <c r="AB166" s="26">
        <v>2.2362434399999999E-2</v>
      </c>
      <c r="AC166" s="26">
        <v>0</v>
      </c>
      <c r="AD166" s="26">
        <v>0</v>
      </c>
      <c r="AE166" s="26">
        <v>0</v>
      </c>
      <c r="AF166" s="26">
        <v>0</v>
      </c>
      <c r="AG166" s="26">
        <v>0</v>
      </c>
      <c r="AH166" s="26">
        <v>0</v>
      </c>
      <c r="AI166" s="26">
        <v>0</v>
      </c>
      <c r="AJ166" s="26">
        <v>0</v>
      </c>
      <c r="AK166" s="26">
        <v>0</v>
      </c>
      <c r="AL166" s="26">
        <v>0</v>
      </c>
      <c r="AM166" s="26">
        <v>1.4841721699999999</v>
      </c>
      <c r="AN166" s="26">
        <v>8.7573020500000005E-3</v>
      </c>
      <c r="AO166" s="26">
        <v>1.9412610399999999E-2</v>
      </c>
      <c r="AP166" s="26">
        <v>0</v>
      </c>
      <c r="AQ166" s="26">
        <v>0</v>
      </c>
      <c r="AR166" s="26">
        <v>0</v>
      </c>
      <c r="AS166" s="26">
        <v>9.4799133399999999E-2</v>
      </c>
      <c r="AT166" s="26">
        <v>0</v>
      </c>
      <c r="AU166" s="26">
        <v>0</v>
      </c>
      <c r="AV166" s="26">
        <v>2.4056421799999999E-4</v>
      </c>
      <c r="AW166" s="26">
        <v>0</v>
      </c>
      <c r="AX166" s="26">
        <v>0</v>
      </c>
      <c r="AY166" s="26">
        <v>0</v>
      </c>
      <c r="AZ166" s="26">
        <v>0</v>
      </c>
      <c r="BA166" s="26">
        <v>0</v>
      </c>
      <c r="BB166" s="26">
        <v>0</v>
      </c>
      <c r="BC166" s="26">
        <v>0</v>
      </c>
      <c r="BD166" s="26">
        <v>0</v>
      </c>
      <c r="BE166" s="26">
        <v>0</v>
      </c>
      <c r="BF166" s="26">
        <v>0</v>
      </c>
      <c r="BG166" s="26">
        <v>0</v>
      </c>
      <c r="BH166" s="26">
        <v>0</v>
      </c>
      <c r="BI166" s="26">
        <v>0</v>
      </c>
      <c r="BJ166" s="26">
        <v>0</v>
      </c>
      <c r="BK166" s="26">
        <v>0</v>
      </c>
      <c r="BL166" s="26">
        <v>0</v>
      </c>
      <c r="BM166" s="26">
        <v>0</v>
      </c>
      <c r="BN166" s="26">
        <v>0</v>
      </c>
      <c r="BO166" s="26">
        <v>80.568913899999998</v>
      </c>
      <c r="BP166" s="26">
        <v>1456.5455300000001</v>
      </c>
      <c r="BQ166" s="26">
        <v>24.492162199999999</v>
      </c>
      <c r="BR166" s="26">
        <v>28.081770600000027</v>
      </c>
      <c r="BS166" s="26">
        <v>2.4970112100000001</v>
      </c>
      <c r="BT166" s="26">
        <v>0</v>
      </c>
      <c r="BU166" s="26">
        <v>1</v>
      </c>
      <c r="BV166" s="26">
        <v>0</v>
      </c>
      <c r="BW166" s="26">
        <v>-68247.983699999997</v>
      </c>
      <c r="BX166" s="26">
        <v>-3775.1418199999998</v>
      </c>
      <c r="BY166" s="26">
        <v>-5.4986659700000002</v>
      </c>
      <c r="BZ166" s="26">
        <v>-38.748427700000001</v>
      </c>
      <c r="CA166" s="26">
        <v>-2.1433718900000001</v>
      </c>
      <c r="CB166" s="26">
        <v>5.4826323699999999E-2</v>
      </c>
      <c r="CC166" s="26">
        <v>0.99116436600000002</v>
      </c>
      <c r="CD166" s="26">
        <v>18.0782569</v>
      </c>
      <c r="CE166" s="26">
        <v>24.313497999999999</v>
      </c>
      <c r="CF166" s="26">
        <v>0</v>
      </c>
      <c r="CG166" s="26">
        <v>0</v>
      </c>
      <c r="CH166" s="26">
        <v>0</v>
      </c>
      <c r="CI166" s="26">
        <v>0</v>
      </c>
      <c r="CJ166" s="26">
        <v>0</v>
      </c>
      <c r="CK166" s="26">
        <v>0</v>
      </c>
      <c r="CL166" s="26">
        <v>0</v>
      </c>
      <c r="CM166" s="26">
        <v>0</v>
      </c>
      <c r="CN166" s="26">
        <v>0</v>
      </c>
      <c r="CO166" s="26">
        <v>0</v>
      </c>
      <c r="CP166" s="26">
        <v>0</v>
      </c>
      <c r="CQ166" s="26">
        <v>0</v>
      </c>
      <c r="CR166" s="26">
        <v>0</v>
      </c>
      <c r="CS166" s="26">
        <v>0</v>
      </c>
      <c r="CT166" s="26">
        <v>0</v>
      </c>
      <c r="CU166" s="26">
        <v>0</v>
      </c>
      <c r="CV166" s="26">
        <v>0</v>
      </c>
      <c r="CW166" s="26">
        <v>0</v>
      </c>
      <c r="CX166" s="26">
        <v>0</v>
      </c>
      <c r="CY166" s="26">
        <v>0</v>
      </c>
      <c r="CZ166" s="26">
        <v>0</v>
      </c>
      <c r="DA166" s="26">
        <v>0</v>
      </c>
      <c r="DB166" s="26">
        <v>0</v>
      </c>
      <c r="DC166" s="26">
        <v>0</v>
      </c>
      <c r="DD166" s="26">
        <v>0</v>
      </c>
      <c r="DE166" s="26">
        <v>0</v>
      </c>
      <c r="DF166" s="26">
        <v>0</v>
      </c>
      <c r="DG166" s="26">
        <v>0</v>
      </c>
      <c r="DH166" s="26">
        <v>0</v>
      </c>
      <c r="DI166" s="26">
        <v>0</v>
      </c>
      <c r="DJ166" s="26">
        <v>0</v>
      </c>
      <c r="DK166" s="26">
        <v>0</v>
      </c>
      <c r="DL166" s="26">
        <v>0</v>
      </c>
      <c r="DM166" s="26">
        <v>0</v>
      </c>
      <c r="DN166" s="26">
        <v>0</v>
      </c>
      <c r="DO166" s="26">
        <v>0</v>
      </c>
      <c r="DP166" s="26">
        <v>0</v>
      </c>
      <c r="DQ166" s="26">
        <v>0</v>
      </c>
      <c r="DR166" s="26">
        <v>0</v>
      </c>
      <c r="DS166" s="26">
        <v>0</v>
      </c>
      <c r="DT166" s="26">
        <v>0</v>
      </c>
      <c r="DU166" s="26">
        <v>0</v>
      </c>
      <c r="DV166" s="26">
        <v>0</v>
      </c>
      <c r="DW166" s="26">
        <v>0</v>
      </c>
      <c r="DX166" s="26">
        <v>0</v>
      </c>
      <c r="DY166" s="26">
        <v>0</v>
      </c>
      <c r="DZ166" s="26">
        <v>0</v>
      </c>
      <c r="EA166" s="26">
        <v>0</v>
      </c>
      <c r="EB166" s="26">
        <v>0</v>
      </c>
      <c r="EC166" s="26">
        <v>0</v>
      </c>
      <c r="ED166" s="26">
        <v>0</v>
      </c>
      <c r="EE166" s="26">
        <v>4.5692955700000004</v>
      </c>
      <c r="EF166" s="26">
        <v>0</v>
      </c>
      <c r="EG166" s="26">
        <v>57.8670227</v>
      </c>
      <c r="EH166" s="26">
        <v>6.4296904799999997</v>
      </c>
      <c r="EI166" s="26">
        <v>0</v>
      </c>
      <c r="EJ166" s="26">
        <v>11.978025300000001</v>
      </c>
      <c r="EK166" s="26">
        <v>0</v>
      </c>
      <c r="EL166" s="26">
        <v>0</v>
      </c>
      <c r="EM166" s="26">
        <v>0</v>
      </c>
      <c r="EN166" s="26">
        <v>0</v>
      </c>
      <c r="EO166" s="26">
        <v>0</v>
      </c>
      <c r="EP166" s="26">
        <v>3.3801970699999999</v>
      </c>
      <c r="EQ166" s="26">
        <v>80.844034100000002</v>
      </c>
      <c r="ER166" s="26">
        <v>0.85874700900000001</v>
      </c>
      <c r="ES166" s="26">
        <v>28.081770600000027</v>
      </c>
      <c r="ET166" s="26">
        <v>2.4970112100000001</v>
      </c>
      <c r="EU166" s="26">
        <v>0</v>
      </c>
      <c r="EV166" s="26">
        <v>0</v>
      </c>
      <c r="EW166" s="26">
        <v>1</v>
      </c>
      <c r="EX166" s="26">
        <v>-18645.613000000001</v>
      </c>
      <c r="EY166" s="26">
        <v>-779.59798899999998</v>
      </c>
      <c r="EZ166" s="26">
        <v>-6.3025846900000002E-2</v>
      </c>
      <c r="FA166" s="26">
        <v>-60.7649659</v>
      </c>
      <c r="FB166" s="26">
        <v>-2.5406643999999998</v>
      </c>
      <c r="FC166" s="26">
        <v>6.5603276099999996E-2</v>
      </c>
      <c r="FD166" s="26">
        <v>1.5690308500000001</v>
      </c>
      <c r="FE166" s="26">
        <v>23.9169588</v>
      </c>
      <c r="FF166" s="26">
        <v>0</v>
      </c>
      <c r="FG166" s="26">
        <v>7.8107423999999995E-2</v>
      </c>
      <c r="FH166" s="26">
        <v>-6473129.3721999992</v>
      </c>
      <c r="FI166" s="26">
        <v>6.8717741105297491E-5</v>
      </c>
      <c r="FJ166" s="26">
        <v>0</v>
      </c>
      <c r="FK166" s="26">
        <v>0</v>
      </c>
      <c r="FL166" s="26">
        <v>0</v>
      </c>
      <c r="FM166" s="26">
        <v>0</v>
      </c>
      <c r="FN166" s="26">
        <v>0</v>
      </c>
      <c r="FO166" s="26">
        <v>0</v>
      </c>
      <c r="FP166" s="26">
        <v>0</v>
      </c>
      <c r="FQ166" s="26">
        <v>0</v>
      </c>
      <c r="FR166" s="26">
        <v>0</v>
      </c>
      <c r="FS166" s="26">
        <v>0</v>
      </c>
      <c r="FT166" s="26">
        <v>0</v>
      </c>
      <c r="FU166" s="26">
        <v>0</v>
      </c>
      <c r="FV166" s="26">
        <v>0</v>
      </c>
      <c r="FW166" s="26">
        <v>0</v>
      </c>
      <c r="FX166" s="26">
        <v>0</v>
      </c>
      <c r="FY166" s="26">
        <v>0</v>
      </c>
      <c r="FZ166" s="26">
        <v>0</v>
      </c>
      <c r="GA166" s="26">
        <v>0</v>
      </c>
      <c r="GB166" s="26">
        <v>0</v>
      </c>
      <c r="GC166" s="26">
        <v>0</v>
      </c>
      <c r="GD166" s="26">
        <v>0</v>
      </c>
      <c r="GE166" s="26">
        <v>0</v>
      </c>
      <c r="GF166" s="26">
        <v>0</v>
      </c>
      <c r="GG166" s="26">
        <v>0</v>
      </c>
      <c r="GH166" s="26">
        <v>0</v>
      </c>
      <c r="GI166" s="26">
        <v>0</v>
      </c>
      <c r="GJ166" s="26">
        <v>0</v>
      </c>
      <c r="GK166" s="26">
        <v>0</v>
      </c>
      <c r="GL166" s="26">
        <v>0</v>
      </c>
      <c r="GM166" s="26">
        <v>0</v>
      </c>
      <c r="GN166" s="26">
        <v>0</v>
      </c>
      <c r="GO166" s="26">
        <v>0</v>
      </c>
      <c r="GP166" s="26">
        <v>0</v>
      </c>
      <c r="GQ166" s="26">
        <v>0</v>
      </c>
      <c r="GR166" s="26">
        <v>0</v>
      </c>
      <c r="GS166" s="26">
        <v>0</v>
      </c>
      <c r="GT166" s="26">
        <v>0</v>
      </c>
      <c r="GU166" s="26">
        <v>0</v>
      </c>
      <c r="GV166" s="26">
        <v>0</v>
      </c>
      <c r="GW166" s="26">
        <v>0</v>
      </c>
      <c r="GX166" s="26">
        <v>0</v>
      </c>
      <c r="GY166" s="26">
        <v>0</v>
      </c>
      <c r="GZ166" s="26">
        <v>0</v>
      </c>
      <c r="HA166" s="26">
        <v>0</v>
      </c>
      <c r="HB166" s="26">
        <v>0</v>
      </c>
      <c r="HC166" s="26">
        <v>0</v>
      </c>
      <c r="HD166" s="26">
        <v>0</v>
      </c>
      <c r="HE166" s="26">
        <v>0</v>
      </c>
      <c r="HF166" s="26">
        <v>0</v>
      </c>
      <c r="HG166" s="26">
        <v>0</v>
      </c>
      <c r="HH166" s="26">
        <v>0</v>
      </c>
      <c r="HI166" s="26">
        <v>0</v>
      </c>
      <c r="HJ166" s="26">
        <v>0</v>
      </c>
      <c r="HK166" s="26">
        <v>0</v>
      </c>
      <c r="HL166" s="26">
        <v>0</v>
      </c>
      <c r="HM166" s="26">
        <v>0</v>
      </c>
      <c r="HN166" s="26">
        <v>0</v>
      </c>
      <c r="HO166" s="26">
        <v>0</v>
      </c>
      <c r="HP166" s="26">
        <v>0</v>
      </c>
      <c r="HQ166" s="26">
        <v>0</v>
      </c>
      <c r="HR166" s="26">
        <v>0</v>
      </c>
      <c r="HS166" s="26">
        <v>0</v>
      </c>
      <c r="HT166" s="26">
        <v>9.389436380671046E-4</v>
      </c>
    </row>
    <row r="167" spans="2:228" x14ac:dyDescent="0.2">
      <c r="B167" s="27" t="s">
        <v>2405</v>
      </c>
      <c r="C167" s="26">
        <v>0</v>
      </c>
      <c r="D167" s="26">
        <v>0</v>
      </c>
      <c r="E167" s="26">
        <v>0</v>
      </c>
      <c r="F167" s="26">
        <v>0</v>
      </c>
      <c r="G167" s="26">
        <v>0</v>
      </c>
      <c r="H167" s="26">
        <v>0</v>
      </c>
      <c r="I167" s="26">
        <v>0</v>
      </c>
      <c r="J167" s="26">
        <v>0</v>
      </c>
      <c r="K167" s="26">
        <v>0</v>
      </c>
      <c r="L167" s="26">
        <v>0</v>
      </c>
      <c r="M167" s="26">
        <v>0</v>
      </c>
      <c r="N167" s="26">
        <v>0</v>
      </c>
      <c r="O167" s="26">
        <v>0</v>
      </c>
      <c r="P167" s="26">
        <v>0</v>
      </c>
      <c r="Q167" s="26">
        <v>0</v>
      </c>
      <c r="R167" s="26">
        <v>0</v>
      </c>
      <c r="S167" s="26">
        <v>0</v>
      </c>
      <c r="T167" s="26">
        <v>0</v>
      </c>
      <c r="U167" s="26">
        <v>0</v>
      </c>
      <c r="V167" s="26">
        <v>0</v>
      </c>
      <c r="W167" s="26">
        <v>0</v>
      </c>
      <c r="X167" s="26">
        <v>0</v>
      </c>
      <c r="Y167" s="26">
        <v>0</v>
      </c>
      <c r="Z167" s="26">
        <v>0</v>
      </c>
      <c r="AA167" s="26">
        <v>0</v>
      </c>
      <c r="AB167" s="26">
        <v>0</v>
      </c>
      <c r="AC167" s="26">
        <v>0</v>
      </c>
      <c r="AD167" s="26">
        <v>0</v>
      </c>
      <c r="AE167" s="26">
        <v>0</v>
      </c>
      <c r="AF167" s="26">
        <v>0</v>
      </c>
      <c r="AG167" s="26">
        <v>0</v>
      </c>
      <c r="AH167" s="26">
        <v>0</v>
      </c>
      <c r="AI167" s="26">
        <v>0</v>
      </c>
      <c r="AJ167" s="26">
        <v>0</v>
      </c>
      <c r="AK167" s="26">
        <v>0</v>
      </c>
      <c r="AL167" s="26">
        <v>0</v>
      </c>
      <c r="AM167" s="26">
        <v>0</v>
      </c>
      <c r="AN167" s="26">
        <v>0</v>
      </c>
      <c r="AO167" s="26">
        <v>0</v>
      </c>
      <c r="AP167" s="26">
        <v>0</v>
      </c>
      <c r="AQ167" s="26">
        <v>0</v>
      </c>
      <c r="AR167" s="26">
        <v>0</v>
      </c>
      <c r="AS167" s="26">
        <v>0</v>
      </c>
      <c r="AT167" s="26">
        <v>0</v>
      </c>
      <c r="AU167" s="26">
        <v>0</v>
      </c>
      <c r="AV167" s="26">
        <v>0</v>
      </c>
      <c r="AW167" s="26">
        <v>0</v>
      </c>
      <c r="AX167" s="26">
        <v>0</v>
      </c>
      <c r="AY167" s="26">
        <v>0</v>
      </c>
      <c r="AZ167" s="26">
        <v>0</v>
      </c>
      <c r="BA167" s="26">
        <v>0</v>
      </c>
      <c r="BB167" s="26">
        <v>0</v>
      </c>
      <c r="BC167" s="26">
        <v>0</v>
      </c>
      <c r="BD167" s="26">
        <v>0</v>
      </c>
      <c r="BE167" s="26">
        <v>0</v>
      </c>
      <c r="BF167" s="26">
        <v>0</v>
      </c>
      <c r="BG167" s="26">
        <v>0</v>
      </c>
      <c r="BH167" s="26">
        <v>0</v>
      </c>
      <c r="BI167" s="26">
        <v>0</v>
      </c>
      <c r="BJ167" s="26">
        <v>0</v>
      </c>
      <c r="BK167" s="26">
        <v>0</v>
      </c>
      <c r="BL167" s="26">
        <v>0</v>
      </c>
      <c r="BM167" s="26">
        <v>0</v>
      </c>
      <c r="BN167" s="26">
        <v>0</v>
      </c>
      <c r="BO167" s="26">
        <v>0</v>
      </c>
      <c r="BP167" s="26">
        <v>0</v>
      </c>
      <c r="BQ167" s="26">
        <v>0</v>
      </c>
      <c r="BR167" s="26">
        <v>20</v>
      </c>
      <c r="BS167" s="26">
        <v>1</v>
      </c>
      <c r="BT167" s="26">
        <v>0</v>
      </c>
      <c r="BU167" s="26">
        <v>1</v>
      </c>
      <c r="BV167" s="26">
        <v>0</v>
      </c>
      <c r="BW167" s="26">
        <v>-68314.175600000002</v>
      </c>
      <c r="BX167" s="26">
        <v>-3792.01298</v>
      </c>
      <c r="BY167" s="26">
        <v>0</v>
      </c>
      <c r="BZ167" s="26">
        <v>-39.124202799999999</v>
      </c>
      <c r="CA167" s="26">
        <v>-2.1717232700000002</v>
      </c>
      <c r="CB167" s="26">
        <v>5.5440004600000002E-2</v>
      </c>
      <c r="CC167" s="26">
        <v>0.99876720600000002</v>
      </c>
      <c r="CD167" s="26">
        <v>18.015280000000001</v>
      </c>
      <c r="CE167" s="26">
        <v>0</v>
      </c>
      <c r="CF167" s="26">
        <v>0</v>
      </c>
      <c r="CG167" s="26">
        <v>0</v>
      </c>
      <c r="CH167" s="26">
        <v>0</v>
      </c>
      <c r="CI167" s="26">
        <v>0</v>
      </c>
      <c r="CJ167" s="26">
        <v>0</v>
      </c>
      <c r="CK167" s="26">
        <v>0</v>
      </c>
      <c r="CL167" s="26">
        <v>0</v>
      </c>
      <c r="CM167" s="26">
        <v>0</v>
      </c>
      <c r="CN167" s="26">
        <v>0</v>
      </c>
      <c r="CO167" s="26">
        <v>0</v>
      </c>
      <c r="CP167" s="26">
        <v>0</v>
      </c>
      <c r="CQ167" s="26">
        <v>0</v>
      </c>
      <c r="CR167" s="26">
        <v>0</v>
      </c>
      <c r="CS167" s="26">
        <v>0</v>
      </c>
      <c r="CT167" s="26">
        <v>0</v>
      </c>
      <c r="CU167" s="26">
        <v>0</v>
      </c>
      <c r="CV167" s="26">
        <v>0</v>
      </c>
      <c r="CW167" s="26">
        <v>0</v>
      </c>
      <c r="CX167" s="26">
        <v>0</v>
      </c>
      <c r="CY167" s="26">
        <v>0</v>
      </c>
      <c r="CZ167" s="26">
        <v>0</v>
      </c>
      <c r="DA167" s="26">
        <v>0</v>
      </c>
      <c r="DB167" s="26">
        <v>0</v>
      </c>
      <c r="DC167" s="26">
        <v>0</v>
      </c>
      <c r="DD167" s="26">
        <v>0</v>
      </c>
      <c r="DE167" s="26">
        <v>0</v>
      </c>
      <c r="DF167" s="26">
        <v>0</v>
      </c>
      <c r="DG167" s="26">
        <v>0</v>
      </c>
      <c r="DH167" s="26">
        <v>0</v>
      </c>
      <c r="DI167" s="26">
        <v>0</v>
      </c>
      <c r="DJ167" s="26">
        <v>0</v>
      </c>
      <c r="DK167" s="26">
        <v>0</v>
      </c>
      <c r="DL167" s="26">
        <v>0</v>
      </c>
      <c r="DM167" s="26">
        <v>0</v>
      </c>
      <c r="DN167" s="26">
        <v>0</v>
      </c>
      <c r="DO167" s="26">
        <v>0</v>
      </c>
      <c r="DP167" s="26">
        <v>0</v>
      </c>
      <c r="DQ167" s="26">
        <v>0</v>
      </c>
      <c r="DR167" s="26">
        <v>0</v>
      </c>
      <c r="DS167" s="26">
        <v>0</v>
      </c>
      <c r="DT167" s="26">
        <v>0</v>
      </c>
      <c r="DU167" s="26">
        <v>0</v>
      </c>
      <c r="DV167" s="26">
        <v>0</v>
      </c>
      <c r="DW167" s="26">
        <v>0</v>
      </c>
      <c r="DX167" s="26">
        <v>0</v>
      </c>
      <c r="DY167" s="26">
        <v>0</v>
      </c>
      <c r="DZ167" s="26">
        <v>0</v>
      </c>
      <c r="EA167" s="26">
        <v>0</v>
      </c>
      <c r="EB167" s="26">
        <v>0</v>
      </c>
      <c r="EC167" s="26">
        <v>0</v>
      </c>
      <c r="ED167" s="26">
        <v>0</v>
      </c>
      <c r="EE167" s="26">
        <v>0</v>
      </c>
      <c r="EF167" s="26">
        <v>0</v>
      </c>
      <c r="EG167" s="26">
        <v>0</v>
      </c>
      <c r="EH167" s="26">
        <v>0</v>
      </c>
      <c r="EI167" s="26">
        <v>0</v>
      </c>
      <c r="EJ167" s="26">
        <v>0</v>
      </c>
      <c r="EK167" s="26">
        <v>0</v>
      </c>
      <c r="EL167" s="26">
        <v>0</v>
      </c>
      <c r="EM167" s="26">
        <v>0</v>
      </c>
      <c r="EN167" s="26">
        <v>0</v>
      </c>
      <c r="EO167" s="26">
        <v>0</v>
      </c>
      <c r="EP167" s="26">
        <v>0</v>
      </c>
      <c r="EQ167" s="26">
        <v>0</v>
      </c>
      <c r="ER167" s="26">
        <v>0</v>
      </c>
      <c r="ES167" s="26">
        <v>20</v>
      </c>
      <c r="ET167" s="26">
        <v>1</v>
      </c>
      <c r="EU167" s="26">
        <v>0</v>
      </c>
      <c r="EV167" s="26">
        <v>0</v>
      </c>
      <c r="EW167" s="26">
        <v>1</v>
      </c>
      <c r="EX167" s="26">
        <v>-17942.5046</v>
      </c>
      <c r="EY167" s="26">
        <v>-747.11872900000003</v>
      </c>
      <c r="EZ167" s="26">
        <v>0</v>
      </c>
      <c r="FA167" s="26">
        <v>-60.180662099999999</v>
      </c>
      <c r="FB167" s="26">
        <v>-2.5058987500000001</v>
      </c>
      <c r="FC167" s="26">
        <v>6.5789473700000003E-2</v>
      </c>
      <c r="FD167" s="26">
        <v>1.5799736799999999</v>
      </c>
      <c r="FE167" s="26">
        <v>24.015599999999999</v>
      </c>
      <c r="FF167" s="26">
        <v>0</v>
      </c>
      <c r="FG167" s="26">
        <v>0</v>
      </c>
      <c r="FH167" s="26">
        <v>0</v>
      </c>
      <c r="FI167" s="26">
        <v>0</v>
      </c>
      <c r="FJ167" s="26">
        <v>0</v>
      </c>
      <c r="FK167" s="26">
        <v>0</v>
      </c>
      <c r="FL167" s="26">
        <v>0</v>
      </c>
      <c r="FM167" s="26">
        <v>0</v>
      </c>
      <c r="FN167" s="26">
        <v>0</v>
      </c>
      <c r="FO167" s="26">
        <v>0</v>
      </c>
      <c r="FP167" s="26">
        <v>0</v>
      </c>
      <c r="FQ167" s="26">
        <v>0</v>
      </c>
      <c r="FR167" s="26">
        <v>0</v>
      </c>
      <c r="FS167" s="26">
        <v>0</v>
      </c>
      <c r="FT167" s="26">
        <v>0</v>
      </c>
      <c r="FU167" s="26">
        <v>0</v>
      </c>
      <c r="FV167" s="26">
        <v>0</v>
      </c>
      <c r="FW167" s="26">
        <v>0</v>
      </c>
      <c r="FX167" s="26">
        <v>0</v>
      </c>
      <c r="FY167" s="26">
        <v>0</v>
      </c>
      <c r="FZ167" s="26">
        <v>0</v>
      </c>
      <c r="GA167" s="26">
        <v>0</v>
      </c>
      <c r="GB167" s="26">
        <v>0</v>
      </c>
      <c r="GC167" s="26">
        <v>0</v>
      </c>
      <c r="GD167" s="26">
        <v>0</v>
      </c>
      <c r="GE167" s="26">
        <v>0</v>
      </c>
      <c r="GF167" s="26">
        <v>0</v>
      </c>
      <c r="GG167" s="26">
        <v>0</v>
      </c>
      <c r="GH167" s="26">
        <v>0</v>
      </c>
      <c r="GI167" s="26">
        <v>0</v>
      </c>
      <c r="GJ167" s="26">
        <v>0</v>
      </c>
      <c r="GK167" s="26">
        <v>0</v>
      </c>
      <c r="GL167" s="26">
        <v>0</v>
      </c>
      <c r="GM167" s="26">
        <v>0</v>
      </c>
      <c r="GN167" s="26">
        <v>0</v>
      </c>
      <c r="GO167" s="26">
        <v>0</v>
      </c>
      <c r="GP167" s="26">
        <v>0</v>
      </c>
      <c r="GQ167" s="26">
        <v>0</v>
      </c>
      <c r="GR167" s="26">
        <v>0</v>
      </c>
      <c r="GS167" s="26">
        <v>0</v>
      </c>
      <c r="GT167" s="26">
        <v>0</v>
      </c>
      <c r="GU167" s="26">
        <v>0</v>
      </c>
      <c r="GV167" s="26">
        <v>0</v>
      </c>
      <c r="GW167" s="26">
        <v>0</v>
      </c>
      <c r="GX167" s="26">
        <v>0</v>
      </c>
      <c r="GY167" s="26">
        <v>0</v>
      </c>
      <c r="GZ167" s="26">
        <v>0</v>
      </c>
      <c r="HA167" s="26">
        <v>0</v>
      </c>
      <c r="HB167" s="26">
        <v>0</v>
      </c>
      <c r="HC167" s="26">
        <v>0</v>
      </c>
      <c r="HD167" s="26">
        <v>0</v>
      </c>
      <c r="HE167" s="26">
        <v>0</v>
      </c>
      <c r="HF167" s="26">
        <v>0</v>
      </c>
      <c r="HG167" s="26">
        <v>0</v>
      </c>
      <c r="HH167" s="26">
        <v>0</v>
      </c>
      <c r="HI167" s="26">
        <v>0</v>
      </c>
      <c r="HJ167" s="26">
        <v>0</v>
      </c>
      <c r="HK167" s="26">
        <v>0</v>
      </c>
      <c r="HL167" s="26">
        <v>0</v>
      </c>
      <c r="HM167" s="26">
        <v>0</v>
      </c>
      <c r="HN167" s="26">
        <v>0</v>
      </c>
      <c r="HO167" s="26">
        <v>0</v>
      </c>
      <c r="HP167" s="26">
        <v>0</v>
      </c>
      <c r="HQ167" s="26">
        <v>0</v>
      </c>
      <c r="HR167" s="26">
        <v>0</v>
      </c>
      <c r="HS167" s="26">
        <v>0</v>
      </c>
      <c r="HT167" s="26">
        <v>0</v>
      </c>
    </row>
    <row r="168" spans="2:228" x14ac:dyDescent="0.2">
      <c r="B168" s="27" t="s">
        <v>1371</v>
      </c>
      <c r="C168" s="26">
        <v>13836.505999999999</v>
      </c>
      <c r="D168" s="26">
        <v>-50.048173900000002</v>
      </c>
      <c r="E168" s="26">
        <v>13053.5304</v>
      </c>
      <c r="F168" s="26">
        <v>0</v>
      </c>
      <c r="G168" s="26">
        <v>0</v>
      </c>
      <c r="H168" s="26">
        <v>0</v>
      </c>
      <c r="I168" s="26">
        <v>0</v>
      </c>
      <c r="J168" s="26">
        <v>0</v>
      </c>
      <c r="K168" s="26">
        <v>0</v>
      </c>
      <c r="L168" s="26">
        <v>0</v>
      </c>
      <c r="M168" s="26">
        <v>0</v>
      </c>
      <c r="N168" s="26">
        <v>0</v>
      </c>
      <c r="O168" s="26">
        <v>0</v>
      </c>
      <c r="P168" s="26">
        <v>0</v>
      </c>
      <c r="Q168" s="26">
        <v>0</v>
      </c>
      <c r="R168" s="26">
        <v>0</v>
      </c>
      <c r="S168" s="26">
        <v>0</v>
      </c>
      <c r="T168" s="26">
        <v>0</v>
      </c>
      <c r="U168" s="26">
        <v>0</v>
      </c>
      <c r="V168" s="26">
        <v>0</v>
      </c>
      <c r="W168" s="26">
        <v>0</v>
      </c>
      <c r="X168" s="26">
        <v>40.711663899999998</v>
      </c>
      <c r="Y168" s="26">
        <v>0</v>
      </c>
      <c r="Z168" s="26">
        <v>0</v>
      </c>
      <c r="AA168" s="26">
        <v>0</v>
      </c>
      <c r="AB168" s="26">
        <v>0.20126190999999999</v>
      </c>
      <c r="AC168" s="26">
        <v>0</v>
      </c>
      <c r="AD168" s="26">
        <v>0</v>
      </c>
      <c r="AE168" s="26">
        <v>0</v>
      </c>
      <c r="AF168" s="26">
        <v>0</v>
      </c>
      <c r="AG168" s="26">
        <v>0</v>
      </c>
      <c r="AH168" s="26">
        <v>0</v>
      </c>
      <c r="AI168" s="26">
        <v>0</v>
      </c>
      <c r="AJ168" s="26">
        <v>0</v>
      </c>
      <c r="AK168" s="26">
        <v>0</v>
      </c>
      <c r="AL168" s="26">
        <v>0</v>
      </c>
      <c r="AM168" s="26">
        <v>13.357549499999999</v>
      </c>
      <c r="AN168" s="26">
        <v>7.8815718500000007E-2</v>
      </c>
      <c r="AO168" s="26">
        <v>0.174713493</v>
      </c>
      <c r="AP168" s="26">
        <v>0</v>
      </c>
      <c r="AQ168" s="26">
        <v>0</v>
      </c>
      <c r="AR168" s="26">
        <v>0</v>
      </c>
      <c r="AS168" s="26">
        <v>0.85319220100000004</v>
      </c>
      <c r="AT168" s="26">
        <v>0</v>
      </c>
      <c r="AU168" s="26">
        <v>0</v>
      </c>
      <c r="AV168" s="26">
        <v>2.1650779600000001E-3</v>
      </c>
      <c r="AW168" s="26">
        <v>0</v>
      </c>
      <c r="AX168" s="26">
        <v>0</v>
      </c>
      <c r="AY168" s="26">
        <v>0</v>
      </c>
      <c r="AZ168" s="26">
        <v>0</v>
      </c>
      <c r="BA168" s="26">
        <v>0</v>
      </c>
      <c r="BB168" s="26">
        <v>0</v>
      </c>
      <c r="BC168" s="26">
        <v>0</v>
      </c>
      <c r="BD168" s="26">
        <v>0</v>
      </c>
      <c r="BE168" s="26">
        <v>0</v>
      </c>
      <c r="BF168" s="26">
        <v>0</v>
      </c>
      <c r="BG168" s="26">
        <v>0</v>
      </c>
      <c r="BH168" s="26">
        <v>0</v>
      </c>
      <c r="BI168" s="26">
        <v>0</v>
      </c>
      <c r="BJ168" s="26">
        <v>0</v>
      </c>
      <c r="BK168" s="26">
        <v>0</v>
      </c>
      <c r="BL168" s="26">
        <v>0</v>
      </c>
      <c r="BM168" s="26">
        <v>0</v>
      </c>
      <c r="BN168" s="26">
        <v>0</v>
      </c>
      <c r="BO168" s="26">
        <v>725.120225</v>
      </c>
      <c r="BP168" s="26">
        <v>13108.9097</v>
      </c>
      <c r="BQ168" s="26">
        <v>220.55320599999999</v>
      </c>
      <c r="BR168" s="26">
        <v>28.655215699999985</v>
      </c>
      <c r="BS168" s="26">
        <v>1.9239300399999999</v>
      </c>
      <c r="BT168" s="26">
        <v>0</v>
      </c>
      <c r="BU168" s="26">
        <v>1</v>
      </c>
      <c r="BV168" s="26">
        <v>0</v>
      </c>
      <c r="BW168" s="26">
        <v>-68238.462299999999</v>
      </c>
      <c r="BX168" s="26">
        <v>-3774.6151399999999</v>
      </c>
      <c r="BY168" s="26">
        <v>-49.481089599999997</v>
      </c>
      <c r="BZ168" s="26">
        <v>-38.717150099999998</v>
      </c>
      <c r="CA168" s="26">
        <v>-2.1416417700000001</v>
      </c>
      <c r="CB168" s="26">
        <v>5.4795562200000002E-2</v>
      </c>
      <c r="CC168" s="26">
        <v>0.99060825200000002</v>
      </c>
      <c r="CD168" s="26">
        <v>18.0782569</v>
      </c>
      <c r="CE168" s="26">
        <v>218.821482</v>
      </c>
      <c r="CF168" s="26">
        <v>0</v>
      </c>
      <c r="CG168" s="26">
        <v>0</v>
      </c>
      <c r="CH168" s="26">
        <v>0</v>
      </c>
      <c r="CI168" s="26">
        <v>0</v>
      </c>
      <c r="CJ168" s="26">
        <v>0</v>
      </c>
      <c r="CK168" s="26">
        <v>0</v>
      </c>
      <c r="CL168" s="26">
        <v>0</v>
      </c>
      <c r="CM168" s="26">
        <v>0</v>
      </c>
      <c r="CN168" s="26">
        <v>0</v>
      </c>
      <c r="CO168" s="26">
        <v>0</v>
      </c>
      <c r="CP168" s="26">
        <v>0</v>
      </c>
      <c r="CQ168" s="26">
        <v>0</v>
      </c>
      <c r="CR168" s="26">
        <v>0</v>
      </c>
      <c r="CS168" s="26">
        <v>0</v>
      </c>
      <c r="CT168" s="26">
        <v>0</v>
      </c>
      <c r="CU168" s="26">
        <v>0</v>
      </c>
      <c r="CV168" s="26">
        <v>0</v>
      </c>
      <c r="CW168" s="26">
        <v>0</v>
      </c>
      <c r="CX168" s="26">
        <v>0</v>
      </c>
      <c r="CY168" s="26">
        <v>0</v>
      </c>
      <c r="CZ168" s="26">
        <v>0</v>
      </c>
      <c r="DA168" s="26">
        <v>0</v>
      </c>
      <c r="DB168" s="26">
        <v>0</v>
      </c>
      <c r="DC168" s="26">
        <v>0</v>
      </c>
      <c r="DD168" s="26">
        <v>0</v>
      </c>
      <c r="DE168" s="26">
        <v>0</v>
      </c>
      <c r="DF168" s="26">
        <v>0</v>
      </c>
      <c r="DG168" s="26">
        <v>0</v>
      </c>
      <c r="DH168" s="26">
        <v>0</v>
      </c>
      <c r="DI168" s="26">
        <v>0</v>
      </c>
      <c r="DJ168" s="26">
        <v>0</v>
      </c>
      <c r="DK168" s="26">
        <v>0</v>
      </c>
      <c r="DL168" s="26">
        <v>0</v>
      </c>
      <c r="DM168" s="26">
        <v>0</v>
      </c>
      <c r="DN168" s="26">
        <v>0</v>
      </c>
      <c r="DO168" s="26">
        <v>0</v>
      </c>
      <c r="DP168" s="26">
        <v>0</v>
      </c>
      <c r="DQ168" s="26">
        <v>0</v>
      </c>
      <c r="DR168" s="26">
        <v>0</v>
      </c>
      <c r="DS168" s="26">
        <v>0</v>
      </c>
      <c r="DT168" s="26">
        <v>0</v>
      </c>
      <c r="DU168" s="26">
        <v>0</v>
      </c>
      <c r="DV168" s="26">
        <v>0</v>
      </c>
      <c r="DW168" s="26">
        <v>0</v>
      </c>
      <c r="DX168" s="26">
        <v>0</v>
      </c>
      <c r="DY168" s="26">
        <v>0</v>
      </c>
      <c r="DZ168" s="26">
        <v>0</v>
      </c>
      <c r="EA168" s="26">
        <v>0</v>
      </c>
      <c r="EB168" s="26">
        <v>0</v>
      </c>
      <c r="EC168" s="26">
        <v>0</v>
      </c>
      <c r="ED168" s="26">
        <v>0</v>
      </c>
      <c r="EE168" s="26">
        <v>41.123660100000002</v>
      </c>
      <c r="EF168" s="26">
        <v>0</v>
      </c>
      <c r="EG168" s="26">
        <v>520.80320400000005</v>
      </c>
      <c r="EH168" s="26">
        <v>57.867214300000001</v>
      </c>
      <c r="EI168" s="26">
        <v>0</v>
      </c>
      <c r="EJ168" s="26">
        <v>107.802228</v>
      </c>
      <c r="EK168" s="26">
        <v>0</v>
      </c>
      <c r="EL168" s="26">
        <v>0</v>
      </c>
      <c r="EM168" s="26">
        <v>0</v>
      </c>
      <c r="EN168" s="26">
        <v>0</v>
      </c>
      <c r="EO168" s="26">
        <v>0</v>
      </c>
      <c r="EP168" s="26">
        <v>30.421773599999998</v>
      </c>
      <c r="EQ168" s="26">
        <v>727.59630700000002</v>
      </c>
      <c r="ER168" s="26">
        <v>7.7287230799999991</v>
      </c>
      <c r="ES168" s="26">
        <v>28.655215699999985</v>
      </c>
      <c r="ET168" s="26">
        <v>1.9239300399999999</v>
      </c>
      <c r="EU168" s="26">
        <v>0</v>
      </c>
      <c r="EV168" s="26">
        <v>0</v>
      </c>
      <c r="EW168" s="26">
        <v>1</v>
      </c>
      <c r="EX168" s="26">
        <v>-18640.738499999999</v>
      </c>
      <c r="EY168" s="26">
        <v>-779.394181</v>
      </c>
      <c r="EZ168" s="26">
        <v>-0.56708433199999997</v>
      </c>
      <c r="FA168" s="26">
        <v>-60.748799499999997</v>
      </c>
      <c r="FB168" s="26">
        <v>-2.53998846</v>
      </c>
      <c r="FC168" s="26">
        <v>6.5603276099999996E-2</v>
      </c>
      <c r="FD168" s="26">
        <v>1.5690308500000001</v>
      </c>
      <c r="FE168" s="26">
        <v>23.9169588</v>
      </c>
      <c r="FF168" s="26">
        <v>0</v>
      </c>
      <c r="FG168" s="26">
        <v>7.8107423999999995E-2</v>
      </c>
      <c r="FH168" s="26">
        <v>-58258164.349799998</v>
      </c>
      <c r="FI168" s="26">
        <v>6.1845966883656623E-4</v>
      </c>
      <c r="FJ168" s="26">
        <v>0</v>
      </c>
      <c r="FK168" s="26">
        <v>0</v>
      </c>
      <c r="FL168" s="26">
        <v>0</v>
      </c>
      <c r="FM168" s="26">
        <v>0</v>
      </c>
      <c r="FN168" s="26">
        <v>0</v>
      </c>
      <c r="FO168" s="26">
        <v>0</v>
      </c>
      <c r="FP168" s="26">
        <v>0</v>
      </c>
      <c r="FQ168" s="26">
        <v>0</v>
      </c>
      <c r="FR168" s="26">
        <v>0</v>
      </c>
      <c r="FS168" s="26">
        <v>0</v>
      </c>
      <c r="FT168" s="26">
        <v>0</v>
      </c>
      <c r="FU168" s="26">
        <v>0</v>
      </c>
      <c r="FV168" s="26">
        <v>0</v>
      </c>
      <c r="FW168" s="26">
        <v>0</v>
      </c>
      <c r="FX168" s="26">
        <v>0</v>
      </c>
      <c r="FY168" s="26">
        <v>0</v>
      </c>
      <c r="FZ168" s="26">
        <v>0</v>
      </c>
      <c r="GA168" s="26">
        <v>0</v>
      </c>
      <c r="GB168" s="26">
        <v>0</v>
      </c>
      <c r="GC168" s="26">
        <v>0</v>
      </c>
      <c r="GD168" s="26">
        <v>0</v>
      </c>
      <c r="GE168" s="26">
        <v>0</v>
      </c>
      <c r="GF168" s="26">
        <v>0</v>
      </c>
      <c r="GG168" s="26">
        <v>0</v>
      </c>
      <c r="GH168" s="26">
        <v>0</v>
      </c>
      <c r="GI168" s="26">
        <v>0</v>
      </c>
      <c r="GJ168" s="26">
        <v>0</v>
      </c>
      <c r="GK168" s="26">
        <v>0</v>
      </c>
      <c r="GL168" s="26">
        <v>0</v>
      </c>
      <c r="GM168" s="26">
        <v>0</v>
      </c>
      <c r="GN168" s="26">
        <v>0</v>
      </c>
      <c r="GO168" s="26">
        <v>0</v>
      </c>
      <c r="GP168" s="26">
        <v>0</v>
      </c>
      <c r="GQ168" s="26">
        <v>0</v>
      </c>
      <c r="GR168" s="26">
        <v>0</v>
      </c>
      <c r="GS168" s="26">
        <v>0</v>
      </c>
      <c r="GT168" s="26">
        <v>0</v>
      </c>
      <c r="GU168" s="26">
        <v>0</v>
      </c>
      <c r="GV168" s="26">
        <v>0</v>
      </c>
      <c r="GW168" s="26">
        <v>0</v>
      </c>
      <c r="GX168" s="26">
        <v>0</v>
      </c>
      <c r="GY168" s="26">
        <v>0</v>
      </c>
      <c r="GZ168" s="26">
        <v>0</v>
      </c>
      <c r="HA168" s="26">
        <v>0</v>
      </c>
      <c r="HB168" s="26">
        <v>0</v>
      </c>
      <c r="HC168" s="26">
        <v>0</v>
      </c>
      <c r="HD168" s="26">
        <v>0</v>
      </c>
      <c r="HE168" s="26">
        <v>0</v>
      </c>
      <c r="HF168" s="26">
        <v>0</v>
      </c>
      <c r="HG168" s="26">
        <v>0</v>
      </c>
      <c r="HH168" s="26">
        <v>0</v>
      </c>
      <c r="HI168" s="26">
        <v>0</v>
      </c>
      <c r="HJ168" s="26">
        <v>0</v>
      </c>
      <c r="HK168" s="26">
        <v>0</v>
      </c>
      <c r="HL168" s="26">
        <v>0</v>
      </c>
      <c r="HM168" s="26">
        <v>0</v>
      </c>
      <c r="HN168" s="26">
        <v>0</v>
      </c>
      <c r="HO168" s="26">
        <v>0</v>
      </c>
      <c r="HP168" s="26">
        <v>0</v>
      </c>
      <c r="HQ168" s="26">
        <v>0</v>
      </c>
      <c r="HR168" s="26">
        <v>0</v>
      </c>
      <c r="HS168" s="26">
        <v>0</v>
      </c>
      <c r="HT168" s="26">
        <v>8.4504927342706083E-3</v>
      </c>
    </row>
    <row r="169" spans="2:228" x14ac:dyDescent="0.2">
      <c r="B169" s="27" t="s">
        <v>2880</v>
      </c>
      <c r="C169" s="26">
        <v>13836.505999999999</v>
      </c>
      <c r="D169" s="26">
        <v>-50.048814499999999</v>
      </c>
      <c r="E169" s="26">
        <v>13053.5304</v>
      </c>
      <c r="F169" s="26">
        <v>0</v>
      </c>
      <c r="G169" s="26">
        <v>0</v>
      </c>
      <c r="H169" s="26">
        <v>0</v>
      </c>
      <c r="I169" s="26">
        <v>0</v>
      </c>
      <c r="J169" s="26">
        <v>0</v>
      </c>
      <c r="K169" s="26">
        <v>0</v>
      </c>
      <c r="L169" s="26">
        <v>0</v>
      </c>
      <c r="M169" s="26">
        <v>0</v>
      </c>
      <c r="N169" s="26">
        <v>0</v>
      </c>
      <c r="O169" s="26">
        <v>0</v>
      </c>
      <c r="P169" s="26">
        <v>0</v>
      </c>
      <c r="Q169" s="26">
        <v>0</v>
      </c>
      <c r="R169" s="26">
        <v>0</v>
      </c>
      <c r="S169" s="26">
        <v>0</v>
      </c>
      <c r="T169" s="26">
        <v>0</v>
      </c>
      <c r="U169" s="26">
        <v>0</v>
      </c>
      <c r="V169" s="26">
        <v>0</v>
      </c>
      <c r="W169" s="26">
        <v>0</v>
      </c>
      <c r="X169" s="26">
        <v>40.711663899999998</v>
      </c>
      <c r="Y169" s="26">
        <v>0</v>
      </c>
      <c r="Z169" s="26">
        <v>0</v>
      </c>
      <c r="AA169" s="26">
        <v>0</v>
      </c>
      <c r="AB169" s="26">
        <v>0.20126190999999999</v>
      </c>
      <c r="AC169" s="26">
        <v>0</v>
      </c>
      <c r="AD169" s="26">
        <v>0</v>
      </c>
      <c r="AE169" s="26">
        <v>0</v>
      </c>
      <c r="AF169" s="26">
        <v>0</v>
      </c>
      <c r="AG169" s="26">
        <v>0</v>
      </c>
      <c r="AH169" s="26">
        <v>0</v>
      </c>
      <c r="AI169" s="26">
        <v>0</v>
      </c>
      <c r="AJ169" s="26">
        <v>0</v>
      </c>
      <c r="AK169" s="26">
        <v>0</v>
      </c>
      <c r="AL169" s="26">
        <v>0</v>
      </c>
      <c r="AM169" s="26">
        <v>13.357549499999999</v>
      </c>
      <c r="AN169" s="26">
        <v>7.8815718500000007E-2</v>
      </c>
      <c r="AO169" s="26">
        <v>0.174713493</v>
      </c>
      <c r="AP169" s="26">
        <v>0</v>
      </c>
      <c r="AQ169" s="26">
        <v>0</v>
      </c>
      <c r="AR169" s="26">
        <v>0</v>
      </c>
      <c r="AS169" s="26">
        <v>0.85319220100000004</v>
      </c>
      <c r="AT169" s="26">
        <v>0</v>
      </c>
      <c r="AU169" s="26">
        <v>0</v>
      </c>
      <c r="AV169" s="26">
        <v>2.1650779600000001E-3</v>
      </c>
      <c r="AW169" s="26">
        <v>0</v>
      </c>
      <c r="AX169" s="26">
        <v>0</v>
      </c>
      <c r="AY169" s="26">
        <v>0</v>
      </c>
      <c r="AZ169" s="26">
        <v>0</v>
      </c>
      <c r="BA169" s="26">
        <v>0</v>
      </c>
      <c r="BB169" s="26">
        <v>0</v>
      </c>
      <c r="BC169" s="26">
        <v>0</v>
      </c>
      <c r="BD169" s="26">
        <v>0</v>
      </c>
      <c r="BE169" s="26">
        <v>0</v>
      </c>
      <c r="BF169" s="26">
        <v>0</v>
      </c>
      <c r="BG169" s="26">
        <v>0</v>
      </c>
      <c r="BH169" s="26">
        <v>0</v>
      </c>
      <c r="BI169" s="26">
        <v>0</v>
      </c>
      <c r="BJ169" s="26">
        <v>0</v>
      </c>
      <c r="BK169" s="26">
        <v>0</v>
      </c>
      <c r="BL169" s="26">
        <v>0</v>
      </c>
      <c r="BM169" s="26">
        <v>0</v>
      </c>
      <c r="BN169" s="26">
        <v>0</v>
      </c>
      <c r="BO169" s="26">
        <v>725.120225</v>
      </c>
      <c r="BP169" s="26">
        <v>13108.9097</v>
      </c>
      <c r="BQ169" s="26">
        <v>220.57964000000001</v>
      </c>
      <c r="BR169" s="26">
        <v>28.60313309999998</v>
      </c>
      <c r="BS169" s="26">
        <v>1</v>
      </c>
      <c r="BT169" s="26">
        <v>1.2611191499999999E-7</v>
      </c>
      <c r="BU169" s="26">
        <v>0.99999987400000001</v>
      </c>
      <c r="BV169" s="26">
        <v>0</v>
      </c>
      <c r="BW169" s="26">
        <v>-68239.3272</v>
      </c>
      <c r="BX169" s="26">
        <v>-3774.6629800000001</v>
      </c>
      <c r="BY169" s="26">
        <v>-49.4817167</v>
      </c>
      <c r="BZ169" s="26">
        <v>-38.719988899999997</v>
      </c>
      <c r="CA169" s="26">
        <v>-2.1417987900000002</v>
      </c>
      <c r="CB169" s="26">
        <v>5.4788995799999997E-2</v>
      </c>
      <c r="CC169" s="26">
        <v>0.99048954199999995</v>
      </c>
      <c r="CD169" s="26">
        <v>18.0782569</v>
      </c>
      <c r="CE169" s="26">
        <v>218.821482</v>
      </c>
      <c r="CF169" s="26">
        <v>0</v>
      </c>
      <c r="CG169" s="26">
        <v>0</v>
      </c>
      <c r="CH169" s="26">
        <v>0</v>
      </c>
      <c r="CI169" s="26">
        <v>0</v>
      </c>
      <c r="CJ169" s="26">
        <v>0</v>
      </c>
      <c r="CK169" s="26">
        <v>0</v>
      </c>
      <c r="CL169" s="26">
        <v>0</v>
      </c>
      <c r="CM169" s="26">
        <v>0</v>
      </c>
      <c r="CN169" s="26">
        <v>0</v>
      </c>
      <c r="CO169" s="26">
        <v>0</v>
      </c>
      <c r="CP169" s="26">
        <v>0</v>
      </c>
      <c r="CQ169" s="26">
        <v>0</v>
      </c>
      <c r="CR169" s="26">
        <v>0</v>
      </c>
      <c r="CS169" s="26">
        <v>0</v>
      </c>
      <c r="CT169" s="26">
        <v>0</v>
      </c>
      <c r="CU169" s="26">
        <v>0</v>
      </c>
      <c r="CV169" s="26">
        <v>0</v>
      </c>
      <c r="CW169" s="26">
        <v>0</v>
      </c>
      <c r="CX169" s="26">
        <v>0</v>
      </c>
      <c r="CY169" s="26">
        <v>0</v>
      </c>
      <c r="CZ169" s="26">
        <v>0</v>
      </c>
      <c r="DA169" s="26">
        <v>0</v>
      </c>
      <c r="DB169" s="26">
        <v>0</v>
      </c>
      <c r="DC169" s="26">
        <v>0</v>
      </c>
      <c r="DD169" s="26">
        <v>0</v>
      </c>
      <c r="DE169" s="26">
        <v>0</v>
      </c>
      <c r="DF169" s="26">
        <v>0</v>
      </c>
      <c r="DG169" s="26">
        <v>0</v>
      </c>
      <c r="DH169" s="26">
        <v>0</v>
      </c>
      <c r="DI169" s="26">
        <v>0</v>
      </c>
      <c r="DJ169" s="26">
        <v>0</v>
      </c>
      <c r="DK169" s="26">
        <v>0</v>
      </c>
      <c r="DL169" s="26">
        <v>0</v>
      </c>
      <c r="DM169" s="26">
        <v>0</v>
      </c>
      <c r="DN169" s="26">
        <v>0</v>
      </c>
      <c r="DO169" s="26">
        <v>0</v>
      </c>
      <c r="DP169" s="26">
        <v>0</v>
      </c>
      <c r="DQ169" s="26">
        <v>0</v>
      </c>
      <c r="DR169" s="26">
        <v>0</v>
      </c>
      <c r="DS169" s="26">
        <v>0</v>
      </c>
      <c r="DT169" s="26">
        <v>0</v>
      </c>
      <c r="DU169" s="26">
        <v>0</v>
      </c>
      <c r="DV169" s="26">
        <v>0</v>
      </c>
      <c r="DW169" s="26">
        <v>0</v>
      </c>
      <c r="DX169" s="26">
        <v>0</v>
      </c>
      <c r="DY169" s="26">
        <v>0</v>
      </c>
      <c r="DZ169" s="26">
        <v>0</v>
      </c>
      <c r="EA169" s="26">
        <v>0</v>
      </c>
      <c r="EB169" s="26">
        <v>0</v>
      </c>
      <c r="EC169" s="26">
        <v>0</v>
      </c>
      <c r="ED169" s="26">
        <v>0</v>
      </c>
      <c r="EE169" s="26">
        <v>41.123660100000002</v>
      </c>
      <c r="EF169" s="26">
        <v>0</v>
      </c>
      <c r="EG169" s="26">
        <v>520.80320400000005</v>
      </c>
      <c r="EH169" s="26">
        <v>57.867214300000001</v>
      </c>
      <c r="EI169" s="26">
        <v>0</v>
      </c>
      <c r="EJ169" s="26">
        <v>107.802228</v>
      </c>
      <c r="EK169" s="26">
        <v>0</v>
      </c>
      <c r="EL169" s="26">
        <v>0</v>
      </c>
      <c r="EM169" s="26">
        <v>0</v>
      </c>
      <c r="EN169" s="26">
        <v>0</v>
      </c>
      <c r="EO169" s="26">
        <v>0</v>
      </c>
      <c r="EP169" s="26">
        <v>30.421773599999998</v>
      </c>
      <c r="EQ169" s="26">
        <v>727.59630700000002</v>
      </c>
      <c r="ER169" s="26">
        <v>7.7287230799999991</v>
      </c>
      <c r="ES169" s="26">
        <v>28.60313309999998</v>
      </c>
      <c r="ET169" s="26">
        <v>1</v>
      </c>
      <c r="EU169" s="26">
        <v>0</v>
      </c>
      <c r="EV169" s="26">
        <v>0</v>
      </c>
      <c r="EW169" s="26">
        <v>1</v>
      </c>
      <c r="EX169" s="26">
        <v>-18641.1813</v>
      </c>
      <c r="EY169" s="26">
        <v>-779.41269199999999</v>
      </c>
      <c r="EZ169" s="26">
        <v>-0.56709780099999996</v>
      </c>
      <c r="FA169" s="26">
        <v>-60.750266500000002</v>
      </c>
      <c r="FB169" s="26">
        <v>-2.5400497999999998</v>
      </c>
      <c r="FC169" s="26">
        <v>6.5603276099999996E-2</v>
      </c>
      <c r="FD169" s="26">
        <v>1.5690308500000001</v>
      </c>
      <c r="FE169" s="26">
        <v>23.9169588</v>
      </c>
      <c r="FF169" s="26">
        <v>0</v>
      </c>
      <c r="FG169" s="26">
        <v>7.8107423999999995E-2</v>
      </c>
      <c r="FH169" s="26">
        <v>-58258164.000899993</v>
      </c>
      <c r="FI169" s="26">
        <v>6.1845966883656623E-4</v>
      </c>
      <c r="FJ169" s="26">
        <v>9.8171624674261883E-10</v>
      </c>
      <c r="FK169" s="26">
        <v>0</v>
      </c>
      <c r="FL169" s="26">
        <v>0</v>
      </c>
      <c r="FM169" s="26">
        <v>0</v>
      </c>
      <c r="FN169" s="26">
        <v>0</v>
      </c>
      <c r="FO169" s="26">
        <v>0</v>
      </c>
      <c r="FP169" s="26">
        <v>0</v>
      </c>
      <c r="FQ169" s="26">
        <v>0</v>
      </c>
      <c r="FR169" s="26">
        <v>0</v>
      </c>
      <c r="FS169" s="26">
        <v>0</v>
      </c>
      <c r="FT169" s="26">
        <v>0</v>
      </c>
      <c r="FU169" s="26">
        <v>0</v>
      </c>
      <c r="FV169" s="26">
        <v>0</v>
      </c>
      <c r="FW169" s="26">
        <v>0</v>
      </c>
      <c r="FX169" s="26">
        <v>0</v>
      </c>
      <c r="FY169" s="26">
        <v>0</v>
      </c>
      <c r="FZ169" s="26">
        <v>0</v>
      </c>
      <c r="GA169" s="26">
        <v>0</v>
      </c>
      <c r="GB169" s="26">
        <v>0</v>
      </c>
      <c r="GC169" s="26">
        <v>1.1407715424595058E-16</v>
      </c>
      <c r="GD169" s="26">
        <v>0</v>
      </c>
      <c r="GE169" s="26">
        <v>0</v>
      </c>
      <c r="GF169" s="26">
        <v>0</v>
      </c>
      <c r="GG169" s="26">
        <v>2.9311116345600043E-13</v>
      </c>
      <c r="GH169" s="26">
        <v>0</v>
      </c>
      <c r="GI169" s="26">
        <v>0</v>
      </c>
      <c r="GJ169" s="26">
        <v>0</v>
      </c>
      <c r="GK169" s="26">
        <v>0</v>
      </c>
      <c r="GL169" s="26">
        <v>0</v>
      </c>
      <c r="GM169" s="26">
        <v>0</v>
      </c>
      <c r="GN169" s="26">
        <v>0</v>
      </c>
      <c r="GO169" s="26">
        <v>0</v>
      </c>
      <c r="GP169" s="26">
        <v>0</v>
      </c>
      <c r="GQ169" s="26">
        <v>0</v>
      </c>
      <c r="GR169" s="26">
        <v>2.5454411175857512E-21</v>
      </c>
      <c r="GS169" s="26">
        <v>3.9527020871771728E-9</v>
      </c>
      <c r="GT169" s="26">
        <v>1.9244293431732125E-8</v>
      </c>
      <c r="GU169" s="26">
        <v>0</v>
      </c>
      <c r="GV169" s="26">
        <v>0</v>
      </c>
      <c r="GW169" s="26">
        <v>0</v>
      </c>
      <c r="GX169" s="26">
        <v>1.2227400597819206E-9</v>
      </c>
      <c r="GY169" s="26">
        <v>0</v>
      </c>
      <c r="GZ169" s="26">
        <v>0</v>
      </c>
      <c r="HA169" s="26">
        <v>5.2754035144254504E-15</v>
      </c>
      <c r="HB169" s="26">
        <v>0</v>
      </c>
      <c r="HC169" s="26">
        <v>0</v>
      </c>
      <c r="HD169" s="26">
        <v>0</v>
      </c>
      <c r="HE169" s="26">
        <v>0</v>
      </c>
      <c r="HF169" s="26">
        <v>0</v>
      </c>
      <c r="HG169" s="26">
        <v>0</v>
      </c>
      <c r="HH169" s="26">
        <v>0</v>
      </c>
      <c r="HI169" s="26">
        <v>0</v>
      </c>
      <c r="HJ169" s="26">
        <v>0</v>
      </c>
      <c r="HK169" s="26">
        <v>0</v>
      </c>
      <c r="HL169" s="26">
        <v>0</v>
      </c>
      <c r="HM169" s="26">
        <v>0</v>
      </c>
      <c r="HN169" s="26">
        <v>0</v>
      </c>
      <c r="HO169" s="26">
        <v>0</v>
      </c>
      <c r="HP169" s="26">
        <v>0</v>
      </c>
      <c r="HQ169" s="26">
        <v>0</v>
      </c>
      <c r="HR169" s="26">
        <v>0</v>
      </c>
      <c r="HS169" s="26">
        <v>0</v>
      </c>
      <c r="HT169" s="26">
        <v>8.4504927342706083E-3</v>
      </c>
    </row>
    <row r="170" spans="2:228" x14ac:dyDescent="0.2">
      <c r="B170" s="27" t="s">
        <v>1375</v>
      </c>
      <c r="C170" s="26">
        <v>31801.300599999999</v>
      </c>
      <c r="D170" s="26">
        <v>-7.2233814699999996</v>
      </c>
      <c r="E170" s="26">
        <v>736.75369599999999</v>
      </c>
      <c r="F170" s="26">
        <v>0</v>
      </c>
      <c r="G170" s="26">
        <v>0</v>
      </c>
      <c r="H170" s="26">
        <v>0</v>
      </c>
      <c r="I170" s="26">
        <v>0</v>
      </c>
      <c r="J170" s="26">
        <v>0</v>
      </c>
      <c r="K170" s="26">
        <v>0</v>
      </c>
      <c r="L170" s="26">
        <v>0</v>
      </c>
      <c r="M170" s="26">
        <v>0</v>
      </c>
      <c r="N170" s="26">
        <v>0</v>
      </c>
      <c r="O170" s="26">
        <v>0</v>
      </c>
      <c r="P170" s="26">
        <v>0</v>
      </c>
      <c r="Q170" s="26">
        <v>0</v>
      </c>
      <c r="R170" s="26">
        <v>0</v>
      </c>
      <c r="S170" s="26">
        <v>0</v>
      </c>
      <c r="T170" s="26">
        <v>0</v>
      </c>
      <c r="U170" s="26">
        <v>0</v>
      </c>
      <c r="V170" s="26">
        <v>0</v>
      </c>
      <c r="W170" s="26">
        <v>0</v>
      </c>
      <c r="X170" s="26">
        <v>4.1273354199999998E-4</v>
      </c>
      <c r="Y170" s="26">
        <v>0</v>
      </c>
      <c r="Z170" s="26">
        <v>0</v>
      </c>
      <c r="AA170" s="26">
        <v>0</v>
      </c>
      <c r="AB170" s="26">
        <v>0.20529176399999999</v>
      </c>
      <c r="AC170" s="26">
        <v>0</v>
      </c>
      <c r="AD170" s="26">
        <v>0</v>
      </c>
      <c r="AE170" s="26">
        <v>0</v>
      </c>
      <c r="AF170" s="26">
        <v>0</v>
      </c>
      <c r="AG170" s="26">
        <v>0</v>
      </c>
      <c r="AH170" s="26">
        <v>0</v>
      </c>
      <c r="AI170" s="26">
        <v>0</v>
      </c>
      <c r="AJ170" s="26">
        <v>0</v>
      </c>
      <c r="AK170" s="26">
        <v>0</v>
      </c>
      <c r="AL170" s="26">
        <v>0</v>
      </c>
      <c r="AM170" s="26">
        <v>2.8351229400000004E-8</v>
      </c>
      <c r="AN170" s="26">
        <v>5439.95597</v>
      </c>
      <c r="AO170" s="26">
        <v>23337.183199999999</v>
      </c>
      <c r="AP170" s="26">
        <v>0</v>
      </c>
      <c r="AQ170" s="26">
        <v>0</v>
      </c>
      <c r="AR170" s="26">
        <v>0</v>
      </c>
      <c r="AS170" s="26">
        <v>2287.1876699999998</v>
      </c>
      <c r="AT170" s="26">
        <v>0</v>
      </c>
      <c r="AU170" s="26">
        <v>0</v>
      </c>
      <c r="AV170" s="26">
        <v>1.4293184799999999E-2</v>
      </c>
      <c r="AW170" s="26">
        <v>0</v>
      </c>
      <c r="AX170" s="26">
        <v>0</v>
      </c>
      <c r="AY170" s="26">
        <v>0</v>
      </c>
      <c r="AZ170" s="26">
        <v>0</v>
      </c>
      <c r="BA170" s="26">
        <v>0</v>
      </c>
      <c r="BB170" s="26">
        <v>0</v>
      </c>
      <c r="BC170" s="26">
        <v>0</v>
      </c>
      <c r="BD170" s="26">
        <v>0</v>
      </c>
      <c r="BE170" s="26">
        <v>0</v>
      </c>
      <c r="BF170" s="26">
        <v>0</v>
      </c>
      <c r="BG170" s="26">
        <v>0</v>
      </c>
      <c r="BH170" s="26">
        <v>0</v>
      </c>
      <c r="BI170" s="26">
        <v>0</v>
      </c>
      <c r="BJ170" s="26">
        <v>0</v>
      </c>
      <c r="BK170" s="26">
        <v>0</v>
      </c>
      <c r="BL170" s="26">
        <v>0</v>
      </c>
      <c r="BM170" s="26">
        <v>0</v>
      </c>
      <c r="BN170" s="26">
        <v>0</v>
      </c>
      <c r="BO170" s="26">
        <v>1095.9530600000001</v>
      </c>
      <c r="BP170" s="26">
        <v>31801.300599999999</v>
      </c>
      <c r="BQ170" s="26">
        <v>451371.57900000003</v>
      </c>
      <c r="BR170" s="26">
        <v>28.000000499999999</v>
      </c>
      <c r="BS170" s="26">
        <v>1</v>
      </c>
      <c r="BT170" s="26">
        <v>1</v>
      </c>
      <c r="BU170" s="26">
        <v>0</v>
      </c>
      <c r="BV170" s="26">
        <v>0</v>
      </c>
      <c r="BW170" s="26">
        <v>-6590.9587899999997</v>
      </c>
      <c r="BX170" s="26">
        <v>-227.14106899999999</v>
      </c>
      <c r="BY170" s="26">
        <v>-7.2233814699999996</v>
      </c>
      <c r="BZ170" s="26">
        <v>1.2272461100000001</v>
      </c>
      <c r="CA170" s="26">
        <v>4.2293997399999998E-2</v>
      </c>
      <c r="CB170" s="26">
        <v>4.0467510300000001E-5</v>
      </c>
      <c r="CC170" s="26">
        <v>1.1742468800000001E-3</v>
      </c>
      <c r="CD170" s="26">
        <v>29.017028100000001</v>
      </c>
      <c r="CE170" s="26">
        <v>954.07839799999999</v>
      </c>
      <c r="CF170" s="26">
        <v>0</v>
      </c>
      <c r="CG170" s="26">
        <v>0</v>
      </c>
      <c r="CH170" s="26">
        <v>0</v>
      </c>
      <c r="CI170" s="26">
        <v>0</v>
      </c>
      <c r="CJ170" s="26">
        <v>0</v>
      </c>
      <c r="CK170" s="26">
        <v>0</v>
      </c>
      <c r="CL170" s="26">
        <v>0</v>
      </c>
      <c r="CM170" s="26">
        <v>0</v>
      </c>
      <c r="CN170" s="26">
        <v>0</v>
      </c>
      <c r="CO170" s="26">
        <v>0</v>
      </c>
      <c r="CP170" s="26">
        <v>0</v>
      </c>
      <c r="CQ170" s="26">
        <v>0</v>
      </c>
      <c r="CR170" s="26">
        <v>0</v>
      </c>
      <c r="CS170" s="26">
        <v>0</v>
      </c>
      <c r="CT170" s="26">
        <v>0</v>
      </c>
      <c r="CU170" s="26">
        <v>0</v>
      </c>
      <c r="CV170" s="26">
        <v>0</v>
      </c>
      <c r="CW170" s="26">
        <v>0</v>
      </c>
      <c r="CX170" s="26">
        <v>0</v>
      </c>
      <c r="CY170" s="26">
        <v>0</v>
      </c>
      <c r="CZ170" s="26">
        <v>0</v>
      </c>
      <c r="DA170" s="26">
        <v>0</v>
      </c>
      <c r="DB170" s="26">
        <v>0</v>
      </c>
      <c r="DC170" s="26">
        <v>0</v>
      </c>
      <c r="DD170" s="26">
        <v>0</v>
      </c>
      <c r="DE170" s="26">
        <v>0</v>
      </c>
      <c r="DF170" s="26">
        <v>0</v>
      </c>
      <c r="DG170" s="26">
        <v>0</v>
      </c>
      <c r="DH170" s="26">
        <v>0</v>
      </c>
      <c r="DI170" s="26">
        <v>0</v>
      </c>
      <c r="DJ170" s="26">
        <v>0</v>
      </c>
      <c r="DK170" s="26">
        <v>0</v>
      </c>
      <c r="DL170" s="26">
        <v>0</v>
      </c>
      <c r="DM170" s="26">
        <v>0</v>
      </c>
      <c r="DN170" s="26">
        <v>0</v>
      </c>
      <c r="DO170" s="26">
        <v>0</v>
      </c>
      <c r="DP170" s="26">
        <v>0</v>
      </c>
      <c r="DQ170" s="26">
        <v>0</v>
      </c>
      <c r="DR170" s="26">
        <v>0</v>
      </c>
      <c r="DS170" s="26">
        <v>0</v>
      </c>
      <c r="DT170" s="26">
        <v>0</v>
      </c>
      <c r="DU170" s="26">
        <v>0</v>
      </c>
      <c r="DV170" s="26">
        <v>0</v>
      </c>
      <c r="DW170" s="26">
        <v>0</v>
      </c>
      <c r="DX170" s="26">
        <v>0</v>
      </c>
      <c r="DY170" s="26">
        <v>0</v>
      </c>
      <c r="DZ170" s="26">
        <v>0</v>
      </c>
      <c r="EA170" s="26">
        <v>0</v>
      </c>
      <c r="EB170" s="26">
        <v>0</v>
      </c>
      <c r="EC170" s="26">
        <v>0</v>
      </c>
      <c r="ED170" s="26">
        <v>0</v>
      </c>
      <c r="EE170" s="26">
        <v>0</v>
      </c>
      <c r="EF170" s="26">
        <v>0</v>
      </c>
      <c r="EG170" s="26">
        <v>0</v>
      </c>
      <c r="EH170" s="26">
        <v>0</v>
      </c>
      <c r="EI170" s="26">
        <v>0</v>
      </c>
      <c r="EJ170" s="26">
        <v>0</v>
      </c>
      <c r="EK170" s="26">
        <v>0</v>
      </c>
      <c r="EL170" s="26">
        <v>0</v>
      </c>
      <c r="EM170" s="26">
        <v>0</v>
      </c>
      <c r="EN170" s="26">
        <v>0</v>
      </c>
      <c r="EO170" s="26">
        <v>0</v>
      </c>
      <c r="EP170" s="26">
        <v>0</v>
      </c>
      <c r="EQ170" s="26">
        <v>0</v>
      </c>
      <c r="ER170" s="26">
        <v>0</v>
      </c>
      <c r="ES170" s="26">
        <v>0</v>
      </c>
      <c r="ET170" s="26">
        <v>1</v>
      </c>
      <c r="EU170" s="26">
        <v>0</v>
      </c>
      <c r="EV170" s="26">
        <v>0</v>
      </c>
      <c r="EW170" s="26">
        <v>0</v>
      </c>
      <c r="EX170" s="26">
        <v>0</v>
      </c>
      <c r="EY170" s="26">
        <v>0</v>
      </c>
      <c r="EZ170" s="26">
        <v>0</v>
      </c>
      <c r="FA170" s="26">
        <v>0</v>
      </c>
      <c r="FB170" s="26">
        <v>0</v>
      </c>
      <c r="FC170" s="26">
        <v>0</v>
      </c>
      <c r="FD170" s="26">
        <v>0</v>
      </c>
      <c r="FE170" s="26">
        <v>0</v>
      </c>
      <c r="FF170" s="26">
        <v>0</v>
      </c>
      <c r="FG170" s="26">
        <v>1.2608376100000001E-7</v>
      </c>
      <c r="FH170" s="26">
        <v>-8427932.9758499991</v>
      </c>
      <c r="FI170" s="26">
        <v>1.443610472659995E-2</v>
      </c>
      <c r="FJ170" s="26">
        <v>1.1360012507546766E-2</v>
      </c>
      <c r="FK170" s="26">
        <v>0</v>
      </c>
      <c r="FL170" s="26">
        <v>0</v>
      </c>
      <c r="FM170" s="26">
        <v>0</v>
      </c>
      <c r="FN170" s="26">
        <v>0</v>
      </c>
      <c r="FO170" s="26">
        <v>0</v>
      </c>
      <c r="FP170" s="26">
        <v>0</v>
      </c>
      <c r="FQ170" s="26">
        <v>0</v>
      </c>
      <c r="FR170" s="26">
        <v>0</v>
      </c>
      <c r="FS170" s="26">
        <v>0</v>
      </c>
      <c r="FT170" s="26">
        <v>0</v>
      </c>
      <c r="FU170" s="26">
        <v>0</v>
      </c>
      <c r="FV170" s="26">
        <v>0</v>
      </c>
      <c r="FW170" s="26">
        <v>0</v>
      </c>
      <c r="FX170" s="26">
        <v>0</v>
      </c>
      <c r="FY170" s="26">
        <v>0</v>
      </c>
      <c r="FZ170" s="26">
        <v>0</v>
      </c>
      <c r="GA170" s="26">
        <v>0</v>
      </c>
      <c r="GB170" s="26">
        <v>0</v>
      </c>
      <c r="GC170" s="26">
        <v>1.2727540351820323E-9</v>
      </c>
      <c r="GD170" s="26">
        <v>0</v>
      </c>
      <c r="GE170" s="26">
        <v>0</v>
      </c>
      <c r="GF170" s="26">
        <v>0</v>
      </c>
      <c r="GG170" s="26">
        <v>3.3484213323429262E-6</v>
      </c>
      <c r="GH170" s="26">
        <v>0</v>
      </c>
      <c r="GI170" s="26">
        <v>0</v>
      </c>
      <c r="GJ170" s="26">
        <v>0</v>
      </c>
      <c r="GK170" s="26">
        <v>0</v>
      </c>
      <c r="GL170" s="26">
        <v>0</v>
      </c>
      <c r="GM170" s="26">
        <v>0</v>
      </c>
      <c r="GN170" s="26">
        <v>0</v>
      </c>
      <c r="GO170" s="26">
        <v>0</v>
      </c>
      <c r="GP170" s="26">
        <v>0</v>
      </c>
      <c r="GQ170" s="26">
        <v>0</v>
      </c>
      <c r="GR170" s="26">
        <v>2.7880595778600324E-14</v>
      </c>
      <c r="GS170" s="26">
        <v>4.7223611211122223E-2</v>
      </c>
      <c r="GT170" s="26">
        <v>0.23140827018459947</v>
      </c>
      <c r="GU170" s="26">
        <v>0</v>
      </c>
      <c r="GV170" s="26">
        <v>0</v>
      </c>
      <c r="GW170" s="26">
        <v>0</v>
      </c>
      <c r="GX170" s="26">
        <v>1.4436100921044363E-2</v>
      </c>
      <c r="GY170" s="26">
        <v>0</v>
      </c>
      <c r="GZ170" s="26">
        <v>0</v>
      </c>
      <c r="HA170" s="26">
        <v>6.1973644384678043E-8</v>
      </c>
      <c r="HB170" s="26">
        <v>0</v>
      </c>
      <c r="HC170" s="26">
        <v>0</v>
      </c>
      <c r="HD170" s="26">
        <v>0</v>
      </c>
      <c r="HE170" s="26">
        <v>0</v>
      </c>
      <c r="HF170" s="26">
        <v>0</v>
      </c>
      <c r="HG170" s="26">
        <v>0</v>
      </c>
      <c r="HH170" s="26">
        <v>0</v>
      </c>
      <c r="HI170" s="26">
        <v>0</v>
      </c>
      <c r="HJ170" s="26">
        <v>0</v>
      </c>
      <c r="HK170" s="26">
        <v>0</v>
      </c>
      <c r="HL170" s="26">
        <v>0</v>
      </c>
      <c r="HM170" s="26">
        <v>0</v>
      </c>
      <c r="HN170" s="26">
        <v>0</v>
      </c>
      <c r="HO170" s="26">
        <v>0</v>
      </c>
      <c r="HP170" s="26">
        <v>0</v>
      </c>
      <c r="HQ170" s="26">
        <v>0</v>
      </c>
      <c r="HR170" s="26">
        <v>0</v>
      </c>
      <c r="HS170" s="26">
        <v>0</v>
      </c>
      <c r="HT170" s="26">
        <v>0</v>
      </c>
    </row>
    <row r="171" spans="2:228" x14ac:dyDescent="0.2">
      <c r="B171" s="27" t="s">
        <v>1382</v>
      </c>
      <c r="C171" s="26">
        <v>1585.9873700000001</v>
      </c>
      <c r="D171" s="26">
        <v>-0.320044473</v>
      </c>
      <c r="E171" s="26">
        <v>36.791611400000001</v>
      </c>
      <c r="F171" s="26">
        <v>0</v>
      </c>
      <c r="G171" s="26">
        <v>2.1789306400000002E-12</v>
      </c>
      <c r="H171" s="26">
        <v>0</v>
      </c>
      <c r="I171" s="26">
        <v>0</v>
      </c>
      <c r="J171" s="26">
        <v>0</v>
      </c>
      <c r="K171" s="26">
        <v>0</v>
      </c>
      <c r="L171" s="26">
        <v>0</v>
      </c>
      <c r="M171" s="26">
        <v>0</v>
      </c>
      <c r="N171" s="26">
        <v>0</v>
      </c>
      <c r="O171" s="26">
        <v>0</v>
      </c>
      <c r="P171" s="26">
        <v>0</v>
      </c>
      <c r="Q171" s="26">
        <v>0</v>
      </c>
      <c r="R171" s="26">
        <v>0</v>
      </c>
      <c r="S171" s="26">
        <v>0</v>
      </c>
      <c r="T171" s="26">
        <v>0</v>
      </c>
      <c r="U171" s="26">
        <v>0</v>
      </c>
      <c r="V171" s="26">
        <v>0</v>
      </c>
      <c r="W171" s="26">
        <v>0</v>
      </c>
      <c r="X171" s="26">
        <v>2.0115053800000001E-5</v>
      </c>
      <c r="Y171" s="26">
        <v>0</v>
      </c>
      <c r="Z171" s="26">
        <v>0</v>
      </c>
      <c r="AA171" s="26">
        <v>0</v>
      </c>
      <c r="AB171" s="26">
        <v>0.27973933000000001</v>
      </c>
      <c r="AC171" s="26">
        <v>0</v>
      </c>
      <c r="AD171" s="26">
        <v>0</v>
      </c>
      <c r="AE171" s="26">
        <v>0</v>
      </c>
      <c r="AF171" s="26">
        <v>0</v>
      </c>
      <c r="AG171" s="26">
        <v>0</v>
      </c>
      <c r="AH171" s="26">
        <v>0</v>
      </c>
      <c r="AI171" s="26">
        <v>0</v>
      </c>
      <c r="AJ171" s="26">
        <v>0</v>
      </c>
      <c r="AK171" s="26">
        <v>0</v>
      </c>
      <c r="AL171" s="26">
        <v>0</v>
      </c>
      <c r="AM171" s="26">
        <v>1.4391246E-10</v>
      </c>
      <c r="AN171" s="26">
        <v>286.966454</v>
      </c>
      <c r="AO171" s="26">
        <v>1166.85886</v>
      </c>
      <c r="AP171" s="26">
        <v>0</v>
      </c>
      <c r="AQ171" s="26">
        <v>0</v>
      </c>
      <c r="AR171" s="26">
        <v>0</v>
      </c>
      <c r="AS171" s="26">
        <v>95.090250999999995</v>
      </c>
      <c r="AT171" s="26">
        <v>0</v>
      </c>
      <c r="AU171" s="26">
        <v>0</v>
      </c>
      <c r="AV171" s="26">
        <v>4.2941122699999995E-4</v>
      </c>
      <c r="AW171" s="26">
        <v>0</v>
      </c>
      <c r="AX171" s="26">
        <v>0</v>
      </c>
      <c r="AY171" s="26">
        <v>0</v>
      </c>
      <c r="AZ171" s="26">
        <v>0</v>
      </c>
      <c r="BA171" s="26">
        <v>0</v>
      </c>
      <c r="BB171" s="26">
        <v>0</v>
      </c>
      <c r="BC171" s="26">
        <v>0</v>
      </c>
      <c r="BD171" s="26">
        <v>0</v>
      </c>
      <c r="BE171" s="26">
        <v>0</v>
      </c>
      <c r="BF171" s="26">
        <v>0</v>
      </c>
      <c r="BG171" s="26">
        <v>0</v>
      </c>
      <c r="BH171" s="26">
        <v>0</v>
      </c>
      <c r="BI171" s="26">
        <v>0</v>
      </c>
      <c r="BJ171" s="26">
        <v>0</v>
      </c>
      <c r="BK171" s="26">
        <v>0</v>
      </c>
      <c r="BL171" s="26">
        <v>0</v>
      </c>
      <c r="BM171" s="26">
        <v>0</v>
      </c>
      <c r="BN171" s="26">
        <v>0</v>
      </c>
      <c r="BO171" s="26">
        <v>54.840853799999998</v>
      </c>
      <c r="BP171" s="26">
        <v>1585.9873700000001</v>
      </c>
      <c r="BQ171" s="26">
        <v>22586.3714</v>
      </c>
      <c r="BR171" s="26">
        <v>28</v>
      </c>
      <c r="BS171" s="26">
        <v>1</v>
      </c>
      <c r="BT171" s="26">
        <v>1</v>
      </c>
      <c r="BU171" s="26">
        <v>0</v>
      </c>
      <c r="BV171" s="26">
        <v>0</v>
      </c>
      <c r="BW171" s="26">
        <v>-5835.8768799999998</v>
      </c>
      <c r="BX171" s="26">
        <v>-201.795095</v>
      </c>
      <c r="BY171" s="26">
        <v>-0.320044473</v>
      </c>
      <c r="BZ171" s="26">
        <v>1.20055961</v>
      </c>
      <c r="CA171" s="26">
        <v>4.1513391199999999E-2</v>
      </c>
      <c r="CB171" s="26">
        <v>4.0467510399999999E-5</v>
      </c>
      <c r="CC171" s="26">
        <v>1.1703129299999999E-3</v>
      </c>
      <c r="CD171" s="26">
        <v>28.919815400000001</v>
      </c>
      <c r="CE171" s="26">
        <v>47.743996500000002</v>
      </c>
      <c r="CF171" s="26">
        <v>0</v>
      </c>
      <c r="CG171" s="26">
        <v>0</v>
      </c>
      <c r="CH171" s="26">
        <v>0</v>
      </c>
      <c r="CI171" s="26">
        <v>0</v>
      </c>
      <c r="CJ171" s="26">
        <v>0</v>
      </c>
      <c r="CK171" s="26">
        <v>0</v>
      </c>
      <c r="CL171" s="26">
        <v>0</v>
      </c>
      <c r="CM171" s="26">
        <v>0</v>
      </c>
      <c r="CN171" s="26">
        <v>0</v>
      </c>
      <c r="CO171" s="26">
        <v>0</v>
      </c>
      <c r="CP171" s="26">
        <v>0</v>
      </c>
      <c r="CQ171" s="26">
        <v>0</v>
      </c>
      <c r="CR171" s="26">
        <v>0</v>
      </c>
      <c r="CS171" s="26">
        <v>0</v>
      </c>
      <c r="CT171" s="26">
        <v>0</v>
      </c>
      <c r="CU171" s="26">
        <v>0</v>
      </c>
      <c r="CV171" s="26">
        <v>0</v>
      </c>
      <c r="CW171" s="26">
        <v>0</v>
      </c>
      <c r="CX171" s="26">
        <v>0</v>
      </c>
      <c r="CY171" s="26">
        <v>0</v>
      </c>
      <c r="CZ171" s="26">
        <v>0</v>
      </c>
      <c r="DA171" s="26">
        <v>0</v>
      </c>
      <c r="DB171" s="26">
        <v>0</v>
      </c>
      <c r="DC171" s="26">
        <v>0</v>
      </c>
      <c r="DD171" s="26">
        <v>0</v>
      </c>
      <c r="DE171" s="26">
        <v>0</v>
      </c>
      <c r="DF171" s="26">
        <v>0</v>
      </c>
      <c r="DG171" s="26">
        <v>0</v>
      </c>
      <c r="DH171" s="26">
        <v>0</v>
      </c>
      <c r="DI171" s="26">
        <v>0</v>
      </c>
      <c r="DJ171" s="26">
        <v>0</v>
      </c>
      <c r="DK171" s="26">
        <v>0</v>
      </c>
      <c r="DL171" s="26">
        <v>0</v>
      </c>
      <c r="DM171" s="26">
        <v>0</v>
      </c>
      <c r="DN171" s="26">
        <v>0</v>
      </c>
      <c r="DO171" s="26">
        <v>0</v>
      </c>
      <c r="DP171" s="26">
        <v>0</v>
      </c>
      <c r="DQ171" s="26">
        <v>0</v>
      </c>
      <c r="DR171" s="26">
        <v>0</v>
      </c>
      <c r="DS171" s="26">
        <v>0</v>
      </c>
      <c r="DT171" s="26">
        <v>0</v>
      </c>
      <c r="DU171" s="26">
        <v>0</v>
      </c>
      <c r="DV171" s="26">
        <v>0</v>
      </c>
      <c r="DW171" s="26">
        <v>0</v>
      </c>
      <c r="DX171" s="26">
        <v>0</v>
      </c>
      <c r="DY171" s="26">
        <v>0</v>
      </c>
      <c r="DZ171" s="26">
        <v>0</v>
      </c>
      <c r="EA171" s="26">
        <v>0</v>
      </c>
      <c r="EB171" s="26">
        <v>0</v>
      </c>
      <c r="EC171" s="26">
        <v>0</v>
      </c>
      <c r="ED171" s="26">
        <v>0</v>
      </c>
      <c r="EE171" s="26">
        <v>0</v>
      </c>
      <c r="EF171" s="26">
        <v>0</v>
      </c>
      <c r="EG171" s="26">
        <v>0</v>
      </c>
      <c r="EH171" s="26">
        <v>0</v>
      </c>
      <c r="EI171" s="26">
        <v>0</v>
      </c>
      <c r="EJ171" s="26">
        <v>0</v>
      </c>
      <c r="EK171" s="26">
        <v>0</v>
      </c>
      <c r="EL171" s="26">
        <v>0</v>
      </c>
      <c r="EM171" s="26">
        <v>0</v>
      </c>
      <c r="EN171" s="26">
        <v>0</v>
      </c>
      <c r="EO171" s="26">
        <v>0</v>
      </c>
      <c r="EP171" s="26">
        <v>0</v>
      </c>
      <c r="EQ171" s="26">
        <v>0</v>
      </c>
      <c r="ER171" s="26">
        <v>0</v>
      </c>
      <c r="ES171" s="26">
        <v>0</v>
      </c>
      <c r="ET171" s="26">
        <v>1</v>
      </c>
      <c r="EU171" s="26">
        <v>0</v>
      </c>
      <c r="EV171" s="26">
        <v>0</v>
      </c>
      <c r="EW171" s="26">
        <v>0</v>
      </c>
      <c r="EX171" s="26">
        <v>0</v>
      </c>
      <c r="EY171" s="26">
        <v>0</v>
      </c>
      <c r="EZ171" s="26">
        <v>0</v>
      </c>
      <c r="FA171" s="26">
        <v>0</v>
      </c>
      <c r="FB171" s="26">
        <v>0</v>
      </c>
      <c r="FC171" s="26">
        <v>0</v>
      </c>
      <c r="FD171" s="26">
        <v>0</v>
      </c>
      <c r="FE171" s="26">
        <v>0</v>
      </c>
      <c r="FF171" s="26">
        <v>0</v>
      </c>
      <c r="FG171" s="26">
        <v>8.1136786599999995E-8</v>
      </c>
      <c r="FH171" s="26">
        <v>-373566.96134699997</v>
      </c>
      <c r="FI171" s="26">
        <v>6.0018375480147003E-4</v>
      </c>
      <c r="FJ171" s="26">
        <v>5.6729021842721059E-4</v>
      </c>
      <c r="FK171" s="26">
        <v>0</v>
      </c>
      <c r="FL171" s="26">
        <v>3.3596043046546124E-18</v>
      </c>
      <c r="FM171" s="26">
        <v>0</v>
      </c>
      <c r="FN171" s="26">
        <v>0</v>
      </c>
      <c r="FO171" s="26">
        <v>0</v>
      </c>
      <c r="FP171" s="26">
        <v>0</v>
      </c>
      <c r="FQ171" s="26">
        <v>0</v>
      </c>
      <c r="FR171" s="26">
        <v>0</v>
      </c>
      <c r="FS171" s="26">
        <v>0</v>
      </c>
      <c r="FT171" s="26">
        <v>0</v>
      </c>
      <c r="FU171" s="26">
        <v>0</v>
      </c>
      <c r="FV171" s="26">
        <v>0</v>
      </c>
      <c r="FW171" s="26">
        <v>0</v>
      </c>
      <c r="FX171" s="26">
        <v>0</v>
      </c>
      <c r="FY171" s="26">
        <v>0</v>
      </c>
      <c r="FZ171" s="26">
        <v>0</v>
      </c>
      <c r="GA171" s="26">
        <v>0</v>
      </c>
      <c r="GB171" s="26">
        <v>0</v>
      </c>
      <c r="GC171" s="26">
        <v>6.202916216289996E-11</v>
      </c>
      <c r="GD171" s="26">
        <v>0</v>
      </c>
      <c r="GE171" s="26">
        <v>0</v>
      </c>
      <c r="GF171" s="26">
        <v>0</v>
      </c>
      <c r="GG171" s="26">
        <v>4.562702008723838E-6</v>
      </c>
      <c r="GH171" s="26">
        <v>0</v>
      </c>
      <c r="GI171" s="26">
        <v>0</v>
      </c>
      <c r="GJ171" s="26">
        <v>0</v>
      </c>
      <c r="GK171" s="26">
        <v>0</v>
      </c>
      <c r="GL171" s="26">
        <v>0</v>
      </c>
      <c r="GM171" s="26">
        <v>0</v>
      </c>
      <c r="GN171" s="26">
        <v>0</v>
      </c>
      <c r="GO171" s="26">
        <v>0</v>
      </c>
      <c r="GP171" s="26">
        <v>0</v>
      </c>
      <c r="GQ171" s="26">
        <v>0</v>
      </c>
      <c r="GR171" s="26">
        <v>1.4152349640996575E-16</v>
      </c>
      <c r="GS171" s="26">
        <v>2.4911216810400848E-3</v>
      </c>
      <c r="GT171" s="26">
        <v>1.157041053700773E-2</v>
      </c>
      <c r="GU171" s="26">
        <v>0</v>
      </c>
      <c r="GV171" s="26">
        <v>0</v>
      </c>
      <c r="GW171" s="26">
        <v>0</v>
      </c>
      <c r="GX171" s="26">
        <v>6.001835686903574E-4</v>
      </c>
      <c r="GY171" s="26">
        <v>0</v>
      </c>
      <c r="GZ171" s="26">
        <v>0</v>
      </c>
      <c r="HA171" s="26">
        <v>1.8618788704505865E-9</v>
      </c>
      <c r="HB171" s="26">
        <v>0</v>
      </c>
      <c r="HC171" s="26">
        <v>0</v>
      </c>
      <c r="HD171" s="26">
        <v>0</v>
      </c>
      <c r="HE171" s="26">
        <v>0</v>
      </c>
      <c r="HF171" s="26">
        <v>0</v>
      </c>
      <c r="HG171" s="26">
        <v>0</v>
      </c>
      <c r="HH171" s="26">
        <v>0</v>
      </c>
      <c r="HI171" s="26">
        <v>0</v>
      </c>
      <c r="HJ171" s="26">
        <v>0</v>
      </c>
      <c r="HK171" s="26">
        <v>0</v>
      </c>
      <c r="HL171" s="26">
        <v>0</v>
      </c>
      <c r="HM171" s="26">
        <v>0</v>
      </c>
      <c r="HN171" s="26">
        <v>0</v>
      </c>
      <c r="HO171" s="26">
        <v>0</v>
      </c>
      <c r="HP171" s="26">
        <v>0</v>
      </c>
      <c r="HQ171" s="26">
        <v>0</v>
      </c>
      <c r="HR171" s="26">
        <v>0</v>
      </c>
      <c r="HS171" s="26">
        <v>0</v>
      </c>
      <c r="HT171" s="26">
        <v>0</v>
      </c>
    </row>
    <row r="172" spans="2:228" x14ac:dyDescent="0.2">
      <c r="B172" s="27" t="s">
        <v>1366</v>
      </c>
      <c r="C172" s="26">
        <v>67.352044000000006</v>
      </c>
      <c r="D172" s="26">
        <v>-0.112479896</v>
      </c>
      <c r="E172" s="26">
        <v>0</v>
      </c>
      <c r="F172" s="26">
        <v>0</v>
      </c>
      <c r="G172" s="26">
        <v>0</v>
      </c>
      <c r="H172" s="26">
        <v>0</v>
      </c>
      <c r="I172" s="26">
        <v>0</v>
      </c>
      <c r="J172" s="26">
        <v>0</v>
      </c>
      <c r="K172" s="26">
        <v>0</v>
      </c>
      <c r="L172" s="26">
        <v>0</v>
      </c>
      <c r="M172" s="26">
        <v>0</v>
      </c>
      <c r="N172" s="26">
        <v>0</v>
      </c>
      <c r="O172" s="26">
        <v>0</v>
      </c>
      <c r="P172" s="26">
        <v>0</v>
      </c>
      <c r="Q172" s="26">
        <v>0</v>
      </c>
      <c r="R172" s="26">
        <v>0</v>
      </c>
      <c r="S172" s="26">
        <v>0</v>
      </c>
      <c r="T172" s="26">
        <v>0</v>
      </c>
      <c r="U172" s="26">
        <v>0</v>
      </c>
      <c r="V172" s="26">
        <v>0</v>
      </c>
      <c r="W172" s="26">
        <v>0</v>
      </c>
      <c r="X172" s="26">
        <v>0</v>
      </c>
      <c r="Y172" s="26">
        <v>0</v>
      </c>
      <c r="Z172" s="26">
        <v>0</v>
      </c>
      <c r="AA172" s="26">
        <v>0</v>
      </c>
      <c r="AB172" s="26">
        <v>0</v>
      </c>
      <c r="AC172" s="26">
        <v>0</v>
      </c>
      <c r="AD172" s="26">
        <v>0</v>
      </c>
      <c r="AE172" s="26">
        <v>0</v>
      </c>
      <c r="AF172" s="26">
        <v>0</v>
      </c>
      <c r="AG172" s="26">
        <v>0</v>
      </c>
      <c r="AH172" s="26">
        <v>0</v>
      </c>
      <c r="AI172" s="26">
        <v>0</v>
      </c>
      <c r="AJ172" s="26">
        <v>67.352044000000006</v>
      </c>
      <c r="AK172" s="26">
        <v>0</v>
      </c>
      <c r="AL172" s="26">
        <v>0</v>
      </c>
      <c r="AM172" s="26">
        <v>0</v>
      </c>
      <c r="AN172" s="26">
        <v>0</v>
      </c>
      <c r="AO172" s="26">
        <v>0</v>
      </c>
      <c r="AP172" s="26">
        <v>0</v>
      </c>
      <c r="AQ172" s="26">
        <v>0</v>
      </c>
      <c r="AR172" s="26">
        <v>0</v>
      </c>
      <c r="AS172" s="26">
        <v>0</v>
      </c>
      <c r="AT172" s="26">
        <v>0</v>
      </c>
      <c r="AU172" s="26">
        <v>0</v>
      </c>
      <c r="AV172" s="26">
        <v>0</v>
      </c>
      <c r="AW172" s="26">
        <v>0</v>
      </c>
      <c r="AX172" s="26">
        <v>0</v>
      </c>
      <c r="AY172" s="26">
        <v>0</v>
      </c>
      <c r="AZ172" s="26">
        <v>0</v>
      </c>
      <c r="BA172" s="26">
        <v>0</v>
      </c>
      <c r="BB172" s="26">
        <v>0</v>
      </c>
      <c r="BC172" s="26">
        <v>0</v>
      </c>
      <c r="BD172" s="26">
        <v>0</v>
      </c>
      <c r="BE172" s="26">
        <v>0</v>
      </c>
      <c r="BF172" s="26">
        <v>0</v>
      </c>
      <c r="BG172" s="26">
        <v>0</v>
      </c>
      <c r="BH172" s="26">
        <v>0</v>
      </c>
      <c r="BI172" s="26">
        <v>0</v>
      </c>
      <c r="BJ172" s="26">
        <v>0</v>
      </c>
      <c r="BK172" s="26">
        <v>0</v>
      </c>
      <c r="BL172" s="26">
        <v>0</v>
      </c>
      <c r="BM172" s="26">
        <v>0</v>
      </c>
      <c r="BN172" s="26">
        <v>0</v>
      </c>
      <c r="BO172" s="26">
        <v>0.37385052899999999</v>
      </c>
      <c r="BP172" s="26">
        <v>67.352044000000006</v>
      </c>
      <c r="BQ172" s="26">
        <v>5.8672475000000009E-2</v>
      </c>
      <c r="BR172" s="26">
        <v>20</v>
      </c>
      <c r="BS172" s="26">
        <v>1</v>
      </c>
      <c r="BT172" s="26">
        <v>0</v>
      </c>
      <c r="BU172" s="26">
        <v>1</v>
      </c>
      <c r="BV172" s="26">
        <v>0</v>
      </c>
      <c r="BW172" s="26">
        <v>-300868.62599999999</v>
      </c>
      <c r="BX172" s="26">
        <v>-1670.0294200000001</v>
      </c>
      <c r="BY172" s="26">
        <v>-0.112479896</v>
      </c>
      <c r="BZ172" s="26">
        <v>-263.941979</v>
      </c>
      <c r="CA172" s="26">
        <v>-1.4650609299999999</v>
      </c>
      <c r="CB172" s="26">
        <v>0.106197021</v>
      </c>
      <c r="CC172" s="26">
        <v>19.132209</v>
      </c>
      <c r="CD172" s="26">
        <v>180.15768</v>
      </c>
      <c r="CE172" s="26">
        <v>0.95088880899999995</v>
      </c>
      <c r="CF172" s="26">
        <v>0</v>
      </c>
      <c r="CG172" s="26">
        <v>0</v>
      </c>
      <c r="CH172" s="26">
        <v>0</v>
      </c>
      <c r="CI172" s="26">
        <v>0</v>
      </c>
      <c r="CJ172" s="26">
        <v>0</v>
      </c>
      <c r="CK172" s="26">
        <v>0</v>
      </c>
      <c r="CL172" s="26">
        <v>0</v>
      </c>
      <c r="CM172" s="26">
        <v>0</v>
      </c>
      <c r="CN172" s="26">
        <v>0</v>
      </c>
      <c r="CO172" s="26">
        <v>0</v>
      </c>
      <c r="CP172" s="26">
        <v>0</v>
      </c>
      <c r="CQ172" s="26">
        <v>0</v>
      </c>
      <c r="CR172" s="26">
        <v>0</v>
      </c>
      <c r="CS172" s="26">
        <v>0</v>
      </c>
      <c r="CT172" s="26">
        <v>0</v>
      </c>
      <c r="CU172" s="26">
        <v>0</v>
      </c>
      <c r="CV172" s="26">
        <v>0</v>
      </c>
      <c r="CW172" s="26">
        <v>0</v>
      </c>
      <c r="CX172" s="26">
        <v>0</v>
      </c>
      <c r="CY172" s="26">
        <v>0</v>
      </c>
      <c r="CZ172" s="26">
        <v>0</v>
      </c>
      <c r="DA172" s="26">
        <v>0</v>
      </c>
      <c r="DB172" s="26">
        <v>0</v>
      </c>
      <c r="DC172" s="26">
        <v>0</v>
      </c>
      <c r="DD172" s="26">
        <v>0</v>
      </c>
      <c r="DE172" s="26">
        <v>0</v>
      </c>
      <c r="DF172" s="26">
        <v>0</v>
      </c>
      <c r="DG172" s="26">
        <v>0</v>
      </c>
      <c r="DH172" s="26">
        <v>0</v>
      </c>
      <c r="DI172" s="26">
        <v>0</v>
      </c>
      <c r="DJ172" s="26">
        <v>0</v>
      </c>
      <c r="DK172" s="26">
        <v>0</v>
      </c>
      <c r="DL172" s="26">
        <v>0</v>
      </c>
      <c r="DM172" s="26">
        <v>0</v>
      </c>
      <c r="DN172" s="26">
        <v>0</v>
      </c>
      <c r="DO172" s="26">
        <v>0</v>
      </c>
      <c r="DP172" s="26">
        <v>0</v>
      </c>
      <c r="DQ172" s="26">
        <v>0</v>
      </c>
      <c r="DR172" s="26">
        <v>0</v>
      </c>
      <c r="DS172" s="26">
        <v>0</v>
      </c>
      <c r="DT172" s="26">
        <v>0</v>
      </c>
      <c r="DU172" s="26">
        <v>0</v>
      </c>
      <c r="DV172" s="26">
        <v>0</v>
      </c>
      <c r="DW172" s="26">
        <v>0</v>
      </c>
      <c r="DX172" s="26">
        <v>0</v>
      </c>
      <c r="DY172" s="26">
        <v>0</v>
      </c>
      <c r="DZ172" s="26">
        <v>0</v>
      </c>
      <c r="EA172" s="26">
        <v>0</v>
      </c>
      <c r="EB172" s="26">
        <v>0</v>
      </c>
      <c r="EC172" s="26">
        <v>0</v>
      </c>
      <c r="ED172" s="26">
        <v>0</v>
      </c>
      <c r="EE172" s="26">
        <v>0</v>
      </c>
      <c r="EF172" s="26">
        <v>0</v>
      </c>
      <c r="EG172" s="26">
        <v>0</v>
      </c>
      <c r="EH172" s="26">
        <v>0</v>
      </c>
      <c r="EI172" s="26">
        <v>0</v>
      </c>
      <c r="EJ172" s="26">
        <v>0</v>
      </c>
      <c r="EK172" s="26">
        <v>0</v>
      </c>
      <c r="EL172" s="26">
        <v>0</v>
      </c>
      <c r="EM172" s="26">
        <v>0</v>
      </c>
      <c r="EN172" s="26">
        <v>0</v>
      </c>
      <c r="EO172" s="26">
        <v>0</v>
      </c>
      <c r="EP172" s="26">
        <v>0</v>
      </c>
      <c r="EQ172" s="26">
        <v>0</v>
      </c>
      <c r="ER172" s="26">
        <v>0</v>
      </c>
      <c r="ES172" s="26">
        <v>0</v>
      </c>
      <c r="ET172" s="26">
        <v>1</v>
      </c>
      <c r="EU172" s="26">
        <v>0</v>
      </c>
      <c r="EV172" s="26">
        <v>0</v>
      </c>
      <c r="EW172" s="26">
        <v>0</v>
      </c>
      <c r="EX172" s="26">
        <v>0</v>
      </c>
      <c r="EY172" s="26">
        <v>0</v>
      </c>
      <c r="EZ172" s="26">
        <v>0</v>
      </c>
      <c r="FA172" s="26">
        <v>0</v>
      </c>
      <c r="FB172" s="26">
        <v>0</v>
      </c>
      <c r="FC172" s="26">
        <v>0</v>
      </c>
      <c r="FD172" s="26">
        <v>0</v>
      </c>
      <c r="FE172" s="26">
        <v>0</v>
      </c>
      <c r="FF172" s="26">
        <v>0</v>
      </c>
      <c r="FG172" s="26">
        <v>1.06573308</v>
      </c>
      <c r="FH172" s="26">
        <v>-130622.495027</v>
      </c>
      <c r="FI172" s="26">
        <v>6.230842188735626E-4</v>
      </c>
      <c r="FJ172" s="26">
        <v>0</v>
      </c>
      <c r="FK172" s="26">
        <v>0</v>
      </c>
      <c r="FL172" s="26">
        <v>0</v>
      </c>
      <c r="FM172" s="26">
        <v>0</v>
      </c>
      <c r="FN172" s="26">
        <v>0</v>
      </c>
      <c r="FO172" s="26">
        <v>0</v>
      </c>
      <c r="FP172" s="26">
        <v>0</v>
      </c>
      <c r="FQ172" s="26">
        <v>0</v>
      </c>
      <c r="FR172" s="26">
        <v>0</v>
      </c>
      <c r="FS172" s="26">
        <v>0</v>
      </c>
      <c r="FT172" s="26">
        <v>0</v>
      </c>
      <c r="FU172" s="26">
        <v>0</v>
      </c>
      <c r="FV172" s="26">
        <v>0</v>
      </c>
      <c r="FW172" s="26">
        <v>0</v>
      </c>
      <c r="FX172" s="26">
        <v>0</v>
      </c>
      <c r="FY172" s="26">
        <v>0</v>
      </c>
      <c r="FZ172" s="26">
        <v>0</v>
      </c>
      <c r="GA172" s="26">
        <v>0</v>
      </c>
      <c r="GB172" s="26">
        <v>0</v>
      </c>
      <c r="GC172" s="26">
        <v>0</v>
      </c>
      <c r="GD172" s="26">
        <v>0</v>
      </c>
      <c r="GE172" s="26">
        <v>0</v>
      </c>
      <c r="GF172" s="26">
        <v>0</v>
      </c>
      <c r="GG172" s="26">
        <v>0</v>
      </c>
      <c r="GH172" s="26">
        <v>0</v>
      </c>
      <c r="GI172" s="26">
        <v>0</v>
      </c>
      <c r="GJ172" s="26">
        <v>0</v>
      </c>
      <c r="GK172" s="26">
        <v>0</v>
      </c>
      <c r="GL172" s="26">
        <v>0</v>
      </c>
      <c r="GM172" s="26">
        <v>0</v>
      </c>
      <c r="GN172" s="26">
        <v>0</v>
      </c>
      <c r="GO172" s="26">
        <v>0</v>
      </c>
      <c r="GP172" s="26">
        <v>0</v>
      </c>
      <c r="GQ172" s="26">
        <v>0</v>
      </c>
      <c r="GR172" s="26">
        <v>0</v>
      </c>
      <c r="GS172" s="26">
        <v>0</v>
      </c>
      <c r="GT172" s="26">
        <v>0</v>
      </c>
      <c r="GU172" s="26">
        <v>0</v>
      </c>
      <c r="GV172" s="26">
        <v>0</v>
      </c>
      <c r="GW172" s="26">
        <v>0</v>
      </c>
      <c r="GX172" s="26">
        <v>0</v>
      </c>
      <c r="GY172" s="26">
        <v>0</v>
      </c>
      <c r="GZ172" s="26">
        <v>0</v>
      </c>
      <c r="HA172" s="26">
        <v>0</v>
      </c>
      <c r="HB172" s="26">
        <v>0</v>
      </c>
      <c r="HC172" s="26">
        <v>0</v>
      </c>
      <c r="HD172" s="26">
        <v>0</v>
      </c>
      <c r="HE172" s="26">
        <v>0</v>
      </c>
      <c r="HF172" s="26">
        <v>0</v>
      </c>
      <c r="HG172" s="26">
        <v>0</v>
      </c>
      <c r="HH172" s="26">
        <v>0</v>
      </c>
      <c r="HI172" s="26">
        <v>0</v>
      </c>
      <c r="HJ172" s="26">
        <v>0</v>
      </c>
      <c r="HK172" s="26">
        <v>0</v>
      </c>
      <c r="HL172" s="26">
        <v>0</v>
      </c>
      <c r="HM172" s="26">
        <v>0</v>
      </c>
      <c r="HN172" s="26">
        <v>0</v>
      </c>
      <c r="HO172" s="26">
        <v>0</v>
      </c>
      <c r="HP172" s="26">
        <v>0</v>
      </c>
      <c r="HQ172" s="26">
        <v>0</v>
      </c>
      <c r="HR172" s="26">
        <v>0</v>
      </c>
      <c r="HS172" s="26">
        <v>0</v>
      </c>
      <c r="HT172" s="26">
        <v>0</v>
      </c>
    </row>
    <row r="173" spans="2:228" x14ac:dyDescent="0.2">
      <c r="B173" s="27" t="s">
        <v>1369</v>
      </c>
      <c r="C173" s="26">
        <v>109.253077</v>
      </c>
      <c r="D173" s="26">
        <v>-7.01624364E-2</v>
      </c>
      <c r="E173" s="26">
        <v>0</v>
      </c>
      <c r="F173" s="26">
        <v>0</v>
      </c>
      <c r="G173" s="26">
        <v>0</v>
      </c>
      <c r="H173" s="26">
        <v>0</v>
      </c>
      <c r="I173" s="26">
        <v>0</v>
      </c>
      <c r="J173" s="26">
        <v>0</v>
      </c>
      <c r="K173" s="26">
        <v>0</v>
      </c>
      <c r="L173" s="26">
        <v>0</v>
      </c>
      <c r="M173" s="26">
        <v>0</v>
      </c>
      <c r="N173" s="26">
        <v>0</v>
      </c>
      <c r="O173" s="26">
        <v>0</v>
      </c>
      <c r="P173" s="26">
        <v>0</v>
      </c>
      <c r="Q173" s="26">
        <v>0</v>
      </c>
      <c r="R173" s="26">
        <v>0</v>
      </c>
      <c r="S173" s="26">
        <v>0</v>
      </c>
      <c r="T173" s="26">
        <v>0</v>
      </c>
      <c r="U173" s="26">
        <v>0</v>
      </c>
      <c r="V173" s="26">
        <v>0</v>
      </c>
      <c r="W173" s="26">
        <v>0</v>
      </c>
      <c r="X173" s="26">
        <v>0</v>
      </c>
      <c r="Y173" s="26">
        <v>0</v>
      </c>
      <c r="Z173" s="26">
        <v>0</v>
      </c>
      <c r="AA173" s="26">
        <v>0</v>
      </c>
      <c r="AB173" s="26">
        <v>109.253077</v>
      </c>
      <c r="AC173" s="26">
        <v>0</v>
      </c>
      <c r="AD173" s="26">
        <v>0</v>
      </c>
      <c r="AE173" s="26">
        <v>0</v>
      </c>
      <c r="AF173" s="26">
        <v>0</v>
      </c>
      <c r="AG173" s="26">
        <v>0</v>
      </c>
      <c r="AH173" s="26">
        <v>0</v>
      </c>
      <c r="AI173" s="26">
        <v>0</v>
      </c>
      <c r="AJ173" s="26">
        <v>0</v>
      </c>
      <c r="AK173" s="26">
        <v>0</v>
      </c>
      <c r="AL173" s="26">
        <v>0</v>
      </c>
      <c r="AM173" s="26">
        <v>0</v>
      </c>
      <c r="AN173" s="26">
        <v>0</v>
      </c>
      <c r="AO173" s="26">
        <v>0</v>
      </c>
      <c r="AP173" s="26">
        <v>0</v>
      </c>
      <c r="AQ173" s="26">
        <v>0</v>
      </c>
      <c r="AR173" s="26">
        <v>0</v>
      </c>
      <c r="AS173" s="26">
        <v>0</v>
      </c>
      <c r="AT173" s="26">
        <v>0</v>
      </c>
      <c r="AU173" s="26">
        <v>0</v>
      </c>
      <c r="AV173" s="26">
        <v>0</v>
      </c>
      <c r="AW173" s="26">
        <v>0</v>
      </c>
      <c r="AX173" s="26">
        <v>0</v>
      </c>
      <c r="AY173" s="26">
        <v>0</v>
      </c>
      <c r="AZ173" s="26">
        <v>0</v>
      </c>
      <c r="BA173" s="26">
        <v>0</v>
      </c>
      <c r="BB173" s="26">
        <v>0</v>
      </c>
      <c r="BC173" s="26">
        <v>0</v>
      </c>
      <c r="BD173" s="26">
        <v>0</v>
      </c>
      <c r="BE173" s="26">
        <v>0</v>
      </c>
      <c r="BF173" s="26">
        <v>0</v>
      </c>
      <c r="BG173" s="26">
        <v>0</v>
      </c>
      <c r="BH173" s="26">
        <v>0</v>
      </c>
      <c r="BI173" s="26">
        <v>0</v>
      </c>
      <c r="BJ173" s="26">
        <v>0</v>
      </c>
      <c r="BK173" s="26">
        <v>0</v>
      </c>
      <c r="BL173" s="26">
        <v>0</v>
      </c>
      <c r="BM173" s="26">
        <v>0</v>
      </c>
      <c r="BN173" s="26">
        <v>0</v>
      </c>
      <c r="BO173" s="26">
        <v>6.4151194599999997</v>
      </c>
      <c r="BP173" s="26">
        <v>109.253077</v>
      </c>
      <c r="BQ173" s="26">
        <v>293.56514900000002</v>
      </c>
      <c r="BR173" s="26">
        <v>28</v>
      </c>
      <c r="BS173" s="26">
        <v>9</v>
      </c>
      <c r="BT173" s="26">
        <v>1</v>
      </c>
      <c r="BU173" s="26">
        <v>0</v>
      </c>
      <c r="BV173" s="26">
        <v>0</v>
      </c>
      <c r="BW173" s="26">
        <v>-10937.042799999999</v>
      </c>
      <c r="BX173" s="26">
        <v>-642.20100500000001</v>
      </c>
      <c r="BY173" s="26">
        <v>-7.01624364E-2</v>
      </c>
      <c r="BZ173" s="26">
        <v>-27.908867000000001</v>
      </c>
      <c r="CA173" s="26">
        <v>-1.6387521599999999</v>
      </c>
      <c r="CB173" s="26">
        <v>3.6420759399999998E-4</v>
      </c>
      <c r="CC173" s="26">
        <v>6.2026592799999999E-3</v>
      </c>
      <c r="CD173" s="26">
        <v>17.030560000000001</v>
      </c>
      <c r="CE173" s="26">
        <v>5.7263280200000004</v>
      </c>
      <c r="CF173" s="26">
        <v>0</v>
      </c>
      <c r="CG173" s="26">
        <v>0</v>
      </c>
      <c r="CH173" s="26">
        <v>0</v>
      </c>
      <c r="CI173" s="26">
        <v>0</v>
      </c>
      <c r="CJ173" s="26">
        <v>0</v>
      </c>
      <c r="CK173" s="26">
        <v>0</v>
      </c>
      <c r="CL173" s="26">
        <v>0</v>
      </c>
      <c r="CM173" s="26">
        <v>0</v>
      </c>
      <c r="CN173" s="26">
        <v>0</v>
      </c>
      <c r="CO173" s="26">
        <v>0</v>
      </c>
      <c r="CP173" s="26">
        <v>0</v>
      </c>
      <c r="CQ173" s="26">
        <v>0</v>
      </c>
      <c r="CR173" s="26">
        <v>0</v>
      </c>
      <c r="CS173" s="26">
        <v>0</v>
      </c>
      <c r="CT173" s="26">
        <v>0</v>
      </c>
      <c r="CU173" s="26">
        <v>0</v>
      </c>
      <c r="CV173" s="26">
        <v>0</v>
      </c>
      <c r="CW173" s="26">
        <v>0</v>
      </c>
      <c r="CX173" s="26">
        <v>0</v>
      </c>
      <c r="CY173" s="26">
        <v>0</v>
      </c>
      <c r="CZ173" s="26">
        <v>0</v>
      </c>
      <c r="DA173" s="26">
        <v>0</v>
      </c>
      <c r="DB173" s="26">
        <v>0</v>
      </c>
      <c r="DC173" s="26">
        <v>0</v>
      </c>
      <c r="DD173" s="26">
        <v>0</v>
      </c>
      <c r="DE173" s="26">
        <v>0</v>
      </c>
      <c r="DF173" s="26">
        <v>0</v>
      </c>
      <c r="DG173" s="26">
        <v>0</v>
      </c>
      <c r="DH173" s="26">
        <v>0</v>
      </c>
      <c r="DI173" s="26">
        <v>0</v>
      </c>
      <c r="DJ173" s="26">
        <v>0</v>
      </c>
      <c r="DK173" s="26">
        <v>0</v>
      </c>
      <c r="DL173" s="26">
        <v>0</v>
      </c>
      <c r="DM173" s="26">
        <v>0</v>
      </c>
      <c r="DN173" s="26">
        <v>0</v>
      </c>
      <c r="DO173" s="26">
        <v>0</v>
      </c>
      <c r="DP173" s="26">
        <v>0</v>
      </c>
      <c r="DQ173" s="26">
        <v>0</v>
      </c>
      <c r="DR173" s="26">
        <v>0</v>
      </c>
      <c r="DS173" s="26">
        <v>0</v>
      </c>
      <c r="DT173" s="26">
        <v>0</v>
      </c>
      <c r="DU173" s="26">
        <v>0</v>
      </c>
      <c r="DV173" s="26">
        <v>0</v>
      </c>
      <c r="DW173" s="26">
        <v>0</v>
      </c>
      <c r="DX173" s="26">
        <v>0</v>
      </c>
      <c r="DY173" s="26">
        <v>0</v>
      </c>
      <c r="DZ173" s="26">
        <v>0</v>
      </c>
      <c r="EA173" s="26">
        <v>0</v>
      </c>
      <c r="EB173" s="26">
        <v>0</v>
      </c>
      <c r="EC173" s="26">
        <v>0</v>
      </c>
      <c r="ED173" s="26">
        <v>0</v>
      </c>
      <c r="EE173" s="26">
        <v>0</v>
      </c>
      <c r="EF173" s="26">
        <v>0</v>
      </c>
      <c r="EG173" s="26">
        <v>0</v>
      </c>
      <c r="EH173" s="26">
        <v>0</v>
      </c>
      <c r="EI173" s="26">
        <v>0</v>
      </c>
      <c r="EJ173" s="26">
        <v>0</v>
      </c>
      <c r="EK173" s="26">
        <v>0</v>
      </c>
      <c r="EL173" s="26">
        <v>0</v>
      </c>
      <c r="EM173" s="26">
        <v>0</v>
      </c>
      <c r="EN173" s="26">
        <v>0</v>
      </c>
      <c r="EO173" s="26">
        <v>0</v>
      </c>
      <c r="EP173" s="26">
        <v>0</v>
      </c>
      <c r="EQ173" s="26">
        <v>0</v>
      </c>
      <c r="ER173" s="26">
        <v>0</v>
      </c>
      <c r="ES173" s="26">
        <v>0</v>
      </c>
      <c r="ET173" s="26">
        <v>9</v>
      </c>
      <c r="EU173" s="26">
        <v>0</v>
      </c>
      <c r="EV173" s="26">
        <v>0</v>
      </c>
      <c r="EW173" s="26">
        <v>0</v>
      </c>
      <c r="EX173" s="26">
        <v>0</v>
      </c>
      <c r="EY173" s="26">
        <v>0</v>
      </c>
      <c r="EZ173" s="26">
        <v>0</v>
      </c>
      <c r="FA173" s="26">
        <v>0</v>
      </c>
      <c r="FB173" s="26">
        <v>0</v>
      </c>
      <c r="FC173" s="26">
        <v>0</v>
      </c>
      <c r="FD173" s="26">
        <v>0</v>
      </c>
      <c r="FE173" s="26">
        <v>0</v>
      </c>
      <c r="FF173" s="26">
        <v>0</v>
      </c>
      <c r="FG173" s="26">
        <v>0</v>
      </c>
      <c r="FH173" s="26">
        <v>-81789.209873400003</v>
      </c>
      <c r="FI173" s="26">
        <v>0</v>
      </c>
      <c r="FJ173" s="26">
        <v>0</v>
      </c>
      <c r="FK173" s="26">
        <v>0</v>
      </c>
      <c r="FL173" s="26">
        <v>0</v>
      </c>
      <c r="FM173" s="26">
        <v>0</v>
      </c>
      <c r="FN173" s="26">
        <v>0</v>
      </c>
      <c r="FO173" s="26">
        <v>0</v>
      </c>
      <c r="FP173" s="26">
        <v>0</v>
      </c>
      <c r="FQ173" s="26">
        <v>0</v>
      </c>
      <c r="FR173" s="26">
        <v>0</v>
      </c>
      <c r="FS173" s="26">
        <v>0</v>
      </c>
      <c r="FT173" s="26">
        <v>0</v>
      </c>
      <c r="FU173" s="26">
        <v>0</v>
      </c>
      <c r="FV173" s="26">
        <v>0</v>
      </c>
      <c r="FW173" s="26">
        <v>0</v>
      </c>
      <c r="FX173" s="26">
        <v>0</v>
      </c>
      <c r="FY173" s="26">
        <v>0</v>
      </c>
      <c r="FZ173" s="26">
        <v>0</v>
      </c>
      <c r="GA173" s="26">
        <v>0</v>
      </c>
      <c r="GB173" s="26">
        <v>0</v>
      </c>
      <c r="GC173" s="26">
        <v>0</v>
      </c>
      <c r="GD173" s="26">
        <v>0</v>
      </c>
      <c r="GE173" s="26">
        <v>0</v>
      </c>
      <c r="GF173" s="26">
        <v>0</v>
      </c>
      <c r="GG173" s="26">
        <v>1.7819776420335989E-3</v>
      </c>
      <c r="GH173" s="26">
        <v>0</v>
      </c>
      <c r="GI173" s="26">
        <v>0</v>
      </c>
      <c r="GJ173" s="26">
        <v>0</v>
      </c>
      <c r="GK173" s="26">
        <v>0</v>
      </c>
      <c r="GL173" s="26">
        <v>0</v>
      </c>
      <c r="GM173" s="26">
        <v>0</v>
      </c>
      <c r="GN173" s="26">
        <v>0</v>
      </c>
      <c r="GO173" s="26">
        <v>0</v>
      </c>
      <c r="GP173" s="26">
        <v>0</v>
      </c>
      <c r="GQ173" s="26">
        <v>0</v>
      </c>
      <c r="GR173" s="26">
        <v>0</v>
      </c>
      <c r="GS173" s="26">
        <v>0</v>
      </c>
      <c r="GT173" s="26">
        <v>0</v>
      </c>
      <c r="GU173" s="26">
        <v>0</v>
      </c>
      <c r="GV173" s="26">
        <v>0</v>
      </c>
      <c r="GW173" s="26">
        <v>0</v>
      </c>
      <c r="GX173" s="26">
        <v>0</v>
      </c>
      <c r="GY173" s="26">
        <v>0</v>
      </c>
      <c r="GZ173" s="26">
        <v>0</v>
      </c>
      <c r="HA173" s="26">
        <v>0</v>
      </c>
      <c r="HB173" s="26">
        <v>0</v>
      </c>
      <c r="HC173" s="26">
        <v>0</v>
      </c>
      <c r="HD173" s="26">
        <v>0</v>
      </c>
      <c r="HE173" s="26">
        <v>0</v>
      </c>
      <c r="HF173" s="26">
        <v>0</v>
      </c>
      <c r="HG173" s="26">
        <v>0</v>
      </c>
      <c r="HH173" s="26">
        <v>0</v>
      </c>
      <c r="HI173" s="26">
        <v>0</v>
      </c>
      <c r="HJ173" s="26">
        <v>0</v>
      </c>
      <c r="HK173" s="26">
        <v>0</v>
      </c>
      <c r="HL173" s="26">
        <v>0</v>
      </c>
      <c r="HM173" s="26">
        <v>0</v>
      </c>
      <c r="HN173" s="26">
        <v>0</v>
      </c>
      <c r="HO173" s="26">
        <v>0</v>
      </c>
      <c r="HP173" s="26">
        <v>0</v>
      </c>
      <c r="HQ173" s="26">
        <v>0</v>
      </c>
      <c r="HR173" s="26">
        <v>0</v>
      </c>
      <c r="HS173" s="26">
        <v>0</v>
      </c>
      <c r="HT173" s="26">
        <v>0</v>
      </c>
    </row>
    <row r="174" spans="2:228" x14ac:dyDescent="0.2">
      <c r="B174" s="27" t="s">
        <v>1372</v>
      </c>
      <c r="C174" s="26">
        <v>16.4154968</v>
      </c>
      <c r="D174" s="26">
        <v>-1.8159311300000001E-2</v>
      </c>
      <c r="E174" s="26">
        <v>0</v>
      </c>
      <c r="F174" s="26">
        <v>0</v>
      </c>
      <c r="G174" s="26">
        <v>0</v>
      </c>
      <c r="H174" s="26">
        <v>0</v>
      </c>
      <c r="I174" s="26">
        <v>0</v>
      </c>
      <c r="J174" s="26">
        <v>0</v>
      </c>
      <c r="K174" s="26">
        <v>0</v>
      </c>
      <c r="L174" s="26">
        <v>0</v>
      </c>
      <c r="M174" s="26">
        <v>0</v>
      </c>
      <c r="N174" s="26">
        <v>0</v>
      </c>
      <c r="O174" s="26">
        <v>0</v>
      </c>
      <c r="P174" s="26">
        <v>0</v>
      </c>
      <c r="Q174" s="26">
        <v>0</v>
      </c>
      <c r="R174" s="26">
        <v>0</v>
      </c>
      <c r="S174" s="26">
        <v>0</v>
      </c>
      <c r="T174" s="26">
        <v>0</v>
      </c>
      <c r="U174" s="26">
        <v>0</v>
      </c>
      <c r="V174" s="26">
        <v>0</v>
      </c>
      <c r="W174" s="26">
        <v>0</v>
      </c>
      <c r="X174" s="26">
        <v>0</v>
      </c>
      <c r="Y174" s="26">
        <v>0</v>
      </c>
      <c r="Z174" s="26">
        <v>0</v>
      </c>
      <c r="AA174" s="26">
        <v>0</v>
      </c>
      <c r="AB174" s="26">
        <v>0</v>
      </c>
      <c r="AC174" s="26">
        <v>0</v>
      </c>
      <c r="AD174" s="26">
        <v>0</v>
      </c>
      <c r="AE174" s="26">
        <v>0</v>
      </c>
      <c r="AF174" s="26">
        <v>0</v>
      </c>
      <c r="AG174" s="26">
        <v>0</v>
      </c>
      <c r="AH174" s="26">
        <v>0</v>
      </c>
      <c r="AI174" s="26">
        <v>0</v>
      </c>
      <c r="AJ174" s="26">
        <v>0</v>
      </c>
      <c r="AK174" s="26">
        <v>0</v>
      </c>
      <c r="AL174" s="26">
        <v>0</v>
      </c>
      <c r="AM174" s="26">
        <v>0</v>
      </c>
      <c r="AN174" s="26">
        <v>0</v>
      </c>
      <c r="AO174" s="26">
        <v>0</v>
      </c>
      <c r="AP174" s="26">
        <v>0</v>
      </c>
      <c r="AQ174" s="26">
        <v>0</v>
      </c>
      <c r="AR174" s="26">
        <v>0</v>
      </c>
      <c r="AS174" s="26">
        <v>0</v>
      </c>
      <c r="AT174" s="26">
        <v>0</v>
      </c>
      <c r="AU174" s="26">
        <v>0</v>
      </c>
      <c r="AV174" s="26">
        <v>16.4154968</v>
      </c>
      <c r="AW174" s="26">
        <v>0</v>
      </c>
      <c r="AX174" s="26">
        <v>0</v>
      </c>
      <c r="AY174" s="26">
        <v>0</v>
      </c>
      <c r="AZ174" s="26">
        <v>0</v>
      </c>
      <c r="BA174" s="26">
        <v>0</v>
      </c>
      <c r="BB174" s="26">
        <v>0</v>
      </c>
      <c r="BC174" s="26">
        <v>0</v>
      </c>
      <c r="BD174" s="26">
        <v>0</v>
      </c>
      <c r="BE174" s="26">
        <v>0</v>
      </c>
      <c r="BF174" s="26">
        <v>0</v>
      </c>
      <c r="BG174" s="26">
        <v>0</v>
      </c>
      <c r="BH174" s="26">
        <v>0</v>
      </c>
      <c r="BI174" s="26">
        <v>0</v>
      </c>
      <c r="BJ174" s="26">
        <v>0</v>
      </c>
      <c r="BK174" s="26">
        <v>0</v>
      </c>
      <c r="BL174" s="26">
        <v>0</v>
      </c>
      <c r="BM174" s="26">
        <v>0</v>
      </c>
      <c r="BN174" s="26">
        <v>0</v>
      </c>
      <c r="BO174" s="26">
        <v>0.25623270100000001</v>
      </c>
      <c r="BP174" s="26">
        <v>16.4154968</v>
      </c>
      <c r="BQ174" s="26">
        <v>35.176737500000002</v>
      </c>
      <c r="BR174" s="26">
        <v>28</v>
      </c>
      <c r="BS174" s="26">
        <v>3</v>
      </c>
      <c r="BT174" s="26">
        <v>1</v>
      </c>
      <c r="BU174" s="26">
        <v>0</v>
      </c>
      <c r="BV174" s="26">
        <v>0</v>
      </c>
      <c r="BW174" s="26">
        <v>-70870.388699999996</v>
      </c>
      <c r="BX174" s="26">
        <v>-1106.2297699999999</v>
      </c>
      <c r="BY174" s="26">
        <v>-1.8159311300000001E-2</v>
      </c>
      <c r="BZ174" s="26">
        <v>0.54144914399999999</v>
      </c>
      <c r="CA174" s="26">
        <v>8.4515856400000002E-3</v>
      </c>
      <c r="CB174" s="26">
        <v>1.2140253099999999E-4</v>
      </c>
      <c r="CC174" s="26">
        <v>7.7776288799999999E-3</v>
      </c>
      <c r="CD174" s="26">
        <v>64.064800000000005</v>
      </c>
      <c r="CE174" s="26">
        <v>0.200203148</v>
      </c>
      <c r="CF174" s="26">
        <v>0</v>
      </c>
      <c r="CG174" s="26">
        <v>0</v>
      </c>
      <c r="CH174" s="26">
        <v>0</v>
      </c>
      <c r="CI174" s="26">
        <v>0</v>
      </c>
      <c r="CJ174" s="26">
        <v>0</v>
      </c>
      <c r="CK174" s="26">
        <v>0</v>
      </c>
      <c r="CL174" s="26">
        <v>0</v>
      </c>
      <c r="CM174" s="26">
        <v>0</v>
      </c>
      <c r="CN174" s="26">
        <v>0</v>
      </c>
      <c r="CO174" s="26">
        <v>0</v>
      </c>
      <c r="CP174" s="26">
        <v>0</v>
      </c>
      <c r="CQ174" s="26">
        <v>0</v>
      </c>
      <c r="CR174" s="26">
        <v>0</v>
      </c>
      <c r="CS174" s="26">
        <v>0</v>
      </c>
      <c r="CT174" s="26">
        <v>0</v>
      </c>
      <c r="CU174" s="26">
        <v>0</v>
      </c>
      <c r="CV174" s="26">
        <v>0</v>
      </c>
      <c r="CW174" s="26">
        <v>0</v>
      </c>
      <c r="CX174" s="26">
        <v>0</v>
      </c>
      <c r="CY174" s="26">
        <v>0</v>
      </c>
      <c r="CZ174" s="26">
        <v>0</v>
      </c>
      <c r="DA174" s="26">
        <v>0</v>
      </c>
      <c r="DB174" s="26">
        <v>0</v>
      </c>
      <c r="DC174" s="26">
        <v>0</v>
      </c>
      <c r="DD174" s="26">
        <v>0</v>
      </c>
      <c r="DE174" s="26">
        <v>0</v>
      </c>
      <c r="DF174" s="26">
        <v>0</v>
      </c>
      <c r="DG174" s="26">
        <v>0</v>
      </c>
      <c r="DH174" s="26">
        <v>0</v>
      </c>
      <c r="DI174" s="26">
        <v>0</v>
      </c>
      <c r="DJ174" s="26">
        <v>0</v>
      </c>
      <c r="DK174" s="26">
        <v>0</v>
      </c>
      <c r="DL174" s="26">
        <v>0</v>
      </c>
      <c r="DM174" s="26">
        <v>0</v>
      </c>
      <c r="DN174" s="26">
        <v>0</v>
      </c>
      <c r="DO174" s="26">
        <v>0</v>
      </c>
      <c r="DP174" s="26">
        <v>0</v>
      </c>
      <c r="DQ174" s="26">
        <v>0</v>
      </c>
      <c r="DR174" s="26">
        <v>0</v>
      </c>
      <c r="DS174" s="26">
        <v>0</v>
      </c>
      <c r="DT174" s="26">
        <v>0</v>
      </c>
      <c r="DU174" s="26">
        <v>0</v>
      </c>
      <c r="DV174" s="26">
        <v>0</v>
      </c>
      <c r="DW174" s="26">
        <v>0</v>
      </c>
      <c r="DX174" s="26">
        <v>0</v>
      </c>
      <c r="DY174" s="26">
        <v>0</v>
      </c>
      <c r="DZ174" s="26">
        <v>0</v>
      </c>
      <c r="EA174" s="26">
        <v>0</v>
      </c>
      <c r="EB174" s="26">
        <v>0</v>
      </c>
      <c r="EC174" s="26">
        <v>0</v>
      </c>
      <c r="ED174" s="26">
        <v>0</v>
      </c>
      <c r="EE174" s="26">
        <v>0</v>
      </c>
      <c r="EF174" s="26">
        <v>0</v>
      </c>
      <c r="EG174" s="26">
        <v>0</v>
      </c>
      <c r="EH174" s="26">
        <v>0</v>
      </c>
      <c r="EI174" s="26">
        <v>0</v>
      </c>
      <c r="EJ174" s="26">
        <v>0</v>
      </c>
      <c r="EK174" s="26">
        <v>0</v>
      </c>
      <c r="EL174" s="26">
        <v>0</v>
      </c>
      <c r="EM174" s="26">
        <v>0</v>
      </c>
      <c r="EN174" s="26">
        <v>0</v>
      </c>
      <c r="EO174" s="26">
        <v>0</v>
      </c>
      <c r="EP174" s="26">
        <v>0</v>
      </c>
      <c r="EQ174" s="26">
        <v>0</v>
      </c>
      <c r="ER174" s="26">
        <v>0</v>
      </c>
      <c r="ES174" s="26">
        <v>0</v>
      </c>
      <c r="ET174" s="26">
        <v>3</v>
      </c>
      <c r="EU174" s="26">
        <v>0</v>
      </c>
      <c r="EV174" s="26">
        <v>0</v>
      </c>
      <c r="EW174" s="26">
        <v>0</v>
      </c>
      <c r="EX174" s="26">
        <v>0</v>
      </c>
      <c r="EY174" s="26">
        <v>0</v>
      </c>
      <c r="EZ174" s="26">
        <v>0</v>
      </c>
      <c r="FA174" s="26">
        <v>0</v>
      </c>
      <c r="FB174" s="26">
        <v>0</v>
      </c>
      <c r="FC174" s="26">
        <v>0</v>
      </c>
      <c r="FD174" s="26">
        <v>0</v>
      </c>
      <c r="FE174" s="26">
        <v>0</v>
      </c>
      <c r="FF174" s="26">
        <v>0</v>
      </c>
      <c r="FG174" s="26">
        <v>0.24974713100000001</v>
      </c>
      <c r="FH174" s="26">
        <v>-21127.809879500001</v>
      </c>
      <c r="FI174" s="26">
        <v>0</v>
      </c>
      <c r="FJ174" s="26">
        <v>0</v>
      </c>
      <c r="FK174" s="26">
        <v>0</v>
      </c>
      <c r="FL174" s="26">
        <v>0</v>
      </c>
      <c r="FM174" s="26">
        <v>0</v>
      </c>
      <c r="FN174" s="26">
        <v>0</v>
      </c>
      <c r="FO174" s="26">
        <v>0</v>
      </c>
      <c r="FP174" s="26">
        <v>0</v>
      </c>
      <c r="FQ174" s="26">
        <v>0</v>
      </c>
      <c r="FR174" s="26">
        <v>0</v>
      </c>
      <c r="FS174" s="26">
        <v>0</v>
      </c>
      <c r="FT174" s="26">
        <v>0</v>
      </c>
      <c r="FU174" s="26">
        <v>0</v>
      </c>
      <c r="FV174" s="26">
        <v>0</v>
      </c>
      <c r="FW174" s="26">
        <v>0</v>
      </c>
      <c r="FX174" s="26">
        <v>0</v>
      </c>
      <c r="FY174" s="26">
        <v>0</v>
      </c>
      <c r="FZ174" s="26">
        <v>0</v>
      </c>
      <c r="GA174" s="26">
        <v>0</v>
      </c>
      <c r="GB174" s="26">
        <v>0</v>
      </c>
      <c r="GC174" s="26">
        <v>0</v>
      </c>
      <c r="GD174" s="26">
        <v>0</v>
      </c>
      <c r="GE174" s="26">
        <v>0</v>
      </c>
      <c r="GF174" s="26">
        <v>0</v>
      </c>
      <c r="GG174" s="26">
        <v>0</v>
      </c>
      <c r="GH174" s="26">
        <v>0</v>
      </c>
      <c r="GI174" s="26">
        <v>0</v>
      </c>
      <c r="GJ174" s="26">
        <v>0</v>
      </c>
      <c r="GK174" s="26">
        <v>0</v>
      </c>
      <c r="GL174" s="26">
        <v>0</v>
      </c>
      <c r="GM174" s="26">
        <v>0</v>
      </c>
      <c r="GN174" s="26">
        <v>0</v>
      </c>
      <c r="GO174" s="26">
        <v>0</v>
      </c>
      <c r="GP174" s="26">
        <v>0</v>
      </c>
      <c r="GQ174" s="26">
        <v>0</v>
      </c>
      <c r="GR174" s="26">
        <v>0</v>
      </c>
      <c r="GS174" s="26">
        <v>0</v>
      </c>
      <c r="GT174" s="26">
        <v>0</v>
      </c>
      <c r="GU174" s="26">
        <v>0</v>
      </c>
      <c r="GV174" s="26">
        <v>0</v>
      </c>
      <c r="GW174" s="26">
        <v>0</v>
      </c>
      <c r="GX174" s="26">
        <v>0</v>
      </c>
      <c r="GY174" s="26">
        <v>0</v>
      </c>
      <c r="GZ174" s="26">
        <v>0</v>
      </c>
      <c r="HA174" s="26">
        <v>7.1175750847183794E-5</v>
      </c>
      <c r="HB174" s="26">
        <v>0</v>
      </c>
      <c r="HC174" s="26">
        <v>0</v>
      </c>
      <c r="HD174" s="26">
        <v>0</v>
      </c>
      <c r="HE174" s="26">
        <v>0</v>
      </c>
      <c r="HF174" s="26">
        <v>0</v>
      </c>
      <c r="HG174" s="26">
        <v>0</v>
      </c>
      <c r="HH174" s="26">
        <v>0</v>
      </c>
      <c r="HI174" s="26">
        <v>0</v>
      </c>
      <c r="HJ174" s="26">
        <v>0</v>
      </c>
      <c r="HK174" s="26">
        <v>0</v>
      </c>
      <c r="HL174" s="26">
        <v>0</v>
      </c>
      <c r="HM174" s="26">
        <v>0</v>
      </c>
      <c r="HN174" s="26">
        <v>0</v>
      </c>
      <c r="HO174" s="26">
        <v>0</v>
      </c>
      <c r="HP174" s="26">
        <v>0</v>
      </c>
      <c r="HQ174" s="26">
        <v>0</v>
      </c>
      <c r="HR174" s="26">
        <v>0</v>
      </c>
      <c r="HS174" s="26">
        <v>0</v>
      </c>
      <c r="HT174" s="26">
        <v>0</v>
      </c>
    </row>
    <row r="175" spans="2:228" x14ac:dyDescent="0.2">
      <c r="B175" s="27" t="s">
        <v>1376</v>
      </c>
      <c r="C175" s="26">
        <v>156.63265999999999</v>
      </c>
      <c r="D175" s="26">
        <v>-0.39903873200000001</v>
      </c>
      <c r="E175" s="26">
        <v>78.707911800000005</v>
      </c>
      <c r="F175" s="26">
        <v>0</v>
      </c>
      <c r="G175" s="26">
        <v>0</v>
      </c>
      <c r="H175" s="26">
        <v>0</v>
      </c>
      <c r="I175" s="26">
        <v>0</v>
      </c>
      <c r="J175" s="26">
        <v>0</v>
      </c>
      <c r="K175" s="26">
        <v>0</v>
      </c>
      <c r="L175" s="26">
        <v>0</v>
      </c>
      <c r="M175" s="26">
        <v>0</v>
      </c>
      <c r="N175" s="26">
        <v>0</v>
      </c>
      <c r="O175" s="26">
        <v>0</v>
      </c>
      <c r="P175" s="26">
        <v>0</v>
      </c>
      <c r="Q175" s="26">
        <v>0</v>
      </c>
      <c r="R175" s="26">
        <v>0</v>
      </c>
      <c r="S175" s="26">
        <v>0</v>
      </c>
      <c r="T175" s="26">
        <v>0</v>
      </c>
      <c r="U175" s="26">
        <v>0</v>
      </c>
      <c r="V175" s="26">
        <v>0</v>
      </c>
      <c r="W175" s="26">
        <v>0</v>
      </c>
      <c r="X175" s="26">
        <v>38.766583400000002</v>
      </c>
      <c r="Y175" s="26">
        <v>0</v>
      </c>
      <c r="Z175" s="26">
        <v>0</v>
      </c>
      <c r="AA175" s="26">
        <v>0</v>
      </c>
      <c r="AB175" s="26">
        <v>0</v>
      </c>
      <c r="AC175" s="26">
        <v>0</v>
      </c>
      <c r="AD175" s="26">
        <v>0</v>
      </c>
      <c r="AE175" s="26">
        <v>0</v>
      </c>
      <c r="AF175" s="26">
        <v>0</v>
      </c>
      <c r="AG175" s="26">
        <v>0</v>
      </c>
      <c r="AH175" s="26">
        <v>0</v>
      </c>
      <c r="AI175" s="26">
        <v>0</v>
      </c>
      <c r="AJ175" s="26">
        <v>0</v>
      </c>
      <c r="AK175" s="26">
        <v>0</v>
      </c>
      <c r="AL175" s="26">
        <v>0</v>
      </c>
      <c r="AM175" s="26">
        <v>0</v>
      </c>
      <c r="AN175" s="26">
        <v>0</v>
      </c>
      <c r="AO175" s="26">
        <v>0</v>
      </c>
      <c r="AP175" s="26">
        <v>0</v>
      </c>
      <c r="AQ175" s="26">
        <v>0</v>
      </c>
      <c r="AR175" s="26">
        <v>0</v>
      </c>
      <c r="AS175" s="26">
        <v>0</v>
      </c>
      <c r="AT175" s="26">
        <v>0</v>
      </c>
      <c r="AU175" s="26">
        <v>0</v>
      </c>
      <c r="AV175" s="26">
        <v>0</v>
      </c>
      <c r="AW175" s="26">
        <v>0</v>
      </c>
      <c r="AX175" s="26">
        <v>0</v>
      </c>
      <c r="AY175" s="26">
        <v>0</v>
      </c>
      <c r="AZ175" s="26">
        <v>0</v>
      </c>
      <c r="BA175" s="26">
        <v>0</v>
      </c>
      <c r="BB175" s="26">
        <v>0</v>
      </c>
      <c r="BC175" s="26">
        <v>0</v>
      </c>
      <c r="BD175" s="26">
        <v>0</v>
      </c>
      <c r="BE175" s="26">
        <v>0</v>
      </c>
      <c r="BF175" s="26">
        <v>0</v>
      </c>
      <c r="BG175" s="26">
        <v>0</v>
      </c>
      <c r="BH175" s="26">
        <v>0</v>
      </c>
      <c r="BI175" s="26">
        <v>0</v>
      </c>
      <c r="BJ175" s="26">
        <v>0</v>
      </c>
      <c r="BK175" s="26">
        <v>0</v>
      </c>
      <c r="BL175" s="26">
        <v>0</v>
      </c>
      <c r="BM175" s="26">
        <v>0</v>
      </c>
      <c r="BN175" s="26">
        <v>0</v>
      </c>
      <c r="BO175" s="26">
        <v>4.7993158300000003</v>
      </c>
      <c r="BP175" s="26">
        <v>117.474495</v>
      </c>
      <c r="BQ175" s="26">
        <v>1.8367207699999999</v>
      </c>
      <c r="BR175" s="26">
        <v>20</v>
      </c>
      <c r="BS175" s="26">
        <v>1</v>
      </c>
      <c r="BT175" s="26">
        <v>0</v>
      </c>
      <c r="BU175" s="26">
        <v>1</v>
      </c>
      <c r="BV175" s="26">
        <v>0</v>
      </c>
      <c r="BW175" s="26">
        <v>-76835.986900000004</v>
      </c>
      <c r="BX175" s="26">
        <v>-3139.0657799999999</v>
      </c>
      <c r="BY175" s="26">
        <v>-0.36876017100000003</v>
      </c>
      <c r="BZ175" s="26">
        <v>-46.320903999999999</v>
      </c>
      <c r="CA175" s="26">
        <v>-1.8923992599999999</v>
      </c>
      <c r="CB175" s="26">
        <v>4.3549677100000003E-2</v>
      </c>
      <c r="CC175" s="26">
        <v>1.0659803400000001</v>
      </c>
      <c r="CD175" s="26">
        <v>24.477342100000001</v>
      </c>
      <c r="CE175" s="26">
        <v>1.8435302100000002</v>
      </c>
      <c r="CF175" s="26">
        <v>0</v>
      </c>
      <c r="CG175" s="26">
        <v>0</v>
      </c>
      <c r="CH175" s="26">
        <v>0</v>
      </c>
      <c r="CI175" s="26">
        <v>0</v>
      </c>
      <c r="CJ175" s="26">
        <v>0</v>
      </c>
      <c r="CK175" s="26">
        <v>0</v>
      </c>
      <c r="CL175" s="26">
        <v>0</v>
      </c>
      <c r="CM175" s="26">
        <v>0</v>
      </c>
      <c r="CN175" s="26">
        <v>0</v>
      </c>
      <c r="CO175" s="26">
        <v>0</v>
      </c>
      <c r="CP175" s="26">
        <v>0</v>
      </c>
      <c r="CQ175" s="26">
        <v>0</v>
      </c>
      <c r="CR175" s="26">
        <v>0</v>
      </c>
      <c r="CS175" s="26">
        <v>0</v>
      </c>
      <c r="CT175" s="26">
        <v>0</v>
      </c>
      <c r="CU175" s="26">
        <v>0</v>
      </c>
      <c r="CV175" s="26">
        <v>0</v>
      </c>
      <c r="CW175" s="26">
        <v>0</v>
      </c>
      <c r="CX175" s="26">
        <v>0</v>
      </c>
      <c r="CY175" s="26">
        <v>0</v>
      </c>
      <c r="CZ175" s="26">
        <v>0</v>
      </c>
      <c r="DA175" s="26">
        <v>0</v>
      </c>
      <c r="DB175" s="26">
        <v>0</v>
      </c>
      <c r="DC175" s="26">
        <v>0</v>
      </c>
      <c r="DD175" s="26">
        <v>0</v>
      </c>
      <c r="DE175" s="26">
        <v>0</v>
      </c>
      <c r="DF175" s="26">
        <v>0</v>
      </c>
      <c r="DG175" s="26">
        <v>0</v>
      </c>
      <c r="DH175" s="26">
        <v>0</v>
      </c>
      <c r="DI175" s="26">
        <v>0</v>
      </c>
      <c r="DJ175" s="26">
        <v>0</v>
      </c>
      <c r="DK175" s="26">
        <v>0</v>
      </c>
      <c r="DL175" s="26">
        <v>0</v>
      </c>
      <c r="DM175" s="26">
        <v>0</v>
      </c>
      <c r="DN175" s="26">
        <v>0</v>
      </c>
      <c r="DO175" s="26">
        <v>0</v>
      </c>
      <c r="DP175" s="26">
        <v>0</v>
      </c>
      <c r="DQ175" s="26">
        <v>0</v>
      </c>
      <c r="DR175" s="26">
        <v>0</v>
      </c>
      <c r="DS175" s="26">
        <v>0</v>
      </c>
      <c r="DT175" s="26">
        <v>0</v>
      </c>
      <c r="DU175" s="26">
        <v>0</v>
      </c>
      <c r="DV175" s="26">
        <v>0</v>
      </c>
      <c r="DW175" s="26">
        <v>0</v>
      </c>
      <c r="DX175" s="26">
        <v>0</v>
      </c>
      <c r="DY175" s="26">
        <v>0</v>
      </c>
      <c r="DZ175" s="26">
        <v>0</v>
      </c>
      <c r="EA175" s="26">
        <v>0</v>
      </c>
      <c r="EB175" s="26">
        <v>0</v>
      </c>
      <c r="EC175" s="26">
        <v>0</v>
      </c>
      <c r="ED175" s="26">
        <v>0</v>
      </c>
      <c r="EE175" s="26">
        <v>39.158165099999998</v>
      </c>
      <c r="EF175" s="26">
        <v>0</v>
      </c>
      <c r="EG175" s="26">
        <v>0</v>
      </c>
      <c r="EH175" s="26">
        <v>0</v>
      </c>
      <c r="EI175" s="26">
        <v>0</v>
      </c>
      <c r="EJ175" s="26">
        <v>0</v>
      </c>
      <c r="EK175" s="26">
        <v>0</v>
      </c>
      <c r="EL175" s="26">
        <v>0</v>
      </c>
      <c r="EM175" s="26">
        <v>0</v>
      </c>
      <c r="EN175" s="26">
        <v>0</v>
      </c>
      <c r="EO175" s="26">
        <v>0</v>
      </c>
      <c r="EP175" s="26">
        <v>1.71448559</v>
      </c>
      <c r="EQ175" s="26">
        <v>39.158165099999998</v>
      </c>
      <c r="ER175" s="26">
        <v>0.43433634399999999</v>
      </c>
      <c r="ES175" s="26">
        <v>20</v>
      </c>
      <c r="ET175" s="26">
        <v>1</v>
      </c>
      <c r="EU175" s="26">
        <v>0</v>
      </c>
      <c r="EV175" s="26">
        <v>0</v>
      </c>
      <c r="EW175" s="26">
        <v>1</v>
      </c>
      <c r="EX175" s="26">
        <v>-17660.434600000001</v>
      </c>
      <c r="EY175" s="26">
        <v>-773.23747200000003</v>
      </c>
      <c r="EZ175" s="26">
        <v>-3.02785608E-2</v>
      </c>
      <c r="FA175" s="26">
        <v>-59.234594700000002</v>
      </c>
      <c r="FB175" s="26">
        <v>-2.5935040300000001</v>
      </c>
      <c r="FC175" s="26">
        <v>6.5789473700000003E-2</v>
      </c>
      <c r="FD175" s="26">
        <v>1.5026052599999999</v>
      </c>
      <c r="FE175" s="26">
        <v>22.839600000000001</v>
      </c>
      <c r="FF175" s="26">
        <v>0</v>
      </c>
      <c r="FG175" s="26">
        <v>0.62472096899999996</v>
      </c>
      <c r="FH175" s="26">
        <v>-463467.908047</v>
      </c>
      <c r="FI175" s="26">
        <v>3.5863568342464099E-4</v>
      </c>
      <c r="FJ175" s="26">
        <v>0</v>
      </c>
      <c r="FK175" s="26">
        <v>0</v>
      </c>
      <c r="FL175" s="26">
        <v>0</v>
      </c>
      <c r="FM175" s="26">
        <v>0</v>
      </c>
      <c r="FN175" s="26">
        <v>0</v>
      </c>
      <c r="FO175" s="26">
        <v>0</v>
      </c>
      <c r="FP175" s="26">
        <v>0</v>
      </c>
      <c r="FQ175" s="26">
        <v>0</v>
      </c>
      <c r="FR175" s="26">
        <v>0</v>
      </c>
      <c r="FS175" s="26">
        <v>0</v>
      </c>
      <c r="FT175" s="26">
        <v>0</v>
      </c>
      <c r="FU175" s="26">
        <v>0</v>
      </c>
      <c r="FV175" s="26">
        <v>0</v>
      </c>
      <c r="FW175" s="26">
        <v>0</v>
      </c>
      <c r="FX175" s="26">
        <v>0</v>
      </c>
      <c r="FY175" s="26">
        <v>0</v>
      </c>
      <c r="FZ175" s="26">
        <v>0</v>
      </c>
      <c r="GA175" s="26">
        <v>0</v>
      </c>
      <c r="GB175" s="26">
        <v>0</v>
      </c>
      <c r="GC175" s="26">
        <v>0</v>
      </c>
      <c r="GD175" s="26">
        <v>0</v>
      </c>
      <c r="GE175" s="26">
        <v>0</v>
      </c>
      <c r="GF175" s="26">
        <v>0</v>
      </c>
      <c r="GG175" s="26">
        <v>0</v>
      </c>
      <c r="GH175" s="26">
        <v>0</v>
      </c>
      <c r="GI175" s="26">
        <v>0</v>
      </c>
      <c r="GJ175" s="26">
        <v>0</v>
      </c>
      <c r="GK175" s="26">
        <v>0</v>
      </c>
      <c r="GL175" s="26">
        <v>0</v>
      </c>
      <c r="GM175" s="26">
        <v>0</v>
      </c>
      <c r="GN175" s="26">
        <v>0</v>
      </c>
      <c r="GO175" s="26">
        <v>0</v>
      </c>
      <c r="GP175" s="26">
        <v>0</v>
      </c>
      <c r="GQ175" s="26">
        <v>0</v>
      </c>
      <c r="GR175" s="26">
        <v>0</v>
      </c>
      <c r="GS175" s="26">
        <v>0</v>
      </c>
      <c r="GT175" s="26">
        <v>0</v>
      </c>
      <c r="GU175" s="26">
        <v>0</v>
      </c>
      <c r="GV175" s="26">
        <v>0</v>
      </c>
      <c r="GW175" s="26">
        <v>0</v>
      </c>
      <c r="GX175" s="26">
        <v>0</v>
      </c>
      <c r="GY175" s="26">
        <v>0</v>
      </c>
      <c r="GZ175" s="26">
        <v>0</v>
      </c>
      <c r="HA175" s="26">
        <v>0</v>
      </c>
      <c r="HB175" s="26">
        <v>0</v>
      </c>
      <c r="HC175" s="26">
        <v>0</v>
      </c>
      <c r="HD175" s="26">
        <v>0</v>
      </c>
      <c r="HE175" s="26">
        <v>0</v>
      </c>
      <c r="HF175" s="26">
        <v>0</v>
      </c>
      <c r="HG175" s="26">
        <v>0</v>
      </c>
      <c r="HH175" s="26">
        <v>0</v>
      </c>
      <c r="HI175" s="26">
        <v>0</v>
      </c>
      <c r="HJ175" s="26">
        <v>0</v>
      </c>
      <c r="HK175" s="26">
        <v>0</v>
      </c>
      <c r="HL175" s="26">
        <v>0</v>
      </c>
      <c r="HM175" s="26">
        <v>0</v>
      </c>
      <c r="HN175" s="26">
        <v>0</v>
      </c>
      <c r="HO175" s="26">
        <v>0</v>
      </c>
      <c r="HP175" s="26">
        <v>0</v>
      </c>
      <c r="HQ175" s="26">
        <v>0</v>
      </c>
      <c r="HR175" s="26">
        <v>0</v>
      </c>
      <c r="HS175" s="26">
        <v>0</v>
      </c>
      <c r="HT175" s="26">
        <v>4.7624600103219022E-4</v>
      </c>
    </row>
    <row r="176" spans="2:228" x14ac:dyDescent="0.2">
      <c r="B176" s="27" t="s">
        <v>1379</v>
      </c>
      <c r="C176" s="26">
        <v>13.357518000000001</v>
      </c>
      <c r="D176" s="26">
        <v>-9.3003023099999995E-3</v>
      </c>
      <c r="E176" s="26">
        <v>0</v>
      </c>
      <c r="F176" s="26">
        <v>0</v>
      </c>
      <c r="G176" s="26">
        <v>0</v>
      </c>
      <c r="H176" s="26">
        <v>0</v>
      </c>
      <c r="I176" s="26">
        <v>0</v>
      </c>
      <c r="J176" s="26">
        <v>0</v>
      </c>
      <c r="K176" s="26">
        <v>0</v>
      </c>
      <c r="L176" s="26">
        <v>0</v>
      </c>
      <c r="M176" s="26">
        <v>0</v>
      </c>
      <c r="N176" s="26">
        <v>0</v>
      </c>
      <c r="O176" s="26">
        <v>0</v>
      </c>
      <c r="P176" s="26">
        <v>0</v>
      </c>
      <c r="Q176" s="26">
        <v>0</v>
      </c>
      <c r="R176" s="26">
        <v>0</v>
      </c>
      <c r="S176" s="26">
        <v>0</v>
      </c>
      <c r="T176" s="26">
        <v>0</v>
      </c>
      <c r="U176" s="26">
        <v>0</v>
      </c>
      <c r="V176" s="26">
        <v>0</v>
      </c>
      <c r="W176" s="26">
        <v>0</v>
      </c>
      <c r="X176" s="26">
        <v>0</v>
      </c>
      <c r="Y176" s="26">
        <v>0</v>
      </c>
      <c r="Z176" s="26">
        <v>0</v>
      </c>
      <c r="AA176" s="26">
        <v>0</v>
      </c>
      <c r="AB176" s="26">
        <v>0</v>
      </c>
      <c r="AC176" s="26">
        <v>0</v>
      </c>
      <c r="AD176" s="26">
        <v>0</v>
      </c>
      <c r="AE176" s="26">
        <v>0</v>
      </c>
      <c r="AF176" s="26">
        <v>0</v>
      </c>
      <c r="AG176" s="26">
        <v>0</v>
      </c>
      <c r="AH176" s="26">
        <v>0</v>
      </c>
      <c r="AI176" s="26">
        <v>0</v>
      </c>
      <c r="AJ176" s="26">
        <v>0</v>
      </c>
      <c r="AK176" s="26">
        <v>0</v>
      </c>
      <c r="AL176" s="26">
        <v>0</v>
      </c>
      <c r="AM176" s="26">
        <v>13.357518000000001</v>
      </c>
      <c r="AN176" s="26">
        <v>0</v>
      </c>
      <c r="AO176" s="26">
        <v>0</v>
      </c>
      <c r="AP176" s="26">
        <v>0</v>
      </c>
      <c r="AQ176" s="26">
        <v>0</v>
      </c>
      <c r="AR176" s="26">
        <v>0</v>
      </c>
      <c r="AS176" s="26">
        <v>0</v>
      </c>
      <c r="AT176" s="26">
        <v>0</v>
      </c>
      <c r="AU176" s="26">
        <v>0</v>
      </c>
      <c r="AV176" s="26">
        <v>0</v>
      </c>
      <c r="AW176" s="26">
        <v>0</v>
      </c>
      <c r="AX176" s="26">
        <v>0</v>
      </c>
      <c r="AY176" s="26">
        <v>0</v>
      </c>
      <c r="AZ176" s="26">
        <v>0</v>
      </c>
      <c r="BA176" s="26">
        <v>0</v>
      </c>
      <c r="BB176" s="26">
        <v>0</v>
      </c>
      <c r="BC176" s="26">
        <v>0</v>
      </c>
      <c r="BD176" s="26">
        <v>0</v>
      </c>
      <c r="BE176" s="26">
        <v>0</v>
      </c>
      <c r="BF176" s="26">
        <v>0</v>
      </c>
      <c r="BG176" s="26">
        <v>0</v>
      </c>
      <c r="BH176" s="26">
        <v>0</v>
      </c>
      <c r="BI176" s="26">
        <v>0</v>
      </c>
      <c r="BJ176" s="26">
        <v>0</v>
      </c>
      <c r="BK176" s="26">
        <v>0</v>
      </c>
      <c r="BL176" s="26">
        <v>0</v>
      </c>
      <c r="BM176" s="26">
        <v>0</v>
      </c>
      <c r="BN176" s="26">
        <v>0</v>
      </c>
      <c r="BO176" s="26">
        <v>4.7288813700000001E-2</v>
      </c>
      <c r="BP176" s="26">
        <v>13.357518000000001</v>
      </c>
      <c r="BQ176" s="26">
        <v>0.25097662100000001</v>
      </c>
      <c r="BR176" s="26">
        <v>20</v>
      </c>
      <c r="BS176" s="26">
        <v>1</v>
      </c>
      <c r="BT176" s="26">
        <v>0</v>
      </c>
      <c r="BU176" s="26">
        <v>1</v>
      </c>
      <c r="BV176" s="26">
        <v>0</v>
      </c>
      <c r="BW176" s="26">
        <v>-196670.23800000001</v>
      </c>
      <c r="BX176" s="26">
        <v>-696.25975800000003</v>
      </c>
      <c r="BY176" s="26">
        <v>-9.3003023099999995E-3</v>
      </c>
      <c r="BZ176" s="26">
        <v>-435.74666300000001</v>
      </c>
      <c r="CA176" s="26">
        <v>-1.5426475799999999</v>
      </c>
      <c r="CB176" s="26">
        <v>3.1403199300000001E-3</v>
      </c>
      <c r="CC176" s="26">
        <v>0.88703599499999997</v>
      </c>
      <c r="CD176" s="26">
        <v>282.46676000000002</v>
      </c>
      <c r="CE176" s="26">
        <v>0.25195164399999997</v>
      </c>
      <c r="CF176" s="26">
        <v>0</v>
      </c>
      <c r="CG176" s="26">
        <v>0</v>
      </c>
      <c r="CH176" s="26">
        <v>0</v>
      </c>
      <c r="CI176" s="26">
        <v>0</v>
      </c>
      <c r="CJ176" s="26">
        <v>0</v>
      </c>
      <c r="CK176" s="26">
        <v>0</v>
      </c>
      <c r="CL176" s="26">
        <v>0</v>
      </c>
      <c r="CM176" s="26">
        <v>0</v>
      </c>
      <c r="CN176" s="26">
        <v>0</v>
      </c>
      <c r="CO176" s="26">
        <v>0</v>
      </c>
      <c r="CP176" s="26">
        <v>0</v>
      </c>
      <c r="CQ176" s="26">
        <v>0</v>
      </c>
      <c r="CR176" s="26">
        <v>0</v>
      </c>
      <c r="CS176" s="26">
        <v>0</v>
      </c>
      <c r="CT176" s="26">
        <v>0</v>
      </c>
      <c r="CU176" s="26">
        <v>0</v>
      </c>
      <c r="CV176" s="26">
        <v>0</v>
      </c>
      <c r="CW176" s="26">
        <v>0</v>
      </c>
      <c r="CX176" s="26">
        <v>0</v>
      </c>
      <c r="CY176" s="26">
        <v>0</v>
      </c>
      <c r="CZ176" s="26">
        <v>0</v>
      </c>
      <c r="DA176" s="26">
        <v>0</v>
      </c>
      <c r="DB176" s="26">
        <v>0</v>
      </c>
      <c r="DC176" s="26">
        <v>0</v>
      </c>
      <c r="DD176" s="26">
        <v>0</v>
      </c>
      <c r="DE176" s="26">
        <v>0</v>
      </c>
      <c r="DF176" s="26">
        <v>0</v>
      </c>
      <c r="DG176" s="26">
        <v>0</v>
      </c>
      <c r="DH176" s="26">
        <v>0</v>
      </c>
      <c r="DI176" s="26">
        <v>0</v>
      </c>
      <c r="DJ176" s="26">
        <v>0</v>
      </c>
      <c r="DK176" s="26">
        <v>0</v>
      </c>
      <c r="DL176" s="26">
        <v>0</v>
      </c>
      <c r="DM176" s="26">
        <v>0</v>
      </c>
      <c r="DN176" s="26">
        <v>0</v>
      </c>
      <c r="DO176" s="26">
        <v>0</v>
      </c>
      <c r="DP176" s="26">
        <v>0</v>
      </c>
      <c r="DQ176" s="26">
        <v>0</v>
      </c>
      <c r="DR176" s="26">
        <v>0</v>
      </c>
      <c r="DS176" s="26">
        <v>0</v>
      </c>
      <c r="DT176" s="26">
        <v>0</v>
      </c>
      <c r="DU176" s="26">
        <v>0</v>
      </c>
      <c r="DV176" s="26">
        <v>0</v>
      </c>
      <c r="DW176" s="26">
        <v>0</v>
      </c>
      <c r="DX176" s="26">
        <v>0</v>
      </c>
      <c r="DY176" s="26">
        <v>0</v>
      </c>
      <c r="DZ176" s="26">
        <v>0</v>
      </c>
      <c r="EA176" s="26">
        <v>0</v>
      </c>
      <c r="EB176" s="26">
        <v>0</v>
      </c>
      <c r="EC176" s="26">
        <v>0</v>
      </c>
      <c r="ED176" s="26">
        <v>0</v>
      </c>
      <c r="EE176" s="26">
        <v>0</v>
      </c>
      <c r="EF176" s="26">
        <v>0</v>
      </c>
      <c r="EG176" s="26">
        <v>0</v>
      </c>
      <c r="EH176" s="26">
        <v>0</v>
      </c>
      <c r="EI176" s="26">
        <v>0</v>
      </c>
      <c r="EJ176" s="26">
        <v>0</v>
      </c>
      <c r="EK176" s="26">
        <v>0</v>
      </c>
      <c r="EL176" s="26">
        <v>0</v>
      </c>
      <c r="EM176" s="26">
        <v>0</v>
      </c>
      <c r="EN176" s="26">
        <v>0</v>
      </c>
      <c r="EO176" s="26">
        <v>0</v>
      </c>
      <c r="EP176" s="26">
        <v>0</v>
      </c>
      <c r="EQ176" s="26">
        <v>0</v>
      </c>
      <c r="ER176" s="26">
        <v>0</v>
      </c>
      <c r="ES176" s="26">
        <v>0</v>
      </c>
      <c r="ET176" s="26">
        <v>1</v>
      </c>
      <c r="EU176" s="26">
        <v>0</v>
      </c>
      <c r="EV176" s="26">
        <v>0</v>
      </c>
      <c r="EW176" s="26">
        <v>0</v>
      </c>
      <c r="EX176" s="26">
        <v>0</v>
      </c>
      <c r="EY176" s="26">
        <v>0</v>
      </c>
      <c r="EZ176" s="26">
        <v>0</v>
      </c>
      <c r="FA176" s="26">
        <v>0</v>
      </c>
      <c r="FB176" s="26">
        <v>0</v>
      </c>
      <c r="FC176" s="26">
        <v>0</v>
      </c>
      <c r="FD176" s="26">
        <v>0</v>
      </c>
      <c r="FE176" s="26">
        <v>0</v>
      </c>
      <c r="FF176" s="26">
        <v>0</v>
      </c>
      <c r="FG176" s="26">
        <v>2.88883549</v>
      </c>
      <c r="FH176" s="26">
        <v>-10783.049587990001</v>
      </c>
      <c r="FI176" s="26">
        <v>2.3644407022488587E-4</v>
      </c>
      <c r="FJ176" s="26">
        <v>0</v>
      </c>
      <c r="FK176" s="26">
        <v>0</v>
      </c>
      <c r="FL176" s="26">
        <v>0</v>
      </c>
      <c r="FM176" s="26">
        <v>0</v>
      </c>
      <c r="FN176" s="26">
        <v>0</v>
      </c>
      <c r="FO176" s="26">
        <v>0</v>
      </c>
      <c r="FP176" s="26">
        <v>0</v>
      </c>
      <c r="FQ176" s="26">
        <v>0</v>
      </c>
      <c r="FR176" s="26">
        <v>0</v>
      </c>
      <c r="FS176" s="26">
        <v>0</v>
      </c>
      <c r="FT176" s="26">
        <v>0</v>
      </c>
      <c r="FU176" s="26">
        <v>0</v>
      </c>
      <c r="FV176" s="26">
        <v>0</v>
      </c>
      <c r="FW176" s="26">
        <v>0</v>
      </c>
      <c r="FX176" s="26">
        <v>0</v>
      </c>
      <c r="FY176" s="26">
        <v>0</v>
      </c>
      <c r="FZ176" s="26">
        <v>0</v>
      </c>
      <c r="GA176" s="26">
        <v>0</v>
      </c>
      <c r="GB176" s="26">
        <v>0</v>
      </c>
      <c r="GC176" s="26">
        <v>0</v>
      </c>
      <c r="GD176" s="26">
        <v>0</v>
      </c>
      <c r="GE176" s="26">
        <v>0</v>
      </c>
      <c r="GF176" s="26">
        <v>0</v>
      </c>
      <c r="GG176" s="26">
        <v>0</v>
      </c>
      <c r="GH176" s="26">
        <v>0</v>
      </c>
      <c r="GI176" s="26">
        <v>0</v>
      </c>
      <c r="GJ176" s="26">
        <v>0</v>
      </c>
      <c r="GK176" s="26">
        <v>0</v>
      </c>
      <c r="GL176" s="26">
        <v>0</v>
      </c>
      <c r="GM176" s="26">
        <v>0</v>
      </c>
      <c r="GN176" s="26">
        <v>0</v>
      </c>
      <c r="GO176" s="26">
        <v>0</v>
      </c>
      <c r="GP176" s="26">
        <v>0</v>
      </c>
      <c r="GQ176" s="26">
        <v>0</v>
      </c>
      <c r="GR176" s="26">
        <v>0</v>
      </c>
      <c r="GS176" s="26">
        <v>0</v>
      </c>
      <c r="GT176" s="26">
        <v>0</v>
      </c>
      <c r="GU176" s="26">
        <v>0</v>
      </c>
      <c r="GV176" s="26">
        <v>0</v>
      </c>
      <c r="GW176" s="26">
        <v>0</v>
      </c>
      <c r="GX176" s="26">
        <v>0</v>
      </c>
      <c r="GY176" s="26">
        <v>0</v>
      </c>
      <c r="GZ176" s="26">
        <v>0</v>
      </c>
      <c r="HA176" s="26">
        <v>0</v>
      </c>
      <c r="HB176" s="26">
        <v>0</v>
      </c>
      <c r="HC176" s="26">
        <v>0</v>
      </c>
      <c r="HD176" s="26">
        <v>0</v>
      </c>
      <c r="HE176" s="26">
        <v>0</v>
      </c>
      <c r="HF176" s="26">
        <v>0</v>
      </c>
      <c r="HG176" s="26">
        <v>0</v>
      </c>
      <c r="HH176" s="26">
        <v>0</v>
      </c>
      <c r="HI176" s="26">
        <v>0</v>
      </c>
      <c r="HJ176" s="26">
        <v>0</v>
      </c>
      <c r="HK176" s="26">
        <v>0</v>
      </c>
      <c r="HL176" s="26">
        <v>0</v>
      </c>
      <c r="HM176" s="26">
        <v>0</v>
      </c>
      <c r="HN176" s="26">
        <v>0</v>
      </c>
      <c r="HO176" s="26">
        <v>0</v>
      </c>
      <c r="HP176" s="26">
        <v>0</v>
      </c>
      <c r="HQ176" s="26">
        <v>0</v>
      </c>
      <c r="HR176" s="26">
        <v>0</v>
      </c>
      <c r="HS176" s="26">
        <v>0</v>
      </c>
      <c r="HT176" s="26">
        <v>0</v>
      </c>
    </row>
    <row r="177" spans="2:228" x14ac:dyDescent="0.2">
      <c r="B177" s="27" t="s">
        <v>1385</v>
      </c>
      <c r="C177" s="26">
        <v>13.357518000000001</v>
      </c>
      <c r="D177" s="26">
        <v>-9.2975344300000005E-3</v>
      </c>
      <c r="E177" s="26">
        <v>0</v>
      </c>
      <c r="F177" s="26">
        <v>0</v>
      </c>
      <c r="G177" s="26">
        <v>0</v>
      </c>
      <c r="H177" s="26">
        <v>0</v>
      </c>
      <c r="I177" s="26">
        <v>0</v>
      </c>
      <c r="J177" s="26">
        <v>0</v>
      </c>
      <c r="K177" s="26">
        <v>0</v>
      </c>
      <c r="L177" s="26">
        <v>0</v>
      </c>
      <c r="M177" s="26">
        <v>0</v>
      </c>
      <c r="N177" s="26">
        <v>0</v>
      </c>
      <c r="O177" s="26">
        <v>0</v>
      </c>
      <c r="P177" s="26">
        <v>0</v>
      </c>
      <c r="Q177" s="26">
        <v>0</v>
      </c>
      <c r="R177" s="26">
        <v>0</v>
      </c>
      <c r="S177" s="26">
        <v>0</v>
      </c>
      <c r="T177" s="26">
        <v>0</v>
      </c>
      <c r="U177" s="26">
        <v>0</v>
      </c>
      <c r="V177" s="26">
        <v>0</v>
      </c>
      <c r="W177" s="26">
        <v>0</v>
      </c>
      <c r="X177" s="26">
        <v>0</v>
      </c>
      <c r="Y177" s="26">
        <v>0</v>
      </c>
      <c r="Z177" s="26">
        <v>0</v>
      </c>
      <c r="AA177" s="26">
        <v>0</v>
      </c>
      <c r="AB177" s="26">
        <v>0</v>
      </c>
      <c r="AC177" s="26">
        <v>0</v>
      </c>
      <c r="AD177" s="26">
        <v>0</v>
      </c>
      <c r="AE177" s="26">
        <v>0</v>
      </c>
      <c r="AF177" s="26">
        <v>0</v>
      </c>
      <c r="AG177" s="26">
        <v>0</v>
      </c>
      <c r="AH177" s="26">
        <v>0</v>
      </c>
      <c r="AI177" s="26">
        <v>0</v>
      </c>
      <c r="AJ177" s="26">
        <v>0</v>
      </c>
      <c r="AK177" s="26">
        <v>0</v>
      </c>
      <c r="AL177" s="26">
        <v>0</v>
      </c>
      <c r="AM177" s="26">
        <v>13.357518000000001</v>
      </c>
      <c r="AN177" s="26">
        <v>0</v>
      </c>
      <c r="AO177" s="26">
        <v>0</v>
      </c>
      <c r="AP177" s="26">
        <v>0</v>
      </c>
      <c r="AQ177" s="26">
        <v>0</v>
      </c>
      <c r="AR177" s="26">
        <v>0</v>
      </c>
      <c r="AS177" s="26">
        <v>0</v>
      </c>
      <c r="AT177" s="26">
        <v>0</v>
      </c>
      <c r="AU177" s="26">
        <v>0</v>
      </c>
      <c r="AV177" s="26">
        <v>0</v>
      </c>
      <c r="AW177" s="26">
        <v>0</v>
      </c>
      <c r="AX177" s="26">
        <v>0</v>
      </c>
      <c r="AY177" s="26">
        <v>0</v>
      </c>
      <c r="AZ177" s="26">
        <v>0</v>
      </c>
      <c r="BA177" s="26">
        <v>0</v>
      </c>
      <c r="BB177" s="26">
        <v>0</v>
      </c>
      <c r="BC177" s="26">
        <v>0</v>
      </c>
      <c r="BD177" s="26">
        <v>0</v>
      </c>
      <c r="BE177" s="26">
        <v>0</v>
      </c>
      <c r="BF177" s="26">
        <v>0</v>
      </c>
      <c r="BG177" s="26">
        <v>0</v>
      </c>
      <c r="BH177" s="26">
        <v>0</v>
      </c>
      <c r="BI177" s="26">
        <v>0</v>
      </c>
      <c r="BJ177" s="26">
        <v>0</v>
      </c>
      <c r="BK177" s="26">
        <v>0</v>
      </c>
      <c r="BL177" s="26">
        <v>0</v>
      </c>
      <c r="BM177" s="26">
        <v>0</v>
      </c>
      <c r="BN177" s="26">
        <v>0</v>
      </c>
      <c r="BO177" s="26">
        <v>4.7288813700000001E-2</v>
      </c>
      <c r="BP177" s="26">
        <v>13.357518000000001</v>
      </c>
      <c r="BQ177" s="26">
        <v>0.25106640499999999</v>
      </c>
      <c r="BR177" s="26">
        <v>20.487321000000009</v>
      </c>
      <c r="BS177" s="26">
        <v>3.2455168099999998</v>
      </c>
      <c r="BT177" s="26">
        <v>0</v>
      </c>
      <c r="BU177" s="26">
        <v>1</v>
      </c>
      <c r="BV177" s="26">
        <v>0</v>
      </c>
      <c r="BW177" s="26">
        <v>-196611.70699999999</v>
      </c>
      <c r="BX177" s="26">
        <v>-696.05254300000001</v>
      </c>
      <c r="BY177" s="26">
        <v>-9.2975344300000005E-3</v>
      </c>
      <c r="BZ177" s="26">
        <v>-435.55087600000002</v>
      </c>
      <c r="CA177" s="26">
        <v>-1.54195444</v>
      </c>
      <c r="CB177" s="26">
        <v>3.1391969200000001E-3</v>
      </c>
      <c r="CC177" s="26">
        <v>0.88671878199999998</v>
      </c>
      <c r="CD177" s="26">
        <v>282.46676000000002</v>
      </c>
      <c r="CE177" s="26">
        <v>0.25195164399999997</v>
      </c>
      <c r="CF177" s="26">
        <v>0</v>
      </c>
      <c r="CG177" s="26">
        <v>0</v>
      </c>
      <c r="CH177" s="26">
        <v>0</v>
      </c>
      <c r="CI177" s="26">
        <v>0</v>
      </c>
      <c r="CJ177" s="26">
        <v>0</v>
      </c>
      <c r="CK177" s="26">
        <v>0</v>
      </c>
      <c r="CL177" s="26">
        <v>0</v>
      </c>
      <c r="CM177" s="26">
        <v>0</v>
      </c>
      <c r="CN177" s="26">
        <v>0</v>
      </c>
      <c r="CO177" s="26">
        <v>0</v>
      </c>
      <c r="CP177" s="26">
        <v>0</v>
      </c>
      <c r="CQ177" s="26">
        <v>0</v>
      </c>
      <c r="CR177" s="26">
        <v>0</v>
      </c>
      <c r="CS177" s="26">
        <v>0</v>
      </c>
      <c r="CT177" s="26">
        <v>0</v>
      </c>
      <c r="CU177" s="26">
        <v>0</v>
      </c>
      <c r="CV177" s="26">
        <v>0</v>
      </c>
      <c r="CW177" s="26">
        <v>0</v>
      </c>
      <c r="CX177" s="26">
        <v>0</v>
      </c>
      <c r="CY177" s="26">
        <v>0</v>
      </c>
      <c r="CZ177" s="26">
        <v>0</v>
      </c>
      <c r="DA177" s="26">
        <v>0</v>
      </c>
      <c r="DB177" s="26">
        <v>0</v>
      </c>
      <c r="DC177" s="26">
        <v>0</v>
      </c>
      <c r="DD177" s="26">
        <v>0</v>
      </c>
      <c r="DE177" s="26">
        <v>0</v>
      </c>
      <c r="DF177" s="26">
        <v>0</v>
      </c>
      <c r="DG177" s="26">
        <v>0</v>
      </c>
      <c r="DH177" s="26">
        <v>0</v>
      </c>
      <c r="DI177" s="26">
        <v>0</v>
      </c>
      <c r="DJ177" s="26">
        <v>0</v>
      </c>
      <c r="DK177" s="26">
        <v>0</v>
      </c>
      <c r="DL177" s="26">
        <v>0</v>
      </c>
      <c r="DM177" s="26">
        <v>0</v>
      </c>
      <c r="DN177" s="26">
        <v>0</v>
      </c>
      <c r="DO177" s="26">
        <v>0</v>
      </c>
      <c r="DP177" s="26">
        <v>0</v>
      </c>
      <c r="DQ177" s="26">
        <v>0</v>
      </c>
      <c r="DR177" s="26">
        <v>0</v>
      </c>
      <c r="DS177" s="26">
        <v>0</v>
      </c>
      <c r="DT177" s="26">
        <v>0</v>
      </c>
      <c r="DU177" s="26">
        <v>0</v>
      </c>
      <c r="DV177" s="26">
        <v>0</v>
      </c>
      <c r="DW177" s="26">
        <v>0</v>
      </c>
      <c r="DX177" s="26">
        <v>0</v>
      </c>
      <c r="DY177" s="26">
        <v>0</v>
      </c>
      <c r="DZ177" s="26">
        <v>0</v>
      </c>
      <c r="EA177" s="26">
        <v>0</v>
      </c>
      <c r="EB177" s="26">
        <v>0</v>
      </c>
      <c r="EC177" s="26">
        <v>0</v>
      </c>
      <c r="ED177" s="26">
        <v>0</v>
      </c>
      <c r="EE177" s="26">
        <v>0</v>
      </c>
      <c r="EF177" s="26">
        <v>0</v>
      </c>
      <c r="EG177" s="26">
        <v>0</v>
      </c>
      <c r="EH177" s="26">
        <v>0</v>
      </c>
      <c r="EI177" s="26">
        <v>0</v>
      </c>
      <c r="EJ177" s="26">
        <v>0</v>
      </c>
      <c r="EK177" s="26">
        <v>0</v>
      </c>
      <c r="EL177" s="26">
        <v>0</v>
      </c>
      <c r="EM177" s="26">
        <v>0</v>
      </c>
      <c r="EN177" s="26">
        <v>0</v>
      </c>
      <c r="EO177" s="26">
        <v>0</v>
      </c>
      <c r="EP177" s="26">
        <v>0</v>
      </c>
      <c r="EQ177" s="26">
        <v>0</v>
      </c>
      <c r="ER177" s="26">
        <v>0</v>
      </c>
      <c r="ES177" s="26">
        <v>0</v>
      </c>
      <c r="ET177" s="26">
        <v>3.2455168099999998</v>
      </c>
      <c r="EU177" s="26">
        <v>0</v>
      </c>
      <c r="EV177" s="26">
        <v>0</v>
      </c>
      <c r="EW177" s="26">
        <v>0</v>
      </c>
      <c r="EX177" s="26">
        <v>0</v>
      </c>
      <c r="EY177" s="26">
        <v>0</v>
      </c>
      <c r="EZ177" s="26">
        <v>0</v>
      </c>
      <c r="FA177" s="26">
        <v>0</v>
      </c>
      <c r="FB177" s="26">
        <v>0</v>
      </c>
      <c r="FC177" s="26">
        <v>0</v>
      </c>
      <c r="FD177" s="26">
        <v>0</v>
      </c>
      <c r="FE177" s="26">
        <v>0</v>
      </c>
      <c r="FF177" s="26">
        <v>0</v>
      </c>
      <c r="FG177" s="26">
        <v>2.88883549</v>
      </c>
      <c r="FH177" s="26">
        <v>-10783.049587990001</v>
      </c>
      <c r="FI177" s="26">
        <v>2.3644407022488587E-4</v>
      </c>
      <c r="FJ177" s="26">
        <v>0</v>
      </c>
      <c r="FK177" s="26">
        <v>0</v>
      </c>
      <c r="FL177" s="26">
        <v>0</v>
      </c>
      <c r="FM177" s="26">
        <v>0</v>
      </c>
      <c r="FN177" s="26">
        <v>0</v>
      </c>
      <c r="FO177" s="26">
        <v>0</v>
      </c>
      <c r="FP177" s="26">
        <v>0</v>
      </c>
      <c r="FQ177" s="26">
        <v>0</v>
      </c>
      <c r="FR177" s="26">
        <v>0</v>
      </c>
      <c r="FS177" s="26">
        <v>0</v>
      </c>
      <c r="FT177" s="26">
        <v>0</v>
      </c>
      <c r="FU177" s="26">
        <v>0</v>
      </c>
      <c r="FV177" s="26">
        <v>0</v>
      </c>
      <c r="FW177" s="26">
        <v>0</v>
      </c>
      <c r="FX177" s="26">
        <v>0</v>
      </c>
      <c r="FY177" s="26">
        <v>0</v>
      </c>
      <c r="FZ177" s="26">
        <v>0</v>
      </c>
      <c r="GA177" s="26">
        <v>0</v>
      </c>
      <c r="GB177" s="26">
        <v>0</v>
      </c>
      <c r="GC177" s="26">
        <v>0</v>
      </c>
      <c r="GD177" s="26">
        <v>0</v>
      </c>
      <c r="GE177" s="26">
        <v>0</v>
      </c>
      <c r="GF177" s="26">
        <v>0</v>
      </c>
      <c r="GG177" s="26">
        <v>0</v>
      </c>
      <c r="GH177" s="26">
        <v>0</v>
      </c>
      <c r="GI177" s="26">
        <v>0</v>
      </c>
      <c r="GJ177" s="26">
        <v>0</v>
      </c>
      <c r="GK177" s="26">
        <v>0</v>
      </c>
      <c r="GL177" s="26">
        <v>0</v>
      </c>
      <c r="GM177" s="26">
        <v>0</v>
      </c>
      <c r="GN177" s="26">
        <v>0</v>
      </c>
      <c r="GO177" s="26">
        <v>0</v>
      </c>
      <c r="GP177" s="26">
        <v>0</v>
      </c>
      <c r="GQ177" s="26">
        <v>0</v>
      </c>
      <c r="GR177" s="26">
        <v>0</v>
      </c>
      <c r="GS177" s="26">
        <v>0</v>
      </c>
      <c r="GT177" s="26">
        <v>0</v>
      </c>
      <c r="GU177" s="26">
        <v>0</v>
      </c>
      <c r="GV177" s="26">
        <v>0</v>
      </c>
      <c r="GW177" s="26">
        <v>0</v>
      </c>
      <c r="GX177" s="26">
        <v>0</v>
      </c>
      <c r="GY177" s="26">
        <v>0</v>
      </c>
      <c r="GZ177" s="26">
        <v>0</v>
      </c>
      <c r="HA177" s="26">
        <v>0</v>
      </c>
      <c r="HB177" s="26">
        <v>0</v>
      </c>
      <c r="HC177" s="26">
        <v>0</v>
      </c>
      <c r="HD177" s="26">
        <v>0</v>
      </c>
      <c r="HE177" s="26">
        <v>0</v>
      </c>
      <c r="HF177" s="26">
        <v>0</v>
      </c>
      <c r="HG177" s="26">
        <v>0</v>
      </c>
      <c r="HH177" s="26">
        <v>0</v>
      </c>
      <c r="HI177" s="26">
        <v>0</v>
      </c>
      <c r="HJ177" s="26">
        <v>0</v>
      </c>
      <c r="HK177" s="26">
        <v>0</v>
      </c>
      <c r="HL177" s="26">
        <v>0</v>
      </c>
      <c r="HM177" s="26">
        <v>0</v>
      </c>
      <c r="HN177" s="26">
        <v>0</v>
      </c>
      <c r="HO177" s="26">
        <v>0</v>
      </c>
      <c r="HP177" s="26">
        <v>0</v>
      </c>
      <c r="HQ177" s="26">
        <v>0</v>
      </c>
      <c r="HR177" s="26">
        <v>0</v>
      </c>
      <c r="HS177" s="26">
        <v>0</v>
      </c>
      <c r="HT177" s="26">
        <v>0</v>
      </c>
    </row>
    <row r="178" spans="2:228" x14ac:dyDescent="0.2">
      <c r="B178" s="27" t="s">
        <v>1367</v>
      </c>
      <c r="C178" s="26">
        <v>32582.828799999999</v>
      </c>
      <c r="D178" s="26">
        <v>-2.0458972499999999</v>
      </c>
      <c r="E178" s="26">
        <v>638.15416100000004</v>
      </c>
      <c r="F178" s="26">
        <v>0</v>
      </c>
      <c r="G178" s="26">
        <v>0</v>
      </c>
      <c r="H178" s="26">
        <v>0</v>
      </c>
      <c r="I178" s="26">
        <v>0</v>
      </c>
      <c r="J178" s="26">
        <v>0</v>
      </c>
      <c r="K178" s="26">
        <v>0</v>
      </c>
      <c r="L178" s="26">
        <v>0</v>
      </c>
      <c r="M178" s="26">
        <v>0</v>
      </c>
      <c r="N178" s="26">
        <v>0</v>
      </c>
      <c r="O178" s="26">
        <v>0</v>
      </c>
      <c r="P178" s="26">
        <v>0</v>
      </c>
      <c r="Q178" s="26">
        <v>0</v>
      </c>
      <c r="R178" s="26">
        <v>0</v>
      </c>
      <c r="S178" s="26">
        <v>0</v>
      </c>
      <c r="T178" s="26">
        <v>0</v>
      </c>
      <c r="U178" s="26">
        <v>0</v>
      </c>
      <c r="V178" s="26">
        <v>0</v>
      </c>
      <c r="W178" s="26">
        <v>0</v>
      </c>
      <c r="X178" s="26">
        <v>0</v>
      </c>
      <c r="Y178" s="26">
        <v>0</v>
      </c>
      <c r="Z178" s="26">
        <v>0</v>
      </c>
      <c r="AA178" s="26">
        <v>0</v>
      </c>
      <c r="AB178" s="26">
        <v>0</v>
      </c>
      <c r="AC178" s="26">
        <v>0</v>
      </c>
      <c r="AD178" s="26">
        <v>0</v>
      </c>
      <c r="AE178" s="26">
        <v>0</v>
      </c>
      <c r="AF178" s="26">
        <v>0</v>
      </c>
      <c r="AG178" s="26">
        <v>0</v>
      </c>
      <c r="AH178" s="26">
        <v>0</v>
      </c>
      <c r="AI178" s="26">
        <v>0</v>
      </c>
      <c r="AJ178" s="26">
        <v>0</v>
      </c>
      <c r="AK178" s="26">
        <v>0</v>
      </c>
      <c r="AL178" s="26">
        <v>0</v>
      </c>
      <c r="AM178" s="26">
        <v>0</v>
      </c>
      <c r="AN178" s="26">
        <v>7440.4578199999987</v>
      </c>
      <c r="AO178" s="26">
        <v>24504.216799999998</v>
      </c>
      <c r="AP178" s="26">
        <v>0</v>
      </c>
      <c r="AQ178" s="26">
        <v>0</v>
      </c>
      <c r="AR178" s="26">
        <v>0</v>
      </c>
      <c r="AS178" s="26">
        <v>0</v>
      </c>
      <c r="AT178" s="26">
        <v>0</v>
      </c>
      <c r="AU178" s="26">
        <v>0</v>
      </c>
      <c r="AV178" s="26">
        <v>0</v>
      </c>
      <c r="AW178" s="26">
        <v>0</v>
      </c>
      <c r="AX178" s="26">
        <v>0</v>
      </c>
      <c r="AY178" s="26">
        <v>0</v>
      </c>
      <c r="AZ178" s="26">
        <v>0</v>
      </c>
      <c r="BA178" s="26">
        <v>0</v>
      </c>
      <c r="BB178" s="26">
        <v>0</v>
      </c>
      <c r="BC178" s="26">
        <v>0</v>
      </c>
      <c r="BD178" s="26">
        <v>0</v>
      </c>
      <c r="BE178" s="26">
        <v>0</v>
      </c>
      <c r="BF178" s="26">
        <v>0</v>
      </c>
      <c r="BG178" s="26">
        <v>0</v>
      </c>
      <c r="BH178" s="26">
        <v>0</v>
      </c>
      <c r="BI178" s="26">
        <v>0</v>
      </c>
      <c r="BJ178" s="26">
        <v>0</v>
      </c>
      <c r="BK178" s="26">
        <v>0</v>
      </c>
      <c r="BL178" s="26">
        <v>0</v>
      </c>
      <c r="BM178" s="26">
        <v>0</v>
      </c>
      <c r="BN178" s="26">
        <v>0</v>
      </c>
      <c r="BO178" s="26">
        <v>1142.67545</v>
      </c>
      <c r="BP178" s="26">
        <v>32582.828799999999</v>
      </c>
      <c r="BQ178" s="26">
        <v>465926.16399999999</v>
      </c>
      <c r="BR178" s="26">
        <v>25</v>
      </c>
      <c r="BS178" s="26">
        <v>1</v>
      </c>
      <c r="BT178" s="26">
        <v>1</v>
      </c>
      <c r="BU178" s="26">
        <v>0</v>
      </c>
      <c r="BV178" s="26">
        <v>0</v>
      </c>
      <c r="BW178" s="26">
        <v>-1790.4447299999999</v>
      </c>
      <c r="BX178" s="26">
        <v>-62.790657099999997</v>
      </c>
      <c r="BY178" s="26">
        <v>-2.0458972499999999</v>
      </c>
      <c r="BZ178" s="26">
        <v>0.93504060899999997</v>
      </c>
      <c r="CA178" s="26">
        <v>3.2791749100000003E-2</v>
      </c>
      <c r="CB178" s="26">
        <v>4.0874696499999997E-5</v>
      </c>
      <c r="CC178" s="26">
        <v>1.16552188E-3</v>
      </c>
      <c r="CD178" s="26">
        <v>28.514508599999999</v>
      </c>
      <c r="CE178" s="26">
        <v>999.02319399999988</v>
      </c>
      <c r="CF178" s="26">
        <v>0</v>
      </c>
      <c r="CG178" s="26">
        <v>0</v>
      </c>
      <c r="CH178" s="26">
        <v>0</v>
      </c>
      <c r="CI178" s="26">
        <v>0</v>
      </c>
      <c r="CJ178" s="26">
        <v>0</v>
      </c>
      <c r="CK178" s="26">
        <v>0</v>
      </c>
      <c r="CL178" s="26">
        <v>0</v>
      </c>
      <c r="CM178" s="26">
        <v>0</v>
      </c>
      <c r="CN178" s="26">
        <v>0</v>
      </c>
      <c r="CO178" s="26">
        <v>0</v>
      </c>
      <c r="CP178" s="26">
        <v>0</v>
      </c>
      <c r="CQ178" s="26">
        <v>0</v>
      </c>
      <c r="CR178" s="26">
        <v>0</v>
      </c>
      <c r="CS178" s="26">
        <v>0</v>
      </c>
      <c r="CT178" s="26">
        <v>0</v>
      </c>
      <c r="CU178" s="26">
        <v>0</v>
      </c>
      <c r="CV178" s="26">
        <v>0</v>
      </c>
      <c r="CW178" s="26">
        <v>0</v>
      </c>
      <c r="CX178" s="26">
        <v>0</v>
      </c>
      <c r="CY178" s="26">
        <v>0</v>
      </c>
      <c r="CZ178" s="26">
        <v>0</v>
      </c>
      <c r="DA178" s="26">
        <v>0</v>
      </c>
      <c r="DB178" s="26">
        <v>0</v>
      </c>
      <c r="DC178" s="26">
        <v>0</v>
      </c>
      <c r="DD178" s="26">
        <v>0</v>
      </c>
      <c r="DE178" s="26">
        <v>0</v>
      </c>
      <c r="DF178" s="26">
        <v>0</v>
      </c>
      <c r="DG178" s="26">
        <v>0</v>
      </c>
      <c r="DH178" s="26">
        <v>0</v>
      </c>
      <c r="DI178" s="26">
        <v>0</v>
      </c>
      <c r="DJ178" s="26">
        <v>0</v>
      </c>
      <c r="DK178" s="26">
        <v>0</v>
      </c>
      <c r="DL178" s="26">
        <v>0</v>
      </c>
      <c r="DM178" s="26">
        <v>0</v>
      </c>
      <c r="DN178" s="26">
        <v>0</v>
      </c>
      <c r="DO178" s="26">
        <v>0</v>
      </c>
      <c r="DP178" s="26">
        <v>0</v>
      </c>
      <c r="DQ178" s="26">
        <v>0</v>
      </c>
      <c r="DR178" s="26">
        <v>0</v>
      </c>
      <c r="DS178" s="26">
        <v>0</v>
      </c>
      <c r="DT178" s="26">
        <v>0</v>
      </c>
      <c r="DU178" s="26">
        <v>0</v>
      </c>
      <c r="DV178" s="26">
        <v>0</v>
      </c>
      <c r="DW178" s="26">
        <v>0</v>
      </c>
      <c r="DX178" s="26">
        <v>0</v>
      </c>
      <c r="DY178" s="26">
        <v>0</v>
      </c>
      <c r="DZ178" s="26">
        <v>0</v>
      </c>
      <c r="EA178" s="26">
        <v>0</v>
      </c>
      <c r="EB178" s="26">
        <v>0</v>
      </c>
      <c r="EC178" s="26">
        <v>0</v>
      </c>
      <c r="ED178" s="26">
        <v>0</v>
      </c>
      <c r="EE178" s="26">
        <v>0</v>
      </c>
      <c r="EF178" s="26">
        <v>0</v>
      </c>
      <c r="EG178" s="26">
        <v>0</v>
      </c>
      <c r="EH178" s="26">
        <v>0</v>
      </c>
      <c r="EI178" s="26">
        <v>0</v>
      </c>
      <c r="EJ178" s="26">
        <v>0</v>
      </c>
      <c r="EK178" s="26">
        <v>0</v>
      </c>
      <c r="EL178" s="26">
        <v>0</v>
      </c>
      <c r="EM178" s="26">
        <v>0</v>
      </c>
      <c r="EN178" s="26">
        <v>0</v>
      </c>
      <c r="EO178" s="26">
        <v>0</v>
      </c>
      <c r="EP178" s="26">
        <v>0</v>
      </c>
      <c r="EQ178" s="26">
        <v>0</v>
      </c>
      <c r="ER178" s="26">
        <v>0</v>
      </c>
      <c r="ES178" s="26">
        <v>0</v>
      </c>
      <c r="ET178" s="26">
        <v>1</v>
      </c>
      <c r="EU178" s="26">
        <v>0</v>
      </c>
      <c r="EV178" s="26">
        <v>0</v>
      </c>
      <c r="EW178" s="26">
        <v>0</v>
      </c>
      <c r="EX178" s="26">
        <v>0</v>
      </c>
      <c r="EY178" s="26">
        <v>0</v>
      </c>
      <c r="EZ178" s="26">
        <v>0</v>
      </c>
      <c r="FA178" s="26">
        <v>0</v>
      </c>
      <c r="FB178" s="26">
        <v>0</v>
      </c>
      <c r="FC178" s="26">
        <v>0</v>
      </c>
      <c r="FD178" s="26">
        <v>0</v>
      </c>
      <c r="FE178" s="26">
        <v>0</v>
      </c>
      <c r="FF178" s="26">
        <v>0</v>
      </c>
      <c r="FG178" s="26">
        <v>0</v>
      </c>
      <c r="FH178" s="26">
        <v>-2379378.5017499998</v>
      </c>
      <c r="FI178" s="26">
        <v>0</v>
      </c>
      <c r="FJ178" s="26">
        <v>9.839705300939864E-3</v>
      </c>
      <c r="FK178" s="26">
        <v>0</v>
      </c>
      <c r="FL178" s="26">
        <v>0</v>
      </c>
      <c r="FM178" s="26">
        <v>0</v>
      </c>
      <c r="FN178" s="26">
        <v>0</v>
      </c>
      <c r="FO178" s="26">
        <v>0</v>
      </c>
      <c r="FP178" s="26">
        <v>0</v>
      </c>
      <c r="FQ178" s="26">
        <v>0</v>
      </c>
      <c r="FR178" s="26">
        <v>0</v>
      </c>
      <c r="FS178" s="26">
        <v>0</v>
      </c>
      <c r="FT178" s="26">
        <v>0</v>
      </c>
      <c r="FU178" s="26">
        <v>0</v>
      </c>
      <c r="FV178" s="26">
        <v>0</v>
      </c>
      <c r="FW178" s="26">
        <v>0</v>
      </c>
      <c r="FX178" s="26">
        <v>0</v>
      </c>
      <c r="FY178" s="26">
        <v>0</v>
      </c>
      <c r="FZ178" s="26">
        <v>0</v>
      </c>
      <c r="GA178" s="26">
        <v>0</v>
      </c>
      <c r="GB178" s="26">
        <v>0</v>
      </c>
      <c r="GC178" s="26">
        <v>0</v>
      </c>
      <c r="GD178" s="26">
        <v>0</v>
      </c>
      <c r="GE178" s="26">
        <v>0</v>
      </c>
      <c r="GF178" s="26">
        <v>0</v>
      </c>
      <c r="GG178" s="26">
        <v>0</v>
      </c>
      <c r="GH178" s="26">
        <v>0</v>
      </c>
      <c r="GI178" s="26">
        <v>0</v>
      </c>
      <c r="GJ178" s="26">
        <v>0</v>
      </c>
      <c r="GK178" s="26">
        <v>0</v>
      </c>
      <c r="GL178" s="26">
        <v>0</v>
      </c>
      <c r="GM178" s="26">
        <v>0</v>
      </c>
      <c r="GN178" s="26">
        <v>0</v>
      </c>
      <c r="GO178" s="26">
        <v>0</v>
      </c>
      <c r="GP178" s="26">
        <v>0</v>
      </c>
      <c r="GQ178" s="26">
        <v>0</v>
      </c>
      <c r="GR178" s="26">
        <v>0</v>
      </c>
      <c r="GS178" s="26">
        <v>6.4589730238940074E-2</v>
      </c>
      <c r="GT178" s="26">
        <v>0.24298041333273218</v>
      </c>
      <c r="GU178" s="26">
        <v>0</v>
      </c>
      <c r="GV178" s="26">
        <v>0</v>
      </c>
      <c r="GW178" s="26">
        <v>0</v>
      </c>
      <c r="GX178" s="26">
        <v>0</v>
      </c>
      <c r="GY178" s="26">
        <v>0</v>
      </c>
      <c r="GZ178" s="26">
        <v>0</v>
      </c>
      <c r="HA178" s="26">
        <v>0</v>
      </c>
      <c r="HB178" s="26">
        <v>0</v>
      </c>
      <c r="HC178" s="26">
        <v>0</v>
      </c>
      <c r="HD178" s="26">
        <v>0</v>
      </c>
      <c r="HE178" s="26">
        <v>0</v>
      </c>
      <c r="HF178" s="26">
        <v>0</v>
      </c>
      <c r="HG178" s="26">
        <v>0</v>
      </c>
      <c r="HH178" s="26">
        <v>0</v>
      </c>
      <c r="HI178" s="26">
        <v>0</v>
      </c>
      <c r="HJ178" s="26">
        <v>0</v>
      </c>
      <c r="HK178" s="26">
        <v>0</v>
      </c>
      <c r="HL178" s="26">
        <v>0</v>
      </c>
      <c r="HM178" s="26">
        <v>0</v>
      </c>
      <c r="HN178" s="26">
        <v>0</v>
      </c>
      <c r="HO178" s="26">
        <v>0</v>
      </c>
      <c r="HP178" s="26">
        <v>0</v>
      </c>
      <c r="HQ178" s="26">
        <v>0</v>
      </c>
      <c r="HR178" s="26">
        <v>0</v>
      </c>
      <c r="HS178" s="26">
        <v>0</v>
      </c>
      <c r="HT178" s="26">
        <v>0</v>
      </c>
    </row>
    <row r="179" spans="2:228" x14ac:dyDescent="0.2">
      <c r="B179" s="27" t="s">
        <v>2409</v>
      </c>
      <c r="C179" s="26">
        <v>32582.828799999999</v>
      </c>
      <c r="D179" s="26">
        <v>-0.83508906000000005</v>
      </c>
      <c r="E179" s="26">
        <v>638.15416100000004</v>
      </c>
      <c r="F179" s="26">
        <v>0</v>
      </c>
      <c r="G179" s="26">
        <v>0</v>
      </c>
      <c r="H179" s="26">
        <v>0</v>
      </c>
      <c r="I179" s="26">
        <v>0</v>
      </c>
      <c r="J179" s="26">
        <v>0</v>
      </c>
      <c r="K179" s="26">
        <v>0</v>
      </c>
      <c r="L179" s="26">
        <v>0</v>
      </c>
      <c r="M179" s="26">
        <v>0</v>
      </c>
      <c r="N179" s="26">
        <v>0</v>
      </c>
      <c r="O179" s="26">
        <v>0</v>
      </c>
      <c r="P179" s="26">
        <v>0</v>
      </c>
      <c r="Q179" s="26">
        <v>0</v>
      </c>
      <c r="R179" s="26">
        <v>0</v>
      </c>
      <c r="S179" s="26">
        <v>0</v>
      </c>
      <c r="T179" s="26">
        <v>0</v>
      </c>
      <c r="U179" s="26">
        <v>0</v>
      </c>
      <c r="V179" s="26">
        <v>0</v>
      </c>
      <c r="W179" s="26">
        <v>0</v>
      </c>
      <c r="X179" s="26">
        <v>0</v>
      </c>
      <c r="Y179" s="26">
        <v>0</v>
      </c>
      <c r="Z179" s="26">
        <v>0</v>
      </c>
      <c r="AA179" s="26">
        <v>0</v>
      </c>
      <c r="AB179" s="26">
        <v>0</v>
      </c>
      <c r="AC179" s="26">
        <v>0</v>
      </c>
      <c r="AD179" s="26">
        <v>0</v>
      </c>
      <c r="AE179" s="26">
        <v>0</v>
      </c>
      <c r="AF179" s="26">
        <v>0</v>
      </c>
      <c r="AG179" s="26">
        <v>0</v>
      </c>
      <c r="AH179" s="26">
        <v>0</v>
      </c>
      <c r="AI179" s="26">
        <v>0</v>
      </c>
      <c r="AJ179" s="26">
        <v>0</v>
      </c>
      <c r="AK179" s="26">
        <v>0</v>
      </c>
      <c r="AL179" s="26">
        <v>0</v>
      </c>
      <c r="AM179" s="26">
        <v>0</v>
      </c>
      <c r="AN179" s="26">
        <v>7440.4578199999987</v>
      </c>
      <c r="AO179" s="26">
        <v>24504.216799999998</v>
      </c>
      <c r="AP179" s="26">
        <v>0</v>
      </c>
      <c r="AQ179" s="26">
        <v>0</v>
      </c>
      <c r="AR179" s="26">
        <v>0</v>
      </c>
      <c r="AS179" s="26">
        <v>0</v>
      </c>
      <c r="AT179" s="26">
        <v>0</v>
      </c>
      <c r="AU179" s="26">
        <v>0</v>
      </c>
      <c r="AV179" s="26">
        <v>0</v>
      </c>
      <c r="AW179" s="26">
        <v>0</v>
      </c>
      <c r="AX179" s="26">
        <v>0</v>
      </c>
      <c r="AY179" s="26">
        <v>0</v>
      </c>
      <c r="AZ179" s="26">
        <v>0</v>
      </c>
      <c r="BA179" s="26">
        <v>0</v>
      </c>
      <c r="BB179" s="26">
        <v>0</v>
      </c>
      <c r="BC179" s="26">
        <v>0</v>
      </c>
      <c r="BD179" s="26">
        <v>0</v>
      </c>
      <c r="BE179" s="26">
        <v>0</v>
      </c>
      <c r="BF179" s="26">
        <v>0</v>
      </c>
      <c r="BG179" s="26">
        <v>0</v>
      </c>
      <c r="BH179" s="26">
        <v>0</v>
      </c>
      <c r="BI179" s="26">
        <v>0</v>
      </c>
      <c r="BJ179" s="26">
        <v>0</v>
      </c>
      <c r="BK179" s="26">
        <v>0</v>
      </c>
      <c r="BL179" s="26">
        <v>0</v>
      </c>
      <c r="BM179" s="26">
        <v>0</v>
      </c>
      <c r="BN179" s="26">
        <v>0</v>
      </c>
      <c r="BO179" s="26">
        <v>1142.67545</v>
      </c>
      <c r="BP179" s="26">
        <v>32582.828799999999</v>
      </c>
      <c r="BQ179" s="26">
        <v>233636.19500000001</v>
      </c>
      <c r="BR179" s="26">
        <v>175.36719199999999</v>
      </c>
      <c r="BS179" s="26">
        <v>3</v>
      </c>
      <c r="BT179" s="26">
        <v>1</v>
      </c>
      <c r="BU179" s="26">
        <v>0</v>
      </c>
      <c r="BV179" s="26">
        <v>0</v>
      </c>
      <c r="BW179" s="26">
        <v>-730.81911100000002</v>
      </c>
      <c r="BX179" s="26">
        <v>-25.629728400000001</v>
      </c>
      <c r="BY179" s="26">
        <v>-0.83508906000000005</v>
      </c>
      <c r="BZ179" s="26">
        <v>1.62942466</v>
      </c>
      <c r="CA179" s="26">
        <v>5.71437048E-2</v>
      </c>
      <c r="CB179" s="26">
        <v>8.1513870499999981E-5</v>
      </c>
      <c r="CC179" s="26">
        <v>2.3243279599999998E-3</v>
      </c>
      <c r="CD179" s="26">
        <v>28.514508599999999</v>
      </c>
      <c r="CE179" s="26">
        <v>999.02319399999988</v>
      </c>
      <c r="CF179" s="26">
        <v>0</v>
      </c>
      <c r="CG179" s="26">
        <v>0</v>
      </c>
      <c r="CH179" s="26">
        <v>0</v>
      </c>
      <c r="CI179" s="26">
        <v>0</v>
      </c>
      <c r="CJ179" s="26">
        <v>0</v>
      </c>
      <c r="CK179" s="26">
        <v>0</v>
      </c>
      <c r="CL179" s="26">
        <v>0</v>
      </c>
      <c r="CM179" s="26">
        <v>0</v>
      </c>
      <c r="CN179" s="26">
        <v>0</v>
      </c>
      <c r="CO179" s="26">
        <v>0</v>
      </c>
      <c r="CP179" s="26">
        <v>0</v>
      </c>
      <c r="CQ179" s="26">
        <v>0</v>
      </c>
      <c r="CR179" s="26">
        <v>0</v>
      </c>
      <c r="CS179" s="26">
        <v>0</v>
      </c>
      <c r="CT179" s="26">
        <v>0</v>
      </c>
      <c r="CU179" s="26">
        <v>0</v>
      </c>
      <c r="CV179" s="26">
        <v>0</v>
      </c>
      <c r="CW179" s="26">
        <v>0</v>
      </c>
      <c r="CX179" s="26">
        <v>0</v>
      </c>
      <c r="CY179" s="26">
        <v>0</v>
      </c>
      <c r="CZ179" s="26">
        <v>0</v>
      </c>
      <c r="DA179" s="26">
        <v>0</v>
      </c>
      <c r="DB179" s="26">
        <v>0</v>
      </c>
      <c r="DC179" s="26">
        <v>0</v>
      </c>
      <c r="DD179" s="26">
        <v>0</v>
      </c>
      <c r="DE179" s="26">
        <v>0</v>
      </c>
      <c r="DF179" s="26">
        <v>0</v>
      </c>
      <c r="DG179" s="26">
        <v>0</v>
      </c>
      <c r="DH179" s="26">
        <v>0</v>
      </c>
      <c r="DI179" s="26">
        <v>0</v>
      </c>
      <c r="DJ179" s="26">
        <v>0</v>
      </c>
      <c r="DK179" s="26">
        <v>0</v>
      </c>
      <c r="DL179" s="26">
        <v>0</v>
      </c>
      <c r="DM179" s="26">
        <v>0</v>
      </c>
      <c r="DN179" s="26">
        <v>0</v>
      </c>
      <c r="DO179" s="26">
        <v>0</v>
      </c>
      <c r="DP179" s="26">
        <v>0</v>
      </c>
      <c r="DQ179" s="26">
        <v>0</v>
      </c>
      <c r="DR179" s="26">
        <v>0</v>
      </c>
      <c r="DS179" s="26">
        <v>0</v>
      </c>
      <c r="DT179" s="26">
        <v>0</v>
      </c>
      <c r="DU179" s="26">
        <v>0</v>
      </c>
      <c r="DV179" s="26">
        <v>0</v>
      </c>
      <c r="DW179" s="26">
        <v>0</v>
      </c>
      <c r="DX179" s="26">
        <v>0</v>
      </c>
      <c r="DY179" s="26">
        <v>0</v>
      </c>
      <c r="DZ179" s="26">
        <v>0</v>
      </c>
      <c r="EA179" s="26">
        <v>0</v>
      </c>
      <c r="EB179" s="26">
        <v>0</v>
      </c>
      <c r="EC179" s="26">
        <v>0</v>
      </c>
      <c r="ED179" s="26">
        <v>0</v>
      </c>
      <c r="EE179" s="26">
        <v>0</v>
      </c>
      <c r="EF179" s="26">
        <v>0</v>
      </c>
      <c r="EG179" s="26">
        <v>0</v>
      </c>
      <c r="EH179" s="26">
        <v>0</v>
      </c>
      <c r="EI179" s="26">
        <v>0</v>
      </c>
      <c r="EJ179" s="26">
        <v>0</v>
      </c>
      <c r="EK179" s="26">
        <v>0</v>
      </c>
      <c r="EL179" s="26">
        <v>0</v>
      </c>
      <c r="EM179" s="26">
        <v>0</v>
      </c>
      <c r="EN179" s="26">
        <v>0</v>
      </c>
      <c r="EO179" s="26">
        <v>0</v>
      </c>
      <c r="EP179" s="26">
        <v>0</v>
      </c>
      <c r="EQ179" s="26">
        <v>0</v>
      </c>
      <c r="ER179" s="26">
        <v>0</v>
      </c>
      <c r="ES179" s="26">
        <v>0</v>
      </c>
      <c r="ET179" s="26">
        <v>3</v>
      </c>
      <c r="EU179" s="26">
        <v>0</v>
      </c>
      <c r="EV179" s="26">
        <v>0</v>
      </c>
      <c r="EW179" s="26">
        <v>0</v>
      </c>
      <c r="EX179" s="26">
        <v>0</v>
      </c>
      <c r="EY179" s="26">
        <v>0</v>
      </c>
      <c r="EZ179" s="26">
        <v>0</v>
      </c>
      <c r="FA179" s="26">
        <v>0</v>
      </c>
      <c r="FB179" s="26">
        <v>0</v>
      </c>
      <c r="FC179" s="26">
        <v>0</v>
      </c>
      <c r="FD179" s="26">
        <v>0</v>
      </c>
      <c r="FE179" s="26">
        <v>0</v>
      </c>
      <c r="FF179" s="26">
        <v>0</v>
      </c>
      <c r="FG179" s="26">
        <v>0</v>
      </c>
      <c r="FH179" s="26">
        <v>-2379378.5017499998</v>
      </c>
      <c r="FI179" s="26">
        <v>0</v>
      </c>
      <c r="FJ179" s="26">
        <v>9.839705300939864E-3</v>
      </c>
      <c r="FK179" s="26">
        <v>0</v>
      </c>
      <c r="FL179" s="26">
        <v>0</v>
      </c>
      <c r="FM179" s="26">
        <v>0</v>
      </c>
      <c r="FN179" s="26">
        <v>0</v>
      </c>
      <c r="FO179" s="26">
        <v>0</v>
      </c>
      <c r="FP179" s="26">
        <v>0</v>
      </c>
      <c r="FQ179" s="26">
        <v>0</v>
      </c>
      <c r="FR179" s="26">
        <v>0</v>
      </c>
      <c r="FS179" s="26">
        <v>0</v>
      </c>
      <c r="FT179" s="26">
        <v>0</v>
      </c>
      <c r="FU179" s="26">
        <v>0</v>
      </c>
      <c r="FV179" s="26">
        <v>0</v>
      </c>
      <c r="FW179" s="26">
        <v>0</v>
      </c>
      <c r="FX179" s="26">
        <v>0</v>
      </c>
      <c r="FY179" s="26">
        <v>0</v>
      </c>
      <c r="FZ179" s="26">
        <v>0</v>
      </c>
      <c r="GA179" s="26">
        <v>0</v>
      </c>
      <c r="GB179" s="26">
        <v>0</v>
      </c>
      <c r="GC179" s="26">
        <v>0</v>
      </c>
      <c r="GD179" s="26">
        <v>0</v>
      </c>
      <c r="GE179" s="26">
        <v>0</v>
      </c>
      <c r="GF179" s="26">
        <v>0</v>
      </c>
      <c r="GG179" s="26">
        <v>0</v>
      </c>
      <c r="GH179" s="26">
        <v>0</v>
      </c>
      <c r="GI179" s="26">
        <v>0</v>
      </c>
      <c r="GJ179" s="26">
        <v>0</v>
      </c>
      <c r="GK179" s="26">
        <v>0</v>
      </c>
      <c r="GL179" s="26">
        <v>0</v>
      </c>
      <c r="GM179" s="26">
        <v>0</v>
      </c>
      <c r="GN179" s="26">
        <v>0</v>
      </c>
      <c r="GO179" s="26">
        <v>0</v>
      </c>
      <c r="GP179" s="26">
        <v>0</v>
      </c>
      <c r="GQ179" s="26">
        <v>0</v>
      </c>
      <c r="GR179" s="26">
        <v>0</v>
      </c>
      <c r="GS179" s="26">
        <v>6.4589730238940074E-2</v>
      </c>
      <c r="GT179" s="26">
        <v>0.24298041333273218</v>
      </c>
      <c r="GU179" s="26">
        <v>0</v>
      </c>
      <c r="GV179" s="26">
        <v>0</v>
      </c>
      <c r="GW179" s="26">
        <v>0</v>
      </c>
      <c r="GX179" s="26">
        <v>0</v>
      </c>
      <c r="GY179" s="26">
        <v>0</v>
      </c>
      <c r="GZ179" s="26">
        <v>0</v>
      </c>
      <c r="HA179" s="26">
        <v>0</v>
      </c>
      <c r="HB179" s="26">
        <v>0</v>
      </c>
      <c r="HC179" s="26">
        <v>0</v>
      </c>
      <c r="HD179" s="26">
        <v>0</v>
      </c>
      <c r="HE179" s="26">
        <v>0</v>
      </c>
      <c r="HF179" s="26">
        <v>0</v>
      </c>
      <c r="HG179" s="26">
        <v>0</v>
      </c>
      <c r="HH179" s="26">
        <v>0</v>
      </c>
      <c r="HI179" s="26">
        <v>0</v>
      </c>
      <c r="HJ179" s="26">
        <v>0</v>
      </c>
      <c r="HK179" s="26">
        <v>0</v>
      </c>
      <c r="HL179" s="26">
        <v>0</v>
      </c>
      <c r="HM179" s="26">
        <v>0</v>
      </c>
      <c r="HN179" s="26">
        <v>0</v>
      </c>
      <c r="HO179" s="26">
        <v>0</v>
      </c>
      <c r="HP179" s="26">
        <v>0</v>
      </c>
      <c r="HQ179" s="26">
        <v>0</v>
      </c>
      <c r="HR179" s="26">
        <v>0</v>
      </c>
      <c r="HS179" s="26">
        <v>0</v>
      </c>
      <c r="HT179" s="26">
        <v>0</v>
      </c>
    </row>
    <row r="180" spans="2:228" x14ac:dyDescent="0.2">
      <c r="B180" s="27" t="s">
        <v>1373</v>
      </c>
      <c r="C180" s="26">
        <v>32582.828799999999</v>
      </c>
      <c r="D180" s="26">
        <v>-2.0070621399999999</v>
      </c>
      <c r="E180" s="26">
        <v>638.15416100000004</v>
      </c>
      <c r="F180" s="26">
        <v>0</v>
      </c>
      <c r="G180" s="26">
        <v>0</v>
      </c>
      <c r="H180" s="26">
        <v>0</v>
      </c>
      <c r="I180" s="26">
        <v>0</v>
      </c>
      <c r="J180" s="26">
        <v>0</v>
      </c>
      <c r="K180" s="26">
        <v>0</v>
      </c>
      <c r="L180" s="26">
        <v>0</v>
      </c>
      <c r="M180" s="26">
        <v>0</v>
      </c>
      <c r="N180" s="26">
        <v>0</v>
      </c>
      <c r="O180" s="26">
        <v>0</v>
      </c>
      <c r="P180" s="26">
        <v>0</v>
      </c>
      <c r="Q180" s="26">
        <v>0</v>
      </c>
      <c r="R180" s="26">
        <v>0</v>
      </c>
      <c r="S180" s="26">
        <v>0</v>
      </c>
      <c r="T180" s="26">
        <v>0</v>
      </c>
      <c r="U180" s="26">
        <v>0</v>
      </c>
      <c r="V180" s="26">
        <v>0</v>
      </c>
      <c r="W180" s="26">
        <v>0</v>
      </c>
      <c r="X180" s="26">
        <v>0</v>
      </c>
      <c r="Y180" s="26">
        <v>0</v>
      </c>
      <c r="Z180" s="26">
        <v>0</v>
      </c>
      <c r="AA180" s="26">
        <v>0</v>
      </c>
      <c r="AB180" s="26">
        <v>0</v>
      </c>
      <c r="AC180" s="26">
        <v>0</v>
      </c>
      <c r="AD180" s="26">
        <v>0</v>
      </c>
      <c r="AE180" s="26">
        <v>0</v>
      </c>
      <c r="AF180" s="26">
        <v>0</v>
      </c>
      <c r="AG180" s="26">
        <v>0</v>
      </c>
      <c r="AH180" s="26">
        <v>0</v>
      </c>
      <c r="AI180" s="26">
        <v>0</v>
      </c>
      <c r="AJ180" s="26">
        <v>0</v>
      </c>
      <c r="AK180" s="26">
        <v>0</v>
      </c>
      <c r="AL180" s="26">
        <v>0</v>
      </c>
      <c r="AM180" s="26">
        <v>0</v>
      </c>
      <c r="AN180" s="26">
        <v>7440.4578199999987</v>
      </c>
      <c r="AO180" s="26">
        <v>24504.216799999998</v>
      </c>
      <c r="AP180" s="26">
        <v>0</v>
      </c>
      <c r="AQ180" s="26">
        <v>0</v>
      </c>
      <c r="AR180" s="26">
        <v>0</v>
      </c>
      <c r="AS180" s="26">
        <v>0</v>
      </c>
      <c r="AT180" s="26">
        <v>0</v>
      </c>
      <c r="AU180" s="26">
        <v>0</v>
      </c>
      <c r="AV180" s="26">
        <v>0</v>
      </c>
      <c r="AW180" s="26">
        <v>0</v>
      </c>
      <c r="AX180" s="26">
        <v>0</v>
      </c>
      <c r="AY180" s="26">
        <v>0</v>
      </c>
      <c r="AZ180" s="26">
        <v>0</v>
      </c>
      <c r="BA180" s="26">
        <v>0</v>
      </c>
      <c r="BB180" s="26">
        <v>0</v>
      </c>
      <c r="BC180" s="26">
        <v>0</v>
      </c>
      <c r="BD180" s="26">
        <v>0</v>
      </c>
      <c r="BE180" s="26">
        <v>0</v>
      </c>
      <c r="BF180" s="26">
        <v>0</v>
      </c>
      <c r="BG180" s="26">
        <v>0</v>
      </c>
      <c r="BH180" s="26">
        <v>0</v>
      </c>
      <c r="BI180" s="26">
        <v>0</v>
      </c>
      <c r="BJ180" s="26">
        <v>0</v>
      </c>
      <c r="BK180" s="26">
        <v>0</v>
      </c>
      <c r="BL180" s="26">
        <v>0</v>
      </c>
      <c r="BM180" s="26">
        <v>0</v>
      </c>
      <c r="BN180" s="26">
        <v>0</v>
      </c>
      <c r="BO180" s="26">
        <v>1142.67545</v>
      </c>
      <c r="BP180" s="26">
        <v>32582.828799999999</v>
      </c>
      <c r="BQ180" s="26">
        <v>162004.29500000001</v>
      </c>
      <c r="BR180" s="26">
        <v>40</v>
      </c>
      <c r="BS180" s="26">
        <v>3</v>
      </c>
      <c r="BT180" s="26">
        <v>0.99313121100000001</v>
      </c>
      <c r="BU180" s="26">
        <v>6.8687894999999999E-3</v>
      </c>
      <c r="BV180" s="26">
        <v>0</v>
      </c>
      <c r="BW180" s="26">
        <v>-1756.4586099999999</v>
      </c>
      <c r="BX180" s="26">
        <v>-61.598768499999998</v>
      </c>
      <c r="BY180" s="26">
        <v>-2.0070621399999999</v>
      </c>
      <c r="BZ180" s="26">
        <v>-1.1280702300000001</v>
      </c>
      <c r="CA180" s="26">
        <v>-3.9561272000000001E-2</v>
      </c>
      <c r="CB180" s="26">
        <v>1.17556084E-4</v>
      </c>
      <c r="CC180" s="26">
        <v>3.3520539700000003E-3</v>
      </c>
      <c r="CD180" s="26">
        <v>28.514508599999999</v>
      </c>
      <c r="CE180" s="26">
        <v>999.02319399999988</v>
      </c>
      <c r="CF180" s="26">
        <v>0</v>
      </c>
      <c r="CG180" s="26">
        <v>0</v>
      </c>
      <c r="CH180" s="26">
        <v>0</v>
      </c>
      <c r="CI180" s="26">
        <v>0</v>
      </c>
      <c r="CJ180" s="26">
        <v>0</v>
      </c>
      <c r="CK180" s="26">
        <v>0</v>
      </c>
      <c r="CL180" s="26">
        <v>0</v>
      </c>
      <c r="CM180" s="26">
        <v>0</v>
      </c>
      <c r="CN180" s="26">
        <v>0</v>
      </c>
      <c r="CO180" s="26">
        <v>0</v>
      </c>
      <c r="CP180" s="26">
        <v>0</v>
      </c>
      <c r="CQ180" s="26">
        <v>0</v>
      </c>
      <c r="CR180" s="26">
        <v>0</v>
      </c>
      <c r="CS180" s="26">
        <v>0</v>
      </c>
      <c r="CT180" s="26">
        <v>0</v>
      </c>
      <c r="CU180" s="26">
        <v>0</v>
      </c>
      <c r="CV180" s="26">
        <v>0</v>
      </c>
      <c r="CW180" s="26">
        <v>0</v>
      </c>
      <c r="CX180" s="26">
        <v>0</v>
      </c>
      <c r="CY180" s="26">
        <v>0</v>
      </c>
      <c r="CZ180" s="26">
        <v>0</v>
      </c>
      <c r="DA180" s="26">
        <v>0</v>
      </c>
      <c r="DB180" s="26">
        <v>0</v>
      </c>
      <c r="DC180" s="26">
        <v>0</v>
      </c>
      <c r="DD180" s="26">
        <v>0</v>
      </c>
      <c r="DE180" s="26">
        <v>0</v>
      </c>
      <c r="DF180" s="26">
        <v>0</v>
      </c>
      <c r="DG180" s="26">
        <v>0</v>
      </c>
      <c r="DH180" s="26">
        <v>0</v>
      </c>
      <c r="DI180" s="26">
        <v>0</v>
      </c>
      <c r="DJ180" s="26">
        <v>0</v>
      </c>
      <c r="DK180" s="26">
        <v>0</v>
      </c>
      <c r="DL180" s="26">
        <v>0</v>
      </c>
      <c r="DM180" s="26">
        <v>0</v>
      </c>
      <c r="DN180" s="26">
        <v>0</v>
      </c>
      <c r="DO180" s="26">
        <v>0</v>
      </c>
      <c r="DP180" s="26">
        <v>0</v>
      </c>
      <c r="DQ180" s="26">
        <v>0</v>
      </c>
      <c r="DR180" s="26">
        <v>0</v>
      </c>
      <c r="DS180" s="26">
        <v>0</v>
      </c>
      <c r="DT180" s="26">
        <v>0</v>
      </c>
      <c r="DU180" s="26">
        <v>0</v>
      </c>
      <c r="DV180" s="26">
        <v>0</v>
      </c>
      <c r="DW180" s="26">
        <v>0</v>
      </c>
      <c r="DX180" s="26">
        <v>0</v>
      </c>
      <c r="DY180" s="26">
        <v>0</v>
      </c>
      <c r="DZ180" s="26">
        <v>0</v>
      </c>
      <c r="EA180" s="26">
        <v>0</v>
      </c>
      <c r="EB180" s="26">
        <v>0</v>
      </c>
      <c r="EC180" s="26">
        <v>0</v>
      </c>
      <c r="ED180" s="26">
        <v>0</v>
      </c>
      <c r="EE180" s="26">
        <v>0</v>
      </c>
      <c r="EF180" s="26">
        <v>0</v>
      </c>
      <c r="EG180" s="26">
        <v>0</v>
      </c>
      <c r="EH180" s="26">
        <v>0</v>
      </c>
      <c r="EI180" s="26">
        <v>0</v>
      </c>
      <c r="EJ180" s="26">
        <v>0</v>
      </c>
      <c r="EK180" s="26">
        <v>0</v>
      </c>
      <c r="EL180" s="26">
        <v>0</v>
      </c>
      <c r="EM180" s="26">
        <v>0</v>
      </c>
      <c r="EN180" s="26">
        <v>0</v>
      </c>
      <c r="EO180" s="26">
        <v>0</v>
      </c>
      <c r="EP180" s="26">
        <v>0</v>
      </c>
      <c r="EQ180" s="26">
        <v>0</v>
      </c>
      <c r="ER180" s="26">
        <v>0</v>
      </c>
      <c r="ES180" s="26">
        <v>0</v>
      </c>
      <c r="ET180" s="26">
        <v>3</v>
      </c>
      <c r="EU180" s="26">
        <v>0</v>
      </c>
      <c r="EV180" s="26">
        <v>0</v>
      </c>
      <c r="EW180" s="26">
        <v>0</v>
      </c>
      <c r="EX180" s="26">
        <v>0</v>
      </c>
      <c r="EY180" s="26">
        <v>0</v>
      </c>
      <c r="EZ180" s="26">
        <v>0</v>
      </c>
      <c r="FA180" s="26">
        <v>0</v>
      </c>
      <c r="FB180" s="26">
        <v>0</v>
      </c>
      <c r="FC180" s="26">
        <v>0</v>
      </c>
      <c r="FD180" s="26">
        <v>0</v>
      </c>
      <c r="FE180" s="26">
        <v>0</v>
      </c>
      <c r="FF180" s="26">
        <v>0</v>
      </c>
      <c r="FG180" s="26">
        <v>0</v>
      </c>
      <c r="FH180" s="26">
        <v>-2475001.5829000003</v>
      </c>
      <c r="FI180" s="26">
        <v>0</v>
      </c>
      <c r="FJ180" s="26">
        <v>7.6595589223875833E-3</v>
      </c>
      <c r="FK180" s="26">
        <v>0</v>
      </c>
      <c r="FL180" s="26">
        <v>0</v>
      </c>
      <c r="FM180" s="26">
        <v>0</v>
      </c>
      <c r="FN180" s="26">
        <v>0</v>
      </c>
      <c r="FO180" s="26">
        <v>0</v>
      </c>
      <c r="FP180" s="26">
        <v>0</v>
      </c>
      <c r="FQ180" s="26">
        <v>0</v>
      </c>
      <c r="FR180" s="26">
        <v>0</v>
      </c>
      <c r="FS180" s="26">
        <v>0</v>
      </c>
      <c r="FT180" s="26">
        <v>0</v>
      </c>
      <c r="FU180" s="26">
        <v>0</v>
      </c>
      <c r="FV180" s="26">
        <v>0</v>
      </c>
      <c r="FW180" s="26">
        <v>0</v>
      </c>
      <c r="FX180" s="26">
        <v>0</v>
      </c>
      <c r="FY180" s="26">
        <v>0</v>
      </c>
      <c r="FZ180" s="26">
        <v>0</v>
      </c>
      <c r="GA180" s="26">
        <v>0</v>
      </c>
      <c r="GB180" s="26">
        <v>0</v>
      </c>
      <c r="GC180" s="26">
        <v>0</v>
      </c>
      <c r="GD180" s="26">
        <v>0</v>
      </c>
      <c r="GE180" s="26">
        <v>0</v>
      </c>
      <c r="GF180" s="26">
        <v>0</v>
      </c>
      <c r="GG180" s="26">
        <v>0</v>
      </c>
      <c r="GH180" s="26">
        <v>0</v>
      </c>
      <c r="GI180" s="26">
        <v>0</v>
      </c>
      <c r="GJ180" s="26">
        <v>0</v>
      </c>
      <c r="GK180" s="26">
        <v>0</v>
      </c>
      <c r="GL180" s="26">
        <v>0</v>
      </c>
      <c r="GM180" s="26">
        <v>0</v>
      </c>
      <c r="GN180" s="26">
        <v>0</v>
      </c>
      <c r="GO180" s="26">
        <v>0</v>
      </c>
      <c r="GP180" s="26">
        <v>0</v>
      </c>
      <c r="GQ180" s="26">
        <v>0</v>
      </c>
      <c r="GR180" s="26">
        <v>0</v>
      </c>
      <c r="GS180" s="26">
        <v>6.4589704961162078E-2</v>
      </c>
      <c r="GT180" s="26">
        <v>0.24298036333273179</v>
      </c>
      <c r="GU180" s="26">
        <v>0</v>
      </c>
      <c r="GV180" s="26">
        <v>0</v>
      </c>
      <c r="GW180" s="26">
        <v>0</v>
      </c>
      <c r="GX180" s="26">
        <v>0</v>
      </c>
      <c r="GY180" s="26">
        <v>0</v>
      </c>
      <c r="GZ180" s="26">
        <v>0</v>
      </c>
      <c r="HA180" s="26">
        <v>0</v>
      </c>
      <c r="HB180" s="26">
        <v>0</v>
      </c>
      <c r="HC180" s="26">
        <v>0</v>
      </c>
      <c r="HD180" s="26">
        <v>0</v>
      </c>
      <c r="HE180" s="26">
        <v>0</v>
      </c>
      <c r="HF180" s="26">
        <v>0</v>
      </c>
      <c r="HG180" s="26">
        <v>0</v>
      </c>
      <c r="HH180" s="26">
        <v>0</v>
      </c>
      <c r="HI180" s="26">
        <v>0</v>
      </c>
      <c r="HJ180" s="26">
        <v>0</v>
      </c>
      <c r="HK180" s="26">
        <v>0</v>
      </c>
      <c r="HL180" s="26">
        <v>0</v>
      </c>
      <c r="HM180" s="26">
        <v>0</v>
      </c>
      <c r="HN180" s="26">
        <v>0</v>
      </c>
      <c r="HO180" s="26">
        <v>0</v>
      </c>
      <c r="HP180" s="26">
        <v>0</v>
      </c>
      <c r="HQ180" s="26">
        <v>0</v>
      </c>
      <c r="HR180" s="26">
        <v>0</v>
      </c>
      <c r="HS180" s="26">
        <v>0</v>
      </c>
      <c r="HT180" s="26">
        <v>0</v>
      </c>
    </row>
    <row r="181" spans="2:228" x14ac:dyDescent="0.2">
      <c r="B181" s="27" t="s">
        <v>1377</v>
      </c>
      <c r="C181" s="26">
        <v>31031.265499999998</v>
      </c>
      <c r="D181" s="26">
        <v>-1.91148775</v>
      </c>
      <c r="E181" s="26">
        <v>607.76586799999995</v>
      </c>
      <c r="F181" s="26">
        <v>0</v>
      </c>
      <c r="G181" s="26">
        <v>0</v>
      </c>
      <c r="H181" s="26">
        <v>0</v>
      </c>
      <c r="I181" s="26">
        <v>0</v>
      </c>
      <c r="J181" s="26">
        <v>0</v>
      </c>
      <c r="K181" s="26">
        <v>0</v>
      </c>
      <c r="L181" s="26">
        <v>0</v>
      </c>
      <c r="M181" s="26">
        <v>0</v>
      </c>
      <c r="N181" s="26">
        <v>0</v>
      </c>
      <c r="O181" s="26">
        <v>0</v>
      </c>
      <c r="P181" s="26">
        <v>0</v>
      </c>
      <c r="Q181" s="26">
        <v>0</v>
      </c>
      <c r="R181" s="26">
        <v>0</v>
      </c>
      <c r="S181" s="26">
        <v>0</v>
      </c>
      <c r="T181" s="26">
        <v>0</v>
      </c>
      <c r="U181" s="26">
        <v>0</v>
      </c>
      <c r="V181" s="26">
        <v>0</v>
      </c>
      <c r="W181" s="26">
        <v>0</v>
      </c>
      <c r="X181" s="26">
        <v>0</v>
      </c>
      <c r="Y181" s="26">
        <v>0</v>
      </c>
      <c r="Z181" s="26">
        <v>0</v>
      </c>
      <c r="AA181" s="26">
        <v>0</v>
      </c>
      <c r="AB181" s="26">
        <v>0</v>
      </c>
      <c r="AC181" s="26">
        <v>0</v>
      </c>
      <c r="AD181" s="26">
        <v>0</v>
      </c>
      <c r="AE181" s="26">
        <v>0</v>
      </c>
      <c r="AF181" s="26">
        <v>0</v>
      </c>
      <c r="AG181" s="26">
        <v>0</v>
      </c>
      <c r="AH181" s="26">
        <v>0</v>
      </c>
      <c r="AI181" s="26">
        <v>0</v>
      </c>
      <c r="AJ181" s="26">
        <v>0</v>
      </c>
      <c r="AK181" s="26">
        <v>0</v>
      </c>
      <c r="AL181" s="26">
        <v>0</v>
      </c>
      <c r="AM181" s="26">
        <v>0</v>
      </c>
      <c r="AN181" s="26">
        <v>7086.15031</v>
      </c>
      <c r="AO181" s="26">
        <v>23337.349300000002</v>
      </c>
      <c r="AP181" s="26">
        <v>0</v>
      </c>
      <c r="AQ181" s="26">
        <v>0</v>
      </c>
      <c r="AR181" s="26">
        <v>0</v>
      </c>
      <c r="AS181" s="26">
        <v>0</v>
      </c>
      <c r="AT181" s="26">
        <v>0</v>
      </c>
      <c r="AU181" s="26">
        <v>0</v>
      </c>
      <c r="AV181" s="26">
        <v>0</v>
      </c>
      <c r="AW181" s="26">
        <v>0</v>
      </c>
      <c r="AX181" s="26">
        <v>0</v>
      </c>
      <c r="AY181" s="26">
        <v>0</v>
      </c>
      <c r="AZ181" s="26">
        <v>0</v>
      </c>
      <c r="BA181" s="26">
        <v>0</v>
      </c>
      <c r="BB181" s="26">
        <v>0</v>
      </c>
      <c r="BC181" s="26">
        <v>0</v>
      </c>
      <c r="BD181" s="26">
        <v>0</v>
      </c>
      <c r="BE181" s="26">
        <v>0</v>
      </c>
      <c r="BF181" s="26">
        <v>0</v>
      </c>
      <c r="BG181" s="26">
        <v>0</v>
      </c>
      <c r="BH181" s="26">
        <v>0</v>
      </c>
      <c r="BI181" s="26">
        <v>0</v>
      </c>
      <c r="BJ181" s="26">
        <v>0</v>
      </c>
      <c r="BK181" s="26">
        <v>0</v>
      </c>
      <c r="BL181" s="26">
        <v>0</v>
      </c>
      <c r="BM181" s="26">
        <v>0</v>
      </c>
      <c r="BN181" s="26">
        <v>0</v>
      </c>
      <c r="BO181" s="26">
        <v>1088.26233</v>
      </c>
      <c r="BP181" s="26">
        <v>31031.265499999998</v>
      </c>
      <c r="BQ181" s="26">
        <v>154289.80499999999</v>
      </c>
      <c r="BR181" s="26">
        <v>40</v>
      </c>
      <c r="BS181" s="26">
        <v>3</v>
      </c>
      <c r="BT181" s="26">
        <v>0.99313121100000001</v>
      </c>
      <c r="BU181" s="26">
        <v>6.8687894999999999E-3</v>
      </c>
      <c r="BV181" s="26">
        <v>0</v>
      </c>
      <c r="BW181" s="26">
        <v>-1756.4586099999999</v>
      </c>
      <c r="BX181" s="26">
        <v>-61.598768499999998</v>
      </c>
      <c r="BY181" s="26">
        <v>-1.91148775</v>
      </c>
      <c r="BZ181" s="26">
        <v>-1.1280702300000001</v>
      </c>
      <c r="CA181" s="26">
        <v>-3.9561272000000001E-2</v>
      </c>
      <c r="CB181" s="26">
        <v>1.17556084E-4</v>
      </c>
      <c r="CC181" s="26">
        <v>3.3520539700000003E-3</v>
      </c>
      <c r="CD181" s="26">
        <v>28.514508599999999</v>
      </c>
      <c r="CE181" s="26">
        <v>951.45066100000008</v>
      </c>
      <c r="CF181" s="26">
        <v>0</v>
      </c>
      <c r="CG181" s="26">
        <v>0</v>
      </c>
      <c r="CH181" s="26">
        <v>0</v>
      </c>
      <c r="CI181" s="26">
        <v>0</v>
      </c>
      <c r="CJ181" s="26">
        <v>0</v>
      </c>
      <c r="CK181" s="26">
        <v>0</v>
      </c>
      <c r="CL181" s="26">
        <v>0</v>
      </c>
      <c r="CM181" s="26">
        <v>0</v>
      </c>
      <c r="CN181" s="26">
        <v>0</v>
      </c>
      <c r="CO181" s="26">
        <v>0</v>
      </c>
      <c r="CP181" s="26">
        <v>0</v>
      </c>
      <c r="CQ181" s="26">
        <v>0</v>
      </c>
      <c r="CR181" s="26">
        <v>0</v>
      </c>
      <c r="CS181" s="26">
        <v>0</v>
      </c>
      <c r="CT181" s="26">
        <v>0</v>
      </c>
      <c r="CU181" s="26">
        <v>0</v>
      </c>
      <c r="CV181" s="26">
        <v>0</v>
      </c>
      <c r="CW181" s="26">
        <v>0</v>
      </c>
      <c r="CX181" s="26">
        <v>0</v>
      </c>
      <c r="CY181" s="26">
        <v>0</v>
      </c>
      <c r="CZ181" s="26">
        <v>0</v>
      </c>
      <c r="DA181" s="26">
        <v>0</v>
      </c>
      <c r="DB181" s="26">
        <v>0</v>
      </c>
      <c r="DC181" s="26">
        <v>0</v>
      </c>
      <c r="DD181" s="26">
        <v>0</v>
      </c>
      <c r="DE181" s="26">
        <v>0</v>
      </c>
      <c r="DF181" s="26">
        <v>0</v>
      </c>
      <c r="DG181" s="26">
        <v>0</v>
      </c>
      <c r="DH181" s="26">
        <v>0</v>
      </c>
      <c r="DI181" s="26">
        <v>0</v>
      </c>
      <c r="DJ181" s="26">
        <v>0</v>
      </c>
      <c r="DK181" s="26">
        <v>0</v>
      </c>
      <c r="DL181" s="26">
        <v>0</v>
      </c>
      <c r="DM181" s="26">
        <v>0</v>
      </c>
      <c r="DN181" s="26">
        <v>0</v>
      </c>
      <c r="DO181" s="26">
        <v>0</v>
      </c>
      <c r="DP181" s="26">
        <v>0</v>
      </c>
      <c r="DQ181" s="26">
        <v>0</v>
      </c>
      <c r="DR181" s="26">
        <v>0</v>
      </c>
      <c r="DS181" s="26">
        <v>0</v>
      </c>
      <c r="DT181" s="26">
        <v>0</v>
      </c>
      <c r="DU181" s="26">
        <v>0</v>
      </c>
      <c r="DV181" s="26">
        <v>0</v>
      </c>
      <c r="DW181" s="26">
        <v>0</v>
      </c>
      <c r="DX181" s="26">
        <v>0</v>
      </c>
      <c r="DY181" s="26">
        <v>0</v>
      </c>
      <c r="DZ181" s="26">
        <v>0</v>
      </c>
      <c r="EA181" s="26">
        <v>0</v>
      </c>
      <c r="EB181" s="26">
        <v>0</v>
      </c>
      <c r="EC181" s="26">
        <v>0</v>
      </c>
      <c r="ED181" s="26">
        <v>0</v>
      </c>
      <c r="EE181" s="26">
        <v>0</v>
      </c>
      <c r="EF181" s="26">
        <v>0</v>
      </c>
      <c r="EG181" s="26">
        <v>0</v>
      </c>
      <c r="EH181" s="26">
        <v>0</v>
      </c>
      <c r="EI181" s="26">
        <v>0</v>
      </c>
      <c r="EJ181" s="26">
        <v>0</v>
      </c>
      <c r="EK181" s="26">
        <v>0</v>
      </c>
      <c r="EL181" s="26">
        <v>0</v>
      </c>
      <c r="EM181" s="26">
        <v>0</v>
      </c>
      <c r="EN181" s="26">
        <v>0</v>
      </c>
      <c r="EO181" s="26">
        <v>0</v>
      </c>
      <c r="EP181" s="26">
        <v>0</v>
      </c>
      <c r="EQ181" s="26">
        <v>0</v>
      </c>
      <c r="ER181" s="26">
        <v>0</v>
      </c>
      <c r="ES181" s="26">
        <v>0</v>
      </c>
      <c r="ET181" s="26">
        <v>3</v>
      </c>
      <c r="EU181" s="26">
        <v>0</v>
      </c>
      <c r="EV181" s="26">
        <v>0</v>
      </c>
      <c r="EW181" s="26">
        <v>0</v>
      </c>
      <c r="EX181" s="26">
        <v>0</v>
      </c>
      <c r="EY181" s="26">
        <v>0</v>
      </c>
      <c r="EZ181" s="26">
        <v>0</v>
      </c>
      <c r="FA181" s="26">
        <v>0</v>
      </c>
      <c r="FB181" s="26">
        <v>0</v>
      </c>
      <c r="FC181" s="26">
        <v>0</v>
      </c>
      <c r="FD181" s="26">
        <v>0</v>
      </c>
      <c r="FE181" s="26">
        <v>0</v>
      </c>
      <c r="FF181" s="26">
        <v>0</v>
      </c>
      <c r="FG181" s="26">
        <v>0</v>
      </c>
      <c r="FH181" s="26">
        <v>-2357144.3607900003</v>
      </c>
      <c r="FI181" s="26">
        <v>0</v>
      </c>
      <c r="FJ181" s="26">
        <v>7.294818030580766E-3</v>
      </c>
      <c r="FK181" s="26">
        <v>0</v>
      </c>
      <c r="FL181" s="26">
        <v>0</v>
      </c>
      <c r="FM181" s="26">
        <v>0</v>
      </c>
      <c r="FN181" s="26">
        <v>0</v>
      </c>
      <c r="FO181" s="26">
        <v>0</v>
      </c>
      <c r="FP181" s="26">
        <v>0</v>
      </c>
      <c r="FQ181" s="26">
        <v>0</v>
      </c>
      <c r="FR181" s="26">
        <v>0</v>
      </c>
      <c r="FS181" s="26">
        <v>0</v>
      </c>
      <c r="FT181" s="26">
        <v>0</v>
      </c>
      <c r="FU181" s="26">
        <v>0</v>
      </c>
      <c r="FV181" s="26">
        <v>0</v>
      </c>
      <c r="FW181" s="26">
        <v>0</v>
      </c>
      <c r="FX181" s="26">
        <v>0</v>
      </c>
      <c r="FY181" s="26">
        <v>0</v>
      </c>
      <c r="FZ181" s="26">
        <v>0</v>
      </c>
      <c r="GA181" s="26">
        <v>0</v>
      </c>
      <c r="GB181" s="26">
        <v>0</v>
      </c>
      <c r="GC181" s="26">
        <v>0</v>
      </c>
      <c r="GD181" s="26">
        <v>0</v>
      </c>
      <c r="GE181" s="26">
        <v>0</v>
      </c>
      <c r="GF181" s="26">
        <v>0</v>
      </c>
      <c r="GG181" s="26">
        <v>0</v>
      </c>
      <c r="GH181" s="26">
        <v>0</v>
      </c>
      <c r="GI181" s="26">
        <v>0</v>
      </c>
      <c r="GJ181" s="26">
        <v>0</v>
      </c>
      <c r="GK181" s="26">
        <v>0</v>
      </c>
      <c r="GL181" s="26">
        <v>0</v>
      </c>
      <c r="GM181" s="26">
        <v>0</v>
      </c>
      <c r="GN181" s="26">
        <v>0</v>
      </c>
      <c r="GO181" s="26">
        <v>0</v>
      </c>
      <c r="GP181" s="26">
        <v>0</v>
      </c>
      <c r="GQ181" s="26">
        <v>0</v>
      </c>
      <c r="GR181" s="26">
        <v>0</v>
      </c>
      <c r="GS181" s="26">
        <v>6.1514004658778702E-2</v>
      </c>
      <c r="GT181" s="26">
        <v>0.23140986990683451</v>
      </c>
      <c r="GU181" s="26">
        <v>0</v>
      </c>
      <c r="GV181" s="26">
        <v>0</v>
      </c>
      <c r="GW181" s="26">
        <v>0</v>
      </c>
      <c r="GX181" s="26">
        <v>0</v>
      </c>
      <c r="GY181" s="26">
        <v>0</v>
      </c>
      <c r="GZ181" s="26">
        <v>0</v>
      </c>
      <c r="HA181" s="26">
        <v>0</v>
      </c>
      <c r="HB181" s="26">
        <v>0</v>
      </c>
      <c r="HC181" s="26">
        <v>0</v>
      </c>
      <c r="HD181" s="26">
        <v>0</v>
      </c>
      <c r="HE181" s="26">
        <v>0</v>
      </c>
      <c r="HF181" s="26">
        <v>0</v>
      </c>
      <c r="HG181" s="26">
        <v>0</v>
      </c>
      <c r="HH181" s="26">
        <v>0</v>
      </c>
      <c r="HI181" s="26">
        <v>0</v>
      </c>
      <c r="HJ181" s="26">
        <v>0</v>
      </c>
      <c r="HK181" s="26">
        <v>0</v>
      </c>
      <c r="HL181" s="26">
        <v>0</v>
      </c>
      <c r="HM181" s="26">
        <v>0</v>
      </c>
      <c r="HN181" s="26">
        <v>0</v>
      </c>
      <c r="HO181" s="26">
        <v>0</v>
      </c>
      <c r="HP181" s="26">
        <v>0</v>
      </c>
      <c r="HQ181" s="26">
        <v>0</v>
      </c>
      <c r="HR181" s="26">
        <v>0</v>
      </c>
      <c r="HS181" s="26">
        <v>0</v>
      </c>
      <c r="HT181" s="26">
        <v>0</v>
      </c>
    </row>
    <row r="182" spans="2:228" x14ac:dyDescent="0.2">
      <c r="B182" s="27" t="s">
        <v>1380</v>
      </c>
      <c r="C182" s="26">
        <v>1551.5632800000001</v>
      </c>
      <c r="D182" s="26">
        <v>-9.5574387699999999E-2</v>
      </c>
      <c r="E182" s="26">
        <v>30.388293399999998</v>
      </c>
      <c r="F182" s="26">
        <v>0</v>
      </c>
      <c r="G182" s="26">
        <v>0</v>
      </c>
      <c r="H182" s="26">
        <v>0</v>
      </c>
      <c r="I182" s="26">
        <v>0</v>
      </c>
      <c r="J182" s="26">
        <v>0</v>
      </c>
      <c r="K182" s="26">
        <v>0</v>
      </c>
      <c r="L182" s="26">
        <v>0</v>
      </c>
      <c r="M182" s="26">
        <v>0</v>
      </c>
      <c r="N182" s="26">
        <v>0</v>
      </c>
      <c r="O182" s="26">
        <v>0</v>
      </c>
      <c r="P182" s="26">
        <v>0</v>
      </c>
      <c r="Q182" s="26">
        <v>0</v>
      </c>
      <c r="R182" s="26">
        <v>0</v>
      </c>
      <c r="S182" s="26">
        <v>0</v>
      </c>
      <c r="T182" s="26">
        <v>0</v>
      </c>
      <c r="U182" s="26">
        <v>0</v>
      </c>
      <c r="V182" s="26">
        <v>0</v>
      </c>
      <c r="W182" s="26">
        <v>0</v>
      </c>
      <c r="X182" s="26">
        <v>0</v>
      </c>
      <c r="Y182" s="26">
        <v>0</v>
      </c>
      <c r="Z182" s="26">
        <v>0</v>
      </c>
      <c r="AA182" s="26">
        <v>0</v>
      </c>
      <c r="AB182" s="26">
        <v>0</v>
      </c>
      <c r="AC182" s="26">
        <v>0</v>
      </c>
      <c r="AD182" s="26">
        <v>0</v>
      </c>
      <c r="AE182" s="26">
        <v>0</v>
      </c>
      <c r="AF182" s="26">
        <v>0</v>
      </c>
      <c r="AG182" s="26">
        <v>0</v>
      </c>
      <c r="AH182" s="26">
        <v>0</v>
      </c>
      <c r="AI182" s="26">
        <v>0</v>
      </c>
      <c r="AJ182" s="26">
        <v>0</v>
      </c>
      <c r="AK182" s="26">
        <v>0</v>
      </c>
      <c r="AL182" s="26">
        <v>0</v>
      </c>
      <c r="AM182" s="26">
        <v>0</v>
      </c>
      <c r="AN182" s="26">
        <v>354.30751500000002</v>
      </c>
      <c r="AO182" s="26">
        <v>1166.8674699999999</v>
      </c>
      <c r="AP182" s="26">
        <v>0</v>
      </c>
      <c r="AQ182" s="26">
        <v>0</v>
      </c>
      <c r="AR182" s="26">
        <v>0</v>
      </c>
      <c r="AS182" s="26">
        <v>0</v>
      </c>
      <c r="AT182" s="26">
        <v>0</v>
      </c>
      <c r="AU182" s="26">
        <v>0</v>
      </c>
      <c r="AV182" s="26">
        <v>0</v>
      </c>
      <c r="AW182" s="26">
        <v>0</v>
      </c>
      <c r="AX182" s="26">
        <v>0</v>
      </c>
      <c r="AY182" s="26">
        <v>0</v>
      </c>
      <c r="AZ182" s="26">
        <v>0</v>
      </c>
      <c r="BA182" s="26">
        <v>0</v>
      </c>
      <c r="BB182" s="26">
        <v>0</v>
      </c>
      <c r="BC182" s="26">
        <v>0</v>
      </c>
      <c r="BD182" s="26">
        <v>0</v>
      </c>
      <c r="BE182" s="26">
        <v>0</v>
      </c>
      <c r="BF182" s="26">
        <v>0</v>
      </c>
      <c r="BG182" s="26">
        <v>0</v>
      </c>
      <c r="BH182" s="26">
        <v>0</v>
      </c>
      <c r="BI182" s="26">
        <v>0</v>
      </c>
      <c r="BJ182" s="26">
        <v>0</v>
      </c>
      <c r="BK182" s="26">
        <v>0</v>
      </c>
      <c r="BL182" s="26">
        <v>0</v>
      </c>
      <c r="BM182" s="26">
        <v>0</v>
      </c>
      <c r="BN182" s="26">
        <v>0</v>
      </c>
      <c r="BO182" s="26">
        <v>54.413116500000001</v>
      </c>
      <c r="BP182" s="26">
        <v>1551.5632800000001</v>
      </c>
      <c r="BQ182" s="26">
        <v>7714.4902300000003</v>
      </c>
      <c r="BR182" s="26">
        <v>40</v>
      </c>
      <c r="BS182" s="26">
        <v>3</v>
      </c>
      <c r="BT182" s="26">
        <v>0.99313121100000001</v>
      </c>
      <c r="BU182" s="26">
        <v>6.8687894999999999E-3</v>
      </c>
      <c r="BV182" s="26">
        <v>0</v>
      </c>
      <c r="BW182" s="26">
        <v>-1756.4586099999999</v>
      </c>
      <c r="BX182" s="26">
        <v>-61.598768499999998</v>
      </c>
      <c r="BY182" s="26">
        <v>-9.5574387699999999E-2</v>
      </c>
      <c r="BZ182" s="26">
        <v>-1.1280702300000001</v>
      </c>
      <c r="CA182" s="26">
        <v>-3.9561272000000001E-2</v>
      </c>
      <c r="CB182" s="26">
        <v>1.17556084E-4</v>
      </c>
      <c r="CC182" s="26">
        <v>3.3520539700000003E-3</v>
      </c>
      <c r="CD182" s="26">
        <v>28.514508599999999</v>
      </c>
      <c r="CE182" s="26">
        <v>47.572533100000001</v>
      </c>
      <c r="CF182" s="26">
        <v>0</v>
      </c>
      <c r="CG182" s="26">
        <v>0</v>
      </c>
      <c r="CH182" s="26">
        <v>0</v>
      </c>
      <c r="CI182" s="26">
        <v>0</v>
      </c>
      <c r="CJ182" s="26">
        <v>0</v>
      </c>
      <c r="CK182" s="26">
        <v>0</v>
      </c>
      <c r="CL182" s="26">
        <v>0</v>
      </c>
      <c r="CM182" s="26">
        <v>0</v>
      </c>
      <c r="CN182" s="26">
        <v>0</v>
      </c>
      <c r="CO182" s="26">
        <v>0</v>
      </c>
      <c r="CP182" s="26">
        <v>0</v>
      </c>
      <c r="CQ182" s="26">
        <v>0</v>
      </c>
      <c r="CR182" s="26">
        <v>0</v>
      </c>
      <c r="CS182" s="26">
        <v>0</v>
      </c>
      <c r="CT182" s="26">
        <v>0</v>
      </c>
      <c r="CU182" s="26">
        <v>0</v>
      </c>
      <c r="CV182" s="26">
        <v>0</v>
      </c>
      <c r="CW182" s="26">
        <v>0</v>
      </c>
      <c r="CX182" s="26">
        <v>0</v>
      </c>
      <c r="CY182" s="26">
        <v>0</v>
      </c>
      <c r="CZ182" s="26">
        <v>0</v>
      </c>
      <c r="DA182" s="26">
        <v>0</v>
      </c>
      <c r="DB182" s="26">
        <v>0</v>
      </c>
      <c r="DC182" s="26">
        <v>0</v>
      </c>
      <c r="DD182" s="26">
        <v>0</v>
      </c>
      <c r="DE182" s="26">
        <v>0</v>
      </c>
      <c r="DF182" s="26">
        <v>0</v>
      </c>
      <c r="DG182" s="26">
        <v>0</v>
      </c>
      <c r="DH182" s="26">
        <v>0</v>
      </c>
      <c r="DI182" s="26">
        <v>0</v>
      </c>
      <c r="DJ182" s="26">
        <v>0</v>
      </c>
      <c r="DK182" s="26">
        <v>0</v>
      </c>
      <c r="DL182" s="26">
        <v>0</v>
      </c>
      <c r="DM182" s="26">
        <v>0</v>
      </c>
      <c r="DN182" s="26">
        <v>0</v>
      </c>
      <c r="DO182" s="26">
        <v>0</v>
      </c>
      <c r="DP182" s="26">
        <v>0</v>
      </c>
      <c r="DQ182" s="26">
        <v>0</v>
      </c>
      <c r="DR182" s="26">
        <v>0</v>
      </c>
      <c r="DS182" s="26">
        <v>0</v>
      </c>
      <c r="DT182" s="26">
        <v>0</v>
      </c>
      <c r="DU182" s="26">
        <v>0</v>
      </c>
      <c r="DV182" s="26">
        <v>0</v>
      </c>
      <c r="DW182" s="26">
        <v>0</v>
      </c>
      <c r="DX182" s="26">
        <v>0</v>
      </c>
      <c r="DY182" s="26">
        <v>0</v>
      </c>
      <c r="DZ182" s="26">
        <v>0</v>
      </c>
      <c r="EA182" s="26">
        <v>0</v>
      </c>
      <c r="EB182" s="26">
        <v>0</v>
      </c>
      <c r="EC182" s="26">
        <v>0</v>
      </c>
      <c r="ED182" s="26">
        <v>0</v>
      </c>
      <c r="EE182" s="26">
        <v>0</v>
      </c>
      <c r="EF182" s="26">
        <v>0</v>
      </c>
      <c r="EG182" s="26">
        <v>0</v>
      </c>
      <c r="EH182" s="26">
        <v>0</v>
      </c>
      <c r="EI182" s="26">
        <v>0</v>
      </c>
      <c r="EJ182" s="26">
        <v>0</v>
      </c>
      <c r="EK182" s="26">
        <v>0</v>
      </c>
      <c r="EL182" s="26">
        <v>0</v>
      </c>
      <c r="EM182" s="26">
        <v>0</v>
      </c>
      <c r="EN182" s="26">
        <v>0</v>
      </c>
      <c r="EO182" s="26">
        <v>0</v>
      </c>
      <c r="EP182" s="26">
        <v>0</v>
      </c>
      <c r="EQ182" s="26">
        <v>0</v>
      </c>
      <c r="ER182" s="26">
        <v>0</v>
      </c>
      <c r="ES182" s="26">
        <v>0</v>
      </c>
      <c r="ET182" s="26">
        <v>0</v>
      </c>
      <c r="EU182" s="26">
        <v>0</v>
      </c>
      <c r="EV182" s="26">
        <v>0</v>
      </c>
      <c r="EW182" s="26">
        <v>0</v>
      </c>
      <c r="EX182" s="26">
        <v>0</v>
      </c>
      <c r="EY182" s="26">
        <v>0</v>
      </c>
      <c r="EZ182" s="26">
        <v>0</v>
      </c>
      <c r="FA182" s="26">
        <v>0</v>
      </c>
      <c r="FB182" s="26">
        <v>0</v>
      </c>
      <c r="FC182" s="26">
        <v>0</v>
      </c>
      <c r="FD182" s="26">
        <v>0</v>
      </c>
      <c r="FE182" s="26">
        <v>0</v>
      </c>
      <c r="FF182" s="26">
        <v>0</v>
      </c>
      <c r="FG182" s="26">
        <v>0</v>
      </c>
      <c r="FH182" s="26">
        <v>-117857.217458</v>
      </c>
      <c r="FI182" s="26">
        <v>0</v>
      </c>
      <c r="FJ182" s="26">
        <v>3.6474090014014938E-4</v>
      </c>
      <c r="FK182" s="26">
        <v>0</v>
      </c>
      <c r="FL182" s="26">
        <v>0</v>
      </c>
      <c r="FM182" s="26">
        <v>0</v>
      </c>
      <c r="FN182" s="26">
        <v>0</v>
      </c>
      <c r="FO182" s="26">
        <v>0</v>
      </c>
      <c r="FP182" s="26">
        <v>0</v>
      </c>
      <c r="FQ182" s="26">
        <v>0</v>
      </c>
      <c r="FR182" s="26">
        <v>0</v>
      </c>
      <c r="FS182" s="26">
        <v>0</v>
      </c>
      <c r="FT182" s="26">
        <v>0</v>
      </c>
      <c r="FU182" s="26">
        <v>0</v>
      </c>
      <c r="FV182" s="26">
        <v>0</v>
      </c>
      <c r="FW182" s="26">
        <v>0</v>
      </c>
      <c r="FX182" s="26">
        <v>0</v>
      </c>
      <c r="FY182" s="26">
        <v>0</v>
      </c>
      <c r="FZ182" s="26">
        <v>0</v>
      </c>
      <c r="GA182" s="26">
        <v>0</v>
      </c>
      <c r="GB182" s="26">
        <v>0</v>
      </c>
      <c r="GC182" s="26">
        <v>0</v>
      </c>
      <c r="GD182" s="26">
        <v>0</v>
      </c>
      <c r="GE182" s="26">
        <v>0</v>
      </c>
      <c r="GF182" s="26">
        <v>0</v>
      </c>
      <c r="GG182" s="26">
        <v>0</v>
      </c>
      <c r="GH182" s="26">
        <v>0</v>
      </c>
      <c r="GI182" s="26">
        <v>0</v>
      </c>
      <c r="GJ182" s="26">
        <v>0</v>
      </c>
      <c r="GK182" s="26">
        <v>0</v>
      </c>
      <c r="GL182" s="26">
        <v>0</v>
      </c>
      <c r="GM182" s="26">
        <v>0</v>
      </c>
      <c r="GN182" s="26">
        <v>0</v>
      </c>
      <c r="GO182" s="26">
        <v>0</v>
      </c>
      <c r="GP182" s="26">
        <v>0</v>
      </c>
      <c r="GQ182" s="26">
        <v>0</v>
      </c>
      <c r="GR182" s="26">
        <v>0</v>
      </c>
      <c r="GS182" s="26">
        <v>3.075700246827824E-3</v>
      </c>
      <c r="GT182" s="26">
        <v>1.1570493481452837E-2</v>
      </c>
      <c r="GU182" s="26">
        <v>0</v>
      </c>
      <c r="GV182" s="26">
        <v>0</v>
      </c>
      <c r="GW182" s="26">
        <v>0</v>
      </c>
      <c r="GX182" s="26">
        <v>0</v>
      </c>
      <c r="GY182" s="26">
        <v>0</v>
      </c>
      <c r="GZ182" s="26">
        <v>0</v>
      </c>
      <c r="HA182" s="26">
        <v>0</v>
      </c>
      <c r="HB182" s="26">
        <v>0</v>
      </c>
      <c r="HC182" s="26">
        <v>0</v>
      </c>
      <c r="HD182" s="26">
        <v>0</v>
      </c>
      <c r="HE182" s="26">
        <v>0</v>
      </c>
      <c r="HF182" s="26">
        <v>0</v>
      </c>
      <c r="HG182" s="26">
        <v>0</v>
      </c>
      <c r="HH182" s="26">
        <v>0</v>
      </c>
      <c r="HI182" s="26">
        <v>0</v>
      </c>
      <c r="HJ182" s="26">
        <v>0</v>
      </c>
      <c r="HK182" s="26">
        <v>0</v>
      </c>
      <c r="HL182" s="26">
        <v>0</v>
      </c>
      <c r="HM182" s="26">
        <v>0</v>
      </c>
      <c r="HN182" s="26">
        <v>0</v>
      </c>
      <c r="HO182" s="26">
        <v>0</v>
      </c>
      <c r="HP182" s="26">
        <v>0</v>
      </c>
      <c r="HQ182" s="26">
        <v>0</v>
      </c>
      <c r="HR182" s="26">
        <v>0</v>
      </c>
      <c r="HS182" s="26">
        <v>0</v>
      </c>
      <c r="HT182" s="26">
        <v>0</v>
      </c>
    </row>
    <row r="183" spans="2:228" x14ac:dyDescent="0.2">
      <c r="B183" s="27" t="s">
        <v>2407</v>
      </c>
      <c r="C183" s="26">
        <v>47175.207600000002</v>
      </c>
      <c r="D183" s="26">
        <v>-56.537135999999997</v>
      </c>
      <c r="E183" s="26">
        <v>14032.149600000001</v>
      </c>
      <c r="F183" s="26">
        <v>0</v>
      </c>
      <c r="G183" s="26">
        <v>2309.1569199999999</v>
      </c>
      <c r="H183" s="26">
        <v>0</v>
      </c>
      <c r="I183" s="26">
        <v>0</v>
      </c>
      <c r="J183" s="26">
        <v>0</v>
      </c>
      <c r="K183" s="26">
        <v>0</v>
      </c>
      <c r="L183" s="26">
        <v>0</v>
      </c>
      <c r="M183" s="26">
        <v>0</v>
      </c>
      <c r="N183" s="26">
        <v>0</v>
      </c>
      <c r="O183" s="26">
        <v>0</v>
      </c>
      <c r="P183" s="26">
        <v>0</v>
      </c>
      <c r="Q183" s="26">
        <v>0</v>
      </c>
      <c r="R183" s="26">
        <v>0</v>
      </c>
      <c r="S183" s="26">
        <v>0</v>
      </c>
      <c r="T183" s="26">
        <v>0</v>
      </c>
      <c r="U183" s="26">
        <v>0</v>
      </c>
      <c r="V183" s="26">
        <v>0</v>
      </c>
      <c r="W183" s="26">
        <v>0</v>
      </c>
      <c r="X183" s="26">
        <v>45.235594800000001</v>
      </c>
      <c r="Y183" s="26">
        <v>0</v>
      </c>
      <c r="Z183" s="26">
        <v>0</v>
      </c>
      <c r="AA183" s="26">
        <v>0</v>
      </c>
      <c r="AB183" s="26">
        <v>109.57284900000001</v>
      </c>
      <c r="AC183" s="26">
        <v>0</v>
      </c>
      <c r="AD183" s="26">
        <v>0</v>
      </c>
      <c r="AE183" s="26">
        <v>0</v>
      </c>
      <c r="AF183" s="26">
        <v>0</v>
      </c>
      <c r="AG183" s="26">
        <v>0</v>
      </c>
      <c r="AH183" s="26">
        <v>0</v>
      </c>
      <c r="AI183" s="26">
        <v>0</v>
      </c>
      <c r="AJ183" s="26">
        <v>67.352084700000006</v>
      </c>
      <c r="AK183" s="26">
        <v>0</v>
      </c>
      <c r="AL183" s="26">
        <v>0</v>
      </c>
      <c r="AM183" s="26">
        <v>14.841721700000001</v>
      </c>
      <c r="AN183" s="26">
        <v>7086.1631799999996</v>
      </c>
      <c r="AO183" s="26">
        <v>23337.377400000001</v>
      </c>
      <c r="AP183" s="26">
        <v>0</v>
      </c>
      <c r="AQ183" s="26">
        <v>0</v>
      </c>
      <c r="AR183" s="26">
        <v>0</v>
      </c>
      <c r="AS183" s="26">
        <v>0.128883002</v>
      </c>
      <c r="AT183" s="26">
        <v>0</v>
      </c>
      <c r="AU183" s="26">
        <v>0</v>
      </c>
      <c r="AV183" s="26">
        <v>16.415796499999999</v>
      </c>
      <c r="AW183" s="26">
        <v>0</v>
      </c>
      <c r="AX183" s="26">
        <v>0</v>
      </c>
      <c r="AY183" s="26">
        <v>0</v>
      </c>
      <c r="AZ183" s="26">
        <v>0</v>
      </c>
      <c r="BA183" s="26">
        <v>0</v>
      </c>
      <c r="BB183" s="26">
        <v>0</v>
      </c>
      <c r="BC183" s="26">
        <v>0</v>
      </c>
      <c r="BD183" s="26">
        <v>0</v>
      </c>
      <c r="BE183" s="26">
        <v>0</v>
      </c>
      <c r="BF183" s="26">
        <v>0</v>
      </c>
      <c r="BG183" s="26">
        <v>0</v>
      </c>
      <c r="BH183" s="26">
        <v>0</v>
      </c>
      <c r="BI183" s="26">
        <v>0</v>
      </c>
      <c r="BJ183" s="26">
        <v>0</v>
      </c>
      <c r="BK183" s="26">
        <v>0</v>
      </c>
      <c r="BL183" s="26">
        <v>0</v>
      </c>
      <c r="BM183" s="26">
        <v>0</v>
      </c>
      <c r="BN183" s="26">
        <v>0</v>
      </c>
      <c r="BO183" s="26">
        <v>1853.8693199999998</v>
      </c>
      <c r="BP183" s="26">
        <v>47018.394</v>
      </c>
      <c r="BQ183" s="26">
        <v>237763.20499999999</v>
      </c>
      <c r="BR183" s="26">
        <v>43.962279899999999</v>
      </c>
      <c r="BS183" s="26">
        <v>2.0206894599999998</v>
      </c>
      <c r="BT183" s="26">
        <v>0.59696128400000004</v>
      </c>
      <c r="BU183" s="26">
        <v>0.40303871600000002</v>
      </c>
      <c r="BV183" s="26">
        <v>0</v>
      </c>
      <c r="BW183" s="26">
        <v>-30428.131000000001</v>
      </c>
      <c r="BX183" s="26">
        <v>-1199.7385200000001</v>
      </c>
      <c r="BY183" s="26">
        <v>-56.409779</v>
      </c>
      <c r="BZ183" s="26">
        <v>-16.837240300000001</v>
      </c>
      <c r="CA183" s="26">
        <v>-0.663868766</v>
      </c>
      <c r="CB183" s="26">
        <v>1.2995207399999999E-4</v>
      </c>
      <c r="CC183" s="26">
        <v>3.2958837799999998E-3</v>
      </c>
      <c r="CD183" s="26">
        <v>25.362302199999998</v>
      </c>
      <c r="CE183" s="26">
        <v>1216.01821</v>
      </c>
      <c r="CF183" s="26">
        <v>0</v>
      </c>
      <c r="CG183" s="26">
        <v>0</v>
      </c>
      <c r="CH183" s="26">
        <v>0</v>
      </c>
      <c r="CI183" s="26">
        <v>0</v>
      </c>
      <c r="CJ183" s="26">
        <v>0</v>
      </c>
      <c r="CK183" s="26">
        <v>0</v>
      </c>
      <c r="CL183" s="26">
        <v>0</v>
      </c>
      <c r="CM183" s="26">
        <v>0</v>
      </c>
      <c r="CN183" s="26">
        <v>0</v>
      </c>
      <c r="CO183" s="26">
        <v>0</v>
      </c>
      <c r="CP183" s="26">
        <v>0</v>
      </c>
      <c r="CQ183" s="26">
        <v>0</v>
      </c>
      <c r="CR183" s="26">
        <v>0</v>
      </c>
      <c r="CS183" s="26">
        <v>0</v>
      </c>
      <c r="CT183" s="26">
        <v>0</v>
      </c>
      <c r="CU183" s="26">
        <v>0</v>
      </c>
      <c r="CV183" s="26">
        <v>0</v>
      </c>
      <c r="CW183" s="26">
        <v>0</v>
      </c>
      <c r="CX183" s="26">
        <v>0</v>
      </c>
      <c r="CY183" s="26">
        <v>0</v>
      </c>
      <c r="CZ183" s="26">
        <v>0</v>
      </c>
      <c r="DA183" s="26">
        <v>0</v>
      </c>
      <c r="DB183" s="26">
        <v>0</v>
      </c>
      <c r="DC183" s="26">
        <v>0</v>
      </c>
      <c r="DD183" s="26">
        <v>0</v>
      </c>
      <c r="DE183" s="26">
        <v>0</v>
      </c>
      <c r="DF183" s="26">
        <v>0</v>
      </c>
      <c r="DG183" s="26">
        <v>0</v>
      </c>
      <c r="DH183" s="26">
        <v>0</v>
      </c>
      <c r="DI183" s="26">
        <v>0</v>
      </c>
      <c r="DJ183" s="26">
        <v>0</v>
      </c>
      <c r="DK183" s="26">
        <v>0</v>
      </c>
      <c r="DL183" s="26">
        <v>0</v>
      </c>
      <c r="DM183" s="26">
        <v>0</v>
      </c>
      <c r="DN183" s="26">
        <v>0</v>
      </c>
      <c r="DO183" s="26">
        <v>0</v>
      </c>
      <c r="DP183" s="26">
        <v>0</v>
      </c>
      <c r="DQ183" s="26">
        <v>0</v>
      </c>
      <c r="DR183" s="26">
        <v>0</v>
      </c>
      <c r="DS183" s="26">
        <v>0</v>
      </c>
      <c r="DT183" s="26">
        <v>0</v>
      </c>
      <c r="DU183" s="26">
        <v>0</v>
      </c>
      <c r="DV183" s="26">
        <v>0</v>
      </c>
      <c r="DW183" s="26">
        <v>0</v>
      </c>
      <c r="DX183" s="26">
        <v>0</v>
      </c>
      <c r="DY183" s="26">
        <v>0</v>
      </c>
      <c r="DZ183" s="26">
        <v>0</v>
      </c>
      <c r="EA183" s="26">
        <v>0</v>
      </c>
      <c r="EB183" s="26">
        <v>0</v>
      </c>
      <c r="EC183" s="26">
        <v>0</v>
      </c>
      <c r="ED183" s="26">
        <v>0</v>
      </c>
      <c r="EE183" s="26">
        <v>45.692955699999999</v>
      </c>
      <c r="EF183" s="26">
        <v>0</v>
      </c>
      <c r="EG183" s="26">
        <v>1.5108883200000001</v>
      </c>
      <c r="EH183" s="26">
        <v>64.296904799999993</v>
      </c>
      <c r="EI183" s="26">
        <v>0</v>
      </c>
      <c r="EJ183" s="26">
        <v>45.312891499999999</v>
      </c>
      <c r="EK183" s="26">
        <v>0</v>
      </c>
      <c r="EL183" s="26">
        <v>0</v>
      </c>
      <c r="EM183" s="26">
        <v>0</v>
      </c>
      <c r="EN183" s="26">
        <v>0</v>
      </c>
      <c r="EO183" s="26">
        <v>0</v>
      </c>
      <c r="EP183" s="26">
        <v>6.6430850000000001</v>
      </c>
      <c r="EQ183" s="26">
        <v>156.81363999999999</v>
      </c>
      <c r="ER183" s="26">
        <v>1.69210902</v>
      </c>
      <c r="ES183" s="26">
        <v>43.962279899999999</v>
      </c>
      <c r="ET183" s="26">
        <v>2.0206894599999998</v>
      </c>
      <c r="EU183" s="26">
        <v>0</v>
      </c>
      <c r="EV183" s="26">
        <v>0</v>
      </c>
      <c r="EW183" s="26">
        <v>1</v>
      </c>
      <c r="EX183" s="26">
        <v>-19171.360700000001</v>
      </c>
      <c r="EY183" s="26">
        <v>-812.15497700000003</v>
      </c>
      <c r="EZ183" s="26">
        <v>-0.12735697900000001</v>
      </c>
      <c r="FA183" s="26">
        <v>-62.073799899999997</v>
      </c>
      <c r="FB183" s="26">
        <v>-2.6296279400000002</v>
      </c>
      <c r="FC183" s="26">
        <v>6.54320028E-2</v>
      </c>
      <c r="FD183" s="26">
        <v>1.5445580699999999</v>
      </c>
      <c r="FE183" s="26">
        <v>23.605544800000001</v>
      </c>
      <c r="FF183" s="26">
        <v>0</v>
      </c>
      <c r="FG183" s="26">
        <v>6.0349497500000002E-2</v>
      </c>
      <c r="FH183" s="26">
        <v>-66234579.729899995</v>
      </c>
      <c r="FI183" s="26">
        <v>2.2667469848006425E-2</v>
      </c>
      <c r="FJ183" s="26">
        <v>1.3355990717959036E-2</v>
      </c>
      <c r="FK183" s="26">
        <v>0</v>
      </c>
      <c r="FL183" s="26">
        <v>7.5583038660219865E-15</v>
      </c>
      <c r="FM183" s="26">
        <v>0</v>
      </c>
      <c r="FN183" s="26">
        <v>0</v>
      </c>
      <c r="FO183" s="26">
        <v>0</v>
      </c>
      <c r="FP183" s="26">
        <v>0</v>
      </c>
      <c r="FQ183" s="26">
        <v>0</v>
      </c>
      <c r="FR183" s="26">
        <v>0</v>
      </c>
      <c r="FS183" s="26">
        <v>0</v>
      </c>
      <c r="FT183" s="26">
        <v>0</v>
      </c>
      <c r="FU183" s="26">
        <v>0</v>
      </c>
      <c r="FV183" s="26">
        <v>0</v>
      </c>
      <c r="FW183" s="26">
        <v>0</v>
      </c>
      <c r="FX183" s="26">
        <v>0</v>
      </c>
      <c r="FY183" s="26">
        <v>0</v>
      </c>
      <c r="FZ183" s="26">
        <v>0</v>
      </c>
      <c r="GA183" s="26">
        <v>0</v>
      </c>
      <c r="GB183" s="26">
        <v>0</v>
      </c>
      <c r="GC183" s="26">
        <v>4.0695142825561142E-9</v>
      </c>
      <c r="GD183" s="26">
        <v>0</v>
      </c>
      <c r="GE183" s="26">
        <v>0</v>
      </c>
      <c r="GF183" s="26">
        <v>0</v>
      </c>
      <c r="GG183" s="26">
        <v>1.0768437586147501E-3</v>
      </c>
      <c r="GH183" s="26">
        <v>0</v>
      </c>
      <c r="GI183" s="26">
        <v>0</v>
      </c>
      <c r="GJ183" s="26">
        <v>0</v>
      </c>
      <c r="GK183" s="26">
        <v>0</v>
      </c>
      <c r="GL183" s="26">
        <v>0</v>
      </c>
      <c r="GM183" s="26">
        <v>0</v>
      </c>
      <c r="GN183" s="26">
        <v>0</v>
      </c>
      <c r="GO183" s="26">
        <v>2.2045587676364702E-16</v>
      </c>
      <c r="GP183" s="26">
        <v>0</v>
      </c>
      <c r="GQ183" s="26">
        <v>0</v>
      </c>
      <c r="GR183" s="26">
        <v>1.4270177336383642E-13</v>
      </c>
      <c r="GS183" s="26">
        <v>6.1512639380990004E-2</v>
      </c>
      <c r="GT183" s="26">
        <v>0.2314072174068133</v>
      </c>
      <c r="GU183" s="26">
        <v>0</v>
      </c>
      <c r="GV183" s="26">
        <v>0</v>
      </c>
      <c r="GW183" s="26">
        <v>0</v>
      </c>
      <c r="GX183" s="26">
        <v>8.1303670650429371E-7</v>
      </c>
      <c r="GY183" s="26">
        <v>0</v>
      </c>
      <c r="GZ183" s="26">
        <v>0</v>
      </c>
      <c r="HA183" s="26">
        <v>5.9885522423528625E-5</v>
      </c>
      <c r="HB183" s="26">
        <v>0</v>
      </c>
      <c r="HC183" s="26">
        <v>0</v>
      </c>
      <c r="HD183" s="26">
        <v>0</v>
      </c>
      <c r="HE183" s="26">
        <v>0</v>
      </c>
      <c r="HF183" s="26">
        <v>0</v>
      </c>
      <c r="HG183" s="26">
        <v>0</v>
      </c>
      <c r="HH183" s="26">
        <v>0</v>
      </c>
      <c r="HI183" s="26">
        <v>0</v>
      </c>
      <c r="HJ183" s="26">
        <v>0</v>
      </c>
      <c r="HK183" s="26">
        <v>0</v>
      </c>
      <c r="HL183" s="26">
        <v>0</v>
      </c>
      <c r="HM183" s="26">
        <v>0</v>
      </c>
      <c r="HN183" s="26">
        <v>0</v>
      </c>
      <c r="HO183" s="26">
        <v>0</v>
      </c>
      <c r="HP183" s="26">
        <v>0</v>
      </c>
      <c r="HQ183" s="26">
        <v>0</v>
      </c>
      <c r="HR183" s="26">
        <v>0</v>
      </c>
      <c r="HS183" s="26">
        <v>0</v>
      </c>
      <c r="HT183" s="26">
        <v>1.8453014036513002E-3</v>
      </c>
    </row>
    <row r="184" spans="2:228" x14ac:dyDescent="0.2">
      <c r="B184" s="27" t="s">
        <v>2882</v>
      </c>
      <c r="C184" s="26">
        <v>1584100.2</v>
      </c>
      <c r="D184" s="26">
        <v>-99.2745563</v>
      </c>
      <c r="E184" s="26">
        <v>31025.5484</v>
      </c>
      <c r="F184" s="26">
        <v>0</v>
      </c>
      <c r="G184" s="26">
        <v>0</v>
      </c>
      <c r="H184" s="26">
        <v>0</v>
      </c>
      <c r="I184" s="26">
        <v>0</v>
      </c>
      <c r="J184" s="26">
        <v>0</v>
      </c>
      <c r="K184" s="26">
        <v>0</v>
      </c>
      <c r="L184" s="26">
        <v>0</v>
      </c>
      <c r="M184" s="26">
        <v>0</v>
      </c>
      <c r="N184" s="26">
        <v>0</v>
      </c>
      <c r="O184" s="26">
        <v>0</v>
      </c>
      <c r="P184" s="26">
        <v>0</v>
      </c>
      <c r="Q184" s="26">
        <v>0</v>
      </c>
      <c r="R184" s="26">
        <v>0</v>
      </c>
      <c r="S184" s="26">
        <v>0</v>
      </c>
      <c r="T184" s="26">
        <v>0</v>
      </c>
      <c r="U184" s="26">
        <v>0</v>
      </c>
      <c r="V184" s="26">
        <v>0</v>
      </c>
      <c r="W184" s="26">
        <v>0</v>
      </c>
      <c r="X184" s="26">
        <v>0</v>
      </c>
      <c r="Y184" s="26">
        <v>0</v>
      </c>
      <c r="Z184" s="26">
        <v>0</v>
      </c>
      <c r="AA184" s="26">
        <v>0</v>
      </c>
      <c r="AB184" s="26">
        <v>0</v>
      </c>
      <c r="AC184" s="26">
        <v>0</v>
      </c>
      <c r="AD184" s="26">
        <v>0</v>
      </c>
      <c r="AE184" s="26">
        <v>0</v>
      </c>
      <c r="AF184" s="26">
        <v>0</v>
      </c>
      <c r="AG184" s="26">
        <v>0</v>
      </c>
      <c r="AH184" s="26">
        <v>0</v>
      </c>
      <c r="AI184" s="26">
        <v>0</v>
      </c>
      <c r="AJ184" s="26">
        <v>0</v>
      </c>
      <c r="AK184" s="26">
        <v>0</v>
      </c>
      <c r="AL184" s="26">
        <v>0</v>
      </c>
      <c r="AM184" s="26">
        <v>0</v>
      </c>
      <c r="AN184" s="26">
        <v>361737.49</v>
      </c>
      <c r="AO184" s="26">
        <v>1191337.1599999999</v>
      </c>
      <c r="AP184" s="26">
        <v>0</v>
      </c>
      <c r="AQ184" s="26">
        <v>0</v>
      </c>
      <c r="AR184" s="26">
        <v>0</v>
      </c>
      <c r="AS184" s="26">
        <v>0</v>
      </c>
      <c r="AT184" s="26">
        <v>0</v>
      </c>
      <c r="AU184" s="26">
        <v>0</v>
      </c>
      <c r="AV184" s="26">
        <v>0</v>
      </c>
      <c r="AW184" s="26">
        <v>0</v>
      </c>
      <c r="AX184" s="26">
        <v>0</v>
      </c>
      <c r="AY184" s="26">
        <v>0</v>
      </c>
      <c r="AZ184" s="26">
        <v>0</v>
      </c>
      <c r="BA184" s="26">
        <v>0</v>
      </c>
      <c r="BB184" s="26">
        <v>0</v>
      </c>
      <c r="BC184" s="26">
        <v>0</v>
      </c>
      <c r="BD184" s="26">
        <v>0</v>
      </c>
      <c r="BE184" s="26">
        <v>0</v>
      </c>
      <c r="BF184" s="26">
        <v>0</v>
      </c>
      <c r="BG184" s="26">
        <v>0</v>
      </c>
      <c r="BH184" s="26">
        <v>0</v>
      </c>
      <c r="BI184" s="26">
        <v>0</v>
      </c>
      <c r="BJ184" s="26">
        <v>0</v>
      </c>
      <c r="BK184" s="26">
        <v>0</v>
      </c>
      <c r="BL184" s="26">
        <v>0</v>
      </c>
      <c r="BM184" s="26">
        <v>0</v>
      </c>
      <c r="BN184" s="26">
        <v>0</v>
      </c>
      <c r="BO184" s="26">
        <v>55554.181900000003</v>
      </c>
      <c r="BP184" s="26">
        <v>1584100.2</v>
      </c>
      <c r="BQ184" s="26">
        <v>22594594.699999999</v>
      </c>
      <c r="BR184" s="26">
        <v>25.494049799999971</v>
      </c>
      <c r="BS184" s="26">
        <v>1.00421212</v>
      </c>
      <c r="BT184" s="26">
        <v>1</v>
      </c>
      <c r="BU184" s="26">
        <v>0</v>
      </c>
      <c r="BV184" s="26">
        <v>0</v>
      </c>
      <c r="BW184" s="26">
        <v>-1786.9861800000001</v>
      </c>
      <c r="BX184" s="26">
        <v>-62.669366299999993</v>
      </c>
      <c r="BY184" s="26">
        <v>-99.2745563</v>
      </c>
      <c r="BZ184" s="26">
        <v>0.93828399299999998</v>
      </c>
      <c r="CA184" s="26">
        <v>3.2905494100000002E-2</v>
      </c>
      <c r="CB184" s="26">
        <v>4.0978961300000003E-5</v>
      </c>
      <c r="CC184" s="26">
        <v>1.1684949400000001E-3</v>
      </c>
      <c r="CD184" s="26">
        <v>28.514508599999999</v>
      </c>
      <c r="CE184" s="26">
        <v>48570.148699999998</v>
      </c>
      <c r="CF184" s="26">
        <v>0</v>
      </c>
      <c r="CG184" s="26">
        <v>0</v>
      </c>
      <c r="CH184" s="26">
        <v>0</v>
      </c>
      <c r="CI184" s="26">
        <v>0</v>
      </c>
      <c r="CJ184" s="26">
        <v>0</v>
      </c>
      <c r="CK184" s="26">
        <v>0</v>
      </c>
      <c r="CL184" s="26">
        <v>0</v>
      </c>
      <c r="CM184" s="26">
        <v>0</v>
      </c>
      <c r="CN184" s="26">
        <v>0</v>
      </c>
      <c r="CO184" s="26">
        <v>0</v>
      </c>
      <c r="CP184" s="26">
        <v>0</v>
      </c>
      <c r="CQ184" s="26">
        <v>0</v>
      </c>
      <c r="CR184" s="26">
        <v>0</v>
      </c>
      <c r="CS184" s="26">
        <v>0</v>
      </c>
      <c r="CT184" s="26">
        <v>0</v>
      </c>
      <c r="CU184" s="26">
        <v>0</v>
      </c>
      <c r="CV184" s="26">
        <v>0</v>
      </c>
      <c r="CW184" s="26">
        <v>0</v>
      </c>
      <c r="CX184" s="26">
        <v>0</v>
      </c>
      <c r="CY184" s="26">
        <v>0</v>
      </c>
      <c r="CZ184" s="26">
        <v>0</v>
      </c>
      <c r="DA184" s="26">
        <v>0</v>
      </c>
      <c r="DB184" s="26">
        <v>0</v>
      </c>
      <c r="DC184" s="26">
        <v>0</v>
      </c>
      <c r="DD184" s="26">
        <v>0</v>
      </c>
      <c r="DE184" s="26">
        <v>0</v>
      </c>
      <c r="DF184" s="26">
        <v>0</v>
      </c>
      <c r="DG184" s="26">
        <v>0</v>
      </c>
      <c r="DH184" s="26">
        <v>0</v>
      </c>
      <c r="DI184" s="26">
        <v>0</v>
      </c>
      <c r="DJ184" s="26">
        <v>0</v>
      </c>
      <c r="DK184" s="26">
        <v>0</v>
      </c>
      <c r="DL184" s="26">
        <v>0</v>
      </c>
      <c r="DM184" s="26">
        <v>0</v>
      </c>
      <c r="DN184" s="26">
        <v>0</v>
      </c>
      <c r="DO184" s="26">
        <v>0</v>
      </c>
      <c r="DP184" s="26">
        <v>0</v>
      </c>
      <c r="DQ184" s="26">
        <v>0</v>
      </c>
      <c r="DR184" s="26">
        <v>0</v>
      </c>
      <c r="DS184" s="26">
        <v>0</v>
      </c>
      <c r="DT184" s="26">
        <v>0</v>
      </c>
      <c r="DU184" s="26">
        <v>0</v>
      </c>
      <c r="DV184" s="26">
        <v>0</v>
      </c>
      <c r="DW184" s="26">
        <v>0</v>
      </c>
      <c r="DX184" s="26">
        <v>0</v>
      </c>
      <c r="DY184" s="26">
        <v>0</v>
      </c>
      <c r="DZ184" s="26">
        <v>0</v>
      </c>
      <c r="EA184" s="26">
        <v>0</v>
      </c>
      <c r="EB184" s="26">
        <v>0</v>
      </c>
      <c r="EC184" s="26">
        <v>0</v>
      </c>
      <c r="ED184" s="26">
        <v>0</v>
      </c>
      <c r="EE184" s="26">
        <v>0</v>
      </c>
      <c r="EF184" s="26">
        <v>0</v>
      </c>
      <c r="EG184" s="26">
        <v>0</v>
      </c>
      <c r="EH184" s="26">
        <v>0</v>
      </c>
      <c r="EI184" s="26">
        <v>0</v>
      </c>
      <c r="EJ184" s="26">
        <v>0</v>
      </c>
      <c r="EK184" s="26">
        <v>0</v>
      </c>
      <c r="EL184" s="26">
        <v>0</v>
      </c>
      <c r="EM184" s="26">
        <v>0</v>
      </c>
      <c r="EN184" s="26">
        <v>0</v>
      </c>
      <c r="EO184" s="26">
        <v>0</v>
      </c>
      <c r="EP184" s="26">
        <v>0</v>
      </c>
      <c r="EQ184" s="26">
        <v>0</v>
      </c>
      <c r="ER184" s="26">
        <v>0</v>
      </c>
      <c r="ES184" s="26">
        <v>0</v>
      </c>
      <c r="ET184" s="26">
        <v>1.00421212</v>
      </c>
      <c r="EU184" s="26">
        <v>0</v>
      </c>
      <c r="EV184" s="26">
        <v>0</v>
      </c>
      <c r="EW184" s="26">
        <v>0</v>
      </c>
      <c r="EX184" s="26">
        <v>0</v>
      </c>
      <c r="EY184" s="26">
        <v>0</v>
      </c>
      <c r="EZ184" s="26">
        <v>0</v>
      </c>
      <c r="FA184" s="26">
        <v>0</v>
      </c>
      <c r="FB184" s="26">
        <v>0</v>
      </c>
      <c r="FC184" s="26">
        <v>0</v>
      </c>
      <c r="FD184" s="26">
        <v>0</v>
      </c>
      <c r="FE184" s="26">
        <v>0</v>
      </c>
      <c r="FF184" s="26">
        <v>0</v>
      </c>
      <c r="FG184" s="26">
        <v>0</v>
      </c>
      <c r="FH184" s="26">
        <v>-115679764.07530001</v>
      </c>
      <c r="FI184" s="26">
        <v>0</v>
      </c>
      <c r="FJ184" s="26">
        <v>0.47838323716039927</v>
      </c>
      <c r="FK184" s="26">
        <v>0</v>
      </c>
      <c r="FL184" s="26">
        <v>0</v>
      </c>
      <c r="FM184" s="26">
        <v>0</v>
      </c>
      <c r="FN184" s="26">
        <v>0</v>
      </c>
      <c r="FO184" s="26">
        <v>0</v>
      </c>
      <c r="FP184" s="26">
        <v>0</v>
      </c>
      <c r="FQ184" s="26">
        <v>0</v>
      </c>
      <c r="FR184" s="26">
        <v>0</v>
      </c>
      <c r="FS184" s="26">
        <v>0</v>
      </c>
      <c r="FT184" s="26">
        <v>0</v>
      </c>
      <c r="FU184" s="26">
        <v>0</v>
      </c>
      <c r="FV184" s="26">
        <v>0</v>
      </c>
      <c r="FW184" s="26">
        <v>0</v>
      </c>
      <c r="FX184" s="26">
        <v>0</v>
      </c>
      <c r="FY184" s="26">
        <v>0</v>
      </c>
      <c r="FZ184" s="26">
        <v>0</v>
      </c>
      <c r="GA184" s="26">
        <v>0</v>
      </c>
      <c r="GB184" s="26">
        <v>0</v>
      </c>
      <c r="GC184" s="26">
        <v>0</v>
      </c>
      <c r="GD184" s="26">
        <v>0</v>
      </c>
      <c r="GE184" s="26">
        <v>0</v>
      </c>
      <c r="GF184" s="26">
        <v>0</v>
      </c>
      <c r="GG184" s="26">
        <v>0</v>
      </c>
      <c r="GH184" s="26">
        <v>0</v>
      </c>
      <c r="GI184" s="26">
        <v>0</v>
      </c>
      <c r="GJ184" s="26">
        <v>0</v>
      </c>
      <c r="GK184" s="26">
        <v>0</v>
      </c>
      <c r="GL184" s="26">
        <v>0</v>
      </c>
      <c r="GM184" s="26">
        <v>0</v>
      </c>
      <c r="GN184" s="26">
        <v>0</v>
      </c>
      <c r="GO184" s="26">
        <v>0</v>
      </c>
      <c r="GP184" s="26">
        <v>0</v>
      </c>
      <c r="GQ184" s="26">
        <v>0</v>
      </c>
      <c r="GR184" s="26">
        <v>0</v>
      </c>
      <c r="GS184" s="26">
        <v>3.1402001640104902</v>
      </c>
      <c r="GT184" s="26">
        <v>11.813133927838404</v>
      </c>
      <c r="GU184" s="26">
        <v>0</v>
      </c>
      <c r="GV184" s="26">
        <v>0</v>
      </c>
      <c r="GW184" s="26">
        <v>0</v>
      </c>
      <c r="GX184" s="26">
        <v>0</v>
      </c>
      <c r="GY184" s="26">
        <v>0</v>
      </c>
      <c r="GZ184" s="26">
        <v>0</v>
      </c>
      <c r="HA184" s="26">
        <v>0</v>
      </c>
      <c r="HB184" s="26">
        <v>0</v>
      </c>
      <c r="HC184" s="26">
        <v>0</v>
      </c>
      <c r="HD184" s="26">
        <v>0</v>
      </c>
      <c r="HE184" s="26">
        <v>0</v>
      </c>
      <c r="HF184" s="26">
        <v>0</v>
      </c>
      <c r="HG184" s="26">
        <v>0</v>
      </c>
      <c r="HH184" s="26">
        <v>0</v>
      </c>
      <c r="HI184" s="26">
        <v>0</v>
      </c>
      <c r="HJ184" s="26">
        <v>0</v>
      </c>
      <c r="HK184" s="26">
        <v>0</v>
      </c>
      <c r="HL184" s="26">
        <v>0</v>
      </c>
      <c r="HM184" s="26">
        <v>0</v>
      </c>
      <c r="HN184" s="26">
        <v>0</v>
      </c>
      <c r="HO184" s="26">
        <v>0</v>
      </c>
      <c r="HP184" s="26">
        <v>0</v>
      </c>
      <c r="HQ184" s="26">
        <v>0</v>
      </c>
      <c r="HR184" s="26">
        <v>0</v>
      </c>
      <c r="HS184" s="26">
        <v>0</v>
      </c>
      <c r="HT184" s="26">
        <v>0</v>
      </c>
    </row>
    <row r="185" spans="2:228" x14ac:dyDescent="0.2">
      <c r="B185" s="27" t="s">
        <v>1403</v>
      </c>
      <c r="C185" s="26">
        <v>1969.1759100000002</v>
      </c>
      <c r="D185" s="26">
        <v>-4.1772827799999996</v>
      </c>
      <c r="E185" s="26">
        <v>37.885368399999997</v>
      </c>
      <c r="F185" s="26">
        <v>31.971114199999999</v>
      </c>
      <c r="G185" s="26">
        <v>9.0657640299999991E-13</v>
      </c>
      <c r="H185" s="26">
        <v>7.2041535199999995E-13</v>
      </c>
      <c r="I185" s="26">
        <v>3.02272176E-13</v>
      </c>
      <c r="J185" s="26">
        <v>1.8806263099999999E-10</v>
      </c>
      <c r="K185" s="26">
        <v>2.2446185199999998E-10</v>
      </c>
      <c r="L185" s="26">
        <v>5.3730335100000001E-9</v>
      </c>
      <c r="M185" s="26">
        <v>0</v>
      </c>
      <c r="N185" s="26">
        <v>6.9204254399999999E-13</v>
      </c>
      <c r="O185" s="26">
        <v>1.7464667200000001E-14</v>
      </c>
      <c r="P185" s="26">
        <v>7.3278323899999994E-15</v>
      </c>
      <c r="Q185" s="26">
        <v>4.3703902500000002E-11</v>
      </c>
      <c r="R185" s="26">
        <v>5.3259236E-12</v>
      </c>
      <c r="S185" s="26">
        <v>7.4559331100000004E-12</v>
      </c>
      <c r="T185" s="26">
        <v>1.8139455899999999E-6</v>
      </c>
      <c r="U185" s="26">
        <v>1.1580466700000001E-4</v>
      </c>
      <c r="V185" s="26">
        <v>0.24201836400000001</v>
      </c>
      <c r="W185" s="26">
        <v>0</v>
      </c>
      <c r="X185" s="26">
        <v>1.26131334E-5</v>
      </c>
      <c r="Y185" s="26">
        <v>9.3290445599999994E-11</v>
      </c>
      <c r="Z185" s="26">
        <v>1.1359147399999999E-7</v>
      </c>
      <c r="AA185" s="26">
        <v>6.1422545200000001E-8</v>
      </c>
      <c r="AB185" s="26">
        <v>4.0577540000000001E-4</v>
      </c>
      <c r="AC185" s="26">
        <v>0</v>
      </c>
      <c r="AD185" s="26">
        <v>0</v>
      </c>
      <c r="AE185" s="26">
        <v>0</v>
      </c>
      <c r="AF185" s="26">
        <v>0</v>
      </c>
      <c r="AG185" s="26">
        <v>0</v>
      </c>
      <c r="AH185" s="26">
        <v>0</v>
      </c>
      <c r="AI185" s="26">
        <v>0</v>
      </c>
      <c r="AJ185" s="26">
        <v>0</v>
      </c>
      <c r="AK185" s="26">
        <v>0</v>
      </c>
      <c r="AL185" s="26">
        <v>0</v>
      </c>
      <c r="AM185" s="26">
        <v>6.9187913200000006E-11</v>
      </c>
      <c r="AN185" s="26">
        <v>16.850371599999999</v>
      </c>
      <c r="AO185" s="26">
        <v>1.7460958499999998E-2</v>
      </c>
      <c r="AP185" s="26">
        <v>0</v>
      </c>
      <c r="AQ185" s="26">
        <v>0</v>
      </c>
      <c r="AR185" s="26">
        <v>0</v>
      </c>
      <c r="AS185" s="26">
        <v>1882.2090199999998</v>
      </c>
      <c r="AT185" s="26">
        <v>0</v>
      </c>
      <c r="AU185" s="26">
        <v>0</v>
      </c>
      <c r="AV185" s="26">
        <v>2.0408197099999999E-5</v>
      </c>
      <c r="AW185" s="26">
        <v>0</v>
      </c>
      <c r="AX185" s="26">
        <v>0</v>
      </c>
      <c r="AY185" s="26">
        <v>0</v>
      </c>
      <c r="AZ185" s="26">
        <v>0</v>
      </c>
      <c r="BA185" s="26">
        <v>0</v>
      </c>
      <c r="BB185" s="26">
        <v>0</v>
      </c>
      <c r="BC185" s="26">
        <v>0</v>
      </c>
      <c r="BD185" s="26">
        <v>0</v>
      </c>
      <c r="BE185" s="26">
        <v>0</v>
      </c>
      <c r="BF185" s="26">
        <v>0</v>
      </c>
      <c r="BG185" s="26">
        <v>0</v>
      </c>
      <c r="BH185" s="26">
        <v>0</v>
      </c>
      <c r="BI185" s="26">
        <v>0</v>
      </c>
      <c r="BJ185" s="26">
        <v>0</v>
      </c>
      <c r="BK185" s="26">
        <v>0</v>
      </c>
      <c r="BL185" s="26">
        <v>0</v>
      </c>
      <c r="BM185" s="26">
        <v>0</v>
      </c>
      <c r="BN185" s="26">
        <v>0</v>
      </c>
      <c r="BO185" s="26">
        <v>46.094653399999999</v>
      </c>
      <c r="BP185" s="26">
        <v>1969.1759100000002</v>
      </c>
      <c r="BQ185" s="26">
        <v>19236.378700000001</v>
      </c>
      <c r="BR185" s="26">
        <v>32</v>
      </c>
      <c r="BS185" s="26">
        <v>1</v>
      </c>
      <c r="BT185" s="26">
        <v>1</v>
      </c>
      <c r="BU185" s="26">
        <v>0</v>
      </c>
      <c r="BV185" s="26">
        <v>0</v>
      </c>
      <c r="BW185" s="26">
        <v>-90624.018899999995</v>
      </c>
      <c r="BX185" s="26">
        <v>-2121.3354899999999</v>
      </c>
      <c r="BY185" s="26">
        <v>-4.1772827799999996</v>
      </c>
      <c r="BZ185" s="26">
        <v>0.19883483599999999</v>
      </c>
      <c r="CA185" s="26">
        <v>4.6543443999999996E-3</v>
      </c>
      <c r="CB185" s="26">
        <v>3.9937049800000001E-5</v>
      </c>
      <c r="CC185" s="26">
        <v>1.7061214400000001E-3</v>
      </c>
      <c r="CD185" s="26">
        <v>42.720267200000002</v>
      </c>
      <c r="CE185" s="26">
        <v>0</v>
      </c>
      <c r="CF185" s="26">
        <v>0</v>
      </c>
      <c r="CG185" s="26">
        <v>0</v>
      </c>
      <c r="CH185" s="26">
        <v>0</v>
      </c>
      <c r="CI185" s="26">
        <v>0</v>
      </c>
      <c r="CJ185" s="26">
        <v>0</v>
      </c>
      <c r="CK185" s="26">
        <v>0</v>
      </c>
      <c r="CL185" s="26">
        <v>0</v>
      </c>
      <c r="CM185" s="26">
        <v>0</v>
      </c>
      <c r="CN185" s="26">
        <v>0</v>
      </c>
      <c r="CO185" s="26">
        <v>0</v>
      </c>
      <c r="CP185" s="26">
        <v>0</v>
      </c>
      <c r="CQ185" s="26">
        <v>0</v>
      </c>
      <c r="CR185" s="26">
        <v>0</v>
      </c>
      <c r="CS185" s="26">
        <v>0</v>
      </c>
      <c r="CT185" s="26">
        <v>0</v>
      </c>
      <c r="CU185" s="26">
        <v>0</v>
      </c>
      <c r="CV185" s="26">
        <v>0</v>
      </c>
      <c r="CW185" s="26">
        <v>0</v>
      </c>
      <c r="CX185" s="26">
        <v>0</v>
      </c>
      <c r="CY185" s="26">
        <v>0</v>
      </c>
      <c r="CZ185" s="26">
        <v>0</v>
      </c>
      <c r="DA185" s="26">
        <v>0</v>
      </c>
      <c r="DB185" s="26">
        <v>0</v>
      </c>
      <c r="DC185" s="26">
        <v>0</v>
      </c>
      <c r="DD185" s="26">
        <v>0</v>
      </c>
      <c r="DE185" s="26">
        <v>0</v>
      </c>
      <c r="DF185" s="26">
        <v>0</v>
      </c>
      <c r="DG185" s="26">
        <v>0</v>
      </c>
      <c r="DH185" s="26">
        <v>0</v>
      </c>
      <c r="DI185" s="26">
        <v>0</v>
      </c>
      <c r="DJ185" s="26">
        <v>0</v>
      </c>
      <c r="DK185" s="26">
        <v>0</v>
      </c>
      <c r="DL185" s="26">
        <v>0</v>
      </c>
      <c r="DM185" s="26">
        <v>0</v>
      </c>
      <c r="DN185" s="26">
        <v>0</v>
      </c>
      <c r="DO185" s="26">
        <v>0</v>
      </c>
      <c r="DP185" s="26">
        <v>0</v>
      </c>
      <c r="DQ185" s="26">
        <v>0</v>
      </c>
      <c r="DR185" s="26">
        <v>0</v>
      </c>
      <c r="DS185" s="26">
        <v>0</v>
      </c>
      <c r="DT185" s="26">
        <v>0</v>
      </c>
      <c r="DU185" s="26">
        <v>0</v>
      </c>
      <c r="DV185" s="26">
        <v>0</v>
      </c>
      <c r="DW185" s="26">
        <v>0</v>
      </c>
      <c r="DX185" s="26">
        <v>0</v>
      </c>
      <c r="DY185" s="26">
        <v>0</v>
      </c>
      <c r="DZ185" s="26">
        <v>0</v>
      </c>
      <c r="EA185" s="26">
        <v>0</v>
      </c>
      <c r="EB185" s="26">
        <v>0</v>
      </c>
      <c r="EC185" s="26">
        <v>0</v>
      </c>
      <c r="ED185" s="26">
        <v>0</v>
      </c>
      <c r="EE185" s="26">
        <v>0</v>
      </c>
      <c r="EF185" s="26">
        <v>0</v>
      </c>
      <c r="EG185" s="26">
        <v>0</v>
      </c>
      <c r="EH185" s="26">
        <v>0</v>
      </c>
      <c r="EI185" s="26">
        <v>0</v>
      </c>
      <c r="EJ185" s="26">
        <v>0</v>
      </c>
      <c r="EK185" s="26">
        <v>0</v>
      </c>
      <c r="EL185" s="26">
        <v>0</v>
      </c>
      <c r="EM185" s="26">
        <v>0</v>
      </c>
      <c r="EN185" s="26">
        <v>0</v>
      </c>
      <c r="EO185" s="26">
        <v>0</v>
      </c>
      <c r="EP185" s="26">
        <v>0</v>
      </c>
      <c r="EQ185" s="26">
        <v>0</v>
      </c>
      <c r="ER185" s="26">
        <v>0</v>
      </c>
      <c r="ES185" s="26">
        <v>0</v>
      </c>
      <c r="ET185" s="26">
        <v>1</v>
      </c>
      <c r="EU185" s="26">
        <v>0</v>
      </c>
      <c r="EV185" s="26">
        <v>0</v>
      </c>
      <c r="EW185" s="26">
        <v>0</v>
      </c>
      <c r="EX185" s="26">
        <v>0</v>
      </c>
      <c r="EY185" s="26">
        <v>0</v>
      </c>
      <c r="EZ185" s="26">
        <v>0</v>
      </c>
      <c r="FA185" s="26">
        <v>0</v>
      </c>
      <c r="FB185" s="26">
        <v>0</v>
      </c>
      <c r="FC185" s="26">
        <v>0</v>
      </c>
      <c r="FD185" s="26">
        <v>0</v>
      </c>
      <c r="FE185" s="26">
        <v>0</v>
      </c>
      <c r="FF185" s="26">
        <v>0</v>
      </c>
      <c r="FG185" s="26">
        <v>3.4037353700000002E-2</v>
      </c>
      <c r="FH185" s="26">
        <v>-4861548.5258999998</v>
      </c>
      <c r="FI185" s="26">
        <v>1.2269032681485595E-2</v>
      </c>
      <c r="FJ185" s="26">
        <v>5.8415486856212785E-4</v>
      </c>
      <c r="FK185" s="26">
        <v>1.9277295848662811E-4</v>
      </c>
      <c r="FL185" s="26">
        <v>1.3978131861825054E-18</v>
      </c>
      <c r="FM185" s="26">
        <v>1.110779053330677E-18</v>
      </c>
      <c r="FN185" s="26">
        <v>4.6606114261737808E-19</v>
      </c>
      <c r="FO185" s="26">
        <v>3.47959322228119E-16</v>
      </c>
      <c r="FP185" s="26">
        <v>4.153062894335614E-16</v>
      </c>
      <c r="FQ185" s="26">
        <v>4.3602365626596704E-15</v>
      </c>
      <c r="FR185" s="26">
        <v>0</v>
      </c>
      <c r="FS185" s="26">
        <v>1.1855877400402575E-18</v>
      </c>
      <c r="FT185" s="26">
        <v>2.9919974406026458E-20</v>
      </c>
      <c r="FU185" s="26">
        <v>1.2553835461541795E-20</v>
      </c>
      <c r="FV185" s="26">
        <v>9.1888658235109262E-17</v>
      </c>
      <c r="FW185" s="26">
        <v>1.1197901006249874E-17</v>
      </c>
      <c r="FX185" s="26">
        <v>1.1495999203079104E-17</v>
      </c>
      <c r="FY185" s="26">
        <v>3.3116970542713539E-12</v>
      </c>
      <c r="FZ185" s="26">
        <v>2.5507860815173996E-10</v>
      </c>
      <c r="GA185" s="26">
        <v>6.9966105004173289E-7</v>
      </c>
      <c r="GB185" s="26">
        <v>0</v>
      </c>
      <c r="GC185" s="26">
        <v>3.889535197782948E-11</v>
      </c>
      <c r="GD185" s="26">
        <v>1.7032189386257514E-16</v>
      </c>
      <c r="GE185" s="26">
        <v>3.4261668329648907E-13</v>
      </c>
      <c r="GF185" s="26">
        <v>1.4448241226697042E-13</v>
      </c>
      <c r="GG185" s="26">
        <v>6.6184194696140229E-9</v>
      </c>
      <c r="GH185" s="26">
        <v>0</v>
      </c>
      <c r="GI185" s="26">
        <v>0</v>
      </c>
      <c r="GJ185" s="26">
        <v>0</v>
      </c>
      <c r="GK185" s="26">
        <v>0</v>
      </c>
      <c r="GL185" s="26">
        <v>0</v>
      </c>
      <c r="GM185" s="26">
        <v>0</v>
      </c>
      <c r="GN185" s="26">
        <v>0</v>
      </c>
      <c r="GO185" s="26">
        <v>0</v>
      </c>
      <c r="GP185" s="26">
        <v>0</v>
      </c>
      <c r="GQ185" s="26">
        <v>0</v>
      </c>
      <c r="GR185" s="26">
        <v>6.8039386099870653E-17</v>
      </c>
      <c r="GS185" s="26">
        <v>1.4627607367020861E-4</v>
      </c>
      <c r="GT185" s="26">
        <v>1.7314044138512355E-7</v>
      </c>
      <c r="GU185" s="26">
        <v>0</v>
      </c>
      <c r="GV185" s="26">
        <v>0</v>
      </c>
      <c r="GW185" s="26">
        <v>0</v>
      </c>
      <c r="GX185" s="26">
        <v>1.1879986789484339E-2</v>
      </c>
      <c r="GY185" s="26">
        <v>0</v>
      </c>
      <c r="GZ185" s="26">
        <v>0</v>
      </c>
      <c r="HA185" s="26">
        <v>8.8487651263456758E-11</v>
      </c>
      <c r="HB185" s="26">
        <v>0</v>
      </c>
      <c r="HC185" s="26">
        <v>0</v>
      </c>
      <c r="HD185" s="26">
        <v>0</v>
      </c>
      <c r="HE185" s="26">
        <v>0</v>
      </c>
      <c r="HF185" s="26">
        <v>0</v>
      </c>
      <c r="HG185" s="26">
        <v>0</v>
      </c>
      <c r="HH185" s="26">
        <v>0</v>
      </c>
      <c r="HI185" s="26">
        <v>0</v>
      </c>
      <c r="HJ185" s="26">
        <v>0</v>
      </c>
      <c r="HK185" s="26">
        <v>0</v>
      </c>
      <c r="HL185" s="26">
        <v>0</v>
      </c>
      <c r="HM185" s="26">
        <v>0</v>
      </c>
      <c r="HN185" s="26">
        <v>0</v>
      </c>
      <c r="HO185" s="26">
        <v>0</v>
      </c>
      <c r="HP185" s="26">
        <v>0</v>
      </c>
      <c r="HQ185" s="26">
        <v>0</v>
      </c>
      <c r="HR185" s="26">
        <v>0</v>
      </c>
      <c r="HS185" s="26">
        <v>0</v>
      </c>
      <c r="HT185" s="26">
        <v>0</v>
      </c>
    </row>
    <row r="186" spans="2:228" x14ac:dyDescent="0.2">
      <c r="B186" s="27" t="s">
        <v>1409</v>
      </c>
      <c r="C186" s="26">
        <v>19179.428500000002</v>
      </c>
      <c r="D186" s="26">
        <v>-40.688181999999998</v>
      </c>
      <c r="E186" s="26">
        <v>368.59690799999998</v>
      </c>
      <c r="F186" s="26">
        <v>330.46824099999998</v>
      </c>
      <c r="G186" s="26">
        <v>3.0855791900000001E-12</v>
      </c>
      <c r="H186" s="26">
        <v>6.7733992400000009E-12</v>
      </c>
      <c r="I186" s="26">
        <v>2.8419857E-12</v>
      </c>
      <c r="J186" s="26">
        <v>1.1518229899999999E-9</v>
      </c>
      <c r="K186" s="26">
        <v>2.3869085500000001E-10</v>
      </c>
      <c r="L186" s="26">
        <v>5.2080066499999997E-8</v>
      </c>
      <c r="M186" s="26">
        <v>0</v>
      </c>
      <c r="N186" s="26">
        <v>6.7078721299999996E-12</v>
      </c>
      <c r="O186" s="26">
        <v>1.6928259000000001E-13</v>
      </c>
      <c r="P186" s="26">
        <v>7.10276602E-14</v>
      </c>
      <c r="Q186" s="26">
        <v>4.2361584799999996E-10</v>
      </c>
      <c r="R186" s="26">
        <v>5.1623436700000008E-11</v>
      </c>
      <c r="S186" s="26">
        <v>7.22693227E-11</v>
      </c>
      <c r="T186" s="26">
        <v>1.7582322300000001E-5</v>
      </c>
      <c r="U186" s="26">
        <v>1.1128416299999999E-3</v>
      </c>
      <c r="V186" s="26">
        <v>2.3223612</v>
      </c>
      <c r="W186" s="26">
        <v>0</v>
      </c>
      <c r="X186" s="26">
        <v>3.6780066200000001E-4</v>
      </c>
      <c r="Y186" s="26">
        <v>8.8878319099999999E-10</v>
      </c>
      <c r="Z186" s="26">
        <v>1.12148698E-6</v>
      </c>
      <c r="AA186" s="26">
        <v>6.3681635900000003E-7</v>
      </c>
      <c r="AB186" s="26">
        <v>3.9376215100000002E-3</v>
      </c>
      <c r="AC186" s="26">
        <v>0</v>
      </c>
      <c r="AD186" s="26">
        <v>0</v>
      </c>
      <c r="AE186" s="26">
        <v>0</v>
      </c>
      <c r="AF186" s="26">
        <v>0</v>
      </c>
      <c r="AG186" s="26">
        <v>0</v>
      </c>
      <c r="AH186" s="26">
        <v>0</v>
      </c>
      <c r="AI186" s="26">
        <v>0</v>
      </c>
      <c r="AJ186" s="26">
        <v>0</v>
      </c>
      <c r="AK186" s="26">
        <v>0</v>
      </c>
      <c r="AL186" s="26">
        <v>0</v>
      </c>
      <c r="AM186" s="26">
        <v>6.6967042000000004E-10</v>
      </c>
      <c r="AN186" s="26">
        <v>154.73737700000001</v>
      </c>
      <c r="AO186" s="26">
        <v>0.157155092</v>
      </c>
      <c r="AP186" s="26">
        <v>0</v>
      </c>
      <c r="AQ186" s="26">
        <v>0</v>
      </c>
      <c r="AR186" s="26">
        <v>0</v>
      </c>
      <c r="AS186" s="26">
        <v>18323.140800000001</v>
      </c>
      <c r="AT186" s="26">
        <v>0</v>
      </c>
      <c r="AU186" s="26">
        <v>0</v>
      </c>
      <c r="AV186" s="26">
        <v>1.9651815800000001E-4</v>
      </c>
      <c r="AW186" s="26">
        <v>0</v>
      </c>
      <c r="AX186" s="26">
        <v>0</v>
      </c>
      <c r="AY186" s="26">
        <v>0</v>
      </c>
      <c r="AZ186" s="26">
        <v>0</v>
      </c>
      <c r="BA186" s="26">
        <v>0</v>
      </c>
      <c r="BB186" s="26">
        <v>0</v>
      </c>
      <c r="BC186" s="26">
        <v>0</v>
      </c>
      <c r="BD186" s="26">
        <v>0</v>
      </c>
      <c r="BE186" s="26">
        <v>0</v>
      </c>
      <c r="BF186" s="26">
        <v>0</v>
      </c>
      <c r="BG186" s="26">
        <v>0</v>
      </c>
      <c r="BH186" s="26">
        <v>0</v>
      </c>
      <c r="BI186" s="26">
        <v>0</v>
      </c>
      <c r="BJ186" s="26">
        <v>0</v>
      </c>
      <c r="BK186" s="26">
        <v>0</v>
      </c>
      <c r="BL186" s="26">
        <v>0</v>
      </c>
      <c r="BM186" s="26">
        <v>0</v>
      </c>
      <c r="BN186" s="26">
        <v>0</v>
      </c>
      <c r="BO186" s="26">
        <v>448.84160200000002</v>
      </c>
      <c r="BP186" s="26">
        <v>19179.428500000002</v>
      </c>
      <c r="BQ186" s="26">
        <v>187312.11499999999</v>
      </c>
      <c r="BR186" s="26">
        <v>32</v>
      </c>
      <c r="BS186" s="26">
        <v>1</v>
      </c>
      <c r="BT186" s="26">
        <v>1</v>
      </c>
      <c r="BU186" s="26">
        <v>0</v>
      </c>
      <c r="BV186" s="26">
        <v>0</v>
      </c>
      <c r="BW186" s="26">
        <v>-90651.5383</v>
      </c>
      <c r="BX186" s="26">
        <v>-2121.4491200000002</v>
      </c>
      <c r="BY186" s="26">
        <v>-40.688181999999998</v>
      </c>
      <c r="BZ186" s="26">
        <v>0.15103301499999999</v>
      </c>
      <c r="CA186" s="26">
        <v>3.5345109799999998E-3</v>
      </c>
      <c r="CB186" s="26">
        <v>3.9937049800000001E-5</v>
      </c>
      <c r="CC186" s="26">
        <v>1.70654812E-3</v>
      </c>
      <c r="CD186" s="26">
        <v>42.730950900000003</v>
      </c>
      <c r="CE186" s="26">
        <v>0</v>
      </c>
      <c r="CF186" s="26">
        <v>0</v>
      </c>
      <c r="CG186" s="26">
        <v>0</v>
      </c>
      <c r="CH186" s="26">
        <v>0</v>
      </c>
      <c r="CI186" s="26">
        <v>0</v>
      </c>
      <c r="CJ186" s="26">
        <v>0</v>
      </c>
      <c r="CK186" s="26">
        <v>0</v>
      </c>
      <c r="CL186" s="26">
        <v>0</v>
      </c>
      <c r="CM186" s="26">
        <v>0</v>
      </c>
      <c r="CN186" s="26">
        <v>0</v>
      </c>
      <c r="CO186" s="26">
        <v>0</v>
      </c>
      <c r="CP186" s="26">
        <v>0</v>
      </c>
      <c r="CQ186" s="26">
        <v>0</v>
      </c>
      <c r="CR186" s="26">
        <v>0</v>
      </c>
      <c r="CS186" s="26">
        <v>0</v>
      </c>
      <c r="CT186" s="26">
        <v>0</v>
      </c>
      <c r="CU186" s="26">
        <v>0</v>
      </c>
      <c r="CV186" s="26">
        <v>0</v>
      </c>
      <c r="CW186" s="26">
        <v>0</v>
      </c>
      <c r="CX186" s="26">
        <v>0</v>
      </c>
      <c r="CY186" s="26">
        <v>0</v>
      </c>
      <c r="CZ186" s="26">
        <v>0</v>
      </c>
      <c r="DA186" s="26">
        <v>0</v>
      </c>
      <c r="DB186" s="26">
        <v>0</v>
      </c>
      <c r="DC186" s="26">
        <v>0</v>
      </c>
      <c r="DD186" s="26">
        <v>0</v>
      </c>
      <c r="DE186" s="26">
        <v>0</v>
      </c>
      <c r="DF186" s="26">
        <v>0</v>
      </c>
      <c r="DG186" s="26">
        <v>0</v>
      </c>
      <c r="DH186" s="26">
        <v>0</v>
      </c>
      <c r="DI186" s="26">
        <v>0</v>
      </c>
      <c r="DJ186" s="26">
        <v>0</v>
      </c>
      <c r="DK186" s="26">
        <v>0</v>
      </c>
      <c r="DL186" s="26">
        <v>0</v>
      </c>
      <c r="DM186" s="26">
        <v>0</v>
      </c>
      <c r="DN186" s="26">
        <v>0</v>
      </c>
      <c r="DO186" s="26">
        <v>0</v>
      </c>
      <c r="DP186" s="26">
        <v>0</v>
      </c>
      <c r="DQ186" s="26">
        <v>0</v>
      </c>
      <c r="DR186" s="26">
        <v>0</v>
      </c>
      <c r="DS186" s="26">
        <v>0</v>
      </c>
      <c r="DT186" s="26">
        <v>0</v>
      </c>
      <c r="DU186" s="26">
        <v>0</v>
      </c>
      <c r="DV186" s="26">
        <v>0</v>
      </c>
      <c r="DW186" s="26">
        <v>0</v>
      </c>
      <c r="DX186" s="26">
        <v>0</v>
      </c>
      <c r="DY186" s="26">
        <v>0</v>
      </c>
      <c r="DZ186" s="26">
        <v>0</v>
      </c>
      <c r="EA186" s="26">
        <v>0</v>
      </c>
      <c r="EB186" s="26">
        <v>0</v>
      </c>
      <c r="EC186" s="26">
        <v>0</v>
      </c>
      <c r="ED186" s="26">
        <v>0</v>
      </c>
      <c r="EE186" s="26">
        <v>0</v>
      </c>
      <c r="EF186" s="26">
        <v>0</v>
      </c>
      <c r="EG186" s="26">
        <v>0</v>
      </c>
      <c r="EH186" s="26">
        <v>0</v>
      </c>
      <c r="EI186" s="26">
        <v>0</v>
      </c>
      <c r="EJ186" s="26">
        <v>0</v>
      </c>
      <c r="EK186" s="26">
        <v>0</v>
      </c>
      <c r="EL186" s="26">
        <v>0</v>
      </c>
      <c r="EM186" s="26">
        <v>0</v>
      </c>
      <c r="EN186" s="26">
        <v>0</v>
      </c>
      <c r="EO186" s="26">
        <v>0</v>
      </c>
      <c r="EP186" s="26">
        <v>0</v>
      </c>
      <c r="EQ186" s="26">
        <v>0</v>
      </c>
      <c r="ER186" s="26">
        <v>0</v>
      </c>
      <c r="ES186" s="26">
        <v>0</v>
      </c>
      <c r="ET186" s="26">
        <v>1</v>
      </c>
      <c r="EU186" s="26">
        <v>0</v>
      </c>
      <c r="EV186" s="26">
        <v>0</v>
      </c>
      <c r="EW186" s="26">
        <v>0</v>
      </c>
      <c r="EX186" s="26">
        <v>0</v>
      </c>
      <c r="EY186" s="26">
        <v>0</v>
      </c>
      <c r="EZ186" s="26">
        <v>0</v>
      </c>
      <c r="FA186" s="26">
        <v>0</v>
      </c>
      <c r="FB186" s="26">
        <v>0</v>
      </c>
      <c r="FC186" s="26">
        <v>0</v>
      </c>
      <c r="FD186" s="26">
        <v>0</v>
      </c>
      <c r="FE186" s="26">
        <v>0</v>
      </c>
      <c r="FF186" s="26">
        <v>0</v>
      </c>
      <c r="FG186" s="26">
        <v>3.6106843299999997E-2</v>
      </c>
      <c r="FH186" s="26">
        <v>-47353185.062600002</v>
      </c>
      <c r="FI186" s="26">
        <v>0.11966940484624412</v>
      </c>
      <c r="FJ186" s="26">
        <v>5.6833993510227512E-3</v>
      </c>
      <c r="FK186" s="26">
        <v>1.9925905659407247E-3</v>
      </c>
      <c r="FL186" s="26">
        <v>4.7575287325046742E-18</v>
      </c>
      <c r="FM186" s="26">
        <v>1.0443628083549025E-17</v>
      </c>
      <c r="FN186" s="26">
        <v>4.3819418406110902E-18</v>
      </c>
      <c r="FO186" s="26">
        <v>2.1311386753824429E-15</v>
      </c>
      <c r="FP186" s="26">
        <v>4.416332340886214E-16</v>
      </c>
      <c r="FQ186" s="26">
        <v>4.2263166449216444E-14</v>
      </c>
      <c r="FR186" s="26">
        <v>0</v>
      </c>
      <c r="FS186" s="26">
        <v>1.1491737064156118E-17</v>
      </c>
      <c r="FT186" s="26">
        <v>2.9001015232008121E-19</v>
      </c>
      <c r="FU186" s="26">
        <v>1.2168258125123844E-19</v>
      </c>
      <c r="FV186" s="26">
        <v>8.9066398490308965E-16</v>
      </c>
      <c r="FW186" s="26">
        <v>1.0853969697942868E-16</v>
      </c>
      <c r="FX186" s="26">
        <v>1.1142912144698853E-16</v>
      </c>
      <c r="FY186" s="26">
        <v>3.2099818867909664E-11</v>
      </c>
      <c r="FZ186" s="26">
        <v>2.4512146446097173E-9</v>
      </c>
      <c r="GA186" s="26">
        <v>6.7138115259327139E-6</v>
      </c>
      <c r="GB186" s="26">
        <v>0</v>
      </c>
      <c r="GC186" s="26">
        <v>1.1341936840735496E-9</v>
      </c>
      <c r="GD186" s="26">
        <v>1.6226660240924393E-15</v>
      </c>
      <c r="GE186" s="26">
        <v>3.3826495548389743E-12</v>
      </c>
      <c r="GF186" s="26">
        <v>1.4979640342059345E-12</v>
      </c>
      <c r="GG186" s="26">
        <v>6.4224767736020369E-8</v>
      </c>
      <c r="GH186" s="26">
        <v>0</v>
      </c>
      <c r="GI186" s="26">
        <v>0</v>
      </c>
      <c r="GJ186" s="26">
        <v>0</v>
      </c>
      <c r="GK186" s="26">
        <v>0</v>
      </c>
      <c r="GL186" s="26">
        <v>0</v>
      </c>
      <c r="GM186" s="26">
        <v>0</v>
      </c>
      <c r="GN186" s="26">
        <v>0</v>
      </c>
      <c r="GO186" s="26">
        <v>0</v>
      </c>
      <c r="GP186" s="26">
        <v>0</v>
      </c>
      <c r="GQ186" s="26">
        <v>0</v>
      </c>
      <c r="GR186" s="26">
        <v>6.5855381637954173E-16</v>
      </c>
      <c r="GS186" s="26">
        <v>1.3432567774127209E-3</v>
      </c>
      <c r="GT186" s="26">
        <v>1.5583280791332913E-6</v>
      </c>
      <c r="GU186" s="26">
        <v>0</v>
      </c>
      <c r="GV186" s="26">
        <v>0</v>
      </c>
      <c r="GW186" s="26">
        <v>0</v>
      </c>
      <c r="GX186" s="26">
        <v>0.11565063620298287</v>
      </c>
      <c r="GY186" s="26">
        <v>0</v>
      </c>
      <c r="GZ186" s="26">
        <v>0</v>
      </c>
      <c r="HA186" s="26">
        <v>8.520806707055342E-10</v>
      </c>
      <c r="HB186" s="26">
        <v>0</v>
      </c>
      <c r="HC186" s="26">
        <v>0</v>
      </c>
      <c r="HD186" s="26">
        <v>0</v>
      </c>
      <c r="HE186" s="26">
        <v>0</v>
      </c>
      <c r="HF186" s="26">
        <v>0</v>
      </c>
      <c r="HG186" s="26">
        <v>0</v>
      </c>
      <c r="HH186" s="26">
        <v>0</v>
      </c>
      <c r="HI186" s="26">
        <v>0</v>
      </c>
      <c r="HJ186" s="26">
        <v>0</v>
      </c>
      <c r="HK186" s="26">
        <v>0</v>
      </c>
      <c r="HL186" s="26">
        <v>0</v>
      </c>
      <c r="HM186" s="26">
        <v>0</v>
      </c>
      <c r="HN186" s="26">
        <v>0</v>
      </c>
      <c r="HO186" s="26">
        <v>0</v>
      </c>
      <c r="HP186" s="26">
        <v>0</v>
      </c>
      <c r="HQ186" s="26">
        <v>0</v>
      </c>
      <c r="HR186" s="26">
        <v>0</v>
      </c>
      <c r="HS186" s="26">
        <v>0</v>
      </c>
      <c r="HT186" s="26">
        <v>0</v>
      </c>
    </row>
    <row r="187" spans="2:228" x14ac:dyDescent="0.2">
      <c r="B187" s="27" t="s">
        <v>2883</v>
      </c>
      <c r="C187" s="26">
        <v>1584100.2</v>
      </c>
      <c r="D187" s="26">
        <v>-76.087446099999994</v>
      </c>
      <c r="E187" s="26">
        <v>31025.5484</v>
      </c>
      <c r="F187" s="26">
        <v>0</v>
      </c>
      <c r="G187" s="26">
        <v>0</v>
      </c>
      <c r="H187" s="26">
        <v>0</v>
      </c>
      <c r="I187" s="26">
        <v>0</v>
      </c>
      <c r="J187" s="26">
        <v>0</v>
      </c>
      <c r="K187" s="26">
        <v>0</v>
      </c>
      <c r="L187" s="26">
        <v>0</v>
      </c>
      <c r="M187" s="26">
        <v>0</v>
      </c>
      <c r="N187" s="26">
        <v>0</v>
      </c>
      <c r="O187" s="26">
        <v>0</v>
      </c>
      <c r="P187" s="26">
        <v>0</v>
      </c>
      <c r="Q187" s="26">
        <v>0</v>
      </c>
      <c r="R187" s="26">
        <v>0</v>
      </c>
      <c r="S187" s="26">
        <v>0</v>
      </c>
      <c r="T187" s="26">
        <v>0</v>
      </c>
      <c r="U187" s="26">
        <v>0</v>
      </c>
      <c r="V187" s="26">
        <v>0</v>
      </c>
      <c r="W187" s="26">
        <v>0</v>
      </c>
      <c r="X187" s="26">
        <v>0</v>
      </c>
      <c r="Y187" s="26">
        <v>0</v>
      </c>
      <c r="Z187" s="26">
        <v>0</v>
      </c>
      <c r="AA187" s="26">
        <v>0</v>
      </c>
      <c r="AB187" s="26">
        <v>0</v>
      </c>
      <c r="AC187" s="26">
        <v>0</v>
      </c>
      <c r="AD187" s="26">
        <v>0</v>
      </c>
      <c r="AE187" s="26">
        <v>0</v>
      </c>
      <c r="AF187" s="26">
        <v>0</v>
      </c>
      <c r="AG187" s="26">
        <v>0</v>
      </c>
      <c r="AH187" s="26">
        <v>0</v>
      </c>
      <c r="AI187" s="26">
        <v>0</v>
      </c>
      <c r="AJ187" s="26">
        <v>0</v>
      </c>
      <c r="AK187" s="26">
        <v>0</v>
      </c>
      <c r="AL187" s="26">
        <v>0</v>
      </c>
      <c r="AM187" s="26">
        <v>0</v>
      </c>
      <c r="AN187" s="26">
        <v>361737.49</v>
      </c>
      <c r="AO187" s="26">
        <v>1191337.1599999999</v>
      </c>
      <c r="AP187" s="26">
        <v>0</v>
      </c>
      <c r="AQ187" s="26">
        <v>0</v>
      </c>
      <c r="AR187" s="26">
        <v>0</v>
      </c>
      <c r="AS187" s="26">
        <v>0</v>
      </c>
      <c r="AT187" s="26">
        <v>0</v>
      </c>
      <c r="AU187" s="26">
        <v>0</v>
      </c>
      <c r="AV187" s="26">
        <v>0</v>
      </c>
      <c r="AW187" s="26">
        <v>0</v>
      </c>
      <c r="AX187" s="26">
        <v>0</v>
      </c>
      <c r="AY187" s="26">
        <v>0</v>
      </c>
      <c r="AZ187" s="26">
        <v>0</v>
      </c>
      <c r="BA187" s="26">
        <v>0</v>
      </c>
      <c r="BB187" s="26">
        <v>0</v>
      </c>
      <c r="BC187" s="26">
        <v>0</v>
      </c>
      <c r="BD187" s="26">
        <v>0</v>
      </c>
      <c r="BE187" s="26">
        <v>0</v>
      </c>
      <c r="BF187" s="26">
        <v>0</v>
      </c>
      <c r="BG187" s="26">
        <v>0</v>
      </c>
      <c r="BH187" s="26">
        <v>0</v>
      </c>
      <c r="BI187" s="26">
        <v>0</v>
      </c>
      <c r="BJ187" s="26">
        <v>0</v>
      </c>
      <c r="BK187" s="26">
        <v>0</v>
      </c>
      <c r="BL187" s="26">
        <v>0</v>
      </c>
      <c r="BM187" s="26">
        <v>0</v>
      </c>
      <c r="BN187" s="26">
        <v>0</v>
      </c>
      <c r="BO187" s="26">
        <v>55554.181900000003</v>
      </c>
      <c r="BP187" s="26">
        <v>1584100.2</v>
      </c>
      <c r="BQ187" s="26">
        <v>27210787</v>
      </c>
      <c r="BR187" s="26">
        <v>85</v>
      </c>
      <c r="BS187" s="26">
        <v>1</v>
      </c>
      <c r="BT187" s="26">
        <v>1</v>
      </c>
      <c r="BU187" s="26">
        <v>0</v>
      </c>
      <c r="BV187" s="26">
        <v>0</v>
      </c>
      <c r="BW187" s="26">
        <v>-1369.60788</v>
      </c>
      <c r="BX187" s="26">
        <v>-48.031965200000002</v>
      </c>
      <c r="BY187" s="26">
        <v>-76.087446099999994</v>
      </c>
      <c r="BZ187" s="26">
        <v>2.2209993300000002</v>
      </c>
      <c r="CA187" s="26">
        <v>7.7890149399999997E-2</v>
      </c>
      <c r="CB187" s="26">
        <v>3.40270578E-5</v>
      </c>
      <c r="CC187" s="26">
        <v>9.7026483200000002E-4</v>
      </c>
      <c r="CD187" s="26">
        <v>28.514508599999999</v>
      </c>
      <c r="CE187" s="26">
        <v>48570.148699999998</v>
      </c>
      <c r="CF187" s="26">
        <v>0</v>
      </c>
      <c r="CG187" s="26">
        <v>0</v>
      </c>
      <c r="CH187" s="26">
        <v>0</v>
      </c>
      <c r="CI187" s="26">
        <v>0</v>
      </c>
      <c r="CJ187" s="26">
        <v>0</v>
      </c>
      <c r="CK187" s="26">
        <v>0</v>
      </c>
      <c r="CL187" s="26">
        <v>0</v>
      </c>
      <c r="CM187" s="26">
        <v>0</v>
      </c>
      <c r="CN187" s="26">
        <v>0</v>
      </c>
      <c r="CO187" s="26">
        <v>0</v>
      </c>
      <c r="CP187" s="26">
        <v>0</v>
      </c>
      <c r="CQ187" s="26">
        <v>0</v>
      </c>
      <c r="CR187" s="26">
        <v>0</v>
      </c>
      <c r="CS187" s="26">
        <v>0</v>
      </c>
      <c r="CT187" s="26">
        <v>0</v>
      </c>
      <c r="CU187" s="26">
        <v>0</v>
      </c>
      <c r="CV187" s="26">
        <v>0</v>
      </c>
      <c r="CW187" s="26">
        <v>0</v>
      </c>
      <c r="CX187" s="26">
        <v>0</v>
      </c>
      <c r="CY187" s="26">
        <v>0</v>
      </c>
      <c r="CZ187" s="26">
        <v>0</v>
      </c>
      <c r="DA187" s="26">
        <v>0</v>
      </c>
      <c r="DB187" s="26">
        <v>0</v>
      </c>
      <c r="DC187" s="26">
        <v>0</v>
      </c>
      <c r="DD187" s="26">
        <v>0</v>
      </c>
      <c r="DE187" s="26">
        <v>0</v>
      </c>
      <c r="DF187" s="26">
        <v>0</v>
      </c>
      <c r="DG187" s="26">
        <v>0</v>
      </c>
      <c r="DH187" s="26">
        <v>0</v>
      </c>
      <c r="DI187" s="26">
        <v>0</v>
      </c>
      <c r="DJ187" s="26">
        <v>0</v>
      </c>
      <c r="DK187" s="26">
        <v>0</v>
      </c>
      <c r="DL187" s="26">
        <v>0</v>
      </c>
      <c r="DM187" s="26">
        <v>0</v>
      </c>
      <c r="DN187" s="26">
        <v>0</v>
      </c>
      <c r="DO187" s="26">
        <v>0</v>
      </c>
      <c r="DP187" s="26">
        <v>0</v>
      </c>
      <c r="DQ187" s="26">
        <v>0</v>
      </c>
      <c r="DR187" s="26">
        <v>0</v>
      </c>
      <c r="DS187" s="26">
        <v>0</v>
      </c>
      <c r="DT187" s="26">
        <v>0</v>
      </c>
      <c r="DU187" s="26">
        <v>0</v>
      </c>
      <c r="DV187" s="26">
        <v>0</v>
      </c>
      <c r="DW187" s="26">
        <v>0</v>
      </c>
      <c r="DX187" s="26">
        <v>0</v>
      </c>
      <c r="DY187" s="26">
        <v>0</v>
      </c>
      <c r="DZ187" s="26">
        <v>0</v>
      </c>
      <c r="EA187" s="26">
        <v>0</v>
      </c>
      <c r="EB187" s="26">
        <v>0</v>
      </c>
      <c r="EC187" s="26">
        <v>0</v>
      </c>
      <c r="ED187" s="26">
        <v>0</v>
      </c>
      <c r="EE187" s="26">
        <v>0</v>
      </c>
      <c r="EF187" s="26">
        <v>0</v>
      </c>
      <c r="EG187" s="26">
        <v>0</v>
      </c>
      <c r="EH187" s="26">
        <v>0</v>
      </c>
      <c r="EI187" s="26">
        <v>0</v>
      </c>
      <c r="EJ187" s="26">
        <v>0</v>
      </c>
      <c r="EK187" s="26">
        <v>0</v>
      </c>
      <c r="EL187" s="26">
        <v>0</v>
      </c>
      <c r="EM187" s="26">
        <v>0</v>
      </c>
      <c r="EN187" s="26">
        <v>0</v>
      </c>
      <c r="EO187" s="26">
        <v>0</v>
      </c>
      <c r="EP187" s="26">
        <v>0</v>
      </c>
      <c r="EQ187" s="26">
        <v>0</v>
      </c>
      <c r="ER187" s="26">
        <v>0</v>
      </c>
      <c r="ES187" s="26">
        <v>0</v>
      </c>
      <c r="ET187" s="26">
        <v>1</v>
      </c>
      <c r="EU187" s="26">
        <v>0</v>
      </c>
      <c r="EV187" s="26">
        <v>0</v>
      </c>
      <c r="EW187" s="26">
        <v>0</v>
      </c>
      <c r="EX187" s="26">
        <v>0</v>
      </c>
      <c r="EY187" s="26">
        <v>0</v>
      </c>
      <c r="EZ187" s="26">
        <v>0</v>
      </c>
      <c r="FA187" s="26">
        <v>0</v>
      </c>
      <c r="FB187" s="26">
        <v>0</v>
      </c>
      <c r="FC187" s="26">
        <v>0</v>
      </c>
      <c r="FD187" s="26">
        <v>0</v>
      </c>
      <c r="FE187" s="26">
        <v>0</v>
      </c>
      <c r="FF187" s="26">
        <v>0</v>
      </c>
      <c r="FG187" s="26">
        <v>0</v>
      </c>
      <c r="FH187" s="26">
        <v>-115679764.07530001</v>
      </c>
      <c r="FI187" s="26">
        <v>0</v>
      </c>
      <c r="FJ187" s="26">
        <v>0.47838323716039927</v>
      </c>
      <c r="FK187" s="26">
        <v>0</v>
      </c>
      <c r="FL187" s="26">
        <v>0</v>
      </c>
      <c r="FM187" s="26">
        <v>0</v>
      </c>
      <c r="FN187" s="26">
        <v>0</v>
      </c>
      <c r="FO187" s="26">
        <v>0</v>
      </c>
      <c r="FP187" s="26">
        <v>0</v>
      </c>
      <c r="FQ187" s="26">
        <v>0</v>
      </c>
      <c r="FR187" s="26">
        <v>0</v>
      </c>
      <c r="FS187" s="26">
        <v>0</v>
      </c>
      <c r="FT187" s="26">
        <v>0</v>
      </c>
      <c r="FU187" s="26">
        <v>0</v>
      </c>
      <c r="FV187" s="26">
        <v>0</v>
      </c>
      <c r="FW187" s="26">
        <v>0</v>
      </c>
      <c r="FX187" s="26">
        <v>0</v>
      </c>
      <c r="FY187" s="26">
        <v>0</v>
      </c>
      <c r="FZ187" s="26">
        <v>0</v>
      </c>
      <c r="GA187" s="26">
        <v>0</v>
      </c>
      <c r="GB187" s="26">
        <v>0</v>
      </c>
      <c r="GC187" s="26">
        <v>0</v>
      </c>
      <c r="GD187" s="26">
        <v>0</v>
      </c>
      <c r="GE187" s="26">
        <v>0</v>
      </c>
      <c r="GF187" s="26">
        <v>0</v>
      </c>
      <c r="GG187" s="26">
        <v>0</v>
      </c>
      <c r="GH187" s="26">
        <v>0</v>
      </c>
      <c r="GI187" s="26">
        <v>0</v>
      </c>
      <c r="GJ187" s="26">
        <v>0</v>
      </c>
      <c r="GK187" s="26">
        <v>0</v>
      </c>
      <c r="GL187" s="26">
        <v>0</v>
      </c>
      <c r="GM187" s="26">
        <v>0</v>
      </c>
      <c r="GN187" s="26">
        <v>0</v>
      </c>
      <c r="GO187" s="26">
        <v>0</v>
      </c>
      <c r="GP187" s="26">
        <v>0</v>
      </c>
      <c r="GQ187" s="26">
        <v>0</v>
      </c>
      <c r="GR187" s="26">
        <v>0</v>
      </c>
      <c r="GS187" s="26">
        <v>3.1402001640104902</v>
      </c>
      <c r="GT187" s="26">
        <v>11.813133927838404</v>
      </c>
      <c r="GU187" s="26">
        <v>0</v>
      </c>
      <c r="GV187" s="26">
        <v>0</v>
      </c>
      <c r="GW187" s="26">
        <v>0</v>
      </c>
      <c r="GX187" s="26">
        <v>0</v>
      </c>
      <c r="GY187" s="26">
        <v>0</v>
      </c>
      <c r="GZ187" s="26">
        <v>0</v>
      </c>
      <c r="HA187" s="26">
        <v>0</v>
      </c>
      <c r="HB187" s="26">
        <v>0</v>
      </c>
      <c r="HC187" s="26">
        <v>0</v>
      </c>
      <c r="HD187" s="26">
        <v>0</v>
      </c>
      <c r="HE187" s="26">
        <v>0</v>
      </c>
      <c r="HF187" s="26">
        <v>0</v>
      </c>
      <c r="HG187" s="26">
        <v>0</v>
      </c>
      <c r="HH187" s="26">
        <v>0</v>
      </c>
      <c r="HI187" s="26">
        <v>0</v>
      </c>
      <c r="HJ187" s="26">
        <v>0</v>
      </c>
      <c r="HK187" s="26">
        <v>0</v>
      </c>
      <c r="HL187" s="26">
        <v>0</v>
      </c>
      <c r="HM187" s="26">
        <v>0</v>
      </c>
      <c r="HN187" s="26">
        <v>0</v>
      </c>
      <c r="HO187" s="26">
        <v>0</v>
      </c>
      <c r="HP187" s="26">
        <v>0</v>
      </c>
      <c r="HQ187" s="26">
        <v>0</v>
      </c>
      <c r="HR187" s="26">
        <v>0</v>
      </c>
      <c r="HS187" s="26">
        <v>0</v>
      </c>
      <c r="HT187" s="26">
        <v>0</v>
      </c>
    </row>
    <row r="188" spans="2:228" x14ac:dyDescent="0.2">
      <c r="B188" s="27" t="s">
        <v>1396</v>
      </c>
      <c r="C188" s="26">
        <v>451055.005</v>
      </c>
      <c r="D188" s="26">
        <v>-1535.7954999999999</v>
      </c>
      <c r="E188" s="26">
        <v>378839.27</v>
      </c>
      <c r="F188" s="26">
        <v>21940.651900000001</v>
      </c>
      <c r="G188" s="26">
        <v>521.24161500000002</v>
      </c>
      <c r="H188" s="26">
        <v>1144.21875</v>
      </c>
      <c r="I188" s="26">
        <v>480.09178300000008</v>
      </c>
      <c r="J188" s="26">
        <v>1061.9190599999999</v>
      </c>
      <c r="K188" s="26">
        <v>220.06017499999999</v>
      </c>
      <c r="L188" s="26">
        <v>331.08546999999999</v>
      </c>
      <c r="M188" s="26">
        <v>0</v>
      </c>
      <c r="N188" s="26">
        <v>1133.1493700000001</v>
      </c>
      <c r="O188" s="26">
        <v>28.596618400000004</v>
      </c>
      <c r="P188" s="26">
        <v>11.998581100000001</v>
      </c>
      <c r="Q188" s="26">
        <v>390.551108</v>
      </c>
      <c r="R188" s="26">
        <v>47.594041799999999</v>
      </c>
      <c r="S188" s="26">
        <v>12208.3331</v>
      </c>
      <c r="T188" s="26">
        <v>656.53966200000002</v>
      </c>
      <c r="U188" s="26">
        <v>369.27255600000001</v>
      </c>
      <c r="V188" s="26">
        <v>336.23084699999998</v>
      </c>
      <c r="W188" s="26">
        <v>0</v>
      </c>
      <c r="X188" s="26">
        <v>1695.10571</v>
      </c>
      <c r="Y188" s="26">
        <v>754.94826699999999</v>
      </c>
      <c r="Z188" s="26">
        <v>174.36925400000001</v>
      </c>
      <c r="AA188" s="26">
        <v>457.71920699999998</v>
      </c>
      <c r="AB188" s="26">
        <v>0.20290461600000001</v>
      </c>
      <c r="AC188" s="26">
        <v>0</v>
      </c>
      <c r="AD188" s="26">
        <v>2481.5580500000001</v>
      </c>
      <c r="AE188" s="26">
        <v>1860.9805500000002</v>
      </c>
      <c r="AF188" s="26">
        <v>128.83242999999999</v>
      </c>
      <c r="AG188" s="26">
        <v>0</v>
      </c>
      <c r="AH188" s="26">
        <v>0</v>
      </c>
      <c r="AI188" s="26">
        <v>0</v>
      </c>
      <c r="AJ188" s="26">
        <v>0</v>
      </c>
      <c r="AK188" s="26">
        <v>0</v>
      </c>
      <c r="AL188" s="26">
        <v>0</v>
      </c>
      <c r="AM188" s="26">
        <v>13.3575797</v>
      </c>
      <c r="AN188" s="26">
        <v>0.195389127</v>
      </c>
      <c r="AO188" s="26">
        <v>1.0418795699999999E-4</v>
      </c>
      <c r="AP188" s="26">
        <v>0</v>
      </c>
      <c r="AQ188" s="26">
        <v>0</v>
      </c>
      <c r="AR188" s="26">
        <v>0</v>
      </c>
      <c r="AS188" s="26">
        <v>548.94283299999995</v>
      </c>
      <c r="AT188" s="26">
        <v>0</v>
      </c>
      <c r="AU188" s="26">
        <v>0</v>
      </c>
      <c r="AV188" s="26">
        <v>2.07910249E-3</v>
      </c>
      <c r="AW188" s="26">
        <v>0</v>
      </c>
      <c r="AX188" s="26">
        <v>0</v>
      </c>
      <c r="AY188" s="26">
        <v>0</v>
      </c>
      <c r="AZ188" s="26">
        <v>0</v>
      </c>
      <c r="BA188" s="26">
        <v>0</v>
      </c>
      <c r="BB188" s="26">
        <v>0</v>
      </c>
      <c r="BC188" s="26">
        <v>0</v>
      </c>
      <c r="BD188" s="26">
        <v>0</v>
      </c>
      <c r="BE188" s="26">
        <v>0</v>
      </c>
      <c r="BF188" s="26">
        <v>0</v>
      </c>
      <c r="BG188" s="26">
        <v>0</v>
      </c>
      <c r="BH188" s="26">
        <v>0</v>
      </c>
      <c r="BI188" s="26">
        <v>0</v>
      </c>
      <c r="BJ188" s="26">
        <v>0</v>
      </c>
      <c r="BK188" s="26">
        <v>0</v>
      </c>
      <c r="BL188" s="26">
        <v>0</v>
      </c>
      <c r="BM188" s="26">
        <v>0</v>
      </c>
      <c r="BN188" s="26">
        <v>0</v>
      </c>
      <c r="BO188" s="26">
        <v>21701.4948</v>
      </c>
      <c r="BP188" s="26">
        <v>427837.01899999997</v>
      </c>
      <c r="BQ188" s="26">
        <v>7167.2101199999997</v>
      </c>
      <c r="BR188" s="26">
        <v>32.398413199999993</v>
      </c>
      <c r="BS188" s="26">
        <v>6.0149875499999998</v>
      </c>
      <c r="BT188" s="26">
        <v>0</v>
      </c>
      <c r="BU188" s="26">
        <v>1</v>
      </c>
      <c r="BV188" s="26">
        <v>0</v>
      </c>
      <c r="BW188" s="26">
        <v>-69532.337199999994</v>
      </c>
      <c r="BX188" s="26">
        <v>-3526.9403699999998</v>
      </c>
      <c r="BY188" s="26">
        <v>-1508.9556700000001</v>
      </c>
      <c r="BZ188" s="26">
        <v>-40.273580699999997</v>
      </c>
      <c r="CA188" s="26">
        <v>-2.0428267400000002</v>
      </c>
      <c r="CB188" s="26">
        <v>5.0464765299999999E-2</v>
      </c>
      <c r="CC188" s="26">
        <v>0.99489435699999995</v>
      </c>
      <c r="CD188" s="26">
        <v>19.714633599999999</v>
      </c>
      <c r="CE188" s="26">
        <v>0</v>
      </c>
      <c r="CF188" s="26">
        <v>0</v>
      </c>
      <c r="CG188" s="26">
        <v>0</v>
      </c>
      <c r="CH188" s="26">
        <v>0</v>
      </c>
      <c r="CI188" s="26">
        <v>0</v>
      </c>
      <c r="CJ188" s="26">
        <v>0</v>
      </c>
      <c r="CK188" s="26">
        <v>0</v>
      </c>
      <c r="CL188" s="26">
        <v>0</v>
      </c>
      <c r="CM188" s="26">
        <v>0</v>
      </c>
      <c r="CN188" s="26">
        <v>0</v>
      </c>
      <c r="CO188" s="26">
        <v>0</v>
      </c>
      <c r="CP188" s="26">
        <v>0</v>
      </c>
      <c r="CQ188" s="26">
        <v>0</v>
      </c>
      <c r="CR188" s="26">
        <v>0</v>
      </c>
      <c r="CS188" s="26">
        <v>0</v>
      </c>
      <c r="CT188" s="26">
        <v>0</v>
      </c>
      <c r="CU188" s="26">
        <v>0</v>
      </c>
      <c r="CV188" s="26">
        <v>0</v>
      </c>
      <c r="CW188" s="26">
        <v>0</v>
      </c>
      <c r="CX188" s="26">
        <v>0</v>
      </c>
      <c r="CY188" s="26">
        <v>0</v>
      </c>
      <c r="CZ188" s="26">
        <v>0</v>
      </c>
      <c r="DA188" s="26">
        <v>0</v>
      </c>
      <c r="DB188" s="26">
        <v>0</v>
      </c>
      <c r="DC188" s="26">
        <v>0</v>
      </c>
      <c r="DD188" s="26">
        <v>0</v>
      </c>
      <c r="DE188" s="26">
        <v>0</v>
      </c>
      <c r="DF188" s="26">
        <v>0</v>
      </c>
      <c r="DG188" s="26">
        <v>0</v>
      </c>
      <c r="DH188" s="26">
        <v>0</v>
      </c>
      <c r="DI188" s="26">
        <v>0</v>
      </c>
      <c r="DJ188" s="26">
        <v>0</v>
      </c>
      <c r="DK188" s="26">
        <v>0</v>
      </c>
      <c r="DL188" s="26">
        <v>0</v>
      </c>
      <c r="DM188" s="26">
        <v>0</v>
      </c>
      <c r="DN188" s="26">
        <v>0</v>
      </c>
      <c r="DO188" s="26">
        <v>0</v>
      </c>
      <c r="DP188" s="26">
        <v>0</v>
      </c>
      <c r="DQ188" s="26">
        <v>0</v>
      </c>
      <c r="DR188" s="26">
        <v>0</v>
      </c>
      <c r="DS188" s="26">
        <v>0</v>
      </c>
      <c r="DT188" s="26">
        <v>0</v>
      </c>
      <c r="DU188" s="26">
        <v>0</v>
      </c>
      <c r="DV188" s="26">
        <v>0</v>
      </c>
      <c r="DW188" s="26">
        <v>0</v>
      </c>
      <c r="DX188" s="26">
        <v>1254.64166</v>
      </c>
      <c r="DY188" s="26">
        <v>30.979670600000002</v>
      </c>
      <c r="DZ188" s="26">
        <v>12.9984632</v>
      </c>
      <c r="EA188" s="26">
        <v>423.09997600000003</v>
      </c>
      <c r="EB188" s="26">
        <v>51.560570599999998</v>
      </c>
      <c r="EC188" s="26">
        <v>12475.191699999999</v>
      </c>
      <c r="ED188" s="26">
        <v>0</v>
      </c>
      <c r="EE188" s="26">
        <v>2866.1133199999999</v>
      </c>
      <c r="EF188" s="26">
        <v>4107.8476600000004</v>
      </c>
      <c r="EG188" s="26">
        <v>520.80320400000005</v>
      </c>
      <c r="EH188" s="26">
        <v>57.867106200000009</v>
      </c>
      <c r="EI188" s="26">
        <v>835.98422900000003</v>
      </c>
      <c r="EJ188" s="26">
        <v>107.802228</v>
      </c>
      <c r="EK188" s="26">
        <v>0</v>
      </c>
      <c r="EL188" s="26">
        <v>473.096316</v>
      </c>
      <c r="EM188" s="26">
        <v>0</v>
      </c>
      <c r="EN188" s="26">
        <v>0</v>
      </c>
      <c r="EO188" s="26">
        <v>0</v>
      </c>
      <c r="EP188" s="26">
        <v>358.05578400000002</v>
      </c>
      <c r="EQ188" s="26">
        <v>23217.986099999998</v>
      </c>
      <c r="ER188" s="26">
        <v>279.315539</v>
      </c>
      <c r="ES188" s="26">
        <v>32.398413199999993</v>
      </c>
      <c r="ET188" s="26">
        <v>6.0149875499999998</v>
      </c>
      <c r="EU188" s="26">
        <v>0</v>
      </c>
      <c r="EV188" s="26">
        <v>0</v>
      </c>
      <c r="EW188" s="26">
        <v>1</v>
      </c>
      <c r="EX188" s="26">
        <v>-74959.919800000003</v>
      </c>
      <c r="EY188" s="26">
        <v>-1155.99315</v>
      </c>
      <c r="EZ188" s="26">
        <v>-26.8398331</v>
      </c>
      <c r="FA188" s="26">
        <v>-149.15582900000001</v>
      </c>
      <c r="FB188" s="26">
        <v>-2.3002041200000001</v>
      </c>
      <c r="FC188" s="26">
        <v>2.1365070999999999E-2</v>
      </c>
      <c r="FD188" s="26">
        <v>1.38540961</v>
      </c>
      <c r="FE188" s="26">
        <v>64.844605700000002</v>
      </c>
      <c r="FF188" s="26">
        <v>0</v>
      </c>
      <c r="FG188" s="26">
        <v>0.22839479600000001</v>
      </c>
      <c r="FH188" s="26">
        <v>-1789422735.8</v>
      </c>
      <c r="FI188" s="26">
        <v>0.49403261784114982</v>
      </c>
      <c r="FJ188" s="26">
        <v>0</v>
      </c>
      <c r="FK188" s="26">
        <v>0</v>
      </c>
      <c r="FL188" s="26">
        <v>0</v>
      </c>
      <c r="FM188" s="26">
        <v>0</v>
      </c>
      <c r="FN188" s="26">
        <v>0</v>
      </c>
      <c r="FO188" s="26">
        <v>0</v>
      </c>
      <c r="FP188" s="26">
        <v>0</v>
      </c>
      <c r="FQ188" s="26">
        <v>0</v>
      </c>
      <c r="FR188" s="26">
        <v>0</v>
      </c>
      <c r="FS188" s="26">
        <v>0</v>
      </c>
      <c r="FT188" s="26">
        <v>0</v>
      </c>
      <c r="FU188" s="26">
        <v>0</v>
      </c>
      <c r="FV188" s="26">
        <v>0</v>
      </c>
      <c r="FW188" s="26">
        <v>0</v>
      </c>
      <c r="FX188" s="26">
        <v>0</v>
      </c>
      <c r="FY188" s="26">
        <v>0</v>
      </c>
      <c r="FZ188" s="26">
        <v>0</v>
      </c>
      <c r="GA188" s="26">
        <v>0</v>
      </c>
      <c r="GB188" s="26">
        <v>0</v>
      </c>
      <c r="GC188" s="26">
        <v>0</v>
      </c>
      <c r="GD188" s="26">
        <v>0</v>
      </c>
      <c r="GE188" s="26">
        <v>0</v>
      </c>
      <c r="GF188" s="26">
        <v>0</v>
      </c>
      <c r="GG188" s="26">
        <v>0</v>
      </c>
      <c r="GH188" s="26">
        <v>0</v>
      </c>
      <c r="GI188" s="26">
        <v>0</v>
      </c>
      <c r="GJ188" s="26">
        <v>0</v>
      </c>
      <c r="GK188" s="26">
        <v>0</v>
      </c>
      <c r="GL188" s="26">
        <v>0</v>
      </c>
      <c r="GM188" s="26">
        <v>0</v>
      </c>
      <c r="GN188" s="26">
        <v>0</v>
      </c>
      <c r="GO188" s="26">
        <v>0</v>
      </c>
      <c r="GP188" s="26">
        <v>0</v>
      </c>
      <c r="GQ188" s="26">
        <v>0</v>
      </c>
      <c r="GR188" s="26">
        <v>0</v>
      </c>
      <c r="GS188" s="26">
        <v>0</v>
      </c>
      <c r="GT188" s="26">
        <v>0</v>
      </c>
      <c r="GU188" s="26">
        <v>0</v>
      </c>
      <c r="GV188" s="26">
        <v>0</v>
      </c>
      <c r="GW188" s="26">
        <v>0</v>
      </c>
      <c r="GX188" s="26">
        <v>0</v>
      </c>
      <c r="GY188" s="26">
        <v>0</v>
      </c>
      <c r="GZ188" s="26">
        <v>0</v>
      </c>
      <c r="HA188" s="26">
        <v>0</v>
      </c>
      <c r="HB188" s="26">
        <v>0</v>
      </c>
      <c r="HC188" s="26">
        <v>0</v>
      </c>
      <c r="HD188" s="26">
        <v>0</v>
      </c>
      <c r="HE188" s="26">
        <v>0</v>
      </c>
      <c r="HF188" s="26">
        <v>0</v>
      </c>
      <c r="HG188" s="26">
        <v>0</v>
      </c>
      <c r="HH188" s="26">
        <v>0</v>
      </c>
      <c r="HI188" s="26">
        <v>0</v>
      </c>
      <c r="HJ188" s="26">
        <v>0</v>
      </c>
      <c r="HK188" s="26">
        <v>0</v>
      </c>
      <c r="HL188" s="26">
        <v>0</v>
      </c>
      <c r="HM188" s="26">
        <v>0</v>
      </c>
      <c r="HN188" s="26">
        <v>0</v>
      </c>
      <c r="HO188" s="26">
        <v>0</v>
      </c>
      <c r="HP188" s="26">
        <v>0</v>
      </c>
      <c r="HQ188" s="26">
        <v>0</v>
      </c>
      <c r="HR188" s="26">
        <v>0</v>
      </c>
      <c r="HS188" s="26">
        <v>0</v>
      </c>
      <c r="HT188" s="26">
        <v>0.25715947622394247</v>
      </c>
    </row>
    <row r="189" spans="2:228" x14ac:dyDescent="0.2">
      <c r="B189" s="27" t="s">
        <v>1406</v>
      </c>
      <c r="C189" s="26">
        <v>451055.005</v>
      </c>
      <c r="D189" s="26">
        <v>-1506.37609</v>
      </c>
      <c r="E189" s="26">
        <v>378839.27</v>
      </c>
      <c r="F189" s="26">
        <v>21940.651900000001</v>
      </c>
      <c r="G189" s="26">
        <v>521.24161500000002</v>
      </c>
      <c r="H189" s="26">
        <v>1144.21875</v>
      </c>
      <c r="I189" s="26">
        <v>480.09178300000008</v>
      </c>
      <c r="J189" s="26">
        <v>1061.9190599999999</v>
      </c>
      <c r="K189" s="26">
        <v>220.06017499999999</v>
      </c>
      <c r="L189" s="26">
        <v>331.08546999999999</v>
      </c>
      <c r="M189" s="26">
        <v>0</v>
      </c>
      <c r="N189" s="26">
        <v>1133.1493700000001</v>
      </c>
      <c r="O189" s="26">
        <v>28.596618400000004</v>
      </c>
      <c r="P189" s="26">
        <v>11.998581100000001</v>
      </c>
      <c r="Q189" s="26">
        <v>390.551108</v>
      </c>
      <c r="R189" s="26">
        <v>47.594041799999999</v>
      </c>
      <c r="S189" s="26">
        <v>12208.3331</v>
      </c>
      <c r="T189" s="26">
        <v>656.53966200000002</v>
      </c>
      <c r="U189" s="26">
        <v>369.27255600000001</v>
      </c>
      <c r="V189" s="26">
        <v>336.23084699999998</v>
      </c>
      <c r="W189" s="26">
        <v>0</v>
      </c>
      <c r="X189" s="26">
        <v>1695.10571</v>
      </c>
      <c r="Y189" s="26">
        <v>754.94826699999999</v>
      </c>
      <c r="Z189" s="26">
        <v>174.36925400000001</v>
      </c>
      <c r="AA189" s="26">
        <v>457.71920699999998</v>
      </c>
      <c r="AB189" s="26">
        <v>0.20290461600000001</v>
      </c>
      <c r="AC189" s="26">
        <v>0</v>
      </c>
      <c r="AD189" s="26">
        <v>2481.5580500000001</v>
      </c>
      <c r="AE189" s="26">
        <v>1860.9805500000002</v>
      </c>
      <c r="AF189" s="26">
        <v>128.83242999999999</v>
      </c>
      <c r="AG189" s="26">
        <v>0</v>
      </c>
      <c r="AH189" s="26">
        <v>0</v>
      </c>
      <c r="AI189" s="26">
        <v>0</v>
      </c>
      <c r="AJ189" s="26">
        <v>0</v>
      </c>
      <c r="AK189" s="26">
        <v>0</v>
      </c>
      <c r="AL189" s="26">
        <v>0</v>
      </c>
      <c r="AM189" s="26">
        <v>13.3575797</v>
      </c>
      <c r="AN189" s="26">
        <v>0.195389127</v>
      </c>
      <c r="AO189" s="26">
        <v>1.0418795699999999E-4</v>
      </c>
      <c r="AP189" s="26">
        <v>0</v>
      </c>
      <c r="AQ189" s="26">
        <v>0</v>
      </c>
      <c r="AR189" s="26">
        <v>0</v>
      </c>
      <c r="AS189" s="26">
        <v>548.94283299999995</v>
      </c>
      <c r="AT189" s="26">
        <v>0</v>
      </c>
      <c r="AU189" s="26">
        <v>0</v>
      </c>
      <c r="AV189" s="26">
        <v>2.07910249E-3</v>
      </c>
      <c r="AW189" s="26">
        <v>0</v>
      </c>
      <c r="AX189" s="26">
        <v>0</v>
      </c>
      <c r="AY189" s="26">
        <v>0</v>
      </c>
      <c r="AZ189" s="26">
        <v>0</v>
      </c>
      <c r="BA189" s="26">
        <v>0</v>
      </c>
      <c r="BB189" s="26">
        <v>0</v>
      </c>
      <c r="BC189" s="26">
        <v>0</v>
      </c>
      <c r="BD189" s="26">
        <v>0</v>
      </c>
      <c r="BE189" s="26">
        <v>0</v>
      </c>
      <c r="BF189" s="26">
        <v>0</v>
      </c>
      <c r="BG189" s="26">
        <v>0</v>
      </c>
      <c r="BH189" s="26">
        <v>0</v>
      </c>
      <c r="BI189" s="26">
        <v>0</v>
      </c>
      <c r="BJ189" s="26">
        <v>0</v>
      </c>
      <c r="BK189" s="26">
        <v>0</v>
      </c>
      <c r="BL189" s="26">
        <v>0</v>
      </c>
      <c r="BM189" s="26">
        <v>0</v>
      </c>
      <c r="BN189" s="26">
        <v>0</v>
      </c>
      <c r="BO189" s="26">
        <v>21701.4948</v>
      </c>
      <c r="BP189" s="26">
        <v>427837.01899999997</v>
      </c>
      <c r="BQ189" s="26">
        <v>7755.0459799999999</v>
      </c>
      <c r="BR189" s="26">
        <v>103.35927600000002</v>
      </c>
      <c r="BS189" s="26">
        <v>6.0149875499999998</v>
      </c>
      <c r="BT189" s="26">
        <v>0</v>
      </c>
      <c r="BU189" s="26">
        <v>1</v>
      </c>
      <c r="BV189" s="26">
        <v>0</v>
      </c>
      <c r="BW189" s="26">
        <v>-68199.486000000004</v>
      </c>
      <c r="BX189" s="26">
        <v>-3459.3331699999999</v>
      </c>
      <c r="BY189" s="26">
        <v>-1480.0308</v>
      </c>
      <c r="BZ189" s="26">
        <v>-36.382784000000001</v>
      </c>
      <c r="CA189" s="26">
        <v>-1.84547097</v>
      </c>
      <c r="CB189" s="26">
        <v>4.6639514100000001E-2</v>
      </c>
      <c r="CC189" s="26">
        <v>0.91948093200000003</v>
      </c>
      <c r="CD189" s="26">
        <v>19.714633599999999</v>
      </c>
      <c r="CE189" s="26">
        <v>0</v>
      </c>
      <c r="CF189" s="26">
        <v>0</v>
      </c>
      <c r="CG189" s="26">
        <v>0</v>
      </c>
      <c r="CH189" s="26">
        <v>0</v>
      </c>
      <c r="CI189" s="26">
        <v>0</v>
      </c>
      <c r="CJ189" s="26">
        <v>0</v>
      </c>
      <c r="CK189" s="26">
        <v>0</v>
      </c>
      <c r="CL189" s="26">
        <v>0</v>
      </c>
      <c r="CM189" s="26">
        <v>0</v>
      </c>
      <c r="CN189" s="26">
        <v>0</v>
      </c>
      <c r="CO189" s="26">
        <v>0</v>
      </c>
      <c r="CP189" s="26">
        <v>0</v>
      </c>
      <c r="CQ189" s="26">
        <v>0</v>
      </c>
      <c r="CR189" s="26">
        <v>0</v>
      </c>
      <c r="CS189" s="26">
        <v>0</v>
      </c>
      <c r="CT189" s="26">
        <v>0</v>
      </c>
      <c r="CU189" s="26">
        <v>0</v>
      </c>
      <c r="CV189" s="26">
        <v>0</v>
      </c>
      <c r="CW189" s="26">
        <v>0</v>
      </c>
      <c r="CX189" s="26">
        <v>0</v>
      </c>
      <c r="CY189" s="26">
        <v>0</v>
      </c>
      <c r="CZ189" s="26">
        <v>0</v>
      </c>
      <c r="DA189" s="26">
        <v>0</v>
      </c>
      <c r="DB189" s="26">
        <v>0</v>
      </c>
      <c r="DC189" s="26">
        <v>0</v>
      </c>
      <c r="DD189" s="26">
        <v>0</v>
      </c>
      <c r="DE189" s="26">
        <v>0</v>
      </c>
      <c r="DF189" s="26">
        <v>0</v>
      </c>
      <c r="DG189" s="26">
        <v>0</v>
      </c>
      <c r="DH189" s="26">
        <v>0</v>
      </c>
      <c r="DI189" s="26">
        <v>0</v>
      </c>
      <c r="DJ189" s="26">
        <v>0</v>
      </c>
      <c r="DK189" s="26">
        <v>0</v>
      </c>
      <c r="DL189" s="26">
        <v>0</v>
      </c>
      <c r="DM189" s="26">
        <v>0</v>
      </c>
      <c r="DN189" s="26">
        <v>0</v>
      </c>
      <c r="DO189" s="26">
        <v>0</v>
      </c>
      <c r="DP189" s="26">
        <v>0</v>
      </c>
      <c r="DQ189" s="26">
        <v>0</v>
      </c>
      <c r="DR189" s="26">
        <v>0</v>
      </c>
      <c r="DS189" s="26">
        <v>0</v>
      </c>
      <c r="DT189" s="26">
        <v>0</v>
      </c>
      <c r="DU189" s="26">
        <v>0</v>
      </c>
      <c r="DV189" s="26">
        <v>0</v>
      </c>
      <c r="DW189" s="26">
        <v>0</v>
      </c>
      <c r="DX189" s="26">
        <v>1254.64166</v>
      </c>
      <c r="DY189" s="26">
        <v>30.979670600000002</v>
      </c>
      <c r="DZ189" s="26">
        <v>12.9984632</v>
      </c>
      <c r="EA189" s="26">
        <v>423.09997600000003</v>
      </c>
      <c r="EB189" s="26">
        <v>51.560570599999998</v>
      </c>
      <c r="EC189" s="26">
        <v>12475.191699999999</v>
      </c>
      <c r="ED189" s="26">
        <v>0</v>
      </c>
      <c r="EE189" s="26">
        <v>2866.1133199999999</v>
      </c>
      <c r="EF189" s="26">
        <v>4107.8476600000004</v>
      </c>
      <c r="EG189" s="26">
        <v>520.80320400000005</v>
      </c>
      <c r="EH189" s="26">
        <v>57.867106200000009</v>
      </c>
      <c r="EI189" s="26">
        <v>835.98422900000003</v>
      </c>
      <c r="EJ189" s="26">
        <v>107.802228</v>
      </c>
      <c r="EK189" s="26">
        <v>0</v>
      </c>
      <c r="EL189" s="26">
        <v>473.096316</v>
      </c>
      <c r="EM189" s="26">
        <v>0</v>
      </c>
      <c r="EN189" s="26">
        <v>0</v>
      </c>
      <c r="EO189" s="26">
        <v>0</v>
      </c>
      <c r="EP189" s="26">
        <v>358.05578400000002</v>
      </c>
      <c r="EQ189" s="26">
        <v>23217.986099999998</v>
      </c>
      <c r="ER189" s="26">
        <v>279.315539</v>
      </c>
      <c r="ES189" s="26">
        <v>103.35927600000002</v>
      </c>
      <c r="ET189" s="26">
        <v>6.0149875499999998</v>
      </c>
      <c r="EU189" s="26">
        <v>0</v>
      </c>
      <c r="EV189" s="26">
        <v>0</v>
      </c>
      <c r="EW189" s="26">
        <v>1</v>
      </c>
      <c r="EX189" s="26">
        <v>-73578.704400000002</v>
      </c>
      <c r="EY189" s="26">
        <v>-1134.6927599999999</v>
      </c>
      <c r="EZ189" s="26">
        <v>-26.345280899999999</v>
      </c>
      <c r="FA189" s="26">
        <v>-145.09872100000001</v>
      </c>
      <c r="FB189" s="26">
        <v>-2.23763749</v>
      </c>
      <c r="FC189" s="26">
        <v>2.1365070999999999E-2</v>
      </c>
      <c r="FD189" s="26">
        <v>1.38540961</v>
      </c>
      <c r="FE189" s="26">
        <v>64.844605700000002</v>
      </c>
      <c r="FF189" s="26">
        <v>0</v>
      </c>
      <c r="FG189" s="26">
        <v>0.22839479600000001</v>
      </c>
      <c r="FH189" s="26">
        <v>-1789422735.8</v>
      </c>
      <c r="FI189" s="26">
        <v>0.49403261784114982</v>
      </c>
      <c r="FJ189" s="26">
        <v>0</v>
      </c>
      <c r="FK189" s="26">
        <v>0</v>
      </c>
      <c r="FL189" s="26">
        <v>0</v>
      </c>
      <c r="FM189" s="26">
        <v>0</v>
      </c>
      <c r="FN189" s="26">
        <v>0</v>
      </c>
      <c r="FO189" s="26">
        <v>0</v>
      </c>
      <c r="FP189" s="26">
        <v>0</v>
      </c>
      <c r="FQ189" s="26">
        <v>0</v>
      </c>
      <c r="FR189" s="26">
        <v>0</v>
      </c>
      <c r="FS189" s="26">
        <v>0</v>
      </c>
      <c r="FT189" s="26">
        <v>0</v>
      </c>
      <c r="FU189" s="26">
        <v>0</v>
      </c>
      <c r="FV189" s="26">
        <v>0</v>
      </c>
      <c r="FW189" s="26">
        <v>0</v>
      </c>
      <c r="FX189" s="26">
        <v>0</v>
      </c>
      <c r="FY189" s="26">
        <v>0</v>
      </c>
      <c r="FZ189" s="26">
        <v>0</v>
      </c>
      <c r="GA189" s="26">
        <v>0</v>
      </c>
      <c r="GB189" s="26">
        <v>0</v>
      </c>
      <c r="GC189" s="26">
        <v>0</v>
      </c>
      <c r="GD189" s="26">
        <v>0</v>
      </c>
      <c r="GE189" s="26">
        <v>0</v>
      </c>
      <c r="GF189" s="26">
        <v>0</v>
      </c>
      <c r="GG189" s="26">
        <v>0</v>
      </c>
      <c r="GH189" s="26">
        <v>0</v>
      </c>
      <c r="GI189" s="26">
        <v>0</v>
      </c>
      <c r="GJ189" s="26">
        <v>0</v>
      </c>
      <c r="GK189" s="26">
        <v>0</v>
      </c>
      <c r="GL189" s="26">
        <v>0</v>
      </c>
      <c r="GM189" s="26">
        <v>0</v>
      </c>
      <c r="GN189" s="26">
        <v>0</v>
      </c>
      <c r="GO189" s="26">
        <v>0</v>
      </c>
      <c r="GP189" s="26">
        <v>0</v>
      </c>
      <c r="GQ189" s="26">
        <v>0</v>
      </c>
      <c r="GR189" s="26">
        <v>0</v>
      </c>
      <c r="GS189" s="26">
        <v>0</v>
      </c>
      <c r="GT189" s="26">
        <v>0</v>
      </c>
      <c r="GU189" s="26">
        <v>0</v>
      </c>
      <c r="GV189" s="26">
        <v>0</v>
      </c>
      <c r="GW189" s="26">
        <v>0</v>
      </c>
      <c r="GX189" s="26">
        <v>0</v>
      </c>
      <c r="GY189" s="26">
        <v>0</v>
      </c>
      <c r="GZ189" s="26">
        <v>0</v>
      </c>
      <c r="HA189" s="26">
        <v>0</v>
      </c>
      <c r="HB189" s="26">
        <v>0</v>
      </c>
      <c r="HC189" s="26">
        <v>0</v>
      </c>
      <c r="HD189" s="26">
        <v>0</v>
      </c>
      <c r="HE189" s="26">
        <v>0</v>
      </c>
      <c r="HF189" s="26">
        <v>0</v>
      </c>
      <c r="HG189" s="26">
        <v>0</v>
      </c>
      <c r="HH189" s="26">
        <v>0</v>
      </c>
      <c r="HI189" s="26">
        <v>0</v>
      </c>
      <c r="HJ189" s="26">
        <v>0</v>
      </c>
      <c r="HK189" s="26">
        <v>0</v>
      </c>
      <c r="HL189" s="26">
        <v>0</v>
      </c>
      <c r="HM189" s="26">
        <v>0</v>
      </c>
      <c r="HN189" s="26">
        <v>0</v>
      </c>
      <c r="HO189" s="26">
        <v>0</v>
      </c>
      <c r="HP189" s="26">
        <v>0</v>
      </c>
      <c r="HQ189" s="26">
        <v>0</v>
      </c>
      <c r="HR189" s="26">
        <v>0</v>
      </c>
      <c r="HS189" s="26">
        <v>0</v>
      </c>
      <c r="HT189" s="26">
        <v>0.25715947622394247</v>
      </c>
    </row>
    <row r="190" spans="2:228" x14ac:dyDescent="0.2">
      <c r="B190" s="27" t="s">
        <v>1408</v>
      </c>
      <c r="C190" s="26">
        <v>391789.30499999999</v>
      </c>
      <c r="D190" s="26">
        <v>-1330.3383799999999</v>
      </c>
      <c r="E190" s="26">
        <v>342053.04</v>
      </c>
      <c r="F190" s="26">
        <v>184.28537299999999</v>
      </c>
      <c r="G190" s="26">
        <v>521.24161100000003</v>
      </c>
      <c r="H190" s="26">
        <v>1144.21874</v>
      </c>
      <c r="I190" s="26">
        <v>480.09177899999997</v>
      </c>
      <c r="J190" s="26">
        <v>1061.9188799999999</v>
      </c>
      <c r="K190" s="26">
        <v>220.06013799999999</v>
      </c>
      <c r="L190" s="26">
        <v>331.08532300000002</v>
      </c>
      <c r="M190" s="26">
        <v>0</v>
      </c>
      <c r="N190" s="26">
        <v>1133.1493599999999</v>
      </c>
      <c r="O190" s="26">
        <v>28.596618200000002</v>
      </c>
      <c r="P190" s="26">
        <v>11.998581100000001</v>
      </c>
      <c r="Q190" s="26">
        <v>390.551042</v>
      </c>
      <c r="R190" s="26">
        <v>47.594033699999997</v>
      </c>
      <c r="S190" s="26">
        <v>12208.333000000001</v>
      </c>
      <c r="T190" s="26">
        <v>656.497613</v>
      </c>
      <c r="U190" s="26">
        <v>368.73388499999999</v>
      </c>
      <c r="V190" s="26">
        <v>164.10960800000001</v>
      </c>
      <c r="W190" s="26">
        <v>0</v>
      </c>
      <c r="X190" s="26">
        <v>1694.05342</v>
      </c>
      <c r="Y190" s="26">
        <v>754.94821899999999</v>
      </c>
      <c r="Z190" s="26">
        <v>174.36618200000001</v>
      </c>
      <c r="AA190" s="26">
        <v>457.71619900000007</v>
      </c>
      <c r="AB190" s="26">
        <v>7.4305893199999996E-4</v>
      </c>
      <c r="AC190" s="26">
        <v>0</v>
      </c>
      <c r="AD190" s="26">
        <v>2481.5580500000001</v>
      </c>
      <c r="AE190" s="26">
        <v>1860.9805500000002</v>
      </c>
      <c r="AF190" s="26">
        <v>128.83242999999999</v>
      </c>
      <c r="AG190" s="26">
        <v>0</v>
      </c>
      <c r="AH190" s="26">
        <v>0</v>
      </c>
      <c r="AI190" s="26">
        <v>0</v>
      </c>
      <c r="AJ190" s="26">
        <v>0</v>
      </c>
      <c r="AK190" s="26">
        <v>0</v>
      </c>
      <c r="AL190" s="26">
        <v>0</v>
      </c>
      <c r="AM190" s="26">
        <v>13.357563900000001</v>
      </c>
      <c r="AN190" s="26">
        <v>0</v>
      </c>
      <c r="AO190" s="26">
        <v>0</v>
      </c>
      <c r="AP190" s="26">
        <v>0</v>
      </c>
      <c r="AQ190" s="26">
        <v>0</v>
      </c>
      <c r="AR190" s="26">
        <v>0</v>
      </c>
      <c r="AS190" s="26">
        <v>3.8394842400000001E-17</v>
      </c>
      <c r="AT190" s="26">
        <v>0</v>
      </c>
      <c r="AU190" s="26">
        <v>0</v>
      </c>
      <c r="AV190" s="26">
        <v>7.6122468200000004E-10</v>
      </c>
      <c r="AW190" s="26">
        <v>0</v>
      </c>
      <c r="AX190" s="26">
        <v>0</v>
      </c>
      <c r="AY190" s="26">
        <v>0</v>
      </c>
      <c r="AZ190" s="26">
        <v>0</v>
      </c>
      <c r="BA190" s="26">
        <v>0</v>
      </c>
      <c r="BB190" s="26">
        <v>0</v>
      </c>
      <c r="BC190" s="26">
        <v>0</v>
      </c>
      <c r="BD190" s="26">
        <v>0</v>
      </c>
      <c r="BE190" s="26">
        <v>0</v>
      </c>
      <c r="BF190" s="26">
        <v>0</v>
      </c>
      <c r="BG190" s="26">
        <v>0</v>
      </c>
      <c r="BH190" s="26">
        <v>0</v>
      </c>
      <c r="BI190" s="26">
        <v>0</v>
      </c>
      <c r="BJ190" s="26">
        <v>0</v>
      </c>
      <c r="BK190" s="26">
        <v>0</v>
      </c>
      <c r="BL190" s="26">
        <v>0</v>
      </c>
      <c r="BM190" s="26">
        <v>0</v>
      </c>
      <c r="BN190" s="26">
        <v>0</v>
      </c>
      <c r="BO190" s="26">
        <v>19172.994299999998</v>
      </c>
      <c r="BP190" s="26">
        <v>368571.31900000002</v>
      </c>
      <c r="BQ190" s="26">
        <v>6744.0545099999999</v>
      </c>
      <c r="BR190" s="26">
        <v>125.23962399999999</v>
      </c>
      <c r="BS190" s="26">
        <v>6.2592494700000012</v>
      </c>
      <c r="BT190" s="26">
        <v>0</v>
      </c>
      <c r="BU190" s="26">
        <v>1</v>
      </c>
      <c r="BV190" s="26">
        <v>0</v>
      </c>
      <c r="BW190" s="26">
        <v>-68020.492400000003</v>
      </c>
      <c r="BX190" s="26">
        <v>-3538.4101900000001</v>
      </c>
      <c r="BY190" s="26">
        <v>-1304.15652</v>
      </c>
      <c r="BZ190" s="26">
        <v>-34.722738200000002</v>
      </c>
      <c r="CA190" s="26">
        <v>-1.80626876</v>
      </c>
      <c r="CB190" s="26">
        <v>4.7382461100000002E-2</v>
      </c>
      <c r="CC190" s="26">
        <v>0.91085492199999996</v>
      </c>
      <c r="CD190" s="26">
        <v>19.2234616</v>
      </c>
      <c r="CE190" s="26">
        <v>0</v>
      </c>
      <c r="CF190" s="26">
        <v>0</v>
      </c>
      <c r="CG190" s="26">
        <v>0</v>
      </c>
      <c r="CH190" s="26">
        <v>0</v>
      </c>
      <c r="CI190" s="26">
        <v>0</v>
      </c>
      <c r="CJ190" s="26">
        <v>0</v>
      </c>
      <c r="CK190" s="26">
        <v>0</v>
      </c>
      <c r="CL190" s="26">
        <v>0</v>
      </c>
      <c r="CM190" s="26">
        <v>0</v>
      </c>
      <c r="CN190" s="26">
        <v>0</v>
      </c>
      <c r="CO190" s="26">
        <v>0</v>
      </c>
      <c r="CP190" s="26">
        <v>0</v>
      </c>
      <c r="CQ190" s="26">
        <v>0</v>
      </c>
      <c r="CR190" s="26">
        <v>0</v>
      </c>
      <c r="CS190" s="26">
        <v>0</v>
      </c>
      <c r="CT190" s="26">
        <v>0</v>
      </c>
      <c r="CU190" s="26">
        <v>0</v>
      </c>
      <c r="CV190" s="26">
        <v>0</v>
      </c>
      <c r="CW190" s="26">
        <v>0</v>
      </c>
      <c r="CX190" s="26">
        <v>0</v>
      </c>
      <c r="CY190" s="26">
        <v>0</v>
      </c>
      <c r="CZ190" s="26">
        <v>0</v>
      </c>
      <c r="DA190" s="26">
        <v>0</v>
      </c>
      <c r="DB190" s="26">
        <v>0</v>
      </c>
      <c r="DC190" s="26">
        <v>0</v>
      </c>
      <c r="DD190" s="26">
        <v>0</v>
      </c>
      <c r="DE190" s="26">
        <v>0</v>
      </c>
      <c r="DF190" s="26">
        <v>0</v>
      </c>
      <c r="DG190" s="26">
        <v>0</v>
      </c>
      <c r="DH190" s="26">
        <v>0</v>
      </c>
      <c r="DI190" s="26">
        <v>0</v>
      </c>
      <c r="DJ190" s="26">
        <v>0</v>
      </c>
      <c r="DK190" s="26">
        <v>0</v>
      </c>
      <c r="DL190" s="26">
        <v>0</v>
      </c>
      <c r="DM190" s="26">
        <v>0</v>
      </c>
      <c r="DN190" s="26">
        <v>0</v>
      </c>
      <c r="DO190" s="26">
        <v>0</v>
      </c>
      <c r="DP190" s="26">
        <v>0</v>
      </c>
      <c r="DQ190" s="26">
        <v>0</v>
      </c>
      <c r="DR190" s="26">
        <v>0</v>
      </c>
      <c r="DS190" s="26">
        <v>0</v>
      </c>
      <c r="DT190" s="26">
        <v>0</v>
      </c>
      <c r="DU190" s="26">
        <v>0</v>
      </c>
      <c r="DV190" s="26">
        <v>0</v>
      </c>
      <c r="DW190" s="26">
        <v>0</v>
      </c>
      <c r="DX190" s="26">
        <v>1254.64166</v>
      </c>
      <c r="DY190" s="26">
        <v>30.979670600000002</v>
      </c>
      <c r="DZ190" s="26">
        <v>12.9984632</v>
      </c>
      <c r="EA190" s="26">
        <v>423.09997600000003</v>
      </c>
      <c r="EB190" s="26">
        <v>51.560570599999998</v>
      </c>
      <c r="EC190" s="26">
        <v>12475.191699999999</v>
      </c>
      <c r="ED190" s="26">
        <v>0</v>
      </c>
      <c r="EE190" s="26">
        <v>2866.1133199999999</v>
      </c>
      <c r="EF190" s="26">
        <v>4107.8476600000004</v>
      </c>
      <c r="EG190" s="26">
        <v>520.80320400000005</v>
      </c>
      <c r="EH190" s="26">
        <v>57.867106200000009</v>
      </c>
      <c r="EI190" s="26">
        <v>835.98422900000003</v>
      </c>
      <c r="EJ190" s="26">
        <v>107.802228</v>
      </c>
      <c r="EK190" s="26">
        <v>0</v>
      </c>
      <c r="EL190" s="26">
        <v>473.096316</v>
      </c>
      <c r="EM190" s="26">
        <v>0</v>
      </c>
      <c r="EN190" s="26">
        <v>0</v>
      </c>
      <c r="EO190" s="26">
        <v>0</v>
      </c>
      <c r="EP190" s="26">
        <v>358.05578400000002</v>
      </c>
      <c r="EQ190" s="26">
        <v>23217.986099999998</v>
      </c>
      <c r="ER190" s="26">
        <v>279.315539</v>
      </c>
      <c r="ES190" s="26">
        <v>125.23962399999999</v>
      </c>
      <c r="ET190" s="26">
        <v>6.2592494700000012</v>
      </c>
      <c r="EU190" s="26">
        <v>0</v>
      </c>
      <c r="EV190" s="26">
        <v>0</v>
      </c>
      <c r="EW190" s="26">
        <v>1</v>
      </c>
      <c r="EX190" s="26">
        <v>-73122.298800000004</v>
      </c>
      <c r="EY190" s="26">
        <v>-1127.6542999999999</v>
      </c>
      <c r="EZ190" s="26">
        <v>-26.181862200000001</v>
      </c>
      <c r="FA190" s="26">
        <v>-143.92060699999999</v>
      </c>
      <c r="FB190" s="26">
        <v>-2.21946924</v>
      </c>
      <c r="FC190" s="26">
        <v>2.1365070999999999E-2</v>
      </c>
      <c r="FD190" s="26">
        <v>1.38540961</v>
      </c>
      <c r="FE190" s="26">
        <v>64.844605700000002</v>
      </c>
      <c r="FF190" s="26">
        <v>0</v>
      </c>
      <c r="FG190" s="26">
        <v>0.146490551</v>
      </c>
      <c r="FH190" s="26">
        <v>-1590048133.9000001</v>
      </c>
      <c r="FI190" s="26">
        <v>0.22569806986114013</v>
      </c>
      <c r="FJ190" s="26">
        <v>0</v>
      </c>
      <c r="FK190" s="26">
        <v>0</v>
      </c>
      <c r="FL190" s="26">
        <v>0</v>
      </c>
      <c r="FM190" s="26">
        <v>0</v>
      </c>
      <c r="FN190" s="26">
        <v>0</v>
      </c>
      <c r="FO190" s="26">
        <v>0</v>
      </c>
      <c r="FP190" s="26">
        <v>0</v>
      </c>
      <c r="FQ190" s="26">
        <v>0</v>
      </c>
      <c r="FR190" s="26">
        <v>0</v>
      </c>
      <c r="FS190" s="26">
        <v>0</v>
      </c>
      <c r="FT190" s="26">
        <v>0</v>
      </c>
      <c r="FU190" s="26">
        <v>0</v>
      </c>
      <c r="FV190" s="26">
        <v>0</v>
      </c>
      <c r="FW190" s="26">
        <v>0</v>
      </c>
      <c r="FX190" s="26">
        <v>0</v>
      </c>
      <c r="FY190" s="26">
        <v>0</v>
      </c>
      <c r="FZ190" s="26">
        <v>0</v>
      </c>
      <c r="GA190" s="26">
        <v>0</v>
      </c>
      <c r="GB190" s="26">
        <v>0</v>
      </c>
      <c r="GC190" s="26">
        <v>0</v>
      </c>
      <c r="GD190" s="26">
        <v>0</v>
      </c>
      <c r="GE190" s="26">
        <v>0</v>
      </c>
      <c r="GF190" s="26">
        <v>0</v>
      </c>
      <c r="GG190" s="26">
        <v>0</v>
      </c>
      <c r="GH190" s="26">
        <v>0</v>
      </c>
      <c r="GI190" s="26">
        <v>0</v>
      </c>
      <c r="GJ190" s="26">
        <v>0</v>
      </c>
      <c r="GK190" s="26">
        <v>0</v>
      </c>
      <c r="GL190" s="26">
        <v>0</v>
      </c>
      <c r="GM190" s="26">
        <v>0</v>
      </c>
      <c r="GN190" s="26">
        <v>0</v>
      </c>
      <c r="GO190" s="26">
        <v>0</v>
      </c>
      <c r="GP190" s="26">
        <v>0</v>
      </c>
      <c r="GQ190" s="26">
        <v>0</v>
      </c>
      <c r="GR190" s="26">
        <v>0</v>
      </c>
      <c r="GS190" s="26">
        <v>0</v>
      </c>
      <c r="GT190" s="26">
        <v>0</v>
      </c>
      <c r="GU190" s="26">
        <v>0</v>
      </c>
      <c r="GV190" s="26">
        <v>0</v>
      </c>
      <c r="GW190" s="26">
        <v>0</v>
      </c>
      <c r="GX190" s="26">
        <v>0</v>
      </c>
      <c r="GY190" s="26">
        <v>0</v>
      </c>
      <c r="GZ190" s="26">
        <v>0</v>
      </c>
      <c r="HA190" s="26">
        <v>0</v>
      </c>
      <c r="HB190" s="26">
        <v>0</v>
      </c>
      <c r="HC190" s="26">
        <v>0</v>
      </c>
      <c r="HD190" s="26">
        <v>0</v>
      </c>
      <c r="HE190" s="26">
        <v>0</v>
      </c>
      <c r="HF190" s="26">
        <v>0</v>
      </c>
      <c r="HG190" s="26">
        <v>0</v>
      </c>
      <c r="HH190" s="26">
        <v>0</v>
      </c>
      <c r="HI190" s="26">
        <v>0</v>
      </c>
      <c r="HJ190" s="26">
        <v>0</v>
      </c>
      <c r="HK190" s="26">
        <v>0</v>
      </c>
      <c r="HL190" s="26">
        <v>0</v>
      </c>
      <c r="HM190" s="26">
        <v>0</v>
      </c>
      <c r="HN190" s="26">
        <v>0</v>
      </c>
      <c r="HO190" s="26">
        <v>0</v>
      </c>
      <c r="HP190" s="26">
        <v>0</v>
      </c>
      <c r="HQ190" s="26">
        <v>0</v>
      </c>
      <c r="HR190" s="26">
        <v>0</v>
      </c>
      <c r="HS190" s="26">
        <v>0</v>
      </c>
      <c r="HT190" s="26">
        <v>0.25715947622394247</v>
      </c>
    </row>
    <row r="191" spans="2:228" x14ac:dyDescent="0.2">
      <c r="B191" s="27" t="s">
        <v>2887</v>
      </c>
      <c r="C191" s="26">
        <v>391789.30499999999</v>
      </c>
      <c r="D191" s="26">
        <v>-1330.38652</v>
      </c>
      <c r="E191" s="26">
        <v>342053.04</v>
      </c>
      <c r="F191" s="26">
        <v>184.28537299999999</v>
      </c>
      <c r="G191" s="26">
        <v>521.24161100000003</v>
      </c>
      <c r="H191" s="26">
        <v>1144.21874</v>
      </c>
      <c r="I191" s="26">
        <v>480.09177899999997</v>
      </c>
      <c r="J191" s="26">
        <v>1061.9188799999999</v>
      </c>
      <c r="K191" s="26">
        <v>220.06013799999999</v>
      </c>
      <c r="L191" s="26">
        <v>331.08532300000002</v>
      </c>
      <c r="M191" s="26">
        <v>0</v>
      </c>
      <c r="N191" s="26">
        <v>1133.1493599999999</v>
      </c>
      <c r="O191" s="26">
        <v>28.596618200000002</v>
      </c>
      <c r="P191" s="26">
        <v>11.998581100000001</v>
      </c>
      <c r="Q191" s="26">
        <v>390.551042</v>
      </c>
      <c r="R191" s="26">
        <v>47.594033699999997</v>
      </c>
      <c r="S191" s="26">
        <v>12208.333000000001</v>
      </c>
      <c r="T191" s="26">
        <v>656.497613</v>
      </c>
      <c r="U191" s="26">
        <v>368.73388499999999</v>
      </c>
      <c r="V191" s="26">
        <v>164.10960800000001</v>
      </c>
      <c r="W191" s="26">
        <v>0</v>
      </c>
      <c r="X191" s="26">
        <v>1694.05342</v>
      </c>
      <c r="Y191" s="26">
        <v>754.94821899999999</v>
      </c>
      <c r="Z191" s="26">
        <v>174.36618200000001</v>
      </c>
      <c r="AA191" s="26">
        <v>457.71619900000007</v>
      </c>
      <c r="AB191" s="26">
        <v>7.4305893199999996E-4</v>
      </c>
      <c r="AC191" s="26">
        <v>0</v>
      </c>
      <c r="AD191" s="26">
        <v>2481.5580500000001</v>
      </c>
      <c r="AE191" s="26">
        <v>1860.9805500000002</v>
      </c>
      <c r="AF191" s="26">
        <v>128.83242999999999</v>
      </c>
      <c r="AG191" s="26">
        <v>0</v>
      </c>
      <c r="AH191" s="26">
        <v>0</v>
      </c>
      <c r="AI191" s="26">
        <v>0</v>
      </c>
      <c r="AJ191" s="26">
        <v>0</v>
      </c>
      <c r="AK191" s="26">
        <v>0</v>
      </c>
      <c r="AL191" s="26">
        <v>0</v>
      </c>
      <c r="AM191" s="26">
        <v>13.357563900000001</v>
      </c>
      <c r="AN191" s="26">
        <v>0</v>
      </c>
      <c r="AO191" s="26">
        <v>0</v>
      </c>
      <c r="AP191" s="26">
        <v>0</v>
      </c>
      <c r="AQ191" s="26">
        <v>0</v>
      </c>
      <c r="AR191" s="26">
        <v>0</v>
      </c>
      <c r="AS191" s="26">
        <v>3.8394842400000001E-17</v>
      </c>
      <c r="AT191" s="26">
        <v>0</v>
      </c>
      <c r="AU191" s="26">
        <v>0</v>
      </c>
      <c r="AV191" s="26">
        <v>7.6122468200000004E-10</v>
      </c>
      <c r="AW191" s="26">
        <v>0</v>
      </c>
      <c r="AX191" s="26">
        <v>0</v>
      </c>
      <c r="AY191" s="26">
        <v>0</v>
      </c>
      <c r="AZ191" s="26">
        <v>0</v>
      </c>
      <c r="BA191" s="26">
        <v>0</v>
      </c>
      <c r="BB191" s="26">
        <v>0</v>
      </c>
      <c r="BC191" s="26">
        <v>0</v>
      </c>
      <c r="BD191" s="26">
        <v>0</v>
      </c>
      <c r="BE191" s="26">
        <v>0</v>
      </c>
      <c r="BF191" s="26">
        <v>0</v>
      </c>
      <c r="BG191" s="26">
        <v>0</v>
      </c>
      <c r="BH191" s="26">
        <v>0</v>
      </c>
      <c r="BI191" s="26">
        <v>0</v>
      </c>
      <c r="BJ191" s="26">
        <v>0</v>
      </c>
      <c r="BK191" s="26">
        <v>0</v>
      </c>
      <c r="BL191" s="26">
        <v>0</v>
      </c>
      <c r="BM191" s="26">
        <v>0</v>
      </c>
      <c r="BN191" s="26">
        <v>0</v>
      </c>
      <c r="BO191" s="26">
        <v>19172.994299999998</v>
      </c>
      <c r="BP191" s="26">
        <v>368571.31900000002</v>
      </c>
      <c r="BQ191" s="26">
        <v>6743.0720700000002</v>
      </c>
      <c r="BR191" s="26">
        <v>125.122728</v>
      </c>
      <c r="BS191" s="26">
        <v>2.2795397899999998</v>
      </c>
      <c r="BT191" s="26">
        <v>0</v>
      </c>
      <c r="BU191" s="26">
        <v>1</v>
      </c>
      <c r="BV191" s="26">
        <v>0</v>
      </c>
      <c r="BW191" s="26">
        <v>-68022.956699999995</v>
      </c>
      <c r="BX191" s="26">
        <v>-3538.5383700000002</v>
      </c>
      <c r="BY191" s="26">
        <v>-1304.2037700000001</v>
      </c>
      <c r="BZ191" s="26">
        <v>-34.728764900000002</v>
      </c>
      <c r="CA191" s="26">
        <v>-1.80658227</v>
      </c>
      <c r="CB191" s="26">
        <v>4.7389364500000003E-2</v>
      </c>
      <c r="CC191" s="26">
        <v>0.91098763100000002</v>
      </c>
      <c r="CD191" s="26">
        <v>19.2234616</v>
      </c>
      <c r="CE191" s="26">
        <v>0</v>
      </c>
      <c r="CF191" s="26">
        <v>0</v>
      </c>
      <c r="CG191" s="26">
        <v>0</v>
      </c>
      <c r="CH191" s="26">
        <v>0</v>
      </c>
      <c r="CI191" s="26">
        <v>0</v>
      </c>
      <c r="CJ191" s="26">
        <v>0</v>
      </c>
      <c r="CK191" s="26">
        <v>0</v>
      </c>
      <c r="CL191" s="26">
        <v>0</v>
      </c>
      <c r="CM191" s="26">
        <v>0</v>
      </c>
      <c r="CN191" s="26">
        <v>0</v>
      </c>
      <c r="CO191" s="26">
        <v>0</v>
      </c>
      <c r="CP191" s="26">
        <v>0</v>
      </c>
      <c r="CQ191" s="26">
        <v>0</v>
      </c>
      <c r="CR191" s="26">
        <v>0</v>
      </c>
      <c r="CS191" s="26">
        <v>0</v>
      </c>
      <c r="CT191" s="26">
        <v>0</v>
      </c>
      <c r="CU191" s="26">
        <v>0</v>
      </c>
      <c r="CV191" s="26">
        <v>0</v>
      </c>
      <c r="CW191" s="26">
        <v>0</v>
      </c>
      <c r="CX191" s="26">
        <v>0</v>
      </c>
      <c r="CY191" s="26">
        <v>0</v>
      </c>
      <c r="CZ191" s="26">
        <v>0</v>
      </c>
      <c r="DA191" s="26">
        <v>0</v>
      </c>
      <c r="DB191" s="26">
        <v>0</v>
      </c>
      <c r="DC191" s="26">
        <v>0</v>
      </c>
      <c r="DD191" s="26">
        <v>0</v>
      </c>
      <c r="DE191" s="26">
        <v>0</v>
      </c>
      <c r="DF191" s="26">
        <v>0</v>
      </c>
      <c r="DG191" s="26">
        <v>0</v>
      </c>
      <c r="DH191" s="26">
        <v>0</v>
      </c>
      <c r="DI191" s="26">
        <v>0</v>
      </c>
      <c r="DJ191" s="26">
        <v>0</v>
      </c>
      <c r="DK191" s="26">
        <v>0</v>
      </c>
      <c r="DL191" s="26">
        <v>0</v>
      </c>
      <c r="DM191" s="26">
        <v>0</v>
      </c>
      <c r="DN191" s="26">
        <v>0</v>
      </c>
      <c r="DO191" s="26">
        <v>0</v>
      </c>
      <c r="DP191" s="26">
        <v>0</v>
      </c>
      <c r="DQ191" s="26">
        <v>0</v>
      </c>
      <c r="DR191" s="26">
        <v>0</v>
      </c>
      <c r="DS191" s="26">
        <v>0</v>
      </c>
      <c r="DT191" s="26">
        <v>0</v>
      </c>
      <c r="DU191" s="26">
        <v>0</v>
      </c>
      <c r="DV191" s="26">
        <v>0</v>
      </c>
      <c r="DW191" s="26">
        <v>0</v>
      </c>
      <c r="DX191" s="26">
        <v>1254.64166</v>
      </c>
      <c r="DY191" s="26">
        <v>30.979670600000002</v>
      </c>
      <c r="DZ191" s="26">
        <v>12.9984632</v>
      </c>
      <c r="EA191" s="26">
        <v>423.09997600000003</v>
      </c>
      <c r="EB191" s="26">
        <v>51.560570599999998</v>
      </c>
      <c r="EC191" s="26">
        <v>12475.191699999999</v>
      </c>
      <c r="ED191" s="26">
        <v>0</v>
      </c>
      <c r="EE191" s="26">
        <v>2866.1133199999999</v>
      </c>
      <c r="EF191" s="26">
        <v>4107.8476600000004</v>
      </c>
      <c r="EG191" s="26">
        <v>520.80320400000005</v>
      </c>
      <c r="EH191" s="26">
        <v>57.867106200000009</v>
      </c>
      <c r="EI191" s="26">
        <v>835.98422900000003</v>
      </c>
      <c r="EJ191" s="26">
        <v>107.802228</v>
      </c>
      <c r="EK191" s="26">
        <v>0</v>
      </c>
      <c r="EL191" s="26">
        <v>473.096316</v>
      </c>
      <c r="EM191" s="26">
        <v>0</v>
      </c>
      <c r="EN191" s="26">
        <v>0</v>
      </c>
      <c r="EO191" s="26">
        <v>0</v>
      </c>
      <c r="EP191" s="26">
        <v>358.05578400000002</v>
      </c>
      <c r="EQ191" s="26">
        <v>23217.986099999998</v>
      </c>
      <c r="ER191" s="26">
        <v>279.315539</v>
      </c>
      <c r="ES191" s="26">
        <v>125.122728</v>
      </c>
      <c r="ET191" s="26">
        <v>2.2795397899999998</v>
      </c>
      <c r="EU191" s="26">
        <v>0</v>
      </c>
      <c r="EV191" s="26">
        <v>0</v>
      </c>
      <c r="EW191" s="26">
        <v>1</v>
      </c>
      <c r="EX191" s="26">
        <v>-73124.775299999994</v>
      </c>
      <c r="EY191" s="26">
        <v>-1127.6925000000001</v>
      </c>
      <c r="EZ191" s="26">
        <v>-26.1827489</v>
      </c>
      <c r="FA191" s="26">
        <v>-143.92682500000001</v>
      </c>
      <c r="FB191" s="26">
        <v>-2.2195651199999999</v>
      </c>
      <c r="FC191" s="26">
        <v>2.1365070999999999E-2</v>
      </c>
      <c r="FD191" s="26">
        <v>1.38540961</v>
      </c>
      <c r="FE191" s="26">
        <v>64.844605700000002</v>
      </c>
      <c r="FF191" s="26">
        <v>0</v>
      </c>
      <c r="FG191" s="26">
        <v>0.146490551</v>
      </c>
      <c r="FH191" s="26">
        <v>-1590048133.9000001</v>
      </c>
      <c r="FI191" s="26">
        <v>0.22569806986114013</v>
      </c>
      <c r="FJ191" s="26">
        <v>0</v>
      </c>
      <c r="FK191" s="26">
        <v>0</v>
      </c>
      <c r="FL191" s="26">
        <v>0</v>
      </c>
      <c r="FM191" s="26">
        <v>0</v>
      </c>
      <c r="FN191" s="26">
        <v>0</v>
      </c>
      <c r="FO191" s="26">
        <v>0</v>
      </c>
      <c r="FP191" s="26">
        <v>0</v>
      </c>
      <c r="FQ191" s="26">
        <v>0</v>
      </c>
      <c r="FR191" s="26">
        <v>0</v>
      </c>
      <c r="FS191" s="26">
        <v>0</v>
      </c>
      <c r="FT191" s="26">
        <v>0</v>
      </c>
      <c r="FU191" s="26">
        <v>0</v>
      </c>
      <c r="FV191" s="26">
        <v>0</v>
      </c>
      <c r="FW191" s="26">
        <v>0</v>
      </c>
      <c r="FX191" s="26">
        <v>0</v>
      </c>
      <c r="FY191" s="26">
        <v>0</v>
      </c>
      <c r="FZ191" s="26">
        <v>0</v>
      </c>
      <c r="GA191" s="26">
        <v>0</v>
      </c>
      <c r="GB191" s="26">
        <v>0</v>
      </c>
      <c r="GC191" s="26">
        <v>0</v>
      </c>
      <c r="GD191" s="26">
        <v>0</v>
      </c>
      <c r="GE191" s="26">
        <v>0</v>
      </c>
      <c r="GF191" s="26">
        <v>0</v>
      </c>
      <c r="GG191" s="26">
        <v>0</v>
      </c>
      <c r="GH191" s="26">
        <v>0</v>
      </c>
      <c r="GI191" s="26">
        <v>0</v>
      </c>
      <c r="GJ191" s="26">
        <v>0</v>
      </c>
      <c r="GK191" s="26">
        <v>0</v>
      </c>
      <c r="GL191" s="26">
        <v>0</v>
      </c>
      <c r="GM191" s="26">
        <v>0</v>
      </c>
      <c r="GN191" s="26">
        <v>0</v>
      </c>
      <c r="GO191" s="26">
        <v>0</v>
      </c>
      <c r="GP191" s="26">
        <v>0</v>
      </c>
      <c r="GQ191" s="26">
        <v>0</v>
      </c>
      <c r="GR191" s="26">
        <v>0</v>
      </c>
      <c r="GS191" s="26">
        <v>0</v>
      </c>
      <c r="GT191" s="26">
        <v>0</v>
      </c>
      <c r="GU191" s="26">
        <v>0</v>
      </c>
      <c r="GV191" s="26">
        <v>0</v>
      </c>
      <c r="GW191" s="26">
        <v>0</v>
      </c>
      <c r="GX191" s="26">
        <v>0</v>
      </c>
      <c r="GY191" s="26">
        <v>0</v>
      </c>
      <c r="GZ191" s="26">
        <v>0</v>
      </c>
      <c r="HA191" s="26">
        <v>0</v>
      </c>
      <c r="HB191" s="26">
        <v>0</v>
      </c>
      <c r="HC191" s="26">
        <v>0</v>
      </c>
      <c r="HD191" s="26">
        <v>0</v>
      </c>
      <c r="HE191" s="26">
        <v>0</v>
      </c>
      <c r="HF191" s="26">
        <v>0</v>
      </c>
      <c r="HG191" s="26">
        <v>0</v>
      </c>
      <c r="HH191" s="26">
        <v>0</v>
      </c>
      <c r="HI191" s="26">
        <v>0</v>
      </c>
      <c r="HJ191" s="26">
        <v>0</v>
      </c>
      <c r="HK191" s="26">
        <v>0</v>
      </c>
      <c r="HL191" s="26">
        <v>0</v>
      </c>
      <c r="HM191" s="26">
        <v>0</v>
      </c>
      <c r="HN191" s="26">
        <v>0</v>
      </c>
      <c r="HO191" s="26">
        <v>0</v>
      </c>
      <c r="HP191" s="26">
        <v>0</v>
      </c>
      <c r="HQ191" s="26">
        <v>0</v>
      </c>
      <c r="HR191" s="26">
        <v>0</v>
      </c>
      <c r="HS191" s="26">
        <v>0</v>
      </c>
      <c r="HT191" s="26">
        <v>0.25715947622394247</v>
      </c>
    </row>
    <row r="192" spans="2:228" x14ac:dyDescent="0.2">
      <c r="B192" s="27" t="s">
        <v>1410</v>
      </c>
      <c r="C192" s="26">
        <v>391789.30499999999</v>
      </c>
      <c r="D192" s="26">
        <v>-1359.75773</v>
      </c>
      <c r="E192" s="26">
        <v>342053.04</v>
      </c>
      <c r="F192" s="26">
        <v>184.28537299999999</v>
      </c>
      <c r="G192" s="26">
        <v>521.24161100000003</v>
      </c>
      <c r="H192" s="26">
        <v>1144.21874</v>
      </c>
      <c r="I192" s="26">
        <v>480.09177899999997</v>
      </c>
      <c r="J192" s="26">
        <v>1061.9188799999999</v>
      </c>
      <c r="K192" s="26">
        <v>220.06013799999999</v>
      </c>
      <c r="L192" s="26">
        <v>331.08532300000002</v>
      </c>
      <c r="M192" s="26">
        <v>0</v>
      </c>
      <c r="N192" s="26">
        <v>1133.1493599999999</v>
      </c>
      <c r="O192" s="26">
        <v>28.596618200000002</v>
      </c>
      <c r="P192" s="26">
        <v>11.998581100000001</v>
      </c>
      <c r="Q192" s="26">
        <v>390.551042</v>
      </c>
      <c r="R192" s="26">
        <v>47.594033699999997</v>
      </c>
      <c r="S192" s="26">
        <v>12208.333000000001</v>
      </c>
      <c r="T192" s="26">
        <v>656.497613</v>
      </c>
      <c r="U192" s="26">
        <v>368.73388499999999</v>
      </c>
      <c r="V192" s="26">
        <v>164.10960800000001</v>
      </c>
      <c r="W192" s="26">
        <v>0</v>
      </c>
      <c r="X192" s="26">
        <v>1694.05342</v>
      </c>
      <c r="Y192" s="26">
        <v>754.94821899999999</v>
      </c>
      <c r="Z192" s="26">
        <v>174.36618200000001</v>
      </c>
      <c r="AA192" s="26">
        <v>457.71619900000007</v>
      </c>
      <c r="AB192" s="26">
        <v>7.4305893199999996E-4</v>
      </c>
      <c r="AC192" s="26">
        <v>0</v>
      </c>
      <c r="AD192" s="26">
        <v>2481.5580500000001</v>
      </c>
      <c r="AE192" s="26">
        <v>1860.9805500000002</v>
      </c>
      <c r="AF192" s="26">
        <v>128.83242999999999</v>
      </c>
      <c r="AG192" s="26">
        <v>0</v>
      </c>
      <c r="AH192" s="26">
        <v>0</v>
      </c>
      <c r="AI192" s="26">
        <v>0</v>
      </c>
      <c r="AJ192" s="26">
        <v>0</v>
      </c>
      <c r="AK192" s="26">
        <v>0</v>
      </c>
      <c r="AL192" s="26">
        <v>0</v>
      </c>
      <c r="AM192" s="26">
        <v>13.357563900000001</v>
      </c>
      <c r="AN192" s="26">
        <v>0</v>
      </c>
      <c r="AO192" s="26">
        <v>0</v>
      </c>
      <c r="AP192" s="26">
        <v>0</v>
      </c>
      <c r="AQ192" s="26">
        <v>0</v>
      </c>
      <c r="AR192" s="26">
        <v>0</v>
      </c>
      <c r="AS192" s="26">
        <v>3.8394842400000001E-17</v>
      </c>
      <c r="AT192" s="26">
        <v>0</v>
      </c>
      <c r="AU192" s="26">
        <v>0</v>
      </c>
      <c r="AV192" s="26">
        <v>7.6122468200000004E-10</v>
      </c>
      <c r="AW192" s="26">
        <v>0</v>
      </c>
      <c r="AX192" s="26">
        <v>0</v>
      </c>
      <c r="AY192" s="26">
        <v>0</v>
      </c>
      <c r="AZ192" s="26">
        <v>0</v>
      </c>
      <c r="BA192" s="26">
        <v>0</v>
      </c>
      <c r="BB192" s="26">
        <v>0</v>
      </c>
      <c r="BC192" s="26">
        <v>0</v>
      </c>
      <c r="BD192" s="26">
        <v>0</v>
      </c>
      <c r="BE192" s="26">
        <v>0</v>
      </c>
      <c r="BF192" s="26">
        <v>0</v>
      </c>
      <c r="BG192" s="26">
        <v>0</v>
      </c>
      <c r="BH192" s="26">
        <v>0</v>
      </c>
      <c r="BI192" s="26">
        <v>0</v>
      </c>
      <c r="BJ192" s="26">
        <v>0</v>
      </c>
      <c r="BK192" s="26">
        <v>0</v>
      </c>
      <c r="BL192" s="26">
        <v>0</v>
      </c>
      <c r="BM192" s="26">
        <v>0</v>
      </c>
      <c r="BN192" s="26">
        <v>0</v>
      </c>
      <c r="BO192" s="26">
        <v>19172.994299999998</v>
      </c>
      <c r="BP192" s="26">
        <v>368571.31900000002</v>
      </c>
      <c r="BQ192" s="26">
        <v>6175.0876099999996</v>
      </c>
      <c r="BR192" s="26">
        <v>47</v>
      </c>
      <c r="BS192" s="26">
        <v>6.2592494700000012</v>
      </c>
      <c r="BT192" s="26">
        <v>0</v>
      </c>
      <c r="BU192" s="26">
        <v>1</v>
      </c>
      <c r="BV192" s="26">
        <v>0</v>
      </c>
      <c r="BW192" s="26">
        <v>-69525.667700000005</v>
      </c>
      <c r="BX192" s="26">
        <v>-3616.7090499999999</v>
      </c>
      <c r="BY192" s="26">
        <v>-1333.0152399999999</v>
      </c>
      <c r="BZ192" s="26">
        <v>-38.876353299999998</v>
      </c>
      <c r="CA192" s="26">
        <v>-2.0223388500000001</v>
      </c>
      <c r="CB192" s="26">
        <v>5.1748237500000002E-2</v>
      </c>
      <c r="CC192" s="26">
        <v>0.99478025800000003</v>
      </c>
      <c r="CD192" s="26">
        <v>19.2234616</v>
      </c>
      <c r="CE192" s="26">
        <v>0</v>
      </c>
      <c r="CF192" s="26">
        <v>0</v>
      </c>
      <c r="CG192" s="26">
        <v>0</v>
      </c>
      <c r="CH192" s="26">
        <v>0</v>
      </c>
      <c r="CI192" s="26">
        <v>0</v>
      </c>
      <c r="CJ192" s="26">
        <v>0</v>
      </c>
      <c r="CK192" s="26">
        <v>0</v>
      </c>
      <c r="CL192" s="26">
        <v>0</v>
      </c>
      <c r="CM192" s="26">
        <v>0</v>
      </c>
      <c r="CN192" s="26">
        <v>0</v>
      </c>
      <c r="CO192" s="26">
        <v>0</v>
      </c>
      <c r="CP192" s="26">
        <v>0</v>
      </c>
      <c r="CQ192" s="26">
        <v>0</v>
      </c>
      <c r="CR192" s="26">
        <v>0</v>
      </c>
      <c r="CS192" s="26">
        <v>0</v>
      </c>
      <c r="CT192" s="26">
        <v>0</v>
      </c>
      <c r="CU192" s="26">
        <v>0</v>
      </c>
      <c r="CV192" s="26">
        <v>0</v>
      </c>
      <c r="CW192" s="26">
        <v>0</v>
      </c>
      <c r="CX192" s="26">
        <v>0</v>
      </c>
      <c r="CY192" s="26">
        <v>0</v>
      </c>
      <c r="CZ192" s="26">
        <v>0</v>
      </c>
      <c r="DA192" s="26">
        <v>0</v>
      </c>
      <c r="DB192" s="26">
        <v>0</v>
      </c>
      <c r="DC192" s="26">
        <v>0</v>
      </c>
      <c r="DD192" s="26">
        <v>0</v>
      </c>
      <c r="DE192" s="26">
        <v>0</v>
      </c>
      <c r="DF192" s="26">
        <v>0</v>
      </c>
      <c r="DG192" s="26">
        <v>0</v>
      </c>
      <c r="DH192" s="26">
        <v>0</v>
      </c>
      <c r="DI192" s="26">
        <v>0</v>
      </c>
      <c r="DJ192" s="26">
        <v>0</v>
      </c>
      <c r="DK192" s="26">
        <v>0</v>
      </c>
      <c r="DL192" s="26">
        <v>0</v>
      </c>
      <c r="DM192" s="26">
        <v>0</v>
      </c>
      <c r="DN192" s="26">
        <v>0</v>
      </c>
      <c r="DO192" s="26">
        <v>0</v>
      </c>
      <c r="DP192" s="26">
        <v>0</v>
      </c>
      <c r="DQ192" s="26">
        <v>0</v>
      </c>
      <c r="DR192" s="26">
        <v>0</v>
      </c>
      <c r="DS192" s="26">
        <v>0</v>
      </c>
      <c r="DT192" s="26">
        <v>0</v>
      </c>
      <c r="DU192" s="26">
        <v>0</v>
      </c>
      <c r="DV192" s="26">
        <v>0</v>
      </c>
      <c r="DW192" s="26">
        <v>0</v>
      </c>
      <c r="DX192" s="26">
        <v>1254.64166</v>
      </c>
      <c r="DY192" s="26">
        <v>30.979670600000002</v>
      </c>
      <c r="DZ192" s="26">
        <v>12.9984632</v>
      </c>
      <c r="EA192" s="26">
        <v>423.09997600000003</v>
      </c>
      <c r="EB192" s="26">
        <v>51.560570599999998</v>
      </c>
      <c r="EC192" s="26">
        <v>12475.191699999999</v>
      </c>
      <c r="ED192" s="26">
        <v>0</v>
      </c>
      <c r="EE192" s="26">
        <v>2866.1133199999999</v>
      </c>
      <c r="EF192" s="26">
        <v>4107.8476600000004</v>
      </c>
      <c r="EG192" s="26">
        <v>520.80320400000005</v>
      </c>
      <c r="EH192" s="26">
        <v>57.867106200000009</v>
      </c>
      <c r="EI192" s="26">
        <v>835.98422900000003</v>
      </c>
      <c r="EJ192" s="26">
        <v>107.802228</v>
      </c>
      <c r="EK192" s="26">
        <v>0</v>
      </c>
      <c r="EL192" s="26">
        <v>473.096316</v>
      </c>
      <c r="EM192" s="26">
        <v>0</v>
      </c>
      <c r="EN192" s="26">
        <v>0</v>
      </c>
      <c r="EO192" s="26">
        <v>0</v>
      </c>
      <c r="EP192" s="26">
        <v>358.05578400000002</v>
      </c>
      <c r="EQ192" s="26">
        <v>23217.986099999998</v>
      </c>
      <c r="ER192" s="26">
        <v>279.315539</v>
      </c>
      <c r="ES192" s="26">
        <v>47</v>
      </c>
      <c r="ET192" s="26">
        <v>6.2592494700000012</v>
      </c>
      <c r="EU192" s="26">
        <v>0</v>
      </c>
      <c r="EV192" s="26">
        <v>0</v>
      </c>
      <c r="EW192" s="26">
        <v>1</v>
      </c>
      <c r="EX192" s="26">
        <v>-74688.070099999997</v>
      </c>
      <c r="EY192" s="26">
        <v>-1151.8008199999999</v>
      </c>
      <c r="EZ192" s="26">
        <v>-26.742495699999999</v>
      </c>
      <c r="FA192" s="26">
        <v>-148.28680299999999</v>
      </c>
      <c r="FB192" s="26">
        <v>-2.2868024500000002</v>
      </c>
      <c r="FC192" s="26">
        <v>2.1365070999999999E-2</v>
      </c>
      <c r="FD192" s="26">
        <v>1.38540961</v>
      </c>
      <c r="FE192" s="26">
        <v>64.844605700000002</v>
      </c>
      <c r="FF192" s="26">
        <v>0</v>
      </c>
      <c r="FG192" s="26">
        <v>0.146490551</v>
      </c>
      <c r="FH192" s="26">
        <v>-1590048133.9000001</v>
      </c>
      <c r="FI192" s="26">
        <v>0.22569806986114013</v>
      </c>
      <c r="FJ192" s="26">
        <v>0</v>
      </c>
      <c r="FK192" s="26">
        <v>0</v>
      </c>
      <c r="FL192" s="26">
        <v>0</v>
      </c>
      <c r="FM192" s="26">
        <v>0</v>
      </c>
      <c r="FN192" s="26">
        <v>0</v>
      </c>
      <c r="FO192" s="26">
        <v>0</v>
      </c>
      <c r="FP192" s="26">
        <v>0</v>
      </c>
      <c r="FQ192" s="26">
        <v>0</v>
      </c>
      <c r="FR192" s="26">
        <v>0</v>
      </c>
      <c r="FS192" s="26">
        <v>0</v>
      </c>
      <c r="FT192" s="26">
        <v>0</v>
      </c>
      <c r="FU192" s="26">
        <v>0</v>
      </c>
      <c r="FV192" s="26">
        <v>0</v>
      </c>
      <c r="FW192" s="26">
        <v>0</v>
      </c>
      <c r="FX192" s="26">
        <v>0</v>
      </c>
      <c r="FY192" s="26">
        <v>0</v>
      </c>
      <c r="FZ192" s="26">
        <v>0</v>
      </c>
      <c r="GA192" s="26">
        <v>0</v>
      </c>
      <c r="GB192" s="26">
        <v>0</v>
      </c>
      <c r="GC192" s="26">
        <v>0</v>
      </c>
      <c r="GD192" s="26">
        <v>0</v>
      </c>
      <c r="GE192" s="26">
        <v>0</v>
      </c>
      <c r="GF192" s="26">
        <v>0</v>
      </c>
      <c r="GG192" s="26">
        <v>0</v>
      </c>
      <c r="GH192" s="26">
        <v>0</v>
      </c>
      <c r="GI192" s="26">
        <v>0</v>
      </c>
      <c r="GJ192" s="26">
        <v>0</v>
      </c>
      <c r="GK192" s="26">
        <v>0</v>
      </c>
      <c r="GL192" s="26">
        <v>0</v>
      </c>
      <c r="GM192" s="26">
        <v>0</v>
      </c>
      <c r="GN192" s="26">
        <v>0</v>
      </c>
      <c r="GO192" s="26">
        <v>0</v>
      </c>
      <c r="GP192" s="26">
        <v>0</v>
      </c>
      <c r="GQ192" s="26">
        <v>0</v>
      </c>
      <c r="GR192" s="26">
        <v>0</v>
      </c>
      <c r="GS192" s="26">
        <v>0</v>
      </c>
      <c r="GT192" s="26">
        <v>0</v>
      </c>
      <c r="GU192" s="26">
        <v>0</v>
      </c>
      <c r="GV192" s="26">
        <v>0</v>
      </c>
      <c r="GW192" s="26">
        <v>0</v>
      </c>
      <c r="GX192" s="26">
        <v>0</v>
      </c>
      <c r="GY192" s="26">
        <v>0</v>
      </c>
      <c r="GZ192" s="26">
        <v>0</v>
      </c>
      <c r="HA192" s="26">
        <v>0</v>
      </c>
      <c r="HB192" s="26">
        <v>0</v>
      </c>
      <c r="HC192" s="26">
        <v>0</v>
      </c>
      <c r="HD192" s="26">
        <v>0</v>
      </c>
      <c r="HE192" s="26">
        <v>0</v>
      </c>
      <c r="HF192" s="26">
        <v>0</v>
      </c>
      <c r="HG192" s="26">
        <v>0</v>
      </c>
      <c r="HH192" s="26">
        <v>0</v>
      </c>
      <c r="HI192" s="26">
        <v>0</v>
      </c>
      <c r="HJ192" s="26">
        <v>0</v>
      </c>
      <c r="HK192" s="26">
        <v>0</v>
      </c>
      <c r="HL192" s="26">
        <v>0</v>
      </c>
      <c r="HM192" s="26">
        <v>0</v>
      </c>
      <c r="HN192" s="26">
        <v>0</v>
      </c>
      <c r="HO192" s="26">
        <v>0</v>
      </c>
      <c r="HP192" s="26">
        <v>0</v>
      </c>
      <c r="HQ192" s="26">
        <v>0</v>
      </c>
      <c r="HR192" s="26">
        <v>0</v>
      </c>
      <c r="HS192" s="26">
        <v>0</v>
      </c>
      <c r="HT192" s="26">
        <v>0.25715947622394247</v>
      </c>
    </row>
    <row r="193" spans="2:228" x14ac:dyDescent="0.2">
      <c r="B193" s="27" t="s">
        <v>1411</v>
      </c>
      <c r="C193" s="26">
        <v>610.62466600000005</v>
      </c>
      <c r="D193" s="26">
        <v>-1.26255812</v>
      </c>
      <c r="E193" s="26">
        <v>22.657900999999999</v>
      </c>
      <c r="F193" s="26">
        <v>65.535978600000007</v>
      </c>
      <c r="G193" s="26">
        <v>2.3241626400000002E-19</v>
      </c>
      <c r="H193" s="26">
        <v>5.1019534700000004E-19</v>
      </c>
      <c r="I193" s="26">
        <v>2.1406797800000003E-19</v>
      </c>
      <c r="J193" s="26">
        <v>1.12147717E-15</v>
      </c>
      <c r="K193" s="26">
        <v>2.3240232800000002E-16</v>
      </c>
      <c r="L193" s="26">
        <v>2.93649277E-14</v>
      </c>
      <c r="M193" s="26">
        <v>0</v>
      </c>
      <c r="N193" s="26">
        <v>5.0525962300000003E-19</v>
      </c>
      <c r="O193" s="26">
        <v>1.2750937400000001E-20</v>
      </c>
      <c r="P193" s="26">
        <v>5.3500436700000001E-21</v>
      </c>
      <c r="Q193" s="26">
        <v>4.1245530599999998E-16</v>
      </c>
      <c r="R193" s="26">
        <v>5.0263370600000005E-17</v>
      </c>
      <c r="S193" s="26">
        <v>5.4435698899999998E-18</v>
      </c>
      <c r="T193" s="26">
        <v>1.39118024E-9</v>
      </c>
      <c r="U193" s="26">
        <v>4.2490957400000005E-7</v>
      </c>
      <c r="V193" s="26">
        <v>0.14841078199999999</v>
      </c>
      <c r="W193" s="26">
        <v>0</v>
      </c>
      <c r="X193" s="26">
        <v>3.4423079499999998E-7</v>
      </c>
      <c r="Y193" s="26">
        <v>1.11055577E-16</v>
      </c>
      <c r="Z193" s="26">
        <v>3.8196698699999999E-11</v>
      </c>
      <c r="AA193" s="26">
        <v>6.2953282499999998E-12</v>
      </c>
      <c r="AB193" s="26">
        <v>1.73593692E-3</v>
      </c>
      <c r="AC193" s="26">
        <v>0</v>
      </c>
      <c r="AD193" s="26">
        <v>0</v>
      </c>
      <c r="AE193" s="26">
        <v>0</v>
      </c>
      <c r="AF193" s="26">
        <v>0</v>
      </c>
      <c r="AG193" s="26">
        <v>0</v>
      </c>
      <c r="AH193" s="26">
        <v>0</v>
      </c>
      <c r="AI193" s="26">
        <v>0</v>
      </c>
      <c r="AJ193" s="26">
        <v>0</v>
      </c>
      <c r="AK193" s="26">
        <v>0</v>
      </c>
      <c r="AL193" s="26">
        <v>0</v>
      </c>
      <c r="AM193" s="26">
        <v>2.2390974700000001E-15</v>
      </c>
      <c r="AN193" s="26">
        <v>0.19524555699999999</v>
      </c>
      <c r="AO193" s="26">
        <v>1.04164573E-4</v>
      </c>
      <c r="AP193" s="26">
        <v>0</v>
      </c>
      <c r="AQ193" s="26">
        <v>0</v>
      </c>
      <c r="AR193" s="26">
        <v>0</v>
      </c>
      <c r="AS193" s="26">
        <v>522.08523700000001</v>
      </c>
      <c r="AT193" s="26">
        <v>0</v>
      </c>
      <c r="AU193" s="26">
        <v>0</v>
      </c>
      <c r="AV193" s="26">
        <v>5.1956270000000001E-5</v>
      </c>
      <c r="AW193" s="26">
        <v>0</v>
      </c>
      <c r="AX193" s="26">
        <v>0</v>
      </c>
      <c r="AY193" s="26">
        <v>0</v>
      </c>
      <c r="AZ193" s="26">
        <v>0</v>
      </c>
      <c r="BA193" s="26">
        <v>0</v>
      </c>
      <c r="BB193" s="26">
        <v>0</v>
      </c>
      <c r="BC193" s="26">
        <v>0</v>
      </c>
      <c r="BD193" s="26">
        <v>0</v>
      </c>
      <c r="BE193" s="26">
        <v>0</v>
      </c>
      <c r="BF193" s="26">
        <v>0</v>
      </c>
      <c r="BG193" s="26">
        <v>0</v>
      </c>
      <c r="BH193" s="26">
        <v>0</v>
      </c>
      <c r="BI193" s="26">
        <v>0</v>
      </c>
      <c r="BJ193" s="26">
        <v>0</v>
      </c>
      <c r="BK193" s="26">
        <v>0</v>
      </c>
      <c r="BL193" s="26">
        <v>0</v>
      </c>
      <c r="BM193" s="26">
        <v>0</v>
      </c>
      <c r="BN193" s="26">
        <v>0</v>
      </c>
      <c r="BO193" s="26">
        <v>14.550948799999999</v>
      </c>
      <c r="BP193" s="26">
        <v>610.62466600000005</v>
      </c>
      <c r="BQ193" s="26">
        <v>3247.6323400000001</v>
      </c>
      <c r="BR193" s="26">
        <v>59.999990700000012</v>
      </c>
      <c r="BS193" s="26">
        <v>2.0413789200000001</v>
      </c>
      <c r="BT193" s="26">
        <v>1</v>
      </c>
      <c r="BU193" s="26">
        <v>0</v>
      </c>
      <c r="BV193" s="26">
        <v>0</v>
      </c>
      <c r="BW193" s="26">
        <v>-86768.095199999996</v>
      </c>
      <c r="BX193" s="26">
        <v>-2067.6500299999998</v>
      </c>
      <c r="BY193" s="26">
        <v>-1.26255812</v>
      </c>
      <c r="BZ193" s="26">
        <v>-4.7424056800000001</v>
      </c>
      <c r="CA193" s="26">
        <v>-0.113009687</v>
      </c>
      <c r="CB193" s="26">
        <v>7.4674650600000005E-5</v>
      </c>
      <c r="CC193" s="26">
        <v>3.1336914300000001E-3</v>
      </c>
      <c r="CD193" s="26">
        <v>41.964594499999997</v>
      </c>
      <c r="CE193" s="26">
        <v>0</v>
      </c>
      <c r="CF193" s="26">
        <v>0</v>
      </c>
      <c r="CG193" s="26">
        <v>0</v>
      </c>
      <c r="CH193" s="26">
        <v>0</v>
      </c>
      <c r="CI193" s="26">
        <v>0</v>
      </c>
      <c r="CJ193" s="26">
        <v>0</v>
      </c>
      <c r="CK193" s="26">
        <v>0</v>
      </c>
      <c r="CL193" s="26">
        <v>0</v>
      </c>
      <c r="CM193" s="26">
        <v>0</v>
      </c>
      <c r="CN193" s="26">
        <v>0</v>
      </c>
      <c r="CO193" s="26">
        <v>0</v>
      </c>
      <c r="CP193" s="26">
        <v>0</v>
      </c>
      <c r="CQ193" s="26">
        <v>0</v>
      </c>
      <c r="CR193" s="26">
        <v>0</v>
      </c>
      <c r="CS193" s="26">
        <v>0</v>
      </c>
      <c r="CT193" s="26">
        <v>0</v>
      </c>
      <c r="CU193" s="26">
        <v>0</v>
      </c>
      <c r="CV193" s="26">
        <v>0</v>
      </c>
      <c r="CW193" s="26">
        <v>0</v>
      </c>
      <c r="CX193" s="26">
        <v>0</v>
      </c>
      <c r="CY193" s="26">
        <v>0</v>
      </c>
      <c r="CZ193" s="26">
        <v>0</v>
      </c>
      <c r="DA193" s="26">
        <v>0</v>
      </c>
      <c r="DB193" s="26">
        <v>0</v>
      </c>
      <c r="DC193" s="26">
        <v>0</v>
      </c>
      <c r="DD193" s="26">
        <v>0</v>
      </c>
      <c r="DE193" s="26">
        <v>0</v>
      </c>
      <c r="DF193" s="26">
        <v>0</v>
      </c>
      <c r="DG193" s="26">
        <v>0</v>
      </c>
      <c r="DH193" s="26">
        <v>0</v>
      </c>
      <c r="DI193" s="26">
        <v>0</v>
      </c>
      <c r="DJ193" s="26">
        <v>0</v>
      </c>
      <c r="DK193" s="26">
        <v>0</v>
      </c>
      <c r="DL193" s="26">
        <v>0</v>
      </c>
      <c r="DM193" s="26">
        <v>0</v>
      </c>
      <c r="DN193" s="26">
        <v>0</v>
      </c>
      <c r="DO193" s="26">
        <v>0</v>
      </c>
      <c r="DP193" s="26">
        <v>0</v>
      </c>
      <c r="DQ193" s="26">
        <v>0</v>
      </c>
      <c r="DR193" s="26">
        <v>0</v>
      </c>
      <c r="DS193" s="26">
        <v>0</v>
      </c>
      <c r="DT193" s="26">
        <v>0</v>
      </c>
      <c r="DU193" s="26">
        <v>0</v>
      </c>
      <c r="DV193" s="26">
        <v>0</v>
      </c>
      <c r="DW193" s="26">
        <v>0</v>
      </c>
      <c r="DX193" s="26">
        <v>0</v>
      </c>
      <c r="DY193" s="26">
        <v>0</v>
      </c>
      <c r="DZ193" s="26">
        <v>0</v>
      </c>
      <c r="EA193" s="26">
        <v>0</v>
      </c>
      <c r="EB193" s="26">
        <v>0</v>
      </c>
      <c r="EC193" s="26">
        <v>0</v>
      </c>
      <c r="ED193" s="26">
        <v>0</v>
      </c>
      <c r="EE193" s="26">
        <v>0</v>
      </c>
      <c r="EF193" s="26">
        <v>0</v>
      </c>
      <c r="EG193" s="26">
        <v>0</v>
      </c>
      <c r="EH193" s="26">
        <v>0</v>
      </c>
      <c r="EI193" s="26">
        <v>0</v>
      </c>
      <c r="EJ193" s="26">
        <v>0</v>
      </c>
      <c r="EK193" s="26">
        <v>0</v>
      </c>
      <c r="EL193" s="26">
        <v>0</v>
      </c>
      <c r="EM193" s="26">
        <v>0</v>
      </c>
      <c r="EN193" s="26">
        <v>0</v>
      </c>
      <c r="EO193" s="26">
        <v>0</v>
      </c>
      <c r="EP193" s="26">
        <v>0</v>
      </c>
      <c r="EQ193" s="26">
        <v>0</v>
      </c>
      <c r="ER193" s="26">
        <v>0</v>
      </c>
      <c r="ES193" s="26">
        <v>0</v>
      </c>
      <c r="ET193" s="26">
        <v>0</v>
      </c>
      <c r="EU193" s="26">
        <v>0</v>
      </c>
      <c r="EV193" s="26">
        <v>0</v>
      </c>
      <c r="EW193" s="26">
        <v>0</v>
      </c>
      <c r="EX193" s="26">
        <v>0</v>
      </c>
      <c r="EY193" s="26">
        <v>0</v>
      </c>
      <c r="EZ193" s="26">
        <v>0</v>
      </c>
      <c r="FA193" s="26">
        <v>0</v>
      </c>
      <c r="FB193" s="26">
        <v>0</v>
      </c>
      <c r="FC193" s="26">
        <v>0</v>
      </c>
      <c r="FD193" s="26">
        <v>0</v>
      </c>
      <c r="FE193" s="26">
        <v>0</v>
      </c>
      <c r="FF193" s="26">
        <v>0</v>
      </c>
      <c r="FG193" s="26">
        <v>0.22405402699999999</v>
      </c>
      <c r="FH193" s="26">
        <v>-1474105.94248</v>
      </c>
      <c r="FI193" s="26">
        <v>4.0877151715906102E-3</v>
      </c>
      <c r="FJ193" s="26">
        <v>3.4936240001712146E-4</v>
      </c>
      <c r="FK193" s="26">
        <v>3.9515558927235585E-4</v>
      </c>
      <c r="FL193" s="26">
        <v>3.5835315842238082E-25</v>
      </c>
      <c r="FM193" s="26">
        <v>7.8664940073763971E-25</v>
      </c>
      <c r="FN193" s="26">
        <v>3.3006268597383483E-25</v>
      </c>
      <c r="FO193" s="26">
        <v>2.0749918999332683E-21</v>
      </c>
      <c r="FP193" s="26">
        <v>4.2999800621776185E-22</v>
      </c>
      <c r="FQ193" s="26">
        <v>2.3829747385082425E-20</v>
      </c>
      <c r="FR193" s="26">
        <v>0</v>
      </c>
      <c r="FS193" s="26">
        <v>8.6559651525810553E-25</v>
      </c>
      <c r="FT193" s="26">
        <v>2.1844545813645258E-26</v>
      </c>
      <c r="FU193" s="26">
        <v>9.1655436844354603E-27</v>
      </c>
      <c r="FV193" s="26">
        <v>8.6719863749314468E-22</v>
      </c>
      <c r="FW193" s="26">
        <v>1.056801205676632E-22</v>
      </c>
      <c r="FX193" s="26">
        <v>8.3932184282568578E-24</v>
      </c>
      <c r="FY193" s="26">
        <v>2.539859800874434E-15</v>
      </c>
      <c r="FZ193" s="26">
        <v>9.3593242693190397E-13</v>
      </c>
      <c r="GA193" s="26">
        <v>4.2904696176570903E-7</v>
      </c>
      <c r="GB193" s="26">
        <v>0</v>
      </c>
      <c r="GC193" s="26">
        <v>1.0615108501587533E-12</v>
      </c>
      <c r="GD193" s="26">
        <v>2.0275598467760342E-22</v>
      </c>
      <c r="GE193" s="26">
        <v>1.152095814772322E-16</v>
      </c>
      <c r="GF193" s="26">
        <v>1.4808311951799827E-17</v>
      </c>
      <c r="GG193" s="26">
        <v>2.8314083837623782E-8</v>
      </c>
      <c r="GH193" s="26">
        <v>0</v>
      </c>
      <c r="GI193" s="26">
        <v>0</v>
      </c>
      <c r="GJ193" s="26">
        <v>0</v>
      </c>
      <c r="GK193" s="26">
        <v>0</v>
      </c>
      <c r="GL193" s="26">
        <v>0</v>
      </c>
      <c r="GM193" s="26">
        <v>0</v>
      </c>
      <c r="GN193" s="26">
        <v>0</v>
      </c>
      <c r="GO193" s="26">
        <v>0</v>
      </c>
      <c r="GP193" s="26">
        <v>0</v>
      </c>
      <c r="GQ193" s="26">
        <v>0</v>
      </c>
      <c r="GR193" s="26">
        <v>2.2019282009487591E-21</v>
      </c>
      <c r="GS193" s="26">
        <v>1.6949034802258944E-6</v>
      </c>
      <c r="GT193" s="26">
        <v>1.0328814499297183E-9</v>
      </c>
      <c r="GU193" s="26">
        <v>0</v>
      </c>
      <c r="GV193" s="26">
        <v>0</v>
      </c>
      <c r="GW193" s="26">
        <v>0</v>
      </c>
      <c r="GX193" s="26">
        <v>3.2952587485842923E-3</v>
      </c>
      <c r="GY193" s="26">
        <v>0</v>
      </c>
      <c r="GZ193" s="26">
        <v>0</v>
      </c>
      <c r="HA193" s="26">
        <v>2.252765534688791E-10</v>
      </c>
      <c r="HB193" s="26">
        <v>0</v>
      </c>
      <c r="HC193" s="26">
        <v>0</v>
      </c>
      <c r="HD193" s="26">
        <v>0</v>
      </c>
      <c r="HE193" s="26">
        <v>0</v>
      </c>
      <c r="HF193" s="26">
        <v>0</v>
      </c>
      <c r="HG193" s="26">
        <v>0</v>
      </c>
      <c r="HH193" s="26">
        <v>0</v>
      </c>
      <c r="HI193" s="26">
        <v>0</v>
      </c>
      <c r="HJ193" s="26">
        <v>0</v>
      </c>
      <c r="HK193" s="26">
        <v>0</v>
      </c>
      <c r="HL193" s="26">
        <v>0</v>
      </c>
      <c r="HM193" s="26">
        <v>0</v>
      </c>
      <c r="HN193" s="26">
        <v>0</v>
      </c>
      <c r="HO193" s="26">
        <v>0</v>
      </c>
      <c r="HP193" s="26">
        <v>0</v>
      </c>
      <c r="HQ193" s="26">
        <v>0</v>
      </c>
      <c r="HR193" s="26">
        <v>0</v>
      </c>
      <c r="HS193" s="26">
        <v>0</v>
      </c>
      <c r="HT193" s="26">
        <v>0</v>
      </c>
    </row>
    <row r="194" spans="2:228" x14ac:dyDescent="0.2">
      <c r="B194" s="27" t="s">
        <v>1388</v>
      </c>
      <c r="C194" s="26">
        <v>58655.076299999993</v>
      </c>
      <c r="D194" s="26">
        <v>-142.14659900000001</v>
      </c>
      <c r="E194" s="26">
        <v>36763.572099999998</v>
      </c>
      <c r="F194" s="26">
        <v>21690.830699999999</v>
      </c>
      <c r="G194" s="26">
        <v>3.9671217400000002E-6</v>
      </c>
      <c r="H194" s="26">
        <v>8.7085431200000003E-6</v>
      </c>
      <c r="I194" s="26">
        <v>3.6539341700000004E-6</v>
      </c>
      <c r="J194" s="26">
        <v>1.7947588799999999E-4</v>
      </c>
      <c r="K194" s="26">
        <v>3.7192566499999999E-5</v>
      </c>
      <c r="L194" s="26">
        <v>1.4712057200000001E-4</v>
      </c>
      <c r="M194" s="26">
        <v>0</v>
      </c>
      <c r="N194" s="26">
        <v>8.6242950699999999E-6</v>
      </c>
      <c r="O194" s="26">
        <v>2.1764621899999999E-7</v>
      </c>
      <c r="P194" s="26">
        <v>9.1320091899999994E-8</v>
      </c>
      <c r="Q194" s="26">
        <v>6.6007391099999995E-5</v>
      </c>
      <c r="R194" s="26">
        <v>8.04391145E-6</v>
      </c>
      <c r="S194" s="26">
        <v>9.2916494400000001E-5</v>
      </c>
      <c r="T194" s="26">
        <v>4.2048992299999997E-2</v>
      </c>
      <c r="U194" s="26">
        <v>0.53867153499999998</v>
      </c>
      <c r="V194" s="26">
        <v>171.97282799999999</v>
      </c>
      <c r="W194" s="26">
        <v>0</v>
      </c>
      <c r="X194" s="26">
        <v>1.05229208</v>
      </c>
      <c r="Y194" s="26">
        <v>4.8241188599999998E-5</v>
      </c>
      <c r="Z194" s="26">
        <v>3.07226506E-3</v>
      </c>
      <c r="AA194" s="26">
        <v>3.0084916000000001E-3</v>
      </c>
      <c r="AB194" s="26">
        <v>0.20042564199999999</v>
      </c>
      <c r="AC194" s="26">
        <v>0</v>
      </c>
      <c r="AD194" s="26">
        <v>0</v>
      </c>
      <c r="AE194" s="26">
        <v>0</v>
      </c>
      <c r="AF194" s="26">
        <v>0</v>
      </c>
      <c r="AG194" s="26">
        <v>0</v>
      </c>
      <c r="AH194" s="26">
        <v>0</v>
      </c>
      <c r="AI194" s="26">
        <v>0</v>
      </c>
      <c r="AJ194" s="26">
        <v>0</v>
      </c>
      <c r="AK194" s="26">
        <v>0</v>
      </c>
      <c r="AL194" s="26">
        <v>0</v>
      </c>
      <c r="AM194" s="26">
        <v>1.5842673900000001E-5</v>
      </c>
      <c r="AN194" s="26">
        <v>1.4378372099999999E-4</v>
      </c>
      <c r="AO194" s="26">
        <v>2.4005705799999999E-8</v>
      </c>
      <c r="AP194" s="26">
        <v>0</v>
      </c>
      <c r="AQ194" s="26">
        <v>0</v>
      </c>
      <c r="AR194" s="26">
        <v>0</v>
      </c>
      <c r="AS194" s="26">
        <v>26.858380499999999</v>
      </c>
      <c r="AT194" s="26">
        <v>0</v>
      </c>
      <c r="AU194" s="26">
        <v>0</v>
      </c>
      <c r="AV194" s="26">
        <v>2.0271458E-3</v>
      </c>
      <c r="AW194" s="26">
        <v>0</v>
      </c>
      <c r="AX194" s="26">
        <v>0</v>
      </c>
      <c r="AY194" s="26">
        <v>0</v>
      </c>
      <c r="AZ194" s="26">
        <v>0</v>
      </c>
      <c r="BA194" s="26">
        <v>0</v>
      </c>
      <c r="BB194" s="26">
        <v>0</v>
      </c>
      <c r="BC194" s="26">
        <v>0</v>
      </c>
      <c r="BD194" s="26">
        <v>0</v>
      </c>
      <c r="BE194" s="26">
        <v>0</v>
      </c>
      <c r="BF194" s="26">
        <v>0</v>
      </c>
      <c r="BG194" s="26">
        <v>0</v>
      </c>
      <c r="BH194" s="26">
        <v>0</v>
      </c>
      <c r="BI194" s="26">
        <v>0</v>
      </c>
      <c r="BJ194" s="26">
        <v>0</v>
      </c>
      <c r="BK194" s="26">
        <v>0</v>
      </c>
      <c r="BL194" s="26">
        <v>0</v>
      </c>
      <c r="BM194" s="26">
        <v>0</v>
      </c>
      <c r="BN194" s="26">
        <v>0</v>
      </c>
      <c r="BO194" s="26">
        <v>2513.9496600000002</v>
      </c>
      <c r="BP194" s="26">
        <v>58655.076299999993</v>
      </c>
      <c r="BQ194" s="26">
        <v>641022.04599999997</v>
      </c>
      <c r="BR194" s="26">
        <v>116.52252900000002</v>
      </c>
      <c r="BS194" s="26">
        <v>2.0899831799999999</v>
      </c>
      <c r="BT194" s="26">
        <v>1</v>
      </c>
      <c r="BU194" s="26">
        <v>0</v>
      </c>
      <c r="BV194" s="26">
        <v>0</v>
      </c>
      <c r="BW194" s="26">
        <v>-56543.136299999998</v>
      </c>
      <c r="BX194" s="26">
        <v>-2423.4321599999998</v>
      </c>
      <c r="BY194" s="26">
        <v>-142.14659900000001</v>
      </c>
      <c r="BZ194" s="26">
        <v>-16.5582168</v>
      </c>
      <c r="CA194" s="26">
        <v>-0.709683222</v>
      </c>
      <c r="CB194" s="26">
        <v>6.5363056900000002E-5</v>
      </c>
      <c r="CC194" s="26">
        <v>1.5250405199999999E-3</v>
      </c>
      <c r="CD194" s="26">
        <v>23.331842000000002</v>
      </c>
      <c r="CE194" s="26">
        <v>0</v>
      </c>
      <c r="CF194" s="26">
        <v>0</v>
      </c>
      <c r="CG194" s="26">
        <v>0</v>
      </c>
      <c r="CH194" s="26">
        <v>0</v>
      </c>
      <c r="CI194" s="26">
        <v>0</v>
      </c>
      <c r="CJ194" s="26">
        <v>0</v>
      </c>
      <c r="CK194" s="26">
        <v>0</v>
      </c>
      <c r="CL194" s="26">
        <v>0</v>
      </c>
      <c r="CM194" s="26">
        <v>0</v>
      </c>
      <c r="CN194" s="26">
        <v>0</v>
      </c>
      <c r="CO194" s="26">
        <v>0</v>
      </c>
      <c r="CP194" s="26">
        <v>0</v>
      </c>
      <c r="CQ194" s="26">
        <v>0</v>
      </c>
      <c r="CR194" s="26">
        <v>0</v>
      </c>
      <c r="CS194" s="26">
        <v>0</v>
      </c>
      <c r="CT194" s="26">
        <v>0</v>
      </c>
      <c r="CU194" s="26">
        <v>0</v>
      </c>
      <c r="CV194" s="26">
        <v>0</v>
      </c>
      <c r="CW194" s="26">
        <v>0</v>
      </c>
      <c r="CX194" s="26">
        <v>0</v>
      </c>
      <c r="CY194" s="26">
        <v>0</v>
      </c>
      <c r="CZ194" s="26">
        <v>0</v>
      </c>
      <c r="DA194" s="26">
        <v>0</v>
      </c>
      <c r="DB194" s="26">
        <v>0</v>
      </c>
      <c r="DC194" s="26">
        <v>0</v>
      </c>
      <c r="DD194" s="26">
        <v>0</v>
      </c>
      <c r="DE194" s="26">
        <v>0</v>
      </c>
      <c r="DF194" s="26">
        <v>0</v>
      </c>
      <c r="DG194" s="26">
        <v>0</v>
      </c>
      <c r="DH194" s="26">
        <v>0</v>
      </c>
      <c r="DI194" s="26">
        <v>0</v>
      </c>
      <c r="DJ194" s="26">
        <v>0</v>
      </c>
      <c r="DK194" s="26">
        <v>0</v>
      </c>
      <c r="DL194" s="26">
        <v>0</v>
      </c>
      <c r="DM194" s="26">
        <v>0</v>
      </c>
      <c r="DN194" s="26">
        <v>0</v>
      </c>
      <c r="DO194" s="26">
        <v>0</v>
      </c>
      <c r="DP194" s="26">
        <v>0</v>
      </c>
      <c r="DQ194" s="26">
        <v>0</v>
      </c>
      <c r="DR194" s="26">
        <v>0</v>
      </c>
      <c r="DS194" s="26">
        <v>0</v>
      </c>
      <c r="DT194" s="26">
        <v>0</v>
      </c>
      <c r="DU194" s="26">
        <v>0</v>
      </c>
      <c r="DV194" s="26">
        <v>0</v>
      </c>
      <c r="DW194" s="26">
        <v>0</v>
      </c>
      <c r="DX194" s="26">
        <v>0</v>
      </c>
      <c r="DY194" s="26">
        <v>0</v>
      </c>
      <c r="DZ194" s="26">
        <v>0</v>
      </c>
      <c r="EA194" s="26">
        <v>0</v>
      </c>
      <c r="EB194" s="26">
        <v>0</v>
      </c>
      <c r="EC194" s="26">
        <v>0</v>
      </c>
      <c r="ED194" s="26">
        <v>0</v>
      </c>
      <c r="EE194" s="26">
        <v>0</v>
      </c>
      <c r="EF194" s="26">
        <v>0</v>
      </c>
      <c r="EG194" s="26">
        <v>0</v>
      </c>
      <c r="EH194" s="26">
        <v>0</v>
      </c>
      <c r="EI194" s="26">
        <v>0</v>
      </c>
      <c r="EJ194" s="26">
        <v>0</v>
      </c>
      <c r="EK194" s="26">
        <v>0</v>
      </c>
      <c r="EL194" s="26">
        <v>0</v>
      </c>
      <c r="EM194" s="26">
        <v>0</v>
      </c>
      <c r="EN194" s="26">
        <v>0</v>
      </c>
      <c r="EO194" s="26">
        <v>0</v>
      </c>
      <c r="EP194" s="26">
        <v>0</v>
      </c>
      <c r="EQ194" s="26">
        <v>0</v>
      </c>
      <c r="ER194" s="26">
        <v>0</v>
      </c>
      <c r="ES194" s="26">
        <v>0</v>
      </c>
      <c r="ET194" s="26">
        <v>0</v>
      </c>
      <c r="EU194" s="26">
        <v>0</v>
      </c>
      <c r="EV194" s="26">
        <v>0</v>
      </c>
      <c r="EW194" s="26">
        <v>0</v>
      </c>
      <c r="EX194" s="26">
        <v>0</v>
      </c>
      <c r="EY194" s="26">
        <v>0</v>
      </c>
      <c r="EZ194" s="26">
        <v>0</v>
      </c>
      <c r="FA194" s="26">
        <v>0</v>
      </c>
      <c r="FB194" s="26">
        <v>0</v>
      </c>
      <c r="FC194" s="26">
        <v>0</v>
      </c>
      <c r="FD194" s="26">
        <v>0</v>
      </c>
      <c r="FE194" s="26">
        <v>0</v>
      </c>
      <c r="FF194" s="26">
        <v>0</v>
      </c>
      <c r="FG194" s="26">
        <v>0.77552319300000006</v>
      </c>
      <c r="FH194" s="26">
        <v>-167946888.95300001</v>
      </c>
      <c r="FI194" s="26">
        <v>0.26424683850286357</v>
      </c>
      <c r="FJ194" s="26">
        <v>0.566857879534863</v>
      </c>
      <c r="FK194" s="26">
        <v>0.13078698410185144</v>
      </c>
      <c r="FL194" s="26">
        <v>6.1167432433783912E-12</v>
      </c>
      <c r="FM194" s="26">
        <v>1.3427347496307669E-11</v>
      </c>
      <c r="FN194" s="26">
        <v>5.6338521006263727E-12</v>
      </c>
      <c r="FO194" s="26">
        <v>3.3207186376768603E-10</v>
      </c>
      <c r="FP194" s="26">
        <v>6.8814841939407621E-11</v>
      </c>
      <c r="FQ194" s="26">
        <v>1.1938888817733332E-10</v>
      </c>
      <c r="FR194" s="26">
        <v>0</v>
      </c>
      <c r="FS194" s="26">
        <v>1.47748987293103E-11</v>
      </c>
      <c r="FT194" s="26">
        <v>3.7286535576070061E-13</v>
      </c>
      <c r="FU194" s="26">
        <v>1.5644700208490935E-13</v>
      </c>
      <c r="FV194" s="26">
        <v>1.3878235722136997E-10</v>
      </c>
      <c r="FW194" s="26">
        <v>1.6912545301967028E-11</v>
      </c>
      <c r="FX194" s="26">
        <v>1.4326415364611325E-10</v>
      </c>
      <c r="FY194" s="26">
        <v>7.6768302558590872E-8</v>
      </c>
      <c r="FZ194" s="26">
        <v>1.1865116428254265E-6</v>
      </c>
      <c r="GA194" s="26">
        <v>4.9716347064397443E-4</v>
      </c>
      <c r="GB194" s="26">
        <v>0</v>
      </c>
      <c r="GC194" s="26">
        <v>3.2449724981820022E-6</v>
      </c>
      <c r="GD194" s="26">
        <v>8.8074727926820044E-11</v>
      </c>
      <c r="GE194" s="26">
        <v>9.266622101910754E-9</v>
      </c>
      <c r="GF194" s="26">
        <v>7.0767846399476101E-9</v>
      </c>
      <c r="GG194" s="26">
        <v>3.2690522205968623E-6</v>
      </c>
      <c r="GH194" s="26">
        <v>0</v>
      </c>
      <c r="GI194" s="26">
        <v>0</v>
      </c>
      <c r="GJ194" s="26">
        <v>0</v>
      </c>
      <c r="GK194" s="26">
        <v>0</v>
      </c>
      <c r="GL194" s="26">
        <v>0</v>
      </c>
      <c r="GM194" s="26">
        <v>0</v>
      </c>
      <c r="GN194" s="26">
        <v>0</v>
      </c>
      <c r="GO194" s="26">
        <v>0</v>
      </c>
      <c r="GP194" s="26">
        <v>0</v>
      </c>
      <c r="GQ194" s="26">
        <v>0</v>
      </c>
      <c r="GR194" s="26">
        <v>1.5579683735748582E-11</v>
      </c>
      <c r="GS194" s="26">
        <v>1.2481693933186885E-9</v>
      </c>
      <c r="GT194" s="26">
        <v>2.3803724718207575E-13</v>
      </c>
      <c r="GU194" s="26">
        <v>0</v>
      </c>
      <c r="GV194" s="26">
        <v>0</v>
      </c>
      <c r="GW194" s="26">
        <v>0</v>
      </c>
      <c r="GX194" s="26">
        <v>1.6952272718951514E-4</v>
      </c>
      <c r="GY194" s="26">
        <v>0</v>
      </c>
      <c r="GZ194" s="26">
        <v>0</v>
      </c>
      <c r="HA194" s="26">
        <v>8.789476570315813E-9</v>
      </c>
      <c r="HB194" s="26">
        <v>0</v>
      </c>
      <c r="HC194" s="26">
        <v>0</v>
      </c>
      <c r="HD194" s="26">
        <v>0</v>
      </c>
      <c r="HE194" s="26">
        <v>0</v>
      </c>
      <c r="HF194" s="26">
        <v>0</v>
      </c>
      <c r="HG194" s="26">
        <v>0</v>
      </c>
      <c r="HH194" s="26">
        <v>0</v>
      </c>
      <c r="HI194" s="26">
        <v>0</v>
      </c>
      <c r="HJ194" s="26">
        <v>0</v>
      </c>
      <c r="HK194" s="26">
        <v>0</v>
      </c>
      <c r="HL194" s="26">
        <v>0</v>
      </c>
      <c r="HM194" s="26">
        <v>0</v>
      </c>
      <c r="HN194" s="26">
        <v>0</v>
      </c>
      <c r="HO194" s="26">
        <v>0</v>
      </c>
      <c r="HP194" s="26">
        <v>0</v>
      </c>
      <c r="HQ194" s="26">
        <v>0</v>
      </c>
      <c r="HR194" s="26">
        <v>0</v>
      </c>
      <c r="HS194" s="26">
        <v>0</v>
      </c>
      <c r="HT194" s="26">
        <v>0</v>
      </c>
    </row>
    <row r="195" spans="2:228" x14ac:dyDescent="0.2">
      <c r="B195" s="27" t="s">
        <v>1397</v>
      </c>
      <c r="C195" s="26">
        <v>29172.843199999999</v>
      </c>
      <c r="D195" s="26">
        <v>-39.143515200000003</v>
      </c>
      <c r="E195" s="26">
        <v>2160.8988100000001</v>
      </c>
      <c r="F195" s="26">
        <v>26984.883300000001</v>
      </c>
      <c r="G195" s="26">
        <v>0</v>
      </c>
      <c r="H195" s="26">
        <v>0</v>
      </c>
      <c r="I195" s="26">
        <v>0</v>
      </c>
      <c r="J195" s="26">
        <v>0</v>
      </c>
      <c r="K195" s="26">
        <v>0</v>
      </c>
      <c r="L195" s="26">
        <v>0</v>
      </c>
      <c r="M195" s="26">
        <v>0</v>
      </c>
      <c r="N195" s="26">
        <v>0</v>
      </c>
      <c r="O195" s="26">
        <v>0</v>
      </c>
      <c r="P195" s="26">
        <v>0</v>
      </c>
      <c r="Q195" s="26">
        <v>0</v>
      </c>
      <c r="R195" s="26">
        <v>0</v>
      </c>
      <c r="S195" s="26">
        <v>0</v>
      </c>
      <c r="T195" s="26">
        <v>0</v>
      </c>
      <c r="U195" s="26">
        <v>0</v>
      </c>
      <c r="V195" s="26">
        <v>4.9639969599999997E-5</v>
      </c>
      <c r="W195" s="26">
        <v>0</v>
      </c>
      <c r="X195" s="26">
        <v>0</v>
      </c>
      <c r="Y195" s="26">
        <v>0</v>
      </c>
      <c r="Z195" s="26">
        <v>0</v>
      </c>
      <c r="AA195" s="26">
        <v>0</v>
      </c>
      <c r="AB195" s="26">
        <v>0.200425619</v>
      </c>
      <c r="AC195" s="26">
        <v>0</v>
      </c>
      <c r="AD195" s="26">
        <v>0</v>
      </c>
      <c r="AE195" s="26">
        <v>0</v>
      </c>
      <c r="AF195" s="26">
        <v>0</v>
      </c>
      <c r="AG195" s="26">
        <v>0</v>
      </c>
      <c r="AH195" s="26">
        <v>0</v>
      </c>
      <c r="AI195" s="26">
        <v>0</v>
      </c>
      <c r="AJ195" s="26">
        <v>0</v>
      </c>
      <c r="AK195" s="26">
        <v>0</v>
      </c>
      <c r="AL195" s="26">
        <v>0</v>
      </c>
      <c r="AM195" s="26">
        <v>0</v>
      </c>
      <c r="AN195" s="26">
        <v>1.43783719E-4</v>
      </c>
      <c r="AO195" s="26">
        <v>2.40057055E-8</v>
      </c>
      <c r="AP195" s="26">
        <v>0</v>
      </c>
      <c r="AQ195" s="26">
        <v>0</v>
      </c>
      <c r="AR195" s="26">
        <v>0</v>
      </c>
      <c r="AS195" s="26">
        <v>26.858380199999999</v>
      </c>
      <c r="AT195" s="26">
        <v>0</v>
      </c>
      <c r="AU195" s="26">
        <v>0</v>
      </c>
      <c r="AV195" s="26">
        <v>2.0271457700000001E-3</v>
      </c>
      <c r="AW195" s="26">
        <v>0</v>
      </c>
      <c r="AX195" s="26">
        <v>0</v>
      </c>
      <c r="AY195" s="26">
        <v>0</v>
      </c>
      <c r="AZ195" s="26">
        <v>0</v>
      </c>
      <c r="BA195" s="26">
        <v>0</v>
      </c>
      <c r="BB195" s="26">
        <v>0</v>
      </c>
      <c r="BC195" s="26">
        <v>0</v>
      </c>
      <c r="BD195" s="26">
        <v>0</v>
      </c>
      <c r="BE195" s="26">
        <v>0</v>
      </c>
      <c r="BF195" s="26">
        <v>0</v>
      </c>
      <c r="BG195" s="26">
        <v>0</v>
      </c>
      <c r="BH195" s="26">
        <v>0</v>
      </c>
      <c r="BI195" s="26">
        <v>0</v>
      </c>
      <c r="BJ195" s="26">
        <v>0</v>
      </c>
      <c r="BK195" s="26">
        <v>0</v>
      </c>
      <c r="BL195" s="26">
        <v>0</v>
      </c>
      <c r="BM195" s="26">
        <v>0</v>
      </c>
      <c r="BN195" s="26">
        <v>0</v>
      </c>
      <c r="BO195" s="26">
        <v>706.31896400000005</v>
      </c>
      <c r="BP195" s="26">
        <v>29172.843199999999</v>
      </c>
      <c r="BQ195" s="26">
        <v>219674.41699999999</v>
      </c>
      <c r="BR195" s="26">
        <v>90.714099900000008</v>
      </c>
      <c r="BS195" s="26">
        <v>1.6</v>
      </c>
      <c r="BT195" s="26">
        <v>1</v>
      </c>
      <c r="BU195" s="26">
        <v>0</v>
      </c>
      <c r="BV195" s="26">
        <v>0</v>
      </c>
      <c r="BW195" s="26">
        <v>-55419.034200000002</v>
      </c>
      <c r="BX195" s="26">
        <v>-1341.7792199999999</v>
      </c>
      <c r="BY195" s="26">
        <v>-39.143515200000003</v>
      </c>
      <c r="BZ195" s="26">
        <v>-43.342308299999999</v>
      </c>
      <c r="CA195" s="26">
        <v>-1.0493832999999999</v>
      </c>
      <c r="CB195" s="26">
        <v>5.3588318300000001E-5</v>
      </c>
      <c r="CC195" s="26">
        <v>2.21333942E-3</v>
      </c>
      <c r="CD195" s="26">
        <v>41.302647399999998</v>
      </c>
      <c r="CE195" s="26">
        <v>604.54945999999995</v>
      </c>
      <c r="CF195" s="26">
        <v>0</v>
      </c>
      <c r="CG195" s="26">
        <v>0</v>
      </c>
      <c r="CH195" s="26">
        <v>0</v>
      </c>
      <c r="CI195" s="26">
        <v>0</v>
      </c>
      <c r="CJ195" s="26">
        <v>0</v>
      </c>
      <c r="CK195" s="26">
        <v>0</v>
      </c>
      <c r="CL195" s="26">
        <v>0</v>
      </c>
      <c r="CM195" s="26">
        <v>0</v>
      </c>
      <c r="CN195" s="26">
        <v>0</v>
      </c>
      <c r="CO195" s="26">
        <v>0</v>
      </c>
      <c r="CP195" s="26">
        <v>0</v>
      </c>
      <c r="CQ195" s="26">
        <v>0</v>
      </c>
      <c r="CR195" s="26">
        <v>0</v>
      </c>
      <c r="CS195" s="26">
        <v>0</v>
      </c>
      <c r="CT195" s="26">
        <v>0</v>
      </c>
      <c r="CU195" s="26">
        <v>0</v>
      </c>
      <c r="CV195" s="26">
        <v>0</v>
      </c>
      <c r="CW195" s="26">
        <v>0</v>
      </c>
      <c r="CX195" s="26">
        <v>0</v>
      </c>
      <c r="CY195" s="26">
        <v>0</v>
      </c>
      <c r="CZ195" s="26">
        <v>0</v>
      </c>
      <c r="DA195" s="26">
        <v>0</v>
      </c>
      <c r="DB195" s="26">
        <v>0</v>
      </c>
      <c r="DC195" s="26">
        <v>0</v>
      </c>
      <c r="DD195" s="26">
        <v>0</v>
      </c>
      <c r="DE195" s="26">
        <v>0</v>
      </c>
      <c r="DF195" s="26">
        <v>0</v>
      </c>
      <c r="DG195" s="26">
        <v>0</v>
      </c>
      <c r="DH195" s="26">
        <v>0</v>
      </c>
      <c r="DI195" s="26">
        <v>0</v>
      </c>
      <c r="DJ195" s="26">
        <v>0</v>
      </c>
      <c r="DK195" s="26">
        <v>0</v>
      </c>
      <c r="DL195" s="26">
        <v>0</v>
      </c>
      <c r="DM195" s="26">
        <v>0</v>
      </c>
      <c r="DN195" s="26">
        <v>0</v>
      </c>
      <c r="DO195" s="26">
        <v>0</v>
      </c>
      <c r="DP195" s="26">
        <v>0</v>
      </c>
      <c r="DQ195" s="26">
        <v>0</v>
      </c>
      <c r="DR195" s="26">
        <v>0</v>
      </c>
      <c r="DS195" s="26">
        <v>0</v>
      </c>
      <c r="DT195" s="26">
        <v>0</v>
      </c>
      <c r="DU195" s="26">
        <v>0</v>
      </c>
      <c r="DV195" s="26">
        <v>0</v>
      </c>
      <c r="DW195" s="26">
        <v>0</v>
      </c>
      <c r="DX195" s="26">
        <v>0</v>
      </c>
      <c r="DY195" s="26">
        <v>0</v>
      </c>
      <c r="DZ195" s="26">
        <v>0</v>
      </c>
      <c r="EA195" s="26">
        <v>0</v>
      </c>
      <c r="EB195" s="26">
        <v>0</v>
      </c>
      <c r="EC195" s="26">
        <v>0</v>
      </c>
      <c r="ED195" s="26">
        <v>0</v>
      </c>
      <c r="EE195" s="26">
        <v>0</v>
      </c>
      <c r="EF195" s="26">
        <v>0</v>
      </c>
      <c r="EG195" s="26">
        <v>0</v>
      </c>
      <c r="EH195" s="26">
        <v>0</v>
      </c>
      <c r="EI195" s="26">
        <v>0</v>
      </c>
      <c r="EJ195" s="26">
        <v>0</v>
      </c>
      <c r="EK195" s="26">
        <v>0</v>
      </c>
      <c r="EL195" s="26">
        <v>0</v>
      </c>
      <c r="EM195" s="26">
        <v>0</v>
      </c>
      <c r="EN195" s="26">
        <v>0</v>
      </c>
      <c r="EO195" s="26">
        <v>0</v>
      </c>
      <c r="EP195" s="26">
        <v>0</v>
      </c>
      <c r="EQ195" s="26">
        <v>0</v>
      </c>
      <c r="ER195" s="26">
        <v>0</v>
      </c>
      <c r="ES195" s="26">
        <v>0</v>
      </c>
      <c r="ET195" s="26">
        <v>0</v>
      </c>
      <c r="EU195" s="26">
        <v>0</v>
      </c>
      <c r="EV195" s="26">
        <v>0</v>
      </c>
      <c r="EW195" s="26">
        <v>0</v>
      </c>
      <c r="EX195" s="26">
        <v>0</v>
      </c>
      <c r="EY195" s="26">
        <v>0</v>
      </c>
      <c r="EZ195" s="26">
        <v>0</v>
      </c>
      <c r="FA195" s="26">
        <v>0</v>
      </c>
      <c r="FB195" s="26">
        <v>0</v>
      </c>
      <c r="FC195" s="26">
        <v>0</v>
      </c>
      <c r="FD195" s="26">
        <v>0</v>
      </c>
      <c r="FE195" s="26">
        <v>0</v>
      </c>
      <c r="FF195" s="26">
        <v>0</v>
      </c>
      <c r="FG195" s="26">
        <v>1.9275420599999999</v>
      </c>
      <c r="FH195" s="26">
        <v>-46352085.594799995</v>
      </c>
      <c r="FI195" s="26">
        <v>0.32558550816023962</v>
      </c>
      <c r="FJ195" s="26">
        <v>3.3318919988773579E-2</v>
      </c>
      <c r="FK195" s="26">
        <v>0.16270799185721951</v>
      </c>
      <c r="FL195" s="26">
        <v>0</v>
      </c>
      <c r="FM195" s="26">
        <v>0</v>
      </c>
      <c r="FN195" s="26">
        <v>0</v>
      </c>
      <c r="FO195" s="26">
        <v>0</v>
      </c>
      <c r="FP195" s="26">
        <v>0</v>
      </c>
      <c r="FQ195" s="26">
        <v>0</v>
      </c>
      <c r="FR195" s="26">
        <v>0</v>
      </c>
      <c r="FS195" s="26">
        <v>0</v>
      </c>
      <c r="FT195" s="26">
        <v>0</v>
      </c>
      <c r="FU195" s="26">
        <v>0</v>
      </c>
      <c r="FV195" s="26">
        <v>0</v>
      </c>
      <c r="FW195" s="26">
        <v>0</v>
      </c>
      <c r="FX195" s="26">
        <v>0</v>
      </c>
      <c r="FY195" s="26">
        <v>0</v>
      </c>
      <c r="FZ195" s="26">
        <v>0</v>
      </c>
      <c r="GA195" s="26">
        <v>1.4350627225916129E-10</v>
      </c>
      <c r="GB195" s="26">
        <v>0</v>
      </c>
      <c r="GC195" s="26">
        <v>0</v>
      </c>
      <c r="GD195" s="26">
        <v>0</v>
      </c>
      <c r="GE195" s="26">
        <v>0</v>
      </c>
      <c r="GF195" s="26">
        <v>0</v>
      </c>
      <c r="GG195" s="26">
        <v>3.2690518317079705E-6</v>
      </c>
      <c r="GH195" s="26">
        <v>0</v>
      </c>
      <c r="GI195" s="26">
        <v>0</v>
      </c>
      <c r="GJ195" s="26">
        <v>0</v>
      </c>
      <c r="GK195" s="26">
        <v>0</v>
      </c>
      <c r="GL195" s="26">
        <v>0</v>
      </c>
      <c r="GM195" s="26">
        <v>0</v>
      </c>
      <c r="GN195" s="26">
        <v>0</v>
      </c>
      <c r="GO195" s="26">
        <v>0</v>
      </c>
      <c r="GP195" s="26">
        <v>0</v>
      </c>
      <c r="GQ195" s="26">
        <v>0</v>
      </c>
      <c r="GR195" s="26">
        <v>0</v>
      </c>
      <c r="GS195" s="26">
        <v>1.2481693766520216E-9</v>
      </c>
      <c r="GT195" s="26">
        <v>2.380372438487424E-13</v>
      </c>
      <c r="GU195" s="26">
        <v>0</v>
      </c>
      <c r="GV195" s="26">
        <v>0</v>
      </c>
      <c r="GW195" s="26">
        <v>0</v>
      </c>
      <c r="GX195" s="26">
        <v>1.6952272468951512E-4</v>
      </c>
      <c r="GY195" s="26">
        <v>0</v>
      </c>
      <c r="GZ195" s="26">
        <v>0</v>
      </c>
      <c r="HA195" s="26">
        <v>8.7894764592047011E-9</v>
      </c>
      <c r="HB195" s="26">
        <v>0</v>
      </c>
      <c r="HC195" s="26">
        <v>0</v>
      </c>
      <c r="HD195" s="26">
        <v>0</v>
      </c>
      <c r="HE195" s="26">
        <v>0</v>
      </c>
      <c r="HF195" s="26">
        <v>0</v>
      </c>
      <c r="HG195" s="26">
        <v>0</v>
      </c>
      <c r="HH195" s="26">
        <v>0</v>
      </c>
      <c r="HI195" s="26">
        <v>0</v>
      </c>
      <c r="HJ195" s="26">
        <v>0</v>
      </c>
      <c r="HK195" s="26">
        <v>0</v>
      </c>
      <c r="HL195" s="26">
        <v>0</v>
      </c>
      <c r="HM195" s="26">
        <v>0</v>
      </c>
      <c r="HN195" s="26">
        <v>0</v>
      </c>
      <c r="HO195" s="26">
        <v>0</v>
      </c>
      <c r="HP195" s="26">
        <v>0</v>
      </c>
      <c r="HQ195" s="26">
        <v>0</v>
      </c>
      <c r="HR195" s="26">
        <v>0</v>
      </c>
      <c r="HS195" s="26">
        <v>0</v>
      </c>
      <c r="HT195" s="26">
        <v>0</v>
      </c>
    </row>
    <row r="196" spans="2:228" x14ac:dyDescent="0.2">
      <c r="B196" s="27" t="s">
        <v>1404</v>
      </c>
      <c r="C196" s="26">
        <v>21809.986700000001</v>
      </c>
      <c r="D196" s="26">
        <v>-31.466227000000003</v>
      </c>
      <c r="E196" s="26">
        <v>110.51614600000001</v>
      </c>
      <c r="F196" s="26">
        <v>21672.409500000002</v>
      </c>
      <c r="G196" s="26">
        <v>0</v>
      </c>
      <c r="H196" s="26">
        <v>0</v>
      </c>
      <c r="I196" s="26">
        <v>0</v>
      </c>
      <c r="J196" s="26">
        <v>0</v>
      </c>
      <c r="K196" s="26">
        <v>0</v>
      </c>
      <c r="L196" s="26">
        <v>0</v>
      </c>
      <c r="M196" s="26">
        <v>0</v>
      </c>
      <c r="N196" s="26">
        <v>0</v>
      </c>
      <c r="O196" s="26">
        <v>0</v>
      </c>
      <c r="P196" s="26">
        <v>0</v>
      </c>
      <c r="Q196" s="26">
        <v>0</v>
      </c>
      <c r="R196" s="26">
        <v>0</v>
      </c>
      <c r="S196" s="26">
        <v>0</v>
      </c>
      <c r="T196" s="26">
        <v>0</v>
      </c>
      <c r="U196" s="26">
        <v>0</v>
      </c>
      <c r="V196" s="26">
        <v>4.9639969599999997E-5</v>
      </c>
      <c r="W196" s="26">
        <v>0</v>
      </c>
      <c r="X196" s="26">
        <v>0</v>
      </c>
      <c r="Y196" s="26">
        <v>0</v>
      </c>
      <c r="Z196" s="26">
        <v>0</v>
      </c>
      <c r="AA196" s="26">
        <v>0</v>
      </c>
      <c r="AB196" s="26">
        <v>0.200425619</v>
      </c>
      <c r="AC196" s="26">
        <v>0</v>
      </c>
      <c r="AD196" s="26">
        <v>0</v>
      </c>
      <c r="AE196" s="26">
        <v>0</v>
      </c>
      <c r="AF196" s="26">
        <v>0</v>
      </c>
      <c r="AG196" s="26">
        <v>0</v>
      </c>
      <c r="AH196" s="26">
        <v>0</v>
      </c>
      <c r="AI196" s="26">
        <v>0</v>
      </c>
      <c r="AJ196" s="26">
        <v>0</v>
      </c>
      <c r="AK196" s="26">
        <v>0</v>
      </c>
      <c r="AL196" s="26">
        <v>0</v>
      </c>
      <c r="AM196" s="26">
        <v>0</v>
      </c>
      <c r="AN196" s="26">
        <v>1.43783719E-4</v>
      </c>
      <c r="AO196" s="26">
        <v>2.40057055E-8</v>
      </c>
      <c r="AP196" s="26">
        <v>0</v>
      </c>
      <c r="AQ196" s="26">
        <v>0</v>
      </c>
      <c r="AR196" s="26">
        <v>0</v>
      </c>
      <c r="AS196" s="26">
        <v>26.858380199999999</v>
      </c>
      <c r="AT196" s="26">
        <v>0</v>
      </c>
      <c r="AU196" s="26">
        <v>0</v>
      </c>
      <c r="AV196" s="26">
        <v>2.0271457700000001E-3</v>
      </c>
      <c r="AW196" s="26">
        <v>0</v>
      </c>
      <c r="AX196" s="26">
        <v>0</v>
      </c>
      <c r="AY196" s="26">
        <v>0</v>
      </c>
      <c r="AZ196" s="26">
        <v>0</v>
      </c>
      <c r="BA196" s="26">
        <v>0</v>
      </c>
      <c r="BB196" s="26">
        <v>0</v>
      </c>
      <c r="BC196" s="26">
        <v>0</v>
      </c>
      <c r="BD196" s="26">
        <v>0</v>
      </c>
      <c r="BE196" s="26">
        <v>0</v>
      </c>
      <c r="BF196" s="26">
        <v>0</v>
      </c>
      <c r="BG196" s="26">
        <v>0</v>
      </c>
      <c r="BH196" s="26">
        <v>0</v>
      </c>
      <c r="BI196" s="26">
        <v>0</v>
      </c>
      <c r="BJ196" s="26">
        <v>0</v>
      </c>
      <c r="BK196" s="26">
        <v>0</v>
      </c>
      <c r="BL196" s="26">
        <v>0</v>
      </c>
      <c r="BM196" s="26">
        <v>0</v>
      </c>
      <c r="BN196" s="26">
        <v>0</v>
      </c>
      <c r="BO196" s="26">
        <v>477.18994400000003</v>
      </c>
      <c r="BP196" s="26">
        <v>21809.986700000001</v>
      </c>
      <c r="BQ196" s="26">
        <v>463.42916200000002</v>
      </c>
      <c r="BR196" s="26">
        <v>38</v>
      </c>
      <c r="BS196" s="26">
        <v>1</v>
      </c>
      <c r="BT196" s="26">
        <v>0</v>
      </c>
      <c r="BU196" s="26">
        <v>1</v>
      </c>
      <c r="BV196" s="26">
        <v>0</v>
      </c>
      <c r="BW196" s="26">
        <v>-65940.674499999994</v>
      </c>
      <c r="BX196" s="26">
        <v>-1442.74397</v>
      </c>
      <c r="BY196" s="26">
        <v>-31.466227000000003</v>
      </c>
      <c r="BZ196" s="26">
        <v>-80.690886199999994</v>
      </c>
      <c r="CA196" s="26">
        <v>-1.7654700999999999</v>
      </c>
      <c r="CB196" s="26">
        <v>1.7161556299999998E-2</v>
      </c>
      <c r="CC196" s="26">
        <v>0.784369659</v>
      </c>
      <c r="CD196" s="26">
        <v>45.705042599999999</v>
      </c>
      <c r="CE196" s="26">
        <v>458.50700399999999</v>
      </c>
      <c r="CF196" s="26">
        <v>0</v>
      </c>
      <c r="CG196" s="26">
        <v>0</v>
      </c>
      <c r="CH196" s="26">
        <v>0</v>
      </c>
      <c r="CI196" s="26">
        <v>0</v>
      </c>
      <c r="CJ196" s="26">
        <v>0</v>
      </c>
      <c r="CK196" s="26">
        <v>0</v>
      </c>
      <c r="CL196" s="26">
        <v>0</v>
      </c>
      <c r="CM196" s="26">
        <v>0</v>
      </c>
      <c r="CN196" s="26">
        <v>0</v>
      </c>
      <c r="CO196" s="26">
        <v>0</v>
      </c>
      <c r="CP196" s="26">
        <v>0</v>
      </c>
      <c r="CQ196" s="26">
        <v>0</v>
      </c>
      <c r="CR196" s="26">
        <v>0</v>
      </c>
      <c r="CS196" s="26">
        <v>0</v>
      </c>
      <c r="CT196" s="26">
        <v>0</v>
      </c>
      <c r="CU196" s="26">
        <v>0</v>
      </c>
      <c r="CV196" s="26">
        <v>0</v>
      </c>
      <c r="CW196" s="26">
        <v>0</v>
      </c>
      <c r="CX196" s="26">
        <v>0</v>
      </c>
      <c r="CY196" s="26">
        <v>0</v>
      </c>
      <c r="CZ196" s="26">
        <v>0</v>
      </c>
      <c r="DA196" s="26">
        <v>0</v>
      </c>
      <c r="DB196" s="26">
        <v>0</v>
      </c>
      <c r="DC196" s="26">
        <v>0</v>
      </c>
      <c r="DD196" s="26">
        <v>0</v>
      </c>
      <c r="DE196" s="26">
        <v>0</v>
      </c>
      <c r="DF196" s="26">
        <v>0</v>
      </c>
      <c r="DG196" s="26">
        <v>0</v>
      </c>
      <c r="DH196" s="26">
        <v>0</v>
      </c>
      <c r="DI196" s="26">
        <v>0</v>
      </c>
      <c r="DJ196" s="26">
        <v>0</v>
      </c>
      <c r="DK196" s="26">
        <v>0</v>
      </c>
      <c r="DL196" s="26">
        <v>0</v>
      </c>
      <c r="DM196" s="26">
        <v>0</v>
      </c>
      <c r="DN196" s="26">
        <v>0</v>
      </c>
      <c r="DO196" s="26">
        <v>0</v>
      </c>
      <c r="DP196" s="26">
        <v>0</v>
      </c>
      <c r="DQ196" s="26">
        <v>0</v>
      </c>
      <c r="DR196" s="26">
        <v>0</v>
      </c>
      <c r="DS196" s="26">
        <v>0</v>
      </c>
      <c r="DT196" s="26">
        <v>0</v>
      </c>
      <c r="DU196" s="26">
        <v>0</v>
      </c>
      <c r="DV196" s="26">
        <v>0</v>
      </c>
      <c r="DW196" s="26">
        <v>0</v>
      </c>
      <c r="DX196" s="26">
        <v>0</v>
      </c>
      <c r="DY196" s="26">
        <v>0</v>
      </c>
      <c r="DZ196" s="26">
        <v>0</v>
      </c>
      <c r="EA196" s="26">
        <v>0</v>
      </c>
      <c r="EB196" s="26">
        <v>0</v>
      </c>
      <c r="EC196" s="26">
        <v>0</v>
      </c>
      <c r="ED196" s="26">
        <v>0</v>
      </c>
      <c r="EE196" s="26">
        <v>0</v>
      </c>
      <c r="EF196" s="26">
        <v>0</v>
      </c>
      <c r="EG196" s="26">
        <v>0</v>
      </c>
      <c r="EH196" s="26">
        <v>0</v>
      </c>
      <c r="EI196" s="26">
        <v>0</v>
      </c>
      <c r="EJ196" s="26">
        <v>0</v>
      </c>
      <c r="EK196" s="26">
        <v>0</v>
      </c>
      <c r="EL196" s="26">
        <v>0</v>
      </c>
      <c r="EM196" s="26">
        <v>0</v>
      </c>
      <c r="EN196" s="26">
        <v>0</v>
      </c>
      <c r="EO196" s="26">
        <v>0</v>
      </c>
      <c r="EP196" s="26">
        <v>0</v>
      </c>
      <c r="EQ196" s="26">
        <v>0</v>
      </c>
      <c r="ER196" s="26">
        <v>0</v>
      </c>
      <c r="ES196" s="26">
        <v>0</v>
      </c>
      <c r="ET196" s="26">
        <v>1</v>
      </c>
      <c r="EU196" s="26">
        <v>0</v>
      </c>
      <c r="EV196" s="26">
        <v>0</v>
      </c>
      <c r="EW196" s="26">
        <v>0</v>
      </c>
      <c r="EX196" s="26">
        <v>0</v>
      </c>
      <c r="EY196" s="26">
        <v>0</v>
      </c>
      <c r="EZ196" s="26">
        <v>0</v>
      </c>
      <c r="FA196" s="26">
        <v>0</v>
      </c>
      <c r="FB196" s="26">
        <v>0</v>
      </c>
      <c r="FC196" s="26">
        <v>0</v>
      </c>
      <c r="FD196" s="26">
        <v>0</v>
      </c>
      <c r="FE196" s="26">
        <v>0</v>
      </c>
      <c r="FF196" s="26">
        <v>0</v>
      </c>
      <c r="FG196" s="26">
        <v>2.07068422</v>
      </c>
      <c r="FH196" s="26">
        <v>-36816511.942299999</v>
      </c>
      <c r="FI196" s="26">
        <v>0.26152134709217079</v>
      </c>
      <c r="FJ196" s="26">
        <v>0</v>
      </c>
      <c r="FK196" s="26">
        <v>0</v>
      </c>
      <c r="FL196" s="26">
        <v>0</v>
      </c>
      <c r="FM196" s="26">
        <v>0</v>
      </c>
      <c r="FN196" s="26">
        <v>0</v>
      </c>
      <c r="FO196" s="26">
        <v>0</v>
      </c>
      <c r="FP196" s="26">
        <v>0</v>
      </c>
      <c r="FQ196" s="26">
        <v>0</v>
      </c>
      <c r="FR196" s="26">
        <v>0</v>
      </c>
      <c r="FS196" s="26">
        <v>0</v>
      </c>
      <c r="FT196" s="26">
        <v>0</v>
      </c>
      <c r="FU196" s="26">
        <v>0</v>
      </c>
      <c r="FV196" s="26">
        <v>0</v>
      </c>
      <c r="FW196" s="26">
        <v>0</v>
      </c>
      <c r="FX196" s="26">
        <v>0</v>
      </c>
      <c r="FY196" s="26">
        <v>0</v>
      </c>
      <c r="FZ196" s="26">
        <v>0</v>
      </c>
      <c r="GA196" s="26">
        <v>0</v>
      </c>
      <c r="GB196" s="26">
        <v>0</v>
      </c>
      <c r="GC196" s="26">
        <v>0</v>
      </c>
      <c r="GD196" s="26">
        <v>0</v>
      </c>
      <c r="GE196" s="26">
        <v>0</v>
      </c>
      <c r="GF196" s="26">
        <v>0</v>
      </c>
      <c r="GG196" s="26">
        <v>0</v>
      </c>
      <c r="GH196" s="26">
        <v>0</v>
      </c>
      <c r="GI196" s="26">
        <v>0</v>
      </c>
      <c r="GJ196" s="26">
        <v>0</v>
      </c>
      <c r="GK196" s="26">
        <v>0</v>
      </c>
      <c r="GL196" s="26">
        <v>0</v>
      </c>
      <c r="GM196" s="26">
        <v>0</v>
      </c>
      <c r="GN196" s="26">
        <v>0</v>
      </c>
      <c r="GO196" s="26">
        <v>0</v>
      </c>
      <c r="GP196" s="26">
        <v>0</v>
      </c>
      <c r="GQ196" s="26">
        <v>0</v>
      </c>
      <c r="GR196" s="26">
        <v>0</v>
      </c>
      <c r="GS196" s="26">
        <v>0</v>
      </c>
      <c r="GT196" s="26">
        <v>0</v>
      </c>
      <c r="GU196" s="26">
        <v>0</v>
      </c>
      <c r="GV196" s="26">
        <v>0</v>
      </c>
      <c r="GW196" s="26">
        <v>0</v>
      </c>
      <c r="GX196" s="26">
        <v>0</v>
      </c>
      <c r="GY196" s="26">
        <v>0</v>
      </c>
      <c r="GZ196" s="26">
        <v>0</v>
      </c>
      <c r="HA196" s="26">
        <v>0</v>
      </c>
      <c r="HB196" s="26">
        <v>0</v>
      </c>
      <c r="HC196" s="26">
        <v>0</v>
      </c>
      <c r="HD196" s="26">
        <v>0</v>
      </c>
      <c r="HE196" s="26">
        <v>0</v>
      </c>
      <c r="HF196" s="26">
        <v>0</v>
      </c>
      <c r="HG196" s="26">
        <v>0</v>
      </c>
      <c r="HH196" s="26">
        <v>0</v>
      </c>
      <c r="HI196" s="26">
        <v>0</v>
      </c>
      <c r="HJ196" s="26">
        <v>0</v>
      </c>
      <c r="HK196" s="26">
        <v>0</v>
      </c>
      <c r="HL196" s="26">
        <v>0</v>
      </c>
      <c r="HM196" s="26">
        <v>0</v>
      </c>
      <c r="HN196" s="26">
        <v>0</v>
      </c>
      <c r="HO196" s="26">
        <v>0</v>
      </c>
      <c r="HP196" s="26">
        <v>0</v>
      </c>
      <c r="HQ196" s="26">
        <v>0</v>
      </c>
      <c r="HR196" s="26">
        <v>0</v>
      </c>
      <c r="HS196" s="26">
        <v>0</v>
      </c>
      <c r="HT196" s="26">
        <v>0</v>
      </c>
    </row>
    <row r="197" spans="2:228" x14ac:dyDescent="0.2">
      <c r="B197" s="27" t="s">
        <v>1407</v>
      </c>
      <c r="C197" s="26">
        <v>36845.0942</v>
      </c>
      <c r="D197" s="26">
        <v>-135.66282799999999</v>
      </c>
      <c r="E197" s="26">
        <v>36653.061500000003</v>
      </c>
      <c r="F197" s="26">
        <v>18.420235999999999</v>
      </c>
      <c r="G197" s="26">
        <v>3.9671217599999998E-6</v>
      </c>
      <c r="H197" s="26">
        <v>8.7085431599999996E-6</v>
      </c>
      <c r="I197" s="26">
        <v>3.65393419E-6</v>
      </c>
      <c r="J197" s="26">
        <v>1.7947588900000001E-4</v>
      </c>
      <c r="K197" s="26">
        <v>3.7192566700000002E-5</v>
      </c>
      <c r="L197" s="26">
        <v>1.47120573E-4</v>
      </c>
      <c r="M197" s="26">
        <v>0</v>
      </c>
      <c r="N197" s="26">
        <v>8.6242951099999992E-6</v>
      </c>
      <c r="O197" s="26">
        <v>2.1764621999999999E-7</v>
      </c>
      <c r="P197" s="26">
        <v>9.1320092300000001E-8</v>
      </c>
      <c r="Q197" s="26">
        <v>6.6007391399999996E-5</v>
      </c>
      <c r="R197" s="26">
        <v>8.0439114899999993E-6</v>
      </c>
      <c r="S197" s="26">
        <v>9.2916494799999994E-5</v>
      </c>
      <c r="T197" s="26">
        <v>4.20489925E-2</v>
      </c>
      <c r="U197" s="26">
        <v>0.53867153800000001</v>
      </c>
      <c r="V197" s="26">
        <v>171.972779</v>
      </c>
      <c r="W197" s="26">
        <v>0</v>
      </c>
      <c r="X197" s="26">
        <v>1.0522920899999999</v>
      </c>
      <c r="Y197" s="26">
        <v>4.82411889E-5</v>
      </c>
      <c r="Z197" s="26">
        <v>3.0722650799999999E-3</v>
      </c>
      <c r="AA197" s="26">
        <v>3.00849162E-3</v>
      </c>
      <c r="AB197" s="26">
        <v>1.9941296999999998E-8</v>
      </c>
      <c r="AC197" s="26">
        <v>0</v>
      </c>
      <c r="AD197" s="26">
        <v>0</v>
      </c>
      <c r="AE197" s="26">
        <v>0</v>
      </c>
      <c r="AF197" s="26">
        <v>0</v>
      </c>
      <c r="AG197" s="26">
        <v>0</v>
      </c>
      <c r="AH197" s="26">
        <v>0</v>
      </c>
      <c r="AI197" s="26">
        <v>0</v>
      </c>
      <c r="AJ197" s="26">
        <v>0</v>
      </c>
      <c r="AK197" s="26">
        <v>0</v>
      </c>
      <c r="AL197" s="26">
        <v>0</v>
      </c>
      <c r="AM197" s="26">
        <v>1.5842673999999999E-5</v>
      </c>
      <c r="AN197" s="26">
        <v>0</v>
      </c>
      <c r="AO197" s="26">
        <v>0</v>
      </c>
      <c r="AP197" s="26">
        <v>0</v>
      </c>
      <c r="AQ197" s="26">
        <v>0</v>
      </c>
      <c r="AR197" s="26">
        <v>0</v>
      </c>
      <c r="AS197" s="26">
        <v>0</v>
      </c>
      <c r="AT197" s="26">
        <v>0</v>
      </c>
      <c r="AU197" s="26">
        <v>0</v>
      </c>
      <c r="AV197" s="26">
        <v>5.5672503000000003E-17</v>
      </c>
      <c r="AW197" s="26">
        <v>0</v>
      </c>
      <c r="AX197" s="26">
        <v>0</v>
      </c>
      <c r="AY197" s="26">
        <v>0</v>
      </c>
      <c r="AZ197" s="26">
        <v>0</v>
      </c>
      <c r="BA197" s="26">
        <v>0</v>
      </c>
      <c r="BB197" s="26">
        <v>0</v>
      </c>
      <c r="BC197" s="26">
        <v>0</v>
      </c>
      <c r="BD197" s="26">
        <v>0</v>
      </c>
      <c r="BE197" s="26">
        <v>0</v>
      </c>
      <c r="BF197" s="26">
        <v>0</v>
      </c>
      <c r="BG197" s="26">
        <v>0</v>
      </c>
      <c r="BH197" s="26">
        <v>0</v>
      </c>
      <c r="BI197" s="26">
        <v>0</v>
      </c>
      <c r="BJ197" s="26">
        <v>0</v>
      </c>
      <c r="BK197" s="26">
        <v>0</v>
      </c>
      <c r="BL197" s="26">
        <v>0</v>
      </c>
      <c r="BM197" s="26">
        <v>0</v>
      </c>
      <c r="BN197" s="26">
        <v>0</v>
      </c>
      <c r="BO197" s="26">
        <v>2036.7599999999998</v>
      </c>
      <c r="BP197" s="26">
        <v>36845.0942</v>
      </c>
      <c r="BQ197" s="26">
        <v>679.188759</v>
      </c>
      <c r="BR197" s="26">
        <v>113.73433899999998</v>
      </c>
      <c r="BS197" s="26">
        <v>6.0910336200000001</v>
      </c>
      <c r="BT197" s="26">
        <v>0</v>
      </c>
      <c r="BU197" s="26">
        <v>1</v>
      </c>
      <c r="BV197" s="26">
        <v>0</v>
      </c>
      <c r="BW197" s="26">
        <v>-66607.173599999995</v>
      </c>
      <c r="BX197" s="26">
        <v>-3681.97802</v>
      </c>
      <c r="BY197" s="26">
        <v>-135.66282799999999</v>
      </c>
      <c r="BZ197" s="26">
        <v>-34.220331600000002</v>
      </c>
      <c r="CA197" s="26">
        <v>-1.89166575</v>
      </c>
      <c r="CB197" s="26">
        <v>4.9980214199999998E-2</v>
      </c>
      <c r="CC197" s="26">
        <v>0.90414466999999998</v>
      </c>
      <c r="CD197" s="26">
        <v>18.090051899999999</v>
      </c>
      <c r="CE197" s="26">
        <v>614.95098399999995</v>
      </c>
      <c r="CF197" s="26">
        <v>0</v>
      </c>
      <c r="CG197" s="26">
        <v>0</v>
      </c>
      <c r="CH197" s="26">
        <v>0</v>
      </c>
      <c r="CI197" s="26">
        <v>0</v>
      </c>
      <c r="CJ197" s="26">
        <v>0</v>
      </c>
      <c r="CK197" s="26">
        <v>0</v>
      </c>
      <c r="CL197" s="26">
        <v>0</v>
      </c>
      <c r="CM197" s="26">
        <v>0</v>
      </c>
      <c r="CN197" s="26">
        <v>0</v>
      </c>
      <c r="CO197" s="26">
        <v>0</v>
      </c>
      <c r="CP197" s="26">
        <v>0</v>
      </c>
      <c r="CQ197" s="26">
        <v>0</v>
      </c>
      <c r="CR197" s="26">
        <v>0</v>
      </c>
      <c r="CS197" s="26">
        <v>0</v>
      </c>
      <c r="CT197" s="26">
        <v>0</v>
      </c>
      <c r="CU197" s="26">
        <v>0</v>
      </c>
      <c r="CV197" s="26">
        <v>0</v>
      </c>
      <c r="CW197" s="26">
        <v>0</v>
      </c>
      <c r="CX197" s="26">
        <v>0</v>
      </c>
      <c r="CY197" s="26">
        <v>0</v>
      </c>
      <c r="CZ197" s="26">
        <v>0</v>
      </c>
      <c r="DA197" s="26">
        <v>0</v>
      </c>
      <c r="DB197" s="26">
        <v>0</v>
      </c>
      <c r="DC197" s="26">
        <v>0</v>
      </c>
      <c r="DD197" s="26">
        <v>0</v>
      </c>
      <c r="DE197" s="26">
        <v>0</v>
      </c>
      <c r="DF197" s="26">
        <v>0</v>
      </c>
      <c r="DG197" s="26">
        <v>0</v>
      </c>
      <c r="DH197" s="26">
        <v>0</v>
      </c>
      <c r="DI197" s="26">
        <v>0</v>
      </c>
      <c r="DJ197" s="26">
        <v>0</v>
      </c>
      <c r="DK197" s="26">
        <v>0</v>
      </c>
      <c r="DL197" s="26">
        <v>0</v>
      </c>
      <c r="DM197" s="26">
        <v>0</v>
      </c>
      <c r="DN197" s="26">
        <v>0</v>
      </c>
      <c r="DO197" s="26">
        <v>0</v>
      </c>
      <c r="DP197" s="26">
        <v>0</v>
      </c>
      <c r="DQ197" s="26">
        <v>0</v>
      </c>
      <c r="DR197" s="26">
        <v>0</v>
      </c>
      <c r="DS197" s="26">
        <v>0</v>
      </c>
      <c r="DT197" s="26">
        <v>0</v>
      </c>
      <c r="DU197" s="26">
        <v>0</v>
      </c>
      <c r="DV197" s="26">
        <v>0</v>
      </c>
      <c r="DW197" s="26">
        <v>0</v>
      </c>
      <c r="DX197" s="26">
        <v>0</v>
      </c>
      <c r="DY197" s="26">
        <v>0</v>
      </c>
      <c r="DZ197" s="26">
        <v>0</v>
      </c>
      <c r="EA197" s="26">
        <v>0</v>
      </c>
      <c r="EB197" s="26">
        <v>0</v>
      </c>
      <c r="EC197" s="26">
        <v>0</v>
      </c>
      <c r="ED197" s="26">
        <v>0</v>
      </c>
      <c r="EE197" s="26">
        <v>0</v>
      </c>
      <c r="EF197" s="26">
        <v>0</v>
      </c>
      <c r="EG197" s="26">
        <v>0</v>
      </c>
      <c r="EH197" s="26">
        <v>0</v>
      </c>
      <c r="EI197" s="26">
        <v>0</v>
      </c>
      <c r="EJ197" s="26">
        <v>0</v>
      </c>
      <c r="EK197" s="26">
        <v>0</v>
      </c>
      <c r="EL197" s="26">
        <v>0</v>
      </c>
      <c r="EM197" s="26">
        <v>0</v>
      </c>
      <c r="EN197" s="26">
        <v>0</v>
      </c>
      <c r="EO197" s="26">
        <v>0</v>
      </c>
      <c r="EP197" s="26">
        <v>0</v>
      </c>
      <c r="EQ197" s="26">
        <v>0</v>
      </c>
      <c r="ER197" s="26">
        <v>0</v>
      </c>
      <c r="ES197" s="26">
        <v>0</v>
      </c>
      <c r="ET197" s="26">
        <v>6.0910336200000001</v>
      </c>
      <c r="EU197" s="26">
        <v>0</v>
      </c>
      <c r="EV197" s="26">
        <v>0</v>
      </c>
      <c r="EW197" s="26">
        <v>0</v>
      </c>
      <c r="EX197" s="26">
        <v>0</v>
      </c>
      <c r="EY197" s="26">
        <v>0</v>
      </c>
      <c r="EZ197" s="26">
        <v>0</v>
      </c>
      <c r="FA197" s="26">
        <v>0</v>
      </c>
      <c r="FB197" s="26">
        <v>0</v>
      </c>
      <c r="FC197" s="26">
        <v>0</v>
      </c>
      <c r="FD197" s="26">
        <v>0</v>
      </c>
      <c r="FE197" s="26">
        <v>0</v>
      </c>
      <c r="FF197" s="26">
        <v>0</v>
      </c>
      <c r="FG197" s="26">
        <v>8.86888087E-3</v>
      </c>
      <c r="FH197" s="26">
        <v>-161576625.06999999</v>
      </c>
      <c r="FI197" s="26">
        <v>2.725480149581619E-3</v>
      </c>
      <c r="FJ197" s="26">
        <v>0</v>
      </c>
      <c r="FK197" s="26">
        <v>0</v>
      </c>
      <c r="FL197" s="26">
        <v>0</v>
      </c>
      <c r="FM197" s="26">
        <v>0</v>
      </c>
      <c r="FN197" s="26">
        <v>0</v>
      </c>
      <c r="FO197" s="26">
        <v>0</v>
      </c>
      <c r="FP197" s="26">
        <v>0</v>
      </c>
      <c r="FQ197" s="26">
        <v>0</v>
      </c>
      <c r="FR197" s="26">
        <v>0</v>
      </c>
      <c r="FS197" s="26">
        <v>0</v>
      </c>
      <c r="FT197" s="26">
        <v>0</v>
      </c>
      <c r="FU197" s="26">
        <v>0</v>
      </c>
      <c r="FV197" s="26">
        <v>0</v>
      </c>
      <c r="FW197" s="26">
        <v>0</v>
      </c>
      <c r="FX197" s="26">
        <v>0</v>
      </c>
      <c r="FY197" s="26">
        <v>0</v>
      </c>
      <c r="FZ197" s="26">
        <v>0</v>
      </c>
      <c r="GA197" s="26">
        <v>0</v>
      </c>
      <c r="GB197" s="26">
        <v>0</v>
      </c>
      <c r="GC197" s="26">
        <v>0</v>
      </c>
      <c r="GD197" s="26">
        <v>0</v>
      </c>
      <c r="GE197" s="26">
        <v>0</v>
      </c>
      <c r="GF197" s="26">
        <v>0</v>
      </c>
      <c r="GG197" s="26">
        <v>0</v>
      </c>
      <c r="GH197" s="26">
        <v>0</v>
      </c>
      <c r="GI197" s="26">
        <v>0</v>
      </c>
      <c r="GJ197" s="26">
        <v>0</v>
      </c>
      <c r="GK197" s="26">
        <v>0</v>
      </c>
      <c r="GL197" s="26">
        <v>0</v>
      </c>
      <c r="GM197" s="26">
        <v>0</v>
      </c>
      <c r="GN197" s="26">
        <v>0</v>
      </c>
      <c r="GO197" s="26">
        <v>0</v>
      </c>
      <c r="GP197" s="26">
        <v>0</v>
      </c>
      <c r="GQ197" s="26">
        <v>0</v>
      </c>
      <c r="GR197" s="26">
        <v>0</v>
      </c>
      <c r="GS197" s="26">
        <v>0</v>
      </c>
      <c r="GT197" s="26">
        <v>0</v>
      </c>
      <c r="GU197" s="26">
        <v>0</v>
      </c>
      <c r="GV197" s="26">
        <v>0</v>
      </c>
      <c r="GW197" s="26">
        <v>0</v>
      </c>
      <c r="GX197" s="26">
        <v>0</v>
      </c>
      <c r="GY197" s="26">
        <v>0</v>
      </c>
      <c r="GZ197" s="26">
        <v>0</v>
      </c>
      <c r="HA197" s="26">
        <v>0</v>
      </c>
      <c r="HB197" s="26">
        <v>0</v>
      </c>
      <c r="HC197" s="26">
        <v>0</v>
      </c>
      <c r="HD197" s="26">
        <v>0</v>
      </c>
      <c r="HE197" s="26">
        <v>0</v>
      </c>
      <c r="HF197" s="26">
        <v>0</v>
      </c>
      <c r="HG197" s="26">
        <v>0</v>
      </c>
      <c r="HH197" s="26">
        <v>0</v>
      </c>
      <c r="HI197" s="26">
        <v>0</v>
      </c>
      <c r="HJ197" s="26">
        <v>0</v>
      </c>
      <c r="HK197" s="26">
        <v>0</v>
      </c>
      <c r="HL197" s="26">
        <v>0</v>
      </c>
      <c r="HM197" s="26">
        <v>0</v>
      </c>
      <c r="HN197" s="26">
        <v>0</v>
      </c>
      <c r="HO197" s="26">
        <v>0</v>
      </c>
      <c r="HP197" s="26">
        <v>0</v>
      </c>
      <c r="HQ197" s="26">
        <v>0</v>
      </c>
      <c r="HR197" s="26">
        <v>0</v>
      </c>
      <c r="HS197" s="26">
        <v>0</v>
      </c>
      <c r="HT197" s="26">
        <v>0</v>
      </c>
    </row>
    <row r="198" spans="2:228" x14ac:dyDescent="0.2">
      <c r="B198" s="27" t="s">
        <v>2886</v>
      </c>
      <c r="C198" s="26">
        <v>36845.0942</v>
      </c>
      <c r="D198" s="26">
        <v>-135.67012099999999</v>
      </c>
      <c r="E198" s="26">
        <v>36653.061500000003</v>
      </c>
      <c r="F198" s="26">
        <v>18.420235999999999</v>
      </c>
      <c r="G198" s="26">
        <v>3.9671217599999998E-6</v>
      </c>
      <c r="H198" s="26">
        <v>8.7085431599999996E-6</v>
      </c>
      <c r="I198" s="26">
        <v>3.65393419E-6</v>
      </c>
      <c r="J198" s="26">
        <v>1.7947588900000001E-4</v>
      </c>
      <c r="K198" s="26">
        <v>3.7192566700000002E-5</v>
      </c>
      <c r="L198" s="26">
        <v>1.47120573E-4</v>
      </c>
      <c r="M198" s="26">
        <v>0</v>
      </c>
      <c r="N198" s="26">
        <v>8.6242951099999992E-6</v>
      </c>
      <c r="O198" s="26">
        <v>2.1764621999999999E-7</v>
      </c>
      <c r="P198" s="26">
        <v>9.1320092300000001E-8</v>
      </c>
      <c r="Q198" s="26">
        <v>6.6007391399999996E-5</v>
      </c>
      <c r="R198" s="26">
        <v>8.0439114899999993E-6</v>
      </c>
      <c r="S198" s="26">
        <v>9.2916494799999994E-5</v>
      </c>
      <c r="T198" s="26">
        <v>4.20489925E-2</v>
      </c>
      <c r="U198" s="26">
        <v>0.53867153800000001</v>
      </c>
      <c r="V198" s="26">
        <v>171.972779</v>
      </c>
      <c r="W198" s="26">
        <v>0</v>
      </c>
      <c r="X198" s="26">
        <v>1.0522920899999999</v>
      </c>
      <c r="Y198" s="26">
        <v>4.82411889E-5</v>
      </c>
      <c r="Z198" s="26">
        <v>3.0722650799999999E-3</v>
      </c>
      <c r="AA198" s="26">
        <v>3.00849162E-3</v>
      </c>
      <c r="AB198" s="26">
        <v>1.9941296999999998E-8</v>
      </c>
      <c r="AC198" s="26">
        <v>0</v>
      </c>
      <c r="AD198" s="26">
        <v>0</v>
      </c>
      <c r="AE198" s="26">
        <v>0</v>
      </c>
      <c r="AF198" s="26">
        <v>0</v>
      </c>
      <c r="AG198" s="26">
        <v>0</v>
      </c>
      <c r="AH198" s="26">
        <v>0</v>
      </c>
      <c r="AI198" s="26">
        <v>0</v>
      </c>
      <c r="AJ198" s="26">
        <v>0</v>
      </c>
      <c r="AK198" s="26">
        <v>0</v>
      </c>
      <c r="AL198" s="26">
        <v>0</v>
      </c>
      <c r="AM198" s="26">
        <v>1.5842673999999999E-5</v>
      </c>
      <c r="AN198" s="26">
        <v>0</v>
      </c>
      <c r="AO198" s="26">
        <v>0</v>
      </c>
      <c r="AP198" s="26">
        <v>0</v>
      </c>
      <c r="AQ198" s="26">
        <v>0</v>
      </c>
      <c r="AR198" s="26">
        <v>0</v>
      </c>
      <c r="AS198" s="26">
        <v>0</v>
      </c>
      <c r="AT198" s="26">
        <v>0</v>
      </c>
      <c r="AU198" s="26">
        <v>0</v>
      </c>
      <c r="AV198" s="26">
        <v>5.5672503000000003E-17</v>
      </c>
      <c r="AW198" s="26">
        <v>0</v>
      </c>
      <c r="AX198" s="26">
        <v>0</v>
      </c>
      <c r="AY198" s="26">
        <v>0</v>
      </c>
      <c r="AZ198" s="26">
        <v>0</v>
      </c>
      <c r="BA198" s="26">
        <v>0</v>
      </c>
      <c r="BB198" s="26">
        <v>0</v>
      </c>
      <c r="BC198" s="26">
        <v>0</v>
      </c>
      <c r="BD198" s="26">
        <v>0</v>
      </c>
      <c r="BE198" s="26">
        <v>0</v>
      </c>
      <c r="BF198" s="26">
        <v>0</v>
      </c>
      <c r="BG198" s="26">
        <v>0</v>
      </c>
      <c r="BH198" s="26">
        <v>0</v>
      </c>
      <c r="BI198" s="26">
        <v>0</v>
      </c>
      <c r="BJ198" s="26">
        <v>0</v>
      </c>
      <c r="BK198" s="26">
        <v>0</v>
      </c>
      <c r="BL198" s="26">
        <v>0</v>
      </c>
      <c r="BM198" s="26">
        <v>0</v>
      </c>
      <c r="BN198" s="26">
        <v>0</v>
      </c>
      <c r="BO198" s="26">
        <v>2036.7599999999998</v>
      </c>
      <c r="BP198" s="26">
        <v>36845.0942</v>
      </c>
      <c r="BQ198" s="26">
        <v>679.04306899999995</v>
      </c>
      <c r="BR198" s="26">
        <v>113.55506300000002</v>
      </c>
      <c r="BS198" s="26">
        <v>1.6</v>
      </c>
      <c r="BT198" s="26">
        <v>2.9696101100000002E-10</v>
      </c>
      <c r="BU198" s="26">
        <v>1</v>
      </c>
      <c r="BV198" s="26">
        <v>0</v>
      </c>
      <c r="BW198" s="26">
        <v>-66610.754400000005</v>
      </c>
      <c r="BX198" s="26">
        <v>-3682.1759699999998</v>
      </c>
      <c r="BY198" s="26">
        <v>-135.67012099999999</v>
      </c>
      <c r="BZ198" s="26">
        <v>-34.2293862</v>
      </c>
      <c r="CA198" s="26">
        <v>-1.8921662800000001</v>
      </c>
      <c r="CB198" s="26">
        <v>4.9990937499999999E-2</v>
      </c>
      <c r="CC198" s="26">
        <v>0.90433865599999996</v>
      </c>
      <c r="CD198" s="26">
        <v>18.090051899999999</v>
      </c>
      <c r="CE198" s="26">
        <v>614.95098399999995</v>
      </c>
      <c r="CF198" s="26">
        <v>0</v>
      </c>
      <c r="CG198" s="26">
        <v>0</v>
      </c>
      <c r="CH198" s="26">
        <v>0</v>
      </c>
      <c r="CI198" s="26">
        <v>0</v>
      </c>
      <c r="CJ198" s="26">
        <v>0</v>
      </c>
      <c r="CK198" s="26">
        <v>0</v>
      </c>
      <c r="CL198" s="26">
        <v>0</v>
      </c>
      <c r="CM198" s="26">
        <v>0</v>
      </c>
      <c r="CN198" s="26">
        <v>0</v>
      </c>
      <c r="CO198" s="26">
        <v>0</v>
      </c>
      <c r="CP198" s="26">
        <v>0</v>
      </c>
      <c r="CQ198" s="26">
        <v>0</v>
      </c>
      <c r="CR198" s="26">
        <v>0</v>
      </c>
      <c r="CS198" s="26">
        <v>0</v>
      </c>
      <c r="CT198" s="26">
        <v>0</v>
      </c>
      <c r="CU198" s="26">
        <v>0</v>
      </c>
      <c r="CV198" s="26">
        <v>0</v>
      </c>
      <c r="CW198" s="26">
        <v>0</v>
      </c>
      <c r="CX198" s="26">
        <v>0</v>
      </c>
      <c r="CY198" s="26">
        <v>0</v>
      </c>
      <c r="CZ198" s="26">
        <v>0</v>
      </c>
      <c r="DA198" s="26">
        <v>0</v>
      </c>
      <c r="DB198" s="26">
        <v>0</v>
      </c>
      <c r="DC198" s="26">
        <v>0</v>
      </c>
      <c r="DD198" s="26">
        <v>0</v>
      </c>
      <c r="DE198" s="26">
        <v>0</v>
      </c>
      <c r="DF198" s="26">
        <v>0</v>
      </c>
      <c r="DG198" s="26">
        <v>0</v>
      </c>
      <c r="DH198" s="26">
        <v>0</v>
      </c>
      <c r="DI198" s="26">
        <v>0</v>
      </c>
      <c r="DJ198" s="26">
        <v>0</v>
      </c>
      <c r="DK198" s="26">
        <v>0</v>
      </c>
      <c r="DL198" s="26">
        <v>0</v>
      </c>
      <c r="DM198" s="26">
        <v>0</v>
      </c>
      <c r="DN198" s="26">
        <v>0</v>
      </c>
      <c r="DO198" s="26">
        <v>0</v>
      </c>
      <c r="DP198" s="26">
        <v>0</v>
      </c>
      <c r="DQ198" s="26">
        <v>0</v>
      </c>
      <c r="DR198" s="26">
        <v>0</v>
      </c>
      <c r="DS198" s="26">
        <v>0</v>
      </c>
      <c r="DT198" s="26">
        <v>0</v>
      </c>
      <c r="DU198" s="26">
        <v>0</v>
      </c>
      <c r="DV198" s="26">
        <v>0</v>
      </c>
      <c r="DW198" s="26">
        <v>0</v>
      </c>
      <c r="DX198" s="26">
        <v>0</v>
      </c>
      <c r="DY198" s="26">
        <v>0</v>
      </c>
      <c r="DZ198" s="26">
        <v>0</v>
      </c>
      <c r="EA198" s="26">
        <v>0</v>
      </c>
      <c r="EB198" s="26">
        <v>0</v>
      </c>
      <c r="EC198" s="26">
        <v>0</v>
      </c>
      <c r="ED198" s="26">
        <v>0</v>
      </c>
      <c r="EE198" s="26">
        <v>0</v>
      </c>
      <c r="EF198" s="26">
        <v>0</v>
      </c>
      <c r="EG198" s="26">
        <v>0</v>
      </c>
      <c r="EH198" s="26">
        <v>0</v>
      </c>
      <c r="EI198" s="26">
        <v>0</v>
      </c>
      <c r="EJ198" s="26">
        <v>0</v>
      </c>
      <c r="EK198" s="26">
        <v>0</v>
      </c>
      <c r="EL198" s="26">
        <v>0</v>
      </c>
      <c r="EM198" s="26">
        <v>0</v>
      </c>
      <c r="EN198" s="26">
        <v>0</v>
      </c>
      <c r="EO198" s="26">
        <v>0</v>
      </c>
      <c r="EP198" s="26">
        <v>0</v>
      </c>
      <c r="EQ198" s="26">
        <v>0</v>
      </c>
      <c r="ER198" s="26">
        <v>0</v>
      </c>
      <c r="ES198" s="26">
        <v>0</v>
      </c>
      <c r="ET198" s="26">
        <v>1.6</v>
      </c>
      <c r="EU198" s="26">
        <v>0</v>
      </c>
      <c r="EV198" s="26">
        <v>0</v>
      </c>
      <c r="EW198" s="26">
        <v>0</v>
      </c>
      <c r="EX198" s="26">
        <v>0</v>
      </c>
      <c r="EY198" s="26">
        <v>0</v>
      </c>
      <c r="EZ198" s="26">
        <v>0</v>
      </c>
      <c r="FA198" s="26">
        <v>0</v>
      </c>
      <c r="FB198" s="26">
        <v>0</v>
      </c>
      <c r="FC198" s="26">
        <v>0</v>
      </c>
      <c r="FD198" s="26">
        <v>0</v>
      </c>
      <c r="FE198" s="26">
        <v>0</v>
      </c>
      <c r="FF198" s="26">
        <v>0</v>
      </c>
      <c r="FG198" s="26">
        <v>8.86888087E-3</v>
      </c>
      <c r="FH198" s="26">
        <v>-161576625.06999999</v>
      </c>
      <c r="FI198" s="26">
        <v>2.725480149581619E-3</v>
      </c>
      <c r="FJ198" s="26">
        <v>0</v>
      </c>
      <c r="FK198" s="26">
        <v>0</v>
      </c>
      <c r="FL198" s="26">
        <v>0</v>
      </c>
      <c r="FM198" s="26">
        <v>0</v>
      </c>
      <c r="FN198" s="26">
        <v>0</v>
      </c>
      <c r="FO198" s="26">
        <v>0</v>
      </c>
      <c r="FP198" s="26">
        <v>0</v>
      </c>
      <c r="FQ198" s="26">
        <v>0</v>
      </c>
      <c r="FR198" s="26">
        <v>0</v>
      </c>
      <c r="FS198" s="26">
        <v>0</v>
      </c>
      <c r="FT198" s="26">
        <v>0</v>
      </c>
      <c r="FU198" s="26">
        <v>0</v>
      </c>
      <c r="FV198" s="26">
        <v>0</v>
      </c>
      <c r="FW198" s="26">
        <v>0</v>
      </c>
      <c r="FX198" s="26">
        <v>0</v>
      </c>
      <c r="FY198" s="26">
        <v>0</v>
      </c>
      <c r="FZ198" s="26">
        <v>0</v>
      </c>
      <c r="GA198" s="26">
        <v>0</v>
      </c>
      <c r="GB198" s="26">
        <v>0</v>
      </c>
      <c r="GC198" s="26">
        <v>0</v>
      </c>
      <c r="GD198" s="26">
        <v>0</v>
      </c>
      <c r="GE198" s="26">
        <v>0</v>
      </c>
      <c r="GF198" s="26">
        <v>0</v>
      </c>
      <c r="GG198" s="26">
        <v>0</v>
      </c>
      <c r="GH198" s="26">
        <v>0</v>
      </c>
      <c r="GI198" s="26">
        <v>0</v>
      </c>
      <c r="GJ198" s="26">
        <v>0</v>
      </c>
      <c r="GK198" s="26">
        <v>0</v>
      </c>
      <c r="GL198" s="26">
        <v>0</v>
      </c>
      <c r="GM198" s="26">
        <v>0</v>
      </c>
      <c r="GN198" s="26">
        <v>0</v>
      </c>
      <c r="GO198" s="26">
        <v>0</v>
      </c>
      <c r="GP198" s="26">
        <v>0</v>
      </c>
      <c r="GQ198" s="26">
        <v>0</v>
      </c>
      <c r="GR198" s="26">
        <v>0</v>
      </c>
      <c r="GS198" s="26">
        <v>0</v>
      </c>
      <c r="GT198" s="26">
        <v>0</v>
      </c>
      <c r="GU198" s="26">
        <v>0</v>
      </c>
      <c r="GV198" s="26">
        <v>0</v>
      </c>
      <c r="GW198" s="26">
        <v>0</v>
      </c>
      <c r="GX198" s="26">
        <v>0</v>
      </c>
      <c r="GY198" s="26">
        <v>0</v>
      </c>
      <c r="GZ198" s="26">
        <v>0</v>
      </c>
      <c r="HA198" s="26">
        <v>0</v>
      </c>
      <c r="HB198" s="26">
        <v>0</v>
      </c>
      <c r="HC198" s="26">
        <v>0</v>
      </c>
      <c r="HD198" s="26">
        <v>0</v>
      </c>
      <c r="HE198" s="26">
        <v>0</v>
      </c>
      <c r="HF198" s="26">
        <v>0</v>
      </c>
      <c r="HG198" s="26">
        <v>0</v>
      </c>
      <c r="HH198" s="26">
        <v>0</v>
      </c>
      <c r="HI198" s="26">
        <v>0</v>
      </c>
      <c r="HJ198" s="26">
        <v>0</v>
      </c>
      <c r="HK198" s="26">
        <v>0</v>
      </c>
      <c r="HL198" s="26">
        <v>0</v>
      </c>
      <c r="HM198" s="26">
        <v>0</v>
      </c>
      <c r="HN198" s="26">
        <v>0</v>
      </c>
      <c r="HO198" s="26">
        <v>0</v>
      </c>
      <c r="HP198" s="26">
        <v>0</v>
      </c>
      <c r="HQ198" s="26">
        <v>0</v>
      </c>
      <c r="HR198" s="26">
        <v>0</v>
      </c>
      <c r="HS198" s="26">
        <v>0</v>
      </c>
      <c r="HT198" s="26">
        <v>0</v>
      </c>
    </row>
    <row r="199" spans="2:228" x14ac:dyDescent="0.2">
      <c r="B199" s="27" t="s">
        <v>1398</v>
      </c>
      <c r="C199" s="26">
        <v>7362.8612899999998</v>
      </c>
      <c r="D199" s="26">
        <v>-15.116060900000001</v>
      </c>
      <c r="E199" s="26">
        <v>2050.38805</v>
      </c>
      <c r="F199" s="26">
        <v>5312.4732400000003</v>
      </c>
      <c r="G199" s="26">
        <v>0</v>
      </c>
      <c r="H199" s="26">
        <v>0</v>
      </c>
      <c r="I199" s="26">
        <v>0</v>
      </c>
      <c r="J199" s="26">
        <v>0</v>
      </c>
      <c r="K199" s="26">
        <v>0</v>
      </c>
      <c r="L199" s="26">
        <v>0</v>
      </c>
      <c r="M199" s="26">
        <v>0</v>
      </c>
      <c r="N199" s="26">
        <v>0</v>
      </c>
      <c r="O199" s="26">
        <v>0</v>
      </c>
      <c r="P199" s="26">
        <v>0</v>
      </c>
      <c r="Q199" s="26">
        <v>0</v>
      </c>
      <c r="R199" s="26">
        <v>0</v>
      </c>
      <c r="S199" s="26">
        <v>0</v>
      </c>
      <c r="T199" s="26">
        <v>0</v>
      </c>
      <c r="U199" s="26">
        <v>0</v>
      </c>
      <c r="V199" s="26">
        <v>0</v>
      </c>
      <c r="W199" s="26">
        <v>0</v>
      </c>
      <c r="X199" s="26">
        <v>0</v>
      </c>
      <c r="Y199" s="26">
        <v>0</v>
      </c>
      <c r="Z199" s="26">
        <v>0</v>
      </c>
      <c r="AA199" s="26">
        <v>0</v>
      </c>
      <c r="AB199" s="26">
        <v>0</v>
      </c>
      <c r="AC199" s="26">
        <v>0</v>
      </c>
      <c r="AD199" s="26">
        <v>0</v>
      </c>
      <c r="AE199" s="26">
        <v>0</v>
      </c>
      <c r="AF199" s="26">
        <v>0</v>
      </c>
      <c r="AG199" s="26">
        <v>0</v>
      </c>
      <c r="AH199" s="26">
        <v>0</v>
      </c>
      <c r="AI199" s="26">
        <v>0</v>
      </c>
      <c r="AJ199" s="26">
        <v>0</v>
      </c>
      <c r="AK199" s="26">
        <v>0</v>
      </c>
      <c r="AL199" s="26">
        <v>0</v>
      </c>
      <c r="AM199" s="26">
        <v>0</v>
      </c>
      <c r="AN199" s="26">
        <v>0</v>
      </c>
      <c r="AO199" s="26">
        <v>0</v>
      </c>
      <c r="AP199" s="26">
        <v>0</v>
      </c>
      <c r="AQ199" s="26">
        <v>0</v>
      </c>
      <c r="AR199" s="26">
        <v>0</v>
      </c>
      <c r="AS199" s="26">
        <v>0</v>
      </c>
      <c r="AT199" s="26">
        <v>0</v>
      </c>
      <c r="AU199" s="26">
        <v>0</v>
      </c>
      <c r="AV199" s="26">
        <v>0</v>
      </c>
      <c r="AW199" s="26">
        <v>0</v>
      </c>
      <c r="AX199" s="26">
        <v>0</v>
      </c>
      <c r="AY199" s="26">
        <v>0</v>
      </c>
      <c r="AZ199" s="26">
        <v>0</v>
      </c>
      <c r="BA199" s="26">
        <v>0</v>
      </c>
      <c r="BB199" s="26">
        <v>0</v>
      </c>
      <c r="BC199" s="26">
        <v>0</v>
      </c>
      <c r="BD199" s="26">
        <v>0</v>
      </c>
      <c r="BE199" s="26">
        <v>0</v>
      </c>
      <c r="BF199" s="26">
        <v>0</v>
      </c>
      <c r="BG199" s="26">
        <v>0</v>
      </c>
      <c r="BH199" s="26">
        <v>0</v>
      </c>
      <c r="BI199" s="26">
        <v>0</v>
      </c>
      <c r="BJ199" s="26">
        <v>0</v>
      </c>
      <c r="BK199" s="26">
        <v>0</v>
      </c>
      <c r="BL199" s="26">
        <v>0</v>
      </c>
      <c r="BM199" s="26">
        <v>0</v>
      </c>
      <c r="BN199" s="26">
        <v>0</v>
      </c>
      <c r="BO199" s="26">
        <v>229.12930699999998</v>
      </c>
      <c r="BP199" s="26">
        <v>7362.8612899999998</v>
      </c>
      <c r="BQ199" s="26">
        <v>154.927525</v>
      </c>
      <c r="BR199" s="26">
        <v>71.583530699999983</v>
      </c>
      <c r="BS199" s="26">
        <v>1.65</v>
      </c>
      <c r="BT199" s="26">
        <v>0</v>
      </c>
      <c r="BU199" s="26">
        <v>1</v>
      </c>
      <c r="BV199" s="26">
        <v>0</v>
      </c>
      <c r="BW199" s="26">
        <v>-65971.747700000007</v>
      </c>
      <c r="BX199" s="26">
        <v>-2053.0144799999998</v>
      </c>
      <c r="BY199" s="26">
        <v>-15.116060900000001</v>
      </c>
      <c r="BZ199" s="26">
        <v>-56.281638899999997</v>
      </c>
      <c r="CA199" s="26">
        <v>-1.75146216</v>
      </c>
      <c r="CB199" s="26">
        <v>2.4649085099999999E-2</v>
      </c>
      <c r="CC199" s="26">
        <v>0.79207586600000002</v>
      </c>
      <c r="CD199" s="26">
        <v>32.134087899999997</v>
      </c>
      <c r="CE199" s="26">
        <v>146.04253499999999</v>
      </c>
      <c r="CF199" s="26">
        <v>0</v>
      </c>
      <c r="CG199" s="26">
        <v>0</v>
      </c>
      <c r="CH199" s="26">
        <v>0</v>
      </c>
      <c r="CI199" s="26">
        <v>0</v>
      </c>
      <c r="CJ199" s="26">
        <v>0</v>
      </c>
      <c r="CK199" s="26">
        <v>0</v>
      </c>
      <c r="CL199" s="26">
        <v>0</v>
      </c>
      <c r="CM199" s="26">
        <v>0</v>
      </c>
      <c r="CN199" s="26">
        <v>0</v>
      </c>
      <c r="CO199" s="26">
        <v>0</v>
      </c>
      <c r="CP199" s="26">
        <v>0</v>
      </c>
      <c r="CQ199" s="26">
        <v>0</v>
      </c>
      <c r="CR199" s="26">
        <v>0</v>
      </c>
      <c r="CS199" s="26">
        <v>0</v>
      </c>
      <c r="CT199" s="26">
        <v>0</v>
      </c>
      <c r="CU199" s="26">
        <v>0</v>
      </c>
      <c r="CV199" s="26">
        <v>0</v>
      </c>
      <c r="CW199" s="26">
        <v>0</v>
      </c>
      <c r="CX199" s="26">
        <v>0</v>
      </c>
      <c r="CY199" s="26">
        <v>0</v>
      </c>
      <c r="CZ199" s="26">
        <v>0</v>
      </c>
      <c r="DA199" s="26">
        <v>0</v>
      </c>
      <c r="DB199" s="26">
        <v>0</v>
      </c>
      <c r="DC199" s="26">
        <v>0</v>
      </c>
      <c r="DD199" s="26">
        <v>0</v>
      </c>
      <c r="DE199" s="26">
        <v>0</v>
      </c>
      <c r="DF199" s="26">
        <v>0</v>
      </c>
      <c r="DG199" s="26">
        <v>0</v>
      </c>
      <c r="DH199" s="26">
        <v>0</v>
      </c>
      <c r="DI199" s="26">
        <v>0</v>
      </c>
      <c r="DJ199" s="26">
        <v>0</v>
      </c>
      <c r="DK199" s="26">
        <v>0</v>
      </c>
      <c r="DL199" s="26">
        <v>0</v>
      </c>
      <c r="DM199" s="26">
        <v>0</v>
      </c>
      <c r="DN199" s="26">
        <v>0</v>
      </c>
      <c r="DO199" s="26">
        <v>0</v>
      </c>
      <c r="DP199" s="26">
        <v>0</v>
      </c>
      <c r="DQ199" s="26">
        <v>0</v>
      </c>
      <c r="DR199" s="26">
        <v>0</v>
      </c>
      <c r="DS199" s="26">
        <v>0</v>
      </c>
      <c r="DT199" s="26">
        <v>0</v>
      </c>
      <c r="DU199" s="26">
        <v>0</v>
      </c>
      <c r="DV199" s="26">
        <v>0</v>
      </c>
      <c r="DW199" s="26">
        <v>0</v>
      </c>
      <c r="DX199" s="26">
        <v>0</v>
      </c>
      <c r="DY199" s="26">
        <v>0</v>
      </c>
      <c r="DZ199" s="26">
        <v>0</v>
      </c>
      <c r="EA199" s="26">
        <v>0</v>
      </c>
      <c r="EB199" s="26">
        <v>0</v>
      </c>
      <c r="EC199" s="26">
        <v>0</v>
      </c>
      <c r="ED199" s="26">
        <v>0</v>
      </c>
      <c r="EE199" s="26">
        <v>0</v>
      </c>
      <c r="EF199" s="26">
        <v>0</v>
      </c>
      <c r="EG199" s="26">
        <v>0</v>
      </c>
      <c r="EH199" s="26">
        <v>0</v>
      </c>
      <c r="EI199" s="26">
        <v>0</v>
      </c>
      <c r="EJ199" s="26">
        <v>0</v>
      </c>
      <c r="EK199" s="26">
        <v>0</v>
      </c>
      <c r="EL199" s="26">
        <v>0</v>
      </c>
      <c r="EM199" s="26">
        <v>0</v>
      </c>
      <c r="EN199" s="26">
        <v>0</v>
      </c>
      <c r="EO199" s="26">
        <v>0</v>
      </c>
      <c r="EP199" s="26">
        <v>0</v>
      </c>
      <c r="EQ199" s="26">
        <v>0</v>
      </c>
      <c r="ER199" s="26">
        <v>0</v>
      </c>
      <c r="ES199" s="26">
        <v>0</v>
      </c>
      <c r="ET199" s="26">
        <v>1.65</v>
      </c>
      <c r="EU199" s="26">
        <v>0</v>
      </c>
      <c r="EV199" s="26">
        <v>0</v>
      </c>
      <c r="EW199" s="26">
        <v>0</v>
      </c>
      <c r="EX199" s="26">
        <v>0</v>
      </c>
      <c r="EY199" s="26">
        <v>0</v>
      </c>
      <c r="EZ199" s="26">
        <v>0</v>
      </c>
      <c r="FA199" s="26">
        <v>0</v>
      </c>
      <c r="FB199" s="26">
        <v>0</v>
      </c>
      <c r="FC199" s="26">
        <v>0</v>
      </c>
      <c r="FD199" s="26">
        <v>0</v>
      </c>
      <c r="FE199" s="26">
        <v>0</v>
      </c>
      <c r="FF199" s="26">
        <v>0</v>
      </c>
      <c r="FG199" s="26">
        <v>1.5035303799999999</v>
      </c>
      <c r="FH199" s="26">
        <v>-17895495.9584</v>
      </c>
      <c r="FI199" s="26">
        <v>6.4064153290291012E-2</v>
      </c>
      <c r="FJ199" s="26">
        <v>0</v>
      </c>
      <c r="FK199" s="26">
        <v>0</v>
      </c>
      <c r="FL199" s="26">
        <v>0</v>
      </c>
      <c r="FM199" s="26">
        <v>0</v>
      </c>
      <c r="FN199" s="26">
        <v>0</v>
      </c>
      <c r="FO199" s="26">
        <v>0</v>
      </c>
      <c r="FP199" s="26">
        <v>0</v>
      </c>
      <c r="FQ199" s="26">
        <v>0</v>
      </c>
      <c r="FR199" s="26">
        <v>0</v>
      </c>
      <c r="FS199" s="26">
        <v>0</v>
      </c>
      <c r="FT199" s="26">
        <v>0</v>
      </c>
      <c r="FU199" s="26">
        <v>0</v>
      </c>
      <c r="FV199" s="26">
        <v>0</v>
      </c>
      <c r="FW199" s="26">
        <v>0</v>
      </c>
      <c r="FX199" s="26">
        <v>0</v>
      </c>
      <c r="FY199" s="26">
        <v>0</v>
      </c>
      <c r="FZ199" s="26">
        <v>0</v>
      </c>
      <c r="GA199" s="26">
        <v>0</v>
      </c>
      <c r="GB199" s="26">
        <v>0</v>
      </c>
      <c r="GC199" s="26">
        <v>0</v>
      </c>
      <c r="GD199" s="26">
        <v>0</v>
      </c>
      <c r="GE199" s="26">
        <v>0</v>
      </c>
      <c r="GF199" s="26">
        <v>0</v>
      </c>
      <c r="GG199" s="26">
        <v>0</v>
      </c>
      <c r="GH199" s="26">
        <v>0</v>
      </c>
      <c r="GI199" s="26">
        <v>0</v>
      </c>
      <c r="GJ199" s="26">
        <v>0</v>
      </c>
      <c r="GK199" s="26">
        <v>0</v>
      </c>
      <c r="GL199" s="26">
        <v>0</v>
      </c>
      <c r="GM199" s="26">
        <v>0</v>
      </c>
      <c r="GN199" s="26">
        <v>0</v>
      </c>
      <c r="GO199" s="26">
        <v>0</v>
      </c>
      <c r="GP199" s="26">
        <v>0</v>
      </c>
      <c r="GQ199" s="26">
        <v>0</v>
      </c>
      <c r="GR199" s="26">
        <v>0</v>
      </c>
      <c r="GS199" s="26">
        <v>0</v>
      </c>
      <c r="GT199" s="26">
        <v>0</v>
      </c>
      <c r="GU199" s="26">
        <v>0</v>
      </c>
      <c r="GV199" s="26">
        <v>0</v>
      </c>
      <c r="GW199" s="26">
        <v>0</v>
      </c>
      <c r="GX199" s="26">
        <v>0</v>
      </c>
      <c r="GY199" s="26">
        <v>0</v>
      </c>
      <c r="GZ199" s="26">
        <v>0</v>
      </c>
      <c r="HA199" s="26">
        <v>0</v>
      </c>
      <c r="HB199" s="26">
        <v>0</v>
      </c>
      <c r="HC199" s="26">
        <v>0</v>
      </c>
      <c r="HD199" s="26">
        <v>0</v>
      </c>
      <c r="HE199" s="26">
        <v>0</v>
      </c>
      <c r="HF199" s="26">
        <v>0</v>
      </c>
      <c r="HG199" s="26">
        <v>0</v>
      </c>
      <c r="HH199" s="26">
        <v>0</v>
      </c>
      <c r="HI199" s="26">
        <v>0</v>
      </c>
      <c r="HJ199" s="26">
        <v>0</v>
      </c>
      <c r="HK199" s="26">
        <v>0</v>
      </c>
      <c r="HL199" s="26">
        <v>0</v>
      </c>
      <c r="HM199" s="26">
        <v>0</v>
      </c>
      <c r="HN199" s="26">
        <v>0</v>
      </c>
      <c r="HO199" s="26">
        <v>0</v>
      </c>
      <c r="HP199" s="26">
        <v>0</v>
      </c>
      <c r="HQ199" s="26">
        <v>0</v>
      </c>
      <c r="HR199" s="26">
        <v>0</v>
      </c>
      <c r="HS199" s="26">
        <v>0</v>
      </c>
      <c r="HT199" s="26">
        <v>0</v>
      </c>
    </row>
    <row r="200" spans="2:228" x14ac:dyDescent="0.2">
      <c r="B200" s="27" t="s">
        <v>1401</v>
      </c>
      <c r="C200" s="26">
        <v>21759.228999999999</v>
      </c>
      <c r="D200" s="26">
        <v>-46.128022899999998</v>
      </c>
      <c r="E200" s="26">
        <v>429.14017699999999</v>
      </c>
      <c r="F200" s="26">
        <v>427.97533399999998</v>
      </c>
      <c r="G200" s="26">
        <v>3.9921558300000001E-12</v>
      </c>
      <c r="H200" s="26">
        <v>7.4938151000000001E-12</v>
      </c>
      <c r="I200" s="26">
        <v>3.1442580899999998E-12</v>
      </c>
      <c r="J200" s="26">
        <v>1.33988674E-9</v>
      </c>
      <c r="K200" s="26">
        <v>4.6315293900000007E-10</v>
      </c>
      <c r="L200" s="26">
        <v>5.7453129300000008E-8</v>
      </c>
      <c r="M200" s="26">
        <v>0</v>
      </c>
      <c r="N200" s="26">
        <v>7.3999151800000001E-12</v>
      </c>
      <c r="O200" s="26">
        <v>1.8674727000000001E-13</v>
      </c>
      <c r="P200" s="26">
        <v>7.83554979E-14</v>
      </c>
      <c r="Q200" s="26">
        <v>4.6732016300000002E-10</v>
      </c>
      <c r="R200" s="26">
        <v>5.6949410599999997E-11</v>
      </c>
      <c r="S200" s="26">
        <v>7.9725261299999994E-11</v>
      </c>
      <c r="T200" s="26">
        <v>1.9397659099999998E-5</v>
      </c>
      <c r="U200" s="26">
        <v>1.22907121E-3</v>
      </c>
      <c r="V200" s="26">
        <v>2.7127903500000001</v>
      </c>
      <c r="W200" s="26">
        <v>0</v>
      </c>
      <c r="X200" s="26">
        <v>3.8075802599999998E-4</v>
      </c>
      <c r="Y200" s="26">
        <v>9.8207374799999997E-10</v>
      </c>
      <c r="Z200" s="26">
        <v>1.2351166500000001E-6</v>
      </c>
      <c r="AA200" s="26">
        <v>6.982452E-7</v>
      </c>
      <c r="AB200" s="26">
        <v>6.0793338300000003E-3</v>
      </c>
      <c r="AC200" s="26">
        <v>0</v>
      </c>
      <c r="AD200" s="26">
        <v>0</v>
      </c>
      <c r="AE200" s="26">
        <v>0</v>
      </c>
      <c r="AF200" s="26">
        <v>0</v>
      </c>
      <c r="AG200" s="26">
        <v>0</v>
      </c>
      <c r="AH200" s="26">
        <v>0</v>
      </c>
      <c r="AI200" s="26">
        <v>0</v>
      </c>
      <c r="AJ200" s="26">
        <v>0</v>
      </c>
      <c r="AK200" s="26">
        <v>0</v>
      </c>
      <c r="AL200" s="26">
        <v>0</v>
      </c>
      <c r="AM200" s="26">
        <v>7.3886057200000002E-10</v>
      </c>
      <c r="AN200" s="26">
        <v>171.782994</v>
      </c>
      <c r="AO200" s="26">
        <v>0.17472021500000001</v>
      </c>
      <c r="AP200" s="26">
        <v>0</v>
      </c>
      <c r="AQ200" s="26">
        <v>0</v>
      </c>
      <c r="AR200" s="26">
        <v>0</v>
      </c>
      <c r="AS200" s="26">
        <v>20727.435000000001</v>
      </c>
      <c r="AT200" s="26">
        <v>0</v>
      </c>
      <c r="AU200" s="26">
        <v>0</v>
      </c>
      <c r="AV200" s="26">
        <v>2.6888262500000001E-4</v>
      </c>
      <c r="AW200" s="26">
        <v>0</v>
      </c>
      <c r="AX200" s="26">
        <v>0</v>
      </c>
      <c r="AY200" s="26">
        <v>0</v>
      </c>
      <c r="AZ200" s="26">
        <v>0</v>
      </c>
      <c r="BA200" s="26">
        <v>0</v>
      </c>
      <c r="BB200" s="26">
        <v>0</v>
      </c>
      <c r="BC200" s="26">
        <v>0</v>
      </c>
      <c r="BD200" s="26">
        <v>0</v>
      </c>
      <c r="BE200" s="26">
        <v>0</v>
      </c>
      <c r="BF200" s="26">
        <v>0</v>
      </c>
      <c r="BG200" s="26">
        <v>0</v>
      </c>
      <c r="BH200" s="26">
        <v>0</v>
      </c>
      <c r="BI200" s="26">
        <v>0</v>
      </c>
      <c r="BJ200" s="26">
        <v>0</v>
      </c>
      <c r="BK200" s="26">
        <v>0</v>
      </c>
      <c r="BL200" s="26">
        <v>0</v>
      </c>
      <c r="BM200" s="26">
        <v>0</v>
      </c>
      <c r="BN200" s="26">
        <v>0</v>
      </c>
      <c r="BO200" s="26">
        <v>509.48720400000008</v>
      </c>
      <c r="BP200" s="26">
        <v>21759.228999999999</v>
      </c>
      <c r="BQ200" s="26">
        <v>213221.91099999999</v>
      </c>
      <c r="BR200" s="26">
        <v>32.862494700000013</v>
      </c>
      <c r="BS200" s="26">
        <v>1</v>
      </c>
      <c r="BT200" s="26">
        <v>1</v>
      </c>
      <c r="BU200" s="26">
        <v>0</v>
      </c>
      <c r="BV200" s="26">
        <v>0</v>
      </c>
      <c r="BW200" s="26">
        <v>-90538.137499999997</v>
      </c>
      <c r="BX200" s="26">
        <v>-2119.9290900000001</v>
      </c>
      <c r="BY200" s="26">
        <v>-46.128022899999998</v>
      </c>
      <c r="BZ200" s="26">
        <v>6.3951275200000005E-2</v>
      </c>
      <c r="CA200" s="26">
        <v>1.49740399E-3</v>
      </c>
      <c r="CB200" s="26">
        <v>3.98244875E-5</v>
      </c>
      <c r="CC200" s="26">
        <v>1.70082808E-3</v>
      </c>
      <c r="CD200" s="26">
        <v>42.708097199999997</v>
      </c>
      <c r="CE200" s="26">
        <v>0</v>
      </c>
      <c r="CF200" s="26">
        <v>0</v>
      </c>
      <c r="CG200" s="26">
        <v>0</v>
      </c>
      <c r="CH200" s="26">
        <v>0</v>
      </c>
      <c r="CI200" s="26">
        <v>0</v>
      </c>
      <c r="CJ200" s="26">
        <v>0</v>
      </c>
      <c r="CK200" s="26">
        <v>0</v>
      </c>
      <c r="CL200" s="26">
        <v>0</v>
      </c>
      <c r="CM200" s="26">
        <v>0</v>
      </c>
      <c r="CN200" s="26">
        <v>0</v>
      </c>
      <c r="CO200" s="26">
        <v>0</v>
      </c>
      <c r="CP200" s="26">
        <v>0</v>
      </c>
      <c r="CQ200" s="26">
        <v>0</v>
      </c>
      <c r="CR200" s="26">
        <v>0</v>
      </c>
      <c r="CS200" s="26">
        <v>0</v>
      </c>
      <c r="CT200" s="26">
        <v>0</v>
      </c>
      <c r="CU200" s="26">
        <v>0</v>
      </c>
      <c r="CV200" s="26">
        <v>0</v>
      </c>
      <c r="CW200" s="26">
        <v>0</v>
      </c>
      <c r="CX200" s="26">
        <v>0</v>
      </c>
      <c r="CY200" s="26">
        <v>0</v>
      </c>
      <c r="CZ200" s="26">
        <v>0</v>
      </c>
      <c r="DA200" s="26">
        <v>0</v>
      </c>
      <c r="DB200" s="26">
        <v>0</v>
      </c>
      <c r="DC200" s="26">
        <v>0</v>
      </c>
      <c r="DD200" s="26">
        <v>0</v>
      </c>
      <c r="DE200" s="26">
        <v>0</v>
      </c>
      <c r="DF200" s="26">
        <v>0</v>
      </c>
      <c r="DG200" s="26">
        <v>0</v>
      </c>
      <c r="DH200" s="26">
        <v>0</v>
      </c>
      <c r="DI200" s="26">
        <v>0</v>
      </c>
      <c r="DJ200" s="26">
        <v>0</v>
      </c>
      <c r="DK200" s="26">
        <v>0</v>
      </c>
      <c r="DL200" s="26">
        <v>0</v>
      </c>
      <c r="DM200" s="26">
        <v>0</v>
      </c>
      <c r="DN200" s="26">
        <v>0</v>
      </c>
      <c r="DO200" s="26">
        <v>0</v>
      </c>
      <c r="DP200" s="26">
        <v>0</v>
      </c>
      <c r="DQ200" s="26">
        <v>0</v>
      </c>
      <c r="DR200" s="26">
        <v>0</v>
      </c>
      <c r="DS200" s="26">
        <v>0</v>
      </c>
      <c r="DT200" s="26">
        <v>0</v>
      </c>
      <c r="DU200" s="26">
        <v>0</v>
      </c>
      <c r="DV200" s="26">
        <v>0</v>
      </c>
      <c r="DW200" s="26">
        <v>0</v>
      </c>
      <c r="DX200" s="26">
        <v>0</v>
      </c>
      <c r="DY200" s="26">
        <v>0</v>
      </c>
      <c r="DZ200" s="26">
        <v>0</v>
      </c>
      <c r="EA200" s="26">
        <v>0</v>
      </c>
      <c r="EB200" s="26">
        <v>0</v>
      </c>
      <c r="EC200" s="26">
        <v>0</v>
      </c>
      <c r="ED200" s="26">
        <v>0</v>
      </c>
      <c r="EE200" s="26">
        <v>0</v>
      </c>
      <c r="EF200" s="26">
        <v>0</v>
      </c>
      <c r="EG200" s="26">
        <v>0</v>
      </c>
      <c r="EH200" s="26">
        <v>0</v>
      </c>
      <c r="EI200" s="26">
        <v>0</v>
      </c>
      <c r="EJ200" s="26">
        <v>0</v>
      </c>
      <c r="EK200" s="26">
        <v>0</v>
      </c>
      <c r="EL200" s="26">
        <v>0</v>
      </c>
      <c r="EM200" s="26">
        <v>0</v>
      </c>
      <c r="EN200" s="26">
        <v>0</v>
      </c>
      <c r="EO200" s="26">
        <v>0</v>
      </c>
      <c r="EP200" s="26">
        <v>0</v>
      </c>
      <c r="EQ200" s="26">
        <v>0</v>
      </c>
      <c r="ER200" s="26">
        <v>0</v>
      </c>
      <c r="ES200" s="26">
        <v>0</v>
      </c>
      <c r="ET200" s="26">
        <v>1</v>
      </c>
      <c r="EU200" s="26">
        <v>0</v>
      </c>
      <c r="EV200" s="26">
        <v>0</v>
      </c>
      <c r="EW200" s="26">
        <v>0</v>
      </c>
      <c r="EX200" s="26">
        <v>0</v>
      </c>
      <c r="EY200" s="26">
        <v>0</v>
      </c>
      <c r="EZ200" s="26">
        <v>0</v>
      </c>
      <c r="FA200" s="26">
        <v>0</v>
      </c>
      <c r="FB200" s="26">
        <v>0</v>
      </c>
      <c r="FC200" s="26">
        <v>0</v>
      </c>
      <c r="FD200" s="26">
        <v>0</v>
      </c>
      <c r="FE200" s="26">
        <v>0</v>
      </c>
      <c r="FF200" s="26">
        <v>0</v>
      </c>
      <c r="FG200" s="26">
        <v>4.1193880000000002E-2</v>
      </c>
      <c r="FH200" s="26">
        <v>-53688839.577500001</v>
      </c>
      <c r="FI200" s="26">
        <v>0.1360261527548759</v>
      </c>
      <c r="FJ200" s="26">
        <v>6.6169166362686658E-3</v>
      </c>
      <c r="FK200" s="26">
        <v>2.5805191123108198E-3</v>
      </c>
      <c r="FL200" s="26">
        <v>6.1553422714649604E-18</v>
      </c>
      <c r="FM200" s="26">
        <v>1.1554407925768597E-17</v>
      </c>
      <c r="FN200" s="26">
        <v>4.8480033165618039E-18</v>
      </c>
      <c r="FO200" s="26">
        <v>2.4791000726105786E-15</v>
      </c>
      <c r="FP200" s="26">
        <v>8.5693995407774181E-16</v>
      </c>
      <c r="FQ200" s="26">
        <v>4.6623426761876299E-14</v>
      </c>
      <c r="FR200" s="26">
        <v>0</v>
      </c>
      <c r="FS200" s="26">
        <v>1.2677325684751939E-17</v>
      </c>
      <c r="FT200" s="26">
        <v>3.1993014700388564E-19</v>
      </c>
      <c r="FU200" s="26">
        <v>1.3423642579611362E-19</v>
      </c>
      <c r="FV200" s="26">
        <v>9.8255351063820595E-16</v>
      </c>
      <c r="FW200" s="26">
        <v>1.1973770373567941E-16</v>
      </c>
      <c r="FX200" s="26">
        <v>1.2292512903895659E-16</v>
      </c>
      <c r="FY200" s="26">
        <v>3.5414055838868001E-11</v>
      </c>
      <c r="FZ200" s="26">
        <v>2.7072291855467225E-9</v>
      </c>
      <c r="GA200" s="26">
        <v>7.8425195349623791E-6</v>
      </c>
      <c r="GB200" s="26">
        <v>0</v>
      </c>
      <c r="GC200" s="26">
        <v>1.1741505482820934E-9</v>
      </c>
      <c r="GD200" s="26">
        <v>1.7929881198994604E-15</v>
      </c>
      <c r="GE200" s="26">
        <v>3.7253814464697184E-12</v>
      </c>
      <c r="GF200" s="26">
        <v>1.6424612548063565E-12</v>
      </c>
      <c r="GG200" s="26">
        <v>9.9157271071035951E-8</v>
      </c>
      <c r="GH200" s="26">
        <v>0</v>
      </c>
      <c r="GI200" s="26">
        <v>0</v>
      </c>
      <c r="GJ200" s="26">
        <v>0</v>
      </c>
      <c r="GK200" s="26">
        <v>0</v>
      </c>
      <c r="GL200" s="26">
        <v>0</v>
      </c>
      <c r="GM200" s="26">
        <v>0</v>
      </c>
      <c r="GN200" s="26">
        <v>0</v>
      </c>
      <c r="GO200" s="26">
        <v>0</v>
      </c>
      <c r="GP200" s="26">
        <v>0</v>
      </c>
      <c r="GQ200" s="26">
        <v>0</v>
      </c>
      <c r="GR200" s="26">
        <v>7.265954030349855E-16</v>
      </c>
      <c r="GS200" s="26">
        <v>1.4912277535964887E-3</v>
      </c>
      <c r="GT200" s="26">
        <v>1.7325014027489003E-6</v>
      </c>
      <c r="GU200" s="26">
        <v>0</v>
      </c>
      <c r="GV200" s="26">
        <v>0</v>
      </c>
      <c r="GW200" s="26">
        <v>0</v>
      </c>
      <c r="GX200" s="26">
        <v>0.13082588187994038</v>
      </c>
      <c r="GY200" s="26">
        <v>0</v>
      </c>
      <c r="GZ200" s="26">
        <v>0</v>
      </c>
      <c r="HA200" s="26">
        <v>1.1658448759934256E-9</v>
      </c>
      <c r="HB200" s="26">
        <v>0</v>
      </c>
      <c r="HC200" s="26">
        <v>0</v>
      </c>
      <c r="HD200" s="26">
        <v>0</v>
      </c>
      <c r="HE200" s="26">
        <v>0</v>
      </c>
      <c r="HF200" s="26">
        <v>0</v>
      </c>
      <c r="HG200" s="26">
        <v>0</v>
      </c>
      <c r="HH200" s="26">
        <v>0</v>
      </c>
      <c r="HI200" s="26">
        <v>0</v>
      </c>
      <c r="HJ200" s="26">
        <v>0</v>
      </c>
      <c r="HK200" s="26">
        <v>0</v>
      </c>
      <c r="HL200" s="26">
        <v>0</v>
      </c>
      <c r="HM200" s="26">
        <v>0</v>
      </c>
      <c r="HN200" s="26">
        <v>0</v>
      </c>
      <c r="HO200" s="26">
        <v>0</v>
      </c>
      <c r="HP200" s="26">
        <v>0</v>
      </c>
      <c r="HQ200" s="26">
        <v>0</v>
      </c>
      <c r="HR200" s="26">
        <v>0</v>
      </c>
      <c r="HS200" s="26">
        <v>0</v>
      </c>
      <c r="HT200" s="26">
        <v>0</v>
      </c>
    </row>
    <row r="201" spans="2:228" x14ac:dyDescent="0.2">
      <c r="B201" s="27" t="s">
        <v>1402</v>
      </c>
      <c r="C201" s="26">
        <v>26830.853200000001</v>
      </c>
      <c r="D201" s="26">
        <v>-101.423113</v>
      </c>
      <c r="E201" s="26">
        <v>26830.853200000001</v>
      </c>
      <c r="F201" s="26">
        <v>0</v>
      </c>
      <c r="G201" s="26">
        <v>0</v>
      </c>
      <c r="H201" s="26">
        <v>0</v>
      </c>
      <c r="I201" s="26">
        <v>0</v>
      </c>
      <c r="J201" s="26">
        <v>0</v>
      </c>
      <c r="K201" s="26">
        <v>0</v>
      </c>
      <c r="L201" s="26">
        <v>0</v>
      </c>
      <c r="M201" s="26">
        <v>0</v>
      </c>
      <c r="N201" s="26">
        <v>0</v>
      </c>
      <c r="O201" s="26">
        <v>0</v>
      </c>
      <c r="P201" s="26">
        <v>0</v>
      </c>
      <c r="Q201" s="26">
        <v>0</v>
      </c>
      <c r="R201" s="26">
        <v>0</v>
      </c>
      <c r="S201" s="26">
        <v>0</v>
      </c>
      <c r="T201" s="26">
        <v>0</v>
      </c>
      <c r="U201" s="26">
        <v>0</v>
      </c>
      <c r="V201" s="26">
        <v>0</v>
      </c>
      <c r="W201" s="26">
        <v>0</v>
      </c>
      <c r="X201" s="26">
        <v>0</v>
      </c>
      <c r="Y201" s="26">
        <v>0</v>
      </c>
      <c r="Z201" s="26">
        <v>0</v>
      </c>
      <c r="AA201" s="26">
        <v>0</v>
      </c>
      <c r="AB201" s="26">
        <v>0</v>
      </c>
      <c r="AC201" s="26">
        <v>0</v>
      </c>
      <c r="AD201" s="26">
        <v>0</v>
      </c>
      <c r="AE201" s="26">
        <v>0</v>
      </c>
      <c r="AF201" s="26">
        <v>0</v>
      </c>
      <c r="AG201" s="26">
        <v>0</v>
      </c>
      <c r="AH201" s="26">
        <v>0</v>
      </c>
      <c r="AI201" s="26">
        <v>0</v>
      </c>
      <c r="AJ201" s="26">
        <v>0</v>
      </c>
      <c r="AK201" s="26">
        <v>0</v>
      </c>
      <c r="AL201" s="26">
        <v>0</v>
      </c>
      <c r="AM201" s="26">
        <v>0</v>
      </c>
      <c r="AN201" s="26">
        <v>0</v>
      </c>
      <c r="AO201" s="26">
        <v>0</v>
      </c>
      <c r="AP201" s="26">
        <v>0</v>
      </c>
      <c r="AQ201" s="26">
        <v>0</v>
      </c>
      <c r="AR201" s="26">
        <v>0</v>
      </c>
      <c r="AS201" s="26">
        <v>0</v>
      </c>
      <c r="AT201" s="26">
        <v>0</v>
      </c>
      <c r="AU201" s="26">
        <v>0</v>
      </c>
      <c r="AV201" s="26">
        <v>0</v>
      </c>
      <c r="AW201" s="26">
        <v>0</v>
      </c>
      <c r="AX201" s="26">
        <v>0</v>
      </c>
      <c r="AY201" s="26">
        <v>0</v>
      </c>
      <c r="AZ201" s="26">
        <v>0</v>
      </c>
      <c r="BA201" s="26">
        <v>0</v>
      </c>
      <c r="BB201" s="26">
        <v>0</v>
      </c>
      <c r="BC201" s="26">
        <v>0</v>
      </c>
      <c r="BD201" s="26">
        <v>0</v>
      </c>
      <c r="BE201" s="26">
        <v>0</v>
      </c>
      <c r="BF201" s="26">
        <v>0</v>
      </c>
      <c r="BG201" s="26">
        <v>0</v>
      </c>
      <c r="BH201" s="26">
        <v>0</v>
      </c>
      <c r="BI201" s="26">
        <v>0</v>
      </c>
      <c r="BJ201" s="26">
        <v>0</v>
      </c>
      <c r="BK201" s="26">
        <v>0</v>
      </c>
      <c r="BL201" s="26">
        <v>0</v>
      </c>
      <c r="BM201" s="26">
        <v>0</v>
      </c>
      <c r="BN201" s="26">
        <v>0</v>
      </c>
      <c r="BO201" s="26">
        <v>1489.3386700000001</v>
      </c>
      <c r="BP201" s="26">
        <v>26830.853200000001</v>
      </c>
      <c r="BQ201" s="26">
        <v>453.43538100000001</v>
      </c>
      <c r="BR201" s="26">
        <v>33</v>
      </c>
      <c r="BS201" s="26">
        <v>5</v>
      </c>
      <c r="BT201" s="26">
        <v>0</v>
      </c>
      <c r="BU201" s="26">
        <v>1</v>
      </c>
      <c r="BV201" s="26">
        <v>0</v>
      </c>
      <c r="BW201" s="26">
        <v>-68099.428700000004</v>
      </c>
      <c r="BX201" s="26">
        <v>-3780.0927200000001</v>
      </c>
      <c r="BY201" s="26">
        <v>-101.423113</v>
      </c>
      <c r="BZ201" s="26">
        <v>-38.4147356</v>
      </c>
      <c r="CA201" s="26">
        <v>-2.1323418599999999</v>
      </c>
      <c r="CB201" s="26">
        <v>5.4742774600000002E-2</v>
      </c>
      <c r="CC201" s="26">
        <v>0.986206413</v>
      </c>
      <c r="CD201" s="26">
        <v>18.015280000000001</v>
      </c>
      <c r="CE201" s="26">
        <v>448.04271199999999</v>
      </c>
      <c r="CF201" s="26">
        <v>0</v>
      </c>
      <c r="CG201" s="26">
        <v>0</v>
      </c>
      <c r="CH201" s="26">
        <v>0</v>
      </c>
      <c r="CI201" s="26">
        <v>0</v>
      </c>
      <c r="CJ201" s="26">
        <v>0</v>
      </c>
      <c r="CK201" s="26">
        <v>0</v>
      </c>
      <c r="CL201" s="26">
        <v>0</v>
      </c>
      <c r="CM201" s="26">
        <v>0</v>
      </c>
      <c r="CN201" s="26">
        <v>0</v>
      </c>
      <c r="CO201" s="26">
        <v>0</v>
      </c>
      <c r="CP201" s="26">
        <v>0</v>
      </c>
      <c r="CQ201" s="26">
        <v>0</v>
      </c>
      <c r="CR201" s="26">
        <v>0</v>
      </c>
      <c r="CS201" s="26">
        <v>0</v>
      </c>
      <c r="CT201" s="26">
        <v>0</v>
      </c>
      <c r="CU201" s="26">
        <v>0</v>
      </c>
      <c r="CV201" s="26">
        <v>0</v>
      </c>
      <c r="CW201" s="26">
        <v>0</v>
      </c>
      <c r="CX201" s="26">
        <v>0</v>
      </c>
      <c r="CY201" s="26">
        <v>0</v>
      </c>
      <c r="CZ201" s="26">
        <v>0</v>
      </c>
      <c r="DA201" s="26">
        <v>0</v>
      </c>
      <c r="DB201" s="26">
        <v>0</v>
      </c>
      <c r="DC201" s="26">
        <v>0</v>
      </c>
      <c r="DD201" s="26">
        <v>0</v>
      </c>
      <c r="DE201" s="26">
        <v>0</v>
      </c>
      <c r="DF201" s="26">
        <v>0</v>
      </c>
      <c r="DG201" s="26">
        <v>0</v>
      </c>
      <c r="DH201" s="26">
        <v>0</v>
      </c>
      <c r="DI201" s="26">
        <v>0</v>
      </c>
      <c r="DJ201" s="26">
        <v>0</v>
      </c>
      <c r="DK201" s="26">
        <v>0</v>
      </c>
      <c r="DL201" s="26">
        <v>0</v>
      </c>
      <c r="DM201" s="26">
        <v>0</v>
      </c>
      <c r="DN201" s="26">
        <v>0</v>
      </c>
      <c r="DO201" s="26">
        <v>0</v>
      </c>
      <c r="DP201" s="26">
        <v>0</v>
      </c>
      <c r="DQ201" s="26">
        <v>0</v>
      </c>
      <c r="DR201" s="26">
        <v>0</v>
      </c>
      <c r="DS201" s="26">
        <v>0</v>
      </c>
      <c r="DT201" s="26">
        <v>0</v>
      </c>
      <c r="DU201" s="26">
        <v>0</v>
      </c>
      <c r="DV201" s="26">
        <v>0</v>
      </c>
      <c r="DW201" s="26">
        <v>0</v>
      </c>
      <c r="DX201" s="26">
        <v>0</v>
      </c>
      <c r="DY201" s="26">
        <v>0</v>
      </c>
      <c r="DZ201" s="26">
        <v>0</v>
      </c>
      <c r="EA201" s="26">
        <v>0</v>
      </c>
      <c r="EB201" s="26">
        <v>0</v>
      </c>
      <c r="EC201" s="26">
        <v>0</v>
      </c>
      <c r="ED201" s="26">
        <v>0</v>
      </c>
      <c r="EE201" s="26">
        <v>0</v>
      </c>
      <c r="EF201" s="26">
        <v>0</v>
      </c>
      <c r="EG201" s="26">
        <v>0</v>
      </c>
      <c r="EH201" s="26">
        <v>0</v>
      </c>
      <c r="EI201" s="26">
        <v>0</v>
      </c>
      <c r="EJ201" s="26">
        <v>0</v>
      </c>
      <c r="EK201" s="26">
        <v>0</v>
      </c>
      <c r="EL201" s="26">
        <v>0</v>
      </c>
      <c r="EM201" s="26">
        <v>0</v>
      </c>
      <c r="EN201" s="26">
        <v>0</v>
      </c>
      <c r="EO201" s="26">
        <v>0</v>
      </c>
      <c r="EP201" s="26">
        <v>0</v>
      </c>
      <c r="EQ201" s="26">
        <v>0</v>
      </c>
      <c r="ER201" s="26">
        <v>0</v>
      </c>
      <c r="ES201" s="26">
        <v>0</v>
      </c>
      <c r="ET201" s="26">
        <v>5</v>
      </c>
      <c r="EU201" s="26">
        <v>0</v>
      </c>
      <c r="EV201" s="26">
        <v>0</v>
      </c>
      <c r="EW201" s="26">
        <v>0</v>
      </c>
      <c r="EX201" s="26">
        <v>0</v>
      </c>
      <c r="EY201" s="26">
        <v>0</v>
      </c>
      <c r="EZ201" s="26">
        <v>0</v>
      </c>
      <c r="FA201" s="26">
        <v>0</v>
      </c>
      <c r="FB201" s="26">
        <v>0</v>
      </c>
      <c r="FC201" s="26">
        <v>0</v>
      </c>
      <c r="FD201" s="26">
        <v>0</v>
      </c>
      <c r="FE201" s="26">
        <v>0</v>
      </c>
      <c r="FF201" s="26">
        <v>0</v>
      </c>
      <c r="FG201" s="26">
        <v>0</v>
      </c>
      <c r="FH201" s="26">
        <v>-118185014.82300001</v>
      </c>
      <c r="FI201" s="26">
        <v>0</v>
      </c>
      <c r="FJ201" s="26">
        <v>0</v>
      </c>
      <c r="FK201" s="26">
        <v>0</v>
      </c>
      <c r="FL201" s="26">
        <v>0</v>
      </c>
      <c r="FM201" s="26">
        <v>0</v>
      </c>
      <c r="FN201" s="26">
        <v>0</v>
      </c>
      <c r="FO201" s="26">
        <v>0</v>
      </c>
      <c r="FP201" s="26">
        <v>0</v>
      </c>
      <c r="FQ201" s="26">
        <v>0</v>
      </c>
      <c r="FR201" s="26">
        <v>0</v>
      </c>
      <c r="FS201" s="26">
        <v>0</v>
      </c>
      <c r="FT201" s="26">
        <v>0</v>
      </c>
      <c r="FU201" s="26">
        <v>0</v>
      </c>
      <c r="FV201" s="26">
        <v>0</v>
      </c>
      <c r="FW201" s="26">
        <v>0</v>
      </c>
      <c r="FX201" s="26">
        <v>0</v>
      </c>
      <c r="FY201" s="26">
        <v>0</v>
      </c>
      <c r="FZ201" s="26">
        <v>0</v>
      </c>
      <c r="GA201" s="26">
        <v>0</v>
      </c>
      <c r="GB201" s="26">
        <v>0</v>
      </c>
      <c r="GC201" s="26">
        <v>0</v>
      </c>
      <c r="GD201" s="26">
        <v>0</v>
      </c>
      <c r="GE201" s="26">
        <v>0</v>
      </c>
      <c r="GF201" s="26">
        <v>0</v>
      </c>
      <c r="GG201" s="26">
        <v>0</v>
      </c>
      <c r="GH201" s="26">
        <v>0</v>
      </c>
      <c r="GI201" s="26">
        <v>0</v>
      </c>
      <c r="GJ201" s="26">
        <v>0</v>
      </c>
      <c r="GK201" s="26">
        <v>0</v>
      </c>
      <c r="GL201" s="26">
        <v>0</v>
      </c>
      <c r="GM201" s="26">
        <v>0</v>
      </c>
      <c r="GN201" s="26">
        <v>0</v>
      </c>
      <c r="GO201" s="26">
        <v>0</v>
      </c>
      <c r="GP201" s="26">
        <v>0</v>
      </c>
      <c r="GQ201" s="26">
        <v>0</v>
      </c>
      <c r="GR201" s="26">
        <v>0</v>
      </c>
      <c r="GS201" s="26">
        <v>0</v>
      </c>
      <c r="GT201" s="26">
        <v>0</v>
      </c>
      <c r="GU201" s="26">
        <v>0</v>
      </c>
      <c r="GV201" s="26">
        <v>0</v>
      </c>
      <c r="GW201" s="26">
        <v>0</v>
      </c>
      <c r="GX201" s="26">
        <v>0</v>
      </c>
      <c r="GY201" s="26">
        <v>0</v>
      </c>
      <c r="GZ201" s="26">
        <v>0</v>
      </c>
      <c r="HA201" s="26">
        <v>0</v>
      </c>
      <c r="HB201" s="26">
        <v>0</v>
      </c>
      <c r="HC201" s="26">
        <v>0</v>
      </c>
      <c r="HD201" s="26">
        <v>0</v>
      </c>
      <c r="HE201" s="26">
        <v>0</v>
      </c>
      <c r="HF201" s="26">
        <v>0</v>
      </c>
      <c r="HG201" s="26">
        <v>0</v>
      </c>
      <c r="HH201" s="26">
        <v>0</v>
      </c>
      <c r="HI201" s="26">
        <v>0</v>
      </c>
      <c r="HJ201" s="26">
        <v>0</v>
      </c>
      <c r="HK201" s="26">
        <v>0</v>
      </c>
      <c r="HL201" s="26">
        <v>0</v>
      </c>
      <c r="HM201" s="26">
        <v>0</v>
      </c>
      <c r="HN201" s="26">
        <v>0</v>
      </c>
      <c r="HO201" s="26">
        <v>0</v>
      </c>
      <c r="HP201" s="26">
        <v>0</v>
      </c>
      <c r="HQ201" s="26">
        <v>0</v>
      </c>
      <c r="HR201" s="26">
        <v>0</v>
      </c>
      <c r="HS201" s="26">
        <v>0</v>
      </c>
      <c r="HT201" s="26">
        <v>0</v>
      </c>
    </row>
    <row r="202" spans="2:228" x14ac:dyDescent="0.2">
      <c r="B202" s="27" t="s">
        <v>1405</v>
      </c>
      <c r="C202" s="26">
        <v>355313.18800000002</v>
      </c>
      <c r="D202" s="26">
        <v>-1283.789</v>
      </c>
      <c r="E202" s="26">
        <v>329317.86599999998</v>
      </c>
      <c r="F202" s="26">
        <v>177.424138</v>
      </c>
      <c r="G202" s="26">
        <v>501.83496400000001</v>
      </c>
      <c r="H202" s="26">
        <v>1101.6176700000001</v>
      </c>
      <c r="I202" s="26">
        <v>462.21720500000004</v>
      </c>
      <c r="J202" s="26">
        <v>1022.3819700000001</v>
      </c>
      <c r="K202" s="26">
        <v>211.866952</v>
      </c>
      <c r="L202" s="26">
        <v>318.75849399999998</v>
      </c>
      <c r="M202" s="26">
        <v>0</v>
      </c>
      <c r="N202" s="26">
        <v>1090.9604200000001</v>
      </c>
      <c r="O202" s="26">
        <v>27.531921000000001</v>
      </c>
      <c r="P202" s="26">
        <v>11.551855</v>
      </c>
      <c r="Q202" s="26">
        <v>376.01020999999997</v>
      </c>
      <c r="R202" s="26">
        <v>45.822032800000002</v>
      </c>
      <c r="S202" s="26">
        <v>11753.797500000001</v>
      </c>
      <c r="T202" s="26">
        <v>632.05517199999997</v>
      </c>
      <c r="U202" s="26">
        <v>355.00534099999999</v>
      </c>
      <c r="V202" s="26">
        <v>157.999549</v>
      </c>
      <c r="W202" s="26">
        <v>0</v>
      </c>
      <c r="X202" s="26">
        <v>1630.9811400000001</v>
      </c>
      <c r="Y202" s="26">
        <v>726.84030600000006</v>
      </c>
      <c r="Z202" s="26">
        <v>167.87425400000001</v>
      </c>
      <c r="AA202" s="26">
        <v>440.67470300000002</v>
      </c>
      <c r="AB202" s="26">
        <v>7.1539367600000005E-4</v>
      </c>
      <c r="AC202" s="26">
        <v>0</v>
      </c>
      <c r="AD202" s="26">
        <v>2389.1657300000002</v>
      </c>
      <c r="AE202" s="26">
        <v>1791.6933100000001</v>
      </c>
      <c r="AF202" s="26">
        <v>124.03579599999999</v>
      </c>
      <c r="AG202" s="26">
        <v>0</v>
      </c>
      <c r="AH202" s="26">
        <v>0</v>
      </c>
      <c r="AI202" s="26">
        <v>0</v>
      </c>
      <c r="AJ202" s="26">
        <v>0</v>
      </c>
      <c r="AK202" s="26">
        <v>0</v>
      </c>
      <c r="AL202" s="26">
        <v>0</v>
      </c>
      <c r="AM202" s="26">
        <v>12.8602407</v>
      </c>
      <c r="AN202" s="26">
        <v>0</v>
      </c>
      <c r="AO202" s="26">
        <v>0</v>
      </c>
      <c r="AP202" s="26">
        <v>0</v>
      </c>
      <c r="AQ202" s="26">
        <v>0</v>
      </c>
      <c r="AR202" s="26">
        <v>0</v>
      </c>
      <c r="AS202" s="26">
        <v>3.6965341900000001E-17</v>
      </c>
      <c r="AT202" s="26">
        <v>0</v>
      </c>
      <c r="AU202" s="26">
        <v>0</v>
      </c>
      <c r="AV202" s="26">
        <v>7.3288308700000004E-10</v>
      </c>
      <c r="AW202" s="26">
        <v>0</v>
      </c>
      <c r="AX202" s="26">
        <v>0</v>
      </c>
      <c r="AY202" s="26">
        <v>0</v>
      </c>
      <c r="AZ202" s="26">
        <v>0</v>
      </c>
      <c r="BA202" s="26">
        <v>0</v>
      </c>
      <c r="BB202" s="26">
        <v>0</v>
      </c>
      <c r="BC202" s="26">
        <v>0</v>
      </c>
      <c r="BD202" s="26">
        <v>0</v>
      </c>
      <c r="BE202" s="26">
        <v>0</v>
      </c>
      <c r="BF202" s="26">
        <v>0</v>
      </c>
      <c r="BG202" s="26">
        <v>0</v>
      </c>
      <c r="BH202" s="26">
        <v>0</v>
      </c>
      <c r="BI202" s="26">
        <v>0</v>
      </c>
      <c r="BJ202" s="26">
        <v>0</v>
      </c>
      <c r="BK202" s="26">
        <v>0</v>
      </c>
      <c r="BL202" s="26">
        <v>0</v>
      </c>
      <c r="BM202" s="26">
        <v>0</v>
      </c>
      <c r="BN202" s="26">
        <v>0</v>
      </c>
      <c r="BO202" s="26">
        <v>18459.153399999999</v>
      </c>
      <c r="BP202" s="26">
        <v>354848.82799999998</v>
      </c>
      <c r="BQ202" s="26">
        <v>5947.6234199999999</v>
      </c>
      <c r="BR202" s="26">
        <v>47.401204199999995</v>
      </c>
      <c r="BS202" s="26">
        <v>3.94997957</v>
      </c>
      <c r="BT202" s="26">
        <v>0</v>
      </c>
      <c r="BU202" s="26">
        <v>1</v>
      </c>
      <c r="BV202" s="26">
        <v>0</v>
      </c>
      <c r="BW202" s="26">
        <v>-69518.582999999999</v>
      </c>
      <c r="BX202" s="26">
        <v>-3616.34051</v>
      </c>
      <c r="BY202" s="26">
        <v>-1283.2542000000001</v>
      </c>
      <c r="BZ202" s="26">
        <v>-38.854247200000003</v>
      </c>
      <c r="CA202" s="26">
        <v>-2.0211888999999998</v>
      </c>
      <c r="CB202" s="26">
        <v>5.1726972599999997E-2</v>
      </c>
      <c r="CC202" s="26">
        <v>0.99437147299999995</v>
      </c>
      <c r="CD202" s="26">
        <v>19.2234616</v>
      </c>
      <c r="CE202" s="26">
        <v>0</v>
      </c>
      <c r="CF202" s="26">
        <v>0</v>
      </c>
      <c r="CG202" s="26">
        <v>0</v>
      </c>
      <c r="CH202" s="26">
        <v>0</v>
      </c>
      <c r="CI202" s="26">
        <v>0</v>
      </c>
      <c r="CJ202" s="26">
        <v>0</v>
      </c>
      <c r="CK202" s="26">
        <v>0</v>
      </c>
      <c r="CL202" s="26">
        <v>0</v>
      </c>
      <c r="CM202" s="26">
        <v>0</v>
      </c>
      <c r="CN202" s="26">
        <v>0</v>
      </c>
      <c r="CO202" s="26">
        <v>0</v>
      </c>
      <c r="CP202" s="26">
        <v>0</v>
      </c>
      <c r="CQ202" s="26">
        <v>0</v>
      </c>
      <c r="CR202" s="26">
        <v>0</v>
      </c>
      <c r="CS202" s="26">
        <v>0</v>
      </c>
      <c r="CT202" s="26">
        <v>0</v>
      </c>
      <c r="CU202" s="26">
        <v>0</v>
      </c>
      <c r="CV202" s="26">
        <v>0</v>
      </c>
      <c r="CW202" s="26">
        <v>0</v>
      </c>
      <c r="CX202" s="26">
        <v>0</v>
      </c>
      <c r="CY202" s="26">
        <v>0</v>
      </c>
      <c r="CZ202" s="26">
        <v>0</v>
      </c>
      <c r="DA202" s="26">
        <v>0</v>
      </c>
      <c r="DB202" s="26">
        <v>0</v>
      </c>
      <c r="DC202" s="26">
        <v>0</v>
      </c>
      <c r="DD202" s="26">
        <v>0</v>
      </c>
      <c r="DE202" s="26">
        <v>0</v>
      </c>
      <c r="DF202" s="26">
        <v>0</v>
      </c>
      <c r="DG202" s="26">
        <v>0</v>
      </c>
      <c r="DH202" s="26">
        <v>0</v>
      </c>
      <c r="DI202" s="26">
        <v>0</v>
      </c>
      <c r="DJ202" s="26">
        <v>0</v>
      </c>
      <c r="DK202" s="26">
        <v>0</v>
      </c>
      <c r="DL202" s="26">
        <v>0</v>
      </c>
      <c r="DM202" s="26">
        <v>0</v>
      </c>
      <c r="DN202" s="26">
        <v>0</v>
      </c>
      <c r="DO202" s="26">
        <v>0</v>
      </c>
      <c r="DP202" s="26">
        <v>0</v>
      </c>
      <c r="DQ202" s="26">
        <v>0</v>
      </c>
      <c r="DR202" s="26">
        <v>0</v>
      </c>
      <c r="DS202" s="26">
        <v>0</v>
      </c>
      <c r="DT202" s="26">
        <v>0</v>
      </c>
      <c r="DU202" s="26">
        <v>0</v>
      </c>
      <c r="DV202" s="26">
        <v>0</v>
      </c>
      <c r="DW202" s="26">
        <v>0</v>
      </c>
      <c r="DX202" s="26">
        <v>25.092833200000001</v>
      </c>
      <c r="DY202" s="26">
        <v>0.61959341099999998</v>
      </c>
      <c r="DZ202" s="26">
        <v>0.25996926399999998</v>
      </c>
      <c r="EA202" s="26">
        <v>8.4619995299999999</v>
      </c>
      <c r="EB202" s="26">
        <v>1.0312114100000001</v>
      </c>
      <c r="EC202" s="26">
        <v>249.50383400000001</v>
      </c>
      <c r="ED202" s="26">
        <v>0</v>
      </c>
      <c r="EE202" s="26">
        <v>57.32226639999999</v>
      </c>
      <c r="EF202" s="26">
        <v>82.156953099999996</v>
      </c>
      <c r="EG202" s="26">
        <v>10.4160641</v>
      </c>
      <c r="EH202" s="26">
        <v>1.15734212</v>
      </c>
      <c r="EI202" s="26">
        <v>16.719684600000001</v>
      </c>
      <c r="EJ202" s="26">
        <v>2.1560445600000002</v>
      </c>
      <c r="EK202" s="26">
        <v>0</v>
      </c>
      <c r="EL202" s="26">
        <v>9.4619263199999999</v>
      </c>
      <c r="EM202" s="26">
        <v>0</v>
      </c>
      <c r="EN202" s="26">
        <v>0</v>
      </c>
      <c r="EO202" s="26">
        <v>0</v>
      </c>
      <c r="EP202" s="26">
        <v>7.16111567</v>
      </c>
      <c r="EQ202" s="26">
        <v>464.35972200000003</v>
      </c>
      <c r="ER202" s="26">
        <v>5.5863107799999998</v>
      </c>
      <c r="ES202" s="26">
        <v>47.401204199999995</v>
      </c>
      <c r="ET202" s="26">
        <v>3.94997957</v>
      </c>
      <c r="EU202" s="26">
        <v>0</v>
      </c>
      <c r="EV202" s="26">
        <v>0</v>
      </c>
      <c r="EW202" s="26">
        <v>1</v>
      </c>
      <c r="EX202" s="26">
        <v>-74680.510200000004</v>
      </c>
      <c r="EY202" s="26">
        <v>-1151.68424</v>
      </c>
      <c r="EZ202" s="26">
        <v>-0.53479577599999994</v>
      </c>
      <c r="FA202" s="26">
        <v>-148.263204</v>
      </c>
      <c r="FB202" s="26">
        <v>-2.2864385199999999</v>
      </c>
      <c r="FC202" s="26">
        <v>2.1365070999999999E-2</v>
      </c>
      <c r="FD202" s="26">
        <v>1.38540961</v>
      </c>
      <c r="FE202" s="26">
        <v>64.844605700000002</v>
      </c>
      <c r="FF202" s="26">
        <v>0</v>
      </c>
      <c r="FG202" s="26">
        <v>7.2898075300000004E-2</v>
      </c>
      <c r="FH202" s="26">
        <v>-1501366755.5200002</v>
      </c>
      <c r="FI202" s="26">
        <v>0.21729497479391535</v>
      </c>
      <c r="FJ202" s="26">
        <v>0</v>
      </c>
      <c r="FK202" s="26">
        <v>0</v>
      </c>
      <c r="FL202" s="26">
        <v>0</v>
      </c>
      <c r="FM202" s="26">
        <v>0</v>
      </c>
      <c r="FN202" s="26">
        <v>0</v>
      </c>
      <c r="FO202" s="26">
        <v>0</v>
      </c>
      <c r="FP202" s="26">
        <v>0</v>
      </c>
      <c r="FQ202" s="26">
        <v>0</v>
      </c>
      <c r="FR202" s="26">
        <v>0</v>
      </c>
      <c r="FS202" s="26">
        <v>0</v>
      </c>
      <c r="FT202" s="26">
        <v>0</v>
      </c>
      <c r="FU202" s="26">
        <v>0</v>
      </c>
      <c r="FV202" s="26">
        <v>0</v>
      </c>
      <c r="FW202" s="26">
        <v>0</v>
      </c>
      <c r="FX202" s="26">
        <v>0</v>
      </c>
      <c r="FY202" s="26">
        <v>0</v>
      </c>
      <c r="FZ202" s="26">
        <v>0</v>
      </c>
      <c r="GA202" s="26">
        <v>0</v>
      </c>
      <c r="GB202" s="26">
        <v>0</v>
      </c>
      <c r="GC202" s="26">
        <v>0</v>
      </c>
      <c r="GD202" s="26">
        <v>0</v>
      </c>
      <c r="GE202" s="26">
        <v>0</v>
      </c>
      <c r="GF202" s="26">
        <v>0</v>
      </c>
      <c r="GG202" s="26">
        <v>0</v>
      </c>
      <c r="GH202" s="26">
        <v>0</v>
      </c>
      <c r="GI202" s="26">
        <v>0</v>
      </c>
      <c r="GJ202" s="26">
        <v>0</v>
      </c>
      <c r="GK202" s="26">
        <v>0</v>
      </c>
      <c r="GL202" s="26">
        <v>0</v>
      </c>
      <c r="GM202" s="26">
        <v>0</v>
      </c>
      <c r="GN202" s="26">
        <v>0</v>
      </c>
      <c r="GO202" s="26">
        <v>0</v>
      </c>
      <c r="GP202" s="26">
        <v>0</v>
      </c>
      <c r="GQ202" s="26">
        <v>0</v>
      </c>
      <c r="GR202" s="26">
        <v>0</v>
      </c>
      <c r="GS202" s="26">
        <v>0</v>
      </c>
      <c r="GT202" s="26">
        <v>0</v>
      </c>
      <c r="GU202" s="26">
        <v>0</v>
      </c>
      <c r="GV202" s="26">
        <v>0</v>
      </c>
      <c r="GW202" s="26">
        <v>0</v>
      </c>
      <c r="GX202" s="26">
        <v>0</v>
      </c>
      <c r="GY202" s="26">
        <v>0</v>
      </c>
      <c r="GZ202" s="26">
        <v>0</v>
      </c>
      <c r="HA202" s="26">
        <v>0</v>
      </c>
      <c r="HB202" s="26">
        <v>0</v>
      </c>
      <c r="HC202" s="26">
        <v>0</v>
      </c>
      <c r="HD202" s="26">
        <v>0</v>
      </c>
      <c r="HE202" s="26">
        <v>0</v>
      </c>
      <c r="HF202" s="26">
        <v>0</v>
      </c>
      <c r="HG202" s="26">
        <v>0</v>
      </c>
      <c r="HH202" s="26">
        <v>0</v>
      </c>
      <c r="HI202" s="26">
        <v>0</v>
      </c>
      <c r="HJ202" s="26">
        <v>0</v>
      </c>
      <c r="HK202" s="26">
        <v>0</v>
      </c>
      <c r="HL202" s="26">
        <v>0</v>
      </c>
      <c r="HM202" s="26">
        <v>0</v>
      </c>
      <c r="HN202" s="26">
        <v>0</v>
      </c>
      <c r="HO202" s="26">
        <v>0</v>
      </c>
      <c r="HP202" s="26">
        <v>0</v>
      </c>
      <c r="HQ202" s="26">
        <v>0</v>
      </c>
      <c r="HR202" s="26">
        <v>0</v>
      </c>
      <c r="HS202" s="26">
        <v>0</v>
      </c>
      <c r="HT202" s="26">
        <v>5.1431895133677383E-3</v>
      </c>
    </row>
    <row r="203" spans="2:228" x14ac:dyDescent="0.2">
      <c r="B203" s="27" t="s">
        <v>1389</v>
      </c>
      <c r="C203" s="26">
        <v>21397.687300000001</v>
      </c>
      <c r="D203" s="26">
        <v>-45.846064900000002</v>
      </c>
      <c r="E203" s="26">
        <v>522.17686000000003</v>
      </c>
      <c r="F203" s="26">
        <v>4.3159647200000002</v>
      </c>
      <c r="G203" s="26">
        <v>0</v>
      </c>
      <c r="H203" s="26">
        <v>0</v>
      </c>
      <c r="I203" s="26">
        <v>0</v>
      </c>
      <c r="J203" s="26">
        <v>0</v>
      </c>
      <c r="K203" s="26">
        <v>0</v>
      </c>
      <c r="L203" s="26">
        <v>0</v>
      </c>
      <c r="M203" s="26">
        <v>0</v>
      </c>
      <c r="N203" s="26">
        <v>0</v>
      </c>
      <c r="O203" s="26">
        <v>0</v>
      </c>
      <c r="P203" s="26">
        <v>0</v>
      </c>
      <c r="Q203" s="26">
        <v>0</v>
      </c>
      <c r="R203" s="26">
        <v>0</v>
      </c>
      <c r="S203" s="26">
        <v>0</v>
      </c>
      <c r="T203" s="26">
        <v>2.8126139100000001E-30</v>
      </c>
      <c r="U203" s="26">
        <v>1.5036613E-19</v>
      </c>
      <c r="V203" s="26">
        <v>5.7731878899999999E-3</v>
      </c>
      <c r="W203" s="26">
        <v>0</v>
      </c>
      <c r="X203" s="26">
        <v>2.5939540900000001E-25</v>
      </c>
      <c r="Y203" s="26">
        <v>0</v>
      </c>
      <c r="Z203" s="26">
        <v>4.7456199200000002E-34</v>
      </c>
      <c r="AA203" s="26">
        <v>0</v>
      </c>
      <c r="AB203" s="26">
        <v>9.61806706E-5</v>
      </c>
      <c r="AC203" s="26">
        <v>0</v>
      </c>
      <c r="AD203" s="26">
        <v>0</v>
      </c>
      <c r="AE203" s="26">
        <v>0</v>
      </c>
      <c r="AF203" s="26">
        <v>0</v>
      </c>
      <c r="AG203" s="26">
        <v>0</v>
      </c>
      <c r="AH203" s="26">
        <v>0</v>
      </c>
      <c r="AI203" s="26">
        <v>0</v>
      </c>
      <c r="AJ203" s="26">
        <v>0</v>
      </c>
      <c r="AK203" s="26">
        <v>0</v>
      </c>
      <c r="AL203" s="26">
        <v>0</v>
      </c>
      <c r="AM203" s="26">
        <v>0</v>
      </c>
      <c r="AN203" s="26">
        <v>171.77321800000001</v>
      </c>
      <c r="AO203" s="26">
        <v>0.17471501</v>
      </c>
      <c r="AP203" s="26">
        <v>0</v>
      </c>
      <c r="AQ203" s="26">
        <v>0</v>
      </c>
      <c r="AR203" s="26">
        <v>0</v>
      </c>
      <c r="AS203" s="26">
        <v>20699.2405</v>
      </c>
      <c r="AT203" s="26">
        <v>0</v>
      </c>
      <c r="AU203" s="26">
        <v>0</v>
      </c>
      <c r="AV203" s="26">
        <v>1.3794625599999999E-4</v>
      </c>
      <c r="AW203" s="26">
        <v>0</v>
      </c>
      <c r="AX203" s="26">
        <v>0</v>
      </c>
      <c r="AY203" s="26">
        <v>0</v>
      </c>
      <c r="AZ203" s="26">
        <v>0</v>
      </c>
      <c r="BA203" s="26">
        <v>0</v>
      </c>
      <c r="BB203" s="26">
        <v>0</v>
      </c>
      <c r="BC203" s="26">
        <v>0</v>
      </c>
      <c r="BD203" s="26">
        <v>0</v>
      </c>
      <c r="BE203" s="26">
        <v>0</v>
      </c>
      <c r="BF203" s="26">
        <v>0</v>
      </c>
      <c r="BG203" s="26">
        <v>0</v>
      </c>
      <c r="BH203" s="26">
        <v>0</v>
      </c>
      <c r="BI203" s="26">
        <v>0</v>
      </c>
      <c r="BJ203" s="26">
        <v>0</v>
      </c>
      <c r="BK203" s="26">
        <v>0</v>
      </c>
      <c r="BL203" s="26">
        <v>0</v>
      </c>
      <c r="BM203" s="26">
        <v>0</v>
      </c>
      <c r="BN203" s="26">
        <v>0</v>
      </c>
      <c r="BO203" s="26">
        <v>504.78585299999997</v>
      </c>
      <c r="BP203" s="26">
        <v>21397.687300000001</v>
      </c>
      <c r="BQ203" s="26">
        <v>235373.486</v>
      </c>
      <c r="BR203" s="26">
        <v>33.705198300000006</v>
      </c>
      <c r="BS203" s="26">
        <v>0.9</v>
      </c>
      <c r="BT203" s="26">
        <v>1</v>
      </c>
      <c r="BU203" s="26">
        <v>0</v>
      </c>
      <c r="BV203" s="26">
        <v>0</v>
      </c>
      <c r="BW203" s="26">
        <v>-90822.799899999998</v>
      </c>
      <c r="BX203" s="26">
        <v>-2142.5710100000001</v>
      </c>
      <c r="BY203" s="26">
        <v>-45.846064900000002</v>
      </c>
      <c r="BZ203" s="26">
        <v>1.04434235</v>
      </c>
      <c r="CA203" s="26">
        <v>2.46367394E-2</v>
      </c>
      <c r="CB203" s="26">
        <v>3.5743607199999997E-5</v>
      </c>
      <c r="CC203" s="26">
        <v>1.5151584100000001E-3</v>
      </c>
      <c r="CD203" s="26">
        <v>42.389633500000002</v>
      </c>
      <c r="CE203" s="26">
        <v>433.44086900000002</v>
      </c>
      <c r="CF203" s="26">
        <v>0</v>
      </c>
      <c r="CG203" s="26">
        <v>0</v>
      </c>
      <c r="CH203" s="26">
        <v>0</v>
      </c>
      <c r="CI203" s="26">
        <v>0</v>
      </c>
      <c r="CJ203" s="26">
        <v>0</v>
      </c>
      <c r="CK203" s="26">
        <v>0</v>
      </c>
      <c r="CL203" s="26">
        <v>0</v>
      </c>
      <c r="CM203" s="26">
        <v>0</v>
      </c>
      <c r="CN203" s="26">
        <v>0</v>
      </c>
      <c r="CO203" s="26">
        <v>0</v>
      </c>
      <c r="CP203" s="26">
        <v>0</v>
      </c>
      <c r="CQ203" s="26">
        <v>0</v>
      </c>
      <c r="CR203" s="26">
        <v>0</v>
      </c>
      <c r="CS203" s="26">
        <v>0</v>
      </c>
      <c r="CT203" s="26">
        <v>0</v>
      </c>
      <c r="CU203" s="26">
        <v>0</v>
      </c>
      <c r="CV203" s="26">
        <v>0</v>
      </c>
      <c r="CW203" s="26">
        <v>0</v>
      </c>
      <c r="CX203" s="26">
        <v>0</v>
      </c>
      <c r="CY203" s="26">
        <v>0</v>
      </c>
      <c r="CZ203" s="26">
        <v>0</v>
      </c>
      <c r="DA203" s="26">
        <v>0</v>
      </c>
      <c r="DB203" s="26">
        <v>0</v>
      </c>
      <c r="DC203" s="26">
        <v>0</v>
      </c>
      <c r="DD203" s="26">
        <v>0</v>
      </c>
      <c r="DE203" s="26">
        <v>0</v>
      </c>
      <c r="DF203" s="26">
        <v>0</v>
      </c>
      <c r="DG203" s="26">
        <v>0</v>
      </c>
      <c r="DH203" s="26">
        <v>0</v>
      </c>
      <c r="DI203" s="26">
        <v>0</v>
      </c>
      <c r="DJ203" s="26">
        <v>0</v>
      </c>
      <c r="DK203" s="26">
        <v>0</v>
      </c>
      <c r="DL203" s="26">
        <v>0</v>
      </c>
      <c r="DM203" s="26">
        <v>0</v>
      </c>
      <c r="DN203" s="26">
        <v>0</v>
      </c>
      <c r="DO203" s="26">
        <v>0</v>
      </c>
      <c r="DP203" s="26">
        <v>0</v>
      </c>
      <c r="DQ203" s="26">
        <v>0</v>
      </c>
      <c r="DR203" s="26">
        <v>0</v>
      </c>
      <c r="DS203" s="26">
        <v>0</v>
      </c>
      <c r="DT203" s="26">
        <v>0</v>
      </c>
      <c r="DU203" s="26">
        <v>0</v>
      </c>
      <c r="DV203" s="26">
        <v>0</v>
      </c>
      <c r="DW203" s="26">
        <v>0</v>
      </c>
      <c r="DX203" s="26">
        <v>0</v>
      </c>
      <c r="DY203" s="26">
        <v>0</v>
      </c>
      <c r="DZ203" s="26">
        <v>0</v>
      </c>
      <c r="EA203" s="26">
        <v>0</v>
      </c>
      <c r="EB203" s="26">
        <v>0</v>
      </c>
      <c r="EC203" s="26">
        <v>0</v>
      </c>
      <c r="ED203" s="26">
        <v>0</v>
      </c>
      <c r="EE203" s="26">
        <v>0</v>
      </c>
      <c r="EF203" s="26">
        <v>0</v>
      </c>
      <c r="EG203" s="26">
        <v>0</v>
      </c>
      <c r="EH203" s="26">
        <v>0</v>
      </c>
      <c r="EI203" s="26">
        <v>0</v>
      </c>
      <c r="EJ203" s="26">
        <v>0</v>
      </c>
      <c r="EK203" s="26">
        <v>0</v>
      </c>
      <c r="EL203" s="26">
        <v>0</v>
      </c>
      <c r="EM203" s="26">
        <v>0</v>
      </c>
      <c r="EN203" s="26">
        <v>0</v>
      </c>
      <c r="EO203" s="26">
        <v>0</v>
      </c>
      <c r="EP203" s="26">
        <v>0</v>
      </c>
      <c r="EQ203" s="26">
        <v>0</v>
      </c>
      <c r="ER203" s="26">
        <v>0</v>
      </c>
      <c r="ES203" s="26">
        <v>0</v>
      </c>
      <c r="ET203" s="26">
        <v>0</v>
      </c>
      <c r="EU203" s="26">
        <v>0</v>
      </c>
      <c r="EV203" s="26">
        <v>0</v>
      </c>
      <c r="EW203" s="26">
        <v>0</v>
      </c>
      <c r="EX203" s="26">
        <v>0</v>
      </c>
      <c r="EY203" s="26">
        <v>0</v>
      </c>
      <c r="EZ203" s="26">
        <v>0</v>
      </c>
      <c r="FA203" s="26">
        <v>0</v>
      </c>
      <c r="FB203" s="26">
        <v>0</v>
      </c>
      <c r="FC203" s="26">
        <v>0</v>
      </c>
      <c r="FD203" s="26">
        <v>0</v>
      </c>
      <c r="FE203" s="26">
        <v>0</v>
      </c>
      <c r="FF203" s="26">
        <v>0</v>
      </c>
      <c r="FG203" s="26">
        <v>4.2076417199999998E-4</v>
      </c>
      <c r="FH203" s="26">
        <v>-53364335.595899999</v>
      </c>
      <c r="FI203" s="26">
        <v>0.13070005604560045</v>
      </c>
      <c r="FJ203" s="26">
        <v>8.0514501477449343E-3</v>
      </c>
      <c r="FK203" s="26">
        <v>2.6023531180410473E-5</v>
      </c>
      <c r="FL203" s="26">
        <v>0</v>
      </c>
      <c r="FM203" s="26">
        <v>0</v>
      </c>
      <c r="FN203" s="26">
        <v>0</v>
      </c>
      <c r="FO203" s="26">
        <v>0</v>
      </c>
      <c r="FP203" s="26">
        <v>0</v>
      </c>
      <c r="FQ203" s="26">
        <v>0</v>
      </c>
      <c r="FR203" s="26">
        <v>0</v>
      </c>
      <c r="FS203" s="26">
        <v>0</v>
      </c>
      <c r="FT203" s="26">
        <v>0</v>
      </c>
      <c r="FU203" s="26">
        <v>0</v>
      </c>
      <c r="FV203" s="26">
        <v>0</v>
      </c>
      <c r="FW203" s="26">
        <v>0</v>
      </c>
      <c r="FX203" s="26">
        <v>0</v>
      </c>
      <c r="FY203" s="26">
        <v>5.1349529021907344E-36</v>
      </c>
      <c r="FZ203" s="26">
        <v>3.3120584987186902E-25</v>
      </c>
      <c r="GA203" s="26">
        <v>1.6689951272408499E-8</v>
      </c>
      <c r="GB203" s="26">
        <v>0</v>
      </c>
      <c r="GC203" s="26">
        <v>7.9990240639921928E-31</v>
      </c>
      <c r="GD203" s="26">
        <v>0</v>
      </c>
      <c r="GE203" s="26">
        <v>0</v>
      </c>
      <c r="GF203" s="26">
        <v>0</v>
      </c>
      <c r="GG203" s="26">
        <v>1.5687595208834095E-9</v>
      </c>
      <c r="GH203" s="26">
        <v>0</v>
      </c>
      <c r="GI203" s="26">
        <v>0</v>
      </c>
      <c r="GJ203" s="26">
        <v>0</v>
      </c>
      <c r="GK203" s="26">
        <v>0</v>
      </c>
      <c r="GL203" s="26">
        <v>0</v>
      </c>
      <c r="GM203" s="26">
        <v>0</v>
      </c>
      <c r="GN203" s="26">
        <v>0</v>
      </c>
      <c r="GO203" s="26">
        <v>0</v>
      </c>
      <c r="GP203" s="26">
        <v>0</v>
      </c>
      <c r="GQ203" s="26">
        <v>0</v>
      </c>
      <c r="GR203" s="26">
        <v>0</v>
      </c>
      <c r="GS203" s="26">
        <v>1.4911428952624763E-3</v>
      </c>
      <c r="GT203" s="26">
        <v>1.7324497971929317E-6</v>
      </c>
      <c r="GU203" s="26">
        <v>0</v>
      </c>
      <c r="GV203" s="26">
        <v>0</v>
      </c>
      <c r="GW203" s="26">
        <v>0</v>
      </c>
      <c r="GX203" s="26">
        <v>0.13064792576740564</v>
      </c>
      <c r="GY203" s="26">
        <v>0</v>
      </c>
      <c r="GZ203" s="26">
        <v>0</v>
      </c>
      <c r="HA203" s="26">
        <v>5.9811947700717799E-10</v>
      </c>
      <c r="HB203" s="26">
        <v>0</v>
      </c>
      <c r="HC203" s="26">
        <v>0</v>
      </c>
      <c r="HD203" s="26">
        <v>0</v>
      </c>
      <c r="HE203" s="26">
        <v>0</v>
      </c>
      <c r="HF203" s="26">
        <v>0</v>
      </c>
      <c r="HG203" s="26">
        <v>0</v>
      </c>
      <c r="HH203" s="26">
        <v>0</v>
      </c>
      <c r="HI203" s="26">
        <v>0</v>
      </c>
      <c r="HJ203" s="26">
        <v>0</v>
      </c>
      <c r="HK203" s="26">
        <v>0</v>
      </c>
      <c r="HL203" s="26">
        <v>0</v>
      </c>
      <c r="HM203" s="26">
        <v>0</v>
      </c>
      <c r="HN203" s="26">
        <v>0</v>
      </c>
      <c r="HO203" s="26">
        <v>0</v>
      </c>
      <c r="HP203" s="26">
        <v>0</v>
      </c>
      <c r="HQ203" s="26">
        <v>0</v>
      </c>
      <c r="HR203" s="26">
        <v>0</v>
      </c>
      <c r="HS203" s="26">
        <v>0</v>
      </c>
      <c r="HT203" s="26">
        <v>0</v>
      </c>
    </row>
    <row r="204" spans="2:228" x14ac:dyDescent="0.2">
      <c r="B204" s="27" t="s">
        <v>1399</v>
      </c>
      <c r="C204" s="26">
        <v>27192.394899999999</v>
      </c>
      <c r="D204" s="26">
        <v>-101.701004</v>
      </c>
      <c r="E204" s="26">
        <v>26737.816500000001</v>
      </c>
      <c r="F204" s="26">
        <v>423.65937000000002</v>
      </c>
      <c r="G204" s="26">
        <v>0</v>
      </c>
      <c r="H204" s="26">
        <v>0</v>
      </c>
      <c r="I204" s="26">
        <v>0</v>
      </c>
      <c r="J204" s="26">
        <v>1.33988674E-9</v>
      </c>
      <c r="K204" s="26">
        <v>4.6315293900000007E-10</v>
      </c>
      <c r="L204" s="26">
        <v>5.7453129300000008E-8</v>
      </c>
      <c r="M204" s="26">
        <v>0</v>
      </c>
      <c r="N204" s="26">
        <v>0</v>
      </c>
      <c r="O204" s="26">
        <v>0</v>
      </c>
      <c r="P204" s="26">
        <v>0</v>
      </c>
      <c r="Q204" s="26">
        <v>4.6732016300000002E-10</v>
      </c>
      <c r="R204" s="26">
        <v>0</v>
      </c>
      <c r="S204" s="26">
        <v>0</v>
      </c>
      <c r="T204" s="26">
        <v>1.9397659099999998E-5</v>
      </c>
      <c r="U204" s="26">
        <v>1.22907121E-3</v>
      </c>
      <c r="V204" s="26">
        <v>2.7070171599999999</v>
      </c>
      <c r="W204" s="26">
        <v>0</v>
      </c>
      <c r="X204" s="26">
        <v>3.8075802599999998E-4</v>
      </c>
      <c r="Y204" s="26">
        <v>9.8207374799999997E-10</v>
      </c>
      <c r="Z204" s="26">
        <v>1.2351166500000001E-6</v>
      </c>
      <c r="AA204" s="26">
        <v>6.982452E-7</v>
      </c>
      <c r="AB204" s="26">
        <v>5.98315316E-3</v>
      </c>
      <c r="AC204" s="26">
        <v>0</v>
      </c>
      <c r="AD204" s="26">
        <v>0</v>
      </c>
      <c r="AE204" s="26">
        <v>0</v>
      </c>
      <c r="AF204" s="26">
        <v>0</v>
      </c>
      <c r="AG204" s="26">
        <v>0</v>
      </c>
      <c r="AH204" s="26">
        <v>0</v>
      </c>
      <c r="AI204" s="26">
        <v>0</v>
      </c>
      <c r="AJ204" s="26">
        <v>0</v>
      </c>
      <c r="AK204" s="26">
        <v>0</v>
      </c>
      <c r="AL204" s="26">
        <v>0</v>
      </c>
      <c r="AM204" s="26">
        <v>7.3886057200000002E-10</v>
      </c>
      <c r="AN204" s="26">
        <v>9.7753965999999998E-3</v>
      </c>
      <c r="AO204" s="26">
        <v>5.20442532E-6</v>
      </c>
      <c r="AP204" s="26">
        <v>0</v>
      </c>
      <c r="AQ204" s="26">
        <v>0</v>
      </c>
      <c r="AR204" s="26">
        <v>0</v>
      </c>
      <c r="AS204" s="26">
        <v>28.194529800000002</v>
      </c>
      <c r="AT204" s="26">
        <v>0</v>
      </c>
      <c r="AU204" s="26">
        <v>0</v>
      </c>
      <c r="AV204" s="26">
        <v>1.3093636999999999E-4</v>
      </c>
      <c r="AW204" s="26">
        <v>0</v>
      </c>
      <c r="AX204" s="26">
        <v>0</v>
      </c>
      <c r="AY204" s="26">
        <v>0</v>
      </c>
      <c r="AZ204" s="26">
        <v>0</v>
      </c>
      <c r="BA204" s="26">
        <v>0</v>
      </c>
      <c r="BB204" s="26">
        <v>0</v>
      </c>
      <c r="BC204" s="26">
        <v>0</v>
      </c>
      <c r="BD204" s="26">
        <v>0</v>
      </c>
      <c r="BE204" s="26">
        <v>0</v>
      </c>
      <c r="BF204" s="26">
        <v>0</v>
      </c>
      <c r="BG204" s="26">
        <v>0</v>
      </c>
      <c r="BH204" s="26">
        <v>0</v>
      </c>
      <c r="BI204" s="26">
        <v>0</v>
      </c>
      <c r="BJ204" s="26">
        <v>0</v>
      </c>
      <c r="BK204" s="26">
        <v>0</v>
      </c>
      <c r="BL204" s="26">
        <v>0</v>
      </c>
      <c r="BM204" s="26">
        <v>0</v>
      </c>
      <c r="BN204" s="26">
        <v>0</v>
      </c>
      <c r="BO204" s="26">
        <v>1494.0400199999999</v>
      </c>
      <c r="BP204" s="26">
        <v>27192.394899999999</v>
      </c>
      <c r="BQ204" s="26">
        <v>461.70022799999998</v>
      </c>
      <c r="BR204" s="26">
        <v>34.233848000000023</v>
      </c>
      <c r="BS204" s="26">
        <v>4.3022982000000001</v>
      </c>
      <c r="BT204" s="26">
        <v>0</v>
      </c>
      <c r="BU204" s="26">
        <v>1</v>
      </c>
      <c r="BV204" s="26">
        <v>0</v>
      </c>
      <c r="BW204" s="26">
        <v>-68071.137300000002</v>
      </c>
      <c r="BX204" s="26">
        <v>-3740.0531900000001</v>
      </c>
      <c r="BY204" s="26">
        <v>-101.701004</v>
      </c>
      <c r="BZ204" s="26">
        <v>-38.529875699999998</v>
      </c>
      <c r="CA204" s="26">
        <v>-2.1169586800000002</v>
      </c>
      <c r="CB204" s="26">
        <v>5.3932541600000002E-2</v>
      </c>
      <c r="CC204" s="26">
        <v>0.98160353700000003</v>
      </c>
      <c r="CD204" s="26">
        <v>18.200579999999999</v>
      </c>
      <c r="CE204" s="26">
        <v>456.01676300000003</v>
      </c>
      <c r="CF204" s="26">
        <v>0</v>
      </c>
      <c r="CG204" s="26">
        <v>0</v>
      </c>
      <c r="CH204" s="26">
        <v>0</v>
      </c>
      <c r="CI204" s="26">
        <v>0</v>
      </c>
      <c r="CJ204" s="26">
        <v>0</v>
      </c>
      <c r="CK204" s="26">
        <v>0</v>
      </c>
      <c r="CL204" s="26">
        <v>0</v>
      </c>
      <c r="CM204" s="26">
        <v>0</v>
      </c>
      <c r="CN204" s="26">
        <v>0</v>
      </c>
      <c r="CO204" s="26">
        <v>0</v>
      </c>
      <c r="CP204" s="26">
        <v>0</v>
      </c>
      <c r="CQ204" s="26">
        <v>0</v>
      </c>
      <c r="CR204" s="26">
        <v>0</v>
      </c>
      <c r="CS204" s="26">
        <v>0</v>
      </c>
      <c r="CT204" s="26">
        <v>0</v>
      </c>
      <c r="CU204" s="26">
        <v>0</v>
      </c>
      <c r="CV204" s="26">
        <v>0</v>
      </c>
      <c r="CW204" s="26">
        <v>0</v>
      </c>
      <c r="CX204" s="26">
        <v>0</v>
      </c>
      <c r="CY204" s="26">
        <v>0</v>
      </c>
      <c r="CZ204" s="26">
        <v>0</v>
      </c>
      <c r="DA204" s="26">
        <v>0</v>
      </c>
      <c r="DB204" s="26">
        <v>0</v>
      </c>
      <c r="DC204" s="26">
        <v>0</v>
      </c>
      <c r="DD204" s="26">
        <v>0</v>
      </c>
      <c r="DE204" s="26">
        <v>0</v>
      </c>
      <c r="DF204" s="26">
        <v>0</v>
      </c>
      <c r="DG204" s="26">
        <v>0</v>
      </c>
      <c r="DH204" s="26">
        <v>0</v>
      </c>
      <c r="DI204" s="26">
        <v>0</v>
      </c>
      <c r="DJ204" s="26">
        <v>0</v>
      </c>
      <c r="DK204" s="26">
        <v>0</v>
      </c>
      <c r="DL204" s="26">
        <v>0</v>
      </c>
      <c r="DM204" s="26">
        <v>0</v>
      </c>
      <c r="DN204" s="26">
        <v>0</v>
      </c>
      <c r="DO204" s="26">
        <v>0</v>
      </c>
      <c r="DP204" s="26">
        <v>0</v>
      </c>
      <c r="DQ204" s="26">
        <v>0</v>
      </c>
      <c r="DR204" s="26">
        <v>0</v>
      </c>
      <c r="DS204" s="26">
        <v>0</v>
      </c>
      <c r="DT204" s="26">
        <v>0</v>
      </c>
      <c r="DU204" s="26">
        <v>0</v>
      </c>
      <c r="DV204" s="26">
        <v>0</v>
      </c>
      <c r="DW204" s="26">
        <v>0</v>
      </c>
      <c r="DX204" s="26">
        <v>0</v>
      </c>
      <c r="DY204" s="26">
        <v>0</v>
      </c>
      <c r="DZ204" s="26">
        <v>0</v>
      </c>
      <c r="EA204" s="26">
        <v>0</v>
      </c>
      <c r="EB204" s="26">
        <v>0</v>
      </c>
      <c r="EC204" s="26">
        <v>0</v>
      </c>
      <c r="ED204" s="26">
        <v>0</v>
      </c>
      <c r="EE204" s="26">
        <v>0</v>
      </c>
      <c r="EF204" s="26">
        <v>0</v>
      </c>
      <c r="EG204" s="26">
        <v>0</v>
      </c>
      <c r="EH204" s="26">
        <v>0</v>
      </c>
      <c r="EI204" s="26">
        <v>0</v>
      </c>
      <c r="EJ204" s="26">
        <v>0</v>
      </c>
      <c r="EK204" s="26">
        <v>0</v>
      </c>
      <c r="EL204" s="26">
        <v>0</v>
      </c>
      <c r="EM204" s="26">
        <v>0</v>
      </c>
      <c r="EN204" s="26">
        <v>0</v>
      </c>
      <c r="EO204" s="26">
        <v>0</v>
      </c>
      <c r="EP204" s="26">
        <v>0</v>
      </c>
      <c r="EQ204" s="26">
        <v>0</v>
      </c>
      <c r="ER204" s="26">
        <v>0</v>
      </c>
      <c r="ES204" s="26">
        <v>0</v>
      </c>
      <c r="ET204" s="26">
        <v>4.3022982000000001</v>
      </c>
      <c r="EU204" s="26">
        <v>0</v>
      </c>
      <c r="EV204" s="26">
        <v>0</v>
      </c>
      <c r="EW204" s="26">
        <v>0</v>
      </c>
      <c r="EX204" s="26">
        <v>0</v>
      </c>
      <c r="EY204" s="26">
        <v>0</v>
      </c>
      <c r="EZ204" s="26">
        <v>0</v>
      </c>
      <c r="FA204" s="26">
        <v>0</v>
      </c>
      <c r="FB204" s="26">
        <v>0</v>
      </c>
      <c r="FC204" s="26">
        <v>0</v>
      </c>
      <c r="FD204" s="26">
        <v>0</v>
      </c>
      <c r="FE204" s="26">
        <v>0</v>
      </c>
      <c r="FF204" s="26">
        <v>0</v>
      </c>
      <c r="FG204" s="26">
        <v>3.2632053600000002E-2</v>
      </c>
      <c r="FH204" s="26">
        <v>-118546413.58399999</v>
      </c>
      <c r="FI204" s="26">
        <v>5.3260965148309936E-3</v>
      </c>
      <c r="FJ204" s="26">
        <v>0</v>
      </c>
      <c r="FK204" s="26">
        <v>0</v>
      </c>
      <c r="FL204" s="26">
        <v>0</v>
      </c>
      <c r="FM204" s="26">
        <v>0</v>
      </c>
      <c r="FN204" s="26">
        <v>0</v>
      </c>
      <c r="FO204" s="26">
        <v>0</v>
      </c>
      <c r="FP204" s="26">
        <v>0</v>
      </c>
      <c r="FQ204" s="26">
        <v>0</v>
      </c>
      <c r="FR204" s="26">
        <v>0</v>
      </c>
      <c r="FS204" s="26">
        <v>0</v>
      </c>
      <c r="FT204" s="26">
        <v>0</v>
      </c>
      <c r="FU204" s="26">
        <v>0</v>
      </c>
      <c r="FV204" s="26">
        <v>0</v>
      </c>
      <c r="FW204" s="26">
        <v>0</v>
      </c>
      <c r="FX204" s="26">
        <v>0</v>
      </c>
      <c r="FY204" s="26">
        <v>0</v>
      </c>
      <c r="FZ204" s="26">
        <v>0</v>
      </c>
      <c r="GA204" s="26">
        <v>0</v>
      </c>
      <c r="GB204" s="26">
        <v>0</v>
      </c>
      <c r="GC204" s="26">
        <v>0</v>
      </c>
      <c r="GD204" s="26">
        <v>0</v>
      </c>
      <c r="GE204" s="26">
        <v>0</v>
      </c>
      <c r="GF204" s="26">
        <v>0</v>
      </c>
      <c r="GG204" s="26">
        <v>0</v>
      </c>
      <c r="GH204" s="26">
        <v>0</v>
      </c>
      <c r="GI204" s="26">
        <v>0</v>
      </c>
      <c r="GJ204" s="26">
        <v>0</v>
      </c>
      <c r="GK204" s="26">
        <v>0</v>
      </c>
      <c r="GL204" s="26">
        <v>0</v>
      </c>
      <c r="GM204" s="26">
        <v>0</v>
      </c>
      <c r="GN204" s="26">
        <v>0</v>
      </c>
      <c r="GO204" s="26">
        <v>0</v>
      </c>
      <c r="GP204" s="26">
        <v>0</v>
      </c>
      <c r="GQ204" s="26">
        <v>0</v>
      </c>
      <c r="GR204" s="26">
        <v>0</v>
      </c>
      <c r="GS204" s="26">
        <v>0</v>
      </c>
      <c r="GT204" s="26">
        <v>0</v>
      </c>
      <c r="GU204" s="26">
        <v>0</v>
      </c>
      <c r="GV204" s="26">
        <v>0</v>
      </c>
      <c r="GW204" s="26">
        <v>0</v>
      </c>
      <c r="GX204" s="26">
        <v>0</v>
      </c>
      <c r="GY204" s="26">
        <v>0</v>
      </c>
      <c r="GZ204" s="26">
        <v>0</v>
      </c>
      <c r="HA204" s="26">
        <v>0</v>
      </c>
      <c r="HB204" s="26">
        <v>0</v>
      </c>
      <c r="HC204" s="26">
        <v>0</v>
      </c>
      <c r="HD204" s="26">
        <v>0</v>
      </c>
      <c r="HE204" s="26">
        <v>0</v>
      </c>
      <c r="HF204" s="26">
        <v>0</v>
      </c>
      <c r="HG204" s="26">
        <v>0</v>
      </c>
      <c r="HH204" s="26">
        <v>0</v>
      </c>
      <c r="HI204" s="26">
        <v>0</v>
      </c>
      <c r="HJ204" s="26">
        <v>0</v>
      </c>
      <c r="HK204" s="26">
        <v>0</v>
      </c>
      <c r="HL204" s="26">
        <v>0</v>
      </c>
      <c r="HM204" s="26">
        <v>0</v>
      </c>
      <c r="HN204" s="26">
        <v>0</v>
      </c>
      <c r="HO204" s="26">
        <v>0</v>
      </c>
      <c r="HP204" s="26">
        <v>0</v>
      </c>
      <c r="HQ204" s="26">
        <v>0</v>
      </c>
      <c r="HR204" s="26">
        <v>0</v>
      </c>
      <c r="HS204" s="26">
        <v>0</v>
      </c>
      <c r="HT204" s="26">
        <v>0</v>
      </c>
    </row>
    <row r="205" spans="2:228" x14ac:dyDescent="0.2">
      <c r="B205" s="27" t="s">
        <v>2885</v>
      </c>
      <c r="C205" s="26">
        <v>27192.394899999999</v>
      </c>
      <c r="D205" s="26">
        <v>-101.705072</v>
      </c>
      <c r="E205" s="26">
        <v>26737.816500000001</v>
      </c>
      <c r="F205" s="26">
        <v>423.65937000000002</v>
      </c>
      <c r="G205" s="26">
        <v>0</v>
      </c>
      <c r="H205" s="26">
        <v>0</v>
      </c>
      <c r="I205" s="26">
        <v>0</v>
      </c>
      <c r="J205" s="26">
        <v>1.33988674E-9</v>
      </c>
      <c r="K205" s="26">
        <v>4.6315293900000007E-10</v>
      </c>
      <c r="L205" s="26">
        <v>5.7453129300000008E-8</v>
      </c>
      <c r="M205" s="26">
        <v>0</v>
      </c>
      <c r="N205" s="26">
        <v>0</v>
      </c>
      <c r="O205" s="26">
        <v>0</v>
      </c>
      <c r="P205" s="26">
        <v>0</v>
      </c>
      <c r="Q205" s="26">
        <v>4.6732016300000002E-10</v>
      </c>
      <c r="R205" s="26">
        <v>0</v>
      </c>
      <c r="S205" s="26">
        <v>0</v>
      </c>
      <c r="T205" s="26">
        <v>1.9397659099999998E-5</v>
      </c>
      <c r="U205" s="26">
        <v>1.22907121E-3</v>
      </c>
      <c r="V205" s="26">
        <v>2.7070171599999999</v>
      </c>
      <c r="W205" s="26">
        <v>0</v>
      </c>
      <c r="X205" s="26">
        <v>3.8075802599999998E-4</v>
      </c>
      <c r="Y205" s="26">
        <v>9.8207374799999997E-10</v>
      </c>
      <c r="Z205" s="26">
        <v>1.2351166500000001E-6</v>
      </c>
      <c r="AA205" s="26">
        <v>6.982452E-7</v>
      </c>
      <c r="AB205" s="26">
        <v>5.98315316E-3</v>
      </c>
      <c r="AC205" s="26">
        <v>0</v>
      </c>
      <c r="AD205" s="26">
        <v>0</v>
      </c>
      <c r="AE205" s="26">
        <v>0</v>
      </c>
      <c r="AF205" s="26">
        <v>0</v>
      </c>
      <c r="AG205" s="26">
        <v>0</v>
      </c>
      <c r="AH205" s="26">
        <v>0</v>
      </c>
      <c r="AI205" s="26">
        <v>0</v>
      </c>
      <c r="AJ205" s="26">
        <v>0</v>
      </c>
      <c r="AK205" s="26">
        <v>0</v>
      </c>
      <c r="AL205" s="26">
        <v>0</v>
      </c>
      <c r="AM205" s="26">
        <v>7.3886057200000002E-10</v>
      </c>
      <c r="AN205" s="26">
        <v>9.7753965999999998E-3</v>
      </c>
      <c r="AO205" s="26">
        <v>5.20442532E-6</v>
      </c>
      <c r="AP205" s="26">
        <v>0</v>
      </c>
      <c r="AQ205" s="26">
        <v>0</v>
      </c>
      <c r="AR205" s="26">
        <v>0</v>
      </c>
      <c r="AS205" s="26">
        <v>28.194529800000002</v>
      </c>
      <c r="AT205" s="26">
        <v>0</v>
      </c>
      <c r="AU205" s="26">
        <v>0</v>
      </c>
      <c r="AV205" s="26">
        <v>1.3093636999999999E-4</v>
      </c>
      <c r="AW205" s="26">
        <v>0</v>
      </c>
      <c r="AX205" s="26">
        <v>0</v>
      </c>
      <c r="AY205" s="26">
        <v>0</v>
      </c>
      <c r="AZ205" s="26">
        <v>0</v>
      </c>
      <c r="BA205" s="26">
        <v>0</v>
      </c>
      <c r="BB205" s="26">
        <v>0</v>
      </c>
      <c r="BC205" s="26">
        <v>0</v>
      </c>
      <c r="BD205" s="26">
        <v>0</v>
      </c>
      <c r="BE205" s="26">
        <v>0</v>
      </c>
      <c r="BF205" s="26">
        <v>0</v>
      </c>
      <c r="BG205" s="26">
        <v>0</v>
      </c>
      <c r="BH205" s="26">
        <v>0</v>
      </c>
      <c r="BI205" s="26">
        <v>0</v>
      </c>
      <c r="BJ205" s="26">
        <v>0</v>
      </c>
      <c r="BK205" s="26">
        <v>0</v>
      </c>
      <c r="BL205" s="26">
        <v>0</v>
      </c>
      <c r="BM205" s="26">
        <v>0</v>
      </c>
      <c r="BN205" s="26">
        <v>0</v>
      </c>
      <c r="BO205" s="26">
        <v>1494.0400199999999</v>
      </c>
      <c r="BP205" s="26">
        <v>27192.394899999999</v>
      </c>
      <c r="BQ205" s="26">
        <v>461.62575900000002</v>
      </c>
      <c r="BR205" s="26">
        <v>34.072353899999996</v>
      </c>
      <c r="BS205" s="26">
        <v>0.9</v>
      </c>
      <c r="BT205" s="26">
        <v>0</v>
      </c>
      <c r="BU205" s="26">
        <v>1</v>
      </c>
      <c r="BV205" s="26">
        <v>0</v>
      </c>
      <c r="BW205" s="26">
        <v>-68073.859599999996</v>
      </c>
      <c r="BX205" s="26">
        <v>-3740.2027600000001</v>
      </c>
      <c r="BY205" s="26">
        <v>-101.705072</v>
      </c>
      <c r="BZ205" s="26">
        <v>-38.538666599999999</v>
      </c>
      <c r="CA205" s="26">
        <v>-2.1174416800000002</v>
      </c>
      <c r="CB205" s="26">
        <v>5.3941242E-2</v>
      </c>
      <c r="CC205" s="26">
        <v>0.98176188900000017</v>
      </c>
      <c r="CD205" s="26">
        <v>18.200579999999999</v>
      </c>
      <c r="CE205" s="26">
        <v>456.01676300000003</v>
      </c>
      <c r="CF205" s="26">
        <v>0</v>
      </c>
      <c r="CG205" s="26">
        <v>0</v>
      </c>
      <c r="CH205" s="26">
        <v>0</v>
      </c>
      <c r="CI205" s="26">
        <v>0</v>
      </c>
      <c r="CJ205" s="26">
        <v>0</v>
      </c>
      <c r="CK205" s="26">
        <v>0</v>
      </c>
      <c r="CL205" s="26">
        <v>0</v>
      </c>
      <c r="CM205" s="26">
        <v>0</v>
      </c>
      <c r="CN205" s="26">
        <v>0</v>
      </c>
      <c r="CO205" s="26">
        <v>0</v>
      </c>
      <c r="CP205" s="26">
        <v>0</v>
      </c>
      <c r="CQ205" s="26">
        <v>0</v>
      </c>
      <c r="CR205" s="26">
        <v>0</v>
      </c>
      <c r="CS205" s="26">
        <v>0</v>
      </c>
      <c r="CT205" s="26">
        <v>0</v>
      </c>
      <c r="CU205" s="26">
        <v>0</v>
      </c>
      <c r="CV205" s="26">
        <v>0</v>
      </c>
      <c r="CW205" s="26">
        <v>0</v>
      </c>
      <c r="CX205" s="26">
        <v>0</v>
      </c>
      <c r="CY205" s="26">
        <v>0</v>
      </c>
      <c r="CZ205" s="26">
        <v>0</v>
      </c>
      <c r="DA205" s="26">
        <v>0</v>
      </c>
      <c r="DB205" s="26">
        <v>0</v>
      </c>
      <c r="DC205" s="26">
        <v>0</v>
      </c>
      <c r="DD205" s="26">
        <v>0</v>
      </c>
      <c r="DE205" s="26">
        <v>0</v>
      </c>
      <c r="DF205" s="26">
        <v>0</v>
      </c>
      <c r="DG205" s="26">
        <v>0</v>
      </c>
      <c r="DH205" s="26">
        <v>0</v>
      </c>
      <c r="DI205" s="26">
        <v>0</v>
      </c>
      <c r="DJ205" s="26">
        <v>0</v>
      </c>
      <c r="DK205" s="26">
        <v>0</v>
      </c>
      <c r="DL205" s="26">
        <v>0</v>
      </c>
      <c r="DM205" s="26">
        <v>0</v>
      </c>
      <c r="DN205" s="26">
        <v>0</v>
      </c>
      <c r="DO205" s="26">
        <v>0</v>
      </c>
      <c r="DP205" s="26">
        <v>0</v>
      </c>
      <c r="DQ205" s="26">
        <v>0</v>
      </c>
      <c r="DR205" s="26">
        <v>0</v>
      </c>
      <c r="DS205" s="26">
        <v>0</v>
      </c>
      <c r="DT205" s="26">
        <v>0</v>
      </c>
      <c r="DU205" s="26">
        <v>0</v>
      </c>
      <c r="DV205" s="26">
        <v>0</v>
      </c>
      <c r="DW205" s="26">
        <v>0</v>
      </c>
      <c r="DX205" s="26">
        <v>0</v>
      </c>
      <c r="DY205" s="26">
        <v>0</v>
      </c>
      <c r="DZ205" s="26">
        <v>0</v>
      </c>
      <c r="EA205" s="26">
        <v>0</v>
      </c>
      <c r="EB205" s="26">
        <v>0</v>
      </c>
      <c r="EC205" s="26">
        <v>0</v>
      </c>
      <c r="ED205" s="26">
        <v>0</v>
      </c>
      <c r="EE205" s="26">
        <v>0</v>
      </c>
      <c r="EF205" s="26">
        <v>0</v>
      </c>
      <c r="EG205" s="26">
        <v>0</v>
      </c>
      <c r="EH205" s="26">
        <v>0</v>
      </c>
      <c r="EI205" s="26">
        <v>0</v>
      </c>
      <c r="EJ205" s="26">
        <v>0</v>
      </c>
      <c r="EK205" s="26">
        <v>0</v>
      </c>
      <c r="EL205" s="26">
        <v>0</v>
      </c>
      <c r="EM205" s="26">
        <v>0</v>
      </c>
      <c r="EN205" s="26">
        <v>0</v>
      </c>
      <c r="EO205" s="26">
        <v>0</v>
      </c>
      <c r="EP205" s="26">
        <v>0</v>
      </c>
      <c r="EQ205" s="26">
        <v>0</v>
      </c>
      <c r="ER205" s="26">
        <v>0</v>
      </c>
      <c r="ES205" s="26">
        <v>0</v>
      </c>
      <c r="ET205" s="26">
        <v>0.9</v>
      </c>
      <c r="EU205" s="26">
        <v>0</v>
      </c>
      <c r="EV205" s="26">
        <v>0</v>
      </c>
      <c r="EW205" s="26">
        <v>0</v>
      </c>
      <c r="EX205" s="26">
        <v>0</v>
      </c>
      <c r="EY205" s="26">
        <v>0</v>
      </c>
      <c r="EZ205" s="26">
        <v>0</v>
      </c>
      <c r="FA205" s="26">
        <v>0</v>
      </c>
      <c r="FB205" s="26">
        <v>0</v>
      </c>
      <c r="FC205" s="26">
        <v>0</v>
      </c>
      <c r="FD205" s="26">
        <v>0</v>
      </c>
      <c r="FE205" s="26">
        <v>0</v>
      </c>
      <c r="FF205" s="26">
        <v>0</v>
      </c>
      <c r="FG205" s="26">
        <v>3.2632053600000002E-2</v>
      </c>
      <c r="FH205" s="26">
        <v>-118546413.58399999</v>
      </c>
      <c r="FI205" s="26">
        <v>5.3260965148309936E-3</v>
      </c>
      <c r="FJ205" s="26">
        <v>0</v>
      </c>
      <c r="FK205" s="26">
        <v>0</v>
      </c>
      <c r="FL205" s="26">
        <v>0</v>
      </c>
      <c r="FM205" s="26">
        <v>0</v>
      </c>
      <c r="FN205" s="26">
        <v>0</v>
      </c>
      <c r="FO205" s="26">
        <v>0</v>
      </c>
      <c r="FP205" s="26">
        <v>0</v>
      </c>
      <c r="FQ205" s="26">
        <v>0</v>
      </c>
      <c r="FR205" s="26">
        <v>0</v>
      </c>
      <c r="FS205" s="26">
        <v>0</v>
      </c>
      <c r="FT205" s="26">
        <v>0</v>
      </c>
      <c r="FU205" s="26">
        <v>0</v>
      </c>
      <c r="FV205" s="26">
        <v>0</v>
      </c>
      <c r="FW205" s="26">
        <v>0</v>
      </c>
      <c r="FX205" s="26">
        <v>0</v>
      </c>
      <c r="FY205" s="26">
        <v>0</v>
      </c>
      <c r="FZ205" s="26">
        <v>0</v>
      </c>
      <c r="GA205" s="26">
        <v>0</v>
      </c>
      <c r="GB205" s="26">
        <v>0</v>
      </c>
      <c r="GC205" s="26">
        <v>0</v>
      </c>
      <c r="GD205" s="26">
        <v>0</v>
      </c>
      <c r="GE205" s="26">
        <v>0</v>
      </c>
      <c r="GF205" s="26">
        <v>0</v>
      </c>
      <c r="GG205" s="26">
        <v>0</v>
      </c>
      <c r="GH205" s="26">
        <v>0</v>
      </c>
      <c r="GI205" s="26">
        <v>0</v>
      </c>
      <c r="GJ205" s="26">
        <v>0</v>
      </c>
      <c r="GK205" s="26">
        <v>0</v>
      </c>
      <c r="GL205" s="26">
        <v>0</v>
      </c>
      <c r="GM205" s="26">
        <v>0</v>
      </c>
      <c r="GN205" s="26">
        <v>0</v>
      </c>
      <c r="GO205" s="26">
        <v>0</v>
      </c>
      <c r="GP205" s="26">
        <v>0</v>
      </c>
      <c r="GQ205" s="26">
        <v>0</v>
      </c>
      <c r="GR205" s="26">
        <v>0</v>
      </c>
      <c r="GS205" s="26">
        <v>0</v>
      </c>
      <c r="GT205" s="26">
        <v>0</v>
      </c>
      <c r="GU205" s="26">
        <v>0</v>
      </c>
      <c r="GV205" s="26">
        <v>0</v>
      </c>
      <c r="GW205" s="26">
        <v>0</v>
      </c>
      <c r="GX205" s="26">
        <v>0</v>
      </c>
      <c r="GY205" s="26">
        <v>0</v>
      </c>
      <c r="GZ205" s="26">
        <v>0</v>
      </c>
      <c r="HA205" s="26">
        <v>0</v>
      </c>
      <c r="HB205" s="26">
        <v>0</v>
      </c>
      <c r="HC205" s="26">
        <v>0</v>
      </c>
      <c r="HD205" s="26">
        <v>0</v>
      </c>
      <c r="HE205" s="26">
        <v>0</v>
      </c>
      <c r="HF205" s="26">
        <v>0</v>
      </c>
      <c r="HG205" s="26">
        <v>0</v>
      </c>
      <c r="HH205" s="26">
        <v>0</v>
      </c>
      <c r="HI205" s="26">
        <v>0</v>
      </c>
      <c r="HJ205" s="26">
        <v>0</v>
      </c>
      <c r="HK205" s="26">
        <v>0</v>
      </c>
      <c r="HL205" s="26">
        <v>0</v>
      </c>
      <c r="HM205" s="26">
        <v>0</v>
      </c>
      <c r="HN205" s="26">
        <v>0</v>
      </c>
      <c r="HO205" s="26">
        <v>0</v>
      </c>
      <c r="HP205" s="26">
        <v>0</v>
      </c>
      <c r="HQ205" s="26">
        <v>0</v>
      </c>
      <c r="HR205" s="26">
        <v>0</v>
      </c>
      <c r="HS205" s="26">
        <v>0</v>
      </c>
      <c r="HT205" s="26">
        <v>0</v>
      </c>
    </row>
    <row r="206" spans="2:228" x14ac:dyDescent="0.2">
      <c r="B206" s="27" t="s">
        <v>1395</v>
      </c>
      <c r="C206" s="26">
        <v>12052.6684</v>
      </c>
      <c r="D206" s="26">
        <v>-0.48020229800000003</v>
      </c>
      <c r="E206" s="26">
        <v>175.638385</v>
      </c>
      <c r="F206" s="26">
        <v>1.17033893</v>
      </c>
      <c r="G206" s="26">
        <v>3.8042603699999999E-11</v>
      </c>
      <c r="H206" s="26">
        <v>8.3510332199999996E-11</v>
      </c>
      <c r="I206" s="26">
        <v>3.5039300199999999E-11</v>
      </c>
      <c r="J206" s="26">
        <v>8.2960939100000003E-9</v>
      </c>
      <c r="K206" s="26">
        <v>1.7191892899999999E-9</v>
      </c>
      <c r="L206" s="26">
        <v>1.00277823E-7</v>
      </c>
      <c r="M206" s="26">
        <v>0</v>
      </c>
      <c r="N206" s="26">
        <v>8.4100119200000003E-11</v>
      </c>
      <c r="O206" s="26">
        <v>2.1223848199999998E-12</v>
      </c>
      <c r="P206" s="26">
        <v>8.90511114E-13</v>
      </c>
      <c r="Q206" s="26">
        <v>3.05112582E-9</v>
      </c>
      <c r="R206" s="26">
        <v>3.7182178400000001E-10</v>
      </c>
      <c r="S206" s="26">
        <v>8.9102014100000014E-10</v>
      </c>
      <c r="T206" s="26">
        <v>2.9190697100000002E-5</v>
      </c>
      <c r="U206" s="26">
        <v>1.3830152399999999E-3</v>
      </c>
      <c r="V206" s="26">
        <v>0.65468875000000004</v>
      </c>
      <c r="W206" s="26">
        <v>0</v>
      </c>
      <c r="X206" s="26">
        <v>7.0237648400000002E-4</v>
      </c>
      <c r="Y206" s="26">
        <v>2.54165134E-9</v>
      </c>
      <c r="Z206" s="26">
        <v>1.8881181800000001E-6</v>
      </c>
      <c r="AA206" s="26">
        <v>1.30032075E-6</v>
      </c>
      <c r="AB206" s="26">
        <v>5.6050504500000004E-6</v>
      </c>
      <c r="AC206" s="26">
        <v>0</v>
      </c>
      <c r="AD206" s="26">
        <v>0</v>
      </c>
      <c r="AE206" s="26">
        <v>0</v>
      </c>
      <c r="AF206" s="26">
        <v>0</v>
      </c>
      <c r="AG206" s="26">
        <v>0</v>
      </c>
      <c r="AH206" s="26">
        <v>0</v>
      </c>
      <c r="AI206" s="26">
        <v>0</v>
      </c>
      <c r="AJ206" s="26">
        <v>0</v>
      </c>
      <c r="AK206" s="26">
        <v>0</v>
      </c>
      <c r="AL206" s="26">
        <v>0</v>
      </c>
      <c r="AM206" s="26">
        <v>2.8245544999999999E-9</v>
      </c>
      <c r="AN206" s="26">
        <v>2765.7482100000002</v>
      </c>
      <c r="AO206" s="26">
        <v>9109.4546599999994</v>
      </c>
      <c r="AP206" s="26">
        <v>0</v>
      </c>
      <c r="AQ206" s="26">
        <v>0</v>
      </c>
      <c r="AR206" s="26">
        <v>0</v>
      </c>
      <c r="AS206" s="26">
        <v>0</v>
      </c>
      <c r="AT206" s="26">
        <v>0</v>
      </c>
      <c r="AU206" s="26">
        <v>0</v>
      </c>
      <c r="AV206" s="26">
        <v>0</v>
      </c>
      <c r="AW206" s="26">
        <v>0</v>
      </c>
      <c r="AX206" s="26">
        <v>0</v>
      </c>
      <c r="AY206" s="26">
        <v>0</v>
      </c>
      <c r="AZ206" s="26">
        <v>0</v>
      </c>
      <c r="BA206" s="26">
        <v>0</v>
      </c>
      <c r="BB206" s="26">
        <v>0</v>
      </c>
      <c r="BC206" s="26">
        <v>0</v>
      </c>
      <c r="BD206" s="26">
        <v>0</v>
      </c>
      <c r="BE206" s="26">
        <v>0</v>
      </c>
      <c r="BF206" s="26">
        <v>0</v>
      </c>
      <c r="BG206" s="26">
        <v>0</v>
      </c>
      <c r="BH206" s="26">
        <v>0</v>
      </c>
      <c r="BI206" s="26">
        <v>0</v>
      </c>
      <c r="BJ206" s="26">
        <v>0</v>
      </c>
      <c r="BK206" s="26">
        <v>0</v>
      </c>
      <c r="BL206" s="26">
        <v>0</v>
      </c>
      <c r="BM206" s="26">
        <v>0</v>
      </c>
      <c r="BN206" s="26">
        <v>0</v>
      </c>
      <c r="BO206" s="26">
        <v>421.39563700000002</v>
      </c>
      <c r="BP206" s="26">
        <v>12052.6684</v>
      </c>
      <c r="BQ206" s="26">
        <v>27350.293900000001</v>
      </c>
      <c r="BR206" s="26">
        <v>55.274737099999982</v>
      </c>
      <c r="BS206" s="26">
        <v>6.9084628700000001</v>
      </c>
      <c r="BT206" s="26">
        <v>1</v>
      </c>
      <c r="BU206" s="26">
        <v>0</v>
      </c>
      <c r="BV206" s="26">
        <v>0</v>
      </c>
      <c r="BW206" s="26">
        <v>-1139.55213</v>
      </c>
      <c r="BX206" s="26">
        <v>-39.841989900000002</v>
      </c>
      <c r="BY206" s="26">
        <v>-0.48020229800000003</v>
      </c>
      <c r="BZ206" s="26">
        <v>-2.2239911999999999</v>
      </c>
      <c r="CA206" s="26">
        <v>-7.7757070600000006E-2</v>
      </c>
      <c r="CB206" s="26">
        <v>2.56789216E-4</v>
      </c>
      <c r="CC206" s="26">
        <v>7.3446305699999999E-3</v>
      </c>
      <c r="CD206" s="26">
        <v>28.601787399999999</v>
      </c>
      <c r="CE206" s="26">
        <v>0</v>
      </c>
      <c r="CF206" s="26">
        <v>0</v>
      </c>
      <c r="CG206" s="26">
        <v>0</v>
      </c>
      <c r="CH206" s="26">
        <v>0</v>
      </c>
      <c r="CI206" s="26">
        <v>0</v>
      </c>
      <c r="CJ206" s="26">
        <v>0</v>
      </c>
      <c r="CK206" s="26">
        <v>0</v>
      </c>
      <c r="CL206" s="26">
        <v>0</v>
      </c>
      <c r="CM206" s="26">
        <v>0</v>
      </c>
      <c r="CN206" s="26">
        <v>0</v>
      </c>
      <c r="CO206" s="26">
        <v>0</v>
      </c>
      <c r="CP206" s="26">
        <v>0</v>
      </c>
      <c r="CQ206" s="26">
        <v>0</v>
      </c>
      <c r="CR206" s="26">
        <v>0</v>
      </c>
      <c r="CS206" s="26">
        <v>0</v>
      </c>
      <c r="CT206" s="26">
        <v>0</v>
      </c>
      <c r="CU206" s="26">
        <v>0</v>
      </c>
      <c r="CV206" s="26">
        <v>0</v>
      </c>
      <c r="CW206" s="26">
        <v>0</v>
      </c>
      <c r="CX206" s="26">
        <v>0</v>
      </c>
      <c r="CY206" s="26">
        <v>0</v>
      </c>
      <c r="CZ206" s="26">
        <v>0</v>
      </c>
      <c r="DA206" s="26">
        <v>0</v>
      </c>
      <c r="DB206" s="26">
        <v>0</v>
      </c>
      <c r="DC206" s="26">
        <v>0</v>
      </c>
      <c r="DD206" s="26">
        <v>0</v>
      </c>
      <c r="DE206" s="26">
        <v>0</v>
      </c>
      <c r="DF206" s="26">
        <v>0</v>
      </c>
      <c r="DG206" s="26">
        <v>0</v>
      </c>
      <c r="DH206" s="26">
        <v>0</v>
      </c>
      <c r="DI206" s="26">
        <v>0</v>
      </c>
      <c r="DJ206" s="26">
        <v>0</v>
      </c>
      <c r="DK206" s="26">
        <v>0</v>
      </c>
      <c r="DL206" s="26">
        <v>0</v>
      </c>
      <c r="DM206" s="26">
        <v>0</v>
      </c>
      <c r="DN206" s="26">
        <v>0</v>
      </c>
      <c r="DO206" s="26">
        <v>0</v>
      </c>
      <c r="DP206" s="26">
        <v>0</v>
      </c>
      <c r="DQ206" s="26">
        <v>0</v>
      </c>
      <c r="DR206" s="26">
        <v>0</v>
      </c>
      <c r="DS206" s="26">
        <v>0</v>
      </c>
      <c r="DT206" s="26">
        <v>0</v>
      </c>
      <c r="DU206" s="26">
        <v>0</v>
      </c>
      <c r="DV206" s="26">
        <v>0</v>
      </c>
      <c r="DW206" s="26">
        <v>0</v>
      </c>
      <c r="DX206" s="26">
        <v>0</v>
      </c>
      <c r="DY206" s="26">
        <v>0</v>
      </c>
      <c r="DZ206" s="26">
        <v>0</v>
      </c>
      <c r="EA206" s="26">
        <v>0</v>
      </c>
      <c r="EB206" s="26">
        <v>0</v>
      </c>
      <c r="EC206" s="26">
        <v>0</v>
      </c>
      <c r="ED206" s="26">
        <v>0</v>
      </c>
      <c r="EE206" s="26">
        <v>0</v>
      </c>
      <c r="EF206" s="26">
        <v>0</v>
      </c>
      <c r="EG206" s="26">
        <v>0</v>
      </c>
      <c r="EH206" s="26">
        <v>0</v>
      </c>
      <c r="EI206" s="26">
        <v>0</v>
      </c>
      <c r="EJ206" s="26">
        <v>0</v>
      </c>
      <c r="EK206" s="26">
        <v>0</v>
      </c>
      <c r="EL206" s="26">
        <v>0</v>
      </c>
      <c r="EM206" s="26">
        <v>0</v>
      </c>
      <c r="EN206" s="26">
        <v>0</v>
      </c>
      <c r="EO206" s="26">
        <v>0</v>
      </c>
      <c r="EP206" s="26">
        <v>0</v>
      </c>
      <c r="EQ206" s="26">
        <v>0</v>
      </c>
      <c r="ER206" s="26">
        <v>0</v>
      </c>
      <c r="ES206" s="26">
        <v>0</v>
      </c>
      <c r="ET206" s="26">
        <v>6.9084628700000001</v>
      </c>
      <c r="EU206" s="26">
        <v>0</v>
      </c>
      <c r="EV206" s="26">
        <v>0</v>
      </c>
      <c r="EW206" s="26">
        <v>0</v>
      </c>
      <c r="EX206" s="26">
        <v>0</v>
      </c>
      <c r="EY206" s="26">
        <v>0</v>
      </c>
      <c r="EZ206" s="26">
        <v>0</v>
      </c>
      <c r="FA206" s="26">
        <v>0</v>
      </c>
      <c r="FB206" s="26">
        <v>0</v>
      </c>
      <c r="FC206" s="26">
        <v>0</v>
      </c>
      <c r="FD206" s="26">
        <v>0</v>
      </c>
      <c r="FE206" s="26">
        <v>0</v>
      </c>
      <c r="FF206" s="26">
        <v>0</v>
      </c>
      <c r="FG206" s="26">
        <v>2.9303655799999998E-4</v>
      </c>
      <c r="FH206" s="26">
        <v>-663828.24316099996</v>
      </c>
      <c r="FI206" s="26">
        <v>2.3601914438815315E-5</v>
      </c>
      <c r="FJ206" s="26">
        <v>2.7081699911098043E-3</v>
      </c>
      <c r="FK206" s="26">
        <v>7.0566729453422726E-6</v>
      </c>
      <c r="FL206" s="26">
        <v>5.8656339358139608E-17</v>
      </c>
      <c r="FM206" s="26">
        <v>1.2876117575231163E-16</v>
      </c>
      <c r="FN206" s="26">
        <v>5.4025668209983126E-17</v>
      </c>
      <c r="FO206" s="26">
        <v>1.5349690650575303E-14</v>
      </c>
      <c r="FP206" s="26">
        <v>3.180897442113846E-15</v>
      </c>
      <c r="FQ206" s="26">
        <v>8.1375824262117701E-14</v>
      </c>
      <c r="FR206" s="26">
        <v>0</v>
      </c>
      <c r="FS206" s="26">
        <v>1.4407794865262359E-16</v>
      </c>
      <c r="FT206" s="26">
        <v>3.6360097235325226E-18</v>
      </c>
      <c r="FU206" s="26">
        <v>1.525598487204788E-18</v>
      </c>
      <c r="FV206" s="26">
        <v>6.4150760513206084E-15</v>
      </c>
      <c r="FW206" s="26">
        <v>7.8176553958745769E-16</v>
      </c>
      <c r="FX206" s="26">
        <v>1.3738276193239542E-15</v>
      </c>
      <c r="FY206" s="26">
        <v>5.3293079037455744E-11</v>
      </c>
      <c r="FZ206" s="26">
        <v>3.0463159410371943E-9</v>
      </c>
      <c r="GA206" s="26">
        <v>1.8926671984746708E-6</v>
      </c>
      <c r="GB206" s="26">
        <v>0</v>
      </c>
      <c r="GC206" s="26">
        <v>2.1659313145496725E-9</v>
      </c>
      <c r="GD206" s="26">
        <v>4.6403344537893425E-15</v>
      </c>
      <c r="GE206" s="26">
        <v>5.6949766011153687E-12</v>
      </c>
      <c r="GF206" s="26">
        <v>3.0587055244696442E-12</v>
      </c>
      <c r="GG206" s="26">
        <v>9.142144906470492E-11</v>
      </c>
      <c r="GH206" s="26">
        <v>0</v>
      </c>
      <c r="GI206" s="26">
        <v>0</v>
      </c>
      <c r="GJ206" s="26">
        <v>0</v>
      </c>
      <c r="GK206" s="26">
        <v>0</v>
      </c>
      <c r="GL206" s="26">
        <v>0</v>
      </c>
      <c r="GM206" s="26">
        <v>0</v>
      </c>
      <c r="GN206" s="26">
        <v>0</v>
      </c>
      <c r="GO206" s="26">
        <v>0</v>
      </c>
      <c r="GP206" s="26">
        <v>0</v>
      </c>
      <c r="GQ206" s="26">
        <v>0</v>
      </c>
      <c r="GR206" s="26">
        <v>2.7776665749991104E-15</v>
      </c>
      <c r="GS206" s="26">
        <v>2.4009131553184165E-2</v>
      </c>
      <c r="GT206" s="26">
        <v>9.0328088222624697E-2</v>
      </c>
      <c r="GU206" s="26">
        <v>0</v>
      </c>
      <c r="GV206" s="26">
        <v>0</v>
      </c>
      <c r="GW206" s="26">
        <v>0</v>
      </c>
      <c r="GX206" s="26">
        <v>0</v>
      </c>
      <c r="GY206" s="26">
        <v>0</v>
      </c>
      <c r="GZ206" s="26">
        <v>0</v>
      </c>
      <c r="HA206" s="26">
        <v>0</v>
      </c>
      <c r="HB206" s="26">
        <v>0</v>
      </c>
      <c r="HC206" s="26">
        <v>0</v>
      </c>
      <c r="HD206" s="26">
        <v>0</v>
      </c>
      <c r="HE206" s="26">
        <v>0</v>
      </c>
      <c r="HF206" s="26">
        <v>0</v>
      </c>
      <c r="HG206" s="26">
        <v>0</v>
      </c>
      <c r="HH206" s="26">
        <v>0</v>
      </c>
      <c r="HI206" s="26">
        <v>0</v>
      </c>
      <c r="HJ206" s="26">
        <v>0</v>
      </c>
      <c r="HK206" s="26">
        <v>0</v>
      </c>
      <c r="HL206" s="26">
        <v>0</v>
      </c>
      <c r="HM206" s="26">
        <v>0</v>
      </c>
      <c r="HN206" s="26">
        <v>0</v>
      </c>
      <c r="HO206" s="26">
        <v>0</v>
      </c>
      <c r="HP206" s="26">
        <v>0</v>
      </c>
      <c r="HQ206" s="26">
        <v>0</v>
      </c>
      <c r="HR206" s="26">
        <v>0</v>
      </c>
      <c r="HS206" s="26">
        <v>0</v>
      </c>
      <c r="HT206" s="26">
        <v>0</v>
      </c>
    </row>
    <row r="207" spans="2:228" x14ac:dyDescent="0.2">
      <c r="B207" s="27" t="s">
        <v>1400</v>
      </c>
      <c r="C207" s="26">
        <v>36537.4012</v>
      </c>
      <c r="D207" s="26">
        <v>-75.9268632</v>
      </c>
      <c r="E207" s="26">
        <v>12796.7947</v>
      </c>
      <c r="F207" s="26">
        <v>5.6908961199999997</v>
      </c>
      <c r="G207" s="26">
        <v>19.406647100000001</v>
      </c>
      <c r="H207" s="26">
        <v>42.601067899999997</v>
      </c>
      <c r="I207" s="26">
        <v>17.874573999999999</v>
      </c>
      <c r="J207" s="26">
        <v>39.536914400000001</v>
      </c>
      <c r="K207" s="26">
        <v>8.1931859300000003</v>
      </c>
      <c r="L207" s="26">
        <v>12.3268285</v>
      </c>
      <c r="M207" s="26">
        <v>0</v>
      </c>
      <c r="N207" s="26">
        <v>42.1889374</v>
      </c>
      <c r="O207" s="26">
        <v>1.06469719</v>
      </c>
      <c r="P207" s="26">
        <v>0.44672609200000002</v>
      </c>
      <c r="Q207" s="26">
        <v>14.5408311</v>
      </c>
      <c r="R207" s="26">
        <v>1.7720009199999998</v>
      </c>
      <c r="S207" s="26">
        <v>454.53548699999999</v>
      </c>
      <c r="T207" s="26">
        <v>24.442412099999999</v>
      </c>
      <c r="U207" s="26">
        <v>13.727160899999999</v>
      </c>
      <c r="V207" s="26">
        <v>5.4553707400000002</v>
      </c>
      <c r="W207" s="26">
        <v>0</v>
      </c>
      <c r="X207" s="26">
        <v>63.071577700000006</v>
      </c>
      <c r="Y207" s="26">
        <v>28.107912599999999</v>
      </c>
      <c r="Z207" s="26">
        <v>6.4919260200000002</v>
      </c>
      <c r="AA207" s="26">
        <v>17.041494499999999</v>
      </c>
      <c r="AB207" s="26">
        <v>2.2060205300000001E-5</v>
      </c>
      <c r="AC207" s="26">
        <v>0</v>
      </c>
      <c r="AD207" s="26">
        <v>92.392319200000003</v>
      </c>
      <c r="AE207" s="26">
        <v>69.287240199999999</v>
      </c>
      <c r="AF207" s="26">
        <v>4.7966345199999996</v>
      </c>
      <c r="AG207" s="26">
        <v>0</v>
      </c>
      <c r="AH207" s="26">
        <v>0</v>
      </c>
      <c r="AI207" s="26">
        <v>0</v>
      </c>
      <c r="AJ207" s="26">
        <v>0</v>
      </c>
      <c r="AK207" s="26">
        <v>0</v>
      </c>
      <c r="AL207" s="26">
        <v>0</v>
      </c>
      <c r="AM207" s="26">
        <v>0.49732316200000004</v>
      </c>
      <c r="AN207" s="26">
        <v>0.53546559800000004</v>
      </c>
      <c r="AO207" s="26">
        <v>0.95449282599999996</v>
      </c>
      <c r="AP207" s="26">
        <v>0</v>
      </c>
      <c r="AQ207" s="26">
        <v>0</v>
      </c>
      <c r="AR207" s="26">
        <v>0</v>
      </c>
      <c r="AS207" s="26">
        <v>0</v>
      </c>
      <c r="AT207" s="26">
        <v>0</v>
      </c>
      <c r="AU207" s="26">
        <v>0</v>
      </c>
      <c r="AV207" s="26">
        <v>0</v>
      </c>
      <c r="AW207" s="26">
        <v>0</v>
      </c>
      <c r="AX207" s="26">
        <v>0</v>
      </c>
      <c r="AY207" s="26">
        <v>0</v>
      </c>
      <c r="AZ207" s="26">
        <v>0</v>
      </c>
      <c r="BA207" s="26">
        <v>0</v>
      </c>
      <c r="BB207" s="26">
        <v>0</v>
      </c>
      <c r="BC207" s="26">
        <v>0</v>
      </c>
      <c r="BD207" s="26">
        <v>0</v>
      </c>
      <c r="BE207" s="26">
        <v>0</v>
      </c>
      <c r="BF207" s="26">
        <v>0</v>
      </c>
      <c r="BG207" s="26">
        <v>0</v>
      </c>
      <c r="BH207" s="26">
        <v>0</v>
      </c>
      <c r="BI207" s="26">
        <v>0</v>
      </c>
      <c r="BJ207" s="26">
        <v>0</v>
      </c>
      <c r="BK207" s="26">
        <v>0</v>
      </c>
      <c r="BL207" s="26">
        <v>0</v>
      </c>
      <c r="BM207" s="26">
        <v>0</v>
      </c>
      <c r="BN207" s="26">
        <v>0</v>
      </c>
      <c r="BO207" s="26">
        <v>717.27984100000003</v>
      </c>
      <c r="BP207" s="26">
        <v>13783.774799999999</v>
      </c>
      <c r="BQ207" s="26">
        <v>232.94771800000001</v>
      </c>
      <c r="BR207" s="26">
        <v>55.274737099999982</v>
      </c>
      <c r="BS207" s="26">
        <v>6.9084628700000001</v>
      </c>
      <c r="BT207" s="26">
        <v>0</v>
      </c>
      <c r="BU207" s="26">
        <v>1</v>
      </c>
      <c r="BV207" s="26">
        <v>0</v>
      </c>
      <c r="BW207" s="26">
        <v>-69393.101599999995</v>
      </c>
      <c r="BX207" s="26">
        <v>-3611.0770499999999</v>
      </c>
      <c r="BY207" s="26">
        <v>-49.774273299999997</v>
      </c>
      <c r="BZ207" s="26">
        <v>-38.493007800000001</v>
      </c>
      <c r="CA207" s="26">
        <v>-2.0030984900000002</v>
      </c>
      <c r="CB207" s="26">
        <v>5.13190855E-2</v>
      </c>
      <c r="CC207" s="26">
        <v>0.98618513500000005</v>
      </c>
      <c r="CD207" s="26">
        <v>19.216732400000001</v>
      </c>
      <c r="CE207" s="26">
        <v>0</v>
      </c>
      <c r="CF207" s="26">
        <v>0</v>
      </c>
      <c r="CG207" s="26">
        <v>0</v>
      </c>
      <c r="CH207" s="26">
        <v>0</v>
      </c>
      <c r="CI207" s="26">
        <v>0</v>
      </c>
      <c r="CJ207" s="26">
        <v>0</v>
      </c>
      <c r="CK207" s="26">
        <v>0</v>
      </c>
      <c r="CL207" s="26">
        <v>0</v>
      </c>
      <c r="CM207" s="26">
        <v>0</v>
      </c>
      <c r="CN207" s="26">
        <v>0</v>
      </c>
      <c r="CO207" s="26">
        <v>0</v>
      </c>
      <c r="CP207" s="26">
        <v>0</v>
      </c>
      <c r="CQ207" s="26">
        <v>0</v>
      </c>
      <c r="CR207" s="26">
        <v>0</v>
      </c>
      <c r="CS207" s="26">
        <v>0</v>
      </c>
      <c r="CT207" s="26">
        <v>0</v>
      </c>
      <c r="CU207" s="26">
        <v>0</v>
      </c>
      <c r="CV207" s="26">
        <v>0</v>
      </c>
      <c r="CW207" s="26">
        <v>0</v>
      </c>
      <c r="CX207" s="26">
        <v>0</v>
      </c>
      <c r="CY207" s="26">
        <v>0</v>
      </c>
      <c r="CZ207" s="26">
        <v>0</v>
      </c>
      <c r="DA207" s="26">
        <v>0</v>
      </c>
      <c r="DB207" s="26">
        <v>0</v>
      </c>
      <c r="DC207" s="26">
        <v>0</v>
      </c>
      <c r="DD207" s="26">
        <v>0</v>
      </c>
      <c r="DE207" s="26">
        <v>0</v>
      </c>
      <c r="DF207" s="26">
        <v>0</v>
      </c>
      <c r="DG207" s="26">
        <v>0</v>
      </c>
      <c r="DH207" s="26">
        <v>0</v>
      </c>
      <c r="DI207" s="26">
        <v>0</v>
      </c>
      <c r="DJ207" s="26">
        <v>0</v>
      </c>
      <c r="DK207" s="26">
        <v>0</v>
      </c>
      <c r="DL207" s="26">
        <v>0</v>
      </c>
      <c r="DM207" s="26">
        <v>0</v>
      </c>
      <c r="DN207" s="26">
        <v>0</v>
      </c>
      <c r="DO207" s="26">
        <v>0</v>
      </c>
      <c r="DP207" s="26">
        <v>0</v>
      </c>
      <c r="DQ207" s="26">
        <v>0</v>
      </c>
      <c r="DR207" s="26">
        <v>0</v>
      </c>
      <c r="DS207" s="26">
        <v>0</v>
      </c>
      <c r="DT207" s="26">
        <v>0</v>
      </c>
      <c r="DU207" s="26">
        <v>0</v>
      </c>
      <c r="DV207" s="26">
        <v>0</v>
      </c>
      <c r="DW207" s="26">
        <v>0</v>
      </c>
      <c r="DX207" s="26">
        <v>1229.54883</v>
      </c>
      <c r="DY207" s="26">
        <v>30.360077199999999</v>
      </c>
      <c r="DZ207" s="26">
        <v>12.7384939</v>
      </c>
      <c r="EA207" s="26">
        <v>414.63797699999998</v>
      </c>
      <c r="EB207" s="26">
        <v>50.529359200000002</v>
      </c>
      <c r="EC207" s="26">
        <v>12225.687900000001</v>
      </c>
      <c r="ED207" s="26">
        <v>0</v>
      </c>
      <c r="EE207" s="26">
        <v>2808.7910499999998</v>
      </c>
      <c r="EF207" s="26">
        <v>4025.6906999999997</v>
      </c>
      <c r="EG207" s="26">
        <v>510.38714000000004</v>
      </c>
      <c r="EH207" s="26">
        <v>56.709764099999994</v>
      </c>
      <c r="EI207" s="26">
        <v>819.264544</v>
      </c>
      <c r="EJ207" s="26">
        <v>105.64618299999999</v>
      </c>
      <c r="EK207" s="26">
        <v>0</v>
      </c>
      <c r="EL207" s="26">
        <v>463.63439</v>
      </c>
      <c r="EM207" s="26">
        <v>0</v>
      </c>
      <c r="EN207" s="26">
        <v>0</v>
      </c>
      <c r="EO207" s="26">
        <v>0</v>
      </c>
      <c r="EP207" s="26">
        <v>350.89466800000002</v>
      </c>
      <c r="EQ207" s="26">
        <v>22753.626400000001</v>
      </c>
      <c r="ER207" s="26">
        <v>273.72922799999998</v>
      </c>
      <c r="ES207" s="26">
        <v>55.274737099999982</v>
      </c>
      <c r="ET207" s="26">
        <v>6.9084628700000001</v>
      </c>
      <c r="EU207" s="26">
        <v>0</v>
      </c>
      <c r="EV207" s="26">
        <v>0</v>
      </c>
      <c r="EW207" s="26">
        <v>1</v>
      </c>
      <c r="EX207" s="26">
        <v>-74531.168900000004</v>
      </c>
      <c r="EY207" s="26">
        <v>-1149.3811700000001</v>
      </c>
      <c r="EZ207" s="26">
        <v>-26.15259</v>
      </c>
      <c r="FA207" s="26">
        <v>-147.80295599999999</v>
      </c>
      <c r="FB207" s="26">
        <v>-2.2793408099999999</v>
      </c>
      <c r="FC207" s="26">
        <v>2.1365070999999999E-2</v>
      </c>
      <c r="FD207" s="26">
        <v>1.38540961</v>
      </c>
      <c r="FE207" s="26">
        <v>64.844605700000002</v>
      </c>
      <c r="FF207" s="26">
        <v>0</v>
      </c>
      <c r="FG207" s="26">
        <v>0.86180874399999996</v>
      </c>
      <c r="FH207" s="26">
        <v>-88959507.9692</v>
      </c>
      <c r="FI207" s="26">
        <v>8.3794931225915012E-3</v>
      </c>
      <c r="FJ207" s="26">
        <v>0</v>
      </c>
      <c r="FK207" s="26">
        <v>0</v>
      </c>
      <c r="FL207" s="26">
        <v>0</v>
      </c>
      <c r="FM207" s="26">
        <v>0</v>
      </c>
      <c r="FN207" s="26">
        <v>0</v>
      </c>
      <c r="FO207" s="26">
        <v>0</v>
      </c>
      <c r="FP207" s="26">
        <v>0</v>
      </c>
      <c r="FQ207" s="26">
        <v>0</v>
      </c>
      <c r="FR207" s="26">
        <v>0</v>
      </c>
      <c r="FS207" s="26">
        <v>0</v>
      </c>
      <c r="FT207" s="26">
        <v>0</v>
      </c>
      <c r="FU207" s="26">
        <v>0</v>
      </c>
      <c r="FV207" s="26">
        <v>0</v>
      </c>
      <c r="FW207" s="26">
        <v>0</v>
      </c>
      <c r="FX207" s="26">
        <v>0</v>
      </c>
      <c r="FY207" s="26">
        <v>0</v>
      </c>
      <c r="FZ207" s="26">
        <v>0</v>
      </c>
      <c r="GA207" s="26">
        <v>0</v>
      </c>
      <c r="GB207" s="26">
        <v>0</v>
      </c>
      <c r="GC207" s="26">
        <v>0</v>
      </c>
      <c r="GD207" s="26">
        <v>0</v>
      </c>
      <c r="GE207" s="26">
        <v>0</v>
      </c>
      <c r="GF207" s="26">
        <v>0</v>
      </c>
      <c r="GG207" s="26">
        <v>0</v>
      </c>
      <c r="GH207" s="26">
        <v>0</v>
      </c>
      <c r="GI207" s="26">
        <v>0</v>
      </c>
      <c r="GJ207" s="26">
        <v>0</v>
      </c>
      <c r="GK207" s="26">
        <v>0</v>
      </c>
      <c r="GL207" s="26">
        <v>0</v>
      </c>
      <c r="GM207" s="26">
        <v>0</v>
      </c>
      <c r="GN207" s="26">
        <v>0</v>
      </c>
      <c r="GO207" s="26">
        <v>0</v>
      </c>
      <c r="GP207" s="26">
        <v>0</v>
      </c>
      <c r="GQ207" s="26">
        <v>0</v>
      </c>
      <c r="GR207" s="26">
        <v>0</v>
      </c>
      <c r="GS207" s="26">
        <v>0</v>
      </c>
      <c r="GT207" s="26">
        <v>0</v>
      </c>
      <c r="GU207" s="26">
        <v>0</v>
      </c>
      <c r="GV207" s="26">
        <v>0</v>
      </c>
      <c r="GW207" s="26">
        <v>0</v>
      </c>
      <c r="GX207" s="26">
        <v>0</v>
      </c>
      <c r="GY207" s="26">
        <v>0</v>
      </c>
      <c r="GZ207" s="26">
        <v>0</v>
      </c>
      <c r="HA207" s="26">
        <v>0</v>
      </c>
      <c r="HB207" s="26">
        <v>0</v>
      </c>
      <c r="HC207" s="26">
        <v>0</v>
      </c>
      <c r="HD207" s="26">
        <v>0</v>
      </c>
      <c r="HE207" s="26">
        <v>0</v>
      </c>
      <c r="HF207" s="26">
        <v>0</v>
      </c>
      <c r="HG207" s="26">
        <v>0</v>
      </c>
      <c r="HH207" s="26">
        <v>0</v>
      </c>
      <c r="HI207" s="26">
        <v>0</v>
      </c>
      <c r="HJ207" s="26">
        <v>0</v>
      </c>
      <c r="HK207" s="26">
        <v>0</v>
      </c>
      <c r="HL207" s="26">
        <v>0</v>
      </c>
      <c r="HM207" s="26">
        <v>0</v>
      </c>
      <c r="HN207" s="26">
        <v>0</v>
      </c>
      <c r="HO207" s="26">
        <v>0</v>
      </c>
      <c r="HP207" s="26">
        <v>0</v>
      </c>
      <c r="HQ207" s="26">
        <v>0</v>
      </c>
      <c r="HR207" s="26">
        <v>0</v>
      </c>
      <c r="HS207" s="26">
        <v>0</v>
      </c>
      <c r="HT207" s="26">
        <v>0.25201628646057478</v>
      </c>
    </row>
    <row r="208" spans="2:228" x14ac:dyDescent="0.2">
      <c r="B208" s="27" t="s">
        <v>3014</v>
      </c>
      <c r="C208" s="26">
        <v>36476.1178</v>
      </c>
      <c r="D208" s="26">
        <v>-75.824785500000004</v>
      </c>
      <c r="E208" s="26">
        <v>12735.1741</v>
      </c>
      <c r="F208" s="26">
        <v>6.8612350400000004</v>
      </c>
      <c r="G208" s="26">
        <v>19.406647100000001</v>
      </c>
      <c r="H208" s="26">
        <v>42.601067899999997</v>
      </c>
      <c r="I208" s="26">
        <v>17.874573999999999</v>
      </c>
      <c r="J208" s="26">
        <v>39.536914500000002</v>
      </c>
      <c r="K208" s="26">
        <v>8.1931859300000003</v>
      </c>
      <c r="L208" s="26">
        <v>12.326828600000001</v>
      </c>
      <c r="M208" s="26">
        <v>0</v>
      </c>
      <c r="N208" s="26">
        <v>42.1889374</v>
      </c>
      <c r="O208" s="26">
        <v>1.06469719</v>
      </c>
      <c r="P208" s="26">
        <v>0.44672609200000002</v>
      </c>
      <c r="Q208" s="26">
        <v>14.5408311</v>
      </c>
      <c r="R208" s="26">
        <v>1.7720009199999998</v>
      </c>
      <c r="S208" s="26">
        <v>454.53548699999999</v>
      </c>
      <c r="T208" s="26">
        <v>24.442441299999999</v>
      </c>
      <c r="U208" s="26">
        <v>13.728543999999999</v>
      </c>
      <c r="V208" s="26">
        <v>6.1100594900000003</v>
      </c>
      <c r="W208" s="26">
        <v>0</v>
      </c>
      <c r="X208" s="26">
        <v>63.072279999999999</v>
      </c>
      <c r="Y208" s="26">
        <v>28.107912599999999</v>
      </c>
      <c r="Z208" s="26">
        <v>6.4919279000000003</v>
      </c>
      <c r="AA208" s="26">
        <v>17.0414958</v>
      </c>
      <c r="AB208" s="26">
        <v>2.7665255699999999E-5</v>
      </c>
      <c r="AC208" s="26">
        <v>0</v>
      </c>
      <c r="AD208" s="26">
        <v>92.392319200000003</v>
      </c>
      <c r="AE208" s="26">
        <v>69.287240199999999</v>
      </c>
      <c r="AF208" s="26">
        <v>4.7966345199999996</v>
      </c>
      <c r="AG208" s="26">
        <v>0</v>
      </c>
      <c r="AH208" s="26">
        <v>0</v>
      </c>
      <c r="AI208" s="26">
        <v>0</v>
      </c>
      <c r="AJ208" s="26">
        <v>0</v>
      </c>
      <c r="AK208" s="26">
        <v>0</v>
      </c>
      <c r="AL208" s="26">
        <v>0</v>
      </c>
      <c r="AM208" s="26">
        <v>0.49732316500000007</v>
      </c>
      <c r="AN208" s="26">
        <v>0</v>
      </c>
      <c r="AO208" s="26">
        <v>0</v>
      </c>
      <c r="AP208" s="26">
        <v>0</v>
      </c>
      <c r="AQ208" s="26">
        <v>0</v>
      </c>
      <c r="AR208" s="26">
        <v>0</v>
      </c>
      <c r="AS208" s="26">
        <v>1.42950053E-18</v>
      </c>
      <c r="AT208" s="26">
        <v>0</v>
      </c>
      <c r="AU208" s="26">
        <v>0</v>
      </c>
      <c r="AV208" s="26">
        <v>2.8341595199999999E-11</v>
      </c>
      <c r="AW208" s="26">
        <v>0</v>
      </c>
      <c r="AX208" s="26">
        <v>0</v>
      </c>
      <c r="AY208" s="26">
        <v>0</v>
      </c>
      <c r="AZ208" s="26">
        <v>0</v>
      </c>
      <c r="BA208" s="26">
        <v>0</v>
      </c>
      <c r="BB208" s="26">
        <v>0</v>
      </c>
      <c r="BC208" s="26">
        <v>0</v>
      </c>
      <c r="BD208" s="26">
        <v>0</v>
      </c>
      <c r="BE208" s="26">
        <v>0</v>
      </c>
      <c r="BF208" s="26">
        <v>0</v>
      </c>
      <c r="BG208" s="26">
        <v>0</v>
      </c>
      <c r="BH208" s="26">
        <v>0</v>
      </c>
      <c r="BI208" s="26">
        <v>0</v>
      </c>
      <c r="BJ208" s="26">
        <v>0</v>
      </c>
      <c r="BK208" s="26">
        <v>0</v>
      </c>
      <c r="BL208" s="26">
        <v>0</v>
      </c>
      <c r="BM208" s="26">
        <v>0</v>
      </c>
      <c r="BN208" s="26">
        <v>0</v>
      </c>
      <c r="BO208" s="26">
        <v>713.84080900000004</v>
      </c>
      <c r="BP208" s="26">
        <v>13722.491400000001</v>
      </c>
      <c r="BQ208" s="26">
        <v>230.069107</v>
      </c>
      <c r="BR208" s="26">
        <v>47.682515000000024</v>
      </c>
      <c r="BS208" s="26">
        <v>14.2516458</v>
      </c>
      <c r="BT208" s="26">
        <v>0</v>
      </c>
      <c r="BU208" s="26">
        <v>1</v>
      </c>
      <c r="BV208" s="26">
        <v>0</v>
      </c>
      <c r="BW208" s="26">
        <v>-69513.612200000003</v>
      </c>
      <c r="BX208" s="26">
        <v>-3616.0819299999998</v>
      </c>
      <c r="BY208" s="26">
        <v>-49.621653500000001</v>
      </c>
      <c r="BZ208" s="26">
        <v>-38.838753199999999</v>
      </c>
      <c r="CA208" s="26">
        <v>-2.0203829</v>
      </c>
      <c r="CB208" s="26">
        <v>5.1712056399999998E-2</v>
      </c>
      <c r="CC208" s="26">
        <v>0.99408473200000003</v>
      </c>
      <c r="CD208" s="26">
        <v>19.2234616</v>
      </c>
      <c r="CE208" s="26">
        <v>0</v>
      </c>
      <c r="CF208" s="26">
        <v>0</v>
      </c>
      <c r="CG208" s="26">
        <v>0</v>
      </c>
      <c r="CH208" s="26">
        <v>0</v>
      </c>
      <c r="CI208" s="26">
        <v>0</v>
      </c>
      <c r="CJ208" s="26">
        <v>0</v>
      </c>
      <c r="CK208" s="26">
        <v>0</v>
      </c>
      <c r="CL208" s="26">
        <v>0</v>
      </c>
      <c r="CM208" s="26">
        <v>0</v>
      </c>
      <c r="CN208" s="26">
        <v>0</v>
      </c>
      <c r="CO208" s="26">
        <v>0</v>
      </c>
      <c r="CP208" s="26">
        <v>0</v>
      </c>
      <c r="CQ208" s="26">
        <v>0</v>
      </c>
      <c r="CR208" s="26">
        <v>0</v>
      </c>
      <c r="CS208" s="26">
        <v>0</v>
      </c>
      <c r="CT208" s="26">
        <v>0</v>
      </c>
      <c r="CU208" s="26">
        <v>0</v>
      </c>
      <c r="CV208" s="26">
        <v>0</v>
      </c>
      <c r="CW208" s="26">
        <v>0</v>
      </c>
      <c r="CX208" s="26">
        <v>0</v>
      </c>
      <c r="CY208" s="26">
        <v>0</v>
      </c>
      <c r="CZ208" s="26">
        <v>0</v>
      </c>
      <c r="DA208" s="26">
        <v>0</v>
      </c>
      <c r="DB208" s="26">
        <v>0</v>
      </c>
      <c r="DC208" s="26">
        <v>0</v>
      </c>
      <c r="DD208" s="26">
        <v>0</v>
      </c>
      <c r="DE208" s="26">
        <v>0</v>
      </c>
      <c r="DF208" s="26">
        <v>0</v>
      </c>
      <c r="DG208" s="26">
        <v>0</v>
      </c>
      <c r="DH208" s="26">
        <v>0</v>
      </c>
      <c r="DI208" s="26">
        <v>0</v>
      </c>
      <c r="DJ208" s="26">
        <v>0</v>
      </c>
      <c r="DK208" s="26">
        <v>0</v>
      </c>
      <c r="DL208" s="26">
        <v>0</v>
      </c>
      <c r="DM208" s="26">
        <v>0</v>
      </c>
      <c r="DN208" s="26">
        <v>0</v>
      </c>
      <c r="DO208" s="26">
        <v>0</v>
      </c>
      <c r="DP208" s="26">
        <v>0</v>
      </c>
      <c r="DQ208" s="26">
        <v>0</v>
      </c>
      <c r="DR208" s="26">
        <v>0</v>
      </c>
      <c r="DS208" s="26">
        <v>0</v>
      </c>
      <c r="DT208" s="26">
        <v>0</v>
      </c>
      <c r="DU208" s="26">
        <v>0</v>
      </c>
      <c r="DV208" s="26">
        <v>0</v>
      </c>
      <c r="DW208" s="26">
        <v>0</v>
      </c>
      <c r="DX208" s="26">
        <v>1229.54883</v>
      </c>
      <c r="DY208" s="26">
        <v>30.360077199999999</v>
      </c>
      <c r="DZ208" s="26">
        <v>12.7384939</v>
      </c>
      <c r="EA208" s="26">
        <v>414.63797699999998</v>
      </c>
      <c r="EB208" s="26">
        <v>50.529359200000002</v>
      </c>
      <c r="EC208" s="26">
        <v>12225.687900000001</v>
      </c>
      <c r="ED208" s="26">
        <v>0</v>
      </c>
      <c r="EE208" s="26">
        <v>2808.7910499999998</v>
      </c>
      <c r="EF208" s="26">
        <v>4025.6906999999997</v>
      </c>
      <c r="EG208" s="26">
        <v>510.38714000000004</v>
      </c>
      <c r="EH208" s="26">
        <v>56.709764099999994</v>
      </c>
      <c r="EI208" s="26">
        <v>819.264544</v>
      </c>
      <c r="EJ208" s="26">
        <v>105.64618299999999</v>
      </c>
      <c r="EK208" s="26">
        <v>0</v>
      </c>
      <c r="EL208" s="26">
        <v>463.63439</v>
      </c>
      <c r="EM208" s="26">
        <v>0</v>
      </c>
      <c r="EN208" s="26">
        <v>0</v>
      </c>
      <c r="EO208" s="26">
        <v>0</v>
      </c>
      <c r="EP208" s="26">
        <v>350.89466800000002</v>
      </c>
      <c r="EQ208" s="26">
        <v>22753.626400000001</v>
      </c>
      <c r="ER208" s="26">
        <v>273.72922799999998</v>
      </c>
      <c r="ES208" s="26">
        <v>47.682515000000024</v>
      </c>
      <c r="ET208" s="26">
        <v>14.2516458</v>
      </c>
      <c r="EU208" s="26">
        <v>0</v>
      </c>
      <c r="EV208" s="26">
        <v>0</v>
      </c>
      <c r="EW208" s="26">
        <v>1</v>
      </c>
      <c r="EX208" s="26">
        <v>-74675.2065</v>
      </c>
      <c r="EY208" s="26">
        <v>-1151.6024399999999</v>
      </c>
      <c r="EZ208" s="26">
        <v>-26.203132</v>
      </c>
      <c r="FA208" s="26">
        <v>-148.246666</v>
      </c>
      <c r="FB208" s="26">
        <v>-2.2861834700000001</v>
      </c>
      <c r="FC208" s="26">
        <v>2.1365070999999999E-2</v>
      </c>
      <c r="FD208" s="26">
        <v>1.38540961</v>
      </c>
      <c r="FE208" s="26">
        <v>64.844605700000002</v>
      </c>
      <c r="FF208" s="26">
        <v>0</v>
      </c>
      <c r="FG208" s="26">
        <v>0.86335349299999997</v>
      </c>
      <c r="FH208" s="26">
        <v>-88681372.797599986</v>
      </c>
      <c r="FI208" s="26">
        <v>8.4030950394469832E-3</v>
      </c>
      <c r="FJ208" s="26">
        <v>0</v>
      </c>
      <c r="FK208" s="26">
        <v>0</v>
      </c>
      <c r="FL208" s="26">
        <v>0</v>
      </c>
      <c r="FM208" s="26">
        <v>0</v>
      </c>
      <c r="FN208" s="26">
        <v>0</v>
      </c>
      <c r="FO208" s="26">
        <v>0</v>
      </c>
      <c r="FP208" s="26">
        <v>0</v>
      </c>
      <c r="FQ208" s="26">
        <v>0</v>
      </c>
      <c r="FR208" s="26">
        <v>0</v>
      </c>
      <c r="FS208" s="26">
        <v>0</v>
      </c>
      <c r="FT208" s="26">
        <v>0</v>
      </c>
      <c r="FU208" s="26">
        <v>0</v>
      </c>
      <c r="FV208" s="26">
        <v>0</v>
      </c>
      <c r="FW208" s="26">
        <v>0</v>
      </c>
      <c r="FX208" s="26">
        <v>0</v>
      </c>
      <c r="FY208" s="26">
        <v>0</v>
      </c>
      <c r="FZ208" s="26">
        <v>0</v>
      </c>
      <c r="GA208" s="26">
        <v>0</v>
      </c>
      <c r="GB208" s="26">
        <v>0</v>
      </c>
      <c r="GC208" s="26">
        <v>0</v>
      </c>
      <c r="GD208" s="26">
        <v>0</v>
      </c>
      <c r="GE208" s="26">
        <v>0</v>
      </c>
      <c r="GF208" s="26">
        <v>0</v>
      </c>
      <c r="GG208" s="26">
        <v>0</v>
      </c>
      <c r="GH208" s="26">
        <v>0</v>
      </c>
      <c r="GI208" s="26">
        <v>0</v>
      </c>
      <c r="GJ208" s="26">
        <v>0</v>
      </c>
      <c r="GK208" s="26">
        <v>0</v>
      </c>
      <c r="GL208" s="26">
        <v>0</v>
      </c>
      <c r="GM208" s="26">
        <v>0</v>
      </c>
      <c r="GN208" s="26">
        <v>0</v>
      </c>
      <c r="GO208" s="26">
        <v>0</v>
      </c>
      <c r="GP208" s="26">
        <v>0</v>
      </c>
      <c r="GQ208" s="26">
        <v>0</v>
      </c>
      <c r="GR208" s="26">
        <v>0</v>
      </c>
      <c r="GS208" s="26">
        <v>0</v>
      </c>
      <c r="GT208" s="26">
        <v>0</v>
      </c>
      <c r="GU208" s="26">
        <v>0</v>
      </c>
      <c r="GV208" s="26">
        <v>0</v>
      </c>
      <c r="GW208" s="26">
        <v>0</v>
      </c>
      <c r="GX208" s="26">
        <v>0</v>
      </c>
      <c r="GY208" s="26">
        <v>0</v>
      </c>
      <c r="GZ208" s="26">
        <v>0</v>
      </c>
      <c r="HA208" s="26">
        <v>0</v>
      </c>
      <c r="HB208" s="26">
        <v>0</v>
      </c>
      <c r="HC208" s="26">
        <v>0</v>
      </c>
      <c r="HD208" s="26">
        <v>0</v>
      </c>
      <c r="HE208" s="26">
        <v>0</v>
      </c>
      <c r="HF208" s="26">
        <v>0</v>
      </c>
      <c r="HG208" s="26">
        <v>0</v>
      </c>
      <c r="HH208" s="26">
        <v>0</v>
      </c>
      <c r="HI208" s="26">
        <v>0</v>
      </c>
      <c r="HJ208" s="26">
        <v>0</v>
      </c>
      <c r="HK208" s="26">
        <v>0</v>
      </c>
      <c r="HL208" s="26">
        <v>0</v>
      </c>
      <c r="HM208" s="26">
        <v>0</v>
      </c>
      <c r="HN208" s="26">
        <v>0</v>
      </c>
      <c r="HO208" s="26">
        <v>0</v>
      </c>
      <c r="HP208" s="26">
        <v>0</v>
      </c>
      <c r="HQ208" s="26">
        <v>0</v>
      </c>
      <c r="HR208" s="26">
        <v>0</v>
      </c>
      <c r="HS208" s="26">
        <v>0</v>
      </c>
      <c r="HT208" s="26">
        <v>0.25201628646057478</v>
      </c>
    </row>
    <row r="209" spans="2:228" x14ac:dyDescent="0.2">
      <c r="B209" s="27" t="s">
        <v>2888</v>
      </c>
      <c r="C209" s="26">
        <v>355313.18800000002</v>
      </c>
      <c r="D209" s="26">
        <v>-1283.82593</v>
      </c>
      <c r="E209" s="26">
        <v>329317.86599999998</v>
      </c>
      <c r="F209" s="26">
        <v>177.424138</v>
      </c>
      <c r="G209" s="26">
        <v>501.83496400000001</v>
      </c>
      <c r="H209" s="26">
        <v>1101.6176700000001</v>
      </c>
      <c r="I209" s="26">
        <v>462.21720500000004</v>
      </c>
      <c r="J209" s="26">
        <v>1022.3819700000001</v>
      </c>
      <c r="K209" s="26">
        <v>211.866952</v>
      </c>
      <c r="L209" s="26">
        <v>318.75849399999998</v>
      </c>
      <c r="M209" s="26">
        <v>0</v>
      </c>
      <c r="N209" s="26">
        <v>1090.9604200000001</v>
      </c>
      <c r="O209" s="26">
        <v>27.531921000000001</v>
      </c>
      <c r="P209" s="26">
        <v>11.551855</v>
      </c>
      <c r="Q209" s="26">
        <v>376.01020999999997</v>
      </c>
      <c r="R209" s="26">
        <v>45.822032800000002</v>
      </c>
      <c r="S209" s="26">
        <v>11753.797500000001</v>
      </c>
      <c r="T209" s="26">
        <v>632.05517199999997</v>
      </c>
      <c r="U209" s="26">
        <v>355.00534099999999</v>
      </c>
      <c r="V209" s="26">
        <v>157.999549</v>
      </c>
      <c r="W209" s="26">
        <v>0</v>
      </c>
      <c r="X209" s="26">
        <v>1630.9811400000001</v>
      </c>
      <c r="Y209" s="26">
        <v>726.84030600000006</v>
      </c>
      <c r="Z209" s="26">
        <v>167.87425400000001</v>
      </c>
      <c r="AA209" s="26">
        <v>440.67470300000002</v>
      </c>
      <c r="AB209" s="26">
        <v>7.1539367600000005E-4</v>
      </c>
      <c r="AC209" s="26">
        <v>0</v>
      </c>
      <c r="AD209" s="26">
        <v>2389.1657300000002</v>
      </c>
      <c r="AE209" s="26">
        <v>1791.6933100000001</v>
      </c>
      <c r="AF209" s="26">
        <v>124.03579599999999</v>
      </c>
      <c r="AG209" s="26">
        <v>0</v>
      </c>
      <c r="AH209" s="26">
        <v>0</v>
      </c>
      <c r="AI209" s="26">
        <v>0</v>
      </c>
      <c r="AJ209" s="26">
        <v>0</v>
      </c>
      <c r="AK209" s="26">
        <v>0</v>
      </c>
      <c r="AL209" s="26">
        <v>0</v>
      </c>
      <c r="AM209" s="26">
        <v>12.8602407</v>
      </c>
      <c r="AN209" s="26">
        <v>0</v>
      </c>
      <c r="AO209" s="26">
        <v>0</v>
      </c>
      <c r="AP209" s="26">
        <v>0</v>
      </c>
      <c r="AQ209" s="26">
        <v>0</v>
      </c>
      <c r="AR209" s="26">
        <v>0</v>
      </c>
      <c r="AS209" s="26">
        <v>3.6965341900000001E-17</v>
      </c>
      <c r="AT209" s="26">
        <v>0</v>
      </c>
      <c r="AU209" s="26">
        <v>0</v>
      </c>
      <c r="AV209" s="26">
        <v>7.3288308700000004E-10</v>
      </c>
      <c r="AW209" s="26">
        <v>0</v>
      </c>
      <c r="AX209" s="26">
        <v>0</v>
      </c>
      <c r="AY209" s="26">
        <v>0</v>
      </c>
      <c r="AZ209" s="26">
        <v>0</v>
      </c>
      <c r="BA209" s="26">
        <v>0</v>
      </c>
      <c r="BB209" s="26">
        <v>0</v>
      </c>
      <c r="BC209" s="26">
        <v>0</v>
      </c>
      <c r="BD209" s="26">
        <v>0</v>
      </c>
      <c r="BE209" s="26">
        <v>0</v>
      </c>
      <c r="BF209" s="26">
        <v>0</v>
      </c>
      <c r="BG209" s="26">
        <v>0</v>
      </c>
      <c r="BH209" s="26">
        <v>0</v>
      </c>
      <c r="BI209" s="26">
        <v>0</v>
      </c>
      <c r="BJ209" s="26">
        <v>0</v>
      </c>
      <c r="BK209" s="26">
        <v>0</v>
      </c>
      <c r="BL209" s="26">
        <v>0</v>
      </c>
      <c r="BM209" s="26">
        <v>0</v>
      </c>
      <c r="BN209" s="26">
        <v>0</v>
      </c>
      <c r="BO209" s="26">
        <v>18459.153399999999</v>
      </c>
      <c r="BP209" s="26">
        <v>354848.82799999998</v>
      </c>
      <c r="BQ209" s="26">
        <v>5946.9333500000002</v>
      </c>
      <c r="BR209" s="26">
        <v>47.287978599999974</v>
      </c>
      <c r="BS209" s="26">
        <v>3.94997957</v>
      </c>
      <c r="BT209" s="26">
        <v>0</v>
      </c>
      <c r="BU209" s="26">
        <v>1</v>
      </c>
      <c r="BV209" s="26">
        <v>0</v>
      </c>
      <c r="BW209" s="26">
        <v>-69520.582999999999</v>
      </c>
      <c r="BX209" s="26">
        <v>-3616.4445500000002</v>
      </c>
      <c r="BY209" s="26">
        <v>-1283.2911200000001</v>
      </c>
      <c r="BZ209" s="26">
        <v>-38.860484800000002</v>
      </c>
      <c r="CA209" s="26">
        <v>-2.02151338</v>
      </c>
      <c r="CB209" s="26">
        <v>5.1732974899999999E-2</v>
      </c>
      <c r="CC209" s="26">
        <v>0.99448685800000003</v>
      </c>
      <c r="CD209" s="26">
        <v>19.2234616</v>
      </c>
      <c r="CE209" s="26">
        <v>0</v>
      </c>
      <c r="CF209" s="26">
        <v>0</v>
      </c>
      <c r="CG209" s="26">
        <v>0</v>
      </c>
      <c r="CH209" s="26">
        <v>0</v>
      </c>
      <c r="CI209" s="26">
        <v>0</v>
      </c>
      <c r="CJ209" s="26">
        <v>0</v>
      </c>
      <c r="CK209" s="26">
        <v>0</v>
      </c>
      <c r="CL209" s="26">
        <v>0</v>
      </c>
      <c r="CM209" s="26">
        <v>0</v>
      </c>
      <c r="CN209" s="26">
        <v>0</v>
      </c>
      <c r="CO209" s="26">
        <v>0</v>
      </c>
      <c r="CP209" s="26">
        <v>0</v>
      </c>
      <c r="CQ209" s="26">
        <v>0</v>
      </c>
      <c r="CR209" s="26">
        <v>0</v>
      </c>
      <c r="CS209" s="26">
        <v>0</v>
      </c>
      <c r="CT209" s="26">
        <v>0</v>
      </c>
      <c r="CU209" s="26">
        <v>0</v>
      </c>
      <c r="CV209" s="26">
        <v>0</v>
      </c>
      <c r="CW209" s="26">
        <v>0</v>
      </c>
      <c r="CX209" s="26">
        <v>0</v>
      </c>
      <c r="CY209" s="26">
        <v>0</v>
      </c>
      <c r="CZ209" s="26">
        <v>0</v>
      </c>
      <c r="DA209" s="26">
        <v>0</v>
      </c>
      <c r="DB209" s="26">
        <v>0</v>
      </c>
      <c r="DC209" s="26">
        <v>0</v>
      </c>
      <c r="DD209" s="26">
        <v>0</v>
      </c>
      <c r="DE209" s="26">
        <v>0</v>
      </c>
      <c r="DF209" s="26">
        <v>0</v>
      </c>
      <c r="DG209" s="26">
        <v>0</v>
      </c>
      <c r="DH209" s="26">
        <v>0</v>
      </c>
      <c r="DI209" s="26">
        <v>0</v>
      </c>
      <c r="DJ209" s="26">
        <v>0</v>
      </c>
      <c r="DK209" s="26">
        <v>0</v>
      </c>
      <c r="DL209" s="26">
        <v>0</v>
      </c>
      <c r="DM209" s="26">
        <v>0</v>
      </c>
      <c r="DN209" s="26">
        <v>0</v>
      </c>
      <c r="DO209" s="26">
        <v>0</v>
      </c>
      <c r="DP209" s="26">
        <v>0</v>
      </c>
      <c r="DQ209" s="26">
        <v>0</v>
      </c>
      <c r="DR209" s="26">
        <v>0</v>
      </c>
      <c r="DS209" s="26">
        <v>0</v>
      </c>
      <c r="DT209" s="26">
        <v>0</v>
      </c>
      <c r="DU209" s="26">
        <v>0</v>
      </c>
      <c r="DV209" s="26">
        <v>0</v>
      </c>
      <c r="DW209" s="26">
        <v>0</v>
      </c>
      <c r="DX209" s="26">
        <v>25.092833200000001</v>
      </c>
      <c r="DY209" s="26">
        <v>0.61959341099999998</v>
      </c>
      <c r="DZ209" s="26">
        <v>0.25996926399999998</v>
      </c>
      <c r="EA209" s="26">
        <v>8.4619995299999999</v>
      </c>
      <c r="EB209" s="26">
        <v>1.0312114100000001</v>
      </c>
      <c r="EC209" s="26">
        <v>249.50383400000001</v>
      </c>
      <c r="ED209" s="26">
        <v>0</v>
      </c>
      <c r="EE209" s="26">
        <v>57.32226639999999</v>
      </c>
      <c r="EF209" s="26">
        <v>82.156953099999996</v>
      </c>
      <c r="EG209" s="26">
        <v>10.4160641</v>
      </c>
      <c r="EH209" s="26">
        <v>1.15734212</v>
      </c>
      <c r="EI209" s="26">
        <v>16.719684600000001</v>
      </c>
      <c r="EJ209" s="26">
        <v>2.1560445600000002</v>
      </c>
      <c r="EK209" s="26">
        <v>0</v>
      </c>
      <c r="EL209" s="26">
        <v>9.4619263199999999</v>
      </c>
      <c r="EM209" s="26">
        <v>0</v>
      </c>
      <c r="EN209" s="26">
        <v>0</v>
      </c>
      <c r="EO209" s="26">
        <v>0</v>
      </c>
      <c r="EP209" s="26">
        <v>7.16111567</v>
      </c>
      <c r="EQ209" s="26">
        <v>464.35972200000003</v>
      </c>
      <c r="ER209" s="26">
        <v>5.5863107799999998</v>
      </c>
      <c r="ES209" s="26">
        <v>47.287978599999974</v>
      </c>
      <c r="ET209" s="26">
        <v>3.94997957</v>
      </c>
      <c r="EU209" s="26">
        <v>0</v>
      </c>
      <c r="EV209" s="26">
        <v>0</v>
      </c>
      <c r="EW209" s="26">
        <v>1</v>
      </c>
      <c r="EX209" s="26">
        <v>-74682.644199999995</v>
      </c>
      <c r="EY209" s="26">
        <v>-1151.7171499999999</v>
      </c>
      <c r="EZ209" s="26">
        <v>-0.53481105799999995</v>
      </c>
      <c r="FA209" s="26">
        <v>-148.26986299999999</v>
      </c>
      <c r="FB209" s="26">
        <v>-2.2865411999999998</v>
      </c>
      <c r="FC209" s="26">
        <v>2.1365070999999999E-2</v>
      </c>
      <c r="FD209" s="26">
        <v>1.38540961</v>
      </c>
      <c r="FE209" s="26">
        <v>64.844605700000002</v>
      </c>
      <c r="FF209" s="26">
        <v>0</v>
      </c>
      <c r="FG209" s="26">
        <v>7.2898075300000004E-2</v>
      </c>
      <c r="FH209" s="26">
        <v>-1501366755.5200002</v>
      </c>
      <c r="FI209" s="26">
        <v>0.21729497479391535</v>
      </c>
      <c r="FJ209" s="26">
        <v>0</v>
      </c>
      <c r="FK209" s="26">
        <v>0</v>
      </c>
      <c r="FL209" s="26">
        <v>0</v>
      </c>
      <c r="FM209" s="26">
        <v>0</v>
      </c>
      <c r="FN209" s="26">
        <v>0</v>
      </c>
      <c r="FO209" s="26">
        <v>0</v>
      </c>
      <c r="FP209" s="26">
        <v>0</v>
      </c>
      <c r="FQ209" s="26">
        <v>0</v>
      </c>
      <c r="FR209" s="26">
        <v>0</v>
      </c>
      <c r="FS209" s="26">
        <v>0</v>
      </c>
      <c r="FT209" s="26">
        <v>0</v>
      </c>
      <c r="FU209" s="26">
        <v>0</v>
      </c>
      <c r="FV209" s="26">
        <v>0</v>
      </c>
      <c r="FW209" s="26">
        <v>0</v>
      </c>
      <c r="FX209" s="26">
        <v>0</v>
      </c>
      <c r="FY209" s="26">
        <v>0</v>
      </c>
      <c r="FZ209" s="26">
        <v>0</v>
      </c>
      <c r="GA209" s="26">
        <v>0</v>
      </c>
      <c r="GB209" s="26">
        <v>0</v>
      </c>
      <c r="GC209" s="26">
        <v>0</v>
      </c>
      <c r="GD209" s="26">
        <v>0</v>
      </c>
      <c r="GE209" s="26">
        <v>0</v>
      </c>
      <c r="GF209" s="26">
        <v>0</v>
      </c>
      <c r="GG209" s="26">
        <v>0</v>
      </c>
      <c r="GH209" s="26">
        <v>0</v>
      </c>
      <c r="GI209" s="26">
        <v>0</v>
      </c>
      <c r="GJ209" s="26">
        <v>0</v>
      </c>
      <c r="GK209" s="26">
        <v>0</v>
      </c>
      <c r="GL209" s="26">
        <v>0</v>
      </c>
      <c r="GM209" s="26">
        <v>0</v>
      </c>
      <c r="GN209" s="26">
        <v>0</v>
      </c>
      <c r="GO209" s="26">
        <v>0</v>
      </c>
      <c r="GP209" s="26">
        <v>0</v>
      </c>
      <c r="GQ209" s="26">
        <v>0</v>
      </c>
      <c r="GR209" s="26">
        <v>0</v>
      </c>
      <c r="GS209" s="26">
        <v>0</v>
      </c>
      <c r="GT209" s="26">
        <v>0</v>
      </c>
      <c r="GU209" s="26">
        <v>0</v>
      </c>
      <c r="GV209" s="26">
        <v>0</v>
      </c>
      <c r="GW209" s="26">
        <v>0</v>
      </c>
      <c r="GX209" s="26">
        <v>0</v>
      </c>
      <c r="GY209" s="26">
        <v>0</v>
      </c>
      <c r="GZ209" s="26">
        <v>0</v>
      </c>
      <c r="HA209" s="26">
        <v>0</v>
      </c>
      <c r="HB209" s="26">
        <v>0</v>
      </c>
      <c r="HC209" s="26">
        <v>0</v>
      </c>
      <c r="HD209" s="26">
        <v>0</v>
      </c>
      <c r="HE209" s="26">
        <v>0</v>
      </c>
      <c r="HF209" s="26">
        <v>0</v>
      </c>
      <c r="HG209" s="26">
        <v>0</v>
      </c>
      <c r="HH209" s="26">
        <v>0</v>
      </c>
      <c r="HI209" s="26">
        <v>0</v>
      </c>
      <c r="HJ209" s="26">
        <v>0</v>
      </c>
      <c r="HK209" s="26">
        <v>0</v>
      </c>
      <c r="HL209" s="26">
        <v>0</v>
      </c>
      <c r="HM209" s="26">
        <v>0</v>
      </c>
      <c r="HN209" s="26">
        <v>0</v>
      </c>
      <c r="HO209" s="26">
        <v>0</v>
      </c>
      <c r="HP209" s="26">
        <v>0</v>
      </c>
      <c r="HQ209" s="26">
        <v>0</v>
      </c>
      <c r="HR209" s="26">
        <v>0</v>
      </c>
      <c r="HS209" s="26">
        <v>0</v>
      </c>
      <c r="HT209" s="26">
        <v>5.1431895133677383E-3</v>
      </c>
    </row>
    <row r="210" spans="2:228" x14ac:dyDescent="0.2">
      <c r="B210" s="27" t="s">
        <v>2889</v>
      </c>
      <c r="C210" s="26">
        <v>355313.18800000002</v>
      </c>
      <c r="D210" s="26">
        <v>-1283.82077</v>
      </c>
      <c r="E210" s="26">
        <v>329317.86599999998</v>
      </c>
      <c r="F210" s="26">
        <v>177.424138</v>
      </c>
      <c r="G210" s="26">
        <v>501.83496400000001</v>
      </c>
      <c r="H210" s="26">
        <v>1101.6176700000001</v>
      </c>
      <c r="I210" s="26">
        <v>462.21720500000004</v>
      </c>
      <c r="J210" s="26">
        <v>1022.3819700000001</v>
      </c>
      <c r="K210" s="26">
        <v>211.866952</v>
      </c>
      <c r="L210" s="26">
        <v>318.75849399999998</v>
      </c>
      <c r="M210" s="26">
        <v>0</v>
      </c>
      <c r="N210" s="26">
        <v>1090.9604200000001</v>
      </c>
      <c r="O210" s="26">
        <v>27.531921000000001</v>
      </c>
      <c r="P210" s="26">
        <v>11.551855</v>
      </c>
      <c r="Q210" s="26">
        <v>376.01020999999997</v>
      </c>
      <c r="R210" s="26">
        <v>45.822032800000002</v>
      </c>
      <c r="S210" s="26">
        <v>11753.797500000001</v>
      </c>
      <c r="T210" s="26">
        <v>632.05517199999997</v>
      </c>
      <c r="U210" s="26">
        <v>355.00534099999999</v>
      </c>
      <c r="V210" s="26">
        <v>157.999549</v>
      </c>
      <c r="W210" s="26">
        <v>0</v>
      </c>
      <c r="X210" s="26">
        <v>1630.9811400000001</v>
      </c>
      <c r="Y210" s="26">
        <v>726.84030600000006</v>
      </c>
      <c r="Z210" s="26">
        <v>167.87425400000001</v>
      </c>
      <c r="AA210" s="26">
        <v>440.67470300000002</v>
      </c>
      <c r="AB210" s="26">
        <v>7.1539367600000005E-4</v>
      </c>
      <c r="AC210" s="26">
        <v>0</v>
      </c>
      <c r="AD210" s="26">
        <v>2389.1657300000002</v>
      </c>
      <c r="AE210" s="26">
        <v>1791.6933100000001</v>
      </c>
      <c r="AF210" s="26">
        <v>124.03579599999999</v>
      </c>
      <c r="AG210" s="26">
        <v>0</v>
      </c>
      <c r="AH210" s="26">
        <v>0</v>
      </c>
      <c r="AI210" s="26">
        <v>0</v>
      </c>
      <c r="AJ210" s="26">
        <v>0</v>
      </c>
      <c r="AK210" s="26">
        <v>0</v>
      </c>
      <c r="AL210" s="26">
        <v>0</v>
      </c>
      <c r="AM210" s="26">
        <v>12.8602407</v>
      </c>
      <c r="AN210" s="26">
        <v>0</v>
      </c>
      <c r="AO210" s="26">
        <v>0</v>
      </c>
      <c r="AP210" s="26">
        <v>0</v>
      </c>
      <c r="AQ210" s="26">
        <v>0</v>
      </c>
      <c r="AR210" s="26">
        <v>0</v>
      </c>
      <c r="AS210" s="26">
        <v>3.6965341900000001E-17</v>
      </c>
      <c r="AT210" s="26">
        <v>0</v>
      </c>
      <c r="AU210" s="26">
        <v>0</v>
      </c>
      <c r="AV210" s="26">
        <v>7.3288308700000004E-10</v>
      </c>
      <c r="AW210" s="26">
        <v>0</v>
      </c>
      <c r="AX210" s="26">
        <v>0</v>
      </c>
      <c r="AY210" s="26">
        <v>0</v>
      </c>
      <c r="AZ210" s="26">
        <v>0</v>
      </c>
      <c r="BA210" s="26">
        <v>0</v>
      </c>
      <c r="BB210" s="26">
        <v>0</v>
      </c>
      <c r="BC210" s="26">
        <v>0</v>
      </c>
      <c r="BD210" s="26">
        <v>0</v>
      </c>
      <c r="BE210" s="26">
        <v>0</v>
      </c>
      <c r="BF210" s="26">
        <v>0</v>
      </c>
      <c r="BG210" s="26">
        <v>0</v>
      </c>
      <c r="BH210" s="26">
        <v>0</v>
      </c>
      <c r="BI210" s="26">
        <v>0</v>
      </c>
      <c r="BJ210" s="26">
        <v>0</v>
      </c>
      <c r="BK210" s="26">
        <v>0</v>
      </c>
      <c r="BL210" s="26">
        <v>0</v>
      </c>
      <c r="BM210" s="26">
        <v>0</v>
      </c>
      <c r="BN210" s="26">
        <v>0</v>
      </c>
      <c r="BO210" s="26">
        <v>18459.153399999999</v>
      </c>
      <c r="BP210" s="26">
        <v>354848.82799999998</v>
      </c>
      <c r="BQ210" s="26">
        <v>5947.0297399999999</v>
      </c>
      <c r="BR210" s="26">
        <v>47.30379640000001</v>
      </c>
      <c r="BS210" s="26">
        <v>1</v>
      </c>
      <c r="BT210" s="26">
        <v>0</v>
      </c>
      <c r="BU210" s="26">
        <v>1</v>
      </c>
      <c r="BV210" s="26">
        <v>0</v>
      </c>
      <c r="BW210" s="26">
        <v>-69520.303599999999</v>
      </c>
      <c r="BX210" s="26">
        <v>-3616.43001</v>
      </c>
      <c r="BY210" s="26">
        <v>-1283.2859599999999</v>
      </c>
      <c r="BZ210" s="26">
        <v>-38.859613400000001</v>
      </c>
      <c r="CA210" s="26">
        <v>-2.0214680399999998</v>
      </c>
      <c r="CB210" s="26">
        <v>5.1732136400000003E-2</v>
      </c>
      <c r="CC210" s="26">
        <v>0.99447073900000005</v>
      </c>
      <c r="CD210" s="26">
        <v>19.2234616</v>
      </c>
      <c r="CE210" s="26">
        <v>0</v>
      </c>
      <c r="CF210" s="26">
        <v>0</v>
      </c>
      <c r="CG210" s="26">
        <v>0</v>
      </c>
      <c r="CH210" s="26">
        <v>0</v>
      </c>
      <c r="CI210" s="26">
        <v>0</v>
      </c>
      <c r="CJ210" s="26">
        <v>0</v>
      </c>
      <c r="CK210" s="26">
        <v>0</v>
      </c>
      <c r="CL210" s="26">
        <v>0</v>
      </c>
      <c r="CM210" s="26">
        <v>0</v>
      </c>
      <c r="CN210" s="26">
        <v>0</v>
      </c>
      <c r="CO210" s="26">
        <v>0</v>
      </c>
      <c r="CP210" s="26">
        <v>0</v>
      </c>
      <c r="CQ210" s="26">
        <v>0</v>
      </c>
      <c r="CR210" s="26">
        <v>0</v>
      </c>
      <c r="CS210" s="26">
        <v>0</v>
      </c>
      <c r="CT210" s="26">
        <v>0</v>
      </c>
      <c r="CU210" s="26">
        <v>0</v>
      </c>
      <c r="CV210" s="26">
        <v>0</v>
      </c>
      <c r="CW210" s="26">
        <v>0</v>
      </c>
      <c r="CX210" s="26">
        <v>0</v>
      </c>
      <c r="CY210" s="26">
        <v>0</v>
      </c>
      <c r="CZ210" s="26">
        <v>0</v>
      </c>
      <c r="DA210" s="26">
        <v>0</v>
      </c>
      <c r="DB210" s="26">
        <v>0</v>
      </c>
      <c r="DC210" s="26">
        <v>0</v>
      </c>
      <c r="DD210" s="26">
        <v>0</v>
      </c>
      <c r="DE210" s="26">
        <v>0</v>
      </c>
      <c r="DF210" s="26">
        <v>0</v>
      </c>
      <c r="DG210" s="26">
        <v>0</v>
      </c>
      <c r="DH210" s="26">
        <v>0</v>
      </c>
      <c r="DI210" s="26">
        <v>0</v>
      </c>
      <c r="DJ210" s="26">
        <v>0</v>
      </c>
      <c r="DK210" s="26">
        <v>0</v>
      </c>
      <c r="DL210" s="26">
        <v>0</v>
      </c>
      <c r="DM210" s="26">
        <v>0</v>
      </c>
      <c r="DN210" s="26">
        <v>0</v>
      </c>
      <c r="DO210" s="26">
        <v>0</v>
      </c>
      <c r="DP210" s="26">
        <v>0</v>
      </c>
      <c r="DQ210" s="26">
        <v>0</v>
      </c>
      <c r="DR210" s="26">
        <v>0</v>
      </c>
      <c r="DS210" s="26">
        <v>0</v>
      </c>
      <c r="DT210" s="26">
        <v>0</v>
      </c>
      <c r="DU210" s="26">
        <v>0</v>
      </c>
      <c r="DV210" s="26">
        <v>0</v>
      </c>
      <c r="DW210" s="26">
        <v>0</v>
      </c>
      <c r="DX210" s="26">
        <v>25.092833200000001</v>
      </c>
      <c r="DY210" s="26">
        <v>0.61959341099999998</v>
      </c>
      <c r="DZ210" s="26">
        <v>0.25996926399999998</v>
      </c>
      <c r="EA210" s="26">
        <v>8.4619995299999999</v>
      </c>
      <c r="EB210" s="26">
        <v>1.0312114100000001</v>
      </c>
      <c r="EC210" s="26">
        <v>249.50383400000001</v>
      </c>
      <c r="ED210" s="26">
        <v>0</v>
      </c>
      <c r="EE210" s="26">
        <v>57.32226639999999</v>
      </c>
      <c r="EF210" s="26">
        <v>82.156953099999996</v>
      </c>
      <c r="EG210" s="26">
        <v>10.4160641</v>
      </c>
      <c r="EH210" s="26">
        <v>1.15734212</v>
      </c>
      <c r="EI210" s="26">
        <v>16.719684600000001</v>
      </c>
      <c r="EJ210" s="26">
        <v>2.1560445600000002</v>
      </c>
      <c r="EK210" s="26">
        <v>0</v>
      </c>
      <c r="EL210" s="26">
        <v>9.4619263199999999</v>
      </c>
      <c r="EM210" s="26">
        <v>0</v>
      </c>
      <c r="EN210" s="26">
        <v>0</v>
      </c>
      <c r="EO210" s="26">
        <v>0</v>
      </c>
      <c r="EP210" s="26">
        <v>7.16111567</v>
      </c>
      <c r="EQ210" s="26">
        <v>464.35972200000003</v>
      </c>
      <c r="ER210" s="26">
        <v>5.5863107799999998</v>
      </c>
      <c r="ES210" s="26">
        <v>47.30379640000001</v>
      </c>
      <c r="ET210" s="26">
        <v>1</v>
      </c>
      <c r="EU210" s="26">
        <v>0</v>
      </c>
      <c r="EV210" s="26">
        <v>0</v>
      </c>
      <c r="EW210" s="26">
        <v>1</v>
      </c>
      <c r="EX210" s="26">
        <v>-74682.346099999995</v>
      </c>
      <c r="EY210" s="26">
        <v>-1151.71255</v>
      </c>
      <c r="EZ210" s="26">
        <v>-0.53480892300000005</v>
      </c>
      <c r="FA210" s="26">
        <v>-148.26893200000001</v>
      </c>
      <c r="FB210" s="26">
        <v>-2.28652685</v>
      </c>
      <c r="FC210" s="26">
        <v>2.1365070999999999E-2</v>
      </c>
      <c r="FD210" s="26">
        <v>1.38540961</v>
      </c>
      <c r="FE210" s="26">
        <v>64.844605700000002</v>
      </c>
      <c r="FF210" s="26">
        <v>0</v>
      </c>
      <c r="FG210" s="26">
        <v>7.2898075300000004E-2</v>
      </c>
      <c r="FH210" s="26">
        <v>-1501366755.5200002</v>
      </c>
      <c r="FI210" s="26">
        <v>0.21729497479391535</v>
      </c>
      <c r="FJ210" s="26">
        <v>0</v>
      </c>
      <c r="FK210" s="26">
        <v>0</v>
      </c>
      <c r="FL210" s="26">
        <v>0</v>
      </c>
      <c r="FM210" s="26">
        <v>0</v>
      </c>
      <c r="FN210" s="26">
        <v>0</v>
      </c>
      <c r="FO210" s="26">
        <v>0</v>
      </c>
      <c r="FP210" s="26">
        <v>0</v>
      </c>
      <c r="FQ210" s="26">
        <v>0</v>
      </c>
      <c r="FR210" s="26">
        <v>0</v>
      </c>
      <c r="FS210" s="26">
        <v>0</v>
      </c>
      <c r="FT210" s="26">
        <v>0</v>
      </c>
      <c r="FU210" s="26">
        <v>0</v>
      </c>
      <c r="FV210" s="26">
        <v>0</v>
      </c>
      <c r="FW210" s="26">
        <v>0</v>
      </c>
      <c r="FX210" s="26">
        <v>0</v>
      </c>
      <c r="FY210" s="26">
        <v>0</v>
      </c>
      <c r="FZ210" s="26">
        <v>0</v>
      </c>
      <c r="GA210" s="26">
        <v>0</v>
      </c>
      <c r="GB210" s="26">
        <v>0</v>
      </c>
      <c r="GC210" s="26">
        <v>0</v>
      </c>
      <c r="GD210" s="26">
        <v>0</v>
      </c>
      <c r="GE210" s="26">
        <v>0</v>
      </c>
      <c r="GF210" s="26">
        <v>0</v>
      </c>
      <c r="GG210" s="26">
        <v>0</v>
      </c>
      <c r="GH210" s="26">
        <v>0</v>
      </c>
      <c r="GI210" s="26">
        <v>0</v>
      </c>
      <c r="GJ210" s="26">
        <v>0</v>
      </c>
      <c r="GK210" s="26">
        <v>0</v>
      </c>
      <c r="GL210" s="26">
        <v>0</v>
      </c>
      <c r="GM210" s="26">
        <v>0</v>
      </c>
      <c r="GN210" s="26">
        <v>0</v>
      </c>
      <c r="GO210" s="26">
        <v>0</v>
      </c>
      <c r="GP210" s="26">
        <v>0</v>
      </c>
      <c r="GQ210" s="26">
        <v>0</v>
      </c>
      <c r="GR210" s="26">
        <v>0</v>
      </c>
      <c r="GS210" s="26">
        <v>0</v>
      </c>
      <c r="GT210" s="26">
        <v>0</v>
      </c>
      <c r="GU210" s="26">
        <v>0</v>
      </c>
      <c r="GV210" s="26">
        <v>0</v>
      </c>
      <c r="GW210" s="26">
        <v>0</v>
      </c>
      <c r="GX210" s="26">
        <v>0</v>
      </c>
      <c r="GY210" s="26">
        <v>0</v>
      </c>
      <c r="GZ210" s="26">
        <v>0</v>
      </c>
      <c r="HA210" s="26">
        <v>0</v>
      </c>
      <c r="HB210" s="26">
        <v>0</v>
      </c>
      <c r="HC210" s="26">
        <v>0</v>
      </c>
      <c r="HD210" s="26">
        <v>0</v>
      </c>
      <c r="HE210" s="26">
        <v>0</v>
      </c>
      <c r="HF210" s="26">
        <v>0</v>
      </c>
      <c r="HG210" s="26">
        <v>0</v>
      </c>
      <c r="HH210" s="26">
        <v>0</v>
      </c>
      <c r="HI210" s="26">
        <v>0</v>
      </c>
      <c r="HJ210" s="26">
        <v>0</v>
      </c>
      <c r="HK210" s="26">
        <v>0</v>
      </c>
      <c r="HL210" s="26">
        <v>0</v>
      </c>
      <c r="HM210" s="26">
        <v>0</v>
      </c>
      <c r="HN210" s="26">
        <v>0</v>
      </c>
      <c r="HO210" s="26">
        <v>0</v>
      </c>
      <c r="HP210" s="26">
        <v>0</v>
      </c>
      <c r="HQ210" s="26">
        <v>0</v>
      </c>
      <c r="HR210" s="26">
        <v>0</v>
      </c>
      <c r="HS210" s="26">
        <v>0</v>
      </c>
      <c r="HT210" s="26">
        <v>5.1431895133677383E-3</v>
      </c>
    </row>
    <row r="211" spans="2:228" x14ac:dyDescent="0.2">
      <c r="B211" s="27" t="s">
        <v>2890</v>
      </c>
      <c r="C211" s="26">
        <v>391789.30499999999</v>
      </c>
      <c r="D211" s="26">
        <v>-1359.75773</v>
      </c>
      <c r="E211" s="26">
        <v>342053.04</v>
      </c>
      <c r="F211" s="26">
        <v>184.28537299999999</v>
      </c>
      <c r="G211" s="26">
        <v>521.24161100000003</v>
      </c>
      <c r="H211" s="26">
        <v>1144.21874</v>
      </c>
      <c r="I211" s="26">
        <v>480.09177899999997</v>
      </c>
      <c r="J211" s="26">
        <v>1061.9188799999999</v>
      </c>
      <c r="K211" s="26">
        <v>220.06013799999999</v>
      </c>
      <c r="L211" s="26">
        <v>331.08532300000002</v>
      </c>
      <c r="M211" s="26">
        <v>0</v>
      </c>
      <c r="N211" s="26">
        <v>1133.1493599999999</v>
      </c>
      <c r="O211" s="26">
        <v>28.596618200000002</v>
      </c>
      <c r="P211" s="26">
        <v>11.998581100000001</v>
      </c>
      <c r="Q211" s="26">
        <v>390.551042</v>
      </c>
      <c r="R211" s="26">
        <v>47.594033699999997</v>
      </c>
      <c r="S211" s="26">
        <v>12208.333000000001</v>
      </c>
      <c r="T211" s="26">
        <v>656.497613</v>
      </c>
      <c r="U211" s="26">
        <v>368.73388499999999</v>
      </c>
      <c r="V211" s="26">
        <v>164.10960800000001</v>
      </c>
      <c r="W211" s="26">
        <v>0</v>
      </c>
      <c r="X211" s="26">
        <v>1694.05342</v>
      </c>
      <c r="Y211" s="26">
        <v>754.94821899999999</v>
      </c>
      <c r="Z211" s="26">
        <v>174.36618200000001</v>
      </c>
      <c r="AA211" s="26">
        <v>457.71619900000007</v>
      </c>
      <c r="AB211" s="26">
        <v>7.4305893199999996E-4</v>
      </c>
      <c r="AC211" s="26">
        <v>0</v>
      </c>
      <c r="AD211" s="26">
        <v>2481.5580500000001</v>
      </c>
      <c r="AE211" s="26">
        <v>1860.9805500000002</v>
      </c>
      <c r="AF211" s="26">
        <v>128.83242999999999</v>
      </c>
      <c r="AG211" s="26">
        <v>0</v>
      </c>
      <c r="AH211" s="26">
        <v>0</v>
      </c>
      <c r="AI211" s="26">
        <v>0</v>
      </c>
      <c r="AJ211" s="26">
        <v>0</v>
      </c>
      <c r="AK211" s="26">
        <v>0</v>
      </c>
      <c r="AL211" s="26">
        <v>0</v>
      </c>
      <c r="AM211" s="26">
        <v>13.357563900000001</v>
      </c>
      <c r="AN211" s="26">
        <v>0</v>
      </c>
      <c r="AO211" s="26">
        <v>0</v>
      </c>
      <c r="AP211" s="26">
        <v>0</v>
      </c>
      <c r="AQ211" s="26">
        <v>0</v>
      </c>
      <c r="AR211" s="26">
        <v>0</v>
      </c>
      <c r="AS211" s="26">
        <v>3.8394842400000001E-17</v>
      </c>
      <c r="AT211" s="26">
        <v>0</v>
      </c>
      <c r="AU211" s="26">
        <v>0</v>
      </c>
      <c r="AV211" s="26">
        <v>7.6122468200000004E-10</v>
      </c>
      <c r="AW211" s="26">
        <v>0</v>
      </c>
      <c r="AX211" s="26">
        <v>0</v>
      </c>
      <c r="AY211" s="26">
        <v>0</v>
      </c>
      <c r="AZ211" s="26">
        <v>0</v>
      </c>
      <c r="BA211" s="26">
        <v>0</v>
      </c>
      <c r="BB211" s="26">
        <v>0</v>
      </c>
      <c r="BC211" s="26">
        <v>0</v>
      </c>
      <c r="BD211" s="26">
        <v>0</v>
      </c>
      <c r="BE211" s="26">
        <v>0</v>
      </c>
      <c r="BF211" s="26">
        <v>0</v>
      </c>
      <c r="BG211" s="26">
        <v>0</v>
      </c>
      <c r="BH211" s="26">
        <v>0</v>
      </c>
      <c r="BI211" s="26">
        <v>0</v>
      </c>
      <c r="BJ211" s="26">
        <v>0</v>
      </c>
      <c r="BK211" s="26">
        <v>0</v>
      </c>
      <c r="BL211" s="26">
        <v>0</v>
      </c>
      <c r="BM211" s="26">
        <v>0</v>
      </c>
      <c r="BN211" s="26">
        <v>0</v>
      </c>
      <c r="BO211" s="26">
        <v>19172.994299999998</v>
      </c>
      <c r="BP211" s="26">
        <v>368571.31900000002</v>
      </c>
      <c r="BQ211" s="26">
        <v>6175.0876099999996</v>
      </c>
      <c r="BR211" s="26">
        <v>47</v>
      </c>
      <c r="BS211" s="26">
        <v>1</v>
      </c>
      <c r="BT211" s="26">
        <v>0</v>
      </c>
      <c r="BU211" s="26">
        <v>1</v>
      </c>
      <c r="BV211" s="26">
        <v>0</v>
      </c>
      <c r="BW211" s="26">
        <v>-69525.667700000005</v>
      </c>
      <c r="BX211" s="26">
        <v>-3616.7090499999999</v>
      </c>
      <c r="BY211" s="26">
        <v>-1333.0152399999999</v>
      </c>
      <c r="BZ211" s="26">
        <v>-38.876353299999998</v>
      </c>
      <c r="CA211" s="26">
        <v>-2.0223388500000001</v>
      </c>
      <c r="CB211" s="26">
        <v>5.1748237500000002E-2</v>
      </c>
      <c r="CC211" s="26">
        <v>0.99478025800000003</v>
      </c>
      <c r="CD211" s="26">
        <v>19.2234616</v>
      </c>
      <c r="CE211" s="26">
        <v>0</v>
      </c>
      <c r="CF211" s="26">
        <v>0</v>
      </c>
      <c r="CG211" s="26">
        <v>0</v>
      </c>
      <c r="CH211" s="26">
        <v>0</v>
      </c>
      <c r="CI211" s="26">
        <v>0</v>
      </c>
      <c r="CJ211" s="26">
        <v>0</v>
      </c>
      <c r="CK211" s="26">
        <v>0</v>
      </c>
      <c r="CL211" s="26">
        <v>0</v>
      </c>
      <c r="CM211" s="26">
        <v>0</v>
      </c>
      <c r="CN211" s="26">
        <v>0</v>
      </c>
      <c r="CO211" s="26">
        <v>0</v>
      </c>
      <c r="CP211" s="26">
        <v>0</v>
      </c>
      <c r="CQ211" s="26">
        <v>0</v>
      </c>
      <c r="CR211" s="26">
        <v>0</v>
      </c>
      <c r="CS211" s="26">
        <v>0</v>
      </c>
      <c r="CT211" s="26">
        <v>0</v>
      </c>
      <c r="CU211" s="26">
        <v>0</v>
      </c>
      <c r="CV211" s="26">
        <v>0</v>
      </c>
      <c r="CW211" s="26">
        <v>0</v>
      </c>
      <c r="CX211" s="26">
        <v>0</v>
      </c>
      <c r="CY211" s="26">
        <v>0</v>
      </c>
      <c r="CZ211" s="26">
        <v>0</v>
      </c>
      <c r="DA211" s="26">
        <v>0</v>
      </c>
      <c r="DB211" s="26">
        <v>0</v>
      </c>
      <c r="DC211" s="26">
        <v>0</v>
      </c>
      <c r="DD211" s="26">
        <v>0</v>
      </c>
      <c r="DE211" s="26">
        <v>0</v>
      </c>
      <c r="DF211" s="26">
        <v>0</v>
      </c>
      <c r="DG211" s="26">
        <v>0</v>
      </c>
      <c r="DH211" s="26">
        <v>0</v>
      </c>
      <c r="DI211" s="26">
        <v>0</v>
      </c>
      <c r="DJ211" s="26">
        <v>0</v>
      </c>
      <c r="DK211" s="26">
        <v>0</v>
      </c>
      <c r="DL211" s="26">
        <v>0</v>
      </c>
      <c r="DM211" s="26">
        <v>0</v>
      </c>
      <c r="DN211" s="26">
        <v>0</v>
      </c>
      <c r="DO211" s="26">
        <v>0</v>
      </c>
      <c r="DP211" s="26">
        <v>0</v>
      </c>
      <c r="DQ211" s="26">
        <v>0</v>
      </c>
      <c r="DR211" s="26">
        <v>0</v>
      </c>
      <c r="DS211" s="26">
        <v>0</v>
      </c>
      <c r="DT211" s="26">
        <v>0</v>
      </c>
      <c r="DU211" s="26">
        <v>0</v>
      </c>
      <c r="DV211" s="26">
        <v>0</v>
      </c>
      <c r="DW211" s="26">
        <v>0</v>
      </c>
      <c r="DX211" s="26">
        <v>1254.64166</v>
      </c>
      <c r="DY211" s="26">
        <v>30.979670600000002</v>
      </c>
      <c r="DZ211" s="26">
        <v>12.9984632</v>
      </c>
      <c r="EA211" s="26">
        <v>423.09997600000003</v>
      </c>
      <c r="EB211" s="26">
        <v>51.560570599999998</v>
      </c>
      <c r="EC211" s="26">
        <v>12475.191699999999</v>
      </c>
      <c r="ED211" s="26">
        <v>0</v>
      </c>
      <c r="EE211" s="26">
        <v>2866.1133199999999</v>
      </c>
      <c r="EF211" s="26">
        <v>4107.8476600000004</v>
      </c>
      <c r="EG211" s="26">
        <v>520.80320400000005</v>
      </c>
      <c r="EH211" s="26">
        <v>57.867106200000009</v>
      </c>
      <c r="EI211" s="26">
        <v>835.98422900000003</v>
      </c>
      <c r="EJ211" s="26">
        <v>107.802228</v>
      </c>
      <c r="EK211" s="26">
        <v>0</v>
      </c>
      <c r="EL211" s="26">
        <v>473.096316</v>
      </c>
      <c r="EM211" s="26">
        <v>0</v>
      </c>
      <c r="EN211" s="26">
        <v>0</v>
      </c>
      <c r="EO211" s="26">
        <v>0</v>
      </c>
      <c r="EP211" s="26">
        <v>358.05578400000002</v>
      </c>
      <c r="EQ211" s="26">
        <v>23217.986099999998</v>
      </c>
      <c r="ER211" s="26">
        <v>279.315539</v>
      </c>
      <c r="ES211" s="26">
        <v>47</v>
      </c>
      <c r="ET211" s="26">
        <v>1</v>
      </c>
      <c r="EU211" s="26">
        <v>0</v>
      </c>
      <c r="EV211" s="26">
        <v>0</v>
      </c>
      <c r="EW211" s="26">
        <v>1</v>
      </c>
      <c r="EX211" s="26">
        <v>-74688.070099999997</v>
      </c>
      <c r="EY211" s="26">
        <v>-1151.8008199999999</v>
      </c>
      <c r="EZ211" s="26">
        <v>-26.742495699999999</v>
      </c>
      <c r="FA211" s="26">
        <v>-148.28680299999999</v>
      </c>
      <c r="FB211" s="26">
        <v>-2.2868024500000002</v>
      </c>
      <c r="FC211" s="26">
        <v>2.1365070999999999E-2</v>
      </c>
      <c r="FD211" s="26">
        <v>1.38540961</v>
      </c>
      <c r="FE211" s="26">
        <v>64.844605700000002</v>
      </c>
      <c r="FF211" s="26">
        <v>0</v>
      </c>
      <c r="FG211" s="26">
        <v>0.146490551</v>
      </c>
      <c r="FH211" s="26">
        <v>-1590048133.9000001</v>
      </c>
      <c r="FI211" s="26">
        <v>0.22569806986114013</v>
      </c>
      <c r="FJ211" s="26">
        <v>0</v>
      </c>
      <c r="FK211" s="26">
        <v>0</v>
      </c>
      <c r="FL211" s="26">
        <v>0</v>
      </c>
      <c r="FM211" s="26">
        <v>0</v>
      </c>
      <c r="FN211" s="26">
        <v>0</v>
      </c>
      <c r="FO211" s="26">
        <v>0</v>
      </c>
      <c r="FP211" s="26">
        <v>0</v>
      </c>
      <c r="FQ211" s="26">
        <v>0</v>
      </c>
      <c r="FR211" s="26">
        <v>0</v>
      </c>
      <c r="FS211" s="26">
        <v>0</v>
      </c>
      <c r="FT211" s="26">
        <v>0</v>
      </c>
      <c r="FU211" s="26">
        <v>0</v>
      </c>
      <c r="FV211" s="26">
        <v>0</v>
      </c>
      <c r="FW211" s="26">
        <v>0</v>
      </c>
      <c r="FX211" s="26">
        <v>0</v>
      </c>
      <c r="FY211" s="26">
        <v>0</v>
      </c>
      <c r="FZ211" s="26">
        <v>0</v>
      </c>
      <c r="GA211" s="26">
        <v>0</v>
      </c>
      <c r="GB211" s="26">
        <v>0</v>
      </c>
      <c r="GC211" s="26">
        <v>0</v>
      </c>
      <c r="GD211" s="26">
        <v>0</v>
      </c>
      <c r="GE211" s="26">
        <v>0</v>
      </c>
      <c r="GF211" s="26">
        <v>0</v>
      </c>
      <c r="GG211" s="26">
        <v>0</v>
      </c>
      <c r="GH211" s="26">
        <v>0</v>
      </c>
      <c r="GI211" s="26">
        <v>0</v>
      </c>
      <c r="GJ211" s="26">
        <v>0</v>
      </c>
      <c r="GK211" s="26">
        <v>0</v>
      </c>
      <c r="GL211" s="26">
        <v>0</v>
      </c>
      <c r="GM211" s="26">
        <v>0</v>
      </c>
      <c r="GN211" s="26">
        <v>0</v>
      </c>
      <c r="GO211" s="26">
        <v>0</v>
      </c>
      <c r="GP211" s="26">
        <v>0</v>
      </c>
      <c r="GQ211" s="26">
        <v>0</v>
      </c>
      <c r="GR211" s="26">
        <v>0</v>
      </c>
      <c r="GS211" s="26">
        <v>0</v>
      </c>
      <c r="GT211" s="26">
        <v>0</v>
      </c>
      <c r="GU211" s="26">
        <v>0</v>
      </c>
      <c r="GV211" s="26">
        <v>0</v>
      </c>
      <c r="GW211" s="26">
        <v>0</v>
      </c>
      <c r="GX211" s="26">
        <v>0</v>
      </c>
      <c r="GY211" s="26">
        <v>0</v>
      </c>
      <c r="GZ211" s="26">
        <v>0</v>
      </c>
      <c r="HA211" s="26">
        <v>0</v>
      </c>
      <c r="HB211" s="26">
        <v>0</v>
      </c>
      <c r="HC211" s="26">
        <v>0</v>
      </c>
      <c r="HD211" s="26">
        <v>0</v>
      </c>
      <c r="HE211" s="26">
        <v>0</v>
      </c>
      <c r="HF211" s="26">
        <v>0</v>
      </c>
      <c r="HG211" s="26">
        <v>0</v>
      </c>
      <c r="HH211" s="26">
        <v>0</v>
      </c>
      <c r="HI211" s="26">
        <v>0</v>
      </c>
      <c r="HJ211" s="26">
        <v>0</v>
      </c>
      <c r="HK211" s="26">
        <v>0</v>
      </c>
      <c r="HL211" s="26">
        <v>0</v>
      </c>
      <c r="HM211" s="26">
        <v>0</v>
      </c>
      <c r="HN211" s="26">
        <v>0</v>
      </c>
      <c r="HO211" s="26">
        <v>0</v>
      </c>
      <c r="HP211" s="26">
        <v>0</v>
      </c>
      <c r="HQ211" s="26">
        <v>0</v>
      </c>
      <c r="HR211" s="26">
        <v>0</v>
      </c>
      <c r="HS211" s="26">
        <v>0</v>
      </c>
      <c r="HT211" s="26">
        <v>0.25715947622394247</v>
      </c>
    </row>
    <row r="212" spans="2:228" x14ac:dyDescent="0.2">
      <c r="B212" s="27" t="s">
        <v>2891</v>
      </c>
      <c r="C212" s="26">
        <v>391789.30499999999</v>
      </c>
      <c r="D212" s="26">
        <v>-1359.6919399999999</v>
      </c>
      <c r="E212" s="26">
        <v>342053.04</v>
      </c>
      <c r="F212" s="26">
        <v>184.28537299999999</v>
      </c>
      <c r="G212" s="26">
        <v>521.24161100000003</v>
      </c>
      <c r="H212" s="26">
        <v>1144.21874</v>
      </c>
      <c r="I212" s="26">
        <v>480.09177899999997</v>
      </c>
      <c r="J212" s="26">
        <v>1061.9188799999999</v>
      </c>
      <c r="K212" s="26">
        <v>220.06013799999999</v>
      </c>
      <c r="L212" s="26">
        <v>331.08532300000002</v>
      </c>
      <c r="M212" s="26">
        <v>0</v>
      </c>
      <c r="N212" s="26">
        <v>1133.1493599999999</v>
      </c>
      <c r="O212" s="26">
        <v>28.596618200000002</v>
      </c>
      <c r="P212" s="26">
        <v>11.998581100000001</v>
      </c>
      <c r="Q212" s="26">
        <v>390.551042</v>
      </c>
      <c r="R212" s="26">
        <v>47.594033699999997</v>
      </c>
      <c r="S212" s="26">
        <v>12208.333000000001</v>
      </c>
      <c r="T212" s="26">
        <v>656.497613</v>
      </c>
      <c r="U212" s="26">
        <v>368.73388499999999</v>
      </c>
      <c r="V212" s="26">
        <v>164.10960800000001</v>
      </c>
      <c r="W212" s="26">
        <v>0</v>
      </c>
      <c r="X212" s="26">
        <v>1694.05342</v>
      </c>
      <c r="Y212" s="26">
        <v>754.94821899999999</v>
      </c>
      <c r="Z212" s="26">
        <v>174.36618200000001</v>
      </c>
      <c r="AA212" s="26">
        <v>457.71619900000007</v>
      </c>
      <c r="AB212" s="26">
        <v>7.4305893199999996E-4</v>
      </c>
      <c r="AC212" s="26">
        <v>0</v>
      </c>
      <c r="AD212" s="26">
        <v>2481.5580500000001</v>
      </c>
      <c r="AE212" s="26">
        <v>1860.9805500000002</v>
      </c>
      <c r="AF212" s="26">
        <v>128.83242999999999</v>
      </c>
      <c r="AG212" s="26">
        <v>0</v>
      </c>
      <c r="AH212" s="26">
        <v>0</v>
      </c>
      <c r="AI212" s="26">
        <v>0</v>
      </c>
      <c r="AJ212" s="26">
        <v>0</v>
      </c>
      <c r="AK212" s="26">
        <v>0</v>
      </c>
      <c r="AL212" s="26">
        <v>0</v>
      </c>
      <c r="AM212" s="26">
        <v>13.357563900000001</v>
      </c>
      <c r="AN212" s="26">
        <v>0</v>
      </c>
      <c r="AO212" s="26">
        <v>0</v>
      </c>
      <c r="AP212" s="26">
        <v>0</v>
      </c>
      <c r="AQ212" s="26">
        <v>0</v>
      </c>
      <c r="AR212" s="26">
        <v>0</v>
      </c>
      <c r="AS212" s="26">
        <v>3.8394842400000001E-17</v>
      </c>
      <c r="AT212" s="26">
        <v>0</v>
      </c>
      <c r="AU212" s="26">
        <v>0</v>
      </c>
      <c r="AV212" s="26">
        <v>7.6122468200000004E-10</v>
      </c>
      <c r="AW212" s="26">
        <v>0</v>
      </c>
      <c r="AX212" s="26">
        <v>0</v>
      </c>
      <c r="AY212" s="26">
        <v>0</v>
      </c>
      <c r="AZ212" s="26">
        <v>0</v>
      </c>
      <c r="BA212" s="26">
        <v>0</v>
      </c>
      <c r="BB212" s="26">
        <v>0</v>
      </c>
      <c r="BC212" s="26">
        <v>0</v>
      </c>
      <c r="BD212" s="26">
        <v>0</v>
      </c>
      <c r="BE212" s="26">
        <v>0</v>
      </c>
      <c r="BF212" s="26">
        <v>0</v>
      </c>
      <c r="BG212" s="26">
        <v>0</v>
      </c>
      <c r="BH212" s="26">
        <v>0</v>
      </c>
      <c r="BI212" s="26">
        <v>0</v>
      </c>
      <c r="BJ212" s="26">
        <v>0</v>
      </c>
      <c r="BK212" s="26">
        <v>0</v>
      </c>
      <c r="BL212" s="26">
        <v>0</v>
      </c>
      <c r="BM212" s="26">
        <v>0</v>
      </c>
      <c r="BN212" s="26">
        <v>0</v>
      </c>
      <c r="BO212" s="26">
        <v>19172.994299999998</v>
      </c>
      <c r="BP212" s="26">
        <v>368571.31900000002</v>
      </c>
      <c r="BQ212" s="26">
        <v>6176.2929400000003</v>
      </c>
      <c r="BR212" s="26">
        <v>47.190559600000029</v>
      </c>
      <c r="BS212" s="26">
        <v>6.89995914</v>
      </c>
      <c r="BT212" s="26">
        <v>0</v>
      </c>
      <c r="BU212" s="26">
        <v>1</v>
      </c>
      <c r="BV212" s="26">
        <v>0</v>
      </c>
      <c r="BW212" s="26">
        <v>-69522.303400000004</v>
      </c>
      <c r="BX212" s="26">
        <v>-3616.53404</v>
      </c>
      <c r="BY212" s="26">
        <v>-1332.95073</v>
      </c>
      <c r="BZ212" s="26">
        <v>-38.8658523</v>
      </c>
      <c r="CA212" s="26">
        <v>-2.02179259</v>
      </c>
      <c r="CB212" s="26">
        <v>5.1738138599999997E-2</v>
      </c>
      <c r="CC212" s="26">
        <v>0.99458612199999996</v>
      </c>
      <c r="CD212" s="26">
        <v>19.2234616</v>
      </c>
      <c r="CE212" s="26">
        <v>0</v>
      </c>
      <c r="CF212" s="26">
        <v>0</v>
      </c>
      <c r="CG212" s="26">
        <v>0</v>
      </c>
      <c r="CH212" s="26">
        <v>0</v>
      </c>
      <c r="CI212" s="26">
        <v>0</v>
      </c>
      <c r="CJ212" s="26">
        <v>0</v>
      </c>
      <c r="CK212" s="26">
        <v>0</v>
      </c>
      <c r="CL212" s="26">
        <v>0</v>
      </c>
      <c r="CM212" s="26">
        <v>0</v>
      </c>
      <c r="CN212" s="26">
        <v>0</v>
      </c>
      <c r="CO212" s="26">
        <v>0</v>
      </c>
      <c r="CP212" s="26">
        <v>0</v>
      </c>
      <c r="CQ212" s="26">
        <v>0</v>
      </c>
      <c r="CR212" s="26">
        <v>0</v>
      </c>
      <c r="CS212" s="26">
        <v>0</v>
      </c>
      <c r="CT212" s="26">
        <v>0</v>
      </c>
      <c r="CU212" s="26">
        <v>0</v>
      </c>
      <c r="CV212" s="26">
        <v>0</v>
      </c>
      <c r="CW212" s="26">
        <v>0</v>
      </c>
      <c r="CX212" s="26">
        <v>0</v>
      </c>
      <c r="CY212" s="26">
        <v>0</v>
      </c>
      <c r="CZ212" s="26">
        <v>0</v>
      </c>
      <c r="DA212" s="26">
        <v>0</v>
      </c>
      <c r="DB212" s="26">
        <v>0</v>
      </c>
      <c r="DC212" s="26">
        <v>0</v>
      </c>
      <c r="DD212" s="26">
        <v>0</v>
      </c>
      <c r="DE212" s="26">
        <v>0</v>
      </c>
      <c r="DF212" s="26">
        <v>0</v>
      </c>
      <c r="DG212" s="26">
        <v>0</v>
      </c>
      <c r="DH212" s="26">
        <v>0</v>
      </c>
      <c r="DI212" s="26">
        <v>0</v>
      </c>
      <c r="DJ212" s="26">
        <v>0</v>
      </c>
      <c r="DK212" s="26">
        <v>0</v>
      </c>
      <c r="DL212" s="26">
        <v>0</v>
      </c>
      <c r="DM212" s="26">
        <v>0</v>
      </c>
      <c r="DN212" s="26">
        <v>0</v>
      </c>
      <c r="DO212" s="26">
        <v>0</v>
      </c>
      <c r="DP212" s="26">
        <v>0</v>
      </c>
      <c r="DQ212" s="26">
        <v>0</v>
      </c>
      <c r="DR212" s="26">
        <v>0</v>
      </c>
      <c r="DS212" s="26">
        <v>0</v>
      </c>
      <c r="DT212" s="26">
        <v>0</v>
      </c>
      <c r="DU212" s="26">
        <v>0</v>
      </c>
      <c r="DV212" s="26">
        <v>0</v>
      </c>
      <c r="DW212" s="26">
        <v>0</v>
      </c>
      <c r="DX212" s="26">
        <v>1254.64166</v>
      </c>
      <c r="DY212" s="26">
        <v>30.979670600000002</v>
      </c>
      <c r="DZ212" s="26">
        <v>12.9984632</v>
      </c>
      <c r="EA212" s="26">
        <v>423.09997600000003</v>
      </c>
      <c r="EB212" s="26">
        <v>51.560570599999998</v>
      </c>
      <c r="EC212" s="26">
        <v>12475.191699999999</v>
      </c>
      <c r="ED212" s="26">
        <v>0</v>
      </c>
      <c r="EE212" s="26">
        <v>2866.1133199999999</v>
      </c>
      <c r="EF212" s="26">
        <v>4107.8476600000004</v>
      </c>
      <c r="EG212" s="26">
        <v>520.80320400000005</v>
      </c>
      <c r="EH212" s="26">
        <v>57.867106200000009</v>
      </c>
      <c r="EI212" s="26">
        <v>835.98422900000003</v>
      </c>
      <c r="EJ212" s="26">
        <v>107.802228</v>
      </c>
      <c r="EK212" s="26">
        <v>0</v>
      </c>
      <c r="EL212" s="26">
        <v>473.096316</v>
      </c>
      <c r="EM212" s="26">
        <v>0</v>
      </c>
      <c r="EN212" s="26">
        <v>0</v>
      </c>
      <c r="EO212" s="26">
        <v>0</v>
      </c>
      <c r="EP212" s="26">
        <v>358.05578400000002</v>
      </c>
      <c r="EQ212" s="26">
        <v>23217.986099999998</v>
      </c>
      <c r="ER212" s="26">
        <v>279.315539</v>
      </c>
      <c r="ES212" s="26">
        <v>47.190559600000029</v>
      </c>
      <c r="ET212" s="26">
        <v>6.89995914</v>
      </c>
      <c r="EU212" s="26">
        <v>0</v>
      </c>
      <c r="EV212" s="26">
        <v>0</v>
      </c>
      <c r="EW212" s="26">
        <v>1</v>
      </c>
      <c r="EX212" s="26">
        <v>-74684.479999999996</v>
      </c>
      <c r="EY212" s="26">
        <v>-1151.7454600000001</v>
      </c>
      <c r="EZ212" s="26">
        <v>-26.741210200000001</v>
      </c>
      <c r="FA212" s="26">
        <v>-148.27559199999999</v>
      </c>
      <c r="FB212" s="26">
        <v>-2.2866295600000002</v>
      </c>
      <c r="FC212" s="26">
        <v>2.1365070999999999E-2</v>
      </c>
      <c r="FD212" s="26">
        <v>1.38540961</v>
      </c>
      <c r="FE212" s="26">
        <v>64.844605700000002</v>
      </c>
      <c r="FF212" s="26">
        <v>0</v>
      </c>
      <c r="FG212" s="26">
        <v>0.146490551</v>
      </c>
      <c r="FH212" s="26">
        <v>-1590048133.9000001</v>
      </c>
      <c r="FI212" s="26">
        <v>0.22569806986114013</v>
      </c>
      <c r="FJ212" s="26">
        <v>0</v>
      </c>
      <c r="FK212" s="26">
        <v>0</v>
      </c>
      <c r="FL212" s="26">
        <v>0</v>
      </c>
      <c r="FM212" s="26">
        <v>0</v>
      </c>
      <c r="FN212" s="26">
        <v>0</v>
      </c>
      <c r="FO212" s="26">
        <v>0</v>
      </c>
      <c r="FP212" s="26">
        <v>0</v>
      </c>
      <c r="FQ212" s="26">
        <v>0</v>
      </c>
      <c r="FR212" s="26">
        <v>0</v>
      </c>
      <c r="FS212" s="26">
        <v>0</v>
      </c>
      <c r="FT212" s="26">
        <v>0</v>
      </c>
      <c r="FU212" s="26">
        <v>0</v>
      </c>
      <c r="FV212" s="26">
        <v>0</v>
      </c>
      <c r="FW212" s="26">
        <v>0</v>
      </c>
      <c r="FX212" s="26">
        <v>0</v>
      </c>
      <c r="FY212" s="26">
        <v>0</v>
      </c>
      <c r="FZ212" s="26">
        <v>0</v>
      </c>
      <c r="GA212" s="26">
        <v>0</v>
      </c>
      <c r="GB212" s="26">
        <v>0</v>
      </c>
      <c r="GC212" s="26">
        <v>0</v>
      </c>
      <c r="GD212" s="26">
        <v>0</v>
      </c>
      <c r="GE212" s="26">
        <v>0</v>
      </c>
      <c r="GF212" s="26">
        <v>0</v>
      </c>
      <c r="GG212" s="26">
        <v>0</v>
      </c>
      <c r="GH212" s="26">
        <v>0</v>
      </c>
      <c r="GI212" s="26">
        <v>0</v>
      </c>
      <c r="GJ212" s="26">
        <v>0</v>
      </c>
      <c r="GK212" s="26">
        <v>0</v>
      </c>
      <c r="GL212" s="26">
        <v>0</v>
      </c>
      <c r="GM212" s="26">
        <v>0</v>
      </c>
      <c r="GN212" s="26">
        <v>0</v>
      </c>
      <c r="GO212" s="26">
        <v>0</v>
      </c>
      <c r="GP212" s="26">
        <v>0</v>
      </c>
      <c r="GQ212" s="26">
        <v>0</v>
      </c>
      <c r="GR212" s="26">
        <v>0</v>
      </c>
      <c r="GS212" s="26">
        <v>0</v>
      </c>
      <c r="GT212" s="26">
        <v>0</v>
      </c>
      <c r="GU212" s="26">
        <v>0</v>
      </c>
      <c r="GV212" s="26">
        <v>0</v>
      </c>
      <c r="GW212" s="26">
        <v>0</v>
      </c>
      <c r="GX212" s="26">
        <v>0</v>
      </c>
      <c r="GY212" s="26">
        <v>0</v>
      </c>
      <c r="GZ212" s="26">
        <v>0</v>
      </c>
      <c r="HA212" s="26">
        <v>0</v>
      </c>
      <c r="HB212" s="26">
        <v>0</v>
      </c>
      <c r="HC212" s="26">
        <v>0</v>
      </c>
      <c r="HD212" s="26">
        <v>0</v>
      </c>
      <c r="HE212" s="26">
        <v>0</v>
      </c>
      <c r="HF212" s="26">
        <v>0</v>
      </c>
      <c r="HG212" s="26">
        <v>0</v>
      </c>
      <c r="HH212" s="26">
        <v>0</v>
      </c>
      <c r="HI212" s="26">
        <v>0</v>
      </c>
      <c r="HJ212" s="26">
        <v>0</v>
      </c>
      <c r="HK212" s="26">
        <v>0</v>
      </c>
      <c r="HL212" s="26">
        <v>0</v>
      </c>
      <c r="HM212" s="26">
        <v>0</v>
      </c>
      <c r="HN212" s="26">
        <v>0</v>
      </c>
      <c r="HO212" s="26">
        <v>0</v>
      </c>
      <c r="HP212" s="26">
        <v>0</v>
      </c>
      <c r="HQ212" s="26">
        <v>0</v>
      </c>
      <c r="HR212" s="26">
        <v>0</v>
      </c>
      <c r="HS212" s="26">
        <v>0</v>
      </c>
      <c r="HT212" s="26">
        <v>0.25715947622394247</v>
      </c>
    </row>
    <row r="213" spans="2:228" x14ac:dyDescent="0.2">
      <c r="B213" s="27" t="s">
        <v>2418</v>
      </c>
      <c r="C213" s="26">
        <v>391789.30499999999</v>
      </c>
      <c r="D213" s="26">
        <v>-1359.75773</v>
      </c>
      <c r="E213" s="26">
        <v>342053.04</v>
      </c>
      <c r="F213" s="26">
        <v>184.28537299999999</v>
      </c>
      <c r="G213" s="26">
        <v>521.24161100000003</v>
      </c>
      <c r="H213" s="26">
        <v>1144.21874</v>
      </c>
      <c r="I213" s="26">
        <v>480.09177899999997</v>
      </c>
      <c r="J213" s="26">
        <v>1061.9188799999999</v>
      </c>
      <c r="K213" s="26">
        <v>220.06013799999999</v>
      </c>
      <c r="L213" s="26">
        <v>331.08532300000002</v>
      </c>
      <c r="M213" s="26">
        <v>0</v>
      </c>
      <c r="N213" s="26">
        <v>1133.1493599999999</v>
      </c>
      <c r="O213" s="26">
        <v>28.596618200000002</v>
      </c>
      <c r="P213" s="26">
        <v>11.998581100000001</v>
      </c>
      <c r="Q213" s="26">
        <v>390.551042</v>
      </c>
      <c r="R213" s="26">
        <v>47.594033699999997</v>
      </c>
      <c r="S213" s="26">
        <v>12208.333000000001</v>
      </c>
      <c r="T213" s="26">
        <v>656.497613</v>
      </c>
      <c r="U213" s="26">
        <v>368.73388499999999</v>
      </c>
      <c r="V213" s="26">
        <v>164.10960800000001</v>
      </c>
      <c r="W213" s="26">
        <v>0</v>
      </c>
      <c r="X213" s="26">
        <v>1694.05342</v>
      </c>
      <c r="Y213" s="26">
        <v>754.94821899999999</v>
      </c>
      <c r="Z213" s="26">
        <v>174.36618200000001</v>
      </c>
      <c r="AA213" s="26">
        <v>457.71619900000007</v>
      </c>
      <c r="AB213" s="26">
        <v>7.4305893199999996E-4</v>
      </c>
      <c r="AC213" s="26">
        <v>0</v>
      </c>
      <c r="AD213" s="26">
        <v>2481.5580500000001</v>
      </c>
      <c r="AE213" s="26">
        <v>1860.9805500000002</v>
      </c>
      <c r="AF213" s="26">
        <v>128.83242999999999</v>
      </c>
      <c r="AG213" s="26">
        <v>0</v>
      </c>
      <c r="AH213" s="26">
        <v>0</v>
      </c>
      <c r="AI213" s="26">
        <v>0</v>
      </c>
      <c r="AJ213" s="26">
        <v>0</v>
      </c>
      <c r="AK213" s="26">
        <v>0</v>
      </c>
      <c r="AL213" s="26">
        <v>0</v>
      </c>
      <c r="AM213" s="26">
        <v>13.357563900000001</v>
      </c>
      <c r="AN213" s="26">
        <v>0</v>
      </c>
      <c r="AO213" s="26">
        <v>0</v>
      </c>
      <c r="AP213" s="26">
        <v>0</v>
      </c>
      <c r="AQ213" s="26">
        <v>0</v>
      </c>
      <c r="AR213" s="26">
        <v>0</v>
      </c>
      <c r="AS213" s="26">
        <v>3.8394842400000001E-17</v>
      </c>
      <c r="AT213" s="26">
        <v>0</v>
      </c>
      <c r="AU213" s="26">
        <v>0</v>
      </c>
      <c r="AV213" s="26">
        <v>7.6122468200000004E-10</v>
      </c>
      <c r="AW213" s="26">
        <v>0</v>
      </c>
      <c r="AX213" s="26">
        <v>0</v>
      </c>
      <c r="AY213" s="26">
        <v>0</v>
      </c>
      <c r="AZ213" s="26">
        <v>0</v>
      </c>
      <c r="BA213" s="26">
        <v>0</v>
      </c>
      <c r="BB213" s="26">
        <v>0</v>
      </c>
      <c r="BC213" s="26">
        <v>0</v>
      </c>
      <c r="BD213" s="26">
        <v>0</v>
      </c>
      <c r="BE213" s="26">
        <v>0</v>
      </c>
      <c r="BF213" s="26">
        <v>0</v>
      </c>
      <c r="BG213" s="26">
        <v>0</v>
      </c>
      <c r="BH213" s="26">
        <v>0</v>
      </c>
      <c r="BI213" s="26">
        <v>0</v>
      </c>
      <c r="BJ213" s="26">
        <v>0</v>
      </c>
      <c r="BK213" s="26">
        <v>0</v>
      </c>
      <c r="BL213" s="26">
        <v>0</v>
      </c>
      <c r="BM213" s="26">
        <v>0</v>
      </c>
      <c r="BN213" s="26">
        <v>0</v>
      </c>
      <c r="BO213" s="26">
        <v>19172.994299999998</v>
      </c>
      <c r="BP213" s="26">
        <v>368571.31900000002</v>
      </c>
      <c r="BQ213" s="26">
        <v>6175.0876099999996</v>
      </c>
      <c r="BR213" s="26">
        <v>47</v>
      </c>
      <c r="BS213" s="26">
        <v>6.2592494700000012</v>
      </c>
      <c r="BT213" s="26">
        <v>0</v>
      </c>
      <c r="BU213" s="26">
        <v>1</v>
      </c>
      <c r="BV213" s="26">
        <v>0</v>
      </c>
      <c r="BW213" s="26">
        <v>-69525.667700000005</v>
      </c>
      <c r="BX213" s="26">
        <v>-3616.7090499999999</v>
      </c>
      <c r="BY213" s="26">
        <v>-1333.0152399999999</v>
      </c>
      <c r="BZ213" s="26">
        <v>-38.876353299999998</v>
      </c>
      <c r="CA213" s="26">
        <v>-2.0223388500000001</v>
      </c>
      <c r="CB213" s="26">
        <v>5.1748237500000002E-2</v>
      </c>
      <c r="CC213" s="26">
        <v>0.99478025800000003</v>
      </c>
      <c r="CD213" s="26">
        <v>19.2234616</v>
      </c>
      <c r="CE213" s="26">
        <v>0</v>
      </c>
      <c r="CF213" s="26">
        <v>0</v>
      </c>
      <c r="CG213" s="26">
        <v>0</v>
      </c>
      <c r="CH213" s="26">
        <v>0</v>
      </c>
      <c r="CI213" s="26">
        <v>0</v>
      </c>
      <c r="CJ213" s="26">
        <v>0</v>
      </c>
      <c r="CK213" s="26">
        <v>0</v>
      </c>
      <c r="CL213" s="26">
        <v>0</v>
      </c>
      <c r="CM213" s="26">
        <v>0</v>
      </c>
      <c r="CN213" s="26">
        <v>0</v>
      </c>
      <c r="CO213" s="26">
        <v>0</v>
      </c>
      <c r="CP213" s="26">
        <v>0</v>
      </c>
      <c r="CQ213" s="26">
        <v>0</v>
      </c>
      <c r="CR213" s="26">
        <v>0</v>
      </c>
      <c r="CS213" s="26">
        <v>0</v>
      </c>
      <c r="CT213" s="26">
        <v>0</v>
      </c>
      <c r="CU213" s="26">
        <v>0</v>
      </c>
      <c r="CV213" s="26">
        <v>0</v>
      </c>
      <c r="CW213" s="26">
        <v>0</v>
      </c>
      <c r="CX213" s="26">
        <v>0</v>
      </c>
      <c r="CY213" s="26">
        <v>0</v>
      </c>
      <c r="CZ213" s="26">
        <v>0</v>
      </c>
      <c r="DA213" s="26">
        <v>0</v>
      </c>
      <c r="DB213" s="26">
        <v>0</v>
      </c>
      <c r="DC213" s="26">
        <v>0</v>
      </c>
      <c r="DD213" s="26">
        <v>0</v>
      </c>
      <c r="DE213" s="26">
        <v>0</v>
      </c>
      <c r="DF213" s="26">
        <v>0</v>
      </c>
      <c r="DG213" s="26">
        <v>0</v>
      </c>
      <c r="DH213" s="26">
        <v>0</v>
      </c>
      <c r="DI213" s="26">
        <v>0</v>
      </c>
      <c r="DJ213" s="26">
        <v>0</v>
      </c>
      <c r="DK213" s="26">
        <v>0</v>
      </c>
      <c r="DL213" s="26">
        <v>0</v>
      </c>
      <c r="DM213" s="26">
        <v>0</v>
      </c>
      <c r="DN213" s="26">
        <v>0</v>
      </c>
      <c r="DO213" s="26">
        <v>0</v>
      </c>
      <c r="DP213" s="26">
        <v>0</v>
      </c>
      <c r="DQ213" s="26">
        <v>0</v>
      </c>
      <c r="DR213" s="26">
        <v>0</v>
      </c>
      <c r="DS213" s="26">
        <v>0</v>
      </c>
      <c r="DT213" s="26">
        <v>0</v>
      </c>
      <c r="DU213" s="26">
        <v>0</v>
      </c>
      <c r="DV213" s="26">
        <v>0</v>
      </c>
      <c r="DW213" s="26">
        <v>0</v>
      </c>
      <c r="DX213" s="26">
        <v>1254.64166</v>
      </c>
      <c r="DY213" s="26">
        <v>30.979670600000002</v>
      </c>
      <c r="DZ213" s="26">
        <v>12.9984632</v>
      </c>
      <c r="EA213" s="26">
        <v>423.09997600000003</v>
      </c>
      <c r="EB213" s="26">
        <v>51.560570599999998</v>
      </c>
      <c r="EC213" s="26">
        <v>12475.191699999999</v>
      </c>
      <c r="ED213" s="26">
        <v>0</v>
      </c>
      <c r="EE213" s="26">
        <v>2866.1133199999999</v>
      </c>
      <c r="EF213" s="26">
        <v>4107.8476600000004</v>
      </c>
      <c r="EG213" s="26">
        <v>520.80320400000005</v>
      </c>
      <c r="EH213" s="26">
        <v>57.867106200000009</v>
      </c>
      <c r="EI213" s="26">
        <v>835.98422900000003</v>
      </c>
      <c r="EJ213" s="26">
        <v>107.802228</v>
      </c>
      <c r="EK213" s="26">
        <v>0</v>
      </c>
      <c r="EL213" s="26">
        <v>473.096316</v>
      </c>
      <c r="EM213" s="26">
        <v>0</v>
      </c>
      <c r="EN213" s="26">
        <v>0</v>
      </c>
      <c r="EO213" s="26">
        <v>0</v>
      </c>
      <c r="EP213" s="26">
        <v>358.05578400000002</v>
      </c>
      <c r="EQ213" s="26">
        <v>23217.986099999998</v>
      </c>
      <c r="ER213" s="26">
        <v>279.315539</v>
      </c>
      <c r="ES213" s="26">
        <v>47</v>
      </c>
      <c r="ET213" s="26">
        <v>6.2592494700000012</v>
      </c>
      <c r="EU213" s="26">
        <v>0</v>
      </c>
      <c r="EV213" s="26">
        <v>0</v>
      </c>
      <c r="EW213" s="26">
        <v>1</v>
      </c>
      <c r="EX213" s="26">
        <v>-74688.070099999997</v>
      </c>
      <c r="EY213" s="26">
        <v>-1151.8008199999999</v>
      </c>
      <c r="EZ213" s="26">
        <v>-26.742495699999999</v>
      </c>
      <c r="FA213" s="26">
        <v>-148.28680299999999</v>
      </c>
      <c r="FB213" s="26">
        <v>-2.2868024500000002</v>
      </c>
      <c r="FC213" s="26">
        <v>2.1365070999999999E-2</v>
      </c>
      <c r="FD213" s="26">
        <v>1.38540961</v>
      </c>
      <c r="FE213" s="26">
        <v>64.844605700000002</v>
      </c>
      <c r="FF213" s="26">
        <v>0</v>
      </c>
      <c r="FG213" s="26">
        <v>0.146490551</v>
      </c>
      <c r="FH213" s="26">
        <v>-1590048133.9000001</v>
      </c>
      <c r="FI213" s="26">
        <v>0.22569806986114013</v>
      </c>
      <c r="FJ213" s="26">
        <v>0</v>
      </c>
      <c r="FK213" s="26">
        <v>0</v>
      </c>
      <c r="FL213" s="26">
        <v>0</v>
      </c>
      <c r="FM213" s="26">
        <v>0</v>
      </c>
      <c r="FN213" s="26">
        <v>0</v>
      </c>
      <c r="FO213" s="26">
        <v>0</v>
      </c>
      <c r="FP213" s="26">
        <v>0</v>
      </c>
      <c r="FQ213" s="26">
        <v>0</v>
      </c>
      <c r="FR213" s="26">
        <v>0</v>
      </c>
      <c r="FS213" s="26">
        <v>0</v>
      </c>
      <c r="FT213" s="26">
        <v>0</v>
      </c>
      <c r="FU213" s="26">
        <v>0</v>
      </c>
      <c r="FV213" s="26">
        <v>0</v>
      </c>
      <c r="FW213" s="26">
        <v>0</v>
      </c>
      <c r="FX213" s="26">
        <v>0</v>
      </c>
      <c r="FY213" s="26">
        <v>0</v>
      </c>
      <c r="FZ213" s="26">
        <v>0</v>
      </c>
      <c r="GA213" s="26">
        <v>0</v>
      </c>
      <c r="GB213" s="26">
        <v>0</v>
      </c>
      <c r="GC213" s="26">
        <v>0</v>
      </c>
      <c r="GD213" s="26">
        <v>0</v>
      </c>
      <c r="GE213" s="26">
        <v>0</v>
      </c>
      <c r="GF213" s="26">
        <v>0</v>
      </c>
      <c r="GG213" s="26">
        <v>0</v>
      </c>
      <c r="GH213" s="26">
        <v>0</v>
      </c>
      <c r="GI213" s="26">
        <v>0</v>
      </c>
      <c r="GJ213" s="26">
        <v>0</v>
      </c>
      <c r="GK213" s="26">
        <v>0</v>
      </c>
      <c r="GL213" s="26">
        <v>0</v>
      </c>
      <c r="GM213" s="26">
        <v>0</v>
      </c>
      <c r="GN213" s="26">
        <v>0</v>
      </c>
      <c r="GO213" s="26">
        <v>0</v>
      </c>
      <c r="GP213" s="26">
        <v>0</v>
      </c>
      <c r="GQ213" s="26">
        <v>0</v>
      </c>
      <c r="GR213" s="26">
        <v>0</v>
      </c>
      <c r="GS213" s="26">
        <v>0</v>
      </c>
      <c r="GT213" s="26">
        <v>0</v>
      </c>
      <c r="GU213" s="26">
        <v>0</v>
      </c>
      <c r="GV213" s="26">
        <v>0</v>
      </c>
      <c r="GW213" s="26">
        <v>0</v>
      </c>
      <c r="GX213" s="26">
        <v>0</v>
      </c>
      <c r="GY213" s="26">
        <v>0</v>
      </c>
      <c r="GZ213" s="26">
        <v>0</v>
      </c>
      <c r="HA213" s="26">
        <v>0</v>
      </c>
      <c r="HB213" s="26">
        <v>0</v>
      </c>
      <c r="HC213" s="26">
        <v>0</v>
      </c>
      <c r="HD213" s="26">
        <v>0</v>
      </c>
      <c r="HE213" s="26">
        <v>0</v>
      </c>
      <c r="HF213" s="26">
        <v>0</v>
      </c>
      <c r="HG213" s="26">
        <v>0</v>
      </c>
      <c r="HH213" s="26">
        <v>0</v>
      </c>
      <c r="HI213" s="26">
        <v>0</v>
      </c>
      <c r="HJ213" s="26">
        <v>0</v>
      </c>
      <c r="HK213" s="26">
        <v>0</v>
      </c>
      <c r="HL213" s="26">
        <v>0</v>
      </c>
      <c r="HM213" s="26">
        <v>0</v>
      </c>
      <c r="HN213" s="26">
        <v>0</v>
      </c>
      <c r="HO213" s="26">
        <v>0</v>
      </c>
      <c r="HP213" s="26">
        <v>0</v>
      </c>
      <c r="HQ213" s="26">
        <v>0</v>
      </c>
      <c r="HR213" s="26">
        <v>0</v>
      </c>
      <c r="HS213" s="26">
        <v>0</v>
      </c>
      <c r="HT213" s="26">
        <v>0.25715947622394247</v>
      </c>
    </row>
    <row r="214" spans="2:228" x14ac:dyDescent="0.2">
      <c r="B214" s="27" t="s">
        <v>2419</v>
      </c>
      <c r="C214" s="26">
        <v>355313.18800000002</v>
      </c>
      <c r="D214" s="26">
        <v>-1283.789</v>
      </c>
      <c r="E214" s="26">
        <v>329317.86599999998</v>
      </c>
      <c r="F214" s="26">
        <v>177.424138</v>
      </c>
      <c r="G214" s="26">
        <v>501.83496400000001</v>
      </c>
      <c r="H214" s="26">
        <v>1101.6176700000001</v>
      </c>
      <c r="I214" s="26">
        <v>462.21720500000004</v>
      </c>
      <c r="J214" s="26">
        <v>1022.3819700000001</v>
      </c>
      <c r="K214" s="26">
        <v>211.866952</v>
      </c>
      <c r="L214" s="26">
        <v>318.75849399999998</v>
      </c>
      <c r="M214" s="26">
        <v>0</v>
      </c>
      <c r="N214" s="26">
        <v>1090.9604200000001</v>
      </c>
      <c r="O214" s="26">
        <v>27.531921000000001</v>
      </c>
      <c r="P214" s="26">
        <v>11.551855</v>
      </c>
      <c r="Q214" s="26">
        <v>376.01020999999997</v>
      </c>
      <c r="R214" s="26">
        <v>45.822032800000002</v>
      </c>
      <c r="S214" s="26">
        <v>11753.797500000001</v>
      </c>
      <c r="T214" s="26">
        <v>632.05517199999997</v>
      </c>
      <c r="U214" s="26">
        <v>355.00534099999999</v>
      </c>
      <c r="V214" s="26">
        <v>157.999549</v>
      </c>
      <c r="W214" s="26">
        <v>0</v>
      </c>
      <c r="X214" s="26">
        <v>1630.9811400000001</v>
      </c>
      <c r="Y214" s="26">
        <v>726.84030600000006</v>
      </c>
      <c r="Z214" s="26">
        <v>167.87425400000001</v>
      </c>
      <c r="AA214" s="26">
        <v>440.67470300000002</v>
      </c>
      <c r="AB214" s="26">
        <v>7.1539367600000005E-4</v>
      </c>
      <c r="AC214" s="26">
        <v>0</v>
      </c>
      <c r="AD214" s="26">
        <v>2389.1657300000002</v>
      </c>
      <c r="AE214" s="26">
        <v>1791.6933100000001</v>
      </c>
      <c r="AF214" s="26">
        <v>124.03579599999999</v>
      </c>
      <c r="AG214" s="26">
        <v>0</v>
      </c>
      <c r="AH214" s="26">
        <v>0</v>
      </c>
      <c r="AI214" s="26">
        <v>0</v>
      </c>
      <c r="AJ214" s="26">
        <v>0</v>
      </c>
      <c r="AK214" s="26">
        <v>0</v>
      </c>
      <c r="AL214" s="26">
        <v>0</v>
      </c>
      <c r="AM214" s="26">
        <v>12.8602407</v>
      </c>
      <c r="AN214" s="26">
        <v>0</v>
      </c>
      <c r="AO214" s="26">
        <v>0</v>
      </c>
      <c r="AP214" s="26">
        <v>0</v>
      </c>
      <c r="AQ214" s="26">
        <v>0</v>
      </c>
      <c r="AR214" s="26">
        <v>0</v>
      </c>
      <c r="AS214" s="26">
        <v>3.6965341900000001E-17</v>
      </c>
      <c r="AT214" s="26">
        <v>0</v>
      </c>
      <c r="AU214" s="26">
        <v>0</v>
      </c>
      <c r="AV214" s="26">
        <v>7.3288308700000004E-10</v>
      </c>
      <c r="AW214" s="26">
        <v>0</v>
      </c>
      <c r="AX214" s="26">
        <v>0</v>
      </c>
      <c r="AY214" s="26">
        <v>0</v>
      </c>
      <c r="AZ214" s="26">
        <v>0</v>
      </c>
      <c r="BA214" s="26">
        <v>0</v>
      </c>
      <c r="BB214" s="26">
        <v>0</v>
      </c>
      <c r="BC214" s="26">
        <v>0</v>
      </c>
      <c r="BD214" s="26">
        <v>0</v>
      </c>
      <c r="BE214" s="26">
        <v>0</v>
      </c>
      <c r="BF214" s="26">
        <v>0</v>
      </c>
      <c r="BG214" s="26">
        <v>0</v>
      </c>
      <c r="BH214" s="26">
        <v>0</v>
      </c>
      <c r="BI214" s="26">
        <v>0</v>
      </c>
      <c r="BJ214" s="26">
        <v>0</v>
      </c>
      <c r="BK214" s="26">
        <v>0</v>
      </c>
      <c r="BL214" s="26">
        <v>0</v>
      </c>
      <c r="BM214" s="26">
        <v>0</v>
      </c>
      <c r="BN214" s="26">
        <v>0</v>
      </c>
      <c r="BO214" s="26">
        <v>18459.153399999999</v>
      </c>
      <c r="BP214" s="26">
        <v>354848.82799999998</v>
      </c>
      <c r="BQ214" s="26">
        <v>5947.6234199999999</v>
      </c>
      <c r="BR214" s="26">
        <v>47.401204199999995</v>
      </c>
      <c r="BS214" s="26">
        <v>3.94997957</v>
      </c>
      <c r="BT214" s="26">
        <v>0</v>
      </c>
      <c r="BU214" s="26">
        <v>1</v>
      </c>
      <c r="BV214" s="26">
        <v>0</v>
      </c>
      <c r="BW214" s="26">
        <v>-69518.582999999999</v>
      </c>
      <c r="BX214" s="26">
        <v>-3616.34051</v>
      </c>
      <c r="BY214" s="26">
        <v>-1283.2542000000001</v>
      </c>
      <c r="BZ214" s="26">
        <v>-38.854247200000003</v>
      </c>
      <c r="CA214" s="26">
        <v>-2.0211888999999998</v>
      </c>
      <c r="CB214" s="26">
        <v>5.1726972599999997E-2</v>
      </c>
      <c r="CC214" s="26">
        <v>0.99437147299999995</v>
      </c>
      <c r="CD214" s="26">
        <v>19.2234616</v>
      </c>
      <c r="CE214" s="26">
        <v>0</v>
      </c>
      <c r="CF214" s="26">
        <v>0</v>
      </c>
      <c r="CG214" s="26">
        <v>0</v>
      </c>
      <c r="CH214" s="26">
        <v>0</v>
      </c>
      <c r="CI214" s="26">
        <v>0</v>
      </c>
      <c r="CJ214" s="26">
        <v>0</v>
      </c>
      <c r="CK214" s="26">
        <v>0</v>
      </c>
      <c r="CL214" s="26">
        <v>0</v>
      </c>
      <c r="CM214" s="26">
        <v>0</v>
      </c>
      <c r="CN214" s="26">
        <v>0</v>
      </c>
      <c r="CO214" s="26">
        <v>0</v>
      </c>
      <c r="CP214" s="26">
        <v>0</v>
      </c>
      <c r="CQ214" s="26">
        <v>0</v>
      </c>
      <c r="CR214" s="26">
        <v>0</v>
      </c>
      <c r="CS214" s="26">
        <v>0</v>
      </c>
      <c r="CT214" s="26">
        <v>0</v>
      </c>
      <c r="CU214" s="26">
        <v>0</v>
      </c>
      <c r="CV214" s="26">
        <v>0</v>
      </c>
      <c r="CW214" s="26">
        <v>0</v>
      </c>
      <c r="CX214" s="26">
        <v>0</v>
      </c>
      <c r="CY214" s="26">
        <v>0</v>
      </c>
      <c r="CZ214" s="26">
        <v>0</v>
      </c>
      <c r="DA214" s="26">
        <v>0</v>
      </c>
      <c r="DB214" s="26">
        <v>0</v>
      </c>
      <c r="DC214" s="26">
        <v>0</v>
      </c>
      <c r="DD214" s="26">
        <v>0</v>
      </c>
      <c r="DE214" s="26">
        <v>0</v>
      </c>
      <c r="DF214" s="26">
        <v>0</v>
      </c>
      <c r="DG214" s="26">
        <v>0</v>
      </c>
      <c r="DH214" s="26">
        <v>0</v>
      </c>
      <c r="DI214" s="26">
        <v>0</v>
      </c>
      <c r="DJ214" s="26">
        <v>0</v>
      </c>
      <c r="DK214" s="26">
        <v>0</v>
      </c>
      <c r="DL214" s="26">
        <v>0</v>
      </c>
      <c r="DM214" s="26">
        <v>0</v>
      </c>
      <c r="DN214" s="26">
        <v>0</v>
      </c>
      <c r="DO214" s="26">
        <v>0</v>
      </c>
      <c r="DP214" s="26">
        <v>0</v>
      </c>
      <c r="DQ214" s="26">
        <v>0</v>
      </c>
      <c r="DR214" s="26">
        <v>0</v>
      </c>
      <c r="DS214" s="26">
        <v>0</v>
      </c>
      <c r="DT214" s="26">
        <v>0</v>
      </c>
      <c r="DU214" s="26">
        <v>0</v>
      </c>
      <c r="DV214" s="26">
        <v>0</v>
      </c>
      <c r="DW214" s="26">
        <v>0</v>
      </c>
      <c r="DX214" s="26">
        <v>25.092833200000001</v>
      </c>
      <c r="DY214" s="26">
        <v>0.61959341099999998</v>
      </c>
      <c r="DZ214" s="26">
        <v>0.25996926399999998</v>
      </c>
      <c r="EA214" s="26">
        <v>8.4619995299999999</v>
      </c>
      <c r="EB214" s="26">
        <v>1.0312114100000001</v>
      </c>
      <c r="EC214" s="26">
        <v>249.50383400000001</v>
      </c>
      <c r="ED214" s="26">
        <v>0</v>
      </c>
      <c r="EE214" s="26">
        <v>57.32226639999999</v>
      </c>
      <c r="EF214" s="26">
        <v>82.156953099999996</v>
      </c>
      <c r="EG214" s="26">
        <v>10.4160641</v>
      </c>
      <c r="EH214" s="26">
        <v>1.15734212</v>
      </c>
      <c r="EI214" s="26">
        <v>16.719684600000001</v>
      </c>
      <c r="EJ214" s="26">
        <v>2.1560445600000002</v>
      </c>
      <c r="EK214" s="26">
        <v>0</v>
      </c>
      <c r="EL214" s="26">
        <v>9.4619263199999999</v>
      </c>
      <c r="EM214" s="26">
        <v>0</v>
      </c>
      <c r="EN214" s="26">
        <v>0</v>
      </c>
      <c r="EO214" s="26">
        <v>0</v>
      </c>
      <c r="EP214" s="26">
        <v>7.16111567</v>
      </c>
      <c r="EQ214" s="26">
        <v>464.35972200000003</v>
      </c>
      <c r="ER214" s="26">
        <v>5.5863107799999998</v>
      </c>
      <c r="ES214" s="26">
        <v>47.401204199999995</v>
      </c>
      <c r="ET214" s="26">
        <v>3.94997957</v>
      </c>
      <c r="EU214" s="26">
        <v>0</v>
      </c>
      <c r="EV214" s="26">
        <v>0</v>
      </c>
      <c r="EW214" s="26">
        <v>1</v>
      </c>
      <c r="EX214" s="26">
        <v>-74680.510200000004</v>
      </c>
      <c r="EY214" s="26">
        <v>-1151.68424</v>
      </c>
      <c r="EZ214" s="26">
        <v>-0.53479577599999994</v>
      </c>
      <c r="FA214" s="26">
        <v>-148.263204</v>
      </c>
      <c r="FB214" s="26">
        <v>-2.2864385199999999</v>
      </c>
      <c r="FC214" s="26">
        <v>2.1365070999999999E-2</v>
      </c>
      <c r="FD214" s="26">
        <v>1.38540961</v>
      </c>
      <c r="FE214" s="26">
        <v>64.844605700000002</v>
      </c>
      <c r="FF214" s="26">
        <v>0</v>
      </c>
      <c r="FG214" s="26">
        <v>7.2898075300000004E-2</v>
      </c>
      <c r="FH214" s="26">
        <v>-1501366755.5200002</v>
      </c>
      <c r="FI214" s="26">
        <v>0.21729497479391535</v>
      </c>
      <c r="FJ214" s="26">
        <v>0</v>
      </c>
      <c r="FK214" s="26">
        <v>0</v>
      </c>
      <c r="FL214" s="26">
        <v>0</v>
      </c>
      <c r="FM214" s="26">
        <v>0</v>
      </c>
      <c r="FN214" s="26">
        <v>0</v>
      </c>
      <c r="FO214" s="26">
        <v>0</v>
      </c>
      <c r="FP214" s="26">
        <v>0</v>
      </c>
      <c r="FQ214" s="26">
        <v>0</v>
      </c>
      <c r="FR214" s="26">
        <v>0</v>
      </c>
      <c r="FS214" s="26">
        <v>0</v>
      </c>
      <c r="FT214" s="26">
        <v>0</v>
      </c>
      <c r="FU214" s="26">
        <v>0</v>
      </c>
      <c r="FV214" s="26">
        <v>0</v>
      </c>
      <c r="FW214" s="26">
        <v>0</v>
      </c>
      <c r="FX214" s="26">
        <v>0</v>
      </c>
      <c r="FY214" s="26">
        <v>0</v>
      </c>
      <c r="FZ214" s="26">
        <v>0</v>
      </c>
      <c r="GA214" s="26">
        <v>0</v>
      </c>
      <c r="GB214" s="26">
        <v>0</v>
      </c>
      <c r="GC214" s="26">
        <v>0</v>
      </c>
      <c r="GD214" s="26">
        <v>0</v>
      </c>
      <c r="GE214" s="26">
        <v>0</v>
      </c>
      <c r="GF214" s="26">
        <v>0</v>
      </c>
      <c r="GG214" s="26">
        <v>0</v>
      </c>
      <c r="GH214" s="26">
        <v>0</v>
      </c>
      <c r="GI214" s="26">
        <v>0</v>
      </c>
      <c r="GJ214" s="26">
        <v>0</v>
      </c>
      <c r="GK214" s="26">
        <v>0</v>
      </c>
      <c r="GL214" s="26">
        <v>0</v>
      </c>
      <c r="GM214" s="26">
        <v>0</v>
      </c>
      <c r="GN214" s="26">
        <v>0</v>
      </c>
      <c r="GO214" s="26">
        <v>0</v>
      </c>
      <c r="GP214" s="26">
        <v>0</v>
      </c>
      <c r="GQ214" s="26">
        <v>0</v>
      </c>
      <c r="GR214" s="26">
        <v>0</v>
      </c>
      <c r="GS214" s="26">
        <v>0</v>
      </c>
      <c r="GT214" s="26">
        <v>0</v>
      </c>
      <c r="GU214" s="26">
        <v>0</v>
      </c>
      <c r="GV214" s="26">
        <v>0</v>
      </c>
      <c r="GW214" s="26">
        <v>0</v>
      </c>
      <c r="GX214" s="26">
        <v>0</v>
      </c>
      <c r="GY214" s="26">
        <v>0</v>
      </c>
      <c r="GZ214" s="26">
        <v>0</v>
      </c>
      <c r="HA214" s="26">
        <v>0</v>
      </c>
      <c r="HB214" s="26">
        <v>0</v>
      </c>
      <c r="HC214" s="26">
        <v>0</v>
      </c>
      <c r="HD214" s="26">
        <v>0</v>
      </c>
      <c r="HE214" s="26">
        <v>0</v>
      </c>
      <c r="HF214" s="26">
        <v>0</v>
      </c>
      <c r="HG214" s="26">
        <v>0</v>
      </c>
      <c r="HH214" s="26">
        <v>0</v>
      </c>
      <c r="HI214" s="26">
        <v>0</v>
      </c>
      <c r="HJ214" s="26">
        <v>0</v>
      </c>
      <c r="HK214" s="26">
        <v>0</v>
      </c>
      <c r="HL214" s="26">
        <v>0</v>
      </c>
      <c r="HM214" s="26">
        <v>0</v>
      </c>
      <c r="HN214" s="26">
        <v>0</v>
      </c>
      <c r="HO214" s="26">
        <v>0</v>
      </c>
      <c r="HP214" s="26">
        <v>0</v>
      </c>
      <c r="HQ214" s="26">
        <v>0</v>
      </c>
      <c r="HR214" s="26">
        <v>0</v>
      </c>
      <c r="HS214" s="26">
        <v>0</v>
      </c>
      <c r="HT214" s="26">
        <v>5.1431895133677383E-3</v>
      </c>
    </row>
    <row r="215" spans="2:228" x14ac:dyDescent="0.2">
      <c r="B215" s="27" t="s">
        <v>1412</v>
      </c>
      <c r="C215" s="26">
        <v>12113.951800000001</v>
      </c>
      <c r="D215" s="26">
        <v>-0.76064300100000004</v>
      </c>
      <c r="E215" s="26">
        <v>237.25898099999998</v>
      </c>
      <c r="F215" s="26">
        <v>0</v>
      </c>
      <c r="G215" s="26">
        <v>0</v>
      </c>
      <c r="H215" s="26">
        <v>0</v>
      </c>
      <c r="I215" s="26">
        <v>0</v>
      </c>
      <c r="J215" s="26">
        <v>0</v>
      </c>
      <c r="K215" s="26">
        <v>0</v>
      </c>
      <c r="L215" s="26">
        <v>0</v>
      </c>
      <c r="M215" s="26">
        <v>0</v>
      </c>
      <c r="N215" s="26">
        <v>0</v>
      </c>
      <c r="O215" s="26">
        <v>0</v>
      </c>
      <c r="P215" s="26">
        <v>0</v>
      </c>
      <c r="Q215" s="26">
        <v>0</v>
      </c>
      <c r="R215" s="26">
        <v>0</v>
      </c>
      <c r="S215" s="26">
        <v>0</v>
      </c>
      <c r="T215" s="26">
        <v>0</v>
      </c>
      <c r="U215" s="26">
        <v>0</v>
      </c>
      <c r="V215" s="26">
        <v>0</v>
      </c>
      <c r="W215" s="26">
        <v>0</v>
      </c>
      <c r="X215" s="26">
        <v>0</v>
      </c>
      <c r="Y215" s="26">
        <v>0</v>
      </c>
      <c r="Z215" s="26">
        <v>0</v>
      </c>
      <c r="AA215" s="26">
        <v>0</v>
      </c>
      <c r="AB215" s="26">
        <v>0</v>
      </c>
      <c r="AC215" s="26">
        <v>0</v>
      </c>
      <c r="AD215" s="26">
        <v>0</v>
      </c>
      <c r="AE215" s="26">
        <v>0</v>
      </c>
      <c r="AF215" s="26">
        <v>0</v>
      </c>
      <c r="AG215" s="26">
        <v>0</v>
      </c>
      <c r="AH215" s="26">
        <v>0</v>
      </c>
      <c r="AI215" s="26">
        <v>0</v>
      </c>
      <c r="AJ215" s="26">
        <v>0</v>
      </c>
      <c r="AK215" s="26">
        <v>0</v>
      </c>
      <c r="AL215" s="26">
        <v>0</v>
      </c>
      <c r="AM215" s="26">
        <v>0</v>
      </c>
      <c r="AN215" s="26">
        <v>2766.28368</v>
      </c>
      <c r="AO215" s="26">
        <v>9110.4091599999992</v>
      </c>
      <c r="AP215" s="26">
        <v>0</v>
      </c>
      <c r="AQ215" s="26">
        <v>0</v>
      </c>
      <c r="AR215" s="26">
        <v>0</v>
      </c>
      <c r="AS215" s="26">
        <v>0</v>
      </c>
      <c r="AT215" s="26">
        <v>0</v>
      </c>
      <c r="AU215" s="26">
        <v>0</v>
      </c>
      <c r="AV215" s="26">
        <v>0</v>
      </c>
      <c r="AW215" s="26">
        <v>0</v>
      </c>
      <c r="AX215" s="26">
        <v>0</v>
      </c>
      <c r="AY215" s="26">
        <v>0</v>
      </c>
      <c r="AZ215" s="26">
        <v>0</v>
      </c>
      <c r="BA215" s="26">
        <v>0</v>
      </c>
      <c r="BB215" s="26">
        <v>0</v>
      </c>
      <c r="BC215" s="26">
        <v>0</v>
      </c>
      <c r="BD215" s="26">
        <v>0</v>
      </c>
      <c r="BE215" s="26">
        <v>0</v>
      </c>
      <c r="BF215" s="26">
        <v>0</v>
      </c>
      <c r="BG215" s="26">
        <v>0</v>
      </c>
      <c r="BH215" s="26">
        <v>0</v>
      </c>
      <c r="BI215" s="26">
        <v>0</v>
      </c>
      <c r="BJ215" s="26">
        <v>0</v>
      </c>
      <c r="BK215" s="26">
        <v>0</v>
      </c>
      <c r="BL215" s="26">
        <v>0</v>
      </c>
      <c r="BM215" s="26">
        <v>0</v>
      </c>
      <c r="BN215" s="26">
        <v>0</v>
      </c>
      <c r="BO215" s="26">
        <v>424.83466900000002</v>
      </c>
      <c r="BP215" s="26">
        <v>12113.951800000001</v>
      </c>
      <c r="BQ215" s="26">
        <v>173226.43</v>
      </c>
      <c r="BR215" s="26">
        <v>25</v>
      </c>
      <c r="BS215" s="26">
        <v>1</v>
      </c>
      <c r="BT215" s="26">
        <v>1</v>
      </c>
      <c r="BU215" s="26">
        <v>0</v>
      </c>
      <c r="BV215" s="26">
        <v>0</v>
      </c>
      <c r="BW215" s="26">
        <v>-1790.4447299999999</v>
      </c>
      <c r="BX215" s="26">
        <v>-62.790657099999997</v>
      </c>
      <c r="BY215" s="26">
        <v>-0.76064300100000004</v>
      </c>
      <c r="BZ215" s="26">
        <v>0.93504060899999997</v>
      </c>
      <c r="CA215" s="26">
        <v>3.2791749100000003E-2</v>
      </c>
      <c r="CB215" s="26">
        <v>4.0874696499999997E-5</v>
      </c>
      <c r="CC215" s="26">
        <v>1.16552188E-3</v>
      </c>
      <c r="CD215" s="26">
        <v>28.514508599999999</v>
      </c>
      <c r="CE215" s="26">
        <v>371.42627800000002</v>
      </c>
      <c r="CF215" s="26">
        <v>0</v>
      </c>
      <c r="CG215" s="26">
        <v>0</v>
      </c>
      <c r="CH215" s="26">
        <v>0</v>
      </c>
      <c r="CI215" s="26">
        <v>0</v>
      </c>
      <c r="CJ215" s="26">
        <v>0</v>
      </c>
      <c r="CK215" s="26">
        <v>0</v>
      </c>
      <c r="CL215" s="26">
        <v>0</v>
      </c>
      <c r="CM215" s="26">
        <v>0</v>
      </c>
      <c r="CN215" s="26">
        <v>0</v>
      </c>
      <c r="CO215" s="26">
        <v>0</v>
      </c>
      <c r="CP215" s="26">
        <v>0</v>
      </c>
      <c r="CQ215" s="26">
        <v>0</v>
      </c>
      <c r="CR215" s="26">
        <v>0</v>
      </c>
      <c r="CS215" s="26">
        <v>0</v>
      </c>
      <c r="CT215" s="26">
        <v>0</v>
      </c>
      <c r="CU215" s="26">
        <v>0</v>
      </c>
      <c r="CV215" s="26">
        <v>0</v>
      </c>
      <c r="CW215" s="26">
        <v>0</v>
      </c>
      <c r="CX215" s="26">
        <v>0</v>
      </c>
      <c r="CY215" s="26">
        <v>0</v>
      </c>
      <c r="CZ215" s="26">
        <v>0</v>
      </c>
      <c r="DA215" s="26">
        <v>0</v>
      </c>
      <c r="DB215" s="26">
        <v>0</v>
      </c>
      <c r="DC215" s="26">
        <v>0</v>
      </c>
      <c r="DD215" s="26">
        <v>0</v>
      </c>
      <c r="DE215" s="26">
        <v>0</v>
      </c>
      <c r="DF215" s="26">
        <v>0</v>
      </c>
      <c r="DG215" s="26">
        <v>0</v>
      </c>
      <c r="DH215" s="26">
        <v>0</v>
      </c>
      <c r="DI215" s="26">
        <v>0</v>
      </c>
      <c r="DJ215" s="26">
        <v>0</v>
      </c>
      <c r="DK215" s="26">
        <v>0</v>
      </c>
      <c r="DL215" s="26">
        <v>0</v>
      </c>
      <c r="DM215" s="26">
        <v>0</v>
      </c>
      <c r="DN215" s="26">
        <v>0</v>
      </c>
      <c r="DO215" s="26">
        <v>0</v>
      </c>
      <c r="DP215" s="26">
        <v>0</v>
      </c>
      <c r="DQ215" s="26">
        <v>0</v>
      </c>
      <c r="DR215" s="26">
        <v>0</v>
      </c>
      <c r="DS215" s="26">
        <v>0</v>
      </c>
      <c r="DT215" s="26">
        <v>0</v>
      </c>
      <c r="DU215" s="26">
        <v>0</v>
      </c>
      <c r="DV215" s="26">
        <v>0</v>
      </c>
      <c r="DW215" s="26">
        <v>0</v>
      </c>
      <c r="DX215" s="26">
        <v>0</v>
      </c>
      <c r="DY215" s="26">
        <v>0</v>
      </c>
      <c r="DZ215" s="26">
        <v>0</v>
      </c>
      <c r="EA215" s="26">
        <v>0</v>
      </c>
      <c r="EB215" s="26">
        <v>0</v>
      </c>
      <c r="EC215" s="26">
        <v>0</v>
      </c>
      <c r="ED215" s="26">
        <v>0</v>
      </c>
      <c r="EE215" s="26">
        <v>0</v>
      </c>
      <c r="EF215" s="26">
        <v>0</v>
      </c>
      <c r="EG215" s="26">
        <v>0</v>
      </c>
      <c r="EH215" s="26">
        <v>0</v>
      </c>
      <c r="EI215" s="26">
        <v>0</v>
      </c>
      <c r="EJ215" s="26">
        <v>0</v>
      </c>
      <c r="EK215" s="26">
        <v>0</v>
      </c>
      <c r="EL215" s="26">
        <v>0</v>
      </c>
      <c r="EM215" s="26">
        <v>0</v>
      </c>
      <c r="EN215" s="26">
        <v>0</v>
      </c>
      <c r="EO215" s="26">
        <v>0</v>
      </c>
      <c r="EP215" s="26">
        <v>0</v>
      </c>
      <c r="EQ215" s="26">
        <v>0</v>
      </c>
      <c r="ER215" s="26">
        <v>0</v>
      </c>
      <c r="ES215" s="26">
        <v>0</v>
      </c>
      <c r="ET215" s="26">
        <v>1</v>
      </c>
      <c r="EU215" s="26">
        <v>0</v>
      </c>
      <c r="EV215" s="26">
        <v>0</v>
      </c>
      <c r="EW215" s="26">
        <v>0</v>
      </c>
      <c r="EX215" s="26">
        <v>0</v>
      </c>
      <c r="EY215" s="26">
        <v>0</v>
      </c>
      <c r="EZ215" s="26">
        <v>0</v>
      </c>
      <c r="FA215" s="26">
        <v>0</v>
      </c>
      <c r="FB215" s="26">
        <v>0</v>
      </c>
      <c r="FC215" s="26">
        <v>0</v>
      </c>
      <c r="FD215" s="26">
        <v>0</v>
      </c>
      <c r="FE215" s="26">
        <v>0</v>
      </c>
      <c r="FF215" s="26">
        <v>0</v>
      </c>
      <c r="FG215" s="26">
        <v>0</v>
      </c>
      <c r="FH215" s="26">
        <v>-884627.81016300002</v>
      </c>
      <c r="FI215" s="26">
        <v>0</v>
      </c>
      <c r="FJ215" s="26">
        <v>3.6582985848219443E-3</v>
      </c>
      <c r="FK215" s="26">
        <v>0</v>
      </c>
      <c r="FL215" s="26">
        <v>0</v>
      </c>
      <c r="FM215" s="26">
        <v>0</v>
      </c>
      <c r="FN215" s="26">
        <v>0</v>
      </c>
      <c r="FO215" s="26">
        <v>0</v>
      </c>
      <c r="FP215" s="26">
        <v>0</v>
      </c>
      <c r="FQ215" s="26">
        <v>0</v>
      </c>
      <c r="FR215" s="26">
        <v>0</v>
      </c>
      <c r="FS215" s="26">
        <v>0</v>
      </c>
      <c r="FT215" s="26">
        <v>0</v>
      </c>
      <c r="FU215" s="26">
        <v>0</v>
      </c>
      <c r="FV215" s="26">
        <v>0</v>
      </c>
      <c r="FW215" s="26">
        <v>0</v>
      </c>
      <c r="FX215" s="26">
        <v>0</v>
      </c>
      <c r="FY215" s="26">
        <v>0</v>
      </c>
      <c r="FZ215" s="26">
        <v>0</v>
      </c>
      <c r="GA215" s="26">
        <v>0</v>
      </c>
      <c r="GB215" s="26">
        <v>0</v>
      </c>
      <c r="GC215" s="26">
        <v>0</v>
      </c>
      <c r="GD215" s="26">
        <v>0</v>
      </c>
      <c r="GE215" s="26">
        <v>0</v>
      </c>
      <c r="GF215" s="26">
        <v>0</v>
      </c>
      <c r="GG215" s="26">
        <v>0</v>
      </c>
      <c r="GH215" s="26">
        <v>0</v>
      </c>
      <c r="GI215" s="26">
        <v>0</v>
      </c>
      <c r="GJ215" s="26">
        <v>0</v>
      </c>
      <c r="GK215" s="26">
        <v>0</v>
      </c>
      <c r="GL215" s="26">
        <v>0</v>
      </c>
      <c r="GM215" s="26">
        <v>0</v>
      </c>
      <c r="GN215" s="26">
        <v>0</v>
      </c>
      <c r="GO215" s="26">
        <v>0</v>
      </c>
      <c r="GP215" s="26">
        <v>0</v>
      </c>
      <c r="GQ215" s="26">
        <v>0</v>
      </c>
      <c r="GR215" s="26">
        <v>0</v>
      </c>
      <c r="GS215" s="26">
        <v>2.4013779886554686E-2</v>
      </c>
      <c r="GT215" s="26">
        <v>9.0337552944922656E-2</v>
      </c>
      <c r="GU215" s="26">
        <v>0</v>
      </c>
      <c r="GV215" s="26">
        <v>0</v>
      </c>
      <c r="GW215" s="26">
        <v>0</v>
      </c>
      <c r="GX215" s="26">
        <v>0</v>
      </c>
      <c r="GY215" s="26">
        <v>0</v>
      </c>
      <c r="GZ215" s="26">
        <v>0</v>
      </c>
      <c r="HA215" s="26">
        <v>0</v>
      </c>
      <c r="HB215" s="26">
        <v>0</v>
      </c>
      <c r="HC215" s="26">
        <v>0</v>
      </c>
      <c r="HD215" s="26">
        <v>0</v>
      </c>
      <c r="HE215" s="26">
        <v>0</v>
      </c>
      <c r="HF215" s="26">
        <v>0</v>
      </c>
      <c r="HG215" s="26">
        <v>0</v>
      </c>
      <c r="HH215" s="26">
        <v>0</v>
      </c>
      <c r="HI215" s="26">
        <v>0</v>
      </c>
      <c r="HJ215" s="26">
        <v>0</v>
      </c>
      <c r="HK215" s="26">
        <v>0</v>
      </c>
      <c r="HL215" s="26">
        <v>0</v>
      </c>
      <c r="HM215" s="26">
        <v>0</v>
      </c>
      <c r="HN215" s="26">
        <v>0</v>
      </c>
      <c r="HO215" s="26">
        <v>0</v>
      </c>
      <c r="HP215" s="26">
        <v>0</v>
      </c>
      <c r="HQ215" s="26">
        <v>0</v>
      </c>
      <c r="HR215" s="26">
        <v>0</v>
      </c>
      <c r="HS215" s="26">
        <v>0</v>
      </c>
      <c r="HT215" s="26">
        <v>0</v>
      </c>
    </row>
    <row r="216" spans="2:228" x14ac:dyDescent="0.2">
      <c r="B216" s="27" t="s">
        <v>2420</v>
      </c>
      <c r="C216" s="26">
        <v>12113.951800000001</v>
      </c>
      <c r="D216" s="26">
        <v>0.13714789899999999</v>
      </c>
      <c r="E216" s="26">
        <v>237.25898099999998</v>
      </c>
      <c r="F216" s="26">
        <v>0</v>
      </c>
      <c r="G216" s="26">
        <v>0</v>
      </c>
      <c r="H216" s="26">
        <v>0</v>
      </c>
      <c r="I216" s="26">
        <v>0</v>
      </c>
      <c r="J216" s="26">
        <v>0</v>
      </c>
      <c r="K216" s="26">
        <v>0</v>
      </c>
      <c r="L216" s="26">
        <v>0</v>
      </c>
      <c r="M216" s="26">
        <v>0</v>
      </c>
      <c r="N216" s="26">
        <v>0</v>
      </c>
      <c r="O216" s="26">
        <v>0</v>
      </c>
      <c r="P216" s="26">
        <v>0</v>
      </c>
      <c r="Q216" s="26">
        <v>0</v>
      </c>
      <c r="R216" s="26">
        <v>0</v>
      </c>
      <c r="S216" s="26">
        <v>0</v>
      </c>
      <c r="T216" s="26">
        <v>0</v>
      </c>
      <c r="U216" s="26">
        <v>0</v>
      </c>
      <c r="V216" s="26">
        <v>0</v>
      </c>
      <c r="W216" s="26">
        <v>0</v>
      </c>
      <c r="X216" s="26">
        <v>0</v>
      </c>
      <c r="Y216" s="26">
        <v>0</v>
      </c>
      <c r="Z216" s="26">
        <v>0</v>
      </c>
      <c r="AA216" s="26">
        <v>0</v>
      </c>
      <c r="AB216" s="26">
        <v>0</v>
      </c>
      <c r="AC216" s="26">
        <v>0</v>
      </c>
      <c r="AD216" s="26">
        <v>0</v>
      </c>
      <c r="AE216" s="26">
        <v>0</v>
      </c>
      <c r="AF216" s="26">
        <v>0</v>
      </c>
      <c r="AG216" s="26">
        <v>0</v>
      </c>
      <c r="AH216" s="26">
        <v>0</v>
      </c>
      <c r="AI216" s="26">
        <v>0</v>
      </c>
      <c r="AJ216" s="26">
        <v>0</v>
      </c>
      <c r="AK216" s="26">
        <v>0</v>
      </c>
      <c r="AL216" s="26">
        <v>0</v>
      </c>
      <c r="AM216" s="26">
        <v>0</v>
      </c>
      <c r="AN216" s="26">
        <v>2766.28368</v>
      </c>
      <c r="AO216" s="26">
        <v>9110.4091599999992</v>
      </c>
      <c r="AP216" s="26">
        <v>0</v>
      </c>
      <c r="AQ216" s="26">
        <v>0</v>
      </c>
      <c r="AR216" s="26">
        <v>0</v>
      </c>
      <c r="AS216" s="26">
        <v>0</v>
      </c>
      <c r="AT216" s="26">
        <v>0</v>
      </c>
      <c r="AU216" s="26">
        <v>0</v>
      </c>
      <c r="AV216" s="26">
        <v>0</v>
      </c>
      <c r="AW216" s="26">
        <v>0</v>
      </c>
      <c r="AX216" s="26">
        <v>0</v>
      </c>
      <c r="AY216" s="26">
        <v>0</v>
      </c>
      <c r="AZ216" s="26">
        <v>0</v>
      </c>
      <c r="BA216" s="26">
        <v>0</v>
      </c>
      <c r="BB216" s="26">
        <v>0</v>
      </c>
      <c r="BC216" s="26">
        <v>0</v>
      </c>
      <c r="BD216" s="26">
        <v>0</v>
      </c>
      <c r="BE216" s="26">
        <v>0</v>
      </c>
      <c r="BF216" s="26">
        <v>0</v>
      </c>
      <c r="BG216" s="26">
        <v>0</v>
      </c>
      <c r="BH216" s="26">
        <v>0</v>
      </c>
      <c r="BI216" s="26">
        <v>0</v>
      </c>
      <c r="BJ216" s="26">
        <v>0</v>
      </c>
      <c r="BK216" s="26">
        <v>0</v>
      </c>
      <c r="BL216" s="26">
        <v>0</v>
      </c>
      <c r="BM216" s="26">
        <v>0</v>
      </c>
      <c r="BN216" s="26">
        <v>0</v>
      </c>
      <c r="BO216" s="26">
        <v>424.83466900000002</v>
      </c>
      <c r="BP216" s="26">
        <v>12113.951800000001</v>
      </c>
      <c r="BQ216" s="26">
        <v>50004.351699999999</v>
      </c>
      <c r="BR216" s="26">
        <v>321.42944</v>
      </c>
      <c r="BS216" s="26">
        <v>6.9084628700000001</v>
      </c>
      <c r="BT216" s="26">
        <v>1</v>
      </c>
      <c r="BU216" s="26">
        <v>0</v>
      </c>
      <c r="BV216" s="26">
        <v>0</v>
      </c>
      <c r="BW216" s="26">
        <v>322.82652100000001</v>
      </c>
      <c r="BX216" s="26">
        <v>11.321482899999999</v>
      </c>
      <c r="BY216" s="26">
        <v>0.13714789899999999</v>
      </c>
      <c r="BZ216" s="26">
        <v>2.0051557799999999</v>
      </c>
      <c r="CA216" s="26">
        <v>7.0320544799999996E-2</v>
      </c>
      <c r="CB216" s="26">
        <v>1.4159923100000001E-4</v>
      </c>
      <c r="CC216" s="26">
        <v>4.03763248E-3</v>
      </c>
      <c r="CD216" s="26">
        <v>28.514508599999999</v>
      </c>
      <c r="CE216" s="26">
        <v>371.42627800000002</v>
      </c>
      <c r="CF216" s="26">
        <v>0</v>
      </c>
      <c r="CG216" s="26">
        <v>0</v>
      </c>
      <c r="CH216" s="26">
        <v>0</v>
      </c>
      <c r="CI216" s="26">
        <v>0</v>
      </c>
      <c r="CJ216" s="26">
        <v>0</v>
      </c>
      <c r="CK216" s="26">
        <v>0</v>
      </c>
      <c r="CL216" s="26">
        <v>0</v>
      </c>
      <c r="CM216" s="26">
        <v>0</v>
      </c>
      <c r="CN216" s="26">
        <v>0</v>
      </c>
      <c r="CO216" s="26">
        <v>0</v>
      </c>
      <c r="CP216" s="26">
        <v>0</v>
      </c>
      <c r="CQ216" s="26">
        <v>0</v>
      </c>
      <c r="CR216" s="26">
        <v>0</v>
      </c>
      <c r="CS216" s="26">
        <v>0</v>
      </c>
      <c r="CT216" s="26">
        <v>0</v>
      </c>
      <c r="CU216" s="26">
        <v>0</v>
      </c>
      <c r="CV216" s="26">
        <v>0</v>
      </c>
      <c r="CW216" s="26">
        <v>0</v>
      </c>
      <c r="CX216" s="26">
        <v>0</v>
      </c>
      <c r="CY216" s="26">
        <v>0</v>
      </c>
      <c r="CZ216" s="26">
        <v>0</v>
      </c>
      <c r="DA216" s="26">
        <v>0</v>
      </c>
      <c r="DB216" s="26">
        <v>0</v>
      </c>
      <c r="DC216" s="26">
        <v>0</v>
      </c>
      <c r="DD216" s="26">
        <v>0</v>
      </c>
      <c r="DE216" s="26">
        <v>0</v>
      </c>
      <c r="DF216" s="26">
        <v>0</v>
      </c>
      <c r="DG216" s="26">
        <v>0</v>
      </c>
      <c r="DH216" s="26">
        <v>0</v>
      </c>
      <c r="DI216" s="26">
        <v>0</v>
      </c>
      <c r="DJ216" s="26">
        <v>0</v>
      </c>
      <c r="DK216" s="26">
        <v>0</v>
      </c>
      <c r="DL216" s="26">
        <v>0</v>
      </c>
      <c r="DM216" s="26">
        <v>0</v>
      </c>
      <c r="DN216" s="26">
        <v>0</v>
      </c>
      <c r="DO216" s="26">
        <v>0</v>
      </c>
      <c r="DP216" s="26">
        <v>0</v>
      </c>
      <c r="DQ216" s="26">
        <v>0</v>
      </c>
      <c r="DR216" s="26">
        <v>0</v>
      </c>
      <c r="DS216" s="26">
        <v>0</v>
      </c>
      <c r="DT216" s="26">
        <v>0</v>
      </c>
      <c r="DU216" s="26">
        <v>0</v>
      </c>
      <c r="DV216" s="26">
        <v>0</v>
      </c>
      <c r="DW216" s="26">
        <v>0</v>
      </c>
      <c r="DX216" s="26">
        <v>0</v>
      </c>
      <c r="DY216" s="26">
        <v>0</v>
      </c>
      <c r="DZ216" s="26">
        <v>0</v>
      </c>
      <c r="EA216" s="26">
        <v>0</v>
      </c>
      <c r="EB216" s="26">
        <v>0</v>
      </c>
      <c r="EC216" s="26">
        <v>0</v>
      </c>
      <c r="ED216" s="26">
        <v>0</v>
      </c>
      <c r="EE216" s="26">
        <v>0</v>
      </c>
      <c r="EF216" s="26">
        <v>0</v>
      </c>
      <c r="EG216" s="26">
        <v>0</v>
      </c>
      <c r="EH216" s="26">
        <v>0</v>
      </c>
      <c r="EI216" s="26">
        <v>0</v>
      </c>
      <c r="EJ216" s="26">
        <v>0</v>
      </c>
      <c r="EK216" s="26">
        <v>0</v>
      </c>
      <c r="EL216" s="26">
        <v>0</v>
      </c>
      <c r="EM216" s="26">
        <v>0</v>
      </c>
      <c r="EN216" s="26">
        <v>0</v>
      </c>
      <c r="EO216" s="26">
        <v>0</v>
      </c>
      <c r="EP216" s="26">
        <v>0</v>
      </c>
      <c r="EQ216" s="26">
        <v>0</v>
      </c>
      <c r="ER216" s="26">
        <v>0</v>
      </c>
      <c r="ES216" s="26">
        <v>0</v>
      </c>
      <c r="ET216" s="26">
        <v>6.9084628700000001</v>
      </c>
      <c r="EU216" s="26">
        <v>0</v>
      </c>
      <c r="EV216" s="26">
        <v>0</v>
      </c>
      <c r="EW216" s="26">
        <v>0</v>
      </c>
      <c r="EX216" s="26">
        <v>0</v>
      </c>
      <c r="EY216" s="26">
        <v>0</v>
      </c>
      <c r="EZ216" s="26">
        <v>0</v>
      </c>
      <c r="FA216" s="26">
        <v>0</v>
      </c>
      <c r="FB216" s="26">
        <v>0</v>
      </c>
      <c r="FC216" s="26">
        <v>0</v>
      </c>
      <c r="FD216" s="26">
        <v>0</v>
      </c>
      <c r="FE216" s="26">
        <v>0</v>
      </c>
      <c r="FF216" s="26">
        <v>0</v>
      </c>
      <c r="FG216" s="26">
        <v>0</v>
      </c>
      <c r="FH216" s="26">
        <v>-884627.81016300002</v>
      </c>
      <c r="FI216" s="26">
        <v>0</v>
      </c>
      <c r="FJ216" s="26">
        <v>3.6582985848219443E-3</v>
      </c>
      <c r="FK216" s="26">
        <v>0</v>
      </c>
      <c r="FL216" s="26">
        <v>0</v>
      </c>
      <c r="FM216" s="26">
        <v>0</v>
      </c>
      <c r="FN216" s="26">
        <v>0</v>
      </c>
      <c r="FO216" s="26">
        <v>0</v>
      </c>
      <c r="FP216" s="26">
        <v>0</v>
      </c>
      <c r="FQ216" s="26">
        <v>0</v>
      </c>
      <c r="FR216" s="26">
        <v>0</v>
      </c>
      <c r="FS216" s="26">
        <v>0</v>
      </c>
      <c r="FT216" s="26">
        <v>0</v>
      </c>
      <c r="FU216" s="26">
        <v>0</v>
      </c>
      <c r="FV216" s="26">
        <v>0</v>
      </c>
      <c r="FW216" s="26">
        <v>0</v>
      </c>
      <c r="FX216" s="26">
        <v>0</v>
      </c>
      <c r="FY216" s="26">
        <v>0</v>
      </c>
      <c r="FZ216" s="26">
        <v>0</v>
      </c>
      <c r="GA216" s="26">
        <v>0</v>
      </c>
      <c r="GB216" s="26">
        <v>0</v>
      </c>
      <c r="GC216" s="26">
        <v>0</v>
      </c>
      <c r="GD216" s="26">
        <v>0</v>
      </c>
      <c r="GE216" s="26">
        <v>0</v>
      </c>
      <c r="GF216" s="26">
        <v>0</v>
      </c>
      <c r="GG216" s="26">
        <v>0</v>
      </c>
      <c r="GH216" s="26">
        <v>0</v>
      </c>
      <c r="GI216" s="26">
        <v>0</v>
      </c>
      <c r="GJ216" s="26">
        <v>0</v>
      </c>
      <c r="GK216" s="26">
        <v>0</v>
      </c>
      <c r="GL216" s="26">
        <v>0</v>
      </c>
      <c r="GM216" s="26">
        <v>0</v>
      </c>
      <c r="GN216" s="26">
        <v>0</v>
      </c>
      <c r="GO216" s="26">
        <v>0</v>
      </c>
      <c r="GP216" s="26">
        <v>0</v>
      </c>
      <c r="GQ216" s="26">
        <v>0</v>
      </c>
      <c r="GR216" s="26">
        <v>0</v>
      </c>
      <c r="GS216" s="26">
        <v>2.4013779886554686E-2</v>
      </c>
      <c r="GT216" s="26">
        <v>9.0337552944922656E-2</v>
      </c>
      <c r="GU216" s="26">
        <v>0</v>
      </c>
      <c r="GV216" s="26">
        <v>0</v>
      </c>
      <c r="GW216" s="26">
        <v>0</v>
      </c>
      <c r="GX216" s="26">
        <v>0</v>
      </c>
      <c r="GY216" s="26">
        <v>0</v>
      </c>
      <c r="GZ216" s="26">
        <v>0</v>
      </c>
      <c r="HA216" s="26">
        <v>0</v>
      </c>
      <c r="HB216" s="26">
        <v>0</v>
      </c>
      <c r="HC216" s="26">
        <v>0</v>
      </c>
      <c r="HD216" s="26">
        <v>0</v>
      </c>
      <c r="HE216" s="26">
        <v>0</v>
      </c>
      <c r="HF216" s="26">
        <v>0</v>
      </c>
      <c r="HG216" s="26">
        <v>0</v>
      </c>
      <c r="HH216" s="26">
        <v>0</v>
      </c>
      <c r="HI216" s="26">
        <v>0</v>
      </c>
      <c r="HJ216" s="26">
        <v>0</v>
      </c>
      <c r="HK216" s="26">
        <v>0</v>
      </c>
      <c r="HL216" s="26">
        <v>0</v>
      </c>
      <c r="HM216" s="26">
        <v>0</v>
      </c>
      <c r="HN216" s="26">
        <v>0</v>
      </c>
      <c r="HO216" s="26">
        <v>0</v>
      </c>
      <c r="HP216" s="26">
        <v>0</v>
      </c>
      <c r="HQ216" s="26">
        <v>0</v>
      </c>
      <c r="HR216" s="26">
        <v>0</v>
      </c>
      <c r="HS216" s="26">
        <v>0</v>
      </c>
      <c r="HT216" s="26">
        <v>0</v>
      </c>
    </row>
    <row r="217" spans="2:228" x14ac:dyDescent="0.2">
      <c r="B217" s="27" t="s">
        <v>2421</v>
      </c>
      <c r="C217" s="26">
        <v>12113.951800000001</v>
      </c>
      <c r="D217" s="26">
        <v>-0.596788019</v>
      </c>
      <c r="E217" s="26">
        <v>237.25898099999998</v>
      </c>
      <c r="F217" s="26">
        <v>0</v>
      </c>
      <c r="G217" s="26">
        <v>0</v>
      </c>
      <c r="H217" s="26">
        <v>0</v>
      </c>
      <c r="I217" s="26">
        <v>0</v>
      </c>
      <c r="J217" s="26">
        <v>0</v>
      </c>
      <c r="K217" s="26">
        <v>0</v>
      </c>
      <c r="L217" s="26">
        <v>0</v>
      </c>
      <c r="M217" s="26">
        <v>0</v>
      </c>
      <c r="N217" s="26">
        <v>0</v>
      </c>
      <c r="O217" s="26">
        <v>0</v>
      </c>
      <c r="P217" s="26">
        <v>0</v>
      </c>
      <c r="Q217" s="26">
        <v>0</v>
      </c>
      <c r="R217" s="26">
        <v>0</v>
      </c>
      <c r="S217" s="26">
        <v>0</v>
      </c>
      <c r="T217" s="26">
        <v>0</v>
      </c>
      <c r="U217" s="26">
        <v>0</v>
      </c>
      <c r="V217" s="26">
        <v>0</v>
      </c>
      <c r="W217" s="26">
        <v>0</v>
      </c>
      <c r="X217" s="26">
        <v>0</v>
      </c>
      <c r="Y217" s="26">
        <v>0</v>
      </c>
      <c r="Z217" s="26">
        <v>0</v>
      </c>
      <c r="AA217" s="26">
        <v>0</v>
      </c>
      <c r="AB217" s="26">
        <v>0</v>
      </c>
      <c r="AC217" s="26">
        <v>0</v>
      </c>
      <c r="AD217" s="26">
        <v>0</v>
      </c>
      <c r="AE217" s="26">
        <v>0</v>
      </c>
      <c r="AF217" s="26">
        <v>0</v>
      </c>
      <c r="AG217" s="26">
        <v>0</v>
      </c>
      <c r="AH217" s="26">
        <v>0</v>
      </c>
      <c r="AI217" s="26">
        <v>0</v>
      </c>
      <c r="AJ217" s="26">
        <v>0</v>
      </c>
      <c r="AK217" s="26">
        <v>0</v>
      </c>
      <c r="AL217" s="26">
        <v>0</v>
      </c>
      <c r="AM217" s="26">
        <v>0</v>
      </c>
      <c r="AN217" s="26">
        <v>2766.28368</v>
      </c>
      <c r="AO217" s="26">
        <v>9110.4091599999992</v>
      </c>
      <c r="AP217" s="26">
        <v>0</v>
      </c>
      <c r="AQ217" s="26">
        <v>0</v>
      </c>
      <c r="AR217" s="26">
        <v>0</v>
      </c>
      <c r="AS217" s="26">
        <v>0</v>
      </c>
      <c r="AT217" s="26">
        <v>0</v>
      </c>
      <c r="AU217" s="26">
        <v>0</v>
      </c>
      <c r="AV217" s="26">
        <v>0</v>
      </c>
      <c r="AW217" s="26">
        <v>0</v>
      </c>
      <c r="AX217" s="26">
        <v>0</v>
      </c>
      <c r="AY217" s="26">
        <v>0</v>
      </c>
      <c r="AZ217" s="26">
        <v>0</v>
      </c>
      <c r="BA217" s="26">
        <v>0</v>
      </c>
      <c r="BB217" s="26">
        <v>0</v>
      </c>
      <c r="BC217" s="26">
        <v>0</v>
      </c>
      <c r="BD217" s="26">
        <v>0</v>
      </c>
      <c r="BE217" s="26">
        <v>0</v>
      </c>
      <c r="BF217" s="26">
        <v>0</v>
      </c>
      <c r="BG217" s="26">
        <v>0</v>
      </c>
      <c r="BH217" s="26">
        <v>0</v>
      </c>
      <c r="BI217" s="26">
        <v>0</v>
      </c>
      <c r="BJ217" s="26">
        <v>0</v>
      </c>
      <c r="BK217" s="26">
        <v>0</v>
      </c>
      <c r="BL217" s="26">
        <v>0</v>
      </c>
      <c r="BM217" s="26">
        <v>0</v>
      </c>
      <c r="BN217" s="26">
        <v>0</v>
      </c>
      <c r="BO217" s="26">
        <v>424.83466900000002</v>
      </c>
      <c r="BP217" s="26">
        <v>12113.951800000001</v>
      </c>
      <c r="BQ217" s="26">
        <v>29700.0461</v>
      </c>
      <c r="BR217" s="26">
        <v>80</v>
      </c>
      <c r="BS217" s="26">
        <v>6.9084628700000001</v>
      </c>
      <c r="BT217" s="26">
        <v>1</v>
      </c>
      <c r="BU217" s="26">
        <v>0</v>
      </c>
      <c r="BV217" s="26">
        <v>0</v>
      </c>
      <c r="BW217" s="26">
        <v>-1404.7535600000001</v>
      </c>
      <c r="BX217" s="26">
        <v>-49.264519399999998</v>
      </c>
      <c r="BY217" s="26">
        <v>-0.596788019</v>
      </c>
      <c r="BZ217" s="26">
        <v>-1.7159568000000001</v>
      </c>
      <c r="CA217" s="26">
        <v>-6.0178375499999999E-2</v>
      </c>
      <c r="CB217" s="26">
        <v>2.38402921E-4</v>
      </c>
      <c r="CC217" s="26">
        <v>6.7979421199999999E-3</v>
      </c>
      <c r="CD217" s="26">
        <v>28.514508599999999</v>
      </c>
      <c r="CE217" s="26">
        <v>371.42627800000002</v>
      </c>
      <c r="CF217" s="26">
        <v>0</v>
      </c>
      <c r="CG217" s="26">
        <v>0</v>
      </c>
      <c r="CH217" s="26">
        <v>0</v>
      </c>
      <c r="CI217" s="26">
        <v>0</v>
      </c>
      <c r="CJ217" s="26">
        <v>0</v>
      </c>
      <c r="CK217" s="26">
        <v>0</v>
      </c>
      <c r="CL217" s="26">
        <v>0</v>
      </c>
      <c r="CM217" s="26">
        <v>0</v>
      </c>
      <c r="CN217" s="26">
        <v>0</v>
      </c>
      <c r="CO217" s="26">
        <v>0</v>
      </c>
      <c r="CP217" s="26">
        <v>0</v>
      </c>
      <c r="CQ217" s="26">
        <v>0</v>
      </c>
      <c r="CR217" s="26">
        <v>0</v>
      </c>
      <c r="CS217" s="26">
        <v>0</v>
      </c>
      <c r="CT217" s="26">
        <v>0</v>
      </c>
      <c r="CU217" s="26">
        <v>0</v>
      </c>
      <c r="CV217" s="26">
        <v>0</v>
      </c>
      <c r="CW217" s="26">
        <v>0</v>
      </c>
      <c r="CX217" s="26">
        <v>0</v>
      </c>
      <c r="CY217" s="26">
        <v>0</v>
      </c>
      <c r="CZ217" s="26">
        <v>0</v>
      </c>
      <c r="DA217" s="26">
        <v>0</v>
      </c>
      <c r="DB217" s="26">
        <v>0</v>
      </c>
      <c r="DC217" s="26">
        <v>0</v>
      </c>
      <c r="DD217" s="26">
        <v>0</v>
      </c>
      <c r="DE217" s="26">
        <v>0</v>
      </c>
      <c r="DF217" s="26">
        <v>0</v>
      </c>
      <c r="DG217" s="26">
        <v>0</v>
      </c>
      <c r="DH217" s="26">
        <v>0</v>
      </c>
      <c r="DI217" s="26">
        <v>0</v>
      </c>
      <c r="DJ217" s="26">
        <v>0</v>
      </c>
      <c r="DK217" s="26">
        <v>0</v>
      </c>
      <c r="DL217" s="26">
        <v>0</v>
      </c>
      <c r="DM217" s="26">
        <v>0</v>
      </c>
      <c r="DN217" s="26">
        <v>0</v>
      </c>
      <c r="DO217" s="26">
        <v>0</v>
      </c>
      <c r="DP217" s="26">
        <v>0</v>
      </c>
      <c r="DQ217" s="26">
        <v>0</v>
      </c>
      <c r="DR217" s="26">
        <v>0</v>
      </c>
      <c r="DS217" s="26">
        <v>0</v>
      </c>
      <c r="DT217" s="26">
        <v>0</v>
      </c>
      <c r="DU217" s="26">
        <v>0</v>
      </c>
      <c r="DV217" s="26">
        <v>0</v>
      </c>
      <c r="DW217" s="26">
        <v>0</v>
      </c>
      <c r="DX217" s="26">
        <v>0</v>
      </c>
      <c r="DY217" s="26">
        <v>0</v>
      </c>
      <c r="DZ217" s="26">
        <v>0</v>
      </c>
      <c r="EA217" s="26">
        <v>0</v>
      </c>
      <c r="EB217" s="26">
        <v>0</v>
      </c>
      <c r="EC217" s="26">
        <v>0</v>
      </c>
      <c r="ED217" s="26">
        <v>0</v>
      </c>
      <c r="EE217" s="26">
        <v>0</v>
      </c>
      <c r="EF217" s="26">
        <v>0</v>
      </c>
      <c r="EG217" s="26">
        <v>0</v>
      </c>
      <c r="EH217" s="26">
        <v>0</v>
      </c>
      <c r="EI217" s="26">
        <v>0</v>
      </c>
      <c r="EJ217" s="26">
        <v>0</v>
      </c>
      <c r="EK217" s="26">
        <v>0</v>
      </c>
      <c r="EL217" s="26">
        <v>0</v>
      </c>
      <c r="EM217" s="26">
        <v>0</v>
      </c>
      <c r="EN217" s="26">
        <v>0</v>
      </c>
      <c r="EO217" s="26">
        <v>0</v>
      </c>
      <c r="EP217" s="26">
        <v>0</v>
      </c>
      <c r="EQ217" s="26">
        <v>0</v>
      </c>
      <c r="ER217" s="26">
        <v>0</v>
      </c>
      <c r="ES217" s="26">
        <v>0</v>
      </c>
      <c r="ET217" s="26">
        <v>6.9084628700000001</v>
      </c>
      <c r="EU217" s="26">
        <v>0</v>
      </c>
      <c r="EV217" s="26">
        <v>0</v>
      </c>
      <c r="EW217" s="26">
        <v>0</v>
      </c>
      <c r="EX217" s="26">
        <v>0</v>
      </c>
      <c r="EY217" s="26">
        <v>0</v>
      </c>
      <c r="EZ217" s="26">
        <v>0</v>
      </c>
      <c r="FA217" s="26">
        <v>0</v>
      </c>
      <c r="FB217" s="26">
        <v>0</v>
      </c>
      <c r="FC217" s="26">
        <v>0</v>
      </c>
      <c r="FD217" s="26">
        <v>0</v>
      </c>
      <c r="FE217" s="26">
        <v>0</v>
      </c>
      <c r="FF217" s="26">
        <v>0</v>
      </c>
      <c r="FG217" s="26">
        <v>0</v>
      </c>
      <c r="FH217" s="26">
        <v>-884627.81016300002</v>
      </c>
      <c r="FI217" s="26">
        <v>0</v>
      </c>
      <c r="FJ217" s="26">
        <v>3.6582985848219443E-3</v>
      </c>
      <c r="FK217" s="26">
        <v>0</v>
      </c>
      <c r="FL217" s="26">
        <v>0</v>
      </c>
      <c r="FM217" s="26">
        <v>0</v>
      </c>
      <c r="FN217" s="26">
        <v>0</v>
      </c>
      <c r="FO217" s="26">
        <v>0</v>
      </c>
      <c r="FP217" s="26">
        <v>0</v>
      </c>
      <c r="FQ217" s="26">
        <v>0</v>
      </c>
      <c r="FR217" s="26">
        <v>0</v>
      </c>
      <c r="FS217" s="26">
        <v>0</v>
      </c>
      <c r="FT217" s="26">
        <v>0</v>
      </c>
      <c r="FU217" s="26">
        <v>0</v>
      </c>
      <c r="FV217" s="26">
        <v>0</v>
      </c>
      <c r="FW217" s="26">
        <v>0</v>
      </c>
      <c r="FX217" s="26">
        <v>0</v>
      </c>
      <c r="FY217" s="26">
        <v>0</v>
      </c>
      <c r="FZ217" s="26">
        <v>0</v>
      </c>
      <c r="GA217" s="26">
        <v>0</v>
      </c>
      <c r="GB217" s="26">
        <v>0</v>
      </c>
      <c r="GC217" s="26">
        <v>0</v>
      </c>
      <c r="GD217" s="26">
        <v>0</v>
      </c>
      <c r="GE217" s="26">
        <v>0</v>
      </c>
      <c r="GF217" s="26">
        <v>0</v>
      </c>
      <c r="GG217" s="26">
        <v>0</v>
      </c>
      <c r="GH217" s="26">
        <v>0</v>
      </c>
      <c r="GI217" s="26">
        <v>0</v>
      </c>
      <c r="GJ217" s="26">
        <v>0</v>
      </c>
      <c r="GK217" s="26">
        <v>0</v>
      </c>
      <c r="GL217" s="26">
        <v>0</v>
      </c>
      <c r="GM217" s="26">
        <v>0</v>
      </c>
      <c r="GN217" s="26">
        <v>0</v>
      </c>
      <c r="GO217" s="26">
        <v>0</v>
      </c>
      <c r="GP217" s="26">
        <v>0</v>
      </c>
      <c r="GQ217" s="26">
        <v>0</v>
      </c>
      <c r="GR217" s="26">
        <v>0</v>
      </c>
      <c r="GS217" s="26">
        <v>2.4013779886554686E-2</v>
      </c>
      <c r="GT217" s="26">
        <v>9.0337552944922656E-2</v>
      </c>
      <c r="GU217" s="26">
        <v>0</v>
      </c>
      <c r="GV217" s="26">
        <v>0</v>
      </c>
      <c r="GW217" s="26">
        <v>0</v>
      </c>
      <c r="GX217" s="26">
        <v>0</v>
      </c>
      <c r="GY217" s="26">
        <v>0</v>
      </c>
      <c r="GZ217" s="26">
        <v>0</v>
      </c>
      <c r="HA217" s="26">
        <v>0</v>
      </c>
      <c r="HB217" s="26">
        <v>0</v>
      </c>
      <c r="HC217" s="26">
        <v>0</v>
      </c>
      <c r="HD217" s="26">
        <v>0</v>
      </c>
      <c r="HE217" s="26">
        <v>0</v>
      </c>
      <c r="HF217" s="26">
        <v>0</v>
      </c>
      <c r="HG217" s="26">
        <v>0</v>
      </c>
      <c r="HH217" s="26">
        <v>0</v>
      </c>
      <c r="HI217" s="26">
        <v>0</v>
      </c>
      <c r="HJ217" s="26">
        <v>0</v>
      </c>
      <c r="HK217" s="26">
        <v>0</v>
      </c>
      <c r="HL217" s="26">
        <v>0</v>
      </c>
      <c r="HM217" s="26">
        <v>0</v>
      </c>
      <c r="HN217" s="26">
        <v>0</v>
      </c>
      <c r="HO217" s="26">
        <v>0</v>
      </c>
      <c r="HP217" s="26">
        <v>0</v>
      </c>
      <c r="HQ217" s="26">
        <v>0</v>
      </c>
      <c r="HR217" s="26">
        <v>0</v>
      </c>
      <c r="HS217" s="26">
        <v>0</v>
      </c>
      <c r="HT217" s="26">
        <v>0</v>
      </c>
    </row>
    <row r="218" spans="2:228" x14ac:dyDescent="0.2">
      <c r="B218" s="27" t="s">
        <v>2422</v>
      </c>
      <c r="C218" s="26">
        <v>12052.6684</v>
      </c>
      <c r="D218" s="26">
        <v>-0.48020229800000003</v>
      </c>
      <c r="E218" s="26">
        <v>175.638385</v>
      </c>
      <c r="F218" s="26">
        <v>1.17033893</v>
      </c>
      <c r="G218" s="26">
        <v>3.8042603699999999E-11</v>
      </c>
      <c r="H218" s="26">
        <v>8.3510332199999996E-11</v>
      </c>
      <c r="I218" s="26">
        <v>3.5039300199999999E-11</v>
      </c>
      <c r="J218" s="26">
        <v>8.2960939100000003E-9</v>
      </c>
      <c r="K218" s="26">
        <v>1.7191892899999999E-9</v>
      </c>
      <c r="L218" s="26">
        <v>1.00277823E-7</v>
      </c>
      <c r="M218" s="26">
        <v>0</v>
      </c>
      <c r="N218" s="26">
        <v>8.4100119200000003E-11</v>
      </c>
      <c r="O218" s="26">
        <v>2.1223848199999998E-12</v>
      </c>
      <c r="P218" s="26">
        <v>8.90511114E-13</v>
      </c>
      <c r="Q218" s="26">
        <v>3.05112582E-9</v>
      </c>
      <c r="R218" s="26">
        <v>3.7182178400000001E-10</v>
      </c>
      <c r="S218" s="26">
        <v>8.9102014100000014E-10</v>
      </c>
      <c r="T218" s="26">
        <v>2.9190697100000002E-5</v>
      </c>
      <c r="U218" s="26">
        <v>1.3830152399999999E-3</v>
      </c>
      <c r="V218" s="26">
        <v>0.65468875000000004</v>
      </c>
      <c r="W218" s="26">
        <v>0</v>
      </c>
      <c r="X218" s="26">
        <v>7.0237648400000002E-4</v>
      </c>
      <c r="Y218" s="26">
        <v>2.54165134E-9</v>
      </c>
      <c r="Z218" s="26">
        <v>1.8881181800000001E-6</v>
      </c>
      <c r="AA218" s="26">
        <v>1.30032075E-6</v>
      </c>
      <c r="AB218" s="26">
        <v>5.6050504500000004E-6</v>
      </c>
      <c r="AC218" s="26">
        <v>0</v>
      </c>
      <c r="AD218" s="26">
        <v>0</v>
      </c>
      <c r="AE218" s="26">
        <v>0</v>
      </c>
      <c r="AF218" s="26">
        <v>0</v>
      </c>
      <c r="AG218" s="26">
        <v>0</v>
      </c>
      <c r="AH218" s="26">
        <v>0</v>
      </c>
      <c r="AI218" s="26">
        <v>0</v>
      </c>
      <c r="AJ218" s="26">
        <v>0</v>
      </c>
      <c r="AK218" s="26">
        <v>0</v>
      </c>
      <c r="AL218" s="26">
        <v>0</v>
      </c>
      <c r="AM218" s="26">
        <v>2.8245544999999999E-9</v>
      </c>
      <c r="AN218" s="26">
        <v>2765.7482100000002</v>
      </c>
      <c r="AO218" s="26">
        <v>9109.4546599999994</v>
      </c>
      <c r="AP218" s="26">
        <v>0</v>
      </c>
      <c r="AQ218" s="26">
        <v>0</v>
      </c>
      <c r="AR218" s="26">
        <v>0</v>
      </c>
      <c r="AS218" s="26">
        <v>0</v>
      </c>
      <c r="AT218" s="26">
        <v>0</v>
      </c>
      <c r="AU218" s="26">
        <v>0</v>
      </c>
      <c r="AV218" s="26">
        <v>0</v>
      </c>
      <c r="AW218" s="26">
        <v>0</v>
      </c>
      <c r="AX218" s="26">
        <v>0</v>
      </c>
      <c r="AY218" s="26">
        <v>0</v>
      </c>
      <c r="AZ218" s="26">
        <v>0</v>
      </c>
      <c r="BA218" s="26">
        <v>0</v>
      </c>
      <c r="BB218" s="26">
        <v>0</v>
      </c>
      <c r="BC218" s="26">
        <v>0</v>
      </c>
      <c r="BD218" s="26">
        <v>0</v>
      </c>
      <c r="BE218" s="26">
        <v>0</v>
      </c>
      <c r="BF218" s="26">
        <v>0</v>
      </c>
      <c r="BG218" s="26">
        <v>0</v>
      </c>
      <c r="BH218" s="26">
        <v>0</v>
      </c>
      <c r="BI218" s="26">
        <v>0</v>
      </c>
      <c r="BJ218" s="26">
        <v>0</v>
      </c>
      <c r="BK218" s="26">
        <v>0</v>
      </c>
      <c r="BL218" s="26">
        <v>0</v>
      </c>
      <c r="BM218" s="26">
        <v>0</v>
      </c>
      <c r="BN218" s="26">
        <v>0</v>
      </c>
      <c r="BO218" s="26">
        <v>421.39563700000002</v>
      </c>
      <c r="BP218" s="26">
        <v>12052.6684</v>
      </c>
      <c r="BQ218" s="26">
        <v>27350.293900000001</v>
      </c>
      <c r="BR218" s="26">
        <v>55.274737099999982</v>
      </c>
      <c r="BS218" s="26">
        <v>6.9084628700000001</v>
      </c>
      <c r="BT218" s="26">
        <v>1</v>
      </c>
      <c r="BU218" s="26">
        <v>0</v>
      </c>
      <c r="BV218" s="26">
        <v>0</v>
      </c>
      <c r="BW218" s="26">
        <v>-1139.55213</v>
      </c>
      <c r="BX218" s="26">
        <v>-39.841989900000002</v>
      </c>
      <c r="BY218" s="26">
        <v>-0.48020229800000003</v>
      </c>
      <c r="BZ218" s="26">
        <v>-2.2239911999999999</v>
      </c>
      <c r="CA218" s="26">
        <v>-7.7757070600000006E-2</v>
      </c>
      <c r="CB218" s="26">
        <v>2.56789216E-4</v>
      </c>
      <c r="CC218" s="26">
        <v>7.3446305699999999E-3</v>
      </c>
      <c r="CD218" s="26">
        <v>28.601787399999999</v>
      </c>
      <c r="CE218" s="26">
        <v>0</v>
      </c>
      <c r="CF218" s="26">
        <v>0</v>
      </c>
      <c r="CG218" s="26">
        <v>0</v>
      </c>
      <c r="CH218" s="26">
        <v>0</v>
      </c>
      <c r="CI218" s="26">
        <v>0</v>
      </c>
      <c r="CJ218" s="26">
        <v>0</v>
      </c>
      <c r="CK218" s="26">
        <v>0</v>
      </c>
      <c r="CL218" s="26">
        <v>0</v>
      </c>
      <c r="CM218" s="26">
        <v>0</v>
      </c>
      <c r="CN218" s="26">
        <v>0</v>
      </c>
      <c r="CO218" s="26">
        <v>0</v>
      </c>
      <c r="CP218" s="26">
        <v>0</v>
      </c>
      <c r="CQ218" s="26">
        <v>0</v>
      </c>
      <c r="CR218" s="26">
        <v>0</v>
      </c>
      <c r="CS218" s="26">
        <v>0</v>
      </c>
      <c r="CT218" s="26">
        <v>0</v>
      </c>
      <c r="CU218" s="26">
        <v>0</v>
      </c>
      <c r="CV218" s="26">
        <v>0</v>
      </c>
      <c r="CW218" s="26">
        <v>0</v>
      </c>
      <c r="CX218" s="26">
        <v>0</v>
      </c>
      <c r="CY218" s="26">
        <v>0</v>
      </c>
      <c r="CZ218" s="26">
        <v>0</v>
      </c>
      <c r="DA218" s="26">
        <v>0</v>
      </c>
      <c r="DB218" s="26">
        <v>0</v>
      </c>
      <c r="DC218" s="26">
        <v>0</v>
      </c>
      <c r="DD218" s="26">
        <v>0</v>
      </c>
      <c r="DE218" s="26">
        <v>0</v>
      </c>
      <c r="DF218" s="26">
        <v>0</v>
      </c>
      <c r="DG218" s="26">
        <v>0</v>
      </c>
      <c r="DH218" s="26">
        <v>0</v>
      </c>
      <c r="DI218" s="26">
        <v>0</v>
      </c>
      <c r="DJ218" s="26">
        <v>0</v>
      </c>
      <c r="DK218" s="26">
        <v>0</v>
      </c>
      <c r="DL218" s="26">
        <v>0</v>
      </c>
      <c r="DM218" s="26">
        <v>0</v>
      </c>
      <c r="DN218" s="26">
        <v>0</v>
      </c>
      <c r="DO218" s="26">
        <v>0</v>
      </c>
      <c r="DP218" s="26">
        <v>0</v>
      </c>
      <c r="DQ218" s="26">
        <v>0</v>
      </c>
      <c r="DR218" s="26">
        <v>0</v>
      </c>
      <c r="DS218" s="26">
        <v>0</v>
      </c>
      <c r="DT218" s="26">
        <v>0</v>
      </c>
      <c r="DU218" s="26">
        <v>0</v>
      </c>
      <c r="DV218" s="26">
        <v>0</v>
      </c>
      <c r="DW218" s="26">
        <v>0</v>
      </c>
      <c r="DX218" s="26">
        <v>0</v>
      </c>
      <c r="DY218" s="26">
        <v>0</v>
      </c>
      <c r="DZ218" s="26">
        <v>0</v>
      </c>
      <c r="EA218" s="26">
        <v>0</v>
      </c>
      <c r="EB218" s="26">
        <v>0</v>
      </c>
      <c r="EC218" s="26">
        <v>0</v>
      </c>
      <c r="ED218" s="26">
        <v>0</v>
      </c>
      <c r="EE218" s="26">
        <v>0</v>
      </c>
      <c r="EF218" s="26">
        <v>0</v>
      </c>
      <c r="EG218" s="26">
        <v>0</v>
      </c>
      <c r="EH218" s="26">
        <v>0</v>
      </c>
      <c r="EI218" s="26">
        <v>0</v>
      </c>
      <c r="EJ218" s="26">
        <v>0</v>
      </c>
      <c r="EK218" s="26">
        <v>0</v>
      </c>
      <c r="EL218" s="26">
        <v>0</v>
      </c>
      <c r="EM218" s="26">
        <v>0</v>
      </c>
      <c r="EN218" s="26">
        <v>0</v>
      </c>
      <c r="EO218" s="26">
        <v>0</v>
      </c>
      <c r="EP218" s="26">
        <v>0</v>
      </c>
      <c r="EQ218" s="26">
        <v>0</v>
      </c>
      <c r="ER218" s="26">
        <v>0</v>
      </c>
      <c r="ES218" s="26">
        <v>0</v>
      </c>
      <c r="ET218" s="26">
        <v>6.9084628700000001</v>
      </c>
      <c r="EU218" s="26">
        <v>0</v>
      </c>
      <c r="EV218" s="26">
        <v>0</v>
      </c>
      <c r="EW218" s="26">
        <v>0</v>
      </c>
      <c r="EX218" s="26">
        <v>0</v>
      </c>
      <c r="EY218" s="26">
        <v>0</v>
      </c>
      <c r="EZ218" s="26">
        <v>0</v>
      </c>
      <c r="FA218" s="26">
        <v>0</v>
      </c>
      <c r="FB218" s="26">
        <v>0</v>
      </c>
      <c r="FC218" s="26">
        <v>0</v>
      </c>
      <c r="FD218" s="26">
        <v>0</v>
      </c>
      <c r="FE218" s="26">
        <v>0</v>
      </c>
      <c r="FF218" s="26">
        <v>0</v>
      </c>
      <c r="FG218" s="26">
        <v>2.9303655799999998E-4</v>
      </c>
      <c r="FH218" s="26">
        <v>-663828.24316099996</v>
      </c>
      <c r="FI218" s="26">
        <v>2.3601914438815315E-5</v>
      </c>
      <c r="FJ218" s="26">
        <v>2.7081699911098043E-3</v>
      </c>
      <c r="FK218" s="26">
        <v>7.0566729453422726E-6</v>
      </c>
      <c r="FL218" s="26">
        <v>5.8656339358139608E-17</v>
      </c>
      <c r="FM218" s="26">
        <v>1.2876117575231163E-16</v>
      </c>
      <c r="FN218" s="26">
        <v>5.4025668209983126E-17</v>
      </c>
      <c r="FO218" s="26">
        <v>1.5349690650575303E-14</v>
      </c>
      <c r="FP218" s="26">
        <v>3.180897442113846E-15</v>
      </c>
      <c r="FQ218" s="26">
        <v>8.1375824262117701E-14</v>
      </c>
      <c r="FR218" s="26">
        <v>0</v>
      </c>
      <c r="FS218" s="26">
        <v>1.4407794865262359E-16</v>
      </c>
      <c r="FT218" s="26">
        <v>3.6360097235325226E-18</v>
      </c>
      <c r="FU218" s="26">
        <v>1.525598487204788E-18</v>
      </c>
      <c r="FV218" s="26">
        <v>6.4150760513206084E-15</v>
      </c>
      <c r="FW218" s="26">
        <v>7.8176553958745769E-16</v>
      </c>
      <c r="FX218" s="26">
        <v>1.3738276193239542E-15</v>
      </c>
      <c r="FY218" s="26">
        <v>5.3293079037455744E-11</v>
      </c>
      <c r="FZ218" s="26">
        <v>3.0463159410371943E-9</v>
      </c>
      <c r="GA218" s="26">
        <v>1.8926671984746708E-6</v>
      </c>
      <c r="GB218" s="26">
        <v>0</v>
      </c>
      <c r="GC218" s="26">
        <v>2.1659313145496725E-9</v>
      </c>
      <c r="GD218" s="26">
        <v>4.6403344537893425E-15</v>
      </c>
      <c r="GE218" s="26">
        <v>5.6949766011153687E-12</v>
      </c>
      <c r="GF218" s="26">
        <v>3.0587055244696442E-12</v>
      </c>
      <c r="GG218" s="26">
        <v>9.142144906470492E-11</v>
      </c>
      <c r="GH218" s="26">
        <v>0</v>
      </c>
      <c r="GI218" s="26">
        <v>0</v>
      </c>
      <c r="GJ218" s="26">
        <v>0</v>
      </c>
      <c r="GK218" s="26">
        <v>0</v>
      </c>
      <c r="GL218" s="26">
        <v>0</v>
      </c>
      <c r="GM218" s="26">
        <v>0</v>
      </c>
      <c r="GN218" s="26">
        <v>0</v>
      </c>
      <c r="GO218" s="26">
        <v>0</v>
      </c>
      <c r="GP218" s="26">
        <v>0</v>
      </c>
      <c r="GQ218" s="26">
        <v>0</v>
      </c>
      <c r="GR218" s="26">
        <v>2.7776665749991104E-15</v>
      </c>
      <c r="GS218" s="26">
        <v>2.4009131553184165E-2</v>
      </c>
      <c r="GT218" s="26">
        <v>9.0328088222624697E-2</v>
      </c>
      <c r="GU218" s="26">
        <v>0</v>
      </c>
      <c r="GV218" s="26">
        <v>0</v>
      </c>
      <c r="GW218" s="26">
        <v>0</v>
      </c>
      <c r="GX218" s="26">
        <v>0</v>
      </c>
      <c r="GY218" s="26">
        <v>0</v>
      </c>
      <c r="GZ218" s="26">
        <v>0</v>
      </c>
      <c r="HA218" s="26">
        <v>0</v>
      </c>
      <c r="HB218" s="26">
        <v>0</v>
      </c>
      <c r="HC218" s="26">
        <v>0</v>
      </c>
      <c r="HD218" s="26">
        <v>0</v>
      </c>
      <c r="HE218" s="26">
        <v>0</v>
      </c>
      <c r="HF218" s="26">
        <v>0</v>
      </c>
      <c r="HG218" s="26">
        <v>0</v>
      </c>
      <c r="HH218" s="26">
        <v>0</v>
      </c>
      <c r="HI218" s="26">
        <v>0</v>
      </c>
      <c r="HJ218" s="26">
        <v>0</v>
      </c>
      <c r="HK218" s="26">
        <v>0</v>
      </c>
      <c r="HL218" s="26">
        <v>0</v>
      </c>
      <c r="HM218" s="26">
        <v>0</v>
      </c>
      <c r="HN218" s="26">
        <v>0</v>
      </c>
      <c r="HO218" s="26">
        <v>0</v>
      </c>
      <c r="HP218" s="26">
        <v>0</v>
      </c>
      <c r="HQ218" s="26">
        <v>0</v>
      </c>
      <c r="HR218" s="26">
        <v>0</v>
      </c>
      <c r="HS218" s="26">
        <v>0</v>
      </c>
      <c r="HT218" s="26">
        <v>0</v>
      </c>
    </row>
    <row r="219" spans="2:228" x14ac:dyDescent="0.2">
      <c r="B219" s="27" t="s">
        <v>2423</v>
      </c>
      <c r="C219" s="26">
        <v>36537.4012</v>
      </c>
      <c r="D219" s="26">
        <v>-75.9268632</v>
      </c>
      <c r="E219" s="26">
        <v>12796.7947</v>
      </c>
      <c r="F219" s="26">
        <v>5.6908961199999997</v>
      </c>
      <c r="G219" s="26">
        <v>19.406647100000001</v>
      </c>
      <c r="H219" s="26">
        <v>42.601067899999997</v>
      </c>
      <c r="I219" s="26">
        <v>17.874573999999999</v>
      </c>
      <c r="J219" s="26">
        <v>39.536914400000001</v>
      </c>
      <c r="K219" s="26">
        <v>8.1931859300000003</v>
      </c>
      <c r="L219" s="26">
        <v>12.3268285</v>
      </c>
      <c r="M219" s="26">
        <v>0</v>
      </c>
      <c r="N219" s="26">
        <v>42.1889374</v>
      </c>
      <c r="O219" s="26">
        <v>1.06469719</v>
      </c>
      <c r="P219" s="26">
        <v>0.44672609200000002</v>
      </c>
      <c r="Q219" s="26">
        <v>14.5408311</v>
      </c>
      <c r="R219" s="26">
        <v>1.7720009199999998</v>
      </c>
      <c r="S219" s="26">
        <v>454.53548699999999</v>
      </c>
      <c r="T219" s="26">
        <v>24.442412099999999</v>
      </c>
      <c r="U219" s="26">
        <v>13.727160899999999</v>
      </c>
      <c r="V219" s="26">
        <v>5.4553707400000002</v>
      </c>
      <c r="W219" s="26">
        <v>0</v>
      </c>
      <c r="X219" s="26">
        <v>63.071577700000006</v>
      </c>
      <c r="Y219" s="26">
        <v>28.107912599999999</v>
      </c>
      <c r="Z219" s="26">
        <v>6.4919260200000002</v>
      </c>
      <c r="AA219" s="26">
        <v>17.041494499999999</v>
      </c>
      <c r="AB219" s="26">
        <v>2.2060205300000001E-5</v>
      </c>
      <c r="AC219" s="26">
        <v>0</v>
      </c>
      <c r="AD219" s="26">
        <v>92.392319200000003</v>
      </c>
      <c r="AE219" s="26">
        <v>69.287240199999999</v>
      </c>
      <c r="AF219" s="26">
        <v>4.7966345199999996</v>
      </c>
      <c r="AG219" s="26">
        <v>0</v>
      </c>
      <c r="AH219" s="26">
        <v>0</v>
      </c>
      <c r="AI219" s="26">
        <v>0</v>
      </c>
      <c r="AJ219" s="26">
        <v>0</v>
      </c>
      <c r="AK219" s="26">
        <v>0</v>
      </c>
      <c r="AL219" s="26">
        <v>0</v>
      </c>
      <c r="AM219" s="26">
        <v>0.49732316200000004</v>
      </c>
      <c r="AN219" s="26">
        <v>0.53546559800000004</v>
      </c>
      <c r="AO219" s="26">
        <v>0.95449282599999996</v>
      </c>
      <c r="AP219" s="26">
        <v>0</v>
      </c>
      <c r="AQ219" s="26">
        <v>0</v>
      </c>
      <c r="AR219" s="26">
        <v>0</v>
      </c>
      <c r="AS219" s="26">
        <v>0</v>
      </c>
      <c r="AT219" s="26">
        <v>0</v>
      </c>
      <c r="AU219" s="26">
        <v>0</v>
      </c>
      <c r="AV219" s="26">
        <v>0</v>
      </c>
      <c r="AW219" s="26">
        <v>0</v>
      </c>
      <c r="AX219" s="26">
        <v>0</v>
      </c>
      <c r="AY219" s="26">
        <v>0</v>
      </c>
      <c r="AZ219" s="26">
        <v>0</v>
      </c>
      <c r="BA219" s="26">
        <v>0</v>
      </c>
      <c r="BB219" s="26">
        <v>0</v>
      </c>
      <c r="BC219" s="26">
        <v>0</v>
      </c>
      <c r="BD219" s="26">
        <v>0</v>
      </c>
      <c r="BE219" s="26">
        <v>0</v>
      </c>
      <c r="BF219" s="26">
        <v>0</v>
      </c>
      <c r="BG219" s="26">
        <v>0</v>
      </c>
      <c r="BH219" s="26">
        <v>0</v>
      </c>
      <c r="BI219" s="26">
        <v>0</v>
      </c>
      <c r="BJ219" s="26">
        <v>0</v>
      </c>
      <c r="BK219" s="26">
        <v>0</v>
      </c>
      <c r="BL219" s="26">
        <v>0</v>
      </c>
      <c r="BM219" s="26">
        <v>0</v>
      </c>
      <c r="BN219" s="26">
        <v>0</v>
      </c>
      <c r="BO219" s="26">
        <v>717.27984100000003</v>
      </c>
      <c r="BP219" s="26">
        <v>13783.774799999999</v>
      </c>
      <c r="BQ219" s="26">
        <v>232.94771800000001</v>
      </c>
      <c r="BR219" s="26">
        <v>55.274737099999982</v>
      </c>
      <c r="BS219" s="26">
        <v>6.9084628700000001</v>
      </c>
      <c r="BT219" s="26">
        <v>0</v>
      </c>
      <c r="BU219" s="26">
        <v>1</v>
      </c>
      <c r="BV219" s="26">
        <v>0</v>
      </c>
      <c r="BW219" s="26">
        <v>-69393.101599999995</v>
      </c>
      <c r="BX219" s="26">
        <v>-3611.0770499999999</v>
      </c>
      <c r="BY219" s="26">
        <v>-49.774273299999997</v>
      </c>
      <c r="BZ219" s="26">
        <v>-38.493007800000001</v>
      </c>
      <c r="CA219" s="26">
        <v>-2.0030984900000002</v>
      </c>
      <c r="CB219" s="26">
        <v>5.13190855E-2</v>
      </c>
      <c r="CC219" s="26">
        <v>0.98618513500000005</v>
      </c>
      <c r="CD219" s="26">
        <v>19.216732400000001</v>
      </c>
      <c r="CE219" s="26">
        <v>0</v>
      </c>
      <c r="CF219" s="26">
        <v>0</v>
      </c>
      <c r="CG219" s="26">
        <v>0</v>
      </c>
      <c r="CH219" s="26">
        <v>0</v>
      </c>
      <c r="CI219" s="26">
        <v>0</v>
      </c>
      <c r="CJ219" s="26">
        <v>0</v>
      </c>
      <c r="CK219" s="26">
        <v>0</v>
      </c>
      <c r="CL219" s="26">
        <v>0</v>
      </c>
      <c r="CM219" s="26">
        <v>0</v>
      </c>
      <c r="CN219" s="26">
        <v>0</v>
      </c>
      <c r="CO219" s="26">
        <v>0</v>
      </c>
      <c r="CP219" s="26">
        <v>0</v>
      </c>
      <c r="CQ219" s="26">
        <v>0</v>
      </c>
      <c r="CR219" s="26">
        <v>0</v>
      </c>
      <c r="CS219" s="26">
        <v>0</v>
      </c>
      <c r="CT219" s="26">
        <v>0</v>
      </c>
      <c r="CU219" s="26">
        <v>0</v>
      </c>
      <c r="CV219" s="26">
        <v>0</v>
      </c>
      <c r="CW219" s="26">
        <v>0</v>
      </c>
      <c r="CX219" s="26">
        <v>0</v>
      </c>
      <c r="CY219" s="26">
        <v>0</v>
      </c>
      <c r="CZ219" s="26">
        <v>0</v>
      </c>
      <c r="DA219" s="26">
        <v>0</v>
      </c>
      <c r="DB219" s="26">
        <v>0</v>
      </c>
      <c r="DC219" s="26">
        <v>0</v>
      </c>
      <c r="DD219" s="26">
        <v>0</v>
      </c>
      <c r="DE219" s="26">
        <v>0</v>
      </c>
      <c r="DF219" s="26">
        <v>0</v>
      </c>
      <c r="DG219" s="26">
        <v>0</v>
      </c>
      <c r="DH219" s="26">
        <v>0</v>
      </c>
      <c r="DI219" s="26">
        <v>0</v>
      </c>
      <c r="DJ219" s="26">
        <v>0</v>
      </c>
      <c r="DK219" s="26">
        <v>0</v>
      </c>
      <c r="DL219" s="26">
        <v>0</v>
      </c>
      <c r="DM219" s="26">
        <v>0</v>
      </c>
      <c r="DN219" s="26">
        <v>0</v>
      </c>
      <c r="DO219" s="26">
        <v>0</v>
      </c>
      <c r="DP219" s="26">
        <v>0</v>
      </c>
      <c r="DQ219" s="26">
        <v>0</v>
      </c>
      <c r="DR219" s="26">
        <v>0</v>
      </c>
      <c r="DS219" s="26">
        <v>0</v>
      </c>
      <c r="DT219" s="26">
        <v>0</v>
      </c>
      <c r="DU219" s="26">
        <v>0</v>
      </c>
      <c r="DV219" s="26">
        <v>0</v>
      </c>
      <c r="DW219" s="26">
        <v>0</v>
      </c>
      <c r="DX219" s="26">
        <v>1229.54883</v>
      </c>
      <c r="DY219" s="26">
        <v>30.360077199999999</v>
      </c>
      <c r="DZ219" s="26">
        <v>12.7384939</v>
      </c>
      <c r="EA219" s="26">
        <v>414.63797699999998</v>
      </c>
      <c r="EB219" s="26">
        <v>50.529359200000002</v>
      </c>
      <c r="EC219" s="26">
        <v>12225.687900000001</v>
      </c>
      <c r="ED219" s="26">
        <v>0</v>
      </c>
      <c r="EE219" s="26">
        <v>2808.7910499999998</v>
      </c>
      <c r="EF219" s="26">
        <v>4025.6906999999997</v>
      </c>
      <c r="EG219" s="26">
        <v>510.38714000000004</v>
      </c>
      <c r="EH219" s="26">
        <v>56.709764099999994</v>
      </c>
      <c r="EI219" s="26">
        <v>819.264544</v>
      </c>
      <c r="EJ219" s="26">
        <v>105.64618299999999</v>
      </c>
      <c r="EK219" s="26">
        <v>0</v>
      </c>
      <c r="EL219" s="26">
        <v>463.63439</v>
      </c>
      <c r="EM219" s="26">
        <v>0</v>
      </c>
      <c r="EN219" s="26">
        <v>0</v>
      </c>
      <c r="EO219" s="26">
        <v>0</v>
      </c>
      <c r="EP219" s="26">
        <v>350.89466800000002</v>
      </c>
      <c r="EQ219" s="26">
        <v>22753.626400000001</v>
      </c>
      <c r="ER219" s="26">
        <v>273.72922799999998</v>
      </c>
      <c r="ES219" s="26">
        <v>55.274737099999982</v>
      </c>
      <c r="ET219" s="26">
        <v>6.9084628700000001</v>
      </c>
      <c r="EU219" s="26">
        <v>0</v>
      </c>
      <c r="EV219" s="26">
        <v>0</v>
      </c>
      <c r="EW219" s="26">
        <v>1</v>
      </c>
      <c r="EX219" s="26">
        <v>-74531.168900000004</v>
      </c>
      <c r="EY219" s="26">
        <v>-1149.3811700000001</v>
      </c>
      <c r="EZ219" s="26">
        <v>-26.15259</v>
      </c>
      <c r="FA219" s="26">
        <v>-147.80295599999999</v>
      </c>
      <c r="FB219" s="26">
        <v>-2.2793408099999999</v>
      </c>
      <c r="FC219" s="26">
        <v>2.1365070999999999E-2</v>
      </c>
      <c r="FD219" s="26">
        <v>1.38540961</v>
      </c>
      <c r="FE219" s="26">
        <v>64.844605700000002</v>
      </c>
      <c r="FF219" s="26">
        <v>0</v>
      </c>
      <c r="FG219" s="26">
        <v>0.86180874399999996</v>
      </c>
      <c r="FH219" s="26">
        <v>-88959507.9692</v>
      </c>
      <c r="FI219" s="26">
        <v>8.3794931225915012E-3</v>
      </c>
      <c r="FJ219" s="26">
        <v>0</v>
      </c>
      <c r="FK219" s="26">
        <v>0</v>
      </c>
      <c r="FL219" s="26">
        <v>0</v>
      </c>
      <c r="FM219" s="26">
        <v>0</v>
      </c>
      <c r="FN219" s="26">
        <v>0</v>
      </c>
      <c r="FO219" s="26">
        <v>0</v>
      </c>
      <c r="FP219" s="26">
        <v>0</v>
      </c>
      <c r="FQ219" s="26">
        <v>0</v>
      </c>
      <c r="FR219" s="26">
        <v>0</v>
      </c>
      <c r="FS219" s="26">
        <v>0</v>
      </c>
      <c r="FT219" s="26">
        <v>0</v>
      </c>
      <c r="FU219" s="26">
        <v>0</v>
      </c>
      <c r="FV219" s="26">
        <v>0</v>
      </c>
      <c r="FW219" s="26">
        <v>0</v>
      </c>
      <c r="FX219" s="26">
        <v>0</v>
      </c>
      <c r="FY219" s="26">
        <v>0</v>
      </c>
      <c r="FZ219" s="26">
        <v>0</v>
      </c>
      <c r="GA219" s="26">
        <v>0</v>
      </c>
      <c r="GB219" s="26">
        <v>0</v>
      </c>
      <c r="GC219" s="26">
        <v>0</v>
      </c>
      <c r="GD219" s="26">
        <v>0</v>
      </c>
      <c r="GE219" s="26">
        <v>0</v>
      </c>
      <c r="GF219" s="26">
        <v>0</v>
      </c>
      <c r="GG219" s="26">
        <v>0</v>
      </c>
      <c r="GH219" s="26">
        <v>0</v>
      </c>
      <c r="GI219" s="26">
        <v>0</v>
      </c>
      <c r="GJ219" s="26">
        <v>0</v>
      </c>
      <c r="GK219" s="26">
        <v>0</v>
      </c>
      <c r="GL219" s="26">
        <v>0</v>
      </c>
      <c r="GM219" s="26">
        <v>0</v>
      </c>
      <c r="GN219" s="26">
        <v>0</v>
      </c>
      <c r="GO219" s="26">
        <v>0</v>
      </c>
      <c r="GP219" s="26">
        <v>0</v>
      </c>
      <c r="GQ219" s="26">
        <v>0</v>
      </c>
      <c r="GR219" s="26">
        <v>0</v>
      </c>
      <c r="GS219" s="26">
        <v>0</v>
      </c>
      <c r="GT219" s="26">
        <v>0</v>
      </c>
      <c r="GU219" s="26">
        <v>0</v>
      </c>
      <c r="GV219" s="26">
        <v>0</v>
      </c>
      <c r="GW219" s="26">
        <v>0</v>
      </c>
      <c r="GX219" s="26">
        <v>0</v>
      </c>
      <c r="GY219" s="26">
        <v>0</v>
      </c>
      <c r="GZ219" s="26">
        <v>0</v>
      </c>
      <c r="HA219" s="26">
        <v>0</v>
      </c>
      <c r="HB219" s="26">
        <v>0</v>
      </c>
      <c r="HC219" s="26">
        <v>0</v>
      </c>
      <c r="HD219" s="26">
        <v>0</v>
      </c>
      <c r="HE219" s="26">
        <v>0</v>
      </c>
      <c r="HF219" s="26">
        <v>0</v>
      </c>
      <c r="HG219" s="26">
        <v>0</v>
      </c>
      <c r="HH219" s="26">
        <v>0</v>
      </c>
      <c r="HI219" s="26">
        <v>0</v>
      </c>
      <c r="HJ219" s="26">
        <v>0</v>
      </c>
      <c r="HK219" s="26">
        <v>0</v>
      </c>
      <c r="HL219" s="26">
        <v>0</v>
      </c>
      <c r="HM219" s="26">
        <v>0</v>
      </c>
      <c r="HN219" s="26">
        <v>0</v>
      </c>
      <c r="HO219" s="26">
        <v>0</v>
      </c>
      <c r="HP219" s="26">
        <v>0</v>
      </c>
      <c r="HQ219" s="26">
        <v>0</v>
      </c>
      <c r="HR219" s="26">
        <v>0</v>
      </c>
      <c r="HS219" s="26">
        <v>0</v>
      </c>
      <c r="HT219" s="26">
        <v>0.25201628646057478</v>
      </c>
    </row>
    <row r="220" spans="2:228" x14ac:dyDescent="0.2">
      <c r="B220" s="27" t="s">
        <v>2424</v>
      </c>
      <c r="C220" s="26">
        <v>36476.1178</v>
      </c>
      <c r="D220" s="26">
        <v>-75.834243700000002</v>
      </c>
      <c r="E220" s="26">
        <v>12735.1741</v>
      </c>
      <c r="F220" s="26">
        <v>6.8612350400000004</v>
      </c>
      <c r="G220" s="26">
        <v>19.406647100000001</v>
      </c>
      <c r="H220" s="26">
        <v>42.601067899999997</v>
      </c>
      <c r="I220" s="26">
        <v>17.874573999999999</v>
      </c>
      <c r="J220" s="26">
        <v>39.536914500000002</v>
      </c>
      <c r="K220" s="26">
        <v>8.1931859300000003</v>
      </c>
      <c r="L220" s="26">
        <v>12.326828600000001</v>
      </c>
      <c r="M220" s="26">
        <v>0</v>
      </c>
      <c r="N220" s="26">
        <v>42.1889374</v>
      </c>
      <c r="O220" s="26">
        <v>1.06469719</v>
      </c>
      <c r="P220" s="26">
        <v>0.44672609200000002</v>
      </c>
      <c r="Q220" s="26">
        <v>14.5408311</v>
      </c>
      <c r="R220" s="26">
        <v>1.7720009199999998</v>
      </c>
      <c r="S220" s="26">
        <v>454.53548699999999</v>
      </c>
      <c r="T220" s="26">
        <v>24.442441299999999</v>
      </c>
      <c r="U220" s="26">
        <v>13.728543999999999</v>
      </c>
      <c r="V220" s="26">
        <v>6.1100594900000003</v>
      </c>
      <c r="W220" s="26">
        <v>0</v>
      </c>
      <c r="X220" s="26">
        <v>63.072279999999999</v>
      </c>
      <c r="Y220" s="26">
        <v>28.107912599999999</v>
      </c>
      <c r="Z220" s="26">
        <v>6.4919279000000003</v>
      </c>
      <c r="AA220" s="26">
        <v>17.0414958</v>
      </c>
      <c r="AB220" s="26">
        <v>2.7665255699999999E-5</v>
      </c>
      <c r="AC220" s="26">
        <v>0</v>
      </c>
      <c r="AD220" s="26">
        <v>92.392319200000003</v>
      </c>
      <c r="AE220" s="26">
        <v>69.287240199999999</v>
      </c>
      <c r="AF220" s="26">
        <v>4.7966345199999996</v>
      </c>
      <c r="AG220" s="26">
        <v>0</v>
      </c>
      <c r="AH220" s="26">
        <v>0</v>
      </c>
      <c r="AI220" s="26">
        <v>0</v>
      </c>
      <c r="AJ220" s="26">
        <v>0</v>
      </c>
      <c r="AK220" s="26">
        <v>0</v>
      </c>
      <c r="AL220" s="26">
        <v>0</v>
      </c>
      <c r="AM220" s="26">
        <v>0.49732316500000007</v>
      </c>
      <c r="AN220" s="26">
        <v>0</v>
      </c>
      <c r="AO220" s="26">
        <v>0</v>
      </c>
      <c r="AP220" s="26">
        <v>0</v>
      </c>
      <c r="AQ220" s="26">
        <v>0</v>
      </c>
      <c r="AR220" s="26">
        <v>0</v>
      </c>
      <c r="AS220" s="26">
        <v>1.42950053E-18</v>
      </c>
      <c r="AT220" s="26">
        <v>0</v>
      </c>
      <c r="AU220" s="26">
        <v>0</v>
      </c>
      <c r="AV220" s="26">
        <v>2.8341595199999999E-11</v>
      </c>
      <c r="AW220" s="26">
        <v>0</v>
      </c>
      <c r="AX220" s="26">
        <v>0</v>
      </c>
      <c r="AY220" s="26">
        <v>0</v>
      </c>
      <c r="AZ220" s="26">
        <v>0</v>
      </c>
      <c r="BA220" s="26">
        <v>0</v>
      </c>
      <c r="BB220" s="26">
        <v>0</v>
      </c>
      <c r="BC220" s="26">
        <v>0</v>
      </c>
      <c r="BD220" s="26">
        <v>0</v>
      </c>
      <c r="BE220" s="26">
        <v>0</v>
      </c>
      <c r="BF220" s="26">
        <v>0</v>
      </c>
      <c r="BG220" s="26">
        <v>0</v>
      </c>
      <c r="BH220" s="26">
        <v>0</v>
      </c>
      <c r="BI220" s="26">
        <v>0</v>
      </c>
      <c r="BJ220" s="26">
        <v>0</v>
      </c>
      <c r="BK220" s="26">
        <v>0</v>
      </c>
      <c r="BL220" s="26">
        <v>0</v>
      </c>
      <c r="BM220" s="26">
        <v>0</v>
      </c>
      <c r="BN220" s="26">
        <v>0</v>
      </c>
      <c r="BO220" s="26">
        <v>713.84080900000004</v>
      </c>
      <c r="BP220" s="26">
        <v>13722.491400000001</v>
      </c>
      <c r="BQ220" s="26">
        <v>229.953125</v>
      </c>
      <c r="BR220" s="26">
        <v>47.190559600000029</v>
      </c>
      <c r="BS220" s="26">
        <v>1</v>
      </c>
      <c r="BT220" s="26">
        <v>0</v>
      </c>
      <c r="BU220" s="26">
        <v>1</v>
      </c>
      <c r="BV220" s="26">
        <v>0</v>
      </c>
      <c r="BW220" s="26">
        <v>-69522.303400000004</v>
      </c>
      <c r="BX220" s="26">
        <v>-3616.53404</v>
      </c>
      <c r="BY220" s="26">
        <v>-49.6278577</v>
      </c>
      <c r="BZ220" s="26">
        <v>-38.8658523</v>
      </c>
      <c r="CA220" s="26">
        <v>-2.02179259</v>
      </c>
      <c r="CB220" s="26">
        <v>5.1738138599999997E-2</v>
      </c>
      <c r="CC220" s="26">
        <v>0.99458612199999996</v>
      </c>
      <c r="CD220" s="26">
        <v>19.2234616</v>
      </c>
      <c r="CE220" s="26">
        <v>0</v>
      </c>
      <c r="CF220" s="26">
        <v>0</v>
      </c>
      <c r="CG220" s="26">
        <v>0</v>
      </c>
      <c r="CH220" s="26">
        <v>0</v>
      </c>
      <c r="CI220" s="26">
        <v>0</v>
      </c>
      <c r="CJ220" s="26">
        <v>0</v>
      </c>
      <c r="CK220" s="26">
        <v>0</v>
      </c>
      <c r="CL220" s="26">
        <v>0</v>
      </c>
      <c r="CM220" s="26">
        <v>0</v>
      </c>
      <c r="CN220" s="26">
        <v>0</v>
      </c>
      <c r="CO220" s="26">
        <v>0</v>
      </c>
      <c r="CP220" s="26">
        <v>0</v>
      </c>
      <c r="CQ220" s="26">
        <v>0</v>
      </c>
      <c r="CR220" s="26">
        <v>0</v>
      </c>
      <c r="CS220" s="26">
        <v>0</v>
      </c>
      <c r="CT220" s="26">
        <v>0</v>
      </c>
      <c r="CU220" s="26">
        <v>0</v>
      </c>
      <c r="CV220" s="26">
        <v>0</v>
      </c>
      <c r="CW220" s="26">
        <v>0</v>
      </c>
      <c r="CX220" s="26">
        <v>0</v>
      </c>
      <c r="CY220" s="26">
        <v>0</v>
      </c>
      <c r="CZ220" s="26">
        <v>0</v>
      </c>
      <c r="DA220" s="26">
        <v>0</v>
      </c>
      <c r="DB220" s="26">
        <v>0</v>
      </c>
      <c r="DC220" s="26">
        <v>0</v>
      </c>
      <c r="DD220" s="26">
        <v>0</v>
      </c>
      <c r="DE220" s="26">
        <v>0</v>
      </c>
      <c r="DF220" s="26">
        <v>0</v>
      </c>
      <c r="DG220" s="26">
        <v>0</v>
      </c>
      <c r="DH220" s="26">
        <v>0</v>
      </c>
      <c r="DI220" s="26">
        <v>0</v>
      </c>
      <c r="DJ220" s="26">
        <v>0</v>
      </c>
      <c r="DK220" s="26">
        <v>0</v>
      </c>
      <c r="DL220" s="26">
        <v>0</v>
      </c>
      <c r="DM220" s="26">
        <v>0</v>
      </c>
      <c r="DN220" s="26">
        <v>0</v>
      </c>
      <c r="DO220" s="26">
        <v>0</v>
      </c>
      <c r="DP220" s="26">
        <v>0</v>
      </c>
      <c r="DQ220" s="26">
        <v>0</v>
      </c>
      <c r="DR220" s="26">
        <v>0</v>
      </c>
      <c r="DS220" s="26">
        <v>0</v>
      </c>
      <c r="DT220" s="26">
        <v>0</v>
      </c>
      <c r="DU220" s="26">
        <v>0</v>
      </c>
      <c r="DV220" s="26">
        <v>0</v>
      </c>
      <c r="DW220" s="26">
        <v>0</v>
      </c>
      <c r="DX220" s="26">
        <v>1229.54883</v>
      </c>
      <c r="DY220" s="26">
        <v>30.360077199999999</v>
      </c>
      <c r="DZ220" s="26">
        <v>12.7384939</v>
      </c>
      <c r="EA220" s="26">
        <v>414.63797699999998</v>
      </c>
      <c r="EB220" s="26">
        <v>50.529359200000002</v>
      </c>
      <c r="EC220" s="26">
        <v>12225.687900000001</v>
      </c>
      <c r="ED220" s="26">
        <v>0</v>
      </c>
      <c r="EE220" s="26">
        <v>2808.7910499999998</v>
      </c>
      <c r="EF220" s="26">
        <v>4025.6906999999997</v>
      </c>
      <c r="EG220" s="26">
        <v>510.38714000000004</v>
      </c>
      <c r="EH220" s="26">
        <v>56.709764099999994</v>
      </c>
      <c r="EI220" s="26">
        <v>819.264544</v>
      </c>
      <c r="EJ220" s="26">
        <v>105.64618299999999</v>
      </c>
      <c r="EK220" s="26">
        <v>0</v>
      </c>
      <c r="EL220" s="26">
        <v>463.63439</v>
      </c>
      <c r="EM220" s="26">
        <v>0</v>
      </c>
      <c r="EN220" s="26">
        <v>0</v>
      </c>
      <c r="EO220" s="26">
        <v>0</v>
      </c>
      <c r="EP220" s="26">
        <v>350.89466800000002</v>
      </c>
      <c r="EQ220" s="26">
        <v>22753.626400000001</v>
      </c>
      <c r="ER220" s="26">
        <v>273.72922799999998</v>
      </c>
      <c r="ES220" s="26">
        <v>47.190559600000029</v>
      </c>
      <c r="ET220" s="26">
        <v>1</v>
      </c>
      <c r="EU220" s="26">
        <v>0</v>
      </c>
      <c r="EV220" s="26">
        <v>0</v>
      </c>
      <c r="EW220" s="26">
        <v>1</v>
      </c>
      <c r="EX220" s="26">
        <v>-74684.479999999996</v>
      </c>
      <c r="EY220" s="26">
        <v>-1151.7454600000001</v>
      </c>
      <c r="EZ220" s="26">
        <v>-26.206385999999998</v>
      </c>
      <c r="FA220" s="26">
        <v>-148.27559199999999</v>
      </c>
      <c r="FB220" s="26">
        <v>-2.2866295600000002</v>
      </c>
      <c r="FC220" s="26">
        <v>2.1365070999999999E-2</v>
      </c>
      <c r="FD220" s="26">
        <v>1.38540961</v>
      </c>
      <c r="FE220" s="26">
        <v>64.844605700000002</v>
      </c>
      <c r="FF220" s="26">
        <v>0</v>
      </c>
      <c r="FG220" s="26">
        <v>0.86335349299999997</v>
      </c>
      <c r="FH220" s="26">
        <v>-88681372.797599986</v>
      </c>
      <c r="FI220" s="26">
        <v>8.4030950394469832E-3</v>
      </c>
      <c r="FJ220" s="26">
        <v>0</v>
      </c>
      <c r="FK220" s="26">
        <v>0</v>
      </c>
      <c r="FL220" s="26">
        <v>0</v>
      </c>
      <c r="FM220" s="26">
        <v>0</v>
      </c>
      <c r="FN220" s="26">
        <v>0</v>
      </c>
      <c r="FO220" s="26">
        <v>0</v>
      </c>
      <c r="FP220" s="26">
        <v>0</v>
      </c>
      <c r="FQ220" s="26">
        <v>0</v>
      </c>
      <c r="FR220" s="26">
        <v>0</v>
      </c>
      <c r="FS220" s="26">
        <v>0</v>
      </c>
      <c r="FT220" s="26">
        <v>0</v>
      </c>
      <c r="FU220" s="26">
        <v>0</v>
      </c>
      <c r="FV220" s="26">
        <v>0</v>
      </c>
      <c r="FW220" s="26">
        <v>0</v>
      </c>
      <c r="FX220" s="26">
        <v>0</v>
      </c>
      <c r="FY220" s="26">
        <v>0</v>
      </c>
      <c r="FZ220" s="26">
        <v>0</v>
      </c>
      <c r="GA220" s="26">
        <v>0</v>
      </c>
      <c r="GB220" s="26">
        <v>0</v>
      </c>
      <c r="GC220" s="26">
        <v>0</v>
      </c>
      <c r="GD220" s="26">
        <v>0</v>
      </c>
      <c r="GE220" s="26">
        <v>0</v>
      </c>
      <c r="GF220" s="26">
        <v>0</v>
      </c>
      <c r="GG220" s="26">
        <v>0</v>
      </c>
      <c r="GH220" s="26">
        <v>0</v>
      </c>
      <c r="GI220" s="26">
        <v>0</v>
      </c>
      <c r="GJ220" s="26">
        <v>0</v>
      </c>
      <c r="GK220" s="26">
        <v>0</v>
      </c>
      <c r="GL220" s="26">
        <v>0</v>
      </c>
      <c r="GM220" s="26">
        <v>0</v>
      </c>
      <c r="GN220" s="26">
        <v>0</v>
      </c>
      <c r="GO220" s="26">
        <v>0</v>
      </c>
      <c r="GP220" s="26">
        <v>0</v>
      </c>
      <c r="GQ220" s="26">
        <v>0</v>
      </c>
      <c r="GR220" s="26">
        <v>0</v>
      </c>
      <c r="GS220" s="26">
        <v>0</v>
      </c>
      <c r="GT220" s="26">
        <v>0</v>
      </c>
      <c r="GU220" s="26">
        <v>0</v>
      </c>
      <c r="GV220" s="26">
        <v>0</v>
      </c>
      <c r="GW220" s="26">
        <v>0</v>
      </c>
      <c r="GX220" s="26">
        <v>0</v>
      </c>
      <c r="GY220" s="26">
        <v>0</v>
      </c>
      <c r="GZ220" s="26">
        <v>0</v>
      </c>
      <c r="HA220" s="26">
        <v>0</v>
      </c>
      <c r="HB220" s="26">
        <v>0</v>
      </c>
      <c r="HC220" s="26">
        <v>0</v>
      </c>
      <c r="HD220" s="26">
        <v>0</v>
      </c>
      <c r="HE220" s="26">
        <v>0</v>
      </c>
      <c r="HF220" s="26">
        <v>0</v>
      </c>
      <c r="HG220" s="26">
        <v>0</v>
      </c>
      <c r="HH220" s="26">
        <v>0</v>
      </c>
      <c r="HI220" s="26">
        <v>0</v>
      </c>
      <c r="HJ220" s="26">
        <v>0</v>
      </c>
      <c r="HK220" s="26">
        <v>0</v>
      </c>
      <c r="HL220" s="26">
        <v>0</v>
      </c>
      <c r="HM220" s="26">
        <v>0</v>
      </c>
      <c r="HN220" s="26">
        <v>0</v>
      </c>
      <c r="HO220" s="26">
        <v>0</v>
      </c>
      <c r="HP220" s="26">
        <v>0</v>
      </c>
      <c r="HQ220" s="26">
        <v>0</v>
      </c>
      <c r="HR220" s="26">
        <v>0</v>
      </c>
      <c r="HS220" s="26">
        <v>0</v>
      </c>
      <c r="HT220" s="26">
        <v>0.25201628646057478</v>
      </c>
    </row>
    <row r="221" spans="2:228" x14ac:dyDescent="0.2">
      <c r="B221" s="27" t="s">
        <v>1413</v>
      </c>
      <c r="C221" s="26">
        <v>355313.18800000002</v>
      </c>
      <c r="D221" s="26">
        <v>-1283.8577</v>
      </c>
      <c r="E221" s="26">
        <v>329317.86599999998</v>
      </c>
      <c r="F221" s="26">
        <v>177.424138</v>
      </c>
      <c r="G221" s="26">
        <v>501.83496400000001</v>
      </c>
      <c r="H221" s="26">
        <v>1101.6176700000001</v>
      </c>
      <c r="I221" s="26">
        <v>462.21720500000004</v>
      </c>
      <c r="J221" s="26">
        <v>1022.3819700000001</v>
      </c>
      <c r="K221" s="26">
        <v>211.866952</v>
      </c>
      <c r="L221" s="26">
        <v>318.75849399999998</v>
      </c>
      <c r="M221" s="26">
        <v>0</v>
      </c>
      <c r="N221" s="26">
        <v>1090.9604200000001</v>
      </c>
      <c r="O221" s="26">
        <v>27.531921000000001</v>
      </c>
      <c r="P221" s="26">
        <v>11.551855</v>
      </c>
      <c r="Q221" s="26">
        <v>376.01020999999997</v>
      </c>
      <c r="R221" s="26">
        <v>45.822032800000002</v>
      </c>
      <c r="S221" s="26">
        <v>11753.797500000001</v>
      </c>
      <c r="T221" s="26">
        <v>632.05517199999997</v>
      </c>
      <c r="U221" s="26">
        <v>355.00534099999999</v>
      </c>
      <c r="V221" s="26">
        <v>157.999549</v>
      </c>
      <c r="W221" s="26">
        <v>0</v>
      </c>
      <c r="X221" s="26">
        <v>1630.9811400000001</v>
      </c>
      <c r="Y221" s="26">
        <v>726.84030600000006</v>
      </c>
      <c r="Z221" s="26">
        <v>167.87425400000001</v>
      </c>
      <c r="AA221" s="26">
        <v>440.67470300000002</v>
      </c>
      <c r="AB221" s="26">
        <v>7.1539367600000005E-4</v>
      </c>
      <c r="AC221" s="26">
        <v>0</v>
      </c>
      <c r="AD221" s="26">
        <v>2389.1657300000002</v>
      </c>
      <c r="AE221" s="26">
        <v>1791.6933100000001</v>
      </c>
      <c r="AF221" s="26">
        <v>124.03579599999999</v>
      </c>
      <c r="AG221" s="26">
        <v>0</v>
      </c>
      <c r="AH221" s="26">
        <v>0</v>
      </c>
      <c r="AI221" s="26">
        <v>0</v>
      </c>
      <c r="AJ221" s="26">
        <v>0</v>
      </c>
      <c r="AK221" s="26">
        <v>0</v>
      </c>
      <c r="AL221" s="26">
        <v>0</v>
      </c>
      <c r="AM221" s="26">
        <v>12.8602407</v>
      </c>
      <c r="AN221" s="26">
        <v>0</v>
      </c>
      <c r="AO221" s="26">
        <v>0</v>
      </c>
      <c r="AP221" s="26">
        <v>0</v>
      </c>
      <c r="AQ221" s="26">
        <v>0</v>
      </c>
      <c r="AR221" s="26">
        <v>0</v>
      </c>
      <c r="AS221" s="26">
        <v>3.6965341900000001E-17</v>
      </c>
      <c r="AT221" s="26">
        <v>0</v>
      </c>
      <c r="AU221" s="26">
        <v>0</v>
      </c>
      <c r="AV221" s="26">
        <v>7.3288308700000004E-10</v>
      </c>
      <c r="AW221" s="26">
        <v>0</v>
      </c>
      <c r="AX221" s="26">
        <v>0</v>
      </c>
      <c r="AY221" s="26">
        <v>0</v>
      </c>
      <c r="AZ221" s="26">
        <v>0</v>
      </c>
      <c r="BA221" s="26">
        <v>0</v>
      </c>
      <c r="BB221" s="26">
        <v>0</v>
      </c>
      <c r="BC221" s="26">
        <v>0</v>
      </c>
      <c r="BD221" s="26">
        <v>0</v>
      </c>
      <c r="BE221" s="26">
        <v>0</v>
      </c>
      <c r="BF221" s="26">
        <v>0</v>
      </c>
      <c r="BG221" s="26">
        <v>0</v>
      </c>
      <c r="BH221" s="26">
        <v>0</v>
      </c>
      <c r="BI221" s="26">
        <v>0</v>
      </c>
      <c r="BJ221" s="26">
        <v>0</v>
      </c>
      <c r="BK221" s="26">
        <v>0</v>
      </c>
      <c r="BL221" s="26">
        <v>0</v>
      </c>
      <c r="BM221" s="26">
        <v>0</v>
      </c>
      <c r="BN221" s="26">
        <v>0</v>
      </c>
      <c r="BO221" s="26">
        <v>18459.153399999999</v>
      </c>
      <c r="BP221" s="26">
        <v>354848.82799999998</v>
      </c>
      <c r="BQ221" s="26">
        <v>5946.3398200000001</v>
      </c>
      <c r="BR221" s="26">
        <v>47.190559600000029</v>
      </c>
      <c r="BS221" s="26">
        <v>1</v>
      </c>
      <c r="BT221" s="26">
        <v>0</v>
      </c>
      <c r="BU221" s="26">
        <v>1</v>
      </c>
      <c r="BV221" s="26">
        <v>0</v>
      </c>
      <c r="BW221" s="26">
        <v>-69522.303400000004</v>
      </c>
      <c r="BX221" s="26">
        <v>-3616.53404</v>
      </c>
      <c r="BY221" s="26">
        <v>-1283.3228799999999</v>
      </c>
      <c r="BZ221" s="26">
        <v>-38.8658523</v>
      </c>
      <c r="CA221" s="26">
        <v>-2.02179259</v>
      </c>
      <c r="CB221" s="26">
        <v>5.1738138599999997E-2</v>
      </c>
      <c r="CC221" s="26">
        <v>0.99458612199999996</v>
      </c>
      <c r="CD221" s="26">
        <v>19.2234616</v>
      </c>
      <c r="CE221" s="26">
        <v>0</v>
      </c>
      <c r="CF221" s="26">
        <v>0</v>
      </c>
      <c r="CG221" s="26">
        <v>0</v>
      </c>
      <c r="CH221" s="26">
        <v>0</v>
      </c>
      <c r="CI221" s="26">
        <v>0</v>
      </c>
      <c r="CJ221" s="26">
        <v>0</v>
      </c>
      <c r="CK221" s="26">
        <v>0</v>
      </c>
      <c r="CL221" s="26">
        <v>0</v>
      </c>
      <c r="CM221" s="26">
        <v>0</v>
      </c>
      <c r="CN221" s="26">
        <v>0</v>
      </c>
      <c r="CO221" s="26">
        <v>0</v>
      </c>
      <c r="CP221" s="26">
        <v>0</v>
      </c>
      <c r="CQ221" s="26">
        <v>0</v>
      </c>
      <c r="CR221" s="26">
        <v>0</v>
      </c>
      <c r="CS221" s="26">
        <v>0</v>
      </c>
      <c r="CT221" s="26">
        <v>0</v>
      </c>
      <c r="CU221" s="26">
        <v>0</v>
      </c>
      <c r="CV221" s="26">
        <v>0</v>
      </c>
      <c r="CW221" s="26">
        <v>0</v>
      </c>
      <c r="CX221" s="26">
        <v>0</v>
      </c>
      <c r="CY221" s="26">
        <v>0</v>
      </c>
      <c r="CZ221" s="26">
        <v>0</v>
      </c>
      <c r="DA221" s="26">
        <v>0</v>
      </c>
      <c r="DB221" s="26">
        <v>0</v>
      </c>
      <c r="DC221" s="26">
        <v>0</v>
      </c>
      <c r="DD221" s="26">
        <v>0</v>
      </c>
      <c r="DE221" s="26">
        <v>0</v>
      </c>
      <c r="DF221" s="26">
        <v>0</v>
      </c>
      <c r="DG221" s="26">
        <v>0</v>
      </c>
      <c r="DH221" s="26">
        <v>0</v>
      </c>
      <c r="DI221" s="26">
        <v>0</v>
      </c>
      <c r="DJ221" s="26">
        <v>0</v>
      </c>
      <c r="DK221" s="26">
        <v>0</v>
      </c>
      <c r="DL221" s="26">
        <v>0</v>
      </c>
      <c r="DM221" s="26">
        <v>0</v>
      </c>
      <c r="DN221" s="26">
        <v>0</v>
      </c>
      <c r="DO221" s="26">
        <v>0</v>
      </c>
      <c r="DP221" s="26">
        <v>0</v>
      </c>
      <c r="DQ221" s="26">
        <v>0</v>
      </c>
      <c r="DR221" s="26">
        <v>0</v>
      </c>
      <c r="DS221" s="26">
        <v>0</v>
      </c>
      <c r="DT221" s="26">
        <v>0</v>
      </c>
      <c r="DU221" s="26">
        <v>0</v>
      </c>
      <c r="DV221" s="26">
        <v>0</v>
      </c>
      <c r="DW221" s="26">
        <v>0</v>
      </c>
      <c r="DX221" s="26">
        <v>25.092833200000001</v>
      </c>
      <c r="DY221" s="26">
        <v>0.61959341099999998</v>
      </c>
      <c r="DZ221" s="26">
        <v>0.25996926399999998</v>
      </c>
      <c r="EA221" s="26">
        <v>8.4619995299999999</v>
      </c>
      <c r="EB221" s="26">
        <v>1.0312114100000001</v>
      </c>
      <c r="EC221" s="26">
        <v>249.50383400000001</v>
      </c>
      <c r="ED221" s="26">
        <v>0</v>
      </c>
      <c r="EE221" s="26">
        <v>57.32226639999999</v>
      </c>
      <c r="EF221" s="26">
        <v>82.156953099999996</v>
      </c>
      <c r="EG221" s="26">
        <v>10.4160641</v>
      </c>
      <c r="EH221" s="26">
        <v>1.15734212</v>
      </c>
      <c r="EI221" s="26">
        <v>16.719684600000001</v>
      </c>
      <c r="EJ221" s="26">
        <v>2.1560445600000002</v>
      </c>
      <c r="EK221" s="26">
        <v>0</v>
      </c>
      <c r="EL221" s="26">
        <v>9.4619263199999999</v>
      </c>
      <c r="EM221" s="26">
        <v>0</v>
      </c>
      <c r="EN221" s="26">
        <v>0</v>
      </c>
      <c r="EO221" s="26">
        <v>0</v>
      </c>
      <c r="EP221" s="26">
        <v>7.16111567</v>
      </c>
      <c r="EQ221" s="26">
        <v>464.35972200000003</v>
      </c>
      <c r="ER221" s="26">
        <v>5.5863107799999998</v>
      </c>
      <c r="ES221" s="26">
        <v>47.190559600000029</v>
      </c>
      <c r="ET221" s="26">
        <v>1</v>
      </c>
      <c r="EU221" s="26">
        <v>0</v>
      </c>
      <c r="EV221" s="26">
        <v>0</v>
      </c>
      <c r="EW221" s="26">
        <v>1</v>
      </c>
      <c r="EX221" s="26">
        <v>-74684.479999999996</v>
      </c>
      <c r="EY221" s="26">
        <v>-1151.7454600000001</v>
      </c>
      <c r="EZ221" s="26">
        <v>-0.53482420399999997</v>
      </c>
      <c r="FA221" s="26">
        <v>-148.27559199999999</v>
      </c>
      <c r="FB221" s="26">
        <v>-2.2866295600000002</v>
      </c>
      <c r="FC221" s="26">
        <v>2.1365070999999999E-2</v>
      </c>
      <c r="FD221" s="26">
        <v>1.38540961</v>
      </c>
      <c r="FE221" s="26">
        <v>64.844605700000002</v>
      </c>
      <c r="FF221" s="26">
        <v>0</v>
      </c>
      <c r="FG221" s="26">
        <v>7.2898075300000004E-2</v>
      </c>
      <c r="FH221" s="26">
        <v>-1501366755.5200002</v>
      </c>
      <c r="FI221" s="26">
        <v>0.21729497479391535</v>
      </c>
      <c r="FJ221" s="26">
        <v>0</v>
      </c>
      <c r="FK221" s="26">
        <v>0</v>
      </c>
      <c r="FL221" s="26">
        <v>0</v>
      </c>
      <c r="FM221" s="26">
        <v>0</v>
      </c>
      <c r="FN221" s="26">
        <v>0</v>
      </c>
      <c r="FO221" s="26">
        <v>0</v>
      </c>
      <c r="FP221" s="26">
        <v>0</v>
      </c>
      <c r="FQ221" s="26">
        <v>0</v>
      </c>
      <c r="FR221" s="26">
        <v>0</v>
      </c>
      <c r="FS221" s="26">
        <v>0</v>
      </c>
      <c r="FT221" s="26">
        <v>0</v>
      </c>
      <c r="FU221" s="26">
        <v>0</v>
      </c>
      <c r="FV221" s="26">
        <v>0</v>
      </c>
      <c r="FW221" s="26">
        <v>0</v>
      </c>
      <c r="FX221" s="26">
        <v>0</v>
      </c>
      <c r="FY221" s="26">
        <v>0</v>
      </c>
      <c r="FZ221" s="26">
        <v>0</v>
      </c>
      <c r="GA221" s="26">
        <v>0</v>
      </c>
      <c r="GB221" s="26">
        <v>0</v>
      </c>
      <c r="GC221" s="26">
        <v>0</v>
      </c>
      <c r="GD221" s="26">
        <v>0</v>
      </c>
      <c r="GE221" s="26">
        <v>0</v>
      </c>
      <c r="GF221" s="26">
        <v>0</v>
      </c>
      <c r="GG221" s="26">
        <v>0</v>
      </c>
      <c r="GH221" s="26">
        <v>0</v>
      </c>
      <c r="GI221" s="26">
        <v>0</v>
      </c>
      <c r="GJ221" s="26">
        <v>0</v>
      </c>
      <c r="GK221" s="26">
        <v>0</v>
      </c>
      <c r="GL221" s="26">
        <v>0</v>
      </c>
      <c r="GM221" s="26">
        <v>0</v>
      </c>
      <c r="GN221" s="26">
        <v>0</v>
      </c>
      <c r="GO221" s="26">
        <v>0</v>
      </c>
      <c r="GP221" s="26">
        <v>0</v>
      </c>
      <c r="GQ221" s="26">
        <v>0</v>
      </c>
      <c r="GR221" s="26">
        <v>0</v>
      </c>
      <c r="GS221" s="26">
        <v>0</v>
      </c>
      <c r="GT221" s="26">
        <v>0</v>
      </c>
      <c r="GU221" s="26">
        <v>0</v>
      </c>
      <c r="GV221" s="26">
        <v>0</v>
      </c>
      <c r="GW221" s="26">
        <v>0</v>
      </c>
      <c r="GX221" s="26">
        <v>0</v>
      </c>
      <c r="GY221" s="26">
        <v>0</v>
      </c>
      <c r="GZ221" s="26">
        <v>0</v>
      </c>
      <c r="HA221" s="26">
        <v>0</v>
      </c>
      <c r="HB221" s="26">
        <v>0</v>
      </c>
      <c r="HC221" s="26">
        <v>0</v>
      </c>
      <c r="HD221" s="26">
        <v>0</v>
      </c>
      <c r="HE221" s="26">
        <v>0</v>
      </c>
      <c r="HF221" s="26">
        <v>0</v>
      </c>
      <c r="HG221" s="26">
        <v>0</v>
      </c>
      <c r="HH221" s="26">
        <v>0</v>
      </c>
      <c r="HI221" s="26">
        <v>0</v>
      </c>
      <c r="HJ221" s="26">
        <v>0</v>
      </c>
      <c r="HK221" s="26">
        <v>0</v>
      </c>
      <c r="HL221" s="26">
        <v>0</v>
      </c>
      <c r="HM221" s="26">
        <v>0</v>
      </c>
      <c r="HN221" s="26">
        <v>0</v>
      </c>
      <c r="HO221" s="26">
        <v>0</v>
      </c>
      <c r="HP221" s="26">
        <v>0</v>
      </c>
      <c r="HQ221" s="26">
        <v>0</v>
      </c>
      <c r="HR221" s="26">
        <v>0</v>
      </c>
      <c r="HS221" s="26">
        <v>0</v>
      </c>
      <c r="HT221" s="26">
        <v>5.1431895133677383E-3</v>
      </c>
    </row>
    <row r="222" spans="2:228" x14ac:dyDescent="0.2">
      <c r="B222" s="27" t="s">
        <v>3015</v>
      </c>
      <c r="C222" s="26">
        <v>36476.1178</v>
      </c>
      <c r="D222" s="26">
        <v>-75.818766699999998</v>
      </c>
      <c r="E222" s="26">
        <v>12735.1741</v>
      </c>
      <c r="F222" s="26">
        <v>6.8612350400000004</v>
      </c>
      <c r="G222" s="26">
        <v>19.406647100000001</v>
      </c>
      <c r="H222" s="26">
        <v>42.601067899999997</v>
      </c>
      <c r="I222" s="26">
        <v>17.874573999999999</v>
      </c>
      <c r="J222" s="26">
        <v>39.536914500000002</v>
      </c>
      <c r="K222" s="26">
        <v>8.1931859300000003</v>
      </c>
      <c r="L222" s="26">
        <v>12.326828600000001</v>
      </c>
      <c r="M222" s="26">
        <v>0</v>
      </c>
      <c r="N222" s="26">
        <v>42.1889374</v>
      </c>
      <c r="O222" s="26">
        <v>1.06469719</v>
      </c>
      <c r="P222" s="26">
        <v>0.44672609200000002</v>
      </c>
      <c r="Q222" s="26">
        <v>14.5408311</v>
      </c>
      <c r="R222" s="26">
        <v>1.7720009199999998</v>
      </c>
      <c r="S222" s="26">
        <v>454.53548699999999</v>
      </c>
      <c r="T222" s="26">
        <v>24.442441299999999</v>
      </c>
      <c r="U222" s="26">
        <v>13.728543999999999</v>
      </c>
      <c r="V222" s="26">
        <v>6.1100594900000003</v>
      </c>
      <c r="W222" s="26">
        <v>0</v>
      </c>
      <c r="X222" s="26">
        <v>63.072279999999999</v>
      </c>
      <c r="Y222" s="26">
        <v>28.107912599999999</v>
      </c>
      <c r="Z222" s="26">
        <v>6.4919279000000003</v>
      </c>
      <c r="AA222" s="26">
        <v>17.0414958</v>
      </c>
      <c r="AB222" s="26">
        <v>2.7665255699999999E-5</v>
      </c>
      <c r="AC222" s="26">
        <v>0</v>
      </c>
      <c r="AD222" s="26">
        <v>92.392319200000003</v>
      </c>
      <c r="AE222" s="26">
        <v>69.287240199999999</v>
      </c>
      <c r="AF222" s="26">
        <v>4.7966345199999996</v>
      </c>
      <c r="AG222" s="26">
        <v>0</v>
      </c>
      <c r="AH222" s="26">
        <v>0</v>
      </c>
      <c r="AI222" s="26">
        <v>0</v>
      </c>
      <c r="AJ222" s="26">
        <v>0</v>
      </c>
      <c r="AK222" s="26">
        <v>0</v>
      </c>
      <c r="AL222" s="26">
        <v>0</v>
      </c>
      <c r="AM222" s="26">
        <v>0.49732316500000007</v>
      </c>
      <c r="AN222" s="26">
        <v>0</v>
      </c>
      <c r="AO222" s="26">
        <v>0</v>
      </c>
      <c r="AP222" s="26">
        <v>0</v>
      </c>
      <c r="AQ222" s="26">
        <v>0</v>
      </c>
      <c r="AR222" s="26">
        <v>0</v>
      </c>
      <c r="AS222" s="26">
        <v>1.42950053E-18</v>
      </c>
      <c r="AT222" s="26">
        <v>0</v>
      </c>
      <c r="AU222" s="26">
        <v>0</v>
      </c>
      <c r="AV222" s="26">
        <v>2.8341595199999999E-11</v>
      </c>
      <c r="AW222" s="26">
        <v>0</v>
      </c>
      <c r="AX222" s="26">
        <v>0</v>
      </c>
      <c r="AY222" s="26">
        <v>0</v>
      </c>
      <c r="AZ222" s="26">
        <v>0</v>
      </c>
      <c r="BA222" s="26">
        <v>0</v>
      </c>
      <c r="BB222" s="26">
        <v>0</v>
      </c>
      <c r="BC222" s="26">
        <v>0</v>
      </c>
      <c r="BD222" s="26">
        <v>0</v>
      </c>
      <c r="BE222" s="26">
        <v>0</v>
      </c>
      <c r="BF222" s="26">
        <v>0</v>
      </c>
      <c r="BG222" s="26">
        <v>0</v>
      </c>
      <c r="BH222" s="26">
        <v>0</v>
      </c>
      <c r="BI222" s="26">
        <v>0</v>
      </c>
      <c r="BJ222" s="26">
        <v>0</v>
      </c>
      <c r="BK222" s="26">
        <v>0</v>
      </c>
      <c r="BL222" s="26">
        <v>0</v>
      </c>
      <c r="BM222" s="26">
        <v>0</v>
      </c>
      <c r="BN222" s="26">
        <v>0</v>
      </c>
      <c r="BO222" s="26">
        <v>713.84080900000004</v>
      </c>
      <c r="BP222" s="26">
        <v>13722.491400000001</v>
      </c>
      <c r="BQ222" s="26">
        <v>230.142956</v>
      </c>
      <c r="BR222" s="26">
        <v>47.995346100000006</v>
      </c>
      <c r="BS222" s="26">
        <v>22.681546900000001</v>
      </c>
      <c r="BT222" s="26">
        <v>0</v>
      </c>
      <c r="BU222" s="26">
        <v>1</v>
      </c>
      <c r="BV222" s="26">
        <v>0</v>
      </c>
      <c r="BW222" s="26">
        <v>-69508.081099999996</v>
      </c>
      <c r="BX222" s="26">
        <v>-3615.7941999999998</v>
      </c>
      <c r="BY222" s="26">
        <v>-49.617705200000003</v>
      </c>
      <c r="BZ222" s="26">
        <v>-38.821528999999998</v>
      </c>
      <c r="CA222" s="26">
        <v>-2.0194869</v>
      </c>
      <c r="CB222" s="26">
        <v>5.1695463099999998E-2</v>
      </c>
      <c r="CC222" s="26">
        <v>0.99376575099999997</v>
      </c>
      <c r="CD222" s="26">
        <v>19.2234616</v>
      </c>
      <c r="CE222" s="26">
        <v>0</v>
      </c>
      <c r="CF222" s="26">
        <v>0</v>
      </c>
      <c r="CG222" s="26">
        <v>0</v>
      </c>
      <c r="CH222" s="26">
        <v>0</v>
      </c>
      <c r="CI222" s="26">
        <v>0</v>
      </c>
      <c r="CJ222" s="26">
        <v>0</v>
      </c>
      <c r="CK222" s="26">
        <v>0</v>
      </c>
      <c r="CL222" s="26">
        <v>0</v>
      </c>
      <c r="CM222" s="26">
        <v>0</v>
      </c>
      <c r="CN222" s="26">
        <v>0</v>
      </c>
      <c r="CO222" s="26">
        <v>0</v>
      </c>
      <c r="CP222" s="26">
        <v>0</v>
      </c>
      <c r="CQ222" s="26">
        <v>0</v>
      </c>
      <c r="CR222" s="26">
        <v>0</v>
      </c>
      <c r="CS222" s="26">
        <v>0</v>
      </c>
      <c r="CT222" s="26">
        <v>0</v>
      </c>
      <c r="CU222" s="26">
        <v>0</v>
      </c>
      <c r="CV222" s="26">
        <v>0</v>
      </c>
      <c r="CW222" s="26">
        <v>0</v>
      </c>
      <c r="CX222" s="26">
        <v>0</v>
      </c>
      <c r="CY222" s="26">
        <v>0</v>
      </c>
      <c r="CZ222" s="26">
        <v>0</v>
      </c>
      <c r="DA222" s="26">
        <v>0</v>
      </c>
      <c r="DB222" s="26">
        <v>0</v>
      </c>
      <c r="DC222" s="26">
        <v>0</v>
      </c>
      <c r="DD222" s="26">
        <v>0</v>
      </c>
      <c r="DE222" s="26">
        <v>0</v>
      </c>
      <c r="DF222" s="26">
        <v>0</v>
      </c>
      <c r="DG222" s="26">
        <v>0</v>
      </c>
      <c r="DH222" s="26">
        <v>0</v>
      </c>
      <c r="DI222" s="26">
        <v>0</v>
      </c>
      <c r="DJ222" s="26">
        <v>0</v>
      </c>
      <c r="DK222" s="26">
        <v>0</v>
      </c>
      <c r="DL222" s="26">
        <v>0</v>
      </c>
      <c r="DM222" s="26">
        <v>0</v>
      </c>
      <c r="DN222" s="26">
        <v>0</v>
      </c>
      <c r="DO222" s="26">
        <v>0</v>
      </c>
      <c r="DP222" s="26">
        <v>0</v>
      </c>
      <c r="DQ222" s="26">
        <v>0</v>
      </c>
      <c r="DR222" s="26">
        <v>0</v>
      </c>
      <c r="DS222" s="26">
        <v>0</v>
      </c>
      <c r="DT222" s="26">
        <v>0</v>
      </c>
      <c r="DU222" s="26">
        <v>0</v>
      </c>
      <c r="DV222" s="26">
        <v>0</v>
      </c>
      <c r="DW222" s="26">
        <v>0</v>
      </c>
      <c r="DX222" s="26">
        <v>1229.54883</v>
      </c>
      <c r="DY222" s="26">
        <v>30.360077199999999</v>
      </c>
      <c r="DZ222" s="26">
        <v>12.7384939</v>
      </c>
      <c r="EA222" s="26">
        <v>414.63797699999998</v>
      </c>
      <c r="EB222" s="26">
        <v>50.529359200000002</v>
      </c>
      <c r="EC222" s="26">
        <v>12225.687900000001</v>
      </c>
      <c r="ED222" s="26">
        <v>0</v>
      </c>
      <c r="EE222" s="26">
        <v>2808.7910499999998</v>
      </c>
      <c r="EF222" s="26">
        <v>4025.6906999999997</v>
      </c>
      <c r="EG222" s="26">
        <v>510.38714000000004</v>
      </c>
      <c r="EH222" s="26">
        <v>56.709764099999994</v>
      </c>
      <c r="EI222" s="26">
        <v>819.264544</v>
      </c>
      <c r="EJ222" s="26">
        <v>105.64618299999999</v>
      </c>
      <c r="EK222" s="26">
        <v>0</v>
      </c>
      <c r="EL222" s="26">
        <v>463.63439</v>
      </c>
      <c r="EM222" s="26">
        <v>0</v>
      </c>
      <c r="EN222" s="26">
        <v>0</v>
      </c>
      <c r="EO222" s="26">
        <v>0</v>
      </c>
      <c r="EP222" s="26">
        <v>350.89466800000002</v>
      </c>
      <c r="EQ222" s="26">
        <v>22753.626400000001</v>
      </c>
      <c r="ER222" s="26">
        <v>273.72922799999998</v>
      </c>
      <c r="ES222" s="26">
        <v>47.995346100000006</v>
      </c>
      <c r="ET222" s="26">
        <v>22.681546900000001</v>
      </c>
      <c r="EU222" s="26">
        <v>0</v>
      </c>
      <c r="EV222" s="26">
        <v>0</v>
      </c>
      <c r="EW222" s="26">
        <v>1</v>
      </c>
      <c r="EX222" s="26">
        <v>-74669.305800000002</v>
      </c>
      <c r="EY222" s="26">
        <v>-1151.51145</v>
      </c>
      <c r="EZ222" s="26">
        <v>-26.201061500000002</v>
      </c>
      <c r="FA222" s="26">
        <v>-148.228283</v>
      </c>
      <c r="FB222" s="26">
        <v>-2.2858999799999999</v>
      </c>
      <c r="FC222" s="26">
        <v>2.1365070999999999E-2</v>
      </c>
      <c r="FD222" s="26">
        <v>1.38540961</v>
      </c>
      <c r="FE222" s="26">
        <v>64.844605700000002</v>
      </c>
      <c r="FF222" s="26">
        <v>0</v>
      </c>
      <c r="FG222" s="26">
        <v>0.86335349299999997</v>
      </c>
      <c r="FH222" s="26">
        <v>-88681372.797599986</v>
      </c>
      <c r="FI222" s="26">
        <v>8.4030950394469832E-3</v>
      </c>
      <c r="FJ222" s="26">
        <v>0</v>
      </c>
      <c r="FK222" s="26">
        <v>0</v>
      </c>
      <c r="FL222" s="26">
        <v>0</v>
      </c>
      <c r="FM222" s="26">
        <v>0</v>
      </c>
      <c r="FN222" s="26">
        <v>0</v>
      </c>
      <c r="FO222" s="26">
        <v>0</v>
      </c>
      <c r="FP222" s="26">
        <v>0</v>
      </c>
      <c r="FQ222" s="26">
        <v>0</v>
      </c>
      <c r="FR222" s="26">
        <v>0</v>
      </c>
      <c r="FS222" s="26">
        <v>0</v>
      </c>
      <c r="FT222" s="26">
        <v>0</v>
      </c>
      <c r="FU222" s="26">
        <v>0</v>
      </c>
      <c r="FV222" s="26">
        <v>0</v>
      </c>
      <c r="FW222" s="26">
        <v>0</v>
      </c>
      <c r="FX222" s="26">
        <v>0</v>
      </c>
      <c r="FY222" s="26">
        <v>0</v>
      </c>
      <c r="FZ222" s="26">
        <v>0</v>
      </c>
      <c r="GA222" s="26">
        <v>0</v>
      </c>
      <c r="GB222" s="26">
        <v>0</v>
      </c>
      <c r="GC222" s="26">
        <v>0</v>
      </c>
      <c r="GD222" s="26">
        <v>0</v>
      </c>
      <c r="GE222" s="26">
        <v>0</v>
      </c>
      <c r="GF222" s="26">
        <v>0</v>
      </c>
      <c r="GG222" s="26">
        <v>0</v>
      </c>
      <c r="GH222" s="26">
        <v>0</v>
      </c>
      <c r="GI222" s="26">
        <v>0</v>
      </c>
      <c r="GJ222" s="26">
        <v>0</v>
      </c>
      <c r="GK222" s="26">
        <v>0</v>
      </c>
      <c r="GL222" s="26">
        <v>0</v>
      </c>
      <c r="GM222" s="26">
        <v>0</v>
      </c>
      <c r="GN222" s="26">
        <v>0</v>
      </c>
      <c r="GO222" s="26">
        <v>0</v>
      </c>
      <c r="GP222" s="26">
        <v>0</v>
      </c>
      <c r="GQ222" s="26">
        <v>0</v>
      </c>
      <c r="GR222" s="26">
        <v>0</v>
      </c>
      <c r="GS222" s="26">
        <v>0</v>
      </c>
      <c r="GT222" s="26">
        <v>0</v>
      </c>
      <c r="GU222" s="26">
        <v>0</v>
      </c>
      <c r="GV222" s="26">
        <v>0</v>
      </c>
      <c r="GW222" s="26">
        <v>0</v>
      </c>
      <c r="GX222" s="26">
        <v>0</v>
      </c>
      <c r="GY222" s="26">
        <v>0</v>
      </c>
      <c r="GZ222" s="26">
        <v>0</v>
      </c>
      <c r="HA222" s="26">
        <v>0</v>
      </c>
      <c r="HB222" s="26">
        <v>0</v>
      </c>
      <c r="HC222" s="26">
        <v>0</v>
      </c>
      <c r="HD222" s="26">
        <v>0</v>
      </c>
      <c r="HE222" s="26">
        <v>0</v>
      </c>
      <c r="HF222" s="26">
        <v>0</v>
      </c>
      <c r="HG222" s="26">
        <v>0</v>
      </c>
      <c r="HH222" s="26">
        <v>0</v>
      </c>
      <c r="HI222" s="26">
        <v>0</v>
      </c>
      <c r="HJ222" s="26">
        <v>0</v>
      </c>
      <c r="HK222" s="26">
        <v>0</v>
      </c>
      <c r="HL222" s="26">
        <v>0</v>
      </c>
      <c r="HM222" s="26">
        <v>0</v>
      </c>
      <c r="HN222" s="26">
        <v>0</v>
      </c>
      <c r="HO222" s="26">
        <v>0</v>
      </c>
      <c r="HP222" s="26">
        <v>0</v>
      </c>
      <c r="HQ222" s="26">
        <v>0</v>
      </c>
      <c r="HR222" s="26">
        <v>0</v>
      </c>
      <c r="HS222" s="26">
        <v>0</v>
      </c>
      <c r="HT222" s="26">
        <v>0.25201628646057478</v>
      </c>
    </row>
    <row r="223" spans="2:228" x14ac:dyDescent="0.2">
      <c r="B223" s="27" t="s">
        <v>1609</v>
      </c>
      <c r="C223" s="26">
        <v>809.40134899999998</v>
      </c>
      <c r="D223" s="26">
        <v>2.9333120099999999E-3</v>
      </c>
      <c r="E223" s="26">
        <v>0</v>
      </c>
      <c r="F223" s="26">
        <v>0</v>
      </c>
      <c r="G223" s="26">
        <v>0</v>
      </c>
      <c r="H223" s="26">
        <v>0</v>
      </c>
      <c r="I223" s="26">
        <v>0</v>
      </c>
      <c r="J223" s="26">
        <v>0</v>
      </c>
      <c r="K223" s="26">
        <v>0</v>
      </c>
      <c r="L223" s="26">
        <v>0</v>
      </c>
      <c r="M223" s="26">
        <v>0</v>
      </c>
      <c r="N223" s="26">
        <v>0</v>
      </c>
      <c r="O223" s="26">
        <v>0</v>
      </c>
      <c r="P223" s="26">
        <v>0</v>
      </c>
      <c r="Q223" s="26">
        <v>0</v>
      </c>
      <c r="R223" s="26">
        <v>0</v>
      </c>
      <c r="S223" s="26">
        <v>0</v>
      </c>
      <c r="T223" s="26">
        <v>0</v>
      </c>
      <c r="U223" s="26">
        <v>0</v>
      </c>
      <c r="V223" s="26">
        <v>0</v>
      </c>
      <c r="W223" s="26">
        <v>0</v>
      </c>
      <c r="X223" s="26">
        <v>0</v>
      </c>
      <c r="Y223" s="26">
        <v>0</v>
      </c>
      <c r="Z223" s="26">
        <v>0</v>
      </c>
      <c r="AA223" s="26">
        <v>0</v>
      </c>
      <c r="AB223" s="26">
        <v>0</v>
      </c>
      <c r="AC223" s="26">
        <v>0</v>
      </c>
      <c r="AD223" s="26">
        <v>0</v>
      </c>
      <c r="AE223" s="26">
        <v>0</v>
      </c>
      <c r="AF223" s="26">
        <v>0</v>
      </c>
      <c r="AG223" s="26">
        <v>0</v>
      </c>
      <c r="AH223" s="26">
        <v>0</v>
      </c>
      <c r="AI223" s="26">
        <v>0</v>
      </c>
      <c r="AJ223" s="26">
        <v>0</v>
      </c>
      <c r="AK223" s="26">
        <v>0</v>
      </c>
      <c r="AL223" s="26">
        <v>0</v>
      </c>
      <c r="AM223" s="26">
        <v>0</v>
      </c>
      <c r="AN223" s="26">
        <v>188.523335</v>
      </c>
      <c r="AO223" s="26">
        <v>620.87801400000001</v>
      </c>
      <c r="AP223" s="26">
        <v>0</v>
      </c>
      <c r="AQ223" s="26">
        <v>0</v>
      </c>
      <c r="AR223" s="26">
        <v>0</v>
      </c>
      <c r="AS223" s="26">
        <v>0</v>
      </c>
      <c r="AT223" s="26">
        <v>0</v>
      </c>
      <c r="AU223" s="26">
        <v>0</v>
      </c>
      <c r="AV223" s="26">
        <v>0</v>
      </c>
      <c r="AW223" s="26">
        <v>0</v>
      </c>
      <c r="AX223" s="26">
        <v>0</v>
      </c>
      <c r="AY223" s="26">
        <v>0</v>
      </c>
      <c r="AZ223" s="26">
        <v>0</v>
      </c>
      <c r="BA223" s="26">
        <v>0</v>
      </c>
      <c r="BB223" s="26">
        <v>0</v>
      </c>
      <c r="BC223" s="26">
        <v>0</v>
      </c>
      <c r="BD223" s="26">
        <v>0</v>
      </c>
      <c r="BE223" s="26">
        <v>0</v>
      </c>
      <c r="BF223" s="26">
        <v>0</v>
      </c>
      <c r="BG223" s="26">
        <v>0</v>
      </c>
      <c r="BH223" s="26">
        <v>0</v>
      </c>
      <c r="BI223" s="26">
        <v>0</v>
      </c>
      <c r="BJ223" s="26">
        <v>0</v>
      </c>
      <c r="BK223" s="26">
        <v>0</v>
      </c>
      <c r="BL223" s="26">
        <v>0</v>
      </c>
      <c r="BM223" s="26">
        <v>0</v>
      </c>
      <c r="BN223" s="26">
        <v>0</v>
      </c>
      <c r="BO223" s="26">
        <v>28.0551198</v>
      </c>
      <c r="BP223" s="26">
        <v>809.40134899999998</v>
      </c>
      <c r="BQ223" s="26">
        <v>760.887698</v>
      </c>
      <c r="BR223" s="26">
        <v>40</v>
      </c>
      <c r="BS223" s="26">
        <v>15.7907723</v>
      </c>
      <c r="BT223" s="26">
        <v>1</v>
      </c>
      <c r="BU223" s="26">
        <v>0</v>
      </c>
      <c r="BV223" s="26">
        <v>0</v>
      </c>
      <c r="BW223" s="26">
        <v>104.555319</v>
      </c>
      <c r="BX223" s="26">
        <v>3.6240512699999998</v>
      </c>
      <c r="BY223" s="26">
        <v>2.9333120099999999E-3</v>
      </c>
      <c r="BZ223" s="26">
        <v>-4.1170074899999998</v>
      </c>
      <c r="CA223" s="26">
        <v>-0.142701935</v>
      </c>
      <c r="CB223" s="26">
        <v>6.1452606599999996E-4</v>
      </c>
      <c r="CC223" s="26">
        <v>1.7729321100000001E-2</v>
      </c>
      <c r="CD223" s="26">
        <v>28.8503972</v>
      </c>
      <c r="CE223" s="26">
        <v>25.042841299999999</v>
      </c>
      <c r="CF223" s="26">
        <v>0</v>
      </c>
      <c r="CG223" s="26">
        <v>0</v>
      </c>
      <c r="CH223" s="26">
        <v>0</v>
      </c>
      <c r="CI223" s="26">
        <v>0</v>
      </c>
      <c r="CJ223" s="26">
        <v>0</v>
      </c>
      <c r="CK223" s="26">
        <v>0</v>
      </c>
      <c r="CL223" s="26">
        <v>0</v>
      </c>
      <c r="CM223" s="26">
        <v>0</v>
      </c>
      <c r="CN223" s="26">
        <v>0</v>
      </c>
      <c r="CO223" s="26">
        <v>0</v>
      </c>
      <c r="CP223" s="26">
        <v>0</v>
      </c>
      <c r="CQ223" s="26">
        <v>0</v>
      </c>
      <c r="CR223" s="26">
        <v>0</v>
      </c>
      <c r="CS223" s="26">
        <v>0</v>
      </c>
      <c r="CT223" s="26">
        <v>0</v>
      </c>
      <c r="CU223" s="26">
        <v>0</v>
      </c>
      <c r="CV223" s="26">
        <v>0</v>
      </c>
      <c r="CW223" s="26">
        <v>0</v>
      </c>
      <c r="CX223" s="26">
        <v>0</v>
      </c>
      <c r="CY223" s="26">
        <v>0</v>
      </c>
      <c r="CZ223" s="26">
        <v>0</v>
      </c>
      <c r="DA223" s="26">
        <v>0</v>
      </c>
      <c r="DB223" s="26">
        <v>0</v>
      </c>
      <c r="DC223" s="26">
        <v>0</v>
      </c>
      <c r="DD223" s="26">
        <v>0</v>
      </c>
      <c r="DE223" s="26">
        <v>0</v>
      </c>
      <c r="DF223" s="26">
        <v>0</v>
      </c>
      <c r="DG223" s="26">
        <v>0</v>
      </c>
      <c r="DH223" s="26">
        <v>0</v>
      </c>
      <c r="DI223" s="26">
        <v>0</v>
      </c>
      <c r="DJ223" s="26">
        <v>0</v>
      </c>
      <c r="DK223" s="26">
        <v>0</v>
      </c>
      <c r="DL223" s="26">
        <v>0</v>
      </c>
      <c r="DM223" s="26">
        <v>0</v>
      </c>
      <c r="DN223" s="26">
        <v>0</v>
      </c>
      <c r="DO223" s="26">
        <v>0</v>
      </c>
      <c r="DP223" s="26">
        <v>0</v>
      </c>
      <c r="DQ223" s="26">
        <v>0</v>
      </c>
      <c r="DR223" s="26">
        <v>0</v>
      </c>
      <c r="DS223" s="26">
        <v>0</v>
      </c>
      <c r="DT223" s="26">
        <v>0</v>
      </c>
      <c r="DU223" s="26">
        <v>0</v>
      </c>
      <c r="DV223" s="26">
        <v>0</v>
      </c>
      <c r="DW223" s="26">
        <v>0</v>
      </c>
      <c r="DX223" s="26">
        <v>0</v>
      </c>
      <c r="DY223" s="26">
        <v>0</v>
      </c>
      <c r="DZ223" s="26">
        <v>0</v>
      </c>
      <c r="EA223" s="26">
        <v>0</v>
      </c>
      <c r="EB223" s="26">
        <v>0</v>
      </c>
      <c r="EC223" s="26">
        <v>0</v>
      </c>
      <c r="ED223" s="26">
        <v>0</v>
      </c>
      <c r="EE223" s="26">
        <v>0</v>
      </c>
      <c r="EF223" s="26">
        <v>0</v>
      </c>
      <c r="EG223" s="26">
        <v>0</v>
      </c>
      <c r="EH223" s="26">
        <v>0</v>
      </c>
      <c r="EI223" s="26">
        <v>0</v>
      </c>
      <c r="EJ223" s="26">
        <v>0</v>
      </c>
      <c r="EK223" s="26">
        <v>0</v>
      </c>
      <c r="EL223" s="26">
        <v>0</v>
      </c>
      <c r="EM223" s="26">
        <v>0</v>
      </c>
      <c r="EN223" s="26">
        <v>0</v>
      </c>
      <c r="EO223" s="26">
        <v>0</v>
      </c>
      <c r="EP223" s="26">
        <v>0</v>
      </c>
      <c r="EQ223" s="26">
        <v>0</v>
      </c>
      <c r="ER223" s="26">
        <v>0</v>
      </c>
      <c r="ES223" s="26">
        <v>0</v>
      </c>
      <c r="ET223" s="26">
        <v>15.7907723</v>
      </c>
      <c r="EU223" s="26">
        <v>0</v>
      </c>
      <c r="EV223" s="26">
        <v>0</v>
      </c>
      <c r="EW223" s="26">
        <v>0</v>
      </c>
      <c r="EX223" s="26">
        <v>0</v>
      </c>
      <c r="EY223" s="26">
        <v>0</v>
      </c>
      <c r="EZ223" s="26">
        <v>0</v>
      </c>
      <c r="FA223" s="26">
        <v>0</v>
      </c>
      <c r="FB223" s="26">
        <v>0</v>
      </c>
      <c r="FC223" s="26">
        <v>0</v>
      </c>
      <c r="FD223" s="26">
        <v>0</v>
      </c>
      <c r="FE223" s="26">
        <v>0</v>
      </c>
      <c r="FF223" s="26">
        <v>0</v>
      </c>
      <c r="FG223" s="26">
        <v>0</v>
      </c>
      <c r="FH223" s="26">
        <v>-6.0966188683200005E-12</v>
      </c>
      <c r="FI223" s="26">
        <v>0</v>
      </c>
      <c r="FJ223" s="26">
        <v>0</v>
      </c>
      <c r="FK223" s="26">
        <v>0</v>
      </c>
      <c r="FL223" s="26">
        <v>0</v>
      </c>
      <c r="FM223" s="26">
        <v>0</v>
      </c>
      <c r="FN223" s="26">
        <v>0</v>
      </c>
      <c r="FO223" s="26">
        <v>0</v>
      </c>
      <c r="FP223" s="26">
        <v>0</v>
      </c>
      <c r="FQ223" s="26">
        <v>0</v>
      </c>
      <c r="FR223" s="26">
        <v>0</v>
      </c>
      <c r="FS223" s="26">
        <v>0</v>
      </c>
      <c r="FT223" s="26">
        <v>0</v>
      </c>
      <c r="FU223" s="26">
        <v>0</v>
      </c>
      <c r="FV223" s="26">
        <v>0</v>
      </c>
      <c r="FW223" s="26">
        <v>0</v>
      </c>
      <c r="FX223" s="26">
        <v>0</v>
      </c>
      <c r="FY223" s="26">
        <v>0</v>
      </c>
      <c r="FZ223" s="26">
        <v>0</v>
      </c>
      <c r="GA223" s="26">
        <v>0</v>
      </c>
      <c r="GB223" s="26">
        <v>0</v>
      </c>
      <c r="GC223" s="26">
        <v>0</v>
      </c>
      <c r="GD223" s="26">
        <v>0</v>
      </c>
      <c r="GE223" s="26">
        <v>0</v>
      </c>
      <c r="GF223" s="26">
        <v>0</v>
      </c>
      <c r="GG223" s="26">
        <v>0</v>
      </c>
      <c r="GH223" s="26">
        <v>0</v>
      </c>
      <c r="GI223" s="26">
        <v>0</v>
      </c>
      <c r="GJ223" s="26">
        <v>0</v>
      </c>
      <c r="GK223" s="26">
        <v>0</v>
      </c>
      <c r="GL223" s="26">
        <v>0</v>
      </c>
      <c r="GM223" s="26">
        <v>0</v>
      </c>
      <c r="GN223" s="26">
        <v>0</v>
      </c>
      <c r="GO223" s="26">
        <v>0</v>
      </c>
      <c r="GP223" s="26">
        <v>0</v>
      </c>
      <c r="GQ223" s="26">
        <v>0</v>
      </c>
      <c r="GR223" s="26">
        <v>0</v>
      </c>
      <c r="GS223" s="26">
        <v>1.6365486658701672E-3</v>
      </c>
      <c r="GT223" s="26">
        <v>6.1565402159189887E-3</v>
      </c>
      <c r="GU223" s="26">
        <v>0</v>
      </c>
      <c r="GV223" s="26">
        <v>0</v>
      </c>
      <c r="GW223" s="26">
        <v>0</v>
      </c>
      <c r="GX223" s="26">
        <v>0</v>
      </c>
      <c r="GY223" s="26">
        <v>0</v>
      </c>
      <c r="GZ223" s="26">
        <v>0</v>
      </c>
      <c r="HA223" s="26">
        <v>0</v>
      </c>
      <c r="HB223" s="26">
        <v>0</v>
      </c>
      <c r="HC223" s="26">
        <v>0</v>
      </c>
      <c r="HD223" s="26">
        <v>0</v>
      </c>
      <c r="HE223" s="26">
        <v>0</v>
      </c>
      <c r="HF223" s="26">
        <v>0</v>
      </c>
      <c r="HG223" s="26">
        <v>0</v>
      </c>
      <c r="HH223" s="26">
        <v>0</v>
      </c>
      <c r="HI223" s="26">
        <v>0</v>
      </c>
      <c r="HJ223" s="26">
        <v>0</v>
      </c>
      <c r="HK223" s="26">
        <v>0</v>
      </c>
      <c r="HL223" s="26">
        <v>0</v>
      </c>
      <c r="HM223" s="26">
        <v>0</v>
      </c>
      <c r="HN223" s="26">
        <v>0</v>
      </c>
      <c r="HO223" s="26">
        <v>0</v>
      </c>
      <c r="HP223" s="26">
        <v>0</v>
      </c>
      <c r="HQ223" s="26">
        <v>0</v>
      </c>
      <c r="HR223" s="26">
        <v>0</v>
      </c>
      <c r="HS223" s="26">
        <v>0</v>
      </c>
      <c r="HT223" s="26">
        <v>0</v>
      </c>
    </row>
    <row r="224" spans="2:228" x14ac:dyDescent="0.2">
      <c r="B224" s="27" t="s">
        <v>1610</v>
      </c>
      <c r="C224" s="26">
        <v>809.40134899999998</v>
      </c>
      <c r="D224" s="26">
        <v>-5.2421486400000002E-18</v>
      </c>
      <c r="E224" s="26">
        <v>0</v>
      </c>
      <c r="F224" s="26">
        <v>0</v>
      </c>
      <c r="G224" s="26">
        <v>0</v>
      </c>
      <c r="H224" s="26">
        <v>0</v>
      </c>
      <c r="I224" s="26">
        <v>0</v>
      </c>
      <c r="J224" s="26">
        <v>0</v>
      </c>
      <c r="K224" s="26">
        <v>0</v>
      </c>
      <c r="L224" s="26">
        <v>0</v>
      </c>
      <c r="M224" s="26">
        <v>0</v>
      </c>
      <c r="N224" s="26">
        <v>0</v>
      </c>
      <c r="O224" s="26">
        <v>0</v>
      </c>
      <c r="P224" s="26">
        <v>0</v>
      </c>
      <c r="Q224" s="26">
        <v>0</v>
      </c>
      <c r="R224" s="26">
        <v>0</v>
      </c>
      <c r="S224" s="26">
        <v>0</v>
      </c>
      <c r="T224" s="26">
        <v>0</v>
      </c>
      <c r="U224" s="26">
        <v>0</v>
      </c>
      <c r="V224" s="26">
        <v>0</v>
      </c>
      <c r="W224" s="26">
        <v>0</v>
      </c>
      <c r="X224" s="26">
        <v>0</v>
      </c>
      <c r="Y224" s="26">
        <v>0</v>
      </c>
      <c r="Z224" s="26">
        <v>0</v>
      </c>
      <c r="AA224" s="26">
        <v>0</v>
      </c>
      <c r="AB224" s="26">
        <v>0</v>
      </c>
      <c r="AC224" s="26">
        <v>0</v>
      </c>
      <c r="AD224" s="26">
        <v>0</v>
      </c>
      <c r="AE224" s="26">
        <v>0</v>
      </c>
      <c r="AF224" s="26">
        <v>0</v>
      </c>
      <c r="AG224" s="26">
        <v>0</v>
      </c>
      <c r="AH224" s="26">
        <v>0</v>
      </c>
      <c r="AI224" s="26">
        <v>0</v>
      </c>
      <c r="AJ224" s="26">
        <v>0</v>
      </c>
      <c r="AK224" s="26">
        <v>0</v>
      </c>
      <c r="AL224" s="26">
        <v>0</v>
      </c>
      <c r="AM224" s="26">
        <v>0</v>
      </c>
      <c r="AN224" s="26">
        <v>188.523335</v>
      </c>
      <c r="AO224" s="26">
        <v>620.87801400000001</v>
      </c>
      <c r="AP224" s="26">
        <v>0</v>
      </c>
      <c r="AQ224" s="26">
        <v>0</v>
      </c>
      <c r="AR224" s="26">
        <v>0</v>
      </c>
      <c r="AS224" s="26">
        <v>0</v>
      </c>
      <c r="AT224" s="26">
        <v>0</v>
      </c>
      <c r="AU224" s="26">
        <v>0</v>
      </c>
      <c r="AV224" s="26">
        <v>0</v>
      </c>
      <c r="AW224" s="26">
        <v>0</v>
      </c>
      <c r="AX224" s="26">
        <v>0</v>
      </c>
      <c r="AY224" s="26">
        <v>0</v>
      </c>
      <c r="AZ224" s="26">
        <v>0</v>
      </c>
      <c r="BA224" s="26">
        <v>0</v>
      </c>
      <c r="BB224" s="26">
        <v>0</v>
      </c>
      <c r="BC224" s="26">
        <v>0</v>
      </c>
      <c r="BD224" s="26">
        <v>0</v>
      </c>
      <c r="BE224" s="26">
        <v>0</v>
      </c>
      <c r="BF224" s="26">
        <v>0</v>
      </c>
      <c r="BG224" s="26">
        <v>0</v>
      </c>
      <c r="BH224" s="26">
        <v>0</v>
      </c>
      <c r="BI224" s="26">
        <v>0</v>
      </c>
      <c r="BJ224" s="26">
        <v>0</v>
      </c>
      <c r="BK224" s="26">
        <v>0</v>
      </c>
      <c r="BL224" s="26">
        <v>0</v>
      </c>
      <c r="BM224" s="26">
        <v>0</v>
      </c>
      <c r="BN224" s="26">
        <v>0</v>
      </c>
      <c r="BO224" s="26">
        <v>28.0551198</v>
      </c>
      <c r="BP224" s="26">
        <v>809.40134899999998</v>
      </c>
      <c r="BQ224" s="26">
        <v>11439.4812</v>
      </c>
      <c r="BR224" s="26">
        <v>25</v>
      </c>
      <c r="BS224" s="26">
        <v>1</v>
      </c>
      <c r="BT224" s="26">
        <v>1</v>
      </c>
      <c r="BU224" s="26">
        <v>0</v>
      </c>
      <c r="BV224" s="26">
        <v>0</v>
      </c>
      <c r="BW224" s="26">
        <v>-1.86851763E-13</v>
      </c>
      <c r="BX224" s="26">
        <v>-6.4765750700000001E-15</v>
      </c>
      <c r="BY224" s="26">
        <v>-5.2421486400000002E-18</v>
      </c>
      <c r="BZ224" s="26">
        <v>1.0206375700000001</v>
      </c>
      <c r="CA224" s="26">
        <v>3.5376898300000001E-2</v>
      </c>
      <c r="CB224" s="26">
        <v>4.0874696499999997E-5</v>
      </c>
      <c r="CC224" s="26">
        <v>1.17925123E-3</v>
      </c>
      <c r="CD224" s="26">
        <v>28.8503972</v>
      </c>
      <c r="CE224" s="26">
        <v>25.042841299999999</v>
      </c>
      <c r="CF224" s="26">
        <v>0</v>
      </c>
      <c r="CG224" s="26">
        <v>0</v>
      </c>
      <c r="CH224" s="26">
        <v>0</v>
      </c>
      <c r="CI224" s="26">
        <v>0</v>
      </c>
      <c r="CJ224" s="26">
        <v>0</v>
      </c>
      <c r="CK224" s="26">
        <v>0</v>
      </c>
      <c r="CL224" s="26">
        <v>0</v>
      </c>
      <c r="CM224" s="26">
        <v>0</v>
      </c>
      <c r="CN224" s="26">
        <v>0</v>
      </c>
      <c r="CO224" s="26">
        <v>0</v>
      </c>
      <c r="CP224" s="26">
        <v>0</v>
      </c>
      <c r="CQ224" s="26">
        <v>0</v>
      </c>
      <c r="CR224" s="26">
        <v>0</v>
      </c>
      <c r="CS224" s="26">
        <v>0</v>
      </c>
      <c r="CT224" s="26">
        <v>0</v>
      </c>
      <c r="CU224" s="26">
        <v>0</v>
      </c>
      <c r="CV224" s="26">
        <v>0</v>
      </c>
      <c r="CW224" s="26">
        <v>0</v>
      </c>
      <c r="CX224" s="26">
        <v>0</v>
      </c>
      <c r="CY224" s="26">
        <v>0</v>
      </c>
      <c r="CZ224" s="26">
        <v>0</v>
      </c>
      <c r="DA224" s="26">
        <v>0</v>
      </c>
      <c r="DB224" s="26">
        <v>0</v>
      </c>
      <c r="DC224" s="26">
        <v>0</v>
      </c>
      <c r="DD224" s="26">
        <v>0</v>
      </c>
      <c r="DE224" s="26">
        <v>0</v>
      </c>
      <c r="DF224" s="26">
        <v>0</v>
      </c>
      <c r="DG224" s="26">
        <v>0</v>
      </c>
      <c r="DH224" s="26">
        <v>0</v>
      </c>
      <c r="DI224" s="26">
        <v>0</v>
      </c>
      <c r="DJ224" s="26">
        <v>0</v>
      </c>
      <c r="DK224" s="26">
        <v>0</v>
      </c>
      <c r="DL224" s="26">
        <v>0</v>
      </c>
      <c r="DM224" s="26">
        <v>0</v>
      </c>
      <c r="DN224" s="26">
        <v>0</v>
      </c>
      <c r="DO224" s="26">
        <v>0</v>
      </c>
      <c r="DP224" s="26">
        <v>0</v>
      </c>
      <c r="DQ224" s="26">
        <v>0</v>
      </c>
      <c r="DR224" s="26">
        <v>0</v>
      </c>
      <c r="DS224" s="26">
        <v>0</v>
      </c>
      <c r="DT224" s="26">
        <v>0</v>
      </c>
      <c r="DU224" s="26">
        <v>0</v>
      </c>
      <c r="DV224" s="26">
        <v>0</v>
      </c>
      <c r="DW224" s="26">
        <v>0</v>
      </c>
      <c r="DX224" s="26">
        <v>0</v>
      </c>
      <c r="DY224" s="26">
        <v>0</v>
      </c>
      <c r="DZ224" s="26">
        <v>0</v>
      </c>
      <c r="EA224" s="26">
        <v>0</v>
      </c>
      <c r="EB224" s="26">
        <v>0</v>
      </c>
      <c r="EC224" s="26">
        <v>0</v>
      </c>
      <c r="ED224" s="26">
        <v>0</v>
      </c>
      <c r="EE224" s="26">
        <v>0</v>
      </c>
      <c r="EF224" s="26">
        <v>0</v>
      </c>
      <c r="EG224" s="26">
        <v>0</v>
      </c>
      <c r="EH224" s="26">
        <v>0</v>
      </c>
      <c r="EI224" s="26">
        <v>0</v>
      </c>
      <c r="EJ224" s="26">
        <v>0</v>
      </c>
      <c r="EK224" s="26">
        <v>0</v>
      </c>
      <c r="EL224" s="26">
        <v>0</v>
      </c>
      <c r="EM224" s="26">
        <v>0</v>
      </c>
      <c r="EN224" s="26">
        <v>0</v>
      </c>
      <c r="EO224" s="26">
        <v>0</v>
      </c>
      <c r="EP224" s="26">
        <v>0</v>
      </c>
      <c r="EQ224" s="26">
        <v>0</v>
      </c>
      <c r="ER224" s="26">
        <v>0</v>
      </c>
      <c r="ES224" s="26">
        <v>0</v>
      </c>
      <c r="ET224" s="26">
        <v>1</v>
      </c>
      <c r="EU224" s="26">
        <v>0</v>
      </c>
      <c r="EV224" s="26">
        <v>0</v>
      </c>
      <c r="EW224" s="26">
        <v>0</v>
      </c>
      <c r="EX224" s="26">
        <v>0</v>
      </c>
      <c r="EY224" s="26">
        <v>0</v>
      </c>
      <c r="EZ224" s="26">
        <v>0</v>
      </c>
      <c r="FA224" s="26">
        <v>0</v>
      </c>
      <c r="FB224" s="26">
        <v>0</v>
      </c>
      <c r="FC224" s="26">
        <v>0</v>
      </c>
      <c r="FD224" s="26">
        <v>0</v>
      </c>
      <c r="FE224" s="26">
        <v>0</v>
      </c>
      <c r="FF224" s="26">
        <v>0</v>
      </c>
      <c r="FG224" s="26">
        <v>0</v>
      </c>
      <c r="FH224" s="26">
        <v>-6.0966188683200005E-12</v>
      </c>
      <c r="FI224" s="26">
        <v>0</v>
      </c>
      <c r="FJ224" s="26">
        <v>0</v>
      </c>
      <c r="FK224" s="26">
        <v>0</v>
      </c>
      <c r="FL224" s="26">
        <v>0</v>
      </c>
      <c r="FM224" s="26">
        <v>0</v>
      </c>
      <c r="FN224" s="26">
        <v>0</v>
      </c>
      <c r="FO224" s="26">
        <v>0</v>
      </c>
      <c r="FP224" s="26">
        <v>0</v>
      </c>
      <c r="FQ224" s="26">
        <v>0</v>
      </c>
      <c r="FR224" s="26">
        <v>0</v>
      </c>
      <c r="FS224" s="26">
        <v>0</v>
      </c>
      <c r="FT224" s="26">
        <v>0</v>
      </c>
      <c r="FU224" s="26">
        <v>0</v>
      </c>
      <c r="FV224" s="26">
        <v>0</v>
      </c>
      <c r="FW224" s="26">
        <v>0</v>
      </c>
      <c r="FX224" s="26">
        <v>0</v>
      </c>
      <c r="FY224" s="26">
        <v>0</v>
      </c>
      <c r="FZ224" s="26">
        <v>0</v>
      </c>
      <c r="GA224" s="26">
        <v>0</v>
      </c>
      <c r="GB224" s="26">
        <v>0</v>
      </c>
      <c r="GC224" s="26">
        <v>0</v>
      </c>
      <c r="GD224" s="26">
        <v>0</v>
      </c>
      <c r="GE224" s="26">
        <v>0</v>
      </c>
      <c r="GF224" s="26">
        <v>0</v>
      </c>
      <c r="GG224" s="26">
        <v>0</v>
      </c>
      <c r="GH224" s="26">
        <v>0</v>
      </c>
      <c r="GI224" s="26">
        <v>0</v>
      </c>
      <c r="GJ224" s="26">
        <v>0</v>
      </c>
      <c r="GK224" s="26">
        <v>0</v>
      </c>
      <c r="GL224" s="26">
        <v>0</v>
      </c>
      <c r="GM224" s="26">
        <v>0</v>
      </c>
      <c r="GN224" s="26">
        <v>0</v>
      </c>
      <c r="GO224" s="26">
        <v>0</v>
      </c>
      <c r="GP224" s="26">
        <v>0</v>
      </c>
      <c r="GQ224" s="26">
        <v>0</v>
      </c>
      <c r="GR224" s="26">
        <v>0</v>
      </c>
      <c r="GS224" s="26">
        <v>1.6365486658701672E-3</v>
      </c>
      <c r="GT224" s="26">
        <v>6.1565402159189887E-3</v>
      </c>
      <c r="GU224" s="26">
        <v>0</v>
      </c>
      <c r="GV224" s="26">
        <v>0</v>
      </c>
      <c r="GW224" s="26">
        <v>0</v>
      </c>
      <c r="GX224" s="26">
        <v>0</v>
      </c>
      <c r="GY224" s="26">
        <v>0</v>
      </c>
      <c r="GZ224" s="26">
        <v>0</v>
      </c>
      <c r="HA224" s="26">
        <v>0</v>
      </c>
      <c r="HB224" s="26">
        <v>0</v>
      </c>
      <c r="HC224" s="26">
        <v>0</v>
      </c>
      <c r="HD224" s="26">
        <v>0</v>
      </c>
      <c r="HE224" s="26">
        <v>0</v>
      </c>
      <c r="HF224" s="26">
        <v>0</v>
      </c>
      <c r="HG224" s="26">
        <v>0</v>
      </c>
      <c r="HH224" s="26">
        <v>0</v>
      </c>
      <c r="HI224" s="26">
        <v>0</v>
      </c>
      <c r="HJ224" s="26">
        <v>0</v>
      </c>
      <c r="HK224" s="26">
        <v>0</v>
      </c>
      <c r="HL224" s="26">
        <v>0</v>
      </c>
      <c r="HM224" s="26">
        <v>0</v>
      </c>
      <c r="HN224" s="26">
        <v>0</v>
      </c>
      <c r="HO224" s="26">
        <v>0</v>
      </c>
      <c r="HP224" s="26">
        <v>0</v>
      </c>
      <c r="HQ224" s="26">
        <v>0</v>
      </c>
      <c r="HR224" s="26">
        <v>0</v>
      </c>
      <c r="HS224" s="26">
        <v>0</v>
      </c>
      <c r="HT224" s="26">
        <v>0</v>
      </c>
    </row>
    <row r="225" spans="2:228" x14ac:dyDescent="0.2">
      <c r="B225" s="27" t="s">
        <v>2425</v>
      </c>
      <c r="C225" s="26">
        <v>809.40134899999998</v>
      </c>
      <c r="D225" s="26">
        <v>9.6323545600000005E-2</v>
      </c>
      <c r="E225" s="26">
        <v>0</v>
      </c>
      <c r="F225" s="26">
        <v>0</v>
      </c>
      <c r="G225" s="26">
        <v>0</v>
      </c>
      <c r="H225" s="26">
        <v>0</v>
      </c>
      <c r="I225" s="26">
        <v>0</v>
      </c>
      <c r="J225" s="26">
        <v>0</v>
      </c>
      <c r="K225" s="26">
        <v>0</v>
      </c>
      <c r="L225" s="26">
        <v>0</v>
      </c>
      <c r="M225" s="26">
        <v>0</v>
      </c>
      <c r="N225" s="26">
        <v>0</v>
      </c>
      <c r="O225" s="26">
        <v>0</v>
      </c>
      <c r="P225" s="26">
        <v>0</v>
      </c>
      <c r="Q225" s="26">
        <v>0</v>
      </c>
      <c r="R225" s="26">
        <v>0</v>
      </c>
      <c r="S225" s="26">
        <v>0</v>
      </c>
      <c r="T225" s="26">
        <v>0</v>
      </c>
      <c r="U225" s="26">
        <v>0</v>
      </c>
      <c r="V225" s="26">
        <v>0</v>
      </c>
      <c r="W225" s="26">
        <v>0</v>
      </c>
      <c r="X225" s="26">
        <v>0</v>
      </c>
      <c r="Y225" s="26">
        <v>0</v>
      </c>
      <c r="Z225" s="26">
        <v>0</v>
      </c>
      <c r="AA225" s="26">
        <v>0</v>
      </c>
      <c r="AB225" s="26">
        <v>0</v>
      </c>
      <c r="AC225" s="26">
        <v>0</v>
      </c>
      <c r="AD225" s="26">
        <v>0</v>
      </c>
      <c r="AE225" s="26">
        <v>0</v>
      </c>
      <c r="AF225" s="26">
        <v>0</v>
      </c>
      <c r="AG225" s="26">
        <v>0</v>
      </c>
      <c r="AH225" s="26">
        <v>0</v>
      </c>
      <c r="AI225" s="26">
        <v>0</v>
      </c>
      <c r="AJ225" s="26">
        <v>0</v>
      </c>
      <c r="AK225" s="26">
        <v>0</v>
      </c>
      <c r="AL225" s="26">
        <v>0</v>
      </c>
      <c r="AM225" s="26">
        <v>0</v>
      </c>
      <c r="AN225" s="26">
        <v>188.523335</v>
      </c>
      <c r="AO225" s="26">
        <v>620.87801400000001</v>
      </c>
      <c r="AP225" s="26">
        <v>0</v>
      </c>
      <c r="AQ225" s="26">
        <v>0</v>
      </c>
      <c r="AR225" s="26">
        <v>0</v>
      </c>
      <c r="AS225" s="26">
        <v>0</v>
      </c>
      <c r="AT225" s="26">
        <v>0</v>
      </c>
      <c r="AU225" s="26">
        <v>0</v>
      </c>
      <c r="AV225" s="26">
        <v>0</v>
      </c>
      <c r="AW225" s="26">
        <v>0</v>
      </c>
      <c r="AX225" s="26">
        <v>0</v>
      </c>
      <c r="AY225" s="26">
        <v>0</v>
      </c>
      <c r="AZ225" s="26">
        <v>0</v>
      </c>
      <c r="BA225" s="26">
        <v>0</v>
      </c>
      <c r="BB225" s="26">
        <v>0</v>
      </c>
      <c r="BC225" s="26">
        <v>0</v>
      </c>
      <c r="BD225" s="26">
        <v>0</v>
      </c>
      <c r="BE225" s="26">
        <v>0</v>
      </c>
      <c r="BF225" s="26">
        <v>0</v>
      </c>
      <c r="BG225" s="26">
        <v>0</v>
      </c>
      <c r="BH225" s="26">
        <v>0</v>
      </c>
      <c r="BI225" s="26">
        <v>0</v>
      </c>
      <c r="BJ225" s="26">
        <v>0</v>
      </c>
      <c r="BK225" s="26">
        <v>0</v>
      </c>
      <c r="BL225" s="26">
        <v>0</v>
      </c>
      <c r="BM225" s="26">
        <v>0</v>
      </c>
      <c r="BN225" s="26">
        <v>0</v>
      </c>
      <c r="BO225" s="26">
        <v>28.0551198</v>
      </c>
      <c r="BP225" s="26">
        <v>809.40134899999998</v>
      </c>
      <c r="BQ225" s="26">
        <v>1880.0250000000001</v>
      </c>
      <c r="BR225" s="26">
        <v>500.59076399999992</v>
      </c>
      <c r="BS225" s="26">
        <v>15.7907723</v>
      </c>
      <c r="BT225" s="26">
        <v>1</v>
      </c>
      <c r="BU225" s="26">
        <v>0</v>
      </c>
      <c r="BV225" s="26">
        <v>0</v>
      </c>
      <c r="BW225" s="26">
        <v>3433.3678</v>
      </c>
      <c r="BX225" s="26">
        <v>119.005911</v>
      </c>
      <c r="BY225" s="26">
        <v>9.6323545600000005E-2</v>
      </c>
      <c r="BZ225" s="26">
        <v>2.37889968</v>
      </c>
      <c r="CA225" s="26">
        <v>8.2456392599999997E-2</v>
      </c>
      <c r="CB225" s="26">
        <v>2.4871228999999998E-4</v>
      </c>
      <c r="CC225" s="26">
        <v>7.1754483700000003E-3</v>
      </c>
      <c r="CD225" s="26">
        <v>28.8503972</v>
      </c>
      <c r="CE225" s="26">
        <v>25.042841299999999</v>
      </c>
      <c r="CF225" s="26">
        <v>0</v>
      </c>
      <c r="CG225" s="26">
        <v>0</v>
      </c>
      <c r="CH225" s="26">
        <v>0</v>
      </c>
      <c r="CI225" s="26">
        <v>0</v>
      </c>
      <c r="CJ225" s="26">
        <v>0</v>
      </c>
      <c r="CK225" s="26">
        <v>0</v>
      </c>
      <c r="CL225" s="26">
        <v>0</v>
      </c>
      <c r="CM225" s="26">
        <v>0</v>
      </c>
      <c r="CN225" s="26">
        <v>0</v>
      </c>
      <c r="CO225" s="26">
        <v>0</v>
      </c>
      <c r="CP225" s="26">
        <v>0</v>
      </c>
      <c r="CQ225" s="26">
        <v>0</v>
      </c>
      <c r="CR225" s="26">
        <v>0</v>
      </c>
      <c r="CS225" s="26">
        <v>0</v>
      </c>
      <c r="CT225" s="26">
        <v>0</v>
      </c>
      <c r="CU225" s="26">
        <v>0</v>
      </c>
      <c r="CV225" s="26">
        <v>0</v>
      </c>
      <c r="CW225" s="26">
        <v>0</v>
      </c>
      <c r="CX225" s="26">
        <v>0</v>
      </c>
      <c r="CY225" s="26">
        <v>0</v>
      </c>
      <c r="CZ225" s="26">
        <v>0</v>
      </c>
      <c r="DA225" s="26">
        <v>0</v>
      </c>
      <c r="DB225" s="26">
        <v>0</v>
      </c>
      <c r="DC225" s="26">
        <v>0</v>
      </c>
      <c r="DD225" s="26">
        <v>0</v>
      </c>
      <c r="DE225" s="26">
        <v>0</v>
      </c>
      <c r="DF225" s="26">
        <v>0</v>
      </c>
      <c r="DG225" s="26">
        <v>0</v>
      </c>
      <c r="DH225" s="26">
        <v>0</v>
      </c>
      <c r="DI225" s="26">
        <v>0</v>
      </c>
      <c r="DJ225" s="26">
        <v>0</v>
      </c>
      <c r="DK225" s="26">
        <v>0</v>
      </c>
      <c r="DL225" s="26">
        <v>0</v>
      </c>
      <c r="DM225" s="26">
        <v>0</v>
      </c>
      <c r="DN225" s="26">
        <v>0</v>
      </c>
      <c r="DO225" s="26">
        <v>0</v>
      </c>
      <c r="DP225" s="26">
        <v>0</v>
      </c>
      <c r="DQ225" s="26">
        <v>0</v>
      </c>
      <c r="DR225" s="26">
        <v>0</v>
      </c>
      <c r="DS225" s="26">
        <v>0</v>
      </c>
      <c r="DT225" s="26">
        <v>0</v>
      </c>
      <c r="DU225" s="26">
        <v>0</v>
      </c>
      <c r="DV225" s="26">
        <v>0</v>
      </c>
      <c r="DW225" s="26">
        <v>0</v>
      </c>
      <c r="DX225" s="26">
        <v>0</v>
      </c>
      <c r="DY225" s="26">
        <v>0</v>
      </c>
      <c r="DZ225" s="26">
        <v>0</v>
      </c>
      <c r="EA225" s="26">
        <v>0</v>
      </c>
      <c r="EB225" s="26">
        <v>0</v>
      </c>
      <c r="EC225" s="26">
        <v>0</v>
      </c>
      <c r="ED225" s="26">
        <v>0</v>
      </c>
      <c r="EE225" s="26">
        <v>0</v>
      </c>
      <c r="EF225" s="26">
        <v>0</v>
      </c>
      <c r="EG225" s="26">
        <v>0</v>
      </c>
      <c r="EH225" s="26">
        <v>0</v>
      </c>
      <c r="EI225" s="26">
        <v>0</v>
      </c>
      <c r="EJ225" s="26">
        <v>0</v>
      </c>
      <c r="EK225" s="26">
        <v>0</v>
      </c>
      <c r="EL225" s="26">
        <v>0</v>
      </c>
      <c r="EM225" s="26">
        <v>0</v>
      </c>
      <c r="EN225" s="26">
        <v>0</v>
      </c>
      <c r="EO225" s="26">
        <v>0</v>
      </c>
      <c r="EP225" s="26">
        <v>0</v>
      </c>
      <c r="EQ225" s="26">
        <v>0</v>
      </c>
      <c r="ER225" s="26">
        <v>0</v>
      </c>
      <c r="ES225" s="26">
        <v>0</v>
      </c>
      <c r="ET225" s="26">
        <v>15.7907723</v>
      </c>
      <c r="EU225" s="26">
        <v>0</v>
      </c>
      <c r="EV225" s="26">
        <v>0</v>
      </c>
      <c r="EW225" s="26">
        <v>0</v>
      </c>
      <c r="EX225" s="26">
        <v>0</v>
      </c>
      <c r="EY225" s="26">
        <v>0</v>
      </c>
      <c r="EZ225" s="26">
        <v>0</v>
      </c>
      <c r="FA225" s="26">
        <v>0</v>
      </c>
      <c r="FB225" s="26">
        <v>0</v>
      </c>
      <c r="FC225" s="26">
        <v>0</v>
      </c>
      <c r="FD225" s="26">
        <v>0</v>
      </c>
      <c r="FE225" s="26">
        <v>0</v>
      </c>
      <c r="FF225" s="26">
        <v>0</v>
      </c>
      <c r="FG225" s="26">
        <v>0</v>
      </c>
      <c r="FH225" s="26">
        <v>-6.0966188683200005E-12</v>
      </c>
      <c r="FI225" s="26">
        <v>0</v>
      </c>
      <c r="FJ225" s="26">
        <v>0</v>
      </c>
      <c r="FK225" s="26">
        <v>0</v>
      </c>
      <c r="FL225" s="26">
        <v>0</v>
      </c>
      <c r="FM225" s="26">
        <v>0</v>
      </c>
      <c r="FN225" s="26">
        <v>0</v>
      </c>
      <c r="FO225" s="26">
        <v>0</v>
      </c>
      <c r="FP225" s="26">
        <v>0</v>
      </c>
      <c r="FQ225" s="26">
        <v>0</v>
      </c>
      <c r="FR225" s="26">
        <v>0</v>
      </c>
      <c r="FS225" s="26">
        <v>0</v>
      </c>
      <c r="FT225" s="26">
        <v>0</v>
      </c>
      <c r="FU225" s="26">
        <v>0</v>
      </c>
      <c r="FV225" s="26">
        <v>0</v>
      </c>
      <c r="FW225" s="26">
        <v>0</v>
      </c>
      <c r="FX225" s="26">
        <v>0</v>
      </c>
      <c r="FY225" s="26">
        <v>0</v>
      </c>
      <c r="FZ225" s="26">
        <v>0</v>
      </c>
      <c r="GA225" s="26">
        <v>0</v>
      </c>
      <c r="GB225" s="26">
        <v>0</v>
      </c>
      <c r="GC225" s="26">
        <v>0</v>
      </c>
      <c r="GD225" s="26">
        <v>0</v>
      </c>
      <c r="GE225" s="26">
        <v>0</v>
      </c>
      <c r="GF225" s="26">
        <v>0</v>
      </c>
      <c r="GG225" s="26">
        <v>0</v>
      </c>
      <c r="GH225" s="26">
        <v>0</v>
      </c>
      <c r="GI225" s="26">
        <v>0</v>
      </c>
      <c r="GJ225" s="26">
        <v>0</v>
      </c>
      <c r="GK225" s="26">
        <v>0</v>
      </c>
      <c r="GL225" s="26">
        <v>0</v>
      </c>
      <c r="GM225" s="26">
        <v>0</v>
      </c>
      <c r="GN225" s="26">
        <v>0</v>
      </c>
      <c r="GO225" s="26">
        <v>0</v>
      </c>
      <c r="GP225" s="26">
        <v>0</v>
      </c>
      <c r="GQ225" s="26">
        <v>0</v>
      </c>
      <c r="GR225" s="26">
        <v>0</v>
      </c>
      <c r="GS225" s="26">
        <v>1.6365486658701672E-3</v>
      </c>
      <c r="GT225" s="26">
        <v>6.1565402159189887E-3</v>
      </c>
      <c r="GU225" s="26">
        <v>0</v>
      </c>
      <c r="GV225" s="26">
        <v>0</v>
      </c>
      <c r="GW225" s="26">
        <v>0</v>
      </c>
      <c r="GX225" s="26">
        <v>0</v>
      </c>
      <c r="GY225" s="26">
        <v>0</v>
      </c>
      <c r="GZ225" s="26">
        <v>0</v>
      </c>
      <c r="HA225" s="26">
        <v>0</v>
      </c>
      <c r="HB225" s="26">
        <v>0</v>
      </c>
      <c r="HC225" s="26">
        <v>0</v>
      </c>
      <c r="HD225" s="26">
        <v>0</v>
      </c>
      <c r="HE225" s="26">
        <v>0</v>
      </c>
      <c r="HF225" s="26">
        <v>0</v>
      </c>
      <c r="HG225" s="26">
        <v>0</v>
      </c>
      <c r="HH225" s="26">
        <v>0</v>
      </c>
      <c r="HI225" s="26">
        <v>0</v>
      </c>
      <c r="HJ225" s="26">
        <v>0</v>
      </c>
      <c r="HK225" s="26">
        <v>0</v>
      </c>
      <c r="HL225" s="26">
        <v>0</v>
      </c>
      <c r="HM225" s="26">
        <v>0</v>
      </c>
      <c r="HN225" s="26">
        <v>0</v>
      </c>
      <c r="HO225" s="26">
        <v>0</v>
      </c>
      <c r="HP225" s="26">
        <v>0</v>
      </c>
      <c r="HQ225" s="26">
        <v>0</v>
      </c>
      <c r="HR225" s="26">
        <v>0</v>
      </c>
      <c r="HS225" s="26">
        <v>0</v>
      </c>
      <c r="HT225" s="26">
        <v>0</v>
      </c>
    </row>
    <row r="226" spans="2:228" x14ac:dyDescent="0.2">
      <c r="B226" s="27" t="s">
        <v>2884</v>
      </c>
      <c r="C226" s="26">
        <v>1584100.2</v>
      </c>
      <c r="D226" s="26">
        <v>-99.466693100000001</v>
      </c>
      <c r="E226" s="26">
        <v>31025.5484</v>
      </c>
      <c r="F226" s="26">
        <v>0</v>
      </c>
      <c r="G226" s="26">
        <v>0</v>
      </c>
      <c r="H226" s="26">
        <v>0</v>
      </c>
      <c r="I226" s="26">
        <v>0</v>
      </c>
      <c r="J226" s="26">
        <v>0</v>
      </c>
      <c r="K226" s="26">
        <v>0</v>
      </c>
      <c r="L226" s="26">
        <v>0</v>
      </c>
      <c r="M226" s="26">
        <v>0</v>
      </c>
      <c r="N226" s="26">
        <v>0</v>
      </c>
      <c r="O226" s="26">
        <v>0</v>
      </c>
      <c r="P226" s="26">
        <v>0</v>
      </c>
      <c r="Q226" s="26">
        <v>0</v>
      </c>
      <c r="R226" s="26">
        <v>0</v>
      </c>
      <c r="S226" s="26">
        <v>0</v>
      </c>
      <c r="T226" s="26">
        <v>0</v>
      </c>
      <c r="U226" s="26">
        <v>0</v>
      </c>
      <c r="V226" s="26">
        <v>0</v>
      </c>
      <c r="W226" s="26">
        <v>0</v>
      </c>
      <c r="X226" s="26">
        <v>0</v>
      </c>
      <c r="Y226" s="26">
        <v>0</v>
      </c>
      <c r="Z226" s="26">
        <v>0</v>
      </c>
      <c r="AA226" s="26">
        <v>0</v>
      </c>
      <c r="AB226" s="26">
        <v>0</v>
      </c>
      <c r="AC226" s="26">
        <v>0</v>
      </c>
      <c r="AD226" s="26">
        <v>0</v>
      </c>
      <c r="AE226" s="26">
        <v>0</v>
      </c>
      <c r="AF226" s="26">
        <v>0</v>
      </c>
      <c r="AG226" s="26">
        <v>0</v>
      </c>
      <c r="AH226" s="26">
        <v>0</v>
      </c>
      <c r="AI226" s="26">
        <v>0</v>
      </c>
      <c r="AJ226" s="26">
        <v>0</v>
      </c>
      <c r="AK226" s="26">
        <v>0</v>
      </c>
      <c r="AL226" s="26">
        <v>0</v>
      </c>
      <c r="AM226" s="26">
        <v>0</v>
      </c>
      <c r="AN226" s="26">
        <v>361737.49</v>
      </c>
      <c r="AO226" s="26">
        <v>1191337.1599999999</v>
      </c>
      <c r="AP226" s="26">
        <v>0</v>
      </c>
      <c r="AQ226" s="26">
        <v>0</v>
      </c>
      <c r="AR226" s="26">
        <v>0</v>
      </c>
      <c r="AS226" s="26">
        <v>0</v>
      </c>
      <c r="AT226" s="26">
        <v>0</v>
      </c>
      <c r="AU226" s="26">
        <v>0</v>
      </c>
      <c r="AV226" s="26">
        <v>0</v>
      </c>
      <c r="AW226" s="26">
        <v>0</v>
      </c>
      <c r="AX226" s="26">
        <v>0</v>
      </c>
      <c r="AY226" s="26">
        <v>0</v>
      </c>
      <c r="AZ226" s="26">
        <v>0</v>
      </c>
      <c r="BA226" s="26">
        <v>0</v>
      </c>
      <c r="BB226" s="26">
        <v>0</v>
      </c>
      <c r="BC226" s="26">
        <v>0</v>
      </c>
      <c r="BD226" s="26">
        <v>0</v>
      </c>
      <c r="BE226" s="26">
        <v>0</v>
      </c>
      <c r="BF226" s="26">
        <v>0</v>
      </c>
      <c r="BG226" s="26">
        <v>0</v>
      </c>
      <c r="BH226" s="26">
        <v>0</v>
      </c>
      <c r="BI226" s="26">
        <v>0</v>
      </c>
      <c r="BJ226" s="26">
        <v>0</v>
      </c>
      <c r="BK226" s="26">
        <v>0</v>
      </c>
      <c r="BL226" s="26">
        <v>0</v>
      </c>
      <c r="BM226" s="26">
        <v>0</v>
      </c>
      <c r="BN226" s="26">
        <v>0</v>
      </c>
      <c r="BO226" s="26">
        <v>55554.181900000003</v>
      </c>
      <c r="BP226" s="26">
        <v>1584100.2</v>
      </c>
      <c r="BQ226" s="26">
        <v>22652229.899999999</v>
      </c>
      <c r="BR226" s="26">
        <v>25</v>
      </c>
      <c r="BS226" s="26">
        <v>1</v>
      </c>
      <c r="BT226" s="26">
        <v>1</v>
      </c>
      <c r="BU226" s="26">
        <v>0</v>
      </c>
      <c r="BV226" s="26">
        <v>0</v>
      </c>
      <c r="BW226" s="26">
        <v>-1790.4447299999999</v>
      </c>
      <c r="BX226" s="26">
        <v>-62.790657099999997</v>
      </c>
      <c r="BY226" s="26">
        <v>-99.466693100000001</v>
      </c>
      <c r="BZ226" s="26">
        <v>0.93504060899999997</v>
      </c>
      <c r="CA226" s="26">
        <v>3.2791749100000003E-2</v>
      </c>
      <c r="CB226" s="26">
        <v>4.0874696499999997E-5</v>
      </c>
      <c r="CC226" s="26">
        <v>1.16552188E-3</v>
      </c>
      <c r="CD226" s="26">
        <v>28.514508599999999</v>
      </c>
      <c r="CE226" s="26">
        <v>48570.148699999998</v>
      </c>
      <c r="CF226" s="26">
        <v>0</v>
      </c>
      <c r="CG226" s="26">
        <v>0</v>
      </c>
      <c r="CH226" s="26">
        <v>0</v>
      </c>
      <c r="CI226" s="26">
        <v>0</v>
      </c>
      <c r="CJ226" s="26">
        <v>0</v>
      </c>
      <c r="CK226" s="26">
        <v>0</v>
      </c>
      <c r="CL226" s="26">
        <v>0</v>
      </c>
      <c r="CM226" s="26">
        <v>0</v>
      </c>
      <c r="CN226" s="26">
        <v>0</v>
      </c>
      <c r="CO226" s="26">
        <v>0</v>
      </c>
      <c r="CP226" s="26">
        <v>0</v>
      </c>
      <c r="CQ226" s="26">
        <v>0</v>
      </c>
      <c r="CR226" s="26">
        <v>0</v>
      </c>
      <c r="CS226" s="26">
        <v>0</v>
      </c>
      <c r="CT226" s="26">
        <v>0</v>
      </c>
      <c r="CU226" s="26">
        <v>0</v>
      </c>
      <c r="CV226" s="26">
        <v>0</v>
      </c>
      <c r="CW226" s="26">
        <v>0</v>
      </c>
      <c r="CX226" s="26">
        <v>0</v>
      </c>
      <c r="CY226" s="26">
        <v>0</v>
      </c>
      <c r="CZ226" s="26">
        <v>0</v>
      </c>
      <c r="DA226" s="26">
        <v>0</v>
      </c>
      <c r="DB226" s="26">
        <v>0</v>
      </c>
      <c r="DC226" s="26">
        <v>0</v>
      </c>
      <c r="DD226" s="26">
        <v>0</v>
      </c>
      <c r="DE226" s="26">
        <v>0</v>
      </c>
      <c r="DF226" s="26">
        <v>0</v>
      </c>
      <c r="DG226" s="26">
        <v>0</v>
      </c>
      <c r="DH226" s="26">
        <v>0</v>
      </c>
      <c r="DI226" s="26">
        <v>0</v>
      </c>
      <c r="DJ226" s="26">
        <v>0</v>
      </c>
      <c r="DK226" s="26">
        <v>0</v>
      </c>
      <c r="DL226" s="26">
        <v>0</v>
      </c>
      <c r="DM226" s="26">
        <v>0</v>
      </c>
      <c r="DN226" s="26">
        <v>0</v>
      </c>
      <c r="DO226" s="26">
        <v>0</v>
      </c>
      <c r="DP226" s="26">
        <v>0</v>
      </c>
      <c r="DQ226" s="26">
        <v>0</v>
      </c>
      <c r="DR226" s="26">
        <v>0</v>
      </c>
      <c r="DS226" s="26">
        <v>0</v>
      </c>
      <c r="DT226" s="26">
        <v>0</v>
      </c>
      <c r="DU226" s="26">
        <v>0</v>
      </c>
      <c r="DV226" s="26">
        <v>0</v>
      </c>
      <c r="DW226" s="26">
        <v>0</v>
      </c>
      <c r="DX226" s="26">
        <v>0</v>
      </c>
      <c r="DY226" s="26">
        <v>0</v>
      </c>
      <c r="DZ226" s="26">
        <v>0</v>
      </c>
      <c r="EA226" s="26">
        <v>0</v>
      </c>
      <c r="EB226" s="26">
        <v>0</v>
      </c>
      <c r="EC226" s="26">
        <v>0</v>
      </c>
      <c r="ED226" s="26">
        <v>0</v>
      </c>
      <c r="EE226" s="26">
        <v>0</v>
      </c>
      <c r="EF226" s="26">
        <v>0</v>
      </c>
      <c r="EG226" s="26">
        <v>0</v>
      </c>
      <c r="EH226" s="26">
        <v>0</v>
      </c>
      <c r="EI226" s="26">
        <v>0</v>
      </c>
      <c r="EJ226" s="26">
        <v>0</v>
      </c>
      <c r="EK226" s="26">
        <v>0</v>
      </c>
      <c r="EL226" s="26">
        <v>0</v>
      </c>
      <c r="EM226" s="26">
        <v>0</v>
      </c>
      <c r="EN226" s="26">
        <v>0</v>
      </c>
      <c r="EO226" s="26">
        <v>0</v>
      </c>
      <c r="EP226" s="26">
        <v>0</v>
      </c>
      <c r="EQ226" s="26">
        <v>0</v>
      </c>
      <c r="ER226" s="26">
        <v>0</v>
      </c>
      <c r="ES226" s="26">
        <v>0</v>
      </c>
      <c r="ET226" s="26">
        <v>1</v>
      </c>
      <c r="EU226" s="26">
        <v>0</v>
      </c>
      <c r="EV226" s="26">
        <v>0</v>
      </c>
      <c r="EW226" s="26">
        <v>0</v>
      </c>
      <c r="EX226" s="26">
        <v>0</v>
      </c>
      <c r="EY226" s="26">
        <v>0</v>
      </c>
      <c r="EZ226" s="26">
        <v>0</v>
      </c>
      <c r="FA226" s="26">
        <v>0</v>
      </c>
      <c r="FB226" s="26">
        <v>0</v>
      </c>
      <c r="FC226" s="26">
        <v>0</v>
      </c>
      <c r="FD226" s="26">
        <v>0</v>
      </c>
      <c r="FE226" s="26">
        <v>0</v>
      </c>
      <c r="FF226" s="26">
        <v>0</v>
      </c>
      <c r="FG226" s="26">
        <v>0</v>
      </c>
      <c r="FH226" s="26">
        <v>-115679764.07530001</v>
      </c>
      <c r="FI226" s="26">
        <v>0</v>
      </c>
      <c r="FJ226" s="26">
        <v>0.47838323716039927</v>
      </c>
      <c r="FK226" s="26">
        <v>0</v>
      </c>
      <c r="FL226" s="26">
        <v>0</v>
      </c>
      <c r="FM226" s="26">
        <v>0</v>
      </c>
      <c r="FN226" s="26">
        <v>0</v>
      </c>
      <c r="FO226" s="26">
        <v>0</v>
      </c>
      <c r="FP226" s="26">
        <v>0</v>
      </c>
      <c r="FQ226" s="26">
        <v>0</v>
      </c>
      <c r="FR226" s="26">
        <v>0</v>
      </c>
      <c r="FS226" s="26">
        <v>0</v>
      </c>
      <c r="FT226" s="26">
        <v>0</v>
      </c>
      <c r="FU226" s="26">
        <v>0</v>
      </c>
      <c r="FV226" s="26">
        <v>0</v>
      </c>
      <c r="FW226" s="26">
        <v>0</v>
      </c>
      <c r="FX226" s="26">
        <v>0</v>
      </c>
      <c r="FY226" s="26">
        <v>0</v>
      </c>
      <c r="FZ226" s="26">
        <v>0</v>
      </c>
      <c r="GA226" s="26">
        <v>0</v>
      </c>
      <c r="GB226" s="26">
        <v>0</v>
      </c>
      <c r="GC226" s="26">
        <v>0</v>
      </c>
      <c r="GD226" s="26">
        <v>0</v>
      </c>
      <c r="GE226" s="26">
        <v>0</v>
      </c>
      <c r="GF226" s="26">
        <v>0</v>
      </c>
      <c r="GG226" s="26">
        <v>0</v>
      </c>
      <c r="GH226" s="26">
        <v>0</v>
      </c>
      <c r="GI226" s="26">
        <v>0</v>
      </c>
      <c r="GJ226" s="26">
        <v>0</v>
      </c>
      <c r="GK226" s="26">
        <v>0</v>
      </c>
      <c r="GL226" s="26">
        <v>0</v>
      </c>
      <c r="GM226" s="26">
        <v>0</v>
      </c>
      <c r="GN226" s="26">
        <v>0</v>
      </c>
      <c r="GO226" s="26">
        <v>0</v>
      </c>
      <c r="GP226" s="26">
        <v>0</v>
      </c>
      <c r="GQ226" s="26">
        <v>0</v>
      </c>
      <c r="GR226" s="26">
        <v>0</v>
      </c>
      <c r="GS226" s="26">
        <v>3.1402001640104902</v>
      </c>
      <c r="GT226" s="26">
        <v>11.813133927838404</v>
      </c>
      <c r="GU226" s="26">
        <v>0</v>
      </c>
      <c r="GV226" s="26">
        <v>0</v>
      </c>
      <c r="GW226" s="26">
        <v>0</v>
      </c>
      <c r="GX226" s="26">
        <v>0</v>
      </c>
      <c r="GY226" s="26">
        <v>0</v>
      </c>
      <c r="GZ226" s="26">
        <v>0</v>
      </c>
      <c r="HA226" s="26">
        <v>0</v>
      </c>
      <c r="HB226" s="26">
        <v>0</v>
      </c>
      <c r="HC226" s="26">
        <v>0</v>
      </c>
      <c r="HD226" s="26">
        <v>0</v>
      </c>
      <c r="HE226" s="26">
        <v>0</v>
      </c>
      <c r="HF226" s="26">
        <v>0</v>
      </c>
      <c r="HG226" s="26">
        <v>0</v>
      </c>
      <c r="HH226" s="26">
        <v>0</v>
      </c>
      <c r="HI226" s="26">
        <v>0</v>
      </c>
      <c r="HJ226" s="26">
        <v>0</v>
      </c>
      <c r="HK226" s="26">
        <v>0</v>
      </c>
      <c r="HL226" s="26">
        <v>0</v>
      </c>
      <c r="HM226" s="26">
        <v>0</v>
      </c>
      <c r="HN226" s="26">
        <v>0</v>
      </c>
      <c r="HO226" s="26">
        <v>0</v>
      </c>
      <c r="HP226" s="26">
        <v>0</v>
      </c>
      <c r="HQ226" s="26">
        <v>0</v>
      </c>
      <c r="HR226" s="26">
        <v>0</v>
      </c>
      <c r="HS226" s="26">
        <v>0</v>
      </c>
      <c r="HT226" s="26">
        <v>0</v>
      </c>
    </row>
    <row r="227" spans="2:228" x14ac:dyDescent="0.2">
      <c r="B227" s="27" t="s">
        <v>2414</v>
      </c>
      <c r="C227" s="26">
        <v>29172.843199999999</v>
      </c>
      <c r="D227" s="26">
        <v>-39.143515200000003</v>
      </c>
      <c r="E227" s="26">
        <v>2160.8988100000001</v>
      </c>
      <c r="F227" s="26">
        <v>26984.883300000001</v>
      </c>
      <c r="G227" s="26">
        <v>0</v>
      </c>
      <c r="H227" s="26">
        <v>0</v>
      </c>
      <c r="I227" s="26">
        <v>0</v>
      </c>
      <c r="J227" s="26">
        <v>0</v>
      </c>
      <c r="K227" s="26">
        <v>0</v>
      </c>
      <c r="L227" s="26">
        <v>0</v>
      </c>
      <c r="M227" s="26">
        <v>0</v>
      </c>
      <c r="N227" s="26">
        <v>0</v>
      </c>
      <c r="O227" s="26">
        <v>0</v>
      </c>
      <c r="P227" s="26">
        <v>0</v>
      </c>
      <c r="Q227" s="26">
        <v>0</v>
      </c>
      <c r="R227" s="26">
        <v>0</v>
      </c>
      <c r="S227" s="26">
        <v>0</v>
      </c>
      <c r="T227" s="26">
        <v>0</v>
      </c>
      <c r="U227" s="26">
        <v>0</v>
      </c>
      <c r="V227" s="26">
        <v>4.9639969599999997E-5</v>
      </c>
      <c r="W227" s="26">
        <v>0</v>
      </c>
      <c r="X227" s="26">
        <v>0</v>
      </c>
      <c r="Y227" s="26">
        <v>0</v>
      </c>
      <c r="Z227" s="26">
        <v>0</v>
      </c>
      <c r="AA227" s="26">
        <v>0</v>
      </c>
      <c r="AB227" s="26">
        <v>0.200425619</v>
      </c>
      <c r="AC227" s="26">
        <v>0</v>
      </c>
      <c r="AD227" s="26">
        <v>0</v>
      </c>
      <c r="AE227" s="26">
        <v>0</v>
      </c>
      <c r="AF227" s="26">
        <v>0</v>
      </c>
      <c r="AG227" s="26">
        <v>0</v>
      </c>
      <c r="AH227" s="26">
        <v>0</v>
      </c>
      <c r="AI227" s="26">
        <v>0</v>
      </c>
      <c r="AJ227" s="26">
        <v>0</v>
      </c>
      <c r="AK227" s="26">
        <v>0</v>
      </c>
      <c r="AL227" s="26">
        <v>0</v>
      </c>
      <c r="AM227" s="26">
        <v>0</v>
      </c>
      <c r="AN227" s="26">
        <v>1.43783719E-4</v>
      </c>
      <c r="AO227" s="26">
        <v>2.40057055E-8</v>
      </c>
      <c r="AP227" s="26">
        <v>0</v>
      </c>
      <c r="AQ227" s="26">
        <v>0</v>
      </c>
      <c r="AR227" s="26">
        <v>0</v>
      </c>
      <c r="AS227" s="26">
        <v>26.858380199999999</v>
      </c>
      <c r="AT227" s="26">
        <v>0</v>
      </c>
      <c r="AU227" s="26">
        <v>0</v>
      </c>
      <c r="AV227" s="26">
        <v>2.0271457700000001E-3</v>
      </c>
      <c r="AW227" s="26">
        <v>0</v>
      </c>
      <c r="AX227" s="26">
        <v>0</v>
      </c>
      <c r="AY227" s="26">
        <v>0</v>
      </c>
      <c r="AZ227" s="26">
        <v>0</v>
      </c>
      <c r="BA227" s="26">
        <v>0</v>
      </c>
      <c r="BB227" s="26">
        <v>0</v>
      </c>
      <c r="BC227" s="26">
        <v>0</v>
      </c>
      <c r="BD227" s="26">
        <v>0</v>
      </c>
      <c r="BE227" s="26">
        <v>0</v>
      </c>
      <c r="BF227" s="26">
        <v>0</v>
      </c>
      <c r="BG227" s="26">
        <v>0</v>
      </c>
      <c r="BH227" s="26">
        <v>0</v>
      </c>
      <c r="BI227" s="26">
        <v>0</v>
      </c>
      <c r="BJ227" s="26">
        <v>0</v>
      </c>
      <c r="BK227" s="26">
        <v>0</v>
      </c>
      <c r="BL227" s="26">
        <v>0</v>
      </c>
      <c r="BM227" s="26">
        <v>0</v>
      </c>
      <c r="BN227" s="26">
        <v>0</v>
      </c>
      <c r="BO227" s="26">
        <v>706.31896400000005</v>
      </c>
      <c r="BP227" s="26">
        <v>29172.843199999999</v>
      </c>
      <c r="BQ227" s="26">
        <v>219674.41699999999</v>
      </c>
      <c r="BR227" s="26">
        <v>90.714099900000008</v>
      </c>
      <c r="BS227" s="26">
        <v>1.6</v>
      </c>
      <c r="BT227" s="26">
        <v>1</v>
      </c>
      <c r="BU227" s="26">
        <v>0</v>
      </c>
      <c r="BV227" s="26">
        <v>0</v>
      </c>
      <c r="BW227" s="26">
        <v>-55419.034200000002</v>
      </c>
      <c r="BX227" s="26">
        <v>-1341.7792199999999</v>
      </c>
      <c r="BY227" s="26">
        <v>-39.143515200000003</v>
      </c>
      <c r="BZ227" s="26">
        <v>-43.342308299999999</v>
      </c>
      <c r="CA227" s="26">
        <v>-1.0493832999999999</v>
      </c>
      <c r="CB227" s="26">
        <v>5.3588318300000001E-5</v>
      </c>
      <c r="CC227" s="26">
        <v>2.21333942E-3</v>
      </c>
      <c r="CD227" s="26">
        <v>41.302647399999998</v>
      </c>
      <c r="CE227" s="26">
        <v>604.54945999999995</v>
      </c>
      <c r="CF227" s="26">
        <v>0</v>
      </c>
      <c r="CG227" s="26">
        <v>0</v>
      </c>
      <c r="CH227" s="26">
        <v>0</v>
      </c>
      <c r="CI227" s="26">
        <v>0</v>
      </c>
      <c r="CJ227" s="26">
        <v>0</v>
      </c>
      <c r="CK227" s="26">
        <v>0</v>
      </c>
      <c r="CL227" s="26">
        <v>0</v>
      </c>
      <c r="CM227" s="26">
        <v>0</v>
      </c>
      <c r="CN227" s="26">
        <v>0</v>
      </c>
      <c r="CO227" s="26">
        <v>0</v>
      </c>
      <c r="CP227" s="26">
        <v>0</v>
      </c>
      <c r="CQ227" s="26">
        <v>0</v>
      </c>
      <c r="CR227" s="26">
        <v>0</v>
      </c>
      <c r="CS227" s="26">
        <v>0</v>
      </c>
      <c r="CT227" s="26">
        <v>0</v>
      </c>
      <c r="CU227" s="26">
        <v>0</v>
      </c>
      <c r="CV227" s="26">
        <v>0</v>
      </c>
      <c r="CW227" s="26">
        <v>0</v>
      </c>
      <c r="CX227" s="26">
        <v>0</v>
      </c>
      <c r="CY227" s="26">
        <v>0</v>
      </c>
      <c r="CZ227" s="26">
        <v>0</v>
      </c>
      <c r="DA227" s="26">
        <v>0</v>
      </c>
      <c r="DB227" s="26">
        <v>0</v>
      </c>
      <c r="DC227" s="26">
        <v>0</v>
      </c>
      <c r="DD227" s="26">
        <v>0</v>
      </c>
      <c r="DE227" s="26">
        <v>0</v>
      </c>
      <c r="DF227" s="26">
        <v>0</v>
      </c>
      <c r="DG227" s="26">
        <v>0</v>
      </c>
      <c r="DH227" s="26">
        <v>0</v>
      </c>
      <c r="DI227" s="26">
        <v>0</v>
      </c>
      <c r="DJ227" s="26">
        <v>0</v>
      </c>
      <c r="DK227" s="26">
        <v>0</v>
      </c>
      <c r="DL227" s="26">
        <v>0</v>
      </c>
      <c r="DM227" s="26">
        <v>0</v>
      </c>
      <c r="DN227" s="26">
        <v>0</v>
      </c>
      <c r="DO227" s="26">
        <v>0</v>
      </c>
      <c r="DP227" s="26">
        <v>0</v>
      </c>
      <c r="DQ227" s="26">
        <v>0</v>
      </c>
      <c r="DR227" s="26">
        <v>0</v>
      </c>
      <c r="DS227" s="26">
        <v>0</v>
      </c>
      <c r="DT227" s="26">
        <v>0</v>
      </c>
      <c r="DU227" s="26">
        <v>0</v>
      </c>
      <c r="DV227" s="26">
        <v>0</v>
      </c>
      <c r="DW227" s="26">
        <v>0</v>
      </c>
      <c r="DX227" s="26">
        <v>0</v>
      </c>
      <c r="DY227" s="26">
        <v>0</v>
      </c>
      <c r="DZ227" s="26">
        <v>0</v>
      </c>
      <c r="EA227" s="26">
        <v>0</v>
      </c>
      <c r="EB227" s="26">
        <v>0</v>
      </c>
      <c r="EC227" s="26">
        <v>0</v>
      </c>
      <c r="ED227" s="26">
        <v>0</v>
      </c>
      <c r="EE227" s="26">
        <v>0</v>
      </c>
      <c r="EF227" s="26">
        <v>0</v>
      </c>
      <c r="EG227" s="26">
        <v>0</v>
      </c>
      <c r="EH227" s="26">
        <v>0</v>
      </c>
      <c r="EI227" s="26">
        <v>0</v>
      </c>
      <c r="EJ227" s="26">
        <v>0</v>
      </c>
      <c r="EK227" s="26">
        <v>0</v>
      </c>
      <c r="EL227" s="26">
        <v>0</v>
      </c>
      <c r="EM227" s="26">
        <v>0</v>
      </c>
      <c r="EN227" s="26">
        <v>0</v>
      </c>
      <c r="EO227" s="26">
        <v>0</v>
      </c>
      <c r="EP227" s="26">
        <v>0</v>
      </c>
      <c r="EQ227" s="26">
        <v>0</v>
      </c>
      <c r="ER227" s="26">
        <v>0</v>
      </c>
      <c r="ES227" s="26">
        <v>0</v>
      </c>
      <c r="ET227" s="26">
        <v>0</v>
      </c>
      <c r="EU227" s="26">
        <v>0</v>
      </c>
      <c r="EV227" s="26">
        <v>0</v>
      </c>
      <c r="EW227" s="26">
        <v>0</v>
      </c>
      <c r="EX227" s="26">
        <v>0</v>
      </c>
      <c r="EY227" s="26">
        <v>0</v>
      </c>
      <c r="EZ227" s="26">
        <v>0</v>
      </c>
      <c r="FA227" s="26">
        <v>0</v>
      </c>
      <c r="FB227" s="26">
        <v>0</v>
      </c>
      <c r="FC227" s="26">
        <v>0</v>
      </c>
      <c r="FD227" s="26">
        <v>0</v>
      </c>
      <c r="FE227" s="26">
        <v>0</v>
      </c>
      <c r="FF227" s="26">
        <v>0</v>
      </c>
      <c r="FG227" s="26">
        <v>1.9275420599999999</v>
      </c>
      <c r="FH227" s="26">
        <v>-46352085.594799995</v>
      </c>
      <c r="FI227" s="26">
        <v>0.32558550816023962</v>
      </c>
      <c r="FJ227" s="26">
        <v>3.3318919988773579E-2</v>
      </c>
      <c r="FK227" s="26">
        <v>0.16270799185721951</v>
      </c>
      <c r="FL227" s="26">
        <v>0</v>
      </c>
      <c r="FM227" s="26">
        <v>0</v>
      </c>
      <c r="FN227" s="26">
        <v>0</v>
      </c>
      <c r="FO227" s="26">
        <v>0</v>
      </c>
      <c r="FP227" s="26">
        <v>0</v>
      </c>
      <c r="FQ227" s="26">
        <v>0</v>
      </c>
      <c r="FR227" s="26">
        <v>0</v>
      </c>
      <c r="FS227" s="26">
        <v>0</v>
      </c>
      <c r="FT227" s="26">
        <v>0</v>
      </c>
      <c r="FU227" s="26">
        <v>0</v>
      </c>
      <c r="FV227" s="26">
        <v>0</v>
      </c>
      <c r="FW227" s="26">
        <v>0</v>
      </c>
      <c r="FX227" s="26">
        <v>0</v>
      </c>
      <c r="FY227" s="26">
        <v>0</v>
      </c>
      <c r="FZ227" s="26">
        <v>0</v>
      </c>
      <c r="GA227" s="26">
        <v>1.4350627225916129E-10</v>
      </c>
      <c r="GB227" s="26">
        <v>0</v>
      </c>
      <c r="GC227" s="26">
        <v>0</v>
      </c>
      <c r="GD227" s="26">
        <v>0</v>
      </c>
      <c r="GE227" s="26">
        <v>0</v>
      </c>
      <c r="GF227" s="26">
        <v>0</v>
      </c>
      <c r="GG227" s="26">
        <v>3.2690518317079705E-6</v>
      </c>
      <c r="GH227" s="26">
        <v>0</v>
      </c>
      <c r="GI227" s="26">
        <v>0</v>
      </c>
      <c r="GJ227" s="26">
        <v>0</v>
      </c>
      <c r="GK227" s="26">
        <v>0</v>
      </c>
      <c r="GL227" s="26">
        <v>0</v>
      </c>
      <c r="GM227" s="26">
        <v>0</v>
      </c>
      <c r="GN227" s="26">
        <v>0</v>
      </c>
      <c r="GO227" s="26">
        <v>0</v>
      </c>
      <c r="GP227" s="26">
        <v>0</v>
      </c>
      <c r="GQ227" s="26">
        <v>0</v>
      </c>
      <c r="GR227" s="26">
        <v>0</v>
      </c>
      <c r="GS227" s="26">
        <v>1.2481693766520216E-9</v>
      </c>
      <c r="GT227" s="26">
        <v>2.380372438487424E-13</v>
      </c>
      <c r="GU227" s="26">
        <v>0</v>
      </c>
      <c r="GV227" s="26">
        <v>0</v>
      </c>
      <c r="GW227" s="26">
        <v>0</v>
      </c>
      <c r="GX227" s="26">
        <v>1.6952272468951512E-4</v>
      </c>
      <c r="GY227" s="26">
        <v>0</v>
      </c>
      <c r="GZ227" s="26">
        <v>0</v>
      </c>
      <c r="HA227" s="26">
        <v>8.7894764592047011E-9</v>
      </c>
      <c r="HB227" s="26">
        <v>0</v>
      </c>
      <c r="HC227" s="26">
        <v>0</v>
      </c>
      <c r="HD227" s="26">
        <v>0</v>
      </c>
      <c r="HE227" s="26">
        <v>0</v>
      </c>
      <c r="HF227" s="26">
        <v>0</v>
      </c>
      <c r="HG227" s="26">
        <v>0</v>
      </c>
      <c r="HH227" s="26">
        <v>0</v>
      </c>
      <c r="HI227" s="26">
        <v>0</v>
      </c>
      <c r="HJ227" s="26">
        <v>0</v>
      </c>
      <c r="HK227" s="26">
        <v>0</v>
      </c>
      <c r="HL227" s="26">
        <v>0</v>
      </c>
      <c r="HM227" s="26">
        <v>0</v>
      </c>
      <c r="HN227" s="26">
        <v>0</v>
      </c>
      <c r="HO227" s="26">
        <v>0</v>
      </c>
      <c r="HP227" s="26">
        <v>0</v>
      </c>
      <c r="HQ227" s="26">
        <v>0</v>
      </c>
      <c r="HR227" s="26">
        <v>0</v>
      </c>
      <c r="HS227" s="26">
        <v>0</v>
      </c>
      <c r="HT227" s="26">
        <v>0</v>
      </c>
    </row>
    <row r="228" spans="2:228" x14ac:dyDescent="0.2">
      <c r="B228" s="27" t="s">
        <v>1394</v>
      </c>
      <c r="C228" s="26">
        <v>29172.843199999999</v>
      </c>
      <c r="D228" s="26">
        <v>-38.842986400000001</v>
      </c>
      <c r="E228" s="26">
        <v>2160.8988100000001</v>
      </c>
      <c r="F228" s="26">
        <v>26984.883300000001</v>
      </c>
      <c r="G228" s="26">
        <v>0</v>
      </c>
      <c r="H228" s="26">
        <v>0</v>
      </c>
      <c r="I228" s="26">
        <v>0</v>
      </c>
      <c r="J228" s="26">
        <v>0</v>
      </c>
      <c r="K228" s="26">
        <v>0</v>
      </c>
      <c r="L228" s="26">
        <v>0</v>
      </c>
      <c r="M228" s="26">
        <v>0</v>
      </c>
      <c r="N228" s="26">
        <v>0</v>
      </c>
      <c r="O228" s="26">
        <v>0</v>
      </c>
      <c r="P228" s="26">
        <v>0</v>
      </c>
      <c r="Q228" s="26">
        <v>0</v>
      </c>
      <c r="R228" s="26">
        <v>0</v>
      </c>
      <c r="S228" s="26">
        <v>0</v>
      </c>
      <c r="T228" s="26">
        <v>0</v>
      </c>
      <c r="U228" s="26">
        <v>0</v>
      </c>
      <c r="V228" s="26">
        <v>4.9639969599999997E-5</v>
      </c>
      <c r="W228" s="26">
        <v>0</v>
      </c>
      <c r="X228" s="26">
        <v>0</v>
      </c>
      <c r="Y228" s="26">
        <v>0</v>
      </c>
      <c r="Z228" s="26">
        <v>0</v>
      </c>
      <c r="AA228" s="26">
        <v>0</v>
      </c>
      <c r="AB228" s="26">
        <v>0.200425619</v>
      </c>
      <c r="AC228" s="26">
        <v>0</v>
      </c>
      <c r="AD228" s="26">
        <v>0</v>
      </c>
      <c r="AE228" s="26">
        <v>0</v>
      </c>
      <c r="AF228" s="26">
        <v>0</v>
      </c>
      <c r="AG228" s="26">
        <v>0</v>
      </c>
      <c r="AH228" s="26">
        <v>0</v>
      </c>
      <c r="AI228" s="26">
        <v>0</v>
      </c>
      <c r="AJ228" s="26">
        <v>0</v>
      </c>
      <c r="AK228" s="26">
        <v>0</v>
      </c>
      <c r="AL228" s="26">
        <v>0</v>
      </c>
      <c r="AM228" s="26">
        <v>0</v>
      </c>
      <c r="AN228" s="26">
        <v>1.43783719E-4</v>
      </c>
      <c r="AO228" s="26">
        <v>2.40057055E-8</v>
      </c>
      <c r="AP228" s="26">
        <v>0</v>
      </c>
      <c r="AQ228" s="26">
        <v>0</v>
      </c>
      <c r="AR228" s="26">
        <v>0</v>
      </c>
      <c r="AS228" s="26">
        <v>26.858380199999999</v>
      </c>
      <c r="AT228" s="26">
        <v>0</v>
      </c>
      <c r="AU228" s="26">
        <v>0</v>
      </c>
      <c r="AV228" s="26">
        <v>2.0271457700000001E-3</v>
      </c>
      <c r="AW228" s="26">
        <v>0</v>
      </c>
      <c r="AX228" s="26">
        <v>0</v>
      </c>
      <c r="AY228" s="26">
        <v>0</v>
      </c>
      <c r="AZ228" s="26">
        <v>0</v>
      </c>
      <c r="BA228" s="26">
        <v>0</v>
      </c>
      <c r="BB228" s="26">
        <v>0</v>
      </c>
      <c r="BC228" s="26">
        <v>0</v>
      </c>
      <c r="BD228" s="26">
        <v>0</v>
      </c>
      <c r="BE228" s="26">
        <v>0</v>
      </c>
      <c r="BF228" s="26">
        <v>0</v>
      </c>
      <c r="BG228" s="26">
        <v>0</v>
      </c>
      <c r="BH228" s="26">
        <v>0</v>
      </c>
      <c r="BI228" s="26">
        <v>0</v>
      </c>
      <c r="BJ228" s="26">
        <v>0</v>
      </c>
      <c r="BK228" s="26">
        <v>0</v>
      </c>
      <c r="BL228" s="26">
        <v>0</v>
      </c>
      <c r="BM228" s="26">
        <v>0</v>
      </c>
      <c r="BN228" s="26">
        <v>0</v>
      </c>
      <c r="BO228" s="26">
        <v>706.31896400000005</v>
      </c>
      <c r="BP228" s="26">
        <v>29172.843199999999</v>
      </c>
      <c r="BQ228" s="26">
        <v>234940.18599999999</v>
      </c>
      <c r="BR228" s="26">
        <v>116</v>
      </c>
      <c r="BS228" s="26">
        <v>1.6</v>
      </c>
      <c r="BT228" s="26">
        <v>1</v>
      </c>
      <c r="BU228" s="26">
        <v>0</v>
      </c>
      <c r="BV228" s="26">
        <v>0</v>
      </c>
      <c r="BW228" s="26">
        <v>-54993.548300000002</v>
      </c>
      <c r="BX228" s="26">
        <v>-1331.47756</v>
      </c>
      <c r="BY228" s="26">
        <v>-38.842986400000001</v>
      </c>
      <c r="BZ228" s="26">
        <v>-42.212100499999998</v>
      </c>
      <c r="CA228" s="26">
        <v>-1.0220192400000001</v>
      </c>
      <c r="CB228" s="26">
        <v>5.0106296300000002E-5</v>
      </c>
      <c r="CC228" s="26">
        <v>2.0695226900000001E-3</v>
      </c>
      <c r="CD228" s="26">
        <v>41.302647399999998</v>
      </c>
      <c r="CE228" s="26">
        <v>604.54945999999995</v>
      </c>
      <c r="CF228" s="26">
        <v>0</v>
      </c>
      <c r="CG228" s="26">
        <v>0</v>
      </c>
      <c r="CH228" s="26">
        <v>0</v>
      </c>
      <c r="CI228" s="26">
        <v>0</v>
      </c>
      <c r="CJ228" s="26">
        <v>0</v>
      </c>
      <c r="CK228" s="26">
        <v>0</v>
      </c>
      <c r="CL228" s="26">
        <v>0</v>
      </c>
      <c r="CM228" s="26">
        <v>0</v>
      </c>
      <c r="CN228" s="26">
        <v>0</v>
      </c>
      <c r="CO228" s="26">
        <v>0</v>
      </c>
      <c r="CP228" s="26">
        <v>0</v>
      </c>
      <c r="CQ228" s="26">
        <v>0</v>
      </c>
      <c r="CR228" s="26">
        <v>0</v>
      </c>
      <c r="CS228" s="26">
        <v>0</v>
      </c>
      <c r="CT228" s="26">
        <v>0</v>
      </c>
      <c r="CU228" s="26">
        <v>0</v>
      </c>
      <c r="CV228" s="26">
        <v>0</v>
      </c>
      <c r="CW228" s="26">
        <v>0</v>
      </c>
      <c r="CX228" s="26">
        <v>0</v>
      </c>
      <c r="CY228" s="26">
        <v>0</v>
      </c>
      <c r="CZ228" s="26">
        <v>0</v>
      </c>
      <c r="DA228" s="26">
        <v>0</v>
      </c>
      <c r="DB228" s="26">
        <v>0</v>
      </c>
      <c r="DC228" s="26">
        <v>0</v>
      </c>
      <c r="DD228" s="26">
        <v>0</v>
      </c>
      <c r="DE228" s="26">
        <v>0</v>
      </c>
      <c r="DF228" s="26">
        <v>0</v>
      </c>
      <c r="DG228" s="26">
        <v>0</v>
      </c>
      <c r="DH228" s="26">
        <v>0</v>
      </c>
      <c r="DI228" s="26">
        <v>0</v>
      </c>
      <c r="DJ228" s="26">
        <v>0</v>
      </c>
      <c r="DK228" s="26">
        <v>0</v>
      </c>
      <c r="DL228" s="26">
        <v>0</v>
      </c>
      <c r="DM228" s="26">
        <v>0</v>
      </c>
      <c r="DN228" s="26">
        <v>0</v>
      </c>
      <c r="DO228" s="26">
        <v>0</v>
      </c>
      <c r="DP228" s="26">
        <v>0</v>
      </c>
      <c r="DQ228" s="26">
        <v>0</v>
      </c>
      <c r="DR228" s="26">
        <v>0</v>
      </c>
      <c r="DS228" s="26">
        <v>0</v>
      </c>
      <c r="DT228" s="26">
        <v>0</v>
      </c>
      <c r="DU228" s="26">
        <v>0</v>
      </c>
      <c r="DV228" s="26">
        <v>0</v>
      </c>
      <c r="DW228" s="26">
        <v>0</v>
      </c>
      <c r="DX228" s="26">
        <v>0</v>
      </c>
      <c r="DY228" s="26">
        <v>0</v>
      </c>
      <c r="DZ228" s="26">
        <v>0</v>
      </c>
      <c r="EA228" s="26">
        <v>0</v>
      </c>
      <c r="EB228" s="26">
        <v>0</v>
      </c>
      <c r="EC228" s="26">
        <v>0</v>
      </c>
      <c r="ED228" s="26">
        <v>0</v>
      </c>
      <c r="EE228" s="26">
        <v>0</v>
      </c>
      <c r="EF228" s="26">
        <v>0</v>
      </c>
      <c r="EG228" s="26">
        <v>0</v>
      </c>
      <c r="EH228" s="26">
        <v>0</v>
      </c>
      <c r="EI228" s="26">
        <v>0</v>
      </c>
      <c r="EJ228" s="26">
        <v>0</v>
      </c>
      <c r="EK228" s="26">
        <v>0</v>
      </c>
      <c r="EL228" s="26">
        <v>0</v>
      </c>
      <c r="EM228" s="26">
        <v>0</v>
      </c>
      <c r="EN228" s="26">
        <v>0</v>
      </c>
      <c r="EO228" s="26">
        <v>0</v>
      </c>
      <c r="EP228" s="26">
        <v>0</v>
      </c>
      <c r="EQ228" s="26">
        <v>0</v>
      </c>
      <c r="ER228" s="26">
        <v>0</v>
      </c>
      <c r="ES228" s="26">
        <v>0</v>
      </c>
      <c r="ET228" s="26">
        <v>1.6</v>
      </c>
      <c r="EU228" s="26">
        <v>0</v>
      </c>
      <c r="EV228" s="26">
        <v>0</v>
      </c>
      <c r="EW228" s="26">
        <v>0</v>
      </c>
      <c r="EX228" s="26">
        <v>0</v>
      </c>
      <c r="EY228" s="26">
        <v>0</v>
      </c>
      <c r="EZ228" s="26">
        <v>0</v>
      </c>
      <c r="FA228" s="26">
        <v>0</v>
      </c>
      <c r="FB228" s="26">
        <v>0</v>
      </c>
      <c r="FC228" s="26">
        <v>0</v>
      </c>
      <c r="FD228" s="26">
        <v>0</v>
      </c>
      <c r="FE228" s="26">
        <v>0</v>
      </c>
      <c r="FF228" s="26">
        <v>0</v>
      </c>
      <c r="FG228" s="26">
        <v>1.9275420599999999</v>
      </c>
      <c r="FH228" s="26">
        <v>-46352085.594799995</v>
      </c>
      <c r="FI228" s="26">
        <v>0.32558550816023962</v>
      </c>
      <c r="FJ228" s="26">
        <v>3.3318919988773579E-2</v>
      </c>
      <c r="FK228" s="26">
        <v>0.16270799185721951</v>
      </c>
      <c r="FL228" s="26">
        <v>0</v>
      </c>
      <c r="FM228" s="26">
        <v>0</v>
      </c>
      <c r="FN228" s="26">
        <v>0</v>
      </c>
      <c r="FO228" s="26">
        <v>0</v>
      </c>
      <c r="FP228" s="26">
        <v>0</v>
      </c>
      <c r="FQ228" s="26">
        <v>0</v>
      </c>
      <c r="FR228" s="26">
        <v>0</v>
      </c>
      <c r="FS228" s="26">
        <v>0</v>
      </c>
      <c r="FT228" s="26">
        <v>0</v>
      </c>
      <c r="FU228" s="26">
        <v>0</v>
      </c>
      <c r="FV228" s="26">
        <v>0</v>
      </c>
      <c r="FW228" s="26">
        <v>0</v>
      </c>
      <c r="FX228" s="26">
        <v>0</v>
      </c>
      <c r="FY228" s="26">
        <v>0</v>
      </c>
      <c r="FZ228" s="26">
        <v>0</v>
      </c>
      <c r="GA228" s="26">
        <v>1.4350627225916129E-10</v>
      </c>
      <c r="GB228" s="26">
        <v>0</v>
      </c>
      <c r="GC228" s="26">
        <v>0</v>
      </c>
      <c r="GD228" s="26">
        <v>0</v>
      </c>
      <c r="GE228" s="26">
        <v>0</v>
      </c>
      <c r="GF228" s="26">
        <v>0</v>
      </c>
      <c r="GG228" s="26">
        <v>3.2690518317079705E-6</v>
      </c>
      <c r="GH228" s="26">
        <v>0</v>
      </c>
      <c r="GI228" s="26">
        <v>0</v>
      </c>
      <c r="GJ228" s="26">
        <v>0</v>
      </c>
      <c r="GK228" s="26">
        <v>0</v>
      </c>
      <c r="GL228" s="26">
        <v>0</v>
      </c>
      <c r="GM228" s="26">
        <v>0</v>
      </c>
      <c r="GN228" s="26">
        <v>0</v>
      </c>
      <c r="GO228" s="26">
        <v>0</v>
      </c>
      <c r="GP228" s="26">
        <v>0</v>
      </c>
      <c r="GQ228" s="26">
        <v>0</v>
      </c>
      <c r="GR228" s="26">
        <v>0</v>
      </c>
      <c r="GS228" s="26">
        <v>1.2481693766520216E-9</v>
      </c>
      <c r="GT228" s="26">
        <v>2.380372438487424E-13</v>
      </c>
      <c r="GU228" s="26">
        <v>0</v>
      </c>
      <c r="GV228" s="26">
        <v>0</v>
      </c>
      <c r="GW228" s="26">
        <v>0</v>
      </c>
      <c r="GX228" s="26">
        <v>1.6952272468951512E-4</v>
      </c>
      <c r="GY228" s="26">
        <v>0</v>
      </c>
      <c r="GZ228" s="26">
        <v>0</v>
      </c>
      <c r="HA228" s="26">
        <v>8.7894764592047011E-9</v>
      </c>
      <c r="HB228" s="26">
        <v>0</v>
      </c>
      <c r="HC228" s="26">
        <v>0</v>
      </c>
      <c r="HD228" s="26">
        <v>0</v>
      </c>
      <c r="HE228" s="26">
        <v>0</v>
      </c>
      <c r="HF228" s="26">
        <v>0</v>
      </c>
      <c r="HG228" s="26">
        <v>0</v>
      </c>
      <c r="HH228" s="26">
        <v>0</v>
      </c>
      <c r="HI228" s="26">
        <v>0</v>
      </c>
      <c r="HJ228" s="26">
        <v>0</v>
      </c>
      <c r="HK228" s="26">
        <v>0</v>
      </c>
      <c r="HL228" s="26">
        <v>0</v>
      </c>
      <c r="HM228" s="26">
        <v>0</v>
      </c>
      <c r="HN228" s="26">
        <v>0</v>
      </c>
      <c r="HO228" s="26">
        <v>0</v>
      </c>
      <c r="HP228" s="26">
        <v>0</v>
      </c>
      <c r="HQ228" s="26">
        <v>0</v>
      </c>
      <c r="HR228" s="26">
        <v>0</v>
      </c>
      <c r="HS228" s="26">
        <v>0</v>
      </c>
      <c r="HT228" s="26">
        <v>0</v>
      </c>
    </row>
    <row r="229" spans="2:228" x14ac:dyDescent="0.2">
      <c r="B229" s="27" t="s">
        <v>1390</v>
      </c>
      <c r="C229" s="26">
        <v>7362.85646</v>
      </c>
      <c r="D229" s="26">
        <v>-12.779001600000001</v>
      </c>
      <c r="E229" s="26">
        <v>2050.3826600000002</v>
      </c>
      <c r="F229" s="26">
        <v>5312.4737999999998</v>
      </c>
      <c r="G229" s="26">
        <v>0</v>
      </c>
      <c r="H229" s="26">
        <v>0</v>
      </c>
      <c r="I229" s="26">
        <v>0</v>
      </c>
      <c r="J229" s="26">
        <v>0</v>
      </c>
      <c r="K229" s="26">
        <v>0</v>
      </c>
      <c r="L229" s="26">
        <v>0</v>
      </c>
      <c r="M229" s="26">
        <v>0</v>
      </c>
      <c r="N229" s="26">
        <v>0</v>
      </c>
      <c r="O229" s="26">
        <v>0</v>
      </c>
      <c r="P229" s="26">
        <v>0</v>
      </c>
      <c r="Q229" s="26">
        <v>0</v>
      </c>
      <c r="R229" s="26">
        <v>0</v>
      </c>
      <c r="S229" s="26">
        <v>0</v>
      </c>
      <c r="T229" s="26">
        <v>0</v>
      </c>
      <c r="U229" s="26">
        <v>0</v>
      </c>
      <c r="V229" s="26">
        <v>0</v>
      </c>
      <c r="W229" s="26">
        <v>0</v>
      </c>
      <c r="X229" s="26">
        <v>0</v>
      </c>
      <c r="Y229" s="26">
        <v>0</v>
      </c>
      <c r="Z229" s="26">
        <v>0</v>
      </c>
      <c r="AA229" s="26">
        <v>0</v>
      </c>
      <c r="AB229" s="26">
        <v>0</v>
      </c>
      <c r="AC229" s="26">
        <v>0</v>
      </c>
      <c r="AD229" s="26">
        <v>0</v>
      </c>
      <c r="AE229" s="26">
        <v>0</v>
      </c>
      <c r="AF229" s="26">
        <v>0</v>
      </c>
      <c r="AG229" s="26">
        <v>0</v>
      </c>
      <c r="AH229" s="26">
        <v>0</v>
      </c>
      <c r="AI229" s="26">
        <v>0</v>
      </c>
      <c r="AJ229" s="26">
        <v>0</v>
      </c>
      <c r="AK229" s="26">
        <v>0</v>
      </c>
      <c r="AL229" s="26">
        <v>0</v>
      </c>
      <c r="AM229" s="26">
        <v>0</v>
      </c>
      <c r="AN229" s="26">
        <v>0</v>
      </c>
      <c r="AO229" s="26">
        <v>0</v>
      </c>
      <c r="AP229" s="26">
        <v>0</v>
      </c>
      <c r="AQ229" s="26">
        <v>0</v>
      </c>
      <c r="AR229" s="26">
        <v>0</v>
      </c>
      <c r="AS229" s="26">
        <v>0</v>
      </c>
      <c r="AT229" s="26">
        <v>0</v>
      </c>
      <c r="AU229" s="26">
        <v>0</v>
      </c>
      <c r="AV229" s="26">
        <v>0</v>
      </c>
      <c r="AW229" s="26">
        <v>0</v>
      </c>
      <c r="AX229" s="26">
        <v>0</v>
      </c>
      <c r="AY229" s="26">
        <v>0</v>
      </c>
      <c r="AZ229" s="26">
        <v>0</v>
      </c>
      <c r="BA229" s="26">
        <v>0</v>
      </c>
      <c r="BB229" s="26">
        <v>0</v>
      </c>
      <c r="BC229" s="26">
        <v>0</v>
      </c>
      <c r="BD229" s="26">
        <v>0</v>
      </c>
      <c r="BE229" s="26">
        <v>0</v>
      </c>
      <c r="BF229" s="26">
        <v>0</v>
      </c>
      <c r="BG229" s="26">
        <v>0</v>
      </c>
      <c r="BH229" s="26">
        <v>0</v>
      </c>
      <c r="BI229" s="26">
        <v>0</v>
      </c>
      <c r="BJ229" s="26">
        <v>0</v>
      </c>
      <c r="BK229" s="26">
        <v>0</v>
      </c>
      <c r="BL229" s="26">
        <v>0</v>
      </c>
      <c r="BM229" s="26">
        <v>0</v>
      </c>
      <c r="BN229" s="26">
        <v>0</v>
      </c>
      <c r="BO229" s="26">
        <v>229.12901999999997</v>
      </c>
      <c r="BP229" s="26">
        <v>7362.85646</v>
      </c>
      <c r="BQ229" s="26">
        <v>76214.313099999999</v>
      </c>
      <c r="BR229" s="26">
        <v>116</v>
      </c>
      <c r="BS229" s="26">
        <v>1.6</v>
      </c>
      <c r="BT229" s="26">
        <v>1</v>
      </c>
      <c r="BU229" s="26">
        <v>0</v>
      </c>
      <c r="BV229" s="26">
        <v>0</v>
      </c>
      <c r="BW229" s="26">
        <v>-55772.077499999999</v>
      </c>
      <c r="BX229" s="26">
        <v>-1735.6037699999999</v>
      </c>
      <c r="BY229" s="26">
        <v>-12.779001600000001</v>
      </c>
      <c r="BZ229" s="26">
        <v>-28.4899977</v>
      </c>
      <c r="CA229" s="26">
        <v>-0.88659683700000003</v>
      </c>
      <c r="CB229" s="26">
        <v>5.0106296300000002E-5</v>
      </c>
      <c r="CC229" s="26">
        <v>1.61012109E-3</v>
      </c>
      <c r="CD229" s="26">
        <v>32.134107</v>
      </c>
      <c r="CE229" s="26">
        <v>146.04245700000001</v>
      </c>
      <c r="CF229" s="26">
        <v>0</v>
      </c>
      <c r="CG229" s="26">
        <v>0</v>
      </c>
      <c r="CH229" s="26">
        <v>0</v>
      </c>
      <c r="CI229" s="26">
        <v>0</v>
      </c>
      <c r="CJ229" s="26">
        <v>0</v>
      </c>
      <c r="CK229" s="26">
        <v>0</v>
      </c>
      <c r="CL229" s="26">
        <v>0</v>
      </c>
      <c r="CM229" s="26">
        <v>0</v>
      </c>
      <c r="CN229" s="26">
        <v>0</v>
      </c>
      <c r="CO229" s="26">
        <v>0</v>
      </c>
      <c r="CP229" s="26">
        <v>0</v>
      </c>
      <c r="CQ229" s="26">
        <v>0</v>
      </c>
      <c r="CR229" s="26">
        <v>0</v>
      </c>
      <c r="CS229" s="26">
        <v>0</v>
      </c>
      <c r="CT229" s="26">
        <v>0</v>
      </c>
      <c r="CU229" s="26">
        <v>0</v>
      </c>
      <c r="CV229" s="26">
        <v>0</v>
      </c>
      <c r="CW229" s="26">
        <v>0</v>
      </c>
      <c r="CX229" s="26">
        <v>0</v>
      </c>
      <c r="CY229" s="26">
        <v>0</v>
      </c>
      <c r="CZ229" s="26">
        <v>0</v>
      </c>
      <c r="DA229" s="26">
        <v>0</v>
      </c>
      <c r="DB229" s="26">
        <v>0</v>
      </c>
      <c r="DC229" s="26">
        <v>0</v>
      </c>
      <c r="DD229" s="26">
        <v>0</v>
      </c>
      <c r="DE229" s="26">
        <v>0</v>
      </c>
      <c r="DF229" s="26">
        <v>0</v>
      </c>
      <c r="DG229" s="26">
        <v>0</v>
      </c>
      <c r="DH229" s="26">
        <v>0</v>
      </c>
      <c r="DI229" s="26">
        <v>0</v>
      </c>
      <c r="DJ229" s="26">
        <v>0</v>
      </c>
      <c r="DK229" s="26">
        <v>0</v>
      </c>
      <c r="DL229" s="26">
        <v>0</v>
      </c>
      <c r="DM229" s="26">
        <v>0</v>
      </c>
      <c r="DN229" s="26">
        <v>0</v>
      </c>
      <c r="DO229" s="26">
        <v>0</v>
      </c>
      <c r="DP229" s="26">
        <v>0</v>
      </c>
      <c r="DQ229" s="26">
        <v>0</v>
      </c>
      <c r="DR229" s="26">
        <v>0</v>
      </c>
      <c r="DS229" s="26">
        <v>0</v>
      </c>
      <c r="DT229" s="26">
        <v>0</v>
      </c>
      <c r="DU229" s="26">
        <v>0</v>
      </c>
      <c r="DV229" s="26">
        <v>0</v>
      </c>
      <c r="DW229" s="26">
        <v>0</v>
      </c>
      <c r="DX229" s="26">
        <v>0</v>
      </c>
      <c r="DY229" s="26">
        <v>0</v>
      </c>
      <c r="DZ229" s="26">
        <v>0</v>
      </c>
      <c r="EA229" s="26">
        <v>0</v>
      </c>
      <c r="EB229" s="26">
        <v>0</v>
      </c>
      <c r="EC229" s="26">
        <v>0</v>
      </c>
      <c r="ED229" s="26">
        <v>0</v>
      </c>
      <c r="EE229" s="26">
        <v>0</v>
      </c>
      <c r="EF229" s="26">
        <v>0</v>
      </c>
      <c r="EG229" s="26">
        <v>0</v>
      </c>
      <c r="EH229" s="26">
        <v>0</v>
      </c>
      <c r="EI229" s="26">
        <v>0</v>
      </c>
      <c r="EJ229" s="26">
        <v>0</v>
      </c>
      <c r="EK229" s="26">
        <v>0</v>
      </c>
      <c r="EL229" s="26">
        <v>0</v>
      </c>
      <c r="EM229" s="26">
        <v>0</v>
      </c>
      <c r="EN229" s="26">
        <v>0</v>
      </c>
      <c r="EO229" s="26">
        <v>0</v>
      </c>
      <c r="EP229" s="26">
        <v>0</v>
      </c>
      <c r="EQ229" s="26">
        <v>0</v>
      </c>
      <c r="ER229" s="26">
        <v>0</v>
      </c>
      <c r="ES229" s="26">
        <v>0</v>
      </c>
      <c r="ET229" s="26">
        <v>1.6</v>
      </c>
      <c r="EU229" s="26">
        <v>0</v>
      </c>
      <c r="EV229" s="26">
        <v>0</v>
      </c>
      <c r="EW229" s="26">
        <v>0</v>
      </c>
      <c r="EX229" s="26">
        <v>0</v>
      </c>
      <c r="EY229" s="26">
        <v>0</v>
      </c>
      <c r="EZ229" s="26">
        <v>0</v>
      </c>
      <c r="FA229" s="26">
        <v>0</v>
      </c>
      <c r="FB229" s="26">
        <v>0</v>
      </c>
      <c r="FC229" s="26">
        <v>0</v>
      </c>
      <c r="FD229" s="26">
        <v>0</v>
      </c>
      <c r="FE229" s="26">
        <v>0</v>
      </c>
      <c r="FF229" s="26">
        <v>0</v>
      </c>
      <c r="FG229" s="26">
        <v>1.5035315199999999</v>
      </c>
      <c r="FH229" s="26">
        <v>-15170855.495099999</v>
      </c>
      <c r="FI229" s="26">
        <v>6.4064160234735504E-2</v>
      </c>
      <c r="FJ229" s="26">
        <v>3.1614870530696747E-2</v>
      </c>
      <c r="FK229" s="26">
        <v>3.2032079978478865E-2</v>
      </c>
      <c r="FL229" s="26">
        <v>0</v>
      </c>
      <c r="FM229" s="26">
        <v>0</v>
      </c>
      <c r="FN229" s="26">
        <v>0</v>
      </c>
      <c r="FO229" s="26">
        <v>0</v>
      </c>
      <c r="FP229" s="26">
        <v>0</v>
      </c>
      <c r="FQ229" s="26">
        <v>0</v>
      </c>
      <c r="FR229" s="26">
        <v>0</v>
      </c>
      <c r="FS229" s="26">
        <v>0</v>
      </c>
      <c r="FT229" s="26">
        <v>0</v>
      </c>
      <c r="FU229" s="26">
        <v>0</v>
      </c>
      <c r="FV229" s="26">
        <v>0</v>
      </c>
      <c r="FW229" s="26">
        <v>0</v>
      </c>
      <c r="FX229" s="26">
        <v>0</v>
      </c>
      <c r="FY229" s="26">
        <v>0</v>
      </c>
      <c r="FZ229" s="26">
        <v>0</v>
      </c>
      <c r="GA229" s="26">
        <v>0</v>
      </c>
      <c r="GB229" s="26">
        <v>0</v>
      </c>
      <c r="GC229" s="26">
        <v>0</v>
      </c>
      <c r="GD229" s="26">
        <v>0</v>
      </c>
      <c r="GE229" s="26">
        <v>0</v>
      </c>
      <c r="GF229" s="26">
        <v>0</v>
      </c>
      <c r="GG229" s="26">
        <v>0</v>
      </c>
      <c r="GH229" s="26">
        <v>0</v>
      </c>
      <c r="GI229" s="26">
        <v>0</v>
      </c>
      <c r="GJ229" s="26">
        <v>0</v>
      </c>
      <c r="GK229" s="26">
        <v>0</v>
      </c>
      <c r="GL229" s="26">
        <v>0</v>
      </c>
      <c r="GM229" s="26">
        <v>0</v>
      </c>
      <c r="GN229" s="26">
        <v>0</v>
      </c>
      <c r="GO229" s="26">
        <v>0</v>
      </c>
      <c r="GP229" s="26">
        <v>0</v>
      </c>
      <c r="GQ229" s="26">
        <v>0</v>
      </c>
      <c r="GR229" s="26">
        <v>0</v>
      </c>
      <c r="GS229" s="26">
        <v>0</v>
      </c>
      <c r="GT229" s="26">
        <v>0</v>
      </c>
      <c r="GU229" s="26">
        <v>0</v>
      </c>
      <c r="GV229" s="26">
        <v>0</v>
      </c>
      <c r="GW229" s="26">
        <v>0</v>
      </c>
      <c r="GX229" s="26">
        <v>0</v>
      </c>
      <c r="GY229" s="26">
        <v>0</v>
      </c>
      <c r="GZ229" s="26">
        <v>0</v>
      </c>
      <c r="HA229" s="26">
        <v>0</v>
      </c>
      <c r="HB229" s="26">
        <v>0</v>
      </c>
      <c r="HC229" s="26">
        <v>0</v>
      </c>
      <c r="HD229" s="26">
        <v>0</v>
      </c>
      <c r="HE229" s="26">
        <v>0</v>
      </c>
      <c r="HF229" s="26">
        <v>0</v>
      </c>
      <c r="HG229" s="26">
        <v>0</v>
      </c>
      <c r="HH229" s="26">
        <v>0</v>
      </c>
      <c r="HI229" s="26">
        <v>0</v>
      </c>
      <c r="HJ229" s="26">
        <v>0</v>
      </c>
      <c r="HK229" s="26">
        <v>0</v>
      </c>
      <c r="HL229" s="26">
        <v>0</v>
      </c>
      <c r="HM229" s="26">
        <v>0</v>
      </c>
      <c r="HN229" s="26">
        <v>0</v>
      </c>
      <c r="HO229" s="26">
        <v>0</v>
      </c>
      <c r="HP229" s="26">
        <v>0</v>
      </c>
      <c r="HQ229" s="26">
        <v>0</v>
      </c>
      <c r="HR229" s="26">
        <v>0</v>
      </c>
      <c r="HS229" s="26">
        <v>0</v>
      </c>
      <c r="HT229" s="26">
        <v>0</v>
      </c>
    </row>
    <row r="230" spans="2:228" x14ac:dyDescent="0.2">
      <c r="B230" s="27" t="s">
        <v>1391</v>
      </c>
      <c r="C230" s="26">
        <v>21809.986700000001</v>
      </c>
      <c r="D230" s="26">
        <v>-26.0639848</v>
      </c>
      <c r="E230" s="26">
        <v>110.51614600000001</v>
      </c>
      <c r="F230" s="26">
        <v>21672.409500000002</v>
      </c>
      <c r="G230" s="26">
        <v>0</v>
      </c>
      <c r="H230" s="26">
        <v>0</v>
      </c>
      <c r="I230" s="26">
        <v>0</v>
      </c>
      <c r="J230" s="26">
        <v>0</v>
      </c>
      <c r="K230" s="26">
        <v>0</v>
      </c>
      <c r="L230" s="26">
        <v>0</v>
      </c>
      <c r="M230" s="26">
        <v>0</v>
      </c>
      <c r="N230" s="26">
        <v>0</v>
      </c>
      <c r="O230" s="26">
        <v>0</v>
      </c>
      <c r="P230" s="26">
        <v>0</v>
      </c>
      <c r="Q230" s="26">
        <v>0</v>
      </c>
      <c r="R230" s="26">
        <v>0</v>
      </c>
      <c r="S230" s="26">
        <v>0</v>
      </c>
      <c r="T230" s="26">
        <v>0</v>
      </c>
      <c r="U230" s="26">
        <v>0</v>
      </c>
      <c r="V230" s="26">
        <v>4.9639969599999997E-5</v>
      </c>
      <c r="W230" s="26">
        <v>0</v>
      </c>
      <c r="X230" s="26">
        <v>0</v>
      </c>
      <c r="Y230" s="26">
        <v>0</v>
      </c>
      <c r="Z230" s="26">
        <v>0</v>
      </c>
      <c r="AA230" s="26">
        <v>0</v>
      </c>
      <c r="AB230" s="26">
        <v>0.200425619</v>
      </c>
      <c r="AC230" s="26">
        <v>0</v>
      </c>
      <c r="AD230" s="26">
        <v>0</v>
      </c>
      <c r="AE230" s="26">
        <v>0</v>
      </c>
      <c r="AF230" s="26">
        <v>0</v>
      </c>
      <c r="AG230" s="26">
        <v>0</v>
      </c>
      <c r="AH230" s="26">
        <v>0</v>
      </c>
      <c r="AI230" s="26">
        <v>0</v>
      </c>
      <c r="AJ230" s="26">
        <v>0</v>
      </c>
      <c r="AK230" s="26">
        <v>0</v>
      </c>
      <c r="AL230" s="26">
        <v>0</v>
      </c>
      <c r="AM230" s="26">
        <v>0</v>
      </c>
      <c r="AN230" s="26">
        <v>1.43783719E-4</v>
      </c>
      <c r="AO230" s="26">
        <v>2.40057055E-8</v>
      </c>
      <c r="AP230" s="26">
        <v>0</v>
      </c>
      <c r="AQ230" s="26">
        <v>0</v>
      </c>
      <c r="AR230" s="26">
        <v>0</v>
      </c>
      <c r="AS230" s="26">
        <v>26.858380199999999</v>
      </c>
      <c r="AT230" s="26">
        <v>0</v>
      </c>
      <c r="AU230" s="26">
        <v>0</v>
      </c>
      <c r="AV230" s="26">
        <v>2.0271457700000001E-3</v>
      </c>
      <c r="AW230" s="26">
        <v>0</v>
      </c>
      <c r="AX230" s="26">
        <v>0</v>
      </c>
      <c r="AY230" s="26">
        <v>0</v>
      </c>
      <c r="AZ230" s="26">
        <v>0</v>
      </c>
      <c r="BA230" s="26">
        <v>0</v>
      </c>
      <c r="BB230" s="26">
        <v>0</v>
      </c>
      <c r="BC230" s="26">
        <v>0</v>
      </c>
      <c r="BD230" s="26">
        <v>0</v>
      </c>
      <c r="BE230" s="26">
        <v>0</v>
      </c>
      <c r="BF230" s="26">
        <v>0</v>
      </c>
      <c r="BG230" s="26">
        <v>0</v>
      </c>
      <c r="BH230" s="26">
        <v>0</v>
      </c>
      <c r="BI230" s="26">
        <v>0</v>
      </c>
      <c r="BJ230" s="26">
        <v>0</v>
      </c>
      <c r="BK230" s="26">
        <v>0</v>
      </c>
      <c r="BL230" s="26">
        <v>0</v>
      </c>
      <c r="BM230" s="26">
        <v>0</v>
      </c>
      <c r="BN230" s="26">
        <v>0</v>
      </c>
      <c r="BO230" s="26">
        <v>477.18994400000003</v>
      </c>
      <c r="BP230" s="26">
        <v>21809.986700000001</v>
      </c>
      <c r="BQ230" s="26">
        <v>158725.87299999999</v>
      </c>
      <c r="BR230" s="26">
        <v>116</v>
      </c>
      <c r="BS230" s="26">
        <v>1.6</v>
      </c>
      <c r="BT230" s="26">
        <v>1</v>
      </c>
      <c r="BU230" s="26">
        <v>0</v>
      </c>
      <c r="BV230" s="26">
        <v>0</v>
      </c>
      <c r="BW230" s="26">
        <v>-54619.727299999999</v>
      </c>
      <c r="BX230" s="26">
        <v>-1195.04817</v>
      </c>
      <c r="BY230" s="26">
        <v>-26.0639848</v>
      </c>
      <c r="BZ230" s="26">
        <v>-49.343268999999999</v>
      </c>
      <c r="CA230" s="26">
        <v>-1.0796022999999999</v>
      </c>
      <c r="CB230" s="26">
        <v>5.0106296300000002E-5</v>
      </c>
      <c r="CC230" s="26">
        <v>2.2901104099999998E-3</v>
      </c>
      <c r="CD230" s="26">
        <v>45.705042599999999</v>
      </c>
      <c r="CE230" s="26">
        <v>458.50700399999999</v>
      </c>
      <c r="CF230" s="26">
        <v>0</v>
      </c>
      <c r="CG230" s="26">
        <v>0</v>
      </c>
      <c r="CH230" s="26">
        <v>0</v>
      </c>
      <c r="CI230" s="26">
        <v>0</v>
      </c>
      <c r="CJ230" s="26">
        <v>0</v>
      </c>
      <c r="CK230" s="26">
        <v>0</v>
      </c>
      <c r="CL230" s="26">
        <v>0</v>
      </c>
      <c r="CM230" s="26">
        <v>0</v>
      </c>
      <c r="CN230" s="26">
        <v>0</v>
      </c>
      <c r="CO230" s="26">
        <v>0</v>
      </c>
      <c r="CP230" s="26">
        <v>0</v>
      </c>
      <c r="CQ230" s="26">
        <v>0</v>
      </c>
      <c r="CR230" s="26">
        <v>0</v>
      </c>
      <c r="CS230" s="26">
        <v>0</v>
      </c>
      <c r="CT230" s="26">
        <v>0</v>
      </c>
      <c r="CU230" s="26">
        <v>0</v>
      </c>
      <c r="CV230" s="26">
        <v>0</v>
      </c>
      <c r="CW230" s="26">
        <v>0</v>
      </c>
      <c r="CX230" s="26">
        <v>0</v>
      </c>
      <c r="CY230" s="26">
        <v>0</v>
      </c>
      <c r="CZ230" s="26">
        <v>0</v>
      </c>
      <c r="DA230" s="26">
        <v>0</v>
      </c>
      <c r="DB230" s="26">
        <v>0</v>
      </c>
      <c r="DC230" s="26">
        <v>0</v>
      </c>
      <c r="DD230" s="26">
        <v>0</v>
      </c>
      <c r="DE230" s="26">
        <v>0</v>
      </c>
      <c r="DF230" s="26">
        <v>0</v>
      </c>
      <c r="DG230" s="26">
        <v>0</v>
      </c>
      <c r="DH230" s="26">
        <v>0</v>
      </c>
      <c r="DI230" s="26">
        <v>0</v>
      </c>
      <c r="DJ230" s="26">
        <v>0</v>
      </c>
      <c r="DK230" s="26">
        <v>0</v>
      </c>
      <c r="DL230" s="26">
        <v>0</v>
      </c>
      <c r="DM230" s="26">
        <v>0</v>
      </c>
      <c r="DN230" s="26">
        <v>0</v>
      </c>
      <c r="DO230" s="26">
        <v>0</v>
      </c>
      <c r="DP230" s="26">
        <v>0</v>
      </c>
      <c r="DQ230" s="26">
        <v>0</v>
      </c>
      <c r="DR230" s="26">
        <v>0</v>
      </c>
      <c r="DS230" s="26">
        <v>0</v>
      </c>
      <c r="DT230" s="26">
        <v>0</v>
      </c>
      <c r="DU230" s="26">
        <v>0</v>
      </c>
      <c r="DV230" s="26">
        <v>0</v>
      </c>
      <c r="DW230" s="26">
        <v>0</v>
      </c>
      <c r="DX230" s="26">
        <v>0</v>
      </c>
      <c r="DY230" s="26">
        <v>0</v>
      </c>
      <c r="DZ230" s="26">
        <v>0</v>
      </c>
      <c r="EA230" s="26">
        <v>0</v>
      </c>
      <c r="EB230" s="26">
        <v>0</v>
      </c>
      <c r="EC230" s="26">
        <v>0</v>
      </c>
      <c r="ED230" s="26">
        <v>0</v>
      </c>
      <c r="EE230" s="26">
        <v>0</v>
      </c>
      <c r="EF230" s="26">
        <v>0</v>
      </c>
      <c r="EG230" s="26">
        <v>0</v>
      </c>
      <c r="EH230" s="26">
        <v>0</v>
      </c>
      <c r="EI230" s="26">
        <v>0</v>
      </c>
      <c r="EJ230" s="26">
        <v>0</v>
      </c>
      <c r="EK230" s="26">
        <v>0</v>
      </c>
      <c r="EL230" s="26">
        <v>0</v>
      </c>
      <c r="EM230" s="26">
        <v>0</v>
      </c>
      <c r="EN230" s="26">
        <v>0</v>
      </c>
      <c r="EO230" s="26">
        <v>0</v>
      </c>
      <c r="EP230" s="26">
        <v>0</v>
      </c>
      <c r="EQ230" s="26">
        <v>0</v>
      </c>
      <c r="ER230" s="26">
        <v>0</v>
      </c>
      <c r="ES230" s="26">
        <v>0</v>
      </c>
      <c r="ET230" s="26">
        <v>1.6</v>
      </c>
      <c r="EU230" s="26">
        <v>0</v>
      </c>
      <c r="EV230" s="26">
        <v>0</v>
      </c>
      <c r="EW230" s="26">
        <v>0</v>
      </c>
      <c r="EX230" s="26">
        <v>0</v>
      </c>
      <c r="EY230" s="26">
        <v>0</v>
      </c>
      <c r="EZ230" s="26">
        <v>0</v>
      </c>
      <c r="FA230" s="26">
        <v>0</v>
      </c>
      <c r="FB230" s="26">
        <v>0</v>
      </c>
      <c r="FC230" s="26">
        <v>0</v>
      </c>
      <c r="FD230" s="26">
        <v>0</v>
      </c>
      <c r="FE230" s="26">
        <v>0</v>
      </c>
      <c r="FF230" s="26">
        <v>0</v>
      </c>
      <c r="FG230" s="26">
        <v>2.07068422</v>
      </c>
      <c r="FH230" s="26">
        <v>-31181230.0997</v>
      </c>
      <c r="FI230" s="26">
        <v>0.26152134709217079</v>
      </c>
      <c r="FJ230" s="26">
        <v>1.7040495441879519E-3</v>
      </c>
      <c r="FK230" s="26">
        <v>0.13067591187874064</v>
      </c>
      <c r="FL230" s="26">
        <v>0</v>
      </c>
      <c r="FM230" s="26">
        <v>0</v>
      </c>
      <c r="FN230" s="26">
        <v>0</v>
      </c>
      <c r="FO230" s="26">
        <v>0</v>
      </c>
      <c r="FP230" s="26">
        <v>0</v>
      </c>
      <c r="FQ230" s="26">
        <v>0</v>
      </c>
      <c r="FR230" s="26">
        <v>0</v>
      </c>
      <c r="FS230" s="26">
        <v>0</v>
      </c>
      <c r="FT230" s="26">
        <v>0</v>
      </c>
      <c r="FU230" s="26">
        <v>0</v>
      </c>
      <c r="FV230" s="26">
        <v>0</v>
      </c>
      <c r="FW230" s="26">
        <v>0</v>
      </c>
      <c r="FX230" s="26">
        <v>0</v>
      </c>
      <c r="FY230" s="26">
        <v>0</v>
      </c>
      <c r="FZ230" s="26">
        <v>0</v>
      </c>
      <c r="GA230" s="26">
        <v>1.4350627225916129E-10</v>
      </c>
      <c r="GB230" s="26">
        <v>0</v>
      </c>
      <c r="GC230" s="26">
        <v>0</v>
      </c>
      <c r="GD230" s="26">
        <v>0</v>
      </c>
      <c r="GE230" s="26">
        <v>0</v>
      </c>
      <c r="GF230" s="26">
        <v>0</v>
      </c>
      <c r="GG230" s="26">
        <v>3.2690518317079705E-6</v>
      </c>
      <c r="GH230" s="26">
        <v>0</v>
      </c>
      <c r="GI230" s="26">
        <v>0</v>
      </c>
      <c r="GJ230" s="26">
        <v>0</v>
      </c>
      <c r="GK230" s="26">
        <v>0</v>
      </c>
      <c r="GL230" s="26">
        <v>0</v>
      </c>
      <c r="GM230" s="26">
        <v>0</v>
      </c>
      <c r="GN230" s="26">
        <v>0</v>
      </c>
      <c r="GO230" s="26">
        <v>0</v>
      </c>
      <c r="GP230" s="26">
        <v>0</v>
      </c>
      <c r="GQ230" s="26">
        <v>0</v>
      </c>
      <c r="GR230" s="26">
        <v>0</v>
      </c>
      <c r="GS230" s="26">
        <v>1.2481693766520216E-9</v>
      </c>
      <c r="GT230" s="26">
        <v>2.380372438487424E-13</v>
      </c>
      <c r="GU230" s="26">
        <v>0</v>
      </c>
      <c r="GV230" s="26">
        <v>0</v>
      </c>
      <c r="GW230" s="26">
        <v>0</v>
      </c>
      <c r="GX230" s="26">
        <v>1.6952272468951512E-4</v>
      </c>
      <c r="GY230" s="26">
        <v>0</v>
      </c>
      <c r="GZ230" s="26">
        <v>0</v>
      </c>
      <c r="HA230" s="26">
        <v>8.7894764592047011E-9</v>
      </c>
      <c r="HB230" s="26">
        <v>0</v>
      </c>
      <c r="HC230" s="26">
        <v>0</v>
      </c>
      <c r="HD230" s="26">
        <v>0</v>
      </c>
      <c r="HE230" s="26">
        <v>0</v>
      </c>
      <c r="HF230" s="26">
        <v>0</v>
      </c>
      <c r="HG230" s="26">
        <v>0</v>
      </c>
      <c r="HH230" s="26">
        <v>0</v>
      </c>
      <c r="HI230" s="26">
        <v>0</v>
      </c>
      <c r="HJ230" s="26">
        <v>0</v>
      </c>
      <c r="HK230" s="26">
        <v>0</v>
      </c>
      <c r="HL230" s="26">
        <v>0</v>
      </c>
      <c r="HM230" s="26">
        <v>0</v>
      </c>
      <c r="HN230" s="26">
        <v>0</v>
      </c>
      <c r="HO230" s="26">
        <v>0</v>
      </c>
      <c r="HP230" s="26">
        <v>0</v>
      </c>
      <c r="HQ230" s="26">
        <v>0</v>
      </c>
      <c r="HR230" s="26">
        <v>0</v>
      </c>
      <c r="HS230" s="26">
        <v>0</v>
      </c>
      <c r="HT230" s="26">
        <v>0</v>
      </c>
    </row>
    <row r="231" spans="2:228" x14ac:dyDescent="0.2">
      <c r="B231" s="27" t="s">
        <v>2415</v>
      </c>
      <c r="C231" s="26">
        <v>21809.986700000001</v>
      </c>
      <c r="D231" s="26">
        <v>-31.466227000000003</v>
      </c>
      <c r="E231" s="26">
        <v>110.51614600000001</v>
      </c>
      <c r="F231" s="26">
        <v>21672.409500000002</v>
      </c>
      <c r="G231" s="26">
        <v>0</v>
      </c>
      <c r="H231" s="26">
        <v>0</v>
      </c>
      <c r="I231" s="26">
        <v>0</v>
      </c>
      <c r="J231" s="26">
        <v>0</v>
      </c>
      <c r="K231" s="26">
        <v>0</v>
      </c>
      <c r="L231" s="26">
        <v>0</v>
      </c>
      <c r="M231" s="26">
        <v>0</v>
      </c>
      <c r="N231" s="26">
        <v>0</v>
      </c>
      <c r="O231" s="26">
        <v>0</v>
      </c>
      <c r="P231" s="26">
        <v>0</v>
      </c>
      <c r="Q231" s="26">
        <v>0</v>
      </c>
      <c r="R231" s="26">
        <v>0</v>
      </c>
      <c r="S231" s="26">
        <v>0</v>
      </c>
      <c r="T231" s="26">
        <v>0</v>
      </c>
      <c r="U231" s="26">
        <v>0</v>
      </c>
      <c r="V231" s="26">
        <v>4.9639969599999997E-5</v>
      </c>
      <c r="W231" s="26">
        <v>0</v>
      </c>
      <c r="X231" s="26">
        <v>0</v>
      </c>
      <c r="Y231" s="26">
        <v>0</v>
      </c>
      <c r="Z231" s="26">
        <v>0</v>
      </c>
      <c r="AA231" s="26">
        <v>0</v>
      </c>
      <c r="AB231" s="26">
        <v>0.200425619</v>
      </c>
      <c r="AC231" s="26">
        <v>0</v>
      </c>
      <c r="AD231" s="26">
        <v>0</v>
      </c>
      <c r="AE231" s="26">
        <v>0</v>
      </c>
      <c r="AF231" s="26">
        <v>0</v>
      </c>
      <c r="AG231" s="26">
        <v>0</v>
      </c>
      <c r="AH231" s="26">
        <v>0</v>
      </c>
      <c r="AI231" s="26">
        <v>0</v>
      </c>
      <c r="AJ231" s="26">
        <v>0</v>
      </c>
      <c r="AK231" s="26">
        <v>0</v>
      </c>
      <c r="AL231" s="26">
        <v>0</v>
      </c>
      <c r="AM231" s="26">
        <v>0</v>
      </c>
      <c r="AN231" s="26">
        <v>1.43783719E-4</v>
      </c>
      <c r="AO231" s="26">
        <v>2.40057055E-8</v>
      </c>
      <c r="AP231" s="26">
        <v>0</v>
      </c>
      <c r="AQ231" s="26">
        <v>0</v>
      </c>
      <c r="AR231" s="26">
        <v>0</v>
      </c>
      <c r="AS231" s="26">
        <v>26.858380199999999</v>
      </c>
      <c r="AT231" s="26">
        <v>0</v>
      </c>
      <c r="AU231" s="26">
        <v>0</v>
      </c>
      <c r="AV231" s="26">
        <v>2.0271457700000001E-3</v>
      </c>
      <c r="AW231" s="26">
        <v>0</v>
      </c>
      <c r="AX231" s="26">
        <v>0</v>
      </c>
      <c r="AY231" s="26">
        <v>0</v>
      </c>
      <c r="AZ231" s="26">
        <v>0</v>
      </c>
      <c r="BA231" s="26">
        <v>0</v>
      </c>
      <c r="BB231" s="26">
        <v>0</v>
      </c>
      <c r="BC231" s="26">
        <v>0</v>
      </c>
      <c r="BD231" s="26">
        <v>0</v>
      </c>
      <c r="BE231" s="26">
        <v>0</v>
      </c>
      <c r="BF231" s="26">
        <v>0</v>
      </c>
      <c r="BG231" s="26">
        <v>0</v>
      </c>
      <c r="BH231" s="26">
        <v>0</v>
      </c>
      <c r="BI231" s="26">
        <v>0</v>
      </c>
      <c r="BJ231" s="26">
        <v>0</v>
      </c>
      <c r="BK231" s="26">
        <v>0</v>
      </c>
      <c r="BL231" s="26">
        <v>0</v>
      </c>
      <c r="BM231" s="26">
        <v>0</v>
      </c>
      <c r="BN231" s="26">
        <v>0</v>
      </c>
      <c r="BO231" s="26">
        <v>477.18994400000003</v>
      </c>
      <c r="BP231" s="26">
        <v>21809.986700000001</v>
      </c>
      <c r="BQ231" s="26">
        <v>463.42916200000002</v>
      </c>
      <c r="BR231" s="26">
        <v>38</v>
      </c>
      <c r="BS231" s="26">
        <v>1</v>
      </c>
      <c r="BT231" s="26">
        <v>0</v>
      </c>
      <c r="BU231" s="26">
        <v>1</v>
      </c>
      <c r="BV231" s="26">
        <v>0</v>
      </c>
      <c r="BW231" s="26">
        <v>-65940.674499999994</v>
      </c>
      <c r="BX231" s="26">
        <v>-1442.74397</v>
      </c>
      <c r="BY231" s="26">
        <v>-31.466227000000003</v>
      </c>
      <c r="BZ231" s="26">
        <v>-80.690886199999994</v>
      </c>
      <c r="CA231" s="26">
        <v>-1.7654700999999999</v>
      </c>
      <c r="CB231" s="26">
        <v>1.7161556299999998E-2</v>
      </c>
      <c r="CC231" s="26">
        <v>0.784369659</v>
      </c>
      <c r="CD231" s="26">
        <v>45.705042599999999</v>
      </c>
      <c r="CE231" s="26">
        <v>458.50700399999999</v>
      </c>
      <c r="CF231" s="26">
        <v>0</v>
      </c>
      <c r="CG231" s="26">
        <v>0</v>
      </c>
      <c r="CH231" s="26">
        <v>0</v>
      </c>
      <c r="CI231" s="26">
        <v>0</v>
      </c>
      <c r="CJ231" s="26">
        <v>0</v>
      </c>
      <c r="CK231" s="26">
        <v>0</v>
      </c>
      <c r="CL231" s="26">
        <v>0</v>
      </c>
      <c r="CM231" s="26">
        <v>0</v>
      </c>
      <c r="CN231" s="26">
        <v>0</v>
      </c>
      <c r="CO231" s="26">
        <v>0</v>
      </c>
      <c r="CP231" s="26">
        <v>0</v>
      </c>
      <c r="CQ231" s="26">
        <v>0</v>
      </c>
      <c r="CR231" s="26">
        <v>0</v>
      </c>
      <c r="CS231" s="26">
        <v>0</v>
      </c>
      <c r="CT231" s="26">
        <v>0</v>
      </c>
      <c r="CU231" s="26">
        <v>0</v>
      </c>
      <c r="CV231" s="26">
        <v>0</v>
      </c>
      <c r="CW231" s="26">
        <v>0</v>
      </c>
      <c r="CX231" s="26">
        <v>0</v>
      </c>
      <c r="CY231" s="26">
        <v>0</v>
      </c>
      <c r="CZ231" s="26">
        <v>0</v>
      </c>
      <c r="DA231" s="26">
        <v>0</v>
      </c>
      <c r="DB231" s="26">
        <v>0</v>
      </c>
      <c r="DC231" s="26">
        <v>0</v>
      </c>
      <c r="DD231" s="26">
        <v>0</v>
      </c>
      <c r="DE231" s="26">
        <v>0</v>
      </c>
      <c r="DF231" s="26">
        <v>0</v>
      </c>
      <c r="DG231" s="26">
        <v>0</v>
      </c>
      <c r="DH231" s="26">
        <v>0</v>
      </c>
      <c r="DI231" s="26">
        <v>0</v>
      </c>
      <c r="DJ231" s="26">
        <v>0</v>
      </c>
      <c r="DK231" s="26">
        <v>0</v>
      </c>
      <c r="DL231" s="26">
        <v>0</v>
      </c>
      <c r="DM231" s="26">
        <v>0</v>
      </c>
      <c r="DN231" s="26">
        <v>0</v>
      </c>
      <c r="DO231" s="26">
        <v>0</v>
      </c>
      <c r="DP231" s="26">
        <v>0</v>
      </c>
      <c r="DQ231" s="26">
        <v>0</v>
      </c>
      <c r="DR231" s="26">
        <v>0</v>
      </c>
      <c r="DS231" s="26">
        <v>0</v>
      </c>
      <c r="DT231" s="26">
        <v>0</v>
      </c>
      <c r="DU231" s="26">
        <v>0</v>
      </c>
      <c r="DV231" s="26">
        <v>0</v>
      </c>
      <c r="DW231" s="26">
        <v>0</v>
      </c>
      <c r="DX231" s="26">
        <v>0</v>
      </c>
      <c r="DY231" s="26">
        <v>0</v>
      </c>
      <c r="DZ231" s="26">
        <v>0</v>
      </c>
      <c r="EA231" s="26">
        <v>0</v>
      </c>
      <c r="EB231" s="26">
        <v>0</v>
      </c>
      <c r="EC231" s="26">
        <v>0</v>
      </c>
      <c r="ED231" s="26">
        <v>0</v>
      </c>
      <c r="EE231" s="26">
        <v>0</v>
      </c>
      <c r="EF231" s="26">
        <v>0</v>
      </c>
      <c r="EG231" s="26">
        <v>0</v>
      </c>
      <c r="EH231" s="26">
        <v>0</v>
      </c>
      <c r="EI231" s="26">
        <v>0</v>
      </c>
      <c r="EJ231" s="26">
        <v>0</v>
      </c>
      <c r="EK231" s="26">
        <v>0</v>
      </c>
      <c r="EL231" s="26">
        <v>0</v>
      </c>
      <c r="EM231" s="26">
        <v>0</v>
      </c>
      <c r="EN231" s="26">
        <v>0</v>
      </c>
      <c r="EO231" s="26">
        <v>0</v>
      </c>
      <c r="EP231" s="26">
        <v>0</v>
      </c>
      <c r="EQ231" s="26">
        <v>0</v>
      </c>
      <c r="ER231" s="26">
        <v>0</v>
      </c>
      <c r="ES231" s="26">
        <v>0</v>
      </c>
      <c r="ET231" s="26">
        <v>1</v>
      </c>
      <c r="EU231" s="26">
        <v>0</v>
      </c>
      <c r="EV231" s="26">
        <v>0</v>
      </c>
      <c r="EW231" s="26">
        <v>0</v>
      </c>
      <c r="EX231" s="26">
        <v>0</v>
      </c>
      <c r="EY231" s="26">
        <v>0</v>
      </c>
      <c r="EZ231" s="26">
        <v>0</v>
      </c>
      <c r="FA231" s="26">
        <v>0</v>
      </c>
      <c r="FB231" s="26">
        <v>0</v>
      </c>
      <c r="FC231" s="26">
        <v>0</v>
      </c>
      <c r="FD231" s="26">
        <v>0</v>
      </c>
      <c r="FE231" s="26">
        <v>0</v>
      </c>
      <c r="FF231" s="26">
        <v>0</v>
      </c>
      <c r="FG231" s="26">
        <v>2.07068422</v>
      </c>
      <c r="FH231" s="26">
        <v>-36816511.942299999</v>
      </c>
      <c r="FI231" s="26">
        <v>0.26152134709217079</v>
      </c>
      <c r="FJ231" s="26">
        <v>0</v>
      </c>
      <c r="FK231" s="26">
        <v>0</v>
      </c>
      <c r="FL231" s="26">
        <v>0</v>
      </c>
      <c r="FM231" s="26">
        <v>0</v>
      </c>
      <c r="FN231" s="26">
        <v>0</v>
      </c>
      <c r="FO231" s="26">
        <v>0</v>
      </c>
      <c r="FP231" s="26">
        <v>0</v>
      </c>
      <c r="FQ231" s="26">
        <v>0</v>
      </c>
      <c r="FR231" s="26">
        <v>0</v>
      </c>
      <c r="FS231" s="26">
        <v>0</v>
      </c>
      <c r="FT231" s="26">
        <v>0</v>
      </c>
      <c r="FU231" s="26">
        <v>0</v>
      </c>
      <c r="FV231" s="26">
        <v>0</v>
      </c>
      <c r="FW231" s="26">
        <v>0</v>
      </c>
      <c r="FX231" s="26">
        <v>0</v>
      </c>
      <c r="FY231" s="26">
        <v>0</v>
      </c>
      <c r="FZ231" s="26">
        <v>0</v>
      </c>
      <c r="GA231" s="26">
        <v>0</v>
      </c>
      <c r="GB231" s="26">
        <v>0</v>
      </c>
      <c r="GC231" s="26">
        <v>0</v>
      </c>
      <c r="GD231" s="26">
        <v>0</v>
      </c>
      <c r="GE231" s="26">
        <v>0</v>
      </c>
      <c r="GF231" s="26">
        <v>0</v>
      </c>
      <c r="GG231" s="26">
        <v>0</v>
      </c>
      <c r="GH231" s="26">
        <v>0</v>
      </c>
      <c r="GI231" s="26">
        <v>0</v>
      </c>
      <c r="GJ231" s="26">
        <v>0</v>
      </c>
      <c r="GK231" s="26">
        <v>0</v>
      </c>
      <c r="GL231" s="26">
        <v>0</v>
      </c>
      <c r="GM231" s="26">
        <v>0</v>
      </c>
      <c r="GN231" s="26">
        <v>0</v>
      </c>
      <c r="GO231" s="26">
        <v>0</v>
      </c>
      <c r="GP231" s="26">
        <v>0</v>
      </c>
      <c r="GQ231" s="26">
        <v>0</v>
      </c>
      <c r="GR231" s="26">
        <v>0</v>
      </c>
      <c r="GS231" s="26">
        <v>0</v>
      </c>
      <c r="GT231" s="26">
        <v>0</v>
      </c>
      <c r="GU231" s="26">
        <v>0</v>
      </c>
      <c r="GV231" s="26">
        <v>0</v>
      </c>
      <c r="GW231" s="26">
        <v>0</v>
      </c>
      <c r="GX231" s="26">
        <v>0</v>
      </c>
      <c r="GY231" s="26">
        <v>0</v>
      </c>
      <c r="GZ231" s="26">
        <v>0</v>
      </c>
      <c r="HA231" s="26">
        <v>0</v>
      </c>
      <c r="HB231" s="26">
        <v>0</v>
      </c>
      <c r="HC231" s="26">
        <v>0</v>
      </c>
      <c r="HD231" s="26">
        <v>0</v>
      </c>
      <c r="HE231" s="26">
        <v>0</v>
      </c>
      <c r="HF231" s="26">
        <v>0</v>
      </c>
      <c r="HG231" s="26">
        <v>0</v>
      </c>
      <c r="HH231" s="26">
        <v>0</v>
      </c>
      <c r="HI231" s="26">
        <v>0</v>
      </c>
      <c r="HJ231" s="26">
        <v>0</v>
      </c>
      <c r="HK231" s="26">
        <v>0</v>
      </c>
      <c r="HL231" s="26">
        <v>0</v>
      </c>
      <c r="HM231" s="26">
        <v>0</v>
      </c>
      <c r="HN231" s="26">
        <v>0</v>
      </c>
      <c r="HO231" s="26">
        <v>0</v>
      </c>
      <c r="HP231" s="26">
        <v>0</v>
      </c>
      <c r="HQ231" s="26">
        <v>0</v>
      </c>
      <c r="HR231" s="26">
        <v>0</v>
      </c>
      <c r="HS231" s="26">
        <v>0</v>
      </c>
      <c r="HT231" s="26">
        <v>0</v>
      </c>
    </row>
    <row r="232" spans="2:228" x14ac:dyDescent="0.2">
      <c r="B232" s="27" t="s">
        <v>1392</v>
      </c>
      <c r="C232" s="26">
        <v>7362.85646</v>
      </c>
      <c r="D232" s="26">
        <v>-15.330411899999998</v>
      </c>
      <c r="E232" s="26">
        <v>2050.3826600000002</v>
      </c>
      <c r="F232" s="26">
        <v>5312.4737999999998</v>
      </c>
      <c r="G232" s="26">
        <v>0</v>
      </c>
      <c r="H232" s="26">
        <v>0</v>
      </c>
      <c r="I232" s="26">
        <v>0</v>
      </c>
      <c r="J232" s="26">
        <v>0</v>
      </c>
      <c r="K232" s="26">
        <v>0</v>
      </c>
      <c r="L232" s="26">
        <v>0</v>
      </c>
      <c r="M232" s="26">
        <v>0</v>
      </c>
      <c r="N232" s="26">
        <v>0</v>
      </c>
      <c r="O232" s="26">
        <v>0</v>
      </c>
      <c r="P232" s="26">
        <v>0</v>
      </c>
      <c r="Q232" s="26">
        <v>0</v>
      </c>
      <c r="R232" s="26">
        <v>0</v>
      </c>
      <c r="S232" s="26">
        <v>0</v>
      </c>
      <c r="T232" s="26">
        <v>0</v>
      </c>
      <c r="U232" s="26">
        <v>0</v>
      </c>
      <c r="V232" s="26">
        <v>0</v>
      </c>
      <c r="W232" s="26">
        <v>0</v>
      </c>
      <c r="X232" s="26">
        <v>0</v>
      </c>
      <c r="Y232" s="26">
        <v>0</v>
      </c>
      <c r="Z232" s="26">
        <v>0</v>
      </c>
      <c r="AA232" s="26">
        <v>0</v>
      </c>
      <c r="AB232" s="26">
        <v>0</v>
      </c>
      <c r="AC232" s="26">
        <v>0</v>
      </c>
      <c r="AD232" s="26">
        <v>0</v>
      </c>
      <c r="AE232" s="26">
        <v>0</v>
      </c>
      <c r="AF232" s="26">
        <v>0</v>
      </c>
      <c r="AG232" s="26">
        <v>0</v>
      </c>
      <c r="AH232" s="26">
        <v>0</v>
      </c>
      <c r="AI232" s="26">
        <v>0</v>
      </c>
      <c r="AJ232" s="26">
        <v>0</v>
      </c>
      <c r="AK232" s="26">
        <v>0</v>
      </c>
      <c r="AL232" s="26">
        <v>0</v>
      </c>
      <c r="AM232" s="26">
        <v>0</v>
      </c>
      <c r="AN232" s="26">
        <v>0</v>
      </c>
      <c r="AO232" s="26">
        <v>0</v>
      </c>
      <c r="AP232" s="26">
        <v>0</v>
      </c>
      <c r="AQ232" s="26">
        <v>0</v>
      </c>
      <c r="AR232" s="26">
        <v>0</v>
      </c>
      <c r="AS232" s="26">
        <v>0</v>
      </c>
      <c r="AT232" s="26">
        <v>0</v>
      </c>
      <c r="AU232" s="26">
        <v>0</v>
      </c>
      <c r="AV232" s="26">
        <v>0</v>
      </c>
      <c r="AW232" s="26">
        <v>0</v>
      </c>
      <c r="AX232" s="26">
        <v>0</v>
      </c>
      <c r="AY232" s="26">
        <v>0</v>
      </c>
      <c r="AZ232" s="26">
        <v>0</v>
      </c>
      <c r="BA232" s="26">
        <v>0</v>
      </c>
      <c r="BB232" s="26">
        <v>0</v>
      </c>
      <c r="BC232" s="26">
        <v>0</v>
      </c>
      <c r="BD232" s="26">
        <v>0</v>
      </c>
      <c r="BE232" s="26">
        <v>0</v>
      </c>
      <c r="BF232" s="26">
        <v>0</v>
      </c>
      <c r="BG232" s="26">
        <v>0</v>
      </c>
      <c r="BH232" s="26">
        <v>0</v>
      </c>
      <c r="BI232" s="26">
        <v>0</v>
      </c>
      <c r="BJ232" s="26">
        <v>0</v>
      </c>
      <c r="BK232" s="26">
        <v>0</v>
      </c>
      <c r="BL232" s="26">
        <v>0</v>
      </c>
      <c r="BM232" s="26">
        <v>0</v>
      </c>
      <c r="BN232" s="26">
        <v>0</v>
      </c>
      <c r="BO232" s="26">
        <v>229.12901999999997</v>
      </c>
      <c r="BP232" s="26">
        <v>7362.85646</v>
      </c>
      <c r="BQ232" s="26">
        <v>146.838044</v>
      </c>
      <c r="BR232" s="26">
        <v>35.222575899999981</v>
      </c>
      <c r="BS232" s="26">
        <v>2.5</v>
      </c>
      <c r="BT232" s="26">
        <v>0</v>
      </c>
      <c r="BU232" s="26">
        <v>1</v>
      </c>
      <c r="BV232" s="26">
        <v>0</v>
      </c>
      <c r="BW232" s="26">
        <v>-66907.333400000003</v>
      </c>
      <c r="BX232" s="26">
        <v>-2082.1282900000001</v>
      </c>
      <c r="BY232" s="26">
        <v>-15.330411899999998</v>
      </c>
      <c r="BZ232" s="26">
        <v>-59.109018399999997</v>
      </c>
      <c r="CA232" s="26">
        <v>-1.8394479800000001</v>
      </c>
      <c r="CB232" s="26">
        <v>2.60069996E-2</v>
      </c>
      <c r="CC232" s="26">
        <v>0.83571171</v>
      </c>
      <c r="CD232" s="26">
        <v>32.134107</v>
      </c>
      <c r="CE232" s="26">
        <v>146.04245700000001</v>
      </c>
      <c r="CF232" s="26">
        <v>0</v>
      </c>
      <c r="CG232" s="26">
        <v>0</v>
      </c>
      <c r="CH232" s="26">
        <v>0</v>
      </c>
      <c r="CI232" s="26">
        <v>0</v>
      </c>
      <c r="CJ232" s="26">
        <v>0</v>
      </c>
      <c r="CK232" s="26">
        <v>0</v>
      </c>
      <c r="CL232" s="26">
        <v>0</v>
      </c>
      <c r="CM232" s="26">
        <v>0</v>
      </c>
      <c r="CN232" s="26">
        <v>0</v>
      </c>
      <c r="CO232" s="26">
        <v>0</v>
      </c>
      <c r="CP232" s="26">
        <v>0</v>
      </c>
      <c r="CQ232" s="26">
        <v>0</v>
      </c>
      <c r="CR232" s="26">
        <v>0</v>
      </c>
      <c r="CS232" s="26">
        <v>0</v>
      </c>
      <c r="CT232" s="26">
        <v>0</v>
      </c>
      <c r="CU232" s="26">
        <v>0</v>
      </c>
      <c r="CV232" s="26">
        <v>0</v>
      </c>
      <c r="CW232" s="26">
        <v>0</v>
      </c>
      <c r="CX232" s="26">
        <v>0</v>
      </c>
      <c r="CY232" s="26">
        <v>0</v>
      </c>
      <c r="CZ232" s="26">
        <v>0</v>
      </c>
      <c r="DA232" s="26">
        <v>0</v>
      </c>
      <c r="DB232" s="26">
        <v>0</v>
      </c>
      <c r="DC232" s="26">
        <v>0</v>
      </c>
      <c r="DD232" s="26">
        <v>0</v>
      </c>
      <c r="DE232" s="26">
        <v>0</v>
      </c>
      <c r="DF232" s="26">
        <v>0</v>
      </c>
      <c r="DG232" s="26">
        <v>0</v>
      </c>
      <c r="DH232" s="26">
        <v>0</v>
      </c>
      <c r="DI232" s="26">
        <v>0</v>
      </c>
      <c r="DJ232" s="26">
        <v>0</v>
      </c>
      <c r="DK232" s="26">
        <v>0</v>
      </c>
      <c r="DL232" s="26">
        <v>0</v>
      </c>
      <c r="DM232" s="26">
        <v>0</v>
      </c>
      <c r="DN232" s="26">
        <v>0</v>
      </c>
      <c r="DO232" s="26">
        <v>0</v>
      </c>
      <c r="DP232" s="26">
        <v>0</v>
      </c>
      <c r="DQ232" s="26">
        <v>0</v>
      </c>
      <c r="DR232" s="26">
        <v>0</v>
      </c>
      <c r="DS232" s="26">
        <v>0</v>
      </c>
      <c r="DT232" s="26">
        <v>0</v>
      </c>
      <c r="DU232" s="26">
        <v>0</v>
      </c>
      <c r="DV232" s="26">
        <v>0</v>
      </c>
      <c r="DW232" s="26">
        <v>0</v>
      </c>
      <c r="DX232" s="26">
        <v>0</v>
      </c>
      <c r="DY232" s="26">
        <v>0</v>
      </c>
      <c r="DZ232" s="26">
        <v>0</v>
      </c>
      <c r="EA232" s="26">
        <v>0</v>
      </c>
      <c r="EB232" s="26">
        <v>0</v>
      </c>
      <c r="EC232" s="26">
        <v>0</v>
      </c>
      <c r="ED232" s="26">
        <v>0</v>
      </c>
      <c r="EE232" s="26">
        <v>0</v>
      </c>
      <c r="EF232" s="26">
        <v>0</v>
      </c>
      <c r="EG232" s="26">
        <v>0</v>
      </c>
      <c r="EH232" s="26">
        <v>0</v>
      </c>
      <c r="EI232" s="26">
        <v>0</v>
      </c>
      <c r="EJ232" s="26">
        <v>0</v>
      </c>
      <c r="EK232" s="26">
        <v>0</v>
      </c>
      <c r="EL232" s="26">
        <v>0</v>
      </c>
      <c r="EM232" s="26">
        <v>0</v>
      </c>
      <c r="EN232" s="26">
        <v>0</v>
      </c>
      <c r="EO232" s="26">
        <v>0</v>
      </c>
      <c r="EP232" s="26">
        <v>0</v>
      </c>
      <c r="EQ232" s="26">
        <v>0</v>
      </c>
      <c r="ER232" s="26">
        <v>0</v>
      </c>
      <c r="ES232" s="26">
        <v>0</v>
      </c>
      <c r="ET232" s="26">
        <v>2.5</v>
      </c>
      <c r="EU232" s="26">
        <v>0</v>
      </c>
      <c r="EV232" s="26">
        <v>0</v>
      </c>
      <c r="EW232" s="26">
        <v>0</v>
      </c>
      <c r="EX232" s="26">
        <v>0</v>
      </c>
      <c r="EY232" s="26">
        <v>0</v>
      </c>
      <c r="EZ232" s="26">
        <v>0</v>
      </c>
      <c r="FA232" s="26">
        <v>0</v>
      </c>
      <c r="FB232" s="26">
        <v>0</v>
      </c>
      <c r="FC232" s="26">
        <v>0</v>
      </c>
      <c r="FD232" s="26">
        <v>0</v>
      </c>
      <c r="FE232" s="26">
        <v>0</v>
      </c>
      <c r="FF232" s="26">
        <v>0</v>
      </c>
      <c r="FG232" s="26">
        <v>1.5035315199999999</v>
      </c>
      <c r="FH232" s="26">
        <v>-17895473.279899999</v>
      </c>
      <c r="FI232" s="26">
        <v>6.4064160234735504E-2</v>
      </c>
      <c r="FJ232" s="26">
        <v>0</v>
      </c>
      <c r="FK232" s="26">
        <v>0</v>
      </c>
      <c r="FL232" s="26">
        <v>0</v>
      </c>
      <c r="FM232" s="26">
        <v>0</v>
      </c>
      <c r="FN232" s="26">
        <v>0</v>
      </c>
      <c r="FO232" s="26">
        <v>0</v>
      </c>
      <c r="FP232" s="26">
        <v>0</v>
      </c>
      <c r="FQ232" s="26">
        <v>0</v>
      </c>
      <c r="FR232" s="26">
        <v>0</v>
      </c>
      <c r="FS232" s="26">
        <v>0</v>
      </c>
      <c r="FT232" s="26">
        <v>0</v>
      </c>
      <c r="FU232" s="26">
        <v>0</v>
      </c>
      <c r="FV232" s="26">
        <v>0</v>
      </c>
      <c r="FW232" s="26">
        <v>0</v>
      </c>
      <c r="FX232" s="26">
        <v>0</v>
      </c>
      <c r="FY232" s="26">
        <v>0</v>
      </c>
      <c r="FZ232" s="26">
        <v>0</v>
      </c>
      <c r="GA232" s="26">
        <v>0</v>
      </c>
      <c r="GB232" s="26">
        <v>0</v>
      </c>
      <c r="GC232" s="26">
        <v>0</v>
      </c>
      <c r="GD232" s="26">
        <v>0</v>
      </c>
      <c r="GE232" s="26">
        <v>0</v>
      </c>
      <c r="GF232" s="26">
        <v>0</v>
      </c>
      <c r="GG232" s="26">
        <v>0</v>
      </c>
      <c r="GH232" s="26">
        <v>0</v>
      </c>
      <c r="GI232" s="26">
        <v>0</v>
      </c>
      <c r="GJ232" s="26">
        <v>0</v>
      </c>
      <c r="GK232" s="26">
        <v>0</v>
      </c>
      <c r="GL232" s="26">
        <v>0</v>
      </c>
      <c r="GM232" s="26">
        <v>0</v>
      </c>
      <c r="GN232" s="26">
        <v>0</v>
      </c>
      <c r="GO232" s="26">
        <v>0</v>
      </c>
      <c r="GP232" s="26">
        <v>0</v>
      </c>
      <c r="GQ232" s="26">
        <v>0</v>
      </c>
      <c r="GR232" s="26">
        <v>0</v>
      </c>
      <c r="GS232" s="26">
        <v>0</v>
      </c>
      <c r="GT232" s="26">
        <v>0</v>
      </c>
      <c r="GU232" s="26">
        <v>0</v>
      </c>
      <c r="GV232" s="26">
        <v>0</v>
      </c>
      <c r="GW232" s="26">
        <v>0</v>
      </c>
      <c r="GX232" s="26">
        <v>0</v>
      </c>
      <c r="GY232" s="26">
        <v>0</v>
      </c>
      <c r="GZ232" s="26">
        <v>0</v>
      </c>
      <c r="HA232" s="26">
        <v>0</v>
      </c>
      <c r="HB232" s="26">
        <v>0</v>
      </c>
      <c r="HC232" s="26">
        <v>0</v>
      </c>
      <c r="HD232" s="26">
        <v>0</v>
      </c>
      <c r="HE232" s="26">
        <v>0</v>
      </c>
      <c r="HF232" s="26">
        <v>0</v>
      </c>
      <c r="HG232" s="26">
        <v>0</v>
      </c>
      <c r="HH232" s="26">
        <v>0</v>
      </c>
      <c r="HI232" s="26">
        <v>0</v>
      </c>
      <c r="HJ232" s="26">
        <v>0</v>
      </c>
      <c r="HK232" s="26">
        <v>0</v>
      </c>
      <c r="HL232" s="26">
        <v>0</v>
      </c>
      <c r="HM232" s="26">
        <v>0</v>
      </c>
      <c r="HN232" s="26">
        <v>0</v>
      </c>
      <c r="HO232" s="26">
        <v>0</v>
      </c>
      <c r="HP232" s="26">
        <v>0</v>
      </c>
      <c r="HQ232" s="26">
        <v>0</v>
      </c>
      <c r="HR232" s="26">
        <v>0</v>
      </c>
      <c r="HS232" s="26">
        <v>0</v>
      </c>
      <c r="HT232" s="26">
        <v>0</v>
      </c>
    </row>
    <row r="233" spans="2:228" x14ac:dyDescent="0.2">
      <c r="B233" s="27" t="s">
        <v>2416</v>
      </c>
      <c r="C233" s="26">
        <v>7362.85646</v>
      </c>
      <c r="D233" s="26">
        <v>-15.331665799999998</v>
      </c>
      <c r="E233" s="26">
        <v>2050.3826600000002</v>
      </c>
      <c r="F233" s="26">
        <v>5312.4737999999998</v>
      </c>
      <c r="G233" s="26">
        <v>0</v>
      </c>
      <c r="H233" s="26">
        <v>0</v>
      </c>
      <c r="I233" s="26">
        <v>0</v>
      </c>
      <c r="J233" s="26">
        <v>0</v>
      </c>
      <c r="K233" s="26">
        <v>0</v>
      </c>
      <c r="L233" s="26">
        <v>0</v>
      </c>
      <c r="M233" s="26">
        <v>0</v>
      </c>
      <c r="N233" s="26">
        <v>0</v>
      </c>
      <c r="O233" s="26">
        <v>0</v>
      </c>
      <c r="P233" s="26">
        <v>0</v>
      </c>
      <c r="Q233" s="26">
        <v>0</v>
      </c>
      <c r="R233" s="26">
        <v>0</v>
      </c>
      <c r="S233" s="26">
        <v>0</v>
      </c>
      <c r="T233" s="26">
        <v>0</v>
      </c>
      <c r="U233" s="26">
        <v>0</v>
      </c>
      <c r="V233" s="26">
        <v>0</v>
      </c>
      <c r="W233" s="26">
        <v>0</v>
      </c>
      <c r="X233" s="26">
        <v>0</v>
      </c>
      <c r="Y233" s="26">
        <v>0</v>
      </c>
      <c r="Z233" s="26">
        <v>0</v>
      </c>
      <c r="AA233" s="26">
        <v>0</v>
      </c>
      <c r="AB233" s="26">
        <v>0</v>
      </c>
      <c r="AC233" s="26">
        <v>0</v>
      </c>
      <c r="AD233" s="26">
        <v>0</v>
      </c>
      <c r="AE233" s="26">
        <v>0</v>
      </c>
      <c r="AF233" s="26">
        <v>0</v>
      </c>
      <c r="AG233" s="26">
        <v>0</v>
      </c>
      <c r="AH233" s="26">
        <v>0</v>
      </c>
      <c r="AI233" s="26">
        <v>0</v>
      </c>
      <c r="AJ233" s="26">
        <v>0</v>
      </c>
      <c r="AK233" s="26">
        <v>0</v>
      </c>
      <c r="AL233" s="26">
        <v>0</v>
      </c>
      <c r="AM233" s="26">
        <v>0</v>
      </c>
      <c r="AN233" s="26">
        <v>0</v>
      </c>
      <c r="AO233" s="26">
        <v>0</v>
      </c>
      <c r="AP233" s="26">
        <v>0</v>
      </c>
      <c r="AQ233" s="26">
        <v>0</v>
      </c>
      <c r="AR233" s="26">
        <v>0</v>
      </c>
      <c r="AS233" s="26">
        <v>0</v>
      </c>
      <c r="AT233" s="26">
        <v>0</v>
      </c>
      <c r="AU233" s="26">
        <v>0</v>
      </c>
      <c r="AV233" s="26">
        <v>0</v>
      </c>
      <c r="AW233" s="26">
        <v>0</v>
      </c>
      <c r="AX233" s="26">
        <v>0</v>
      </c>
      <c r="AY233" s="26">
        <v>0</v>
      </c>
      <c r="AZ233" s="26">
        <v>0</v>
      </c>
      <c r="BA233" s="26">
        <v>0</v>
      </c>
      <c r="BB233" s="26">
        <v>0</v>
      </c>
      <c r="BC233" s="26">
        <v>0</v>
      </c>
      <c r="BD233" s="26">
        <v>0</v>
      </c>
      <c r="BE233" s="26">
        <v>0</v>
      </c>
      <c r="BF233" s="26">
        <v>0</v>
      </c>
      <c r="BG233" s="26">
        <v>0</v>
      </c>
      <c r="BH233" s="26">
        <v>0</v>
      </c>
      <c r="BI233" s="26">
        <v>0</v>
      </c>
      <c r="BJ233" s="26">
        <v>0</v>
      </c>
      <c r="BK233" s="26">
        <v>0</v>
      </c>
      <c r="BL233" s="26">
        <v>0</v>
      </c>
      <c r="BM233" s="26">
        <v>0</v>
      </c>
      <c r="BN233" s="26">
        <v>0</v>
      </c>
      <c r="BO233" s="26">
        <v>229.12901999999997</v>
      </c>
      <c r="BP233" s="26">
        <v>7362.85646</v>
      </c>
      <c r="BQ233" s="26">
        <v>146.792731</v>
      </c>
      <c r="BR233" s="26">
        <v>35</v>
      </c>
      <c r="BS233" s="26">
        <v>0.136091928</v>
      </c>
      <c r="BT233" s="26">
        <v>0</v>
      </c>
      <c r="BU233" s="26">
        <v>1</v>
      </c>
      <c r="BV233" s="26">
        <v>0</v>
      </c>
      <c r="BW233" s="26">
        <v>-66912.805999999997</v>
      </c>
      <c r="BX233" s="26">
        <v>-2082.2986000000001</v>
      </c>
      <c r="BY233" s="26">
        <v>-15.331665799999998</v>
      </c>
      <c r="BZ233" s="26">
        <v>-59.126612100000003</v>
      </c>
      <c r="CA233" s="26">
        <v>-1.83999549</v>
      </c>
      <c r="CB233" s="26">
        <v>2.6015027699999999E-2</v>
      </c>
      <c r="CC233" s="26">
        <v>0.83596968599999999</v>
      </c>
      <c r="CD233" s="26">
        <v>32.134107</v>
      </c>
      <c r="CE233" s="26">
        <v>146.04245700000001</v>
      </c>
      <c r="CF233" s="26">
        <v>0</v>
      </c>
      <c r="CG233" s="26">
        <v>0</v>
      </c>
      <c r="CH233" s="26">
        <v>0</v>
      </c>
      <c r="CI233" s="26">
        <v>0</v>
      </c>
      <c r="CJ233" s="26">
        <v>0</v>
      </c>
      <c r="CK233" s="26">
        <v>0</v>
      </c>
      <c r="CL233" s="26">
        <v>0</v>
      </c>
      <c r="CM233" s="26">
        <v>0</v>
      </c>
      <c r="CN233" s="26">
        <v>0</v>
      </c>
      <c r="CO233" s="26">
        <v>0</v>
      </c>
      <c r="CP233" s="26">
        <v>0</v>
      </c>
      <c r="CQ233" s="26">
        <v>0</v>
      </c>
      <c r="CR233" s="26">
        <v>0</v>
      </c>
      <c r="CS233" s="26">
        <v>0</v>
      </c>
      <c r="CT233" s="26">
        <v>0</v>
      </c>
      <c r="CU233" s="26">
        <v>0</v>
      </c>
      <c r="CV233" s="26">
        <v>0</v>
      </c>
      <c r="CW233" s="26">
        <v>0</v>
      </c>
      <c r="CX233" s="26">
        <v>0</v>
      </c>
      <c r="CY233" s="26">
        <v>0</v>
      </c>
      <c r="CZ233" s="26">
        <v>0</v>
      </c>
      <c r="DA233" s="26">
        <v>0</v>
      </c>
      <c r="DB233" s="26">
        <v>0</v>
      </c>
      <c r="DC233" s="26">
        <v>0</v>
      </c>
      <c r="DD233" s="26">
        <v>0</v>
      </c>
      <c r="DE233" s="26">
        <v>0</v>
      </c>
      <c r="DF233" s="26">
        <v>0</v>
      </c>
      <c r="DG233" s="26">
        <v>0</v>
      </c>
      <c r="DH233" s="26">
        <v>0</v>
      </c>
      <c r="DI233" s="26">
        <v>0</v>
      </c>
      <c r="DJ233" s="26">
        <v>0</v>
      </c>
      <c r="DK233" s="26">
        <v>0</v>
      </c>
      <c r="DL233" s="26">
        <v>0</v>
      </c>
      <c r="DM233" s="26">
        <v>0</v>
      </c>
      <c r="DN233" s="26">
        <v>0</v>
      </c>
      <c r="DO233" s="26">
        <v>0</v>
      </c>
      <c r="DP233" s="26">
        <v>0</v>
      </c>
      <c r="DQ233" s="26">
        <v>0</v>
      </c>
      <c r="DR233" s="26">
        <v>0</v>
      </c>
      <c r="DS233" s="26">
        <v>0</v>
      </c>
      <c r="DT233" s="26">
        <v>0</v>
      </c>
      <c r="DU233" s="26">
        <v>0</v>
      </c>
      <c r="DV233" s="26">
        <v>0</v>
      </c>
      <c r="DW233" s="26">
        <v>0</v>
      </c>
      <c r="DX233" s="26">
        <v>0</v>
      </c>
      <c r="DY233" s="26">
        <v>0</v>
      </c>
      <c r="DZ233" s="26">
        <v>0</v>
      </c>
      <c r="EA233" s="26">
        <v>0</v>
      </c>
      <c r="EB233" s="26">
        <v>0</v>
      </c>
      <c r="EC233" s="26">
        <v>0</v>
      </c>
      <c r="ED233" s="26">
        <v>0</v>
      </c>
      <c r="EE233" s="26">
        <v>0</v>
      </c>
      <c r="EF233" s="26">
        <v>0</v>
      </c>
      <c r="EG233" s="26">
        <v>0</v>
      </c>
      <c r="EH233" s="26">
        <v>0</v>
      </c>
      <c r="EI233" s="26">
        <v>0</v>
      </c>
      <c r="EJ233" s="26">
        <v>0</v>
      </c>
      <c r="EK233" s="26">
        <v>0</v>
      </c>
      <c r="EL233" s="26">
        <v>0</v>
      </c>
      <c r="EM233" s="26">
        <v>0</v>
      </c>
      <c r="EN233" s="26">
        <v>0</v>
      </c>
      <c r="EO233" s="26">
        <v>0</v>
      </c>
      <c r="EP233" s="26">
        <v>0</v>
      </c>
      <c r="EQ233" s="26">
        <v>0</v>
      </c>
      <c r="ER233" s="26">
        <v>0</v>
      </c>
      <c r="ES233" s="26">
        <v>0</v>
      </c>
      <c r="ET233" s="26">
        <v>0.136091928</v>
      </c>
      <c r="EU233" s="26">
        <v>0</v>
      </c>
      <c r="EV233" s="26">
        <v>0</v>
      </c>
      <c r="EW233" s="26">
        <v>0</v>
      </c>
      <c r="EX233" s="26">
        <v>0</v>
      </c>
      <c r="EY233" s="26">
        <v>0</v>
      </c>
      <c r="EZ233" s="26">
        <v>0</v>
      </c>
      <c r="FA233" s="26">
        <v>0</v>
      </c>
      <c r="FB233" s="26">
        <v>0</v>
      </c>
      <c r="FC233" s="26">
        <v>0</v>
      </c>
      <c r="FD233" s="26">
        <v>0</v>
      </c>
      <c r="FE233" s="26">
        <v>0</v>
      </c>
      <c r="FF233" s="26">
        <v>0</v>
      </c>
      <c r="FG233" s="26">
        <v>1.5035315199999999</v>
      </c>
      <c r="FH233" s="26">
        <v>-17895473.279899999</v>
      </c>
      <c r="FI233" s="26">
        <v>6.4064160234735504E-2</v>
      </c>
      <c r="FJ233" s="26">
        <v>0</v>
      </c>
      <c r="FK233" s="26">
        <v>0</v>
      </c>
      <c r="FL233" s="26">
        <v>0</v>
      </c>
      <c r="FM233" s="26">
        <v>0</v>
      </c>
      <c r="FN233" s="26">
        <v>0</v>
      </c>
      <c r="FO233" s="26">
        <v>0</v>
      </c>
      <c r="FP233" s="26">
        <v>0</v>
      </c>
      <c r="FQ233" s="26">
        <v>0</v>
      </c>
      <c r="FR233" s="26">
        <v>0</v>
      </c>
      <c r="FS233" s="26">
        <v>0</v>
      </c>
      <c r="FT233" s="26">
        <v>0</v>
      </c>
      <c r="FU233" s="26">
        <v>0</v>
      </c>
      <c r="FV233" s="26">
        <v>0</v>
      </c>
      <c r="FW233" s="26">
        <v>0</v>
      </c>
      <c r="FX233" s="26">
        <v>0</v>
      </c>
      <c r="FY233" s="26">
        <v>0</v>
      </c>
      <c r="FZ233" s="26">
        <v>0</v>
      </c>
      <c r="GA233" s="26">
        <v>0</v>
      </c>
      <c r="GB233" s="26">
        <v>0</v>
      </c>
      <c r="GC233" s="26">
        <v>0</v>
      </c>
      <c r="GD233" s="26">
        <v>0</v>
      </c>
      <c r="GE233" s="26">
        <v>0</v>
      </c>
      <c r="GF233" s="26">
        <v>0</v>
      </c>
      <c r="GG233" s="26">
        <v>0</v>
      </c>
      <c r="GH233" s="26">
        <v>0</v>
      </c>
      <c r="GI233" s="26">
        <v>0</v>
      </c>
      <c r="GJ233" s="26">
        <v>0</v>
      </c>
      <c r="GK233" s="26">
        <v>0</v>
      </c>
      <c r="GL233" s="26">
        <v>0</v>
      </c>
      <c r="GM233" s="26">
        <v>0</v>
      </c>
      <c r="GN233" s="26">
        <v>0</v>
      </c>
      <c r="GO233" s="26">
        <v>0</v>
      </c>
      <c r="GP233" s="26">
        <v>0</v>
      </c>
      <c r="GQ233" s="26">
        <v>0</v>
      </c>
      <c r="GR233" s="26">
        <v>0</v>
      </c>
      <c r="GS233" s="26">
        <v>0</v>
      </c>
      <c r="GT233" s="26">
        <v>0</v>
      </c>
      <c r="GU233" s="26">
        <v>0</v>
      </c>
      <c r="GV233" s="26">
        <v>0</v>
      </c>
      <c r="GW233" s="26">
        <v>0</v>
      </c>
      <c r="GX233" s="26">
        <v>0</v>
      </c>
      <c r="GY233" s="26">
        <v>0</v>
      </c>
      <c r="GZ233" s="26">
        <v>0</v>
      </c>
      <c r="HA233" s="26">
        <v>0</v>
      </c>
      <c r="HB233" s="26">
        <v>0</v>
      </c>
      <c r="HC233" s="26">
        <v>0</v>
      </c>
      <c r="HD233" s="26">
        <v>0</v>
      </c>
      <c r="HE233" s="26">
        <v>0</v>
      </c>
      <c r="HF233" s="26">
        <v>0</v>
      </c>
      <c r="HG233" s="26">
        <v>0</v>
      </c>
      <c r="HH233" s="26">
        <v>0</v>
      </c>
      <c r="HI233" s="26">
        <v>0</v>
      </c>
      <c r="HJ233" s="26">
        <v>0</v>
      </c>
      <c r="HK233" s="26">
        <v>0</v>
      </c>
      <c r="HL233" s="26">
        <v>0</v>
      </c>
      <c r="HM233" s="26">
        <v>0</v>
      </c>
      <c r="HN233" s="26">
        <v>0</v>
      </c>
      <c r="HO233" s="26">
        <v>0</v>
      </c>
      <c r="HP233" s="26">
        <v>0</v>
      </c>
      <c r="HQ233" s="26">
        <v>0</v>
      </c>
      <c r="HR233" s="26">
        <v>0</v>
      </c>
      <c r="HS233" s="26">
        <v>0</v>
      </c>
      <c r="HT233" s="26">
        <v>0</v>
      </c>
    </row>
    <row r="234" spans="2:228" x14ac:dyDescent="0.2">
      <c r="B234" s="27" t="s">
        <v>1393</v>
      </c>
      <c r="C234" s="26">
        <v>21809.986700000001</v>
      </c>
      <c r="D234" s="26">
        <v>-26.278355099999999</v>
      </c>
      <c r="E234" s="26">
        <v>110.51614600000001</v>
      </c>
      <c r="F234" s="26">
        <v>21672.409500000002</v>
      </c>
      <c r="G234" s="26">
        <v>0</v>
      </c>
      <c r="H234" s="26">
        <v>0</v>
      </c>
      <c r="I234" s="26">
        <v>0</v>
      </c>
      <c r="J234" s="26">
        <v>0</v>
      </c>
      <c r="K234" s="26">
        <v>0</v>
      </c>
      <c r="L234" s="26">
        <v>0</v>
      </c>
      <c r="M234" s="26">
        <v>0</v>
      </c>
      <c r="N234" s="26">
        <v>0</v>
      </c>
      <c r="O234" s="26">
        <v>0</v>
      </c>
      <c r="P234" s="26">
        <v>0</v>
      </c>
      <c r="Q234" s="26">
        <v>0</v>
      </c>
      <c r="R234" s="26">
        <v>0</v>
      </c>
      <c r="S234" s="26">
        <v>0</v>
      </c>
      <c r="T234" s="26">
        <v>0</v>
      </c>
      <c r="U234" s="26">
        <v>0</v>
      </c>
      <c r="V234" s="26">
        <v>4.9639969599999997E-5</v>
      </c>
      <c r="W234" s="26">
        <v>0</v>
      </c>
      <c r="X234" s="26">
        <v>0</v>
      </c>
      <c r="Y234" s="26">
        <v>0</v>
      </c>
      <c r="Z234" s="26">
        <v>0</v>
      </c>
      <c r="AA234" s="26">
        <v>0</v>
      </c>
      <c r="AB234" s="26">
        <v>0.200425619</v>
      </c>
      <c r="AC234" s="26">
        <v>0</v>
      </c>
      <c r="AD234" s="26">
        <v>0</v>
      </c>
      <c r="AE234" s="26">
        <v>0</v>
      </c>
      <c r="AF234" s="26">
        <v>0</v>
      </c>
      <c r="AG234" s="26">
        <v>0</v>
      </c>
      <c r="AH234" s="26">
        <v>0</v>
      </c>
      <c r="AI234" s="26">
        <v>0</v>
      </c>
      <c r="AJ234" s="26">
        <v>0</v>
      </c>
      <c r="AK234" s="26">
        <v>0</v>
      </c>
      <c r="AL234" s="26">
        <v>0</v>
      </c>
      <c r="AM234" s="26">
        <v>0</v>
      </c>
      <c r="AN234" s="26">
        <v>1.43783719E-4</v>
      </c>
      <c r="AO234" s="26">
        <v>2.40057055E-8</v>
      </c>
      <c r="AP234" s="26">
        <v>0</v>
      </c>
      <c r="AQ234" s="26">
        <v>0</v>
      </c>
      <c r="AR234" s="26">
        <v>0</v>
      </c>
      <c r="AS234" s="26">
        <v>26.858380199999999</v>
      </c>
      <c r="AT234" s="26">
        <v>0</v>
      </c>
      <c r="AU234" s="26">
        <v>0</v>
      </c>
      <c r="AV234" s="26">
        <v>2.0271457700000001E-3</v>
      </c>
      <c r="AW234" s="26">
        <v>0</v>
      </c>
      <c r="AX234" s="26">
        <v>0</v>
      </c>
      <c r="AY234" s="26">
        <v>0</v>
      </c>
      <c r="AZ234" s="26">
        <v>0</v>
      </c>
      <c r="BA234" s="26">
        <v>0</v>
      </c>
      <c r="BB234" s="26">
        <v>0</v>
      </c>
      <c r="BC234" s="26">
        <v>0</v>
      </c>
      <c r="BD234" s="26">
        <v>0</v>
      </c>
      <c r="BE234" s="26">
        <v>0</v>
      </c>
      <c r="BF234" s="26">
        <v>0</v>
      </c>
      <c r="BG234" s="26">
        <v>0</v>
      </c>
      <c r="BH234" s="26">
        <v>0</v>
      </c>
      <c r="BI234" s="26">
        <v>0</v>
      </c>
      <c r="BJ234" s="26">
        <v>0</v>
      </c>
      <c r="BK234" s="26">
        <v>0</v>
      </c>
      <c r="BL234" s="26">
        <v>0</v>
      </c>
      <c r="BM234" s="26">
        <v>0</v>
      </c>
      <c r="BN234" s="26">
        <v>0</v>
      </c>
      <c r="BO234" s="26">
        <v>477.18994400000003</v>
      </c>
      <c r="BP234" s="26">
        <v>21809.986700000001</v>
      </c>
      <c r="BQ234" s="26">
        <v>165349.36499999999</v>
      </c>
      <c r="BR234" s="26">
        <v>91.699999999999989</v>
      </c>
      <c r="BS234" s="26">
        <v>1.44</v>
      </c>
      <c r="BT234" s="26">
        <v>1</v>
      </c>
      <c r="BU234" s="26">
        <v>0</v>
      </c>
      <c r="BV234" s="26">
        <v>0</v>
      </c>
      <c r="BW234" s="26">
        <v>-55068.962099999997</v>
      </c>
      <c r="BX234" s="26">
        <v>-1204.87716</v>
      </c>
      <c r="BY234" s="26">
        <v>-26.278355099999999</v>
      </c>
      <c r="BZ234" s="26">
        <v>-50.325738999999999</v>
      </c>
      <c r="CA234" s="26">
        <v>-1.1010981799999999</v>
      </c>
      <c r="CB234" s="26">
        <v>4.8099160499999997E-5</v>
      </c>
      <c r="CC234" s="26">
        <v>2.19837418E-3</v>
      </c>
      <c r="CD234" s="26">
        <v>45.705042599999999</v>
      </c>
      <c r="CE234" s="26">
        <v>458.50700399999999</v>
      </c>
      <c r="CF234" s="26">
        <v>0</v>
      </c>
      <c r="CG234" s="26">
        <v>0</v>
      </c>
      <c r="CH234" s="26">
        <v>0</v>
      </c>
      <c r="CI234" s="26">
        <v>0</v>
      </c>
      <c r="CJ234" s="26">
        <v>0</v>
      </c>
      <c r="CK234" s="26">
        <v>0</v>
      </c>
      <c r="CL234" s="26">
        <v>0</v>
      </c>
      <c r="CM234" s="26">
        <v>0</v>
      </c>
      <c r="CN234" s="26">
        <v>0</v>
      </c>
      <c r="CO234" s="26">
        <v>0</v>
      </c>
      <c r="CP234" s="26">
        <v>0</v>
      </c>
      <c r="CQ234" s="26">
        <v>0</v>
      </c>
      <c r="CR234" s="26">
        <v>0</v>
      </c>
      <c r="CS234" s="26">
        <v>0</v>
      </c>
      <c r="CT234" s="26">
        <v>0</v>
      </c>
      <c r="CU234" s="26">
        <v>0</v>
      </c>
      <c r="CV234" s="26">
        <v>0</v>
      </c>
      <c r="CW234" s="26">
        <v>0</v>
      </c>
      <c r="CX234" s="26">
        <v>0</v>
      </c>
      <c r="CY234" s="26">
        <v>0</v>
      </c>
      <c r="CZ234" s="26">
        <v>0</v>
      </c>
      <c r="DA234" s="26">
        <v>0</v>
      </c>
      <c r="DB234" s="26">
        <v>0</v>
      </c>
      <c r="DC234" s="26">
        <v>0</v>
      </c>
      <c r="DD234" s="26">
        <v>0</v>
      </c>
      <c r="DE234" s="26">
        <v>0</v>
      </c>
      <c r="DF234" s="26">
        <v>0</v>
      </c>
      <c r="DG234" s="26">
        <v>0</v>
      </c>
      <c r="DH234" s="26">
        <v>0</v>
      </c>
      <c r="DI234" s="26">
        <v>0</v>
      </c>
      <c r="DJ234" s="26">
        <v>0</v>
      </c>
      <c r="DK234" s="26">
        <v>0</v>
      </c>
      <c r="DL234" s="26">
        <v>0</v>
      </c>
      <c r="DM234" s="26">
        <v>0</v>
      </c>
      <c r="DN234" s="26">
        <v>0</v>
      </c>
      <c r="DO234" s="26">
        <v>0</v>
      </c>
      <c r="DP234" s="26">
        <v>0</v>
      </c>
      <c r="DQ234" s="26">
        <v>0</v>
      </c>
      <c r="DR234" s="26">
        <v>0</v>
      </c>
      <c r="DS234" s="26">
        <v>0</v>
      </c>
      <c r="DT234" s="26">
        <v>0</v>
      </c>
      <c r="DU234" s="26">
        <v>0</v>
      </c>
      <c r="DV234" s="26">
        <v>0</v>
      </c>
      <c r="DW234" s="26">
        <v>0</v>
      </c>
      <c r="DX234" s="26">
        <v>0</v>
      </c>
      <c r="DY234" s="26">
        <v>0</v>
      </c>
      <c r="DZ234" s="26">
        <v>0</v>
      </c>
      <c r="EA234" s="26">
        <v>0</v>
      </c>
      <c r="EB234" s="26">
        <v>0</v>
      </c>
      <c r="EC234" s="26">
        <v>0</v>
      </c>
      <c r="ED234" s="26">
        <v>0</v>
      </c>
      <c r="EE234" s="26">
        <v>0</v>
      </c>
      <c r="EF234" s="26">
        <v>0</v>
      </c>
      <c r="EG234" s="26">
        <v>0</v>
      </c>
      <c r="EH234" s="26">
        <v>0</v>
      </c>
      <c r="EI234" s="26">
        <v>0</v>
      </c>
      <c r="EJ234" s="26">
        <v>0</v>
      </c>
      <c r="EK234" s="26">
        <v>0</v>
      </c>
      <c r="EL234" s="26">
        <v>0</v>
      </c>
      <c r="EM234" s="26">
        <v>0</v>
      </c>
      <c r="EN234" s="26">
        <v>0</v>
      </c>
      <c r="EO234" s="26">
        <v>0</v>
      </c>
      <c r="EP234" s="26">
        <v>0</v>
      </c>
      <c r="EQ234" s="26">
        <v>0</v>
      </c>
      <c r="ER234" s="26">
        <v>0</v>
      </c>
      <c r="ES234" s="26">
        <v>0</v>
      </c>
      <c r="ET234" s="26">
        <v>1.44</v>
      </c>
      <c r="EU234" s="26">
        <v>0</v>
      </c>
      <c r="EV234" s="26">
        <v>0</v>
      </c>
      <c r="EW234" s="26">
        <v>0</v>
      </c>
      <c r="EX234" s="26">
        <v>0</v>
      </c>
      <c r="EY234" s="26">
        <v>0</v>
      </c>
      <c r="EZ234" s="26">
        <v>0</v>
      </c>
      <c r="FA234" s="26">
        <v>0</v>
      </c>
      <c r="FB234" s="26">
        <v>0</v>
      </c>
      <c r="FC234" s="26">
        <v>0</v>
      </c>
      <c r="FD234" s="26">
        <v>0</v>
      </c>
      <c r="FE234" s="26">
        <v>0</v>
      </c>
      <c r="FF234" s="26">
        <v>0</v>
      </c>
      <c r="FG234" s="26">
        <v>2.07068422</v>
      </c>
      <c r="FH234" s="26">
        <v>-31181230.0997</v>
      </c>
      <c r="FI234" s="26">
        <v>0.26152134709217079</v>
      </c>
      <c r="FJ234" s="26">
        <v>1.7040495441879519E-3</v>
      </c>
      <c r="FK234" s="26">
        <v>0.13067591187874064</v>
      </c>
      <c r="FL234" s="26">
        <v>0</v>
      </c>
      <c r="FM234" s="26">
        <v>0</v>
      </c>
      <c r="FN234" s="26">
        <v>0</v>
      </c>
      <c r="FO234" s="26">
        <v>0</v>
      </c>
      <c r="FP234" s="26">
        <v>0</v>
      </c>
      <c r="FQ234" s="26">
        <v>0</v>
      </c>
      <c r="FR234" s="26">
        <v>0</v>
      </c>
      <c r="FS234" s="26">
        <v>0</v>
      </c>
      <c r="FT234" s="26">
        <v>0</v>
      </c>
      <c r="FU234" s="26">
        <v>0</v>
      </c>
      <c r="FV234" s="26">
        <v>0</v>
      </c>
      <c r="FW234" s="26">
        <v>0</v>
      </c>
      <c r="FX234" s="26">
        <v>0</v>
      </c>
      <c r="FY234" s="26">
        <v>0</v>
      </c>
      <c r="FZ234" s="26">
        <v>0</v>
      </c>
      <c r="GA234" s="26">
        <v>1.4350627225916129E-10</v>
      </c>
      <c r="GB234" s="26">
        <v>0</v>
      </c>
      <c r="GC234" s="26">
        <v>0</v>
      </c>
      <c r="GD234" s="26">
        <v>0</v>
      </c>
      <c r="GE234" s="26">
        <v>0</v>
      </c>
      <c r="GF234" s="26">
        <v>0</v>
      </c>
      <c r="GG234" s="26">
        <v>3.2690518317079705E-6</v>
      </c>
      <c r="GH234" s="26">
        <v>0</v>
      </c>
      <c r="GI234" s="26">
        <v>0</v>
      </c>
      <c r="GJ234" s="26">
        <v>0</v>
      </c>
      <c r="GK234" s="26">
        <v>0</v>
      </c>
      <c r="GL234" s="26">
        <v>0</v>
      </c>
      <c r="GM234" s="26">
        <v>0</v>
      </c>
      <c r="GN234" s="26">
        <v>0</v>
      </c>
      <c r="GO234" s="26">
        <v>0</v>
      </c>
      <c r="GP234" s="26">
        <v>0</v>
      </c>
      <c r="GQ234" s="26">
        <v>0</v>
      </c>
      <c r="GR234" s="26">
        <v>0</v>
      </c>
      <c r="GS234" s="26">
        <v>1.2481693766520216E-9</v>
      </c>
      <c r="GT234" s="26">
        <v>2.380372438487424E-13</v>
      </c>
      <c r="GU234" s="26">
        <v>0</v>
      </c>
      <c r="GV234" s="26">
        <v>0</v>
      </c>
      <c r="GW234" s="26">
        <v>0</v>
      </c>
      <c r="GX234" s="26">
        <v>1.6952272468951512E-4</v>
      </c>
      <c r="GY234" s="26">
        <v>0</v>
      </c>
      <c r="GZ234" s="26">
        <v>0</v>
      </c>
      <c r="HA234" s="26">
        <v>8.7894764592047011E-9</v>
      </c>
      <c r="HB234" s="26">
        <v>0</v>
      </c>
      <c r="HC234" s="26">
        <v>0</v>
      </c>
      <c r="HD234" s="26">
        <v>0</v>
      </c>
      <c r="HE234" s="26">
        <v>0</v>
      </c>
      <c r="HF234" s="26">
        <v>0</v>
      </c>
      <c r="HG234" s="26">
        <v>0</v>
      </c>
      <c r="HH234" s="26">
        <v>0</v>
      </c>
      <c r="HI234" s="26">
        <v>0</v>
      </c>
      <c r="HJ234" s="26">
        <v>0</v>
      </c>
      <c r="HK234" s="26">
        <v>0</v>
      </c>
      <c r="HL234" s="26">
        <v>0</v>
      </c>
      <c r="HM234" s="26">
        <v>0</v>
      </c>
      <c r="HN234" s="26">
        <v>0</v>
      </c>
      <c r="HO234" s="26">
        <v>0</v>
      </c>
      <c r="HP234" s="26">
        <v>0</v>
      </c>
      <c r="HQ234" s="26">
        <v>0</v>
      </c>
      <c r="HR234" s="26">
        <v>0</v>
      </c>
      <c r="HS234" s="26">
        <v>0</v>
      </c>
      <c r="HT234" s="26">
        <v>0</v>
      </c>
    </row>
    <row r="235" spans="2:228" x14ac:dyDescent="0.2">
      <c r="B235" s="27" t="s">
        <v>2417</v>
      </c>
      <c r="C235" s="26">
        <v>7362.8612899999998</v>
      </c>
      <c r="D235" s="26">
        <v>-15.116060900000001</v>
      </c>
      <c r="E235" s="26">
        <v>2050.38805</v>
      </c>
      <c r="F235" s="26">
        <v>5312.4732400000003</v>
      </c>
      <c r="G235" s="26">
        <v>0</v>
      </c>
      <c r="H235" s="26">
        <v>0</v>
      </c>
      <c r="I235" s="26">
        <v>0</v>
      </c>
      <c r="J235" s="26">
        <v>0</v>
      </c>
      <c r="K235" s="26">
        <v>0</v>
      </c>
      <c r="L235" s="26">
        <v>0</v>
      </c>
      <c r="M235" s="26">
        <v>0</v>
      </c>
      <c r="N235" s="26">
        <v>0</v>
      </c>
      <c r="O235" s="26">
        <v>0</v>
      </c>
      <c r="P235" s="26">
        <v>0</v>
      </c>
      <c r="Q235" s="26">
        <v>0</v>
      </c>
      <c r="R235" s="26">
        <v>0</v>
      </c>
      <c r="S235" s="26">
        <v>0</v>
      </c>
      <c r="T235" s="26">
        <v>0</v>
      </c>
      <c r="U235" s="26">
        <v>0</v>
      </c>
      <c r="V235" s="26">
        <v>0</v>
      </c>
      <c r="W235" s="26">
        <v>0</v>
      </c>
      <c r="X235" s="26">
        <v>0</v>
      </c>
      <c r="Y235" s="26">
        <v>0</v>
      </c>
      <c r="Z235" s="26">
        <v>0</v>
      </c>
      <c r="AA235" s="26">
        <v>0</v>
      </c>
      <c r="AB235" s="26">
        <v>0</v>
      </c>
      <c r="AC235" s="26">
        <v>0</v>
      </c>
      <c r="AD235" s="26">
        <v>0</v>
      </c>
      <c r="AE235" s="26">
        <v>0</v>
      </c>
      <c r="AF235" s="26">
        <v>0</v>
      </c>
      <c r="AG235" s="26">
        <v>0</v>
      </c>
      <c r="AH235" s="26">
        <v>0</v>
      </c>
      <c r="AI235" s="26">
        <v>0</v>
      </c>
      <c r="AJ235" s="26">
        <v>0</v>
      </c>
      <c r="AK235" s="26">
        <v>0</v>
      </c>
      <c r="AL235" s="26">
        <v>0</v>
      </c>
      <c r="AM235" s="26">
        <v>0</v>
      </c>
      <c r="AN235" s="26">
        <v>0</v>
      </c>
      <c r="AO235" s="26">
        <v>0</v>
      </c>
      <c r="AP235" s="26">
        <v>0</v>
      </c>
      <c r="AQ235" s="26">
        <v>0</v>
      </c>
      <c r="AR235" s="26">
        <v>0</v>
      </c>
      <c r="AS235" s="26">
        <v>0</v>
      </c>
      <c r="AT235" s="26">
        <v>0</v>
      </c>
      <c r="AU235" s="26">
        <v>0</v>
      </c>
      <c r="AV235" s="26">
        <v>0</v>
      </c>
      <c r="AW235" s="26">
        <v>0</v>
      </c>
      <c r="AX235" s="26">
        <v>0</v>
      </c>
      <c r="AY235" s="26">
        <v>0</v>
      </c>
      <c r="AZ235" s="26">
        <v>0</v>
      </c>
      <c r="BA235" s="26">
        <v>0</v>
      </c>
      <c r="BB235" s="26">
        <v>0</v>
      </c>
      <c r="BC235" s="26">
        <v>0</v>
      </c>
      <c r="BD235" s="26">
        <v>0</v>
      </c>
      <c r="BE235" s="26">
        <v>0</v>
      </c>
      <c r="BF235" s="26">
        <v>0</v>
      </c>
      <c r="BG235" s="26">
        <v>0</v>
      </c>
      <c r="BH235" s="26">
        <v>0</v>
      </c>
      <c r="BI235" s="26">
        <v>0</v>
      </c>
      <c r="BJ235" s="26">
        <v>0</v>
      </c>
      <c r="BK235" s="26">
        <v>0</v>
      </c>
      <c r="BL235" s="26">
        <v>0</v>
      </c>
      <c r="BM235" s="26">
        <v>0</v>
      </c>
      <c r="BN235" s="26">
        <v>0</v>
      </c>
      <c r="BO235" s="26">
        <v>229.12930699999998</v>
      </c>
      <c r="BP235" s="26">
        <v>7362.8612899999998</v>
      </c>
      <c r="BQ235" s="26">
        <v>154.927549</v>
      </c>
      <c r="BR235" s="26">
        <v>71.583547300000021</v>
      </c>
      <c r="BS235" s="26">
        <v>1.65</v>
      </c>
      <c r="BT235" s="26">
        <v>0</v>
      </c>
      <c r="BU235" s="26">
        <v>1</v>
      </c>
      <c r="BV235" s="26">
        <v>0</v>
      </c>
      <c r="BW235" s="26">
        <v>-65971.747700000007</v>
      </c>
      <c r="BX235" s="26">
        <v>-2053.0144799999998</v>
      </c>
      <c r="BY235" s="26">
        <v>-15.116060900000001</v>
      </c>
      <c r="BZ235" s="26">
        <v>-56.281632700000003</v>
      </c>
      <c r="CA235" s="26">
        <v>-1.75146197</v>
      </c>
      <c r="CB235" s="26">
        <v>2.46490813E-2</v>
      </c>
      <c r="CC235" s="26">
        <v>0.79207574300000005</v>
      </c>
      <c r="CD235" s="26">
        <v>32.134087899999997</v>
      </c>
      <c r="CE235" s="26">
        <v>146.04253499999999</v>
      </c>
      <c r="CF235" s="26">
        <v>0</v>
      </c>
      <c r="CG235" s="26">
        <v>0</v>
      </c>
      <c r="CH235" s="26">
        <v>0</v>
      </c>
      <c r="CI235" s="26">
        <v>0</v>
      </c>
      <c r="CJ235" s="26">
        <v>0</v>
      </c>
      <c r="CK235" s="26">
        <v>0</v>
      </c>
      <c r="CL235" s="26">
        <v>0</v>
      </c>
      <c r="CM235" s="26">
        <v>0</v>
      </c>
      <c r="CN235" s="26">
        <v>0</v>
      </c>
      <c r="CO235" s="26">
        <v>0</v>
      </c>
      <c r="CP235" s="26">
        <v>0</v>
      </c>
      <c r="CQ235" s="26">
        <v>0</v>
      </c>
      <c r="CR235" s="26">
        <v>0</v>
      </c>
      <c r="CS235" s="26">
        <v>0</v>
      </c>
      <c r="CT235" s="26">
        <v>0</v>
      </c>
      <c r="CU235" s="26">
        <v>0</v>
      </c>
      <c r="CV235" s="26">
        <v>0</v>
      </c>
      <c r="CW235" s="26">
        <v>0</v>
      </c>
      <c r="CX235" s="26">
        <v>0</v>
      </c>
      <c r="CY235" s="26">
        <v>0</v>
      </c>
      <c r="CZ235" s="26">
        <v>0</v>
      </c>
      <c r="DA235" s="26">
        <v>0</v>
      </c>
      <c r="DB235" s="26">
        <v>0</v>
      </c>
      <c r="DC235" s="26">
        <v>0</v>
      </c>
      <c r="DD235" s="26">
        <v>0</v>
      </c>
      <c r="DE235" s="26">
        <v>0</v>
      </c>
      <c r="DF235" s="26">
        <v>0</v>
      </c>
      <c r="DG235" s="26">
        <v>0</v>
      </c>
      <c r="DH235" s="26">
        <v>0</v>
      </c>
      <c r="DI235" s="26">
        <v>0</v>
      </c>
      <c r="DJ235" s="26">
        <v>0</v>
      </c>
      <c r="DK235" s="26">
        <v>0</v>
      </c>
      <c r="DL235" s="26">
        <v>0</v>
      </c>
      <c r="DM235" s="26">
        <v>0</v>
      </c>
      <c r="DN235" s="26">
        <v>0</v>
      </c>
      <c r="DO235" s="26">
        <v>0</v>
      </c>
      <c r="DP235" s="26">
        <v>0</v>
      </c>
      <c r="DQ235" s="26">
        <v>0</v>
      </c>
      <c r="DR235" s="26">
        <v>0</v>
      </c>
      <c r="DS235" s="26">
        <v>0</v>
      </c>
      <c r="DT235" s="26">
        <v>0</v>
      </c>
      <c r="DU235" s="26">
        <v>0</v>
      </c>
      <c r="DV235" s="26">
        <v>0</v>
      </c>
      <c r="DW235" s="26">
        <v>0</v>
      </c>
      <c r="DX235" s="26">
        <v>0</v>
      </c>
      <c r="DY235" s="26">
        <v>0</v>
      </c>
      <c r="DZ235" s="26">
        <v>0</v>
      </c>
      <c r="EA235" s="26">
        <v>0</v>
      </c>
      <c r="EB235" s="26">
        <v>0</v>
      </c>
      <c r="EC235" s="26">
        <v>0</v>
      </c>
      <c r="ED235" s="26">
        <v>0</v>
      </c>
      <c r="EE235" s="26">
        <v>0</v>
      </c>
      <c r="EF235" s="26">
        <v>0</v>
      </c>
      <c r="EG235" s="26">
        <v>0</v>
      </c>
      <c r="EH235" s="26">
        <v>0</v>
      </c>
      <c r="EI235" s="26">
        <v>0</v>
      </c>
      <c r="EJ235" s="26">
        <v>0</v>
      </c>
      <c r="EK235" s="26">
        <v>0</v>
      </c>
      <c r="EL235" s="26">
        <v>0</v>
      </c>
      <c r="EM235" s="26">
        <v>0</v>
      </c>
      <c r="EN235" s="26">
        <v>0</v>
      </c>
      <c r="EO235" s="26">
        <v>0</v>
      </c>
      <c r="EP235" s="26">
        <v>0</v>
      </c>
      <c r="EQ235" s="26">
        <v>0</v>
      </c>
      <c r="ER235" s="26">
        <v>0</v>
      </c>
      <c r="ES235" s="26">
        <v>0</v>
      </c>
      <c r="ET235" s="26">
        <v>0</v>
      </c>
      <c r="EU235" s="26">
        <v>0</v>
      </c>
      <c r="EV235" s="26">
        <v>0</v>
      </c>
      <c r="EW235" s="26">
        <v>0</v>
      </c>
      <c r="EX235" s="26">
        <v>0</v>
      </c>
      <c r="EY235" s="26">
        <v>0</v>
      </c>
      <c r="EZ235" s="26">
        <v>0</v>
      </c>
      <c r="FA235" s="26">
        <v>0</v>
      </c>
      <c r="FB235" s="26">
        <v>0</v>
      </c>
      <c r="FC235" s="26">
        <v>0</v>
      </c>
      <c r="FD235" s="26">
        <v>0</v>
      </c>
      <c r="FE235" s="26">
        <v>0</v>
      </c>
      <c r="FF235" s="26">
        <v>0</v>
      </c>
      <c r="FG235" s="26">
        <v>1.5035303799999999</v>
      </c>
      <c r="FH235" s="26">
        <v>-17895495.9584</v>
      </c>
      <c r="FI235" s="26">
        <v>6.4064153290291012E-2</v>
      </c>
      <c r="FJ235" s="26">
        <v>0</v>
      </c>
      <c r="FK235" s="26">
        <v>0</v>
      </c>
      <c r="FL235" s="26">
        <v>0</v>
      </c>
      <c r="FM235" s="26">
        <v>0</v>
      </c>
      <c r="FN235" s="26">
        <v>0</v>
      </c>
      <c r="FO235" s="26">
        <v>0</v>
      </c>
      <c r="FP235" s="26">
        <v>0</v>
      </c>
      <c r="FQ235" s="26">
        <v>0</v>
      </c>
      <c r="FR235" s="26">
        <v>0</v>
      </c>
      <c r="FS235" s="26">
        <v>0</v>
      </c>
      <c r="FT235" s="26">
        <v>0</v>
      </c>
      <c r="FU235" s="26">
        <v>0</v>
      </c>
      <c r="FV235" s="26">
        <v>0</v>
      </c>
      <c r="FW235" s="26">
        <v>0</v>
      </c>
      <c r="FX235" s="26">
        <v>0</v>
      </c>
      <c r="FY235" s="26">
        <v>0</v>
      </c>
      <c r="FZ235" s="26">
        <v>0</v>
      </c>
      <c r="GA235" s="26">
        <v>0</v>
      </c>
      <c r="GB235" s="26">
        <v>0</v>
      </c>
      <c r="GC235" s="26">
        <v>0</v>
      </c>
      <c r="GD235" s="26">
        <v>0</v>
      </c>
      <c r="GE235" s="26">
        <v>0</v>
      </c>
      <c r="GF235" s="26">
        <v>0</v>
      </c>
      <c r="GG235" s="26">
        <v>0</v>
      </c>
      <c r="GH235" s="26">
        <v>0</v>
      </c>
      <c r="GI235" s="26">
        <v>0</v>
      </c>
      <c r="GJ235" s="26">
        <v>0</v>
      </c>
      <c r="GK235" s="26">
        <v>0</v>
      </c>
      <c r="GL235" s="26">
        <v>0</v>
      </c>
      <c r="GM235" s="26">
        <v>0</v>
      </c>
      <c r="GN235" s="26">
        <v>0</v>
      </c>
      <c r="GO235" s="26">
        <v>0</v>
      </c>
      <c r="GP235" s="26">
        <v>0</v>
      </c>
      <c r="GQ235" s="26">
        <v>0</v>
      </c>
      <c r="GR235" s="26">
        <v>0</v>
      </c>
      <c r="GS235" s="26">
        <v>0</v>
      </c>
      <c r="GT235" s="26">
        <v>0</v>
      </c>
      <c r="GU235" s="26">
        <v>0</v>
      </c>
      <c r="GV235" s="26">
        <v>0</v>
      </c>
      <c r="GW235" s="26">
        <v>0</v>
      </c>
      <c r="GX235" s="26">
        <v>0</v>
      </c>
      <c r="GY235" s="26">
        <v>0</v>
      </c>
      <c r="GZ235" s="26">
        <v>0</v>
      </c>
      <c r="HA235" s="26">
        <v>0</v>
      </c>
      <c r="HB235" s="26">
        <v>0</v>
      </c>
      <c r="HC235" s="26">
        <v>0</v>
      </c>
      <c r="HD235" s="26">
        <v>0</v>
      </c>
      <c r="HE235" s="26">
        <v>0</v>
      </c>
      <c r="HF235" s="26">
        <v>0</v>
      </c>
      <c r="HG235" s="26">
        <v>0</v>
      </c>
      <c r="HH235" s="26">
        <v>0</v>
      </c>
      <c r="HI235" s="26">
        <v>0</v>
      </c>
      <c r="HJ235" s="26">
        <v>0</v>
      </c>
      <c r="HK235" s="26">
        <v>0</v>
      </c>
      <c r="HL235" s="26">
        <v>0</v>
      </c>
      <c r="HM235" s="26">
        <v>0</v>
      </c>
      <c r="HN235" s="26">
        <v>0</v>
      </c>
      <c r="HO235" s="26">
        <v>0</v>
      </c>
      <c r="HP235" s="26">
        <v>0</v>
      </c>
      <c r="HQ235" s="26">
        <v>0</v>
      </c>
      <c r="HR235" s="26">
        <v>0</v>
      </c>
      <c r="HS235" s="26">
        <v>0</v>
      </c>
      <c r="HT235" s="26">
        <v>0</v>
      </c>
    </row>
    <row r="236" spans="2:228" x14ac:dyDescent="0.2">
      <c r="B236" s="27" t="s">
        <v>3004</v>
      </c>
      <c r="C236" s="26">
        <v>223184.03400000001</v>
      </c>
      <c r="D236" s="26">
        <v>-10.3244931</v>
      </c>
      <c r="E236" s="26">
        <v>4371.1926000000003</v>
      </c>
      <c r="F236" s="26">
        <v>0</v>
      </c>
      <c r="G236" s="26">
        <v>0</v>
      </c>
      <c r="H236" s="26">
        <v>0</v>
      </c>
      <c r="I236" s="26">
        <v>0</v>
      </c>
      <c r="J236" s="26">
        <v>0</v>
      </c>
      <c r="K236" s="26">
        <v>0</v>
      </c>
      <c r="L236" s="26">
        <v>0</v>
      </c>
      <c r="M236" s="26">
        <v>0</v>
      </c>
      <c r="N236" s="26">
        <v>0</v>
      </c>
      <c r="O236" s="26">
        <v>0</v>
      </c>
      <c r="P236" s="26">
        <v>0</v>
      </c>
      <c r="Q236" s="26">
        <v>0</v>
      </c>
      <c r="R236" s="26">
        <v>0</v>
      </c>
      <c r="S236" s="26">
        <v>0</v>
      </c>
      <c r="T236" s="26">
        <v>0</v>
      </c>
      <c r="U236" s="26">
        <v>0</v>
      </c>
      <c r="V236" s="26">
        <v>0</v>
      </c>
      <c r="W236" s="26">
        <v>0</v>
      </c>
      <c r="X236" s="26">
        <v>0</v>
      </c>
      <c r="Y236" s="26">
        <v>0</v>
      </c>
      <c r="Z236" s="26">
        <v>0</v>
      </c>
      <c r="AA236" s="26">
        <v>0</v>
      </c>
      <c r="AB236" s="26">
        <v>0</v>
      </c>
      <c r="AC236" s="26">
        <v>0</v>
      </c>
      <c r="AD236" s="26">
        <v>0</v>
      </c>
      <c r="AE236" s="26">
        <v>0</v>
      </c>
      <c r="AF236" s="26">
        <v>0</v>
      </c>
      <c r="AG236" s="26">
        <v>0</v>
      </c>
      <c r="AH236" s="26">
        <v>0</v>
      </c>
      <c r="AI236" s="26">
        <v>0</v>
      </c>
      <c r="AJ236" s="26">
        <v>0</v>
      </c>
      <c r="AK236" s="26">
        <v>0</v>
      </c>
      <c r="AL236" s="26">
        <v>0</v>
      </c>
      <c r="AM236" s="26">
        <v>0</v>
      </c>
      <c r="AN236" s="26">
        <v>50965.230799999998</v>
      </c>
      <c r="AO236" s="26">
        <v>167847.611</v>
      </c>
      <c r="AP236" s="26">
        <v>0</v>
      </c>
      <c r="AQ236" s="26">
        <v>0</v>
      </c>
      <c r="AR236" s="26">
        <v>0</v>
      </c>
      <c r="AS236" s="26">
        <v>0</v>
      </c>
      <c r="AT236" s="26">
        <v>0</v>
      </c>
      <c r="AU236" s="26">
        <v>0</v>
      </c>
      <c r="AV236" s="26">
        <v>0</v>
      </c>
      <c r="AW236" s="26">
        <v>0</v>
      </c>
      <c r="AX236" s="26">
        <v>0</v>
      </c>
      <c r="AY236" s="26">
        <v>0</v>
      </c>
      <c r="AZ236" s="26">
        <v>0</v>
      </c>
      <c r="BA236" s="26">
        <v>0</v>
      </c>
      <c r="BB236" s="26">
        <v>0</v>
      </c>
      <c r="BC236" s="26">
        <v>0</v>
      </c>
      <c r="BD236" s="26">
        <v>0</v>
      </c>
      <c r="BE236" s="26">
        <v>0</v>
      </c>
      <c r="BF236" s="26">
        <v>0</v>
      </c>
      <c r="BG236" s="26">
        <v>0</v>
      </c>
      <c r="BH236" s="26">
        <v>0</v>
      </c>
      <c r="BI236" s="26">
        <v>0</v>
      </c>
      <c r="BJ236" s="26">
        <v>0</v>
      </c>
      <c r="BK236" s="26">
        <v>0</v>
      </c>
      <c r="BL236" s="26">
        <v>0</v>
      </c>
      <c r="BM236" s="26">
        <v>0</v>
      </c>
      <c r="BN236" s="26">
        <v>0</v>
      </c>
      <c r="BO236" s="26">
        <v>7827.0342099999989</v>
      </c>
      <c r="BP236" s="26">
        <v>223184.03400000001</v>
      </c>
      <c r="BQ236" s="26">
        <v>2299189.1</v>
      </c>
      <c r="BR236" s="26">
        <v>92.183978300000035</v>
      </c>
      <c r="BS236" s="26">
        <v>1.7008734300000001</v>
      </c>
      <c r="BT236" s="26">
        <v>1</v>
      </c>
      <c r="BU236" s="26">
        <v>0</v>
      </c>
      <c r="BV236" s="26">
        <v>0</v>
      </c>
      <c r="BW236" s="26">
        <v>-1319.0811200000001</v>
      </c>
      <c r="BX236" s="26">
        <v>-46.259998299999999</v>
      </c>
      <c r="BY236" s="26">
        <v>-10.3244931</v>
      </c>
      <c r="BZ236" s="26">
        <v>1.3059152599999999</v>
      </c>
      <c r="CA236" s="26">
        <v>4.5798273399999999E-2</v>
      </c>
      <c r="CB236" s="26">
        <v>5.67376423E-5</v>
      </c>
      <c r="CC236" s="26">
        <v>1.6178459900000001E-3</v>
      </c>
      <c r="CD236" s="26">
        <v>28.514508599999999</v>
      </c>
      <c r="CE236" s="26">
        <v>6843.0530699999999</v>
      </c>
      <c r="CF236" s="26">
        <v>0</v>
      </c>
      <c r="CG236" s="26">
        <v>0</v>
      </c>
      <c r="CH236" s="26">
        <v>0</v>
      </c>
      <c r="CI236" s="26">
        <v>0</v>
      </c>
      <c r="CJ236" s="26">
        <v>0</v>
      </c>
      <c r="CK236" s="26">
        <v>0</v>
      </c>
      <c r="CL236" s="26">
        <v>0</v>
      </c>
      <c r="CM236" s="26">
        <v>0</v>
      </c>
      <c r="CN236" s="26">
        <v>0</v>
      </c>
      <c r="CO236" s="26">
        <v>0</v>
      </c>
      <c r="CP236" s="26">
        <v>0</v>
      </c>
      <c r="CQ236" s="26">
        <v>0</v>
      </c>
      <c r="CR236" s="26">
        <v>0</v>
      </c>
      <c r="CS236" s="26">
        <v>0</v>
      </c>
      <c r="CT236" s="26">
        <v>0</v>
      </c>
      <c r="CU236" s="26">
        <v>0</v>
      </c>
      <c r="CV236" s="26">
        <v>0</v>
      </c>
      <c r="CW236" s="26">
        <v>0</v>
      </c>
      <c r="CX236" s="26">
        <v>0</v>
      </c>
      <c r="CY236" s="26">
        <v>0</v>
      </c>
      <c r="CZ236" s="26">
        <v>0</v>
      </c>
      <c r="DA236" s="26">
        <v>0</v>
      </c>
      <c r="DB236" s="26">
        <v>0</v>
      </c>
      <c r="DC236" s="26">
        <v>0</v>
      </c>
      <c r="DD236" s="26">
        <v>0</v>
      </c>
      <c r="DE236" s="26">
        <v>0</v>
      </c>
      <c r="DF236" s="26">
        <v>0</v>
      </c>
      <c r="DG236" s="26">
        <v>0</v>
      </c>
      <c r="DH236" s="26">
        <v>0</v>
      </c>
      <c r="DI236" s="26">
        <v>0</v>
      </c>
      <c r="DJ236" s="26">
        <v>0</v>
      </c>
      <c r="DK236" s="26">
        <v>0</v>
      </c>
      <c r="DL236" s="26">
        <v>0</v>
      </c>
      <c r="DM236" s="26">
        <v>0</v>
      </c>
      <c r="DN236" s="26">
        <v>0</v>
      </c>
      <c r="DO236" s="26">
        <v>0</v>
      </c>
      <c r="DP236" s="26">
        <v>0</v>
      </c>
      <c r="DQ236" s="26">
        <v>0</v>
      </c>
      <c r="DR236" s="26">
        <v>0</v>
      </c>
      <c r="DS236" s="26">
        <v>0</v>
      </c>
      <c r="DT236" s="26">
        <v>0</v>
      </c>
      <c r="DU236" s="26">
        <v>0</v>
      </c>
      <c r="DV236" s="26">
        <v>0</v>
      </c>
      <c r="DW236" s="26">
        <v>0</v>
      </c>
      <c r="DX236" s="26">
        <v>0</v>
      </c>
      <c r="DY236" s="26">
        <v>0</v>
      </c>
      <c r="DZ236" s="26">
        <v>0</v>
      </c>
      <c r="EA236" s="26">
        <v>0</v>
      </c>
      <c r="EB236" s="26">
        <v>0</v>
      </c>
      <c r="EC236" s="26">
        <v>0</v>
      </c>
      <c r="ED236" s="26">
        <v>0</v>
      </c>
      <c r="EE236" s="26">
        <v>0</v>
      </c>
      <c r="EF236" s="26">
        <v>0</v>
      </c>
      <c r="EG236" s="26">
        <v>0</v>
      </c>
      <c r="EH236" s="26">
        <v>0</v>
      </c>
      <c r="EI236" s="26">
        <v>0</v>
      </c>
      <c r="EJ236" s="26">
        <v>0</v>
      </c>
      <c r="EK236" s="26">
        <v>0</v>
      </c>
      <c r="EL236" s="26">
        <v>0</v>
      </c>
      <c r="EM236" s="26">
        <v>0</v>
      </c>
      <c r="EN236" s="26">
        <v>0</v>
      </c>
      <c r="EO236" s="26">
        <v>0</v>
      </c>
      <c r="EP236" s="26">
        <v>0</v>
      </c>
      <c r="EQ236" s="26">
        <v>0</v>
      </c>
      <c r="ER236" s="26">
        <v>0</v>
      </c>
      <c r="ES236" s="26">
        <v>0</v>
      </c>
      <c r="ET236" s="26">
        <v>1.7008734300000001</v>
      </c>
      <c r="EU236" s="26">
        <v>0</v>
      </c>
      <c r="EV236" s="26">
        <v>0</v>
      </c>
      <c r="EW236" s="26">
        <v>0</v>
      </c>
      <c r="EX236" s="26">
        <v>0</v>
      </c>
      <c r="EY236" s="26">
        <v>0</v>
      </c>
      <c r="EZ236" s="26">
        <v>0</v>
      </c>
      <c r="FA236" s="26">
        <v>0</v>
      </c>
      <c r="FB236" s="26">
        <v>0</v>
      </c>
      <c r="FC236" s="26">
        <v>0</v>
      </c>
      <c r="FD236" s="26">
        <v>0</v>
      </c>
      <c r="FE236" s="26">
        <v>0</v>
      </c>
      <c r="FF236" s="26">
        <v>0</v>
      </c>
      <c r="FG236" s="26">
        <v>0</v>
      </c>
      <c r="FH236" s="26">
        <v>-16298133.4849</v>
      </c>
      <c r="FI236" s="26">
        <v>0</v>
      </c>
      <c r="FJ236" s="26">
        <v>6.7399461650306802E-2</v>
      </c>
      <c r="FK236" s="26">
        <v>0</v>
      </c>
      <c r="FL236" s="26">
        <v>0</v>
      </c>
      <c r="FM236" s="26">
        <v>0</v>
      </c>
      <c r="FN236" s="26">
        <v>0</v>
      </c>
      <c r="FO236" s="26">
        <v>0</v>
      </c>
      <c r="FP236" s="26">
        <v>0</v>
      </c>
      <c r="FQ236" s="26">
        <v>0</v>
      </c>
      <c r="FR236" s="26">
        <v>0</v>
      </c>
      <c r="FS236" s="26">
        <v>0</v>
      </c>
      <c r="FT236" s="26">
        <v>0</v>
      </c>
      <c r="FU236" s="26">
        <v>0</v>
      </c>
      <c r="FV236" s="26">
        <v>0</v>
      </c>
      <c r="FW236" s="26">
        <v>0</v>
      </c>
      <c r="FX236" s="26">
        <v>0</v>
      </c>
      <c r="FY236" s="26">
        <v>0</v>
      </c>
      <c r="FZ236" s="26">
        <v>0</v>
      </c>
      <c r="GA236" s="26">
        <v>0</v>
      </c>
      <c r="GB236" s="26">
        <v>0</v>
      </c>
      <c r="GC236" s="26">
        <v>0</v>
      </c>
      <c r="GD236" s="26">
        <v>0</v>
      </c>
      <c r="GE236" s="26">
        <v>0</v>
      </c>
      <c r="GF236" s="26">
        <v>0</v>
      </c>
      <c r="GG236" s="26">
        <v>0</v>
      </c>
      <c r="GH236" s="26">
        <v>0</v>
      </c>
      <c r="GI236" s="26">
        <v>0</v>
      </c>
      <c r="GJ236" s="26">
        <v>0</v>
      </c>
      <c r="GK236" s="26">
        <v>0</v>
      </c>
      <c r="GL236" s="26">
        <v>0</v>
      </c>
      <c r="GM236" s="26">
        <v>0</v>
      </c>
      <c r="GN236" s="26">
        <v>0</v>
      </c>
      <c r="GO236" s="26">
        <v>0</v>
      </c>
      <c r="GP236" s="26">
        <v>0</v>
      </c>
      <c r="GQ236" s="26">
        <v>0</v>
      </c>
      <c r="GR236" s="26">
        <v>0</v>
      </c>
      <c r="GS236" s="26">
        <v>0.44242311187271821</v>
      </c>
      <c r="GT236" s="26">
        <v>1.6643536133148289</v>
      </c>
      <c r="GU236" s="26">
        <v>0</v>
      </c>
      <c r="GV236" s="26">
        <v>0</v>
      </c>
      <c r="GW236" s="26">
        <v>0</v>
      </c>
      <c r="GX236" s="26">
        <v>0</v>
      </c>
      <c r="GY236" s="26">
        <v>0</v>
      </c>
      <c r="GZ236" s="26">
        <v>0</v>
      </c>
      <c r="HA236" s="26">
        <v>0</v>
      </c>
      <c r="HB236" s="26">
        <v>0</v>
      </c>
      <c r="HC236" s="26">
        <v>0</v>
      </c>
      <c r="HD236" s="26">
        <v>0</v>
      </c>
      <c r="HE236" s="26">
        <v>0</v>
      </c>
      <c r="HF236" s="26">
        <v>0</v>
      </c>
      <c r="HG236" s="26">
        <v>0</v>
      </c>
      <c r="HH236" s="26">
        <v>0</v>
      </c>
      <c r="HI236" s="26">
        <v>0</v>
      </c>
      <c r="HJ236" s="26">
        <v>0</v>
      </c>
      <c r="HK236" s="26">
        <v>0</v>
      </c>
      <c r="HL236" s="26">
        <v>0</v>
      </c>
      <c r="HM236" s="26">
        <v>0</v>
      </c>
      <c r="HN236" s="26">
        <v>0</v>
      </c>
      <c r="HO236" s="26">
        <v>0</v>
      </c>
      <c r="HP236" s="26">
        <v>0</v>
      </c>
      <c r="HQ236" s="26">
        <v>0</v>
      </c>
      <c r="HR236" s="26">
        <v>0</v>
      </c>
      <c r="HS236" s="26">
        <v>0</v>
      </c>
      <c r="HT236" s="26">
        <v>0</v>
      </c>
    </row>
    <row r="237" spans="2:228" x14ac:dyDescent="0.2">
      <c r="B237" s="27" t="s">
        <v>3007</v>
      </c>
      <c r="C237" s="26">
        <v>109347.728</v>
      </c>
      <c r="D237" s="26">
        <v>-410.21867300000002</v>
      </c>
      <c r="E237" s="26">
        <v>107867.02099999999</v>
      </c>
      <c r="F237" s="26">
        <v>1.11138029</v>
      </c>
      <c r="G237" s="26">
        <v>3.0381882199999999</v>
      </c>
      <c r="H237" s="26">
        <v>6.6693664100000003</v>
      </c>
      <c r="I237" s="26">
        <v>2.7983355599999999</v>
      </c>
      <c r="J237" s="26">
        <v>6.18970763</v>
      </c>
      <c r="K237" s="26">
        <v>1.28268147</v>
      </c>
      <c r="L237" s="26">
        <v>1.9298139299999999</v>
      </c>
      <c r="M237" s="26">
        <v>0</v>
      </c>
      <c r="N237" s="26">
        <v>6.6048455400000003</v>
      </c>
      <c r="O237" s="26">
        <v>0.166682574</v>
      </c>
      <c r="P237" s="26">
        <v>6.9936744199999998E-2</v>
      </c>
      <c r="Q237" s="26">
        <v>2.2764259</v>
      </c>
      <c r="R237" s="26">
        <v>0.31562781099999998</v>
      </c>
      <c r="S237" s="26">
        <v>71.159335999999996</v>
      </c>
      <c r="T237" s="26">
        <v>15.818027800000001</v>
      </c>
      <c r="U237" s="26">
        <v>2.15561179</v>
      </c>
      <c r="V237" s="26">
        <v>2.8785233899999998</v>
      </c>
      <c r="W237" s="26">
        <v>0.35272658400000001</v>
      </c>
      <c r="X237" s="26">
        <v>9.8742186099999998</v>
      </c>
      <c r="Y237" s="26">
        <v>4.4004052400000004</v>
      </c>
      <c r="Z237" s="26">
        <v>1.0163370599999999</v>
      </c>
      <c r="AA237" s="26">
        <v>2.6679137700000002</v>
      </c>
      <c r="AB237" s="26">
        <v>45.558853200000001</v>
      </c>
      <c r="AC237" s="26">
        <v>1.8042386800000001E-2</v>
      </c>
      <c r="AD237" s="26">
        <v>0</v>
      </c>
      <c r="AE237" s="26">
        <v>89.824349100000006</v>
      </c>
      <c r="AF237" s="26">
        <v>32.875812600000003</v>
      </c>
      <c r="AG237" s="26">
        <v>0</v>
      </c>
      <c r="AH237" s="26">
        <v>1019.60171</v>
      </c>
      <c r="AI237" s="26">
        <v>0</v>
      </c>
      <c r="AJ237" s="26">
        <v>0</v>
      </c>
      <c r="AK237" s="26">
        <v>0</v>
      </c>
      <c r="AL237" s="26">
        <v>0</v>
      </c>
      <c r="AM237" s="26">
        <v>0.16134324</v>
      </c>
      <c r="AN237" s="26">
        <v>0.65265621799999995</v>
      </c>
      <c r="AO237" s="26">
        <v>1.17696383</v>
      </c>
      <c r="AP237" s="26">
        <v>0</v>
      </c>
      <c r="AQ237" s="26">
        <v>1.1274941599999999</v>
      </c>
      <c r="AR237" s="26">
        <v>0</v>
      </c>
      <c r="AS237" s="26">
        <v>14.223381099999999</v>
      </c>
      <c r="AT237" s="26">
        <v>0.21863121399999999</v>
      </c>
      <c r="AU237" s="26">
        <v>29.7207182</v>
      </c>
      <c r="AV237" s="26">
        <v>2.2414950400000001E-2</v>
      </c>
      <c r="AW237" s="26">
        <v>0</v>
      </c>
      <c r="AX237" s="26">
        <v>0</v>
      </c>
      <c r="AY237" s="26">
        <v>0</v>
      </c>
      <c r="AZ237" s="26">
        <v>0</v>
      </c>
      <c r="BA237" s="26">
        <v>0</v>
      </c>
      <c r="BB237" s="26">
        <v>0</v>
      </c>
      <c r="BC237" s="26">
        <v>0</v>
      </c>
      <c r="BD237" s="26">
        <v>0</v>
      </c>
      <c r="BE237" s="26">
        <v>0</v>
      </c>
      <c r="BF237" s="26">
        <v>0</v>
      </c>
      <c r="BG237" s="26">
        <v>0</v>
      </c>
      <c r="BH237" s="26">
        <v>0</v>
      </c>
      <c r="BI237" s="26">
        <v>0</v>
      </c>
      <c r="BJ237" s="26">
        <v>0</v>
      </c>
      <c r="BK237" s="26">
        <v>0</v>
      </c>
      <c r="BL237" s="26">
        <v>0</v>
      </c>
      <c r="BM237" s="26">
        <v>0</v>
      </c>
      <c r="BN237" s="26">
        <v>0</v>
      </c>
      <c r="BO237" s="26">
        <v>6005.8466699999999</v>
      </c>
      <c r="BP237" s="26">
        <v>109244.98</v>
      </c>
      <c r="BQ237" s="26">
        <v>1855.3328100000001</v>
      </c>
      <c r="BR237" s="26">
        <v>29.461728600000015</v>
      </c>
      <c r="BS237" s="26">
        <v>2</v>
      </c>
      <c r="BT237" s="26">
        <v>0</v>
      </c>
      <c r="BU237" s="26">
        <v>1</v>
      </c>
      <c r="BV237" s="26">
        <v>0</v>
      </c>
      <c r="BW237" s="26">
        <v>-68285.483800000002</v>
      </c>
      <c r="BX237" s="26">
        <v>-3754.0594099999998</v>
      </c>
      <c r="BY237" s="26">
        <v>-410.11214899999999</v>
      </c>
      <c r="BZ237" s="26">
        <v>-38.745406099999997</v>
      </c>
      <c r="CA237" s="26">
        <v>-2.1300655499999999</v>
      </c>
      <c r="CB237" s="26">
        <v>5.3951206299999999E-2</v>
      </c>
      <c r="CC237" s="26">
        <v>0.98136012699999997</v>
      </c>
      <c r="CD237" s="26">
        <v>18.189771700000001</v>
      </c>
      <c r="CE237" s="26">
        <v>0</v>
      </c>
      <c r="CF237" s="26">
        <v>0</v>
      </c>
      <c r="CG237" s="26">
        <v>0</v>
      </c>
      <c r="CH237" s="26">
        <v>0</v>
      </c>
      <c r="CI237" s="26">
        <v>0</v>
      </c>
      <c r="CJ237" s="26">
        <v>0</v>
      </c>
      <c r="CK237" s="26">
        <v>0</v>
      </c>
      <c r="CL237" s="26">
        <v>0</v>
      </c>
      <c r="CM237" s="26">
        <v>0</v>
      </c>
      <c r="CN237" s="26">
        <v>0</v>
      </c>
      <c r="CO237" s="26">
        <v>0</v>
      </c>
      <c r="CP237" s="26">
        <v>0</v>
      </c>
      <c r="CQ237" s="26">
        <v>0</v>
      </c>
      <c r="CR237" s="26">
        <v>0</v>
      </c>
      <c r="CS237" s="26">
        <v>0</v>
      </c>
      <c r="CT237" s="26">
        <v>0</v>
      </c>
      <c r="CU237" s="26">
        <v>0</v>
      </c>
      <c r="CV237" s="26">
        <v>0</v>
      </c>
      <c r="CW237" s="26">
        <v>0</v>
      </c>
      <c r="CX237" s="26">
        <v>0</v>
      </c>
      <c r="CY237" s="26">
        <v>0</v>
      </c>
      <c r="CZ237" s="26">
        <v>0</v>
      </c>
      <c r="DA237" s="26">
        <v>0</v>
      </c>
      <c r="DB237" s="26">
        <v>0</v>
      </c>
      <c r="DC237" s="26">
        <v>0</v>
      </c>
      <c r="DD237" s="26">
        <v>0</v>
      </c>
      <c r="DE237" s="26">
        <v>0</v>
      </c>
      <c r="DF237" s="26">
        <v>0</v>
      </c>
      <c r="DG237" s="26">
        <v>0</v>
      </c>
      <c r="DH237" s="26">
        <v>0</v>
      </c>
      <c r="DI237" s="26">
        <v>0</v>
      </c>
      <c r="DJ237" s="26">
        <v>0</v>
      </c>
      <c r="DK237" s="26">
        <v>0</v>
      </c>
      <c r="DL237" s="26">
        <v>0</v>
      </c>
      <c r="DM237" s="26">
        <v>0</v>
      </c>
      <c r="DN237" s="26">
        <v>0</v>
      </c>
      <c r="DO237" s="26">
        <v>0</v>
      </c>
      <c r="DP237" s="26">
        <v>0</v>
      </c>
      <c r="DQ237" s="26">
        <v>0</v>
      </c>
      <c r="DR237" s="26">
        <v>0</v>
      </c>
      <c r="DS237" s="26">
        <v>0</v>
      </c>
      <c r="DT237" s="26">
        <v>0</v>
      </c>
      <c r="DU237" s="26">
        <v>0</v>
      </c>
      <c r="DV237" s="26">
        <v>0</v>
      </c>
      <c r="DW237" s="26">
        <v>0</v>
      </c>
      <c r="DX237" s="26">
        <v>1.3206754300000001</v>
      </c>
      <c r="DY237" s="26">
        <v>3.2610179500000003E-2</v>
      </c>
      <c r="DZ237" s="26">
        <v>1.3682592800000001E-2</v>
      </c>
      <c r="EA237" s="26">
        <v>0.445368396</v>
      </c>
      <c r="EB237" s="26">
        <v>5.4274284800000003E-2</v>
      </c>
      <c r="EC237" s="26">
        <v>13.1317807</v>
      </c>
      <c r="ED237" s="26">
        <v>0</v>
      </c>
      <c r="EE237" s="26">
        <v>2.1337866700000001</v>
      </c>
      <c r="EF237" s="26">
        <v>4.3240501699999996</v>
      </c>
      <c r="EG237" s="26">
        <v>0.54821389899999995</v>
      </c>
      <c r="EH237" s="26">
        <v>6.0912743300000002E-2</v>
      </c>
      <c r="EI237" s="26">
        <v>0.879983399</v>
      </c>
      <c r="EJ237" s="26">
        <v>0.11347602900000001</v>
      </c>
      <c r="EK237" s="26">
        <v>79.190890400000001</v>
      </c>
      <c r="EL237" s="26">
        <v>0.49799612199999993</v>
      </c>
      <c r="EM237" s="26">
        <v>0</v>
      </c>
      <c r="EN237" s="26">
        <v>0</v>
      </c>
      <c r="EO237" s="26">
        <v>0</v>
      </c>
      <c r="EP237" s="26">
        <v>3.74605093</v>
      </c>
      <c r="EQ237" s="26">
        <v>102.74770100000001</v>
      </c>
      <c r="ER237" s="26">
        <v>1.1640055</v>
      </c>
      <c r="ES237" s="26">
        <v>29.461728600000015</v>
      </c>
      <c r="ET237" s="26">
        <v>2</v>
      </c>
      <c r="EU237" s="26">
        <v>0</v>
      </c>
      <c r="EV237" s="26">
        <v>0</v>
      </c>
      <c r="EW237" s="26">
        <v>1</v>
      </c>
      <c r="EX237" s="26">
        <v>-28436.343000000001</v>
      </c>
      <c r="EY237" s="26">
        <v>-1036.7530200000001</v>
      </c>
      <c r="EZ237" s="26">
        <v>-0.10652399</v>
      </c>
      <c r="FA237" s="26">
        <v>-84.509317899999999</v>
      </c>
      <c r="FB237" s="26">
        <v>-3.0811025999999999</v>
      </c>
      <c r="FC237" s="26">
        <v>5.3637359599999997E-2</v>
      </c>
      <c r="FD237" s="26">
        <v>1.4711800500000001</v>
      </c>
      <c r="FE237" s="26">
        <v>27.428271299999999</v>
      </c>
      <c r="FF237" s="26">
        <v>0</v>
      </c>
      <c r="FG237" s="26">
        <v>4.0828435900000003E-3</v>
      </c>
      <c r="FH237" s="26">
        <v>-477603885.78599995</v>
      </c>
      <c r="FI237" s="26">
        <v>2.1869027536063333E-3</v>
      </c>
      <c r="FJ237" s="26">
        <v>0</v>
      </c>
      <c r="FK237" s="26">
        <v>0</v>
      </c>
      <c r="FL237" s="26">
        <v>0</v>
      </c>
      <c r="FM237" s="26">
        <v>0</v>
      </c>
      <c r="FN237" s="26">
        <v>0</v>
      </c>
      <c r="FO237" s="26">
        <v>0</v>
      </c>
      <c r="FP237" s="26">
        <v>0</v>
      </c>
      <c r="FQ237" s="26">
        <v>0</v>
      </c>
      <c r="FR237" s="26">
        <v>0</v>
      </c>
      <c r="FS237" s="26">
        <v>0</v>
      </c>
      <c r="FT237" s="26">
        <v>0</v>
      </c>
      <c r="FU237" s="26">
        <v>0</v>
      </c>
      <c r="FV237" s="26">
        <v>0</v>
      </c>
      <c r="FW237" s="26">
        <v>0</v>
      </c>
      <c r="FX237" s="26">
        <v>0</v>
      </c>
      <c r="FY237" s="26">
        <v>0</v>
      </c>
      <c r="FZ237" s="26">
        <v>0</v>
      </c>
      <c r="GA237" s="26">
        <v>0</v>
      </c>
      <c r="GB237" s="26">
        <v>0</v>
      </c>
      <c r="GC237" s="26">
        <v>0</v>
      </c>
      <c r="GD237" s="26">
        <v>0</v>
      </c>
      <c r="GE237" s="26">
        <v>0</v>
      </c>
      <c r="GF237" s="26">
        <v>0</v>
      </c>
      <c r="GG237" s="26">
        <v>0</v>
      </c>
      <c r="GH237" s="26">
        <v>0</v>
      </c>
      <c r="GI237" s="26">
        <v>0</v>
      </c>
      <c r="GJ237" s="26">
        <v>0</v>
      </c>
      <c r="GK237" s="26">
        <v>0</v>
      </c>
      <c r="GL237" s="26">
        <v>0</v>
      </c>
      <c r="GM237" s="26">
        <v>0</v>
      </c>
      <c r="GN237" s="26">
        <v>0</v>
      </c>
      <c r="GO237" s="26">
        <v>0</v>
      </c>
      <c r="GP237" s="26">
        <v>0</v>
      </c>
      <c r="GQ237" s="26">
        <v>0</v>
      </c>
      <c r="GR237" s="26">
        <v>0</v>
      </c>
      <c r="GS237" s="26">
        <v>0</v>
      </c>
      <c r="GT237" s="26">
        <v>0</v>
      </c>
      <c r="GU237" s="26">
        <v>0</v>
      </c>
      <c r="GV237" s="26">
        <v>0</v>
      </c>
      <c r="GW237" s="26">
        <v>0</v>
      </c>
      <c r="GX237" s="26">
        <v>0</v>
      </c>
      <c r="GY237" s="26">
        <v>0</v>
      </c>
      <c r="GZ237" s="26">
        <v>0</v>
      </c>
      <c r="HA237" s="26">
        <v>0</v>
      </c>
      <c r="HB237" s="26">
        <v>0</v>
      </c>
      <c r="HC237" s="26">
        <v>0</v>
      </c>
      <c r="HD237" s="26">
        <v>0</v>
      </c>
      <c r="HE237" s="26">
        <v>0</v>
      </c>
      <c r="HF237" s="26">
        <v>0</v>
      </c>
      <c r="HG237" s="26">
        <v>0</v>
      </c>
      <c r="HH237" s="26">
        <v>0</v>
      </c>
      <c r="HI237" s="26">
        <v>0</v>
      </c>
      <c r="HJ237" s="26">
        <v>0</v>
      </c>
      <c r="HK237" s="26">
        <v>0</v>
      </c>
      <c r="HL237" s="26">
        <v>0</v>
      </c>
      <c r="HM237" s="26">
        <v>0</v>
      </c>
      <c r="HN237" s="26">
        <v>0</v>
      </c>
      <c r="HO237" s="26">
        <v>0</v>
      </c>
      <c r="HP237" s="26">
        <v>0</v>
      </c>
      <c r="HQ237" s="26">
        <v>0</v>
      </c>
      <c r="HR237" s="26">
        <v>0</v>
      </c>
      <c r="HS237" s="26">
        <v>0</v>
      </c>
      <c r="HT237" s="26">
        <v>1.2065692207636649E-3</v>
      </c>
    </row>
    <row r="238" spans="2:228" x14ac:dyDescent="0.2">
      <c r="B238" s="27" t="s">
        <v>3025</v>
      </c>
      <c r="C238" s="26">
        <v>81274.823699999994</v>
      </c>
      <c r="D238" s="26">
        <v>-291.42042099999998</v>
      </c>
      <c r="E238" s="26">
        <v>76312.288499999995</v>
      </c>
      <c r="F238" s="26">
        <v>9.6877905299999997E-2</v>
      </c>
      <c r="G238" s="26">
        <v>0.27390152000000001</v>
      </c>
      <c r="H238" s="26">
        <v>0.60126281400000003</v>
      </c>
      <c r="I238" s="26">
        <v>0.252278104</v>
      </c>
      <c r="J238" s="26">
        <v>0.55802017699999995</v>
      </c>
      <c r="K238" s="26">
        <v>0.11563747200000002</v>
      </c>
      <c r="L238" s="26">
        <v>0.173978348</v>
      </c>
      <c r="M238" s="26">
        <v>0</v>
      </c>
      <c r="N238" s="26">
        <v>0.59544606899999997</v>
      </c>
      <c r="O238" s="26">
        <v>1.5026919699999999E-2</v>
      </c>
      <c r="P238" s="26">
        <v>6.3050012500000001E-3</v>
      </c>
      <c r="Q238" s="26">
        <v>0.20522642699999999</v>
      </c>
      <c r="R238" s="26">
        <v>0.20162037699999999</v>
      </c>
      <c r="S238" s="26">
        <v>6.4152214699999996</v>
      </c>
      <c r="T238" s="26">
        <v>55.762647999999999</v>
      </c>
      <c r="U238" s="26">
        <v>0.19433299100000001</v>
      </c>
      <c r="V238" s="26">
        <v>0.25396105699999999</v>
      </c>
      <c r="W238" s="26">
        <v>3.1761682200000002E-2</v>
      </c>
      <c r="X238" s="26">
        <v>0.89018904700000001</v>
      </c>
      <c r="Y238" s="26">
        <v>0.39670935299999999</v>
      </c>
      <c r="Z238" s="26">
        <v>9.1625745300000005E-2</v>
      </c>
      <c r="AA238" s="26">
        <v>0.24052019899999996</v>
      </c>
      <c r="AB238" s="26">
        <v>2.7942214500000002</v>
      </c>
      <c r="AC238" s="26">
        <v>6.3604094799999997E-2</v>
      </c>
      <c r="AD238" s="26">
        <v>0</v>
      </c>
      <c r="AE238" s="26">
        <v>16.442953299999999</v>
      </c>
      <c r="AF238" s="26">
        <v>115.895771</v>
      </c>
      <c r="AG238" s="26">
        <v>0</v>
      </c>
      <c r="AH238" s="26">
        <v>4712.2235300000002</v>
      </c>
      <c r="AI238" s="26">
        <v>0</v>
      </c>
      <c r="AJ238" s="26">
        <v>0</v>
      </c>
      <c r="AK238" s="26">
        <v>0</v>
      </c>
      <c r="AL238" s="26">
        <v>0</v>
      </c>
      <c r="AM238" s="26">
        <v>0.39285781600000003</v>
      </c>
      <c r="AN238" s="26">
        <v>0.19058539999999999</v>
      </c>
      <c r="AO238" s="26">
        <v>0.21230884999999999</v>
      </c>
      <c r="AP238" s="26">
        <v>0</v>
      </c>
      <c r="AQ238" s="26">
        <v>5.1971910899999996</v>
      </c>
      <c r="AR238" s="26">
        <v>0</v>
      </c>
      <c r="AS238" s="26">
        <v>3.2670370200000001</v>
      </c>
      <c r="AT238" s="26">
        <v>1.49930392E-5</v>
      </c>
      <c r="AU238" s="26">
        <v>38.379406699999997</v>
      </c>
      <c r="AV238" s="26">
        <v>0.10314248600000001</v>
      </c>
      <c r="AW238" s="26">
        <v>0</v>
      </c>
      <c r="AX238" s="26">
        <v>0</v>
      </c>
      <c r="AY238" s="26">
        <v>0</v>
      </c>
      <c r="AZ238" s="26">
        <v>0</v>
      </c>
      <c r="BA238" s="26">
        <v>0</v>
      </c>
      <c r="BB238" s="26">
        <v>0</v>
      </c>
      <c r="BC238" s="26">
        <v>0</v>
      </c>
      <c r="BD238" s="26">
        <v>0</v>
      </c>
      <c r="BE238" s="26">
        <v>0</v>
      </c>
      <c r="BF238" s="26">
        <v>0</v>
      </c>
      <c r="BG238" s="26">
        <v>0</v>
      </c>
      <c r="BH238" s="26">
        <v>0</v>
      </c>
      <c r="BI238" s="26">
        <v>0</v>
      </c>
      <c r="BJ238" s="26">
        <v>0</v>
      </c>
      <c r="BK238" s="26">
        <v>0</v>
      </c>
      <c r="BL238" s="26">
        <v>0</v>
      </c>
      <c r="BM238" s="26">
        <v>0</v>
      </c>
      <c r="BN238" s="26">
        <v>0</v>
      </c>
      <c r="BO238" s="26">
        <v>4294.4451600000002</v>
      </c>
      <c r="BP238" s="26">
        <v>81274.823699999994</v>
      </c>
      <c r="BQ238" s="26">
        <v>1525.0052900000001</v>
      </c>
      <c r="BR238" s="26">
        <v>86.413019500000019</v>
      </c>
      <c r="BS238" s="26">
        <v>1</v>
      </c>
      <c r="BT238" s="26">
        <v>0</v>
      </c>
      <c r="BU238" s="26">
        <v>1</v>
      </c>
      <c r="BV238" s="26">
        <v>0</v>
      </c>
      <c r="BW238" s="26">
        <v>-67859.853499999997</v>
      </c>
      <c r="BX238" s="26">
        <v>-3585.6173699999999</v>
      </c>
      <c r="BY238" s="26">
        <v>-291.42042099999998</v>
      </c>
      <c r="BZ238" s="26">
        <v>-36.257795299999998</v>
      </c>
      <c r="CA238" s="26">
        <v>-1.9158099200000001</v>
      </c>
      <c r="CB238" s="26">
        <v>4.69336635E-2</v>
      </c>
      <c r="CC238" s="26">
        <v>0.88824634800000002</v>
      </c>
      <c r="CD238" s="26">
        <v>18.9255703</v>
      </c>
      <c r="CE238" s="26">
        <v>0</v>
      </c>
      <c r="CF238" s="26">
        <v>0</v>
      </c>
      <c r="CG238" s="26">
        <v>0</v>
      </c>
      <c r="CH238" s="26">
        <v>0</v>
      </c>
      <c r="CI238" s="26">
        <v>0</v>
      </c>
      <c r="CJ238" s="26">
        <v>0</v>
      </c>
      <c r="CK238" s="26">
        <v>0</v>
      </c>
      <c r="CL238" s="26">
        <v>0</v>
      </c>
      <c r="CM238" s="26">
        <v>0</v>
      </c>
      <c r="CN238" s="26">
        <v>0</v>
      </c>
      <c r="CO238" s="26">
        <v>0</v>
      </c>
      <c r="CP238" s="26">
        <v>0</v>
      </c>
      <c r="CQ238" s="26">
        <v>0</v>
      </c>
      <c r="CR238" s="26">
        <v>0</v>
      </c>
      <c r="CS238" s="26">
        <v>0</v>
      </c>
      <c r="CT238" s="26">
        <v>0</v>
      </c>
      <c r="CU238" s="26">
        <v>0</v>
      </c>
      <c r="CV238" s="26">
        <v>0</v>
      </c>
      <c r="CW238" s="26">
        <v>0</v>
      </c>
      <c r="CX238" s="26">
        <v>0</v>
      </c>
      <c r="CY238" s="26">
        <v>0</v>
      </c>
      <c r="CZ238" s="26">
        <v>0</v>
      </c>
      <c r="DA238" s="26">
        <v>0</v>
      </c>
      <c r="DB238" s="26">
        <v>0</v>
      </c>
      <c r="DC238" s="26">
        <v>0</v>
      </c>
      <c r="DD238" s="26">
        <v>0</v>
      </c>
      <c r="DE238" s="26">
        <v>0</v>
      </c>
      <c r="DF238" s="26">
        <v>0</v>
      </c>
      <c r="DG238" s="26">
        <v>0</v>
      </c>
      <c r="DH238" s="26">
        <v>0</v>
      </c>
      <c r="DI238" s="26">
        <v>0</v>
      </c>
      <c r="DJ238" s="26">
        <v>0</v>
      </c>
      <c r="DK238" s="26">
        <v>0</v>
      </c>
      <c r="DL238" s="26">
        <v>0</v>
      </c>
      <c r="DM238" s="26">
        <v>0</v>
      </c>
      <c r="DN238" s="26">
        <v>0</v>
      </c>
      <c r="DO238" s="26">
        <v>0</v>
      </c>
      <c r="DP238" s="26">
        <v>0</v>
      </c>
      <c r="DQ238" s="26">
        <v>0</v>
      </c>
      <c r="DR238" s="26">
        <v>0</v>
      </c>
      <c r="DS238" s="26">
        <v>0</v>
      </c>
      <c r="DT238" s="26">
        <v>0</v>
      </c>
      <c r="DU238" s="26">
        <v>0</v>
      </c>
      <c r="DV238" s="26">
        <v>0</v>
      </c>
      <c r="DW238" s="26">
        <v>0</v>
      </c>
      <c r="DX238" s="26">
        <v>0</v>
      </c>
      <c r="DY238" s="26">
        <v>0</v>
      </c>
      <c r="DZ238" s="26">
        <v>0</v>
      </c>
      <c r="EA238" s="26">
        <v>0</v>
      </c>
      <c r="EB238" s="26">
        <v>0</v>
      </c>
      <c r="EC238" s="26">
        <v>0</v>
      </c>
      <c r="ED238" s="26">
        <v>0</v>
      </c>
      <c r="EE238" s="26">
        <v>0</v>
      </c>
      <c r="EF238" s="26">
        <v>0</v>
      </c>
      <c r="EG238" s="26">
        <v>0</v>
      </c>
      <c r="EH238" s="26">
        <v>0</v>
      </c>
      <c r="EI238" s="26">
        <v>0</v>
      </c>
      <c r="EJ238" s="26">
        <v>0</v>
      </c>
      <c r="EK238" s="26">
        <v>0</v>
      </c>
      <c r="EL238" s="26">
        <v>0</v>
      </c>
      <c r="EM238" s="26">
        <v>0</v>
      </c>
      <c r="EN238" s="26">
        <v>0</v>
      </c>
      <c r="EO238" s="26">
        <v>0</v>
      </c>
      <c r="EP238" s="26">
        <v>0</v>
      </c>
      <c r="EQ238" s="26">
        <v>0</v>
      </c>
      <c r="ER238" s="26">
        <v>0</v>
      </c>
      <c r="ES238" s="26">
        <v>0</v>
      </c>
      <c r="ET238" s="26">
        <v>1</v>
      </c>
      <c r="EU238" s="26">
        <v>0</v>
      </c>
      <c r="EV238" s="26">
        <v>0</v>
      </c>
      <c r="EW238" s="26">
        <v>0</v>
      </c>
      <c r="EX238" s="26">
        <v>0</v>
      </c>
      <c r="EY238" s="26">
        <v>0</v>
      </c>
      <c r="EZ238" s="26">
        <v>0</v>
      </c>
      <c r="FA238" s="26">
        <v>0</v>
      </c>
      <c r="FB238" s="26">
        <v>0</v>
      </c>
      <c r="FC238" s="26">
        <v>0</v>
      </c>
      <c r="FD238" s="26">
        <v>0</v>
      </c>
      <c r="FE238" s="26">
        <v>0</v>
      </c>
      <c r="FF238" s="26">
        <v>0</v>
      </c>
      <c r="FG238" s="26">
        <v>2.45397971E-3</v>
      </c>
      <c r="FH238" s="26">
        <v>-344313066.361</v>
      </c>
      <c r="FI238" s="26">
        <v>1.0714959863497456E-3</v>
      </c>
      <c r="FJ238" s="26">
        <v>0</v>
      </c>
      <c r="FK238" s="26">
        <v>0</v>
      </c>
      <c r="FL238" s="26">
        <v>0</v>
      </c>
      <c r="FM238" s="26">
        <v>0</v>
      </c>
      <c r="FN238" s="26">
        <v>0</v>
      </c>
      <c r="FO238" s="26">
        <v>0</v>
      </c>
      <c r="FP238" s="26">
        <v>0</v>
      </c>
      <c r="FQ238" s="26">
        <v>0</v>
      </c>
      <c r="FR238" s="26">
        <v>0</v>
      </c>
      <c r="FS238" s="26">
        <v>0</v>
      </c>
      <c r="FT238" s="26">
        <v>0</v>
      </c>
      <c r="FU238" s="26">
        <v>0</v>
      </c>
      <c r="FV238" s="26">
        <v>0</v>
      </c>
      <c r="FW238" s="26">
        <v>0</v>
      </c>
      <c r="FX238" s="26">
        <v>0</v>
      </c>
      <c r="FY238" s="26">
        <v>0</v>
      </c>
      <c r="FZ238" s="26">
        <v>0</v>
      </c>
      <c r="GA238" s="26">
        <v>0</v>
      </c>
      <c r="GB238" s="26">
        <v>0</v>
      </c>
      <c r="GC238" s="26">
        <v>0</v>
      </c>
      <c r="GD238" s="26">
        <v>0</v>
      </c>
      <c r="GE238" s="26">
        <v>0</v>
      </c>
      <c r="GF238" s="26">
        <v>0</v>
      </c>
      <c r="GG238" s="26">
        <v>0</v>
      </c>
      <c r="GH238" s="26">
        <v>0</v>
      </c>
      <c r="GI238" s="26">
        <v>0</v>
      </c>
      <c r="GJ238" s="26">
        <v>0</v>
      </c>
      <c r="GK238" s="26">
        <v>0</v>
      </c>
      <c r="GL238" s="26">
        <v>0</v>
      </c>
      <c r="GM238" s="26">
        <v>0</v>
      </c>
      <c r="GN238" s="26">
        <v>0</v>
      </c>
      <c r="GO238" s="26">
        <v>0</v>
      </c>
      <c r="GP238" s="26">
        <v>0</v>
      </c>
      <c r="GQ238" s="26">
        <v>0</v>
      </c>
      <c r="GR238" s="26">
        <v>0</v>
      </c>
      <c r="GS238" s="26">
        <v>0</v>
      </c>
      <c r="GT238" s="26">
        <v>0</v>
      </c>
      <c r="GU238" s="26">
        <v>0</v>
      </c>
      <c r="GV238" s="26">
        <v>0</v>
      </c>
      <c r="GW238" s="26">
        <v>0</v>
      </c>
      <c r="GX238" s="26">
        <v>0</v>
      </c>
      <c r="GY238" s="26">
        <v>0</v>
      </c>
      <c r="GZ238" s="26">
        <v>0</v>
      </c>
      <c r="HA238" s="26">
        <v>0</v>
      </c>
      <c r="HB238" s="26">
        <v>0</v>
      </c>
      <c r="HC238" s="26">
        <v>0</v>
      </c>
      <c r="HD238" s="26">
        <v>0</v>
      </c>
      <c r="HE238" s="26">
        <v>0</v>
      </c>
      <c r="HF238" s="26">
        <v>0</v>
      </c>
      <c r="HG238" s="26">
        <v>0</v>
      </c>
      <c r="HH238" s="26">
        <v>0</v>
      </c>
      <c r="HI238" s="26">
        <v>0</v>
      </c>
      <c r="HJ238" s="26">
        <v>0</v>
      </c>
      <c r="HK238" s="26">
        <v>0</v>
      </c>
      <c r="HL238" s="26">
        <v>0</v>
      </c>
      <c r="HM238" s="26">
        <v>0</v>
      </c>
      <c r="HN238" s="26">
        <v>0</v>
      </c>
      <c r="HO238" s="26">
        <v>0</v>
      </c>
      <c r="HP238" s="26">
        <v>0</v>
      </c>
      <c r="HQ238" s="26">
        <v>0</v>
      </c>
      <c r="HR238" s="26">
        <v>0</v>
      </c>
      <c r="HS238" s="26">
        <v>0</v>
      </c>
      <c r="HT238" s="26">
        <v>0</v>
      </c>
    </row>
    <row r="239" spans="2:228" x14ac:dyDescent="0.2">
      <c r="B239" s="27" t="s">
        <v>3350</v>
      </c>
      <c r="C239" s="26">
        <v>2263392.44</v>
      </c>
      <c r="D239" s="26">
        <v>-8440.9602500000001</v>
      </c>
      <c r="E239" s="26">
        <v>2211788.66</v>
      </c>
      <c r="F239" s="26">
        <v>0.56233</v>
      </c>
      <c r="G239" s="26">
        <v>1.5875198399999999</v>
      </c>
      <c r="H239" s="26">
        <v>3.4848899200000001</v>
      </c>
      <c r="I239" s="26">
        <v>1.46219158</v>
      </c>
      <c r="J239" s="26">
        <v>3.2342577100000001</v>
      </c>
      <c r="K239" s="26">
        <v>0.67022914099999997</v>
      </c>
      <c r="L239" s="26">
        <v>1.0083700099999999</v>
      </c>
      <c r="M239" s="26">
        <v>0</v>
      </c>
      <c r="N239" s="26">
        <v>3.4511763499999999</v>
      </c>
      <c r="O239" s="26">
        <v>8.7095292899999996E-2</v>
      </c>
      <c r="P239" s="26">
        <v>3.6543479500000003E-2</v>
      </c>
      <c r="Q239" s="26">
        <v>1.18948236</v>
      </c>
      <c r="R239" s="26">
        <v>1.1685818699999999</v>
      </c>
      <c r="S239" s="26">
        <v>37.1823105</v>
      </c>
      <c r="T239" s="26">
        <v>323.19759699999997</v>
      </c>
      <c r="U239" s="26">
        <v>1.1263461299999999</v>
      </c>
      <c r="V239" s="26">
        <v>1.47310914</v>
      </c>
      <c r="W239" s="26">
        <v>0.184102193</v>
      </c>
      <c r="X239" s="26">
        <v>5.1594940300000003</v>
      </c>
      <c r="Y239" s="26">
        <v>2.29930805</v>
      </c>
      <c r="Z239" s="26">
        <v>0.53105835199999996</v>
      </c>
      <c r="AA239" s="26">
        <v>1.3940433400000001</v>
      </c>
      <c r="AB239" s="26">
        <v>16.2299036</v>
      </c>
      <c r="AC239" s="26">
        <v>0.36864623099999999</v>
      </c>
      <c r="AD239" s="26">
        <v>0</v>
      </c>
      <c r="AE239" s="26">
        <v>95.302554599999993</v>
      </c>
      <c r="AF239" s="26">
        <v>671.72623199999998</v>
      </c>
      <c r="AG239" s="26">
        <v>0</v>
      </c>
      <c r="AH239" s="26">
        <v>27311.837299999999</v>
      </c>
      <c r="AI239" s="26">
        <v>0</v>
      </c>
      <c r="AJ239" s="26">
        <v>0</v>
      </c>
      <c r="AK239" s="26">
        <v>0</v>
      </c>
      <c r="AL239" s="26">
        <v>0</v>
      </c>
      <c r="AM239" s="26">
        <v>2.2769847300000001</v>
      </c>
      <c r="AN239" s="26">
        <v>16.330140100000001</v>
      </c>
      <c r="AO239" s="26">
        <v>31.526955900000001</v>
      </c>
      <c r="AP239" s="26">
        <v>0</v>
      </c>
      <c r="AQ239" s="26">
        <v>30.201927399999999</v>
      </c>
      <c r="AR239" s="26">
        <v>0</v>
      </c>
      <c r="AS239" s="26">
        <v>37.454817599999998</v>
      </c>
      <c r="AT239" s="26">
        <v>1.3257030700000001E-3</v>
      </c>
      <c r="AU239" s="26">
        <v>225.65706399999996</v>
      </c>
      <c r="AV239" s="26">
        <v>0.60042413699999997</v>
      </c>
      <c r="AW239" s="26">
        <v>0</v>
      </c>
      <c r="AX239" s="26">
        <v>0</v>
      </c>
      <c r="AY239" s="26">
        <v>0</v>
      </c>
      <c r="AZ239" s="26">
        <v>0</v>
      </c>
      <c r="BA239" s="26">
        <v>0</v>
      </c>
      <c r="BB239" s="26">
        <v>0</v>
      </c>
      <c r="BC239" s="26">
        <v>0</v>
      </c>
      <c r="BD239" s="26">
        <v>0</v>
      </c>
      <c r="BE239" s="26">
        <v>0</v>
      </c>
      <c r="BF239" s="26">
        <v>0</v>
      </c>
      <c r="BG239" s="26">
        <v>0</v>
      </c>
      <c r="BH239" s="26">
        <v>0</v>
      </c>
      <c r="BI239" s="26">
        <v>0</v>
      </c>
      <c r="BJ239" s="26">
        <v>0</v>
      </c>
      <c r="BK239" s="26">
        <v>0</v>
      </c>
      <c r="BL239" s="26">
        <v>0</v>
      </c>
      <c r="BM239" s="26">
        <v>0</v>
      </c>
      <c r="BN239" s="26">
        <v>0</v>
      </c>
      <c r="BO239" s="26">
        <v>123113.88999999998</v>
      </c>
      <c r="BP239" s="26">
        <v>2240618.67</v>
      </c>
      <c r="BQ239" s="26">
        <v>37985.7526</v>
      </c>
      <c r="BR239" s="26">
        <v>25.138527099999976</v>
      </c>
      <c r="BS239" s="26">
        <v>2</v>
      </c>
      <c r="BT239" s="26">
        <v>0</v>
      </c>
      <c r="BU239" s="26">
        <v>1</v>
      </c>
      <c r="BV239" s="26">
        <v>0</v>
      </c>
      <c r="BW239" s="26">
        <v>-68372.076400000005</v>
      </c>
      <c r="BX239" s="26">
        <v>-3756.7982499999998</v>
      </c>
      <c r="BY239" s="26">
        <v>-8417.5523499999999</v>
      </c>
      <c r="BZ239" s="26">
        <v>-38.967992500000001</v>
      </c>
      <c r="CA239" s="26">
        <v>-2.1411502200000001</v>
      </c>
      <c r="CB239" s="26">
        <v>5.4017572299999997E-2</v>
      </c>
      <c r="CC239" s="26">
        <v>0.98309606599999999</v>
      </c>
      <c r="CD239" s="26">
        <v>18.199560300000002</v>
      </c>
      <c r="CE239" s="26">
        <v>0</v>
      </c>
      <c r="CF239" s="26">
        <v>0</v>
      </c>
      <c r="CG239" s="26">
        <v>0</v>
      </c>
      <c r="CH239" s="26">
        <v>0</v>
      </c>
      <c r="CI239" s="26">
        <v>0</v>
      </c>
      <c r="CJ239" s="26">
        <v>0</v>
      </c>
      <c r="CK239" s="26">
        <v>0</v>
      </c>
      <c r="CL239" s="26">
        <v>0</v>
      </c>
      <c r="CM239" s="26">
        <v>0</v>
      </c>
      <c r="CN239" s="26">
        <v>0</v>
      </c>
      <c r="CO239" s="26">
        <v>0</v>
      </c>
      <c r="CP239" s="26">
        <v>0</v>
      </c>
      <c r="CQ239" s="26">
        <v>0</v>
      </c>
      <c r="CR239" s="26">
        <v>0</v>
      </c>
      <c r="CS239" s="26">
        <v>0</v>
      </c>
      <c r="CT239" s="26">
        <v>0</v>
      </c>
      <c r="CU239" s="26">
        <v>0</v>
      </c>
      <c r="CV239" s="26">
        <v>0</v>
      </c>
      <c r="CW239" s="26">
        <v>0</v>
      </c>
      <c r="CX239" s="26">
        <v>0</v>
      </c>
      <c r="CY239" s="26">
        <v>0</v>
      </c>
      <c r="CZ239" s="26">
        <v>0</v>
      </c>
      <c r="DA239" s="26">
        <v>0</v>
      </c>
      <c r="DB239" s="26">
        <v>0</v>
      </c>
      <c r="DC239" s="26">
        <v>0</v>
      </c>
      <c r="DD239" s="26">
        <v>0</v>
      </c>
      <c r="DE239" s="26">
        <v>0</v>
      </c>
      <c r="DF239" s="26">
        <v>0</v>
      </c>
      <c r="DG239" s="26">
        <v>0</v>
      </c>
      <c r="DH239" s="26">
        <v>0</v>
      </c>
      <c r="DI239" s="26">
        <v>0</v>
      </c>
      <c r="DJ239" s="26">
        <v>0</v>
      </c>
      <c r="DK239" s="26">
        <v>0</v>
      </c>
      <c r="DL239" s="26">
        <v>0</v>
      </c>
      <c r="DM239" s="26">
        <v>0</v>
      </c>
      <c r="DN239" s="26">
        <v>0</v>
      </c>
      <c r="DO239" s="26">
        <v>0</v>
      </c>
      <c r="DP239" s="26">
        <v>0</v>
      </c>
      <c r="DQ239" s="26">
        <v>0</v>
      </c>
      <c r="DR239" s="26">
        <v>0</v>
      </c>
      <c r="DS239" s="26">
        <v>0</v>
      </c>
      <c r="DT239" s="26">
        <v>0</v>
      </c>
      <c r="DU239" s="26">
        <v>0</v>
      </c>
      <c r="DV239" s="26">
        <v>0</v>
      </c>
      <c r="DW239" s="26">
        <v>0</v>
      </c>
      <c r="DX239" s="26">
        <v>193.611019</v>
      </c>
      <c r="DY239" s="26">
        <v>4.7806523199999997</v>
      </c>
      <c r="DZ239" s="26">
        <v>2.0058681100000002</v>
      </c>
      <c r="EA239" s="26">
        <v>65.291006899999999</v>
      </c>
      <c r="EB239" s="26">
        <v>7.9566101600000003</v>
      </c>
      <c r="EC239" s="26">
        <v>1925.11906</v>
      </c>
      <c r="ED239" s="26">
        <v>0</v>
      </c>
      <c r="EE239" s="26">
        <v>0.69917998599999998</v>
      </c>
      <c r="EF239" s="26">
        <v>633.905754</v>
      </c>
      <c r="EG239" s="26">
        <v>80.368157600000004</v>
      </c>
      <c r="EH239" s="26">
        <v>8.9298081699999994</v>
      </c>
      <c r="EI239" s="26">
        <v>129.00556599999999</v>
      </c>
      <c r="EJ239" s="26">
        <v>16.635585899999999</v>
      </c>
      <c r="EK239" s="26">
        <v>19632.463100000001</v>
      </c>
      <c r="EL239" s="26">
        <v>73.006231499999998</v>
      </c>
      <c r="EM239" s="26">
        <v>0</v>
      </c>
      <c r="EN239" s="26">
        <v>0</v>
      </c>
      <c r="EO239" s="26">
        <v>0</v>
      </c>
      <c r="EP239" s="26">
        <v>880.76243899999997</v>
      </c>
      <c r="EQ239" s="26">
        <v>22773.777600000001</v>
      </c>
      <c r="ER239" s="26">
        <v>256.31509399999999</v>
      </c>
      <c r="ES239" s="26">
        <v>25.138527099999976</v>
      </c>
      <c r="ET239" s="26">
        <v>2</v>
      </c>
      <c r="EU239" s="26">
        <v>0</v>
      </c>
      <c r="EV239" s="26">
        <v>0</v>
      </c>
      <c r="EW239" s="26">
        <v>1</v>
      </c>
      <c r="EX239" s="26">
        <v>-26576.861700000001</v>
      </c>
      <c r="EY239" s="26">
        <v>-1027.84448</v>
      </c>
      <c r="EZ239" s="26">
        <v>-23.4079017</v>
      </c>
      <c r="FA239" s="26">
        <v>-82.465361299999998</v>
      </c>
      <c r="FB239" s="26">
        <v>-3.1892992900000001</v>
      </c>
      <c r="FC239" s="26">
        <v>5.7270812999999997E-2</v>
      </c>
      <c r="FD239" s="26">
        <v>1.4808451199999999</v>
      </c>
      <c r="FE239" s="26">
        <v>25.856890100000001</v>
      </c>
      <c r="FF239" s="26">
        <v>0</v>
      </c>
      <c r="FG239" s="26">
        <v>1.48693961E-2</v>
      </c>
      <c r="FH239" s="26">
        <v>-9817165178.6900005</v>
      </c>
      <c r="FI239" s="26">
        <v>6.3272753283959808E-3</v>
      </c>
      <c r="FJ239" s="26">
        <v>0</v>
      </c>
      <c r="FK239" s="26">
        <v>0</v>
      </c>
      <c r="FL239" s="26">
        <v>0</v>
      </c>
      <c r="FM239" s="26">
        <v>0</v>
      </c>
      <c r="FN239" s="26">
        <v>0</v>
      </c>
      <c r="FO239" s="26">
        <v>0</v>
      </c>
      <c r="FP239" s="26">
        <v>0</v>
      </c>
      <c r="FQ239" s="26">
        <v>0</v>
      </c>
      <c r="FR239" s="26">
        <v>0</v>
      </c>
      <c r="FS239" s="26">
        <v>0</v>
      </c>
      <c r="FT239" s="26">
        <v>0</v>
      </c>
      <c r="FU239" s="26">
        <v>0</v>
      </c>
      <c r="FV239" s="26">
        <v>0</v>
      </c>
      <c r="FW239" s="26">
        <v>0</v>
      </c>
      <c r="FX239" s="26">
        <v>0</v>
      </c>
      <c r="FY239" s="26">
        <v>0</v>
      </c>
      <c r="FZ239" s="26">
        <v>0</v>
      </c>
      <c r="GA239" s="26">
        <v>0</v>
      </c>
      <c r="GB239" s="26">
        <v>0</v>
      </c>
      <c r="GC239" s="26">
        <v>0</v>
      </c>
      <c r="GD239" s="26">
        <v>0</v>
      </c>
      <c r="GE239" s="26">
        <v>0</v>
      </c>
      <c r="GF239" s="26">
        <v>0</v>
      </c>
      <c r="GG239" s="26">
        <v>0</v>
      </c>
      <c r="GH239" s="26">
        <v>0</v>
      </c>
      <c r="GI239" s="26">
        <v>0</v>
      </c>
      <c r="GJ239" s="26">
        <v>0</v>
      </c>
      <c r="GK239" s="26">
        <v>0</v>
      </c>
      <c r="GL239" s="26">
        <v>0</v>
      </c>
      <c r="GM239" s="26">
        <v>0</v>
      </c>
      <c r="GN239" s="26">
        <v>0</v>
      </c>
      <c r="GO239" s="26">
        <v>0</v>
      </c>
      <c r="GP239" s="26">
        <v>0</v>
      </c>
      <c r="GQ239" s="26">
        <v>0</v>
      </c>
      <c r="GR239" s="26">
        <v>0</v>
      </c>
      <c r="GS239" s="26">
        <v>0</v>
      </c>
      <c r="GT239" s="26">
        <v>0</v>
      </c>
      <c r="GU239" s="26">
        <v>0</v>
      </c>
      <c r="GV239" s="26">
        <v>0</v>
      </c>
      <c r="GW239" s="26">
        <v>0</v>
      </c>
      <c r="GX239" s="26">
        <v>0</v>
      </c>
      <c r="GY239" s="26">
        <v>0</v>
      </c>
      <c r="GZ239" s="26">
        <v>0</v>
      </c>
      <c r="HA239" s="26">
        <v>0</v>
      </c>
      <c r="HB239" s="26">
        <v>0</v>
      </c>
      <c r="HC239" s="26">
        <v>0</v>
      </c>
      <c r="HD239" s="26">
        <v>0</v>
      </c>
      <c r="HE239" s="26">
        <v>0</v>
      </c>
      <c r="HF239" s="26">
        <v>0</v>
      </c>
      <c r="HG239" s="26">
        <v>0</v>
      </c>
      <c r="HH239" s="26">
        <v>0</v>
      </c>
      <c r="HI239" s="26">
        <v>0</v>
      </c>
      <c r="HJ239" s="26">
        <v>0</v>
      </c>
      <c r="HK239" s="26">
        <v>0</v>
      </c>
      <c r="HL239" s="26">
        <v>0</v>
      </c>
      <c r="HM239" s="26">
        <v>0</v>
      </c>
      <c r="HN239" s="26">
        <v>0</v>
      </c>
      <c r="HO239" s="26">
        <v>0</v>
      </c>
      <c r="HP239" s="26">
        <v>0</v>
      </c>
      <c r="HQ239" s="26">
        <v>0</v>
      </c>
      <c r="HR239" s="26">
        <v>0</v>
      </c>
      <c r="HS239" s="26">
        <v>0</v>
      </c>
      <c r="HT239" s="26">
        <v>0.26899176326304525</v>
      </c>
    </row>
    <row r="240" spans="2:228" x14ac:dyDescent="0.2">
      <c r="B240" s="27" t="s">
        <v>1416</v>
      </c>
      <c r="C240" s="26">
        <v>33673.542000000001</v>
      </c>
      <c r="D240" s="26">
        <v>-123.83755600000002</v>
      </c>
      <c r="E240" s="26">
        <v>33273.665300000001</v>
      </c>
      <c r="F240" s="26">
        <v>12.5423323</v>
      </c>
      <c r="G240" s="26">
        <v>1.03377985E-4</v>
      </c>
      <c r="H240" s="26">
        <v>3.46953888E-5</v>
      </c>
      <c r="I240" s="26">
        <v>1.4557505800000002E-5</v>
      </c>
      <c r="J240" s="26">
        <v>7.7316213700000013E-3</v>
      </c>
      <c r="K240" s="26">
        <v>9.4220476199999986E-4</v>
      </c>
      <c r="L240" s="26">
        <v>0</v>
      </c>
      <c r="M240" s="26">
        <v>0</v>
      </c>
      <c r="N240" s="26">
        <v>2.4779725299999999E-6</v>
      </c>
      <c r="O240" s="26">
        <v>8.0878753699999999E-7</v>
      </c>
      <c r="P240" s="26">
        <v>3.3935141400000003E-7</v>
      </c>
      <c r="Q240" s="26">
        <v>1.8143607999999999E-4</v>
      </c>
      <c r="R240" s="26">
        <v>2.2110490099999999E-5</v>
      </c>
      <c r="S240" s="26">
        <v>3.5548886100000002E-4</v>
      </c>
      <c r="T240" s="26">
        <v>9.14244689E-2</v>
      </c>
      <c r="U240" s="26">
        <v>1.0530895199999999</v>
      </c>
      <c r="V240" s="26">
        <v>327.77597600000001</v>
      </c>
      <c r="W240" s="26">
        <v>58.335082300000003</v>
      </c>
      <c r="X240" s="26">
        <v>1.34664735E-3</v>
      </c>
      <c r="Y240" s="26">
        <v>0</v>
      </c>
      <c r="Z240" s="26">
        <v>1.12365955E-7</v>
      </c>
      <c r="AA240" s="26">
        <v>4.4536799599999999E-8</v>
      </c>
      <c r="AB240" s="26">
        <v>1.27096445E-8</v>
      </c>
      <c r="AC240" s="26">
        <v>6.8071378000000002E-2</v>
      </c>
      <c r="AD240" s="26">
        <v>0</v>
      </c>
      <c r="AE240" s="26">
        <v>0</v>
      </c>
      <c r="AF240" s="26">
        <v>0</v>
      </c>
      <c r="AG240" s="26">
        <v>0</v>
      </c>
      <c r="AH240" s="26">
        <v>0</v>
      </c>
      <c r="AI240" s="26">
        <v>0</v>
      </c>
      <c r="AJ240" s="26">
        <v>0</v>
      </c>
      <c r="AK240" s="26">
        <v>0</v>
      </c>
      <c r="AL240" s="26">
        <v>0</v>
      </c>
      <c r="AM240" s="26">
        <v>0</v>
      </c>
      <c r="AN240" s="26">
        <v>0</v>
      </c>
      <c r="AO240" s="26">
        <v>0</v>
      </c>
      <c r="AP240" s="26">
        <v>0</v>
      </c>
      <c r="AQ240" s="26">
        <v>0</v>
      </c>
      <c r="AR240" s="26">
        <v>0</v>
      </c>
      <c r="AS240" s="26">
        <v>0</v>
      </c>
      <c r="AT240" s="26">
        <v>0</v>
      </c>
      <c r="AU240" s="26">
        <v>0</v>
      </c>
      <c r="AV240" s="26">
        <v>0</v>
      </c>
      <c r="AW240" s="26">
        <v>0</v>
      </c>
      <c r="AX240" s="26">
        <v>0</v>
      </c>
      <c r="AY240" s="26">
        <v>0</v>
      </c>
      <c r="AZ240" s="26">
        <v>0</v>
      </c>
      <c r="BA240" s="26">
        <v>0</v>
      </c>
      <c r="BB240" s="26">
        <v>0</v>
      </c>
      <c r="BC240" s="26">
        <v>0</v>
      </c>
      <c r="BD240" s="26">
        <v>0</v>
      </c>
      <c r="BE240" s="26">
        <v>0</v>
      </c>
      <c r="BF240" s="26">
        <v>0</v>
      </c>
      <c r="BG240" s="26">
        <v>0</v>
      </c>
      <c r="BH240" s="26">
        <v>0</v>
      </c>
      <c r="BI240" s="26">
        <v>0</v>
      </c>
      <c r="BJ240" s="26">
        <v>0</v>
      </c>
      <c r="BK240" s="26">
        <v>0</v>
      </c>
      <c r="BL240" s="26">
        <v>0</v>
      </c>
      <c r="BM240" s="26">
        <v>0</v>
      </c>
      <c r="BN240" s="26">
        <v>0</v>
      </c>
      <c r="BO240" s="26">
        <v>1851.6337599999999</v>
      </c>
      <c r="BP240" s="26">
        <v>33673.542000000001</v>
      </c>
      <c r="BQ240" s="26">
        <v>629.525576</v>
      </c>
      <c r="BR240" s="26">
        <v>99.688555599999972</v>
      </c>
      <c r="BS240" s="26">
        <v>1</v>
      </c>
      <c r="BT240" s="26">
        <v>2.0578398099999999E-5</v>
      </c>
      <c r="BU240" s="26">
        <v>0.99997942200000001</v>
      </c>
      <c r="BV240" s="26">
        <v>0</v>
      </c>
      <c r="BW240" s="26">
        <v>-66880.156300000002</v>
      </c>
      <c r="BX240" s="26">
        <v>-3677.5921899999998</v>
      </c>
      <c r="BY240" s="26">
        <v>-123.83755600000002</v>
      </c>
      <c r="BZ240" s="26">
        <v>-34.943691000000001</v>
      </c>
      <c r="CA240" s="26">
        <v>-1.9214764499999999</v>
      </c>
      <c r="CB240" s="26">
        <v>4.9021935599999997E-2</v>
      </c>
      <c r="CC240" s="26">
        <v>0.89150578700000005</v>
      </c>
      <c r="CD240" s="26">
        <v>18.185854500000001</v>
      </c>
      <c r="CE240" s="26">
        <v>561.56847500000003</v>
      </c>
      <c r="CF240" s="26">
        <v>0</v>
      </c>
      <c r="CG240" s="26">
        <v>0</v>
      </c>
      <c r="CH240" s="26">
        <v>0</v>
      </c>
      <c r="CI240" s="26">
        <v>0</v>
      </c>
      <c r="CJ240" s="26">
        <v>0</v>
      </c>
      <c r="CK240" s="26">
        <v>0</v>
      </c>
      <c r="CL240" s="26">
        <v>0</v>
      </c>
      <c r="CM240" s="26">
        <v>0</v>
      </c>
      <c r="CN240" s="26">
        <v>0</v>
      </c>
      <c r="CO240" s="26">
        <v>0</v>
      </c>
      <c r="CP240" s="26">
        <v>0</v>
      </c>
      <c r="CQ240" s="26">
        <v>0</v>
      </c>
      <c r="CR240" s="26">
        <v>0</v>
      </c>
      <c r="CS240" s="26">
        <v>0</v>
      </c>
      <c r="CT240" s="26">
        <v>0</v>
      </c>
      <c r="CU240" s="26">
        <v>0</v>
      </c>
      <c r="CV240" s="26">
        <v>0</v>
      </c>
      <c r="CW240" s="26">
        <v>0</v>
      </c>
      <c r="CX240" s="26">
        <v>0</v>
      </c>
      <c r="CY240" s="26">
        <v>0</v>
      </c>
      <c r="CZ240" s="26">
        <v>0</v>
      </c>
      <c r="DA240" s="26">
        <v>0</v>
      </c>
      <c r="DB240" s="26">
        <v>0</v>
      </c>
      <c r="DC240" s="26">
        <v>0</v>
      </c>
      <c r="DD240" s="26">
        <v>0</v>
      </c>
      <c r="DE240" s="26">
        <v>0</v>
      </c>
      <c r="DF240" s="26">
        <v>0</v>
      </c>
      <c r="DG240" s="26">
        <v>0</v>
      </c>
      <c r="DH240" s="26">
        <v>0</v>
      </c>
      <c r="DI240" s="26">
        <v>0</v>
      </c>
      <c r="DJ240" s="26">
        <v>0</v>
      </c>
      <c r="DK240" s="26">
        <v>0</v>
      </c>
      <c r="DL240" s="26">
        <v>0</v>
      </c>
      <c r="DM240" s="26">
        <v>0</v>
      </c>
      <c r="DN240" s="26">
        <v>0</v>
      </c>
      <c r="DO240" s="26">
        <v>0</v>
      </c>
      <c r="DP240" s="26">
        <v>0</v>
      </c>
      <c r="DQ240" s="26">
        <v>0</v>
      </c>
      <c r="DR240" s="26">
        <v>0</v>
      </c>
      <c r="DS240" s="26">
        <v>0</v>
      </c>
      <c r="DT240" s="26">
        <v>0</v>
      </c>
      <c r="DU240" s="26">
        <v>0</v>
      </c>
      <c r="DV240" s="26">
        <v>0</v>
      </c>
      <c r="DW240" s="26">
        <v>0</v>
      </c>
      <c r="DX240" s="26">
        <v>0</v>
      </c>
      <c r="DY240" s="26">
        <v>0</v>
      </c>
      <c r="DZ240" s="26">
        <v>0</v>
      </c>
      <c r="EA240" s="26">
        <v>0</v>
      </c>
      <c r="EB240" s="26">
        <v>0</v>
      </c>
      <c r="EC240" s="26">
        <v>0</v>
      </c>
      <c r="ED240" s="26">
        <v>0</v>
      </c>
      <c r="EE240" s="26">
        <v>0</v>
      </c>
      <c r="EF240" s="26">
        <v>0</v>
      </c>
      <c r="EG240" s="26">
        <v>0</v>
      </c>
      <c r="EH240" s="26">
        <v>0</v>
      </c>
      <c r="EI240" s="26">
        <v>0</v>
      </c>
      <c r="EJ240" s="26">
        <v>0</v>
      </c>
      <c r="EK240" s="26">
        <v>0</v>
      </c>
      <c r="EL240" s="26">
        <v>0</v>
      </c>
      <c r="EM240" s="26">
        <v>0</v>
      </c>
      <c r="EN240" s="26">
        <v>0</v>
      </c>
      <c r="EO240" s="26">
        <v>0</v>
      </c>
      <c r="EP240" s="26">
        <v>0</v>
      </c>
      <c r="EQ240" s="26">
        <v>0</v>
      </c>
      <c r="ER240" s="26">
        <v>0</v>
      </c>
      <c r="ES240" s="26">
        <v>0</v>
      </c>
      <c r="ET240" s="26">
        <v>1</v>
      </c>
      <c r="EU240" s="26">
        <v>0</v>
      </c>
      <c r="EV240" s="26">
        <v>0</v>
      </c>
      <c r="EW240" s="26">
        <v>0</v>
      </c>
      <c r="EX240" s="26">
        <v>0</v>
      </c>
      <c r="EY240" s="26">
        <v>0</v>
      </c>
      <c r="EZ240" s="26">
        <v>0</v>
      </c>
      <c r="FA240" s="26">
        <v>0</v>
      </c>
      <c r="FB240" s="26">
        <v>0</v>
      </c>
      <c r="FC240" s="26">
        <v>0</v>
      </c>
      <c r="FD240" s="26">
        <v>0</v>
      </c>
      <c r="FE240" s="26">
        <v>0</v>
      </c>
      <c r="FF240" s="26">
        <v>0</v>
      </c>
      <c r="FG240" s="26">
        <v>1.8883988099999999E-2</v>
      </c>
      <c r="FH240" s="26">
        <v>-146887429.16499999</v>
      </c>
      <c r="FI240" s="26">
        <v>5.4441764879978559E-3</v>
      </c>
      <c r="FJ240" s="26">
        <v>1.0435013889035666E-5</v>
      </c>
      <c r="FK240" s="26">
        <v>1.720916085989551E-8</v>
      </c>
      <c r="FL240" s="26">
        <v>5.6620610452964883E-23</v>
      </c>
      <c r="FM240" s="26">
        <v>1.9002828263133737E-23</v>
      </c>
      <c r="FN240" s="26">
        <v>7.9732146471190501E-24</v>
      </c>
      <c r="FO240" s="26">
        <v>1.739108750023981E-19</v>
      </c>
      <c r="FP240" s="26">
        <v>2.1193440141769744E-20</v>
      </c>
      <c r="FQ240" s="26">
        <v>0</v>
      </c>
      <c r="FR240" s="26">
        <v>0</v>
      </c>
      <c r="FS240" s="26">
        <v>1.5079924120639393E-24</v>
      </c>
      <c r="FT240" s="26">
        <v>4.9219490949311489E-25</v>
      </c>
      <c r="FU240" s="26">
        <v>2.0651534720767833E-25</v>
      </c>
      <c r="FV240" s="26">
        <v>4.6376240648787707E-21</v>
      </c>
      <c r="FW240" s="26">
        <v>5.6515848785460128E-22</v>
      </c>
      <c r="FX240" s="26">
        <v>1.9470292794651231E-22</v>
      </c>
      <c r="FY240" s="26">
        <v>1.4259567197409872E-15</v>
      </c>
      <c r="FZ240" s="26">
        <v>7.7049526171951772E-13</v>
      </c>
      <c r="GA240" s="26">
        <v>1.2914007519978726E-7</v>
      </c>
      <c r="GB240" s="26">
        <v>2.9852372738818982E-9</v>
      </c>
      <c r="GC240" s="26">
        <v>3.5327761115955427E-16</v>
      </c>
      <c r="GD240" s="26">
        <v>0</v>
      </c>
      <c r="GE240" s="26">
        <v>7.4198263371363884E-22</v>
      </c>
      <c r="GF240" s="26">
        <v>8.0151362307877569E-23</v>
      </c>
      <c r="GG240" s="26">
        <v>5.878262880359437E-17</v>
      </c>
      <c r="GH240" s="26">
        <v>3.5959612509899122E-16</v>
      </c>
      <c r="GI240" s="26">
        <v>0</v>
      </c>
      <c r="GJ240" s="26">
        <v>0</v>
      </c>
      <c r="GK240" s="26">
        <v>0</v>
      </c>
      <c r="GL240" s="26">
        <v>0</v>
      </c>
      <c r="GM240" s="26">
        <v>0</v>
      </c>
      <c r="GN240" s="26">
        <v>0</v>
      </c>
      <c r="GO240" s="26">
        <v>0</v>
      </c>
      <c r="GP240" s="26">
        <v>0</v>
      </c>
      <c r="GQ240" s="26">
        <v>0</v>
      </c>
      <c r="GR240" s="26">
        <v>0</v>
      </c>
      <c r="GS240" s="26">
        <v>0</v>
      </c>
      <c r="GT240" s="26">
        <v>0</v>
      </c>
      <c r="GU240" s="26">
        <v>0</v>
      </c>
      <c r="GV240" s="26">
        <v>0</v>
      </c>
      <c r="GW240" s="26">
        <v>0</v>
      </c>
      <c r="GX240" s="26">
        <v>0</v>
      </c>
      <c r="GY240" s="26">
        <v>0</v>
      </c>
      <c r="GZ240" s="26">
        <v>0</v>
      </c>
      <c r="HA240" s="26">
        <v>0</v>
      </c>
      <c r="HB240" s="26">
        <v>0</v>
      </c>
      <c r="HC240" s="26">
        <v>0</v>
      </c>
      <c r="HD240" s="26">
        <v>0</v>
      </c>
      <c r="HE240" s="26">
        <v>0</v>
      </c>
      <c r="HF240" s="26">
        <v>0</v>
      </c>
      <c r="HG240" s="26">
        <v>0</v>
      </c>
      <c r="HH240" s="26">
        <v>0</v>
      </c>
      <c r="HI240" s="26">
        <v>0</v>
      </c>
      <c r="HJ240" s="26">
        <v>0</v>
      </c>
      <c r="HK240" s="26">
        <v>0</v>
      </c>
      <c r="HL240" s="26">
        <v>0</v>
      </c>
      <c r="HM240" s="26">
        <v>0</v>
      </c>
      <c r="HN240" s="26">
        <v>0</v>
      </c>
      <c r="HO240" s="26">
        <v>0</v>
      </c>
      <c r="HP240" s="26">
        <v>0</v>
      </c>
      <c r="HQ240" s="26">
        <v>0</v>
      </c>
      <c r="HR240" s="26">
        <v>0</v>
      </c>
      <c r="HS240" s="26">
        <v>0</v>
      </c>
      <c r="HT240" s="26">
        <v>0</v>
      </c>
    </row>
    <row r="241" spans="2:228" x14ac:dyDescent="0.2">
      <c r="B241" s="27" t="s">
        <v>2589</v>
      </c>
      <c r="C241" s="26">
        <v>56178.078600000001</v>
      </c>
      <c r="D241" s="26">
        <v>-208.67639</v>
      </c>
      <c r="E241" s="26">
        <v>55777.8753</v>
      </c>
      <c r="F241" s="26">
        <v>12.5423323</v>
      </c>
      <c r="G241" s="26">
        <v>1.03377985E-4</v>
      </c>
      <c r="H241" s="26">
        <v>3.46953888E-5</v>
      </c>
      <c r="I241" s="26">
        <v>1.4557505800000002E-5</v>
      </c>
      <c r="J241" s="26">
        <v>7.7316213700000013E-3</v>
      </c>
      <c r="K241" s="26">
        <v>9.4220476199999986E-4</v>
      </c>
      <c r="L241" s="26">
        <v>0</v>
      </c>
      <c r="M241" s="26">
        <v>0</v>
      </c>
      <c r="N241" s="26">
        <v>2.4779725299999999E-6</v>
      </c>
      <c r="O241" s="26">
        <v>8.0878753699999999E-7</v>
      </c>
      <c r="P241" s="26">
        <v>3.3935141400000003E-7</v>
      </c>
      <c r="Q241" s="26">
        <v>1.8143607999999999E-4</v>
      </c>
      <c r="R241" s="26">
        <v>2.2110490099999999E-5</v>
      </c>
      <c r="S241" s="26">
        <v>3.5548886100000002E-4</v>
      </c>
      <c r="T241" s="26">
        <v>9.14244689E-2</v>
      </c>
      <c r="U241" s="26">
        <v>1.0530895199999999</v>
      </c>
      <c r="V241" s="26">
        <v>327.77597600000001</v>
      </c>
      <c r="W241" s="26">
        <v>58.335082300000003</v>
      </c>
      <c r="X241" s="26">
        <v>1.34664735E-3</v>
      </c>
      <c r="Y241" s="26">
        <v>0</v>
      </c>
      <c r="Z241" s="26">
        <v>1.12365955E-7</v>
      </c>
      <c r="AA241" s="26">
        <v>4.4536799599999999E-8</v>
      </c>
      <c r="AB241" s="26">
        <v>1.27096445E-8</v>
      </c>
      <c r="AC241" s="26">
        <v>6.8071378000000002E-2</v>
      </c>
      <c r="AD241" s="26">
        <v>0</v>
      </c>
      <c r="AE241" s="26">
        <v>0</v>
      </c>
      <c r="AF241" s="26">
        <v>0</v>
      </c>
      <c r="AG241" s="26">
        <v>0</v>
      </c>
      <c r="AH241" s="26">
        <v>0</v>
      </c>
      <c r="AI241" s="26">
        <v>0</v>
      </c>
      <c r="AJ241" s="26">
        <v>0</v>
      </c>
      <c r="AK241" s="26">
        <v>0</v>
      </c>
      <c r="AL241" s="26">
        <v>0</v>
      </c>
      <c r="AM241" s="26">
        <v>0</v>
      </c>
      <c r="AN241" s="26">
        <v>0.11970423400000002</v>
      </c>
      <c r="AO241" s="26">
        <v>0.20687404600000001</v>
      </c>
      <c r="AP241" s="26">
        <v>0</v>
      </c>
      <c r="AQ241" s="26">
        <v>0</v>
      </c>
      <c r="AR241" s="26">
        <v>0</v>
      </c>
      <c r="AS241" s="26">
        <v>0</v>
      </c>
      <c r="AT241" s="26">
        <v>0</v>
      </c>
      <c r="AU241" s="26">
        <v>0</v>
      </c>
      <c r="AV241" s="26">
        <v>0</v>
      </c>
      <c r="AW241" s="26">
        <v>0</v>
      </c>
      <c r="AX241" s="26">
        <v>0</v>
      </c>
      <c r="AY241" s="26">
        <v>0</v>
      </c>
      <c r="AZ241" s="26">
        <v>0</v>
      </c>
      <c r="BA241" s="26">
        <v>0</v>
      </c>
      <c r="BB241" s="26">
        <v>0</v>
      </c>
      <c r="BC241" s="26">
        <v>0</v>
      </c>
      <c r="BD241" s="26">
        <v>0</v>
      </c>
      <c r="BE241" s="26">
        <v>0</v>
      </c>
      <c r="BF241" s="26">
        <v>0</v>
      </c>
      <c r="BG241" s="26">
        <v>0</v>
      </c>
      <c r="BH241" s="26">
        <v>0</v>
      </c>
      <c r="BI241" s="26">
        <v>0</v>
      </c>
      <c r="BJ241" s="26">
        <v>0</v>
      </c>
      <c r="BK241" s="26">
        <v>0</v>
      </c>
      <c r="BL241" s="26">
        <v>0</v>
      </c>
      <c r="BM241" s="26">
        <v>0</v>
      </c>
      <c r="BN241" s="26">
        <v>0</v>
      </c>
      <c r="BO241" s="26">
        <v>3100.8183600000002</v>
      </c>
      <c r="BP241" s="26">
        <v>56178.078600000001</v>
      </c>
      <c r="BQ241" s="26">
        <v>993.95240799999988</v>
      </c>
      <c r="BR241" s="26">
        <v>78.049818099999982</v>
      </c>
      <c r="BS241" s="26">
        <v>1</v>
      </c>
      <c r="BT241" s="26">
        <v>0</v>
      </c>
      <c r="BU241" s="26">
        <v>1</v>
      </c>
      <c r="BV241" s="26">
        <v>0</v>
      </c>
      <c r="BW241" s="26">
        <v>-67297.198399999994</v>
      </c>
      <c r="BX241" s="26">
        <v>-3714.5518999999999</v>
      </c>
      <c r="BY241" s="26">
        <v>-208.67639</v>
      </c>
      <c r="BZ241" s="26">
        <v>-36.044804399999997</v>
      </c>
      <c r="CA241" s="26">
        <v>-1.9895374500000003</v>
      </c>
      <c r="CB241" s="26">
        <v>5.1994748399999999E-2</v>
      </c>
      <c r="CC241" s="26">
        <v>0.94199811899999997</v>
      </c>
      <c r="CD241" s="26">
        <v>18.1171781</v>
      </c>
      <c r="CE241" s="26">
        <v>937.37142400000005</v>
      </c>
      <c r="CF241" s="26">
        <v>0</v>
      </c>
      <c r="CG241" s="26">
        <v>0</v>
      </c>
      <c r="CH241" s="26">
        <v>0</v>
      </c>
      <c r="CI241" s="26">
        <v>0</v>
      </c>
      <c r="CJ241" s="26">
        <v>0</v>
      </c>
      <c r="CK241" s="26">
        <v>0</v>
      </c>
      <c r="CL241" s="26">
        <v>0</v>
      </c>
      <c r="CM241" s="26">
        <v>0</v>
      </c>
      <c r="CN241" s="26">
        <v>0</v>
      </c>
      <c r="CO241" s="26">
        <v>0</v>
      </c>
      <c r="CP241" s="26">
        <v>0</v>
      </c>
      <c r="CQ241" s="26">
        <v>0</v>
      </c>
      <c r="CR241" s="26">
        <v>0</v>
      </c>
      <c r="CS241" s="26">
        <v>0</v>
      </c>
      <c r="CT241" s="26">
        <v>0</v>
      </c>
      <c r="CU241" s="26">
        <v>0</v>
      </c>
      <c r="CV241" s="26">
        <v>0</v>
      </c>
      <c r="CW241" s="26">
        <v>0</v>
      </c>
      <c r="CX241" s="26">
        <v>0</v>
      </c>
      <c r="CY241" s="26">
        <v>0</v>
      </c>
      <c r="CZ241" s="26">
        <v>0</v>
      </c>
      <c r="DA241" s="26">
        <v>0</v>
      </c>
      <c r="DB241" s="26">
        <v>0</v>
      </c>
      <c r="DC241" s="26">
        <v>0</v>
      </c>
      <c r="DD241" s="26">
        <v>0</v>
      </c>
      <c r="DE241" s="26">
        <v>0</v>
      </c>
      <c r="DF241" s="26">
        <v>0</v>
      </c>
      <c r="DG241" s="26">
        <v>0</v>
      </c>
      <c r="DH241" s="26">
        <v>0</v>
      </c>
      <c r="DI241" s="26">
        <v>0</v>
      </c>
      <c r="DJ241" s="26">
        <v>0</v>
      </c>
      <c r="DK241" s="26">
        <v>0</v>
      </c>
      <c r="DL241" s="26">
        <v>0</v>
      </c>
      <c r="DM241" s="26">
        <v>0</v>
      </c>
      <c r="DN241" s="26">
        <v>0</v>
      </c>
      <c r="DO241" s="26">
        <v>0</v>
      </c>
      <c r="DP241" s="26">
        <v>0</v>
      </c>
      <c r="DQ241" s="26">
        <v>0</v>
      </c>
      <c r="DR241" s="26">
        <v>0</v>
      </c>
      <c r="DS241" s="26">
        <v>0</v>
      </c>
      <c r="DT241" s="26">
        <v>0</v>
      </c>
      <c r="DU241" s="26">
        <v>0</v>
      </c>
      <c r="DV241" s="26">
        <v>0</v>
      </c>
      <c r="DW241" s="26">
        <v>0</v>
      </c>
      <c r="DX241" s="26">
        <v>0</v>
      </c>
      <c r="DY241" s="26">
        <v>0</v>
      </c>
      <c r="DZ241" s="26">
        <v>0</v>
      </c>
      <c r="EA241" s="26">
        <v>0</v>
      </c>
      <c r="EB241" s="26">
        <v>0</v>
      </c>
      <c r="EC241" s="26">
        <v>0</v>
      </c>
      <c r="ED241" s="26">
        <v>0</v>
      </c>
      <c r="EE241" s="26">
        <v>0</v>
      </c>
      <c r="EF241" s="26">
        <v>0</v>
      </c>
      <c r="EG241" s="26">
        <v>0</v>
      </c>
      <c r="EH241" s="26">
        <v>0</v>
      </c>
      <c r="EI241" s="26">
        <v>0</v>
      </c>
      <c r="EJ241" s="26">
        <v>0</v>
      </c>
      <c r="EK241" s="26">
        <v>0</v>
      </c>
      <c r="EL241" s="26">
        <v>0</v>
      </c>
      <c r="EM241" s="26">
        <v>0</v>
      </c>
      <c r="EN241" s="26">
        <v>0</v>
      </c>
      <c r="EO241" s="26">
        <v>0</v>
      </c>
      <c r="EP241" s="26">
        <v>0</v>
      </c>
      <c r="EQ241" s="26">
        <v>0</v>
      </c>
      <c r="ER241" s="26">
        <v>0</v>
      </c>
      <c r="ES241" s="26">
        <v>0</v>
      </c>
      <c r="ET241" s="26">
        <v>1</v>
      </c>
      <c r="EU241" s="26">
        <v>0</v>
      </c>
      <c r="EV241" s="26">
        <v>0</v>
      </c>
      <c r="EW241" s="26">
        <v>0</v>
      </c>
      <c r="EX241" s="26">
        <v>0</v>
      </c>
      <c r="EY241" s="26">
        <v>0</v>
      </c>
      <c r="EZ241" s="26">
        <v>0</v>
      </c>
      <c r="FA241" s="26">
        <v>0</v>
      </c>
      <c r="FB241" s="26">
        <v>0</v>
      </c>
      <c r="FC241" s="26">
        <v>0</v>
      </c>
      <c r="FD241" s="26">
        <v>0</v>
      </c>
      <c r="FE241" s="26">
        <v>0</v>
      </c>
      <c r="FF241" s="26">
        <v>0</v>
      </c>
      <c r="FG241" s="26">
        <v>1.1319197499999999E-2</v>
      </c>
      <c r="FH241" s="26">
        <v>-246014710.72499999</v>
      </c>
      <c r="FI241" s="26">
        <v>5.4441764879978559E-3</v>
      </c>
      <c r="FJ241" s="26">
        <v>0</v>
      </c>
      <c r="FK241" s="26">
        <v>0</v>
      </c>
      <c r="FL241" s="26">
        <v>0</v>
      </c>
      <c r="FM241" s="26">
        <v>0</v>
      </c>
      <c r="FN241" s="26">
        <v>0</v>
      </c>
      <c r="FO241" s="26">
        <v>0</v>
      </c>
      <c r="FP241" s="26">
        <v>0</v>
      </c>
      <c r="FQ241" s="26">
        <v>0</v>
      </c>
      <c r="FR241" s="26">
        <v>0</v>
      </c>
      <c r="FS241" s="26">
        <v>0</v>
      </c>
      <c r="FT241" s="26">
        <v>0</v>
      </c>
      <c r="FU241" s="26">
        <v>0</v>
      </c>
      <c r="FV241" s="26">
        <v>0</v>
      </c>
      <c r="FW241" s="26">
        <v>0</v>
      </c>
      <c r="FX241" s="26">
        <v>0</v>
      </c>
      <c r="FY241" s="26">
        <v>0</v>
      </c>
      <c r="FZ241" s="26">
        <v>0</v>
      </c>
      <c r="GA241" s="26">
        <v>0</v>
      </c>
      <c r="GB241" s="26">
        <v>0</v>
      </c>
      <c r="GC241" s="26">
        <v>0</v>
      </c>
      <c r="GD241" s="26">
        <v>0</v>
      </c>
      <c r="GE241" s="26">
        <v>0</v>
      </c>
      <c r="GF241" s="26">
        <v>0</v>
      </c>
      <c r="GG241" s="26">
        <v>0</v>
      </c>
      <c r="GH241" s="26">
        <v>0</v>
      </c>
      <c r="GI241" s="26">
        <v>0</v>
      </c>
      <c r="GJ241" s="26">
        <v>0</v>
      </c>
      <c r="GK241" s="26">
        <v>0</v>
      </c>
      <c r="GL241" s="26">
        <v>0</v>
      </c>
      <c r="GM241" s="26">
        <v>0</v>
      </c>
      <c r="GN241" s="26">
        <v>0</v>
      </c>
      <c r="GO241" s="26">
        <v>0</v>
      </c>
      <c r="GP241" s="26">
        <v>0</v>
      </c>
      <c r="GQ241" s="26">
        <v>0</v>
      </c>
      <c r="GR241" s="26">
        <v>0</v>
      </c>
      <c r="GS241" s="26">
        <v>0</v>
      </c>
      <c r="GT241" s="26">
        <v>0</v>
      </c>
      <c r="GU241" s="26">
        <v>0</v>
      </c>
      <c r="GV241" s="26">
        <v>0</v>
      </c>
      <c r="GW241" s="26">
        <v>0</v>
      </c>
      <c r="GX241" s="26">
        <v>0</v>
      </c>
      <c r="GY241" s="26">
        <v>0</v>
      </c>
      <c r="GZ241" s="26">
        <v>0</v>
      </c>
      <c r="HA241" s="26">
        <v>0</v>
      </c>
      <c r="HB241" s="26">
        <v>0</v>
      </c>
      <c r="HC241" s="26">
        <v>0</v>
      </c>
      <c r="HD241" s="26">
        <v>0</v>
      </c>
      <c r="HE241" s="26">
        <v>0</v>
      </c>
      <c r="HF241" s="26">
        <v>0</v>
      </c>
      <c r="HG241" s="26">
        <v>0</v>
      </c>
      <c r="HH241" s="26">
        <v>0</v>
      </c>
      <c r="HI241" s="26">
        <v>0</v>
      </c>
      <c r="HJ241" s="26">
        <v>0</v>
      </c>
      <c r="HK241" s="26">
        <v>0</v>
      </c>
      <c r="HL241" s="26">
        <v>0</v>
      </c>
      <c r="HM241" s="26">
        <v>0</v>
      </c>
      <c r="HN241" s="26">
        <v>0</v>
      </c>
      <c r="HO241" s="26">
        <v>0</v>
      </c>
      <c r="HP241" s="26">
        <v>0</v>
      </c>
      <c r="HQ241" s="26">
        <v>0</v>
      </c>
      <c r="HR241" s="26">
        <v>0</v>
      </c>
      <c r="HS241" s="26">
        <v>0</v>
      </c>
      <c r="HT241" s="26">
        <v>0</v>
      </c>
    </row>
    <row r="242" spans="2:228" x14ac:dyDescent="0.2">
      <c r="B242" s="27" t="s">
        <v>2590</v>
      </c>
      <c r="C242" s="26">
        <v>56178.078600000001</v>
      </c>
      <c r="D242" s="26">
        <v>-208.67639</v>
      </c>
      <c r="E242" s="26">
        <v>55777.8753</v>
      </c>
      <c r="F242" s="26">
        <v>12.5423323</v>
      </c>
      <c r="G242" s="26">
        <v>1.03377985E-4</v>
      </c>
      <c r="H242" s="26">
        <v>3.46953888E-5</v>
      </c>
      <c r="I242" s="26">
        <v>1.4557505800000002E-5</v>
      </c>
      <c r="J242" s="26">
        <v>7.7316213700000013E-3</v>
      </c>
      <c r="K242" s="26">
        <v>9.4220476199999986E-4</v>
      </c>
      <c r="L242" s="26">
        <v>0</v>
      </c>
      <c r="M242" s="26">
        <v>0</v>
      </c>
      <c r="N242" s="26">
        <v>2.4779725299999999E-6</v>
      </c>
      <c r="O242" s="26">
        <v>8.0878753699999999E-7</v>
      </c>
      <c r="P242" s="26">
        <v>3.3935141400000003E-7</v>
      </c>
      <c r="Q242" s="26">
        <v>1.8143607999999999E-4</v>
      </c>
      <c r="R242" s="26">
        <v>2.2110490099999999E-5</v>
      </c>
      <c r="S242" s="26">
        <v>3.5548886100000002E-4</v>
      </c>
      <c r="T242" s="26">
        <v>9.14244689E-2</v>
      </c>
      <c r="U242" s="26">
        <v>1.0530895199999999</v>
      </c>
      <c r="V242" s="26">
        <v>327.77597600000001</v>
      </c>
      <c r="W242" s="26">
        <v>58.335082300000003</v>
      </c>
      <c r="X242" s="26">
        <v>1.34664735E-3</v>
      </c>
      <c r="Y242" s="26">
        <v>0</v>
      </c>
      <c r="Z242" s="26">
        <v>1.12365955E-7</v>
      </c>
      <c r="AA242" s="26">
        <v>4.4536799599999999E-8</v>
      </c>
      <c r="AB242" s="26">
        <v>1.27096445E-8</v>
      </c>
      <c r="AC242" s="26">
        <v>6.8071378000000002E-2</v>
      </c>
      <c r="AD242" s="26">
        <v>0</v>
      </c>
      <c r="AE242" s="26">
        <v>0</v>
      </c>
      <c r="AF242" s="26">
        <v>0</v>
      </c>
      <c r="AG242" s="26">
        <v>0</v>
      </c>
      <c r="AH242" s="26">
        <v>0</v>
      </c>
      <c r="AI242" s="26">
        <v>0</v>
      </c>
      <c r="AJ242" s="26">
        <v>0</v>
      </c>
      <c r="AK242" s="26">
        <v>0</v>
      </c>
      <c r="AL242" s="26">
        <v>0</v>
      </c>
      <c r="AM242" s="26">
        <v>0</v>
      </c>
      <c r="AN242" s="26">
        <v>0.11970423400000002</v>
      </c>
      <c r="AO242" s="26">
        <v>0.20687404600000001</v>
      </c>
      <c r="AP242" s="26">
        <v>0</v>
      </c>
      <c r="AQ242" s="26">
        <v>0</v>
      </c>
      <c r="AR242" s="26">
        <v>0</v>
      </c>
      <c r="AS242" s="26">
        <v>0</v>
      </c>
      <c r="AT242" s="26">
        <v>0</v>
      </c>
      <c r="AU242" s="26">
        <v>0</v>
      </c>
      <c r="AV242" s="26">
        <v>0</v>
      </c>
      <c r="AW242" s="26">
        <v>0</v>
      </c>
      <c r="AX242" s="26">
        <v>0</v>
      </c>
      <c r="AY242" s="26">
        <v>0</v>
      </c>
      <c r="AZ242" s="26">
        <v>0</v>
      </c>
      <c r="BA242" s="26">
        <v>0</v>
      </c>
      <c r="BB242" s="26">
        <v>0</v>
      </c>
      <c r="BC242" s="26">
        <v>0</v>
      </c>
      <c r="BD242" s="26">
        <v>0</v>
      </c>
      <c r="BE242" s="26">
        <v>0</v>
      </c>
      <c r="BF242" s="26">
        <v>0</v>
      </c>
      <c r="BG242" s="26">
        <v>0</v>
      </c>
      <c r="BH242" s="26">
        <v>0</v>
      </c>
      <c r="BI242" s="26">
        <v>0</v>
      </c>
      <c r="BJ242" s="26">
        <v>0</v>
      </c>
      <c r="BK242" s="26">
        <v>0</v>
      </c>
      <c r="BL242" s="26">
        <v>0</v>
      </c>
      <c r="BM242" s="26">
        <v>0</v>
      </c>
      <c r="BN242" s="26">
        <v>0</v>
      </c>
      <c r="BO242" s="26">
        <v>3100.8183600000002</v>
      </c>
      <c r="BP242" s="26">
        <v>56178.078600000001</v>
      </c>
      <c r="BQ242" s="26">
        <v>993.95240799999988</v>
      </c>
      <c r="BR242" s="26">
        <v>78.049818099999982</v>
      </c>
      <c r="BS242" s="26">
        <v>1</v>
      </c>
      <c r="BT242" s="26">
        <v>0</v>
      </c>
      <c r="BU242" s="26">
        <v>1</v>
      </c>
      <c r="BV242" s="26">
        <v>0</v>
      </c>
      <c r="BW242" s="26">
        <v>-67297.198399999994</v>
      </c>
      <c r="BX242" s="26">
        <v>-3714.5518999999999</v>
      </c>
      <c r="BY242" s="26">
        <v>-208.67639</v>
      </c>
      <c r="BZ242" s="26">
        <v>-36.044804399999997</v>
      </c>
      <c r="CA242" s="26">
        <v>-1.9895374500000003</v>
      </c>
      <c r="CB242" s="26">
        <v>5.1994748399999999E-2</v>
      </c>
      <c r="CC242" s="26">
        <v>0.94199811899999997</v>
      </c>
      <c r="CD242" s="26">
        <v>18.1171781</v>
      </c>
      <c r="CE242" s="26">
        <v>937.37142400000005</v>
      </c>
      <c r="CF242" s="26">
        <v>0</v>
      </c>
      <c r="CG242" s="26">
        <v>0</v>
      </c>
      <c r="CH242" s="26">
        <v>0</v>
      </c>
      <c r="CI242" s="26">
        <v>0</v>
      </c>
      <c r="CJ242" s="26">
        <v>0</v>
      </c>
      <c r="CK242" s="26">
        <v>0</v>
      </c>
      <c r="CL242" s="26">
        <v>0</v>
      </c>
      <c r="CM242" s="26">
        <v>0</v>
      </c>
      <c r="CN242" s="26">
        <v>0</v>
      </c>
      <c r="CO242" s="26">
        <v>0</v>
      </c>
      <c r="CP242" s="26">
        <v>0</v>
      </c>
      <c r="CQ242" s="26">
        <v>0</v>
      </c>
      <c r="CR242" s="26">
        <v>0</v>
      </c>
      <c r="CS242" s="26">
        <v>0</v>
      </c>
      <c r="CT242" s="26">
        <v>0</v>
      </c>
      <c r="CU242" s="26">
        <v>0</v>
      </c>
      <c r="CV242" s="26">
        <v>0</v>
      </c>
      <c r="CW242" s="26">
        <v>0</v>
      </c>
      <c r="CX242" s="26">
        <v>0</v>
      </c>
      <c r="CY242" s="26">
        <v>0</v>
      </c>
      <c r="CZ242" s="26">
        <v>0</v>
      </c>
      <c r="DA242" s="26">
        <v>0</v>
      </c>
      <c r="DB242" s="26">
        <v>0</v>
      </c>
      <c r="DC242" s="26">
        <v>0</v>
      </c>
      <c r="DD242" s="26">
        <v>0</v>
      </c>
      <c r="DE242" s="26">
        <v>0</v>
      </c>
      <c r="DF242" s="26">
        <v>0</v>
      </c>
      <c r="DG242" s="26">
        <v>0</v>
      </c>
      <c r="DH242" s="26">
        <v>0</v>
      </c>
      <c r="DI242" s="26">
        <v>0</v>
      </c>
      <c r="DJ242" s="26">
        <v>0</v>
      </c>
      <c r="DK242" s="26">
        <v>0</v>
      </c>
      <c r="DL242" s="26">
        <v>0</v>
      </c>
      <c r="DM242" s="26">
        <v>0</v>
      </c>
      <c r="DN242" s="26">
        <v>0</v>
      </c>
      <c r="DO242" s="26">
        <v>0</v>
      </c>
      <c r="DP242" s="26">
        <v>0</v>
      </c>
      <c r="DQ242" s="26">
        <v>0</v>
      </c>
      <c r="DR242" s="26">
        <v>0</v>
      </c>
      <c r="DS242" s="26">
        <v>0</v>
      </c>
      <c r="DT242" s="26">
        <v>0</v>
      </c>
      <c r="DU242" s="26">
        <v>0</v>
      </c>
      <c r="DV242" s="26">
        <v>0</v>
      </c>
      <c r="DW242" s="26">
        <v>0</v>
      </c>
      <c r="DX242" s="26">
        <v>0</v>
      </c>
      <c r="DY242" s="26">
        <v>0</v>
      </c>
      <c r="DZ242" s="26">
        <v>0</v>
      </c>
      <c r="EA242" s="26">
        <v>0</v>
      </c>
      <c r="EB242" s="26">
        <v>0</v>
      </c>
      <c r="EC242" s="26">
        <v>0</v>
      </c>
      <c r="ED242" s="26">
        <v>0</v>
      </c>
      <c r="EE242" s="26">
        <v>0</v>
      </c>
      <c r="EF242" s="26">
        <v>0</v>
      </c>
      <c r="EG242" s="26">
        <v>0</v>
      </c>
      <c r="EH242" s="26">
        <v>0</v>
      </c>
      <c r="EI242" s="26">
        <v>0</v>
      </c>
      <c r="EJ242" s="26">
        <v>0</v>
      </c>
      <c r="EK242" s="26">
        <v>0</v>
      </c>
      <c r="EL242" s="26">
        <v>0</v>
      </c>
      <c r="EM242" s="26">
        <v>0</v>
      </c>
      <c r="EN242" s="26">
        <v>0</v>
      </c>
      <c r="EO242" s="26">
        <v>0</v>
      </c>
      <c r="EP242" s="26">
        <v>0</v>
      </c>
      <c r="EQ242" s="26">
        <v>0</v>
      </c>
      <c r="ER242" s="26">
        <v>0</v>
      </c>
      <c r="ES242" s="26">
        <v>0</v>
      </c>
      <c r="ET242" s="26">
        <v>1</v>
      </c>
      <c r="EU242" s="26">
        <v>0</v>
      </c>
      <c r="EV242" s="26">
        <v>0</v>
      </c>
      <c r="EW242" s="26">
        <v>0</v>
      </c>
      <c r="EX242" s="26">
        <v>0</v>
      </c>
      <c r="EY242" s="26">
        <v>0</v>
      </c>
      <c r="EZ242" s="26">
        <v>0</v>
      </c>
      <c r="FA242" s="26">
        <v>0</v>
      </c>
      <c r="FB242" s="26">
        <v>0</v>
      </c>
      <c r="FC242" s="26">
        <v>0</v>
      </c>
      <c r="FD242" s="26">
        <v>0</v>
      </c>
      <c r="FE242" s="26">
        <v>0</v>
      </c>
      <c r="FF242" s="26">
        <v>0</v>
      </c>
      <c r="FG242" s="26">
        <v>1.1319197499999999E-2</v>
      </c>
      <c r="FH242" s="26">
        <v>-246014710.72499999</v>
      </c>
      <c r="FI242" s="26">
        <v>5.4441764879978559E-3</v>
      </c>
      <c r="FJ242" s="26">
        <v>0</v>
      </c>
      <c r="FK242" s="26">
        <v>0</v>
      </c>
      <c r="FL242" s="26">
        <v>0</v>
      </c>
      <c r="FM242" s="26">
        <v>0</v>
      </c>
      <c r="FN242" s="26">
        <v>0</v>
      </c>
      <c r="FO242" s="26">
        <v>0</v>
      </c>
      <c r="FP242" s="26">
        <v>0</v>
      </c>
      <c r="FQ242" s="26">
        <v>0</v>
      </c>
      <c r="FR242" s="26">
        <v>0</v>
      </c>
      <c r="FS242" s="26">
        <v>0</v>
      </c>
      <c r="FT242" s="26">
        <v>0</v>
      </c>
      <c r="FU242" s="26">
        <v>0</v>
      </c>
      <c r="FV242" s="26">
        <v>0</v>
      </c>
      <c r="FW242" s="26">
        <v>0</v>
      </c>
      <c r="FX242" s="26">
        <v>0</v>
      </c>
      <c r="FY242" s="26">
        <v>0</v>
      </c>
      <c r="FZ242" s="26">
        <v>0</v>
      </c>
      <c r="GA242" s="26">
        <v>0</v>
      </c>
      <c r="GB242" s="26">
        <v>0</v>
      </c>
      <c r="GC242" s="26">
        <v>0</v>
      </c>
      <c r="GD242" s="26">
        <v>0</v>
      </c>
      <c r="GE242" s="26">
        <v>0</v>
      </c>
      <c r="GF242" s="26">
        <v>0</v>
      </c>
      <c r="GG242" s="26">
        <v>0</v>
      </c>
      <c r="GH242" s="26">
        <v>0</v>
      </c>
      <c r="GI242" s="26">
        <v>0</v>
      </c>
      <c r="GJ242" s="26">
        <v>0</v>
      </c>
      <c r="GK242" s="26">
        <v>0</v>
      </c>
      <c r="GL242" s="26">
        <v>0</v>
      </c>
      <c r="GM242" s="26">
        <v>0</v>
      </c>
      <c r="GN242" s="26">
        <v>0</v>
      </c>
      <c r="GO242" s="26">
        <v>0</v>
      </c>
      <c r="GP242" s="26">
        <v>0</v>
      </c>
      <c r="GQ242" s="26">
        <v>0</v>
      </c>
      <c r="GR242" s="26">
        <v>0</v>
      </c>
      <c r="GS242" s="26">
        <v>0</v>
      </c>
      <c r="GT242" s="26">
        <v>0</v>
      </c>
      <c r="GU242" s="26">
        <v>0</v>
      </c>
      <c r="GV242" s="26">
        <v>0</v>
      </c>
      <c r="GW242" s="26">
        <v>0</v>
      </c>
      <c r="GX242" s="26">
        <v>0</v>
      </c>
      <c r="GY242" s="26">
        <v>0</v>
      </c>
      <c r="GZ242" s="26">
        <v>0</v>
      </c>
      <c r="HA242" s="26">
        <v>0</v>
      </c>
      <c r="HB242" s="26">
        <v>0</v>
      </c>
      <c r="HC242" s="26">
        <v>0</v>
      </c>
      <c r="HD242" s="26">
        <v>0</v>
      </c>
      <c r="HE242" s="26">
        <v>0</v>
      </c>
      <c r="HF242" s="26">
        <v>0</v>
      </c>
      <c r="HG242" s="26">
        <v>0</v>
      </c>
      <c r="HH242" s="26">
        <v>0</v>
      </c>
      <c r="HI242" s="26">
        <v>0</v>
      </c>
      <c r="HJ242" s="26">
        <v>0</v>
      </c>
      <c r="HK242" s="26">
        <v>0</v>
      </c>
      <c r="HL242" s="26">
        <v>0</v>
      </c>
      <c r="HM242" s="26">
        <v>0</v>
      </c>
      <c r="HN242" s="26">
        <v>0</v>
      </c>
      <c r="HO242" s="26">
        <v>0</v>
      </c>
      <c r="HP242" s="26">
        <v>0</v>
      </c>
      <c r="HQ242" s="26">
        <v>0</v>
      </c>
      <c r="HR242" s="26">
        <v>0</v>
      </c>
      <c r="HS242" s="26">
        <v>0</v>
      </c>
      <c r="HT242" s="26">
        <v>0</v>
      </c>
    </row>
    <row r="243" spans="2:228" x14ac:dyDescent="0.2">
      <c r="B243" s="27" t="s">
        <v>2591</v>
      </c>
      <c r="C243" s="26">
        <v>56178.078600000001</v>
      </c>
      <c r="D243" s="26">
        <v>-208.67639</v>
      </c>
      <c r="E243" s="26">
        <v>55777.8753</v>
      </c>
      <c r="F243" s="26">
        <v>12.5423323</v>
      </c>
      <c r="G243" s="26">
        <v>1.03377985E-4</v>
      </c>
      <c r="H243" s="26">
        <v>3.46953888E-5</v>
      </c>
      <c r="I243" s="26">
        <v>1.4557505800000002E-5</v>
      </c>
      <c r="J243" s="26">
        <v>7.7316213700000013E-3</v>
      </c>
      <c r="K243" s="26">
        <v>9.4220476199999986E-4</v>
      </c>
      <c r="L243" s="26">
        <v>0</v>
      </c>
      <c r="M243" s="26">
        <v>0</v>
      </c>
      <c r="N243" s="26">
        <v>2.4779725299999999E-6</v>
      </c>
      <c r="O243" s="26">
        <v>8.0878753699999999E-7</v>
      </c>
      <c r="P243" s="26">
        <v>3.3935141400000003E-7</v>
      </c>
      <c r="Q243" s="26">
        <v>1.8143607999999999E-4</v>
      </c>
      <c r="R243" s="26">
        <v>2.2110490099999999E-5</v>
      </c>
      <c r="S243" s="26">
        <v>3.5548886100000002E-4</v>
      </c>
      <c r="T243" s="26">
        <v>9.14244689E-2</v>
      </c>
      <c r="U243" s="26">
        <v>1.0530895199999999</v>
      </c>
      <c r="V243" s="26">
        <v>327.77597600000001</v>
      </c>
      <c r="W243" s="26">
        <v>58.335082300000003</v>
      </c>
      <c r="X243" s="26">
        <v>1.34664735E-3</v>
      </c>
      <c r="Y243" s="26">
        <v>0</v>
      </c>
      <c r="Z243" s="26">
        <v>1.12365955E-7</v>
      </c>
      <c r="AA243" s="26">
        <v>4.4536799599999999E-8</v>
      </c>
      <c r="AB243" s="26">
        <v>1.27096445E-8</v>
      </c>
      <c r="AC243" s="26">
        <v>6.8071378000000002E-2</v>
      </c>
      <c r="AD243" s="26">
        <v>0</v>
      </c>
      <c r="AE243" s="26">
        <v>0</v>
      </c>
      <c r="AF243" s="26">
        <v>0</v>
      </c>
      <c r="AG243" s="26">
        <v>0</v>
      </c>
      <c r="AH243" s="26">
        <v>0</v>
      </c>
      <c r="AI243" s="26">
        <v>0</v>
      </c>
      <c r="AJ243" s="26">
        <v>0</v>
      </c>
      <c r="AK243" s="26">
        <v>0</v>
      </c>
      <c r="AL243" s="26">
        <v>0</v>
      </c>
      <c r="AM243" s="26">
        <v>0</v>
      </c>
      <c r="AN243" s="26">
        <v>0.11970423400000002</v>
      </c>
      <c r="AO243" s="26">
        <v>0.20687404600000001</v>
      </c>
      <c r="AP243" s="26">
        <v>0</v>
      </c>
      <c r="AQ243" s="26">
        <v>0</v>
      </c>
      <c r="AR243" s="26">
        <v>0</v>
      </c>
      <c r="AS243" s="26">
        <v>0</v>
      </c>
      <c r="AT243" s="26">
        <v>0</v>
      </c>
      <c r="AU243" s="26">
        <v>0</v>
      </c>
      <c r="AV243" s="26">
        <v>0</v>
      </c>
      <c r="AW243" s="26">
        <v>0</v>
      </c>
      <c r="AX243" s="26">
        <v>0</v>
      </c>
      <c r="AY243" s="26">
        <v>0</v>
      </c>
      <c r="AZ243" s="26">
        <v>0</v>
      </c>
      <c r="BA243" s="26">
        <v>0</v>
      </c>
      <c r="BB243" s="26">
        <v>0</v>
      </c>
      <c r="BC243" s="26">
        <v>0</v>
      </c>
      <c r="BD243" s="26">
        <v>0</v>
      </c>
      <c r="BE243" s="26">
        <v>0</v>
      </c>
      <c r="BF243" s="26">
        <v>0</v>
      </c>
      <c r="BG243" s="26">
        <v>0</v>
      </c>
      <c r="BH243" s="26">
        <v>0</v>
      </c>
      <c r="BI243" s="26">
        <v>0</v>
      </c>
      <c r="BJ243" s="26">
        <v>0</v>
      </c>
      <c r="BK243" s="26">
        <v>0</v>
      </c>
      <c r="BL243" s="26">
        <v>0</v>
      </c>
      <c r="BM243" s="26">
        <v>0</v>
      </c>
      <c r="BN243" s="26">
        <v>0</v>
      </c>
      <c r="BO243" s="26">
        <v>3100.8183600000002</v>
      </c>
      <c r="BP243" s="26">
        <v>56178.078600000001</v>
      </c>
      <c r="BQ243" s="26">
        <v>993.95240799999988</v>
      </c>
      <c r="BR243" s="26">
        <v>78.049818099999982</v>
      </c>
      <c r="BS243" s="26">
        <v>1</v>
      </c>
      <c r="BT243" s="26">
        <v>0</v>
      </c>
      <c r="BU243" s="26">
        <v>1</v>
      </c>
      <c r="BV243" s="26">
        <v>0</v>
      </c>
      <c r="BW243" s="26">
        <v>-67297.198399999994</v>
      </c>
      <c r="BX243" s="26">
        <v>-3714.5518999999999</v>
      </c>
      <c r="BY243" s="26">
        <v>-208.67639</v>
      </c>
      <c r="BZ243" s="26">
        <v>-36.044804399999997</v>
      </c>
      <c r="CA243" s="26">
        <v>-1.9895374500000003</v>
      </c>
      <c r="CB243" s="26">
        <v>5.1994748399999999E-2</v>
      </c>
      <c r="CC243" s="26">
        <v>0.94199811899999997</v>
      </c>
      <c r="CD243" s="26">
        <v>18.1171781</v>
      </c>
      <c r="CE243" s="26">
        <v>937.37142400000005</v>
      </c>
      <c r="CF243" s="26">
        <v>0</v>
      </c>
      <c r="CG243" s="26">
        <v>0</v>
      </c>
      <c r="CH243" s="26">
        <v>0</v>
      </c>
      <c r="CI243" s="26">
        <v>0</v>
      </c>
      <c r="CJ243" s="26">
        <v>0</v>
      </c>
      <c r="CK243" s="26">
        <v>0</v>
      </c>
      <c r="CL243" s="26">
        <v>0</v>
      </c>
      <c r="CM243" s="26">
        <v>0</v>
      </c>
      <c r="CN243" s="26">
        <v>0</v>
      </c>
      <c r="CO243" s="26">
        <v>0</v>
      </c>
      <c r="CP243" s="26">
        <v>0</v>
      </c>
      <c r="CQ243" s="26">
        <v>0</v>
      </c>
      <c r="CR243" s="26">
        <v>0</v>
      </c>
      <c r="CS243" s="26">
        <v>0</v>
      </c>
      <c r="CT243" s="26">
        <v>0</v>
      </c>
      <c r="CU243" s="26">
        <v>0</v>
      </c>
      <c r="CV243" s="26">
        <v>0</v>
      </c>
      <c r="CW243" s="26">
        <v>0</v>
      </c>
      <c r="CX243" s="26">
        <v>0</v>
      </c>
      <c r="CY243" s="26">
        <v>0</v>
      </c>
      <c r="CZ243" s="26">
        <v>0</v>
      </c>
      <c r="DA243" s="26">
        <v>0</v>
      </c>
      <c r="DB243" s="26">
        <v>0</v>
      </c>
      <c r="DC243" s="26">
        <v>0</v>
      </c>
      <c r="DD243" s="26">
        <v>0</v>
      </c>
      <c r="DE243" s="26">
        <v>0</v>
      </c>
      <c r="DF243" s="26">
        <v>0</v>
      </c>
      <c r="DG243" s="26">
        <v>0</v>
      </c>
      <c r="DH243" s="26">
        <v>0</v>
      </c>
      <c r="DI243" s="26">
        <v>0</v>
      </c>
      <c r="DJ243" s="26">
        <v>0</v>
      </c>
      <c r="DK243" s="26">
        <v>0</v>
      </c>
      <c r="DL243" s="26">
        <v>0</v>
      </c>
      <c r="DM243" s="26">
        <v>0</v>
      </c>
      <c r="DN243" s="26">
        <v>0</v>
      </c>
      <c r="DO243" s="26">
        <v>0</v>
      </c>
      <c r="DP243" s="26">
        <v>0</v>
      </c>
      <c r="DQ243" s="26">
        <v>0</v>
      </c>
      <c r="DR243" s="26">
        <v>0</v>
      </c>
      <c r="DS243" s="26">
        <v>0</v>
      </c>
      <c r="DT243" s="26">
        <v>0</v>
      </c>
      <c r="DU243" s="26">
        <v>0</v>
      </c>
      <c r="DV243" s="26">
        <v>0</v>
      </c>
      <c r="DW243" s="26">
        <v>0</v>
      </c>
      <c r="DX243" s="26">
        <v>0</v>
      </c>
      <c r="DY243" s="26">
        <v>0</v>
      </c>
      <c r="DZ243" s="26">
        <v>0</v>
      </c>
      <c r="EA243" s="26">
        <v>0</v>
      </c>
      <c r="EB243" s="26">
        <v>0</v>
      </c>
      <c r="EC243" s="26">
        <v>0</v>
      </c>
      <c r="ED243" s="26">
        <v>0</v>
      </c>
      <c r="EE243" s="26">
        <v>0</v>
      </c>
      <c r="EF243" s="26">
        <v>0</v>
      </c>
      <c r="EG243" s="26">
        <v>0</v>
      </c>
      <c r="EH243" s="26">
        <v>0</v>
      </c>
      <c r="EI243" s="26">
        <v>0</v>
      </c>
      <c r="EJ243" s="26">
        <v>0</v>
      </c>
      <c r="EK243" s="26">
        <v>0</v>
      </c>
      <c r="EL243" s="26">
        <v>0</v>
      </c>
      <c r="EM243" s="26">
        <v>0</v>
      </c>
      <c r="EN243" s="26">
        <v>0</v>
      </c>
      <c r="EO243" s="26">
        <v>0</v>
      </c>
      <c r="EP243" s="26">
        <v>0</v>
      </c>
      <c r="EQ243" s="26">
        <v>0</v>
      </c>
      <c r="ER243" s="26">
        <v>0</v>
      </c>
      <c r="ES243" s="26">
        <v>0</v>
      </c>
      <c r="ET243" s="26">
        <v>1</v>
      </c>
      <c r="EU243" s="26">
        <v>0</v>
      </c>
      <c r="EV243" s="26">
        <v>0</v>
      </c>
      <c r="EW243" s="26">
        <v>0</v>
      </c>
      <c r="EX243" s="26">
        <v>0</v>
      </c>
      <c r="EY243" s="26">
        <v>0</v>
      </c>
      <c r="EZ243" s="26">
        <v>0</v>
      </c>
      <c r="FA243" s="26">
        <v>0</v>
      </c>
      <c r="FB243" s="26">
        <v>0</v>
      </c>
      <c r="FC243" s="26">
        <v>0</v>
      </c>
      <c r="FD243" s="26">
        <v>0</v>
      </c>
      <c r="FE243" s="26">
        <v>0</v>
      </c>
      <c r="FF243" s="26">
        <v>0</v>
      </c>
      <c r="FG243" s="26">
        <v>1.1319197499999999E-2</v>
      </c>
      <c r="FH243" s="26">
        <v>-246014710.72499999</v>
      </c>
      <c r="FI243" s="26">
        <v>5.4441764879978559E-3</v>
      </c>
      <c r="FJ243" s="26">
        <v>0</v>
      </c>
      <c r="FK243" s="26">
        <v>0</v>
      </c>
      <c r="FL243" s="26">
        <v>0</v>
      </c>
      <c r="FM243" s="26">
        <v>0</v>
      </c>
      <c r="FN243" s="26">
        <v>0</v>
      </c>
      <c r="FO243" s="26">
        <v>0</v>
      </c>
      <c r="FP243" s="26">
        <v>0</v>
      </c>
      <c r="FQ243" s="26">
        <v>0</v>
      </c>
      <c r="FR243" s="26">
        <v>0</v>
      </c>
      <c r="FS243" s="26">
        <v>0</v>
      </c>
      <c r="FT243" s="26">
        <v>0</v>
      </c>
      <c r="FU243" s="26">
        <v>0</v>
      </c>
      <c r="FV243" s="26">
        <v>0</v>
      </c>
      <c r="FW243" s="26">
        <v>0</v>
      </c>
      <c r="FX243" s="26">
        <v>0</v>
      </c>
      <c r="FY243" s="26">
        <v>0</v>
      </c>
      <c r="FZ243" s="26">
        <v>0</v>
      </c>
      <c r="GA243" s="26">
        <v>0</v>
      </c>
      <c r="GB243" s="26">
        <v>0</v>
      </c>
      <c r="GC243" s="26">
        <v>0</v>
      </c>
      <c r="GD243" s="26">
        <v>0</v>
      </c>
      <c r="GE243" s="26">
        <v>0</v>
      </c>
      <c r="GF243" s="26">
        <v>0</v>
      </c>
      <c r="GG243" s="26">
        <v>0</v>
      </c>
      <c r="GH243" s="26">
        <v>0</v>
      </c>
      <c r="GI243" s="26">
        <v>0</v>
      </c>
      <c r="GJ243" s="26">
        <v>0</v>
      </c>
      <c r="GK243" s="26">
        <v>0</v>
      </c>
      <c r="GL243" s="26">
        <v>0</v>
      </c>
      <c r="GM243" s="26">
        <v>0</v>
      </c>
      <c r="GN243" s="26">
        <v>0</v>
      </c>
      <c r="GO243" s="26">
        <v>0</v>
      </c>
      <c r="GP243" s="26">
        <v>0</v>
      </c>
      <c r="GQ243" s="26">
        <v>0</v>
      </c>
      <c r="GR243" s="26">
        <v>0</v>
      </c>
      <c r="GS243" s="26">
        <v>0</v>
      </c>
      <c r="GT243" s="26">
        <v>0</v>
      </c>
      <c r="GU243" s="26">
        <v>0</v>
      </c>
      <c r="GV243" s="26">
        <v>0</v>
      </c>
      <c r="GW243" s="26">
        <v>0</v>
      </c>
      <c r="GX243" s="26">
        <v>0</v>
      </c>
      <c r="GY243" s="26">
        <v>0</v>
      </c>
      <c r="GZ243" s="26">
        <v>0</v>
      </c>
      <c r="HA243" s="26">
        <v>0</v>
      </c>
      <c r="HB243" s="26">
        <v>0</v>
      </c>
      <c r="HC243" s="26">
        <v>0</v>
      </c>
      <c r="HD243" s="26">
        <v>0</v>
      </c>
      <c r="HE243" s="26">
        <v>0</v>
      </c>
      <c r="HF243" s="26">
        <v>0</v>
      </c>
      <c r="HG243" s="26">
        <v>0</v>
      </c>
      <c r="HH243" s="26">
        <v>0</v>
      </c>
      <c r="HI243" s="26">
        <v>0</v>
      </c>
      <c r="HJ243" s="26">
        <v>0</v>
      </c>
      <c r="HK243" s="26">
        <v>0</v>
      </c>
      <c r="HL243" s="26">
        <v>0</v>
      </c>
      <c r="HM243" s="26">
        <v>0</v>
      </c>
      <c r="HN243" s="26">
        <v>0</v>
      </c>
      <c r="HO243" s="26">
        <v>0</v>
      </c>
      <c r="HP243" s="26">
        <v>0</v>
      </c>
      <c r="HQ243" s="26">
        <v>0</v>
      </c>
      <c r="HR243" s="26">
        <v>0</v>
      </c>
      <c r="HS243" s="26">
        <v>0</v>
      </c>
      <c r="HT243" s="26">
        <v>0</v>
      </c>
    </row>
    <row r="244" spans="2:228" x14ac:dyDescent="0.2">
      <c r="B244" s="27" t="s">
        <v>1425</v>
      </c>
      <c r="C244" s="26">
        <v>355313.18800000002</v>
      </c>
      <c r="D244" s="26">
        <v>-1283.789</v>
      </c>
      <c r="E244" s="26">
        <v>329317.86599999998</v>
      </c>
      <c r="F244" s="26">
        <v>177.424138</v>
      </c>
      <c r="G244" s="26">
        <v>501.83496400000001</v>
      </c>
      <c r="H244" s="26">
        <v>1101.6176700000001</v>
      </c>
      <c r="I244" s="26">
        <v>462.21720500000004</v>
      </c>
      <c r="J244" s="26">
        <v>1022.3819700000001</v>
      </c>
      <c r="K244" s="26">
        <v>211.866952</v>
      </c>
      <c r="L244" s="26">
        <v>318.75849399999998</v>
      </c>
      <c r="M244" s="26">
        <v>0</v>
      </c>
      <c r="N244" s="26">
        <v>1090.9604200000001</v>
      </c>
      <c r="O244" s="26">
        <v>27.531921000000001</v>
      </c>
      <c r="P244" s="26">
        <v>11.551855</v>
      </c>
      <c r="Q244" s="26">
        <v>376.01020999999997</v>
      </c>
      <c r="R244" s="26">
        <v>45.822032800000002</v>
      </c>
      <c r="S244" s="26">
        <v>11753.797500000001</v>
      </c>
      <c r="T244" s="26">
        <v>632.05517199999997</v>
      </c>
      <c r="U244" s="26">
        <v>355.00534099999999</v>
      </c>
      <c r="V244" s="26">
        <v>157.999549</v>
      </c>
      <c r="W244" s="26">
        <v>0</v>
      </c>
      <c r="X244" s="26">
        <v>1630.9811400000001</v>
      </c>
      <c r="Y244" s="26">
        <v>726.84030600000006</v>
      </c>
      <c r="Z244" s="26">
        <v>167.87425400000001</v>
      </c>
      <c r="AA244" s="26">
        <v>440.67470300000002</v>
      </c>
      <c r="AB244" s="26">
        <v>7.1539367600000005E-4</v>
      </c>
      <c r="AC244" s="26">
        <v>0</v>
      </c>
      <c r="AD244" s="26">
        <v>2389.1657300000002</v>
      </c>
      <c r="AE244" s="26">
        <v>1791.6933100000001</v>
      </c>
      <c r="AF244" s="26">
        <v>124.03579599999999</v>
      </c>
      <c r="AG244" s="26">
        <v>0</v>
      </c>
      <c r="AH244" s="26">
        <v>0</v>
      </c>
      <c r="AI244" s="26">
        <v>0</v>
      </c>
      <c r="AJ244" s="26">
        <v>0</v>
      </c>
      <c r="AK244" s="26">
        <v>0</v>
      </c>
      <c r="AL244" s="26">
        <v>0</v>
      </c>
      <c r="AM244" s="26">
        <v>12.8602407</v>
      </c>
      <c r="AN244" s="26">
        <v>0</v>
      </c>
      <c r="AO244" s="26">
        <v>0</v>
      </c>
      <c r="AP244" s="26">
        <v>0</v>
      </c>
      <c r="AQ244" s="26">
        <v>0</v>
      </c>
      <c r="AR244" s="26">
        <v>0</v>
      </c>
      <c r="AS244" s="26">
        <v>3.6965341900000001E-17</v>
      </c>
      <c r="AT244" s="26">
        <v>0</v>
      </c>
      <c r="AU244" s="26">
        <v>0</v>
      </c>
      <c r="AV244" s="26">
        <v>7.3288308700000004E-10</v>
      </c>
      <c r="AW244" s="26">
        <v>0</v>
      </c>
      <c r="AX244" s="26">
        <v>0</v>
      </c>
      <c r="AY244" s="26">
        <v>0</v>
      </c>
      <c r="AZ244" s="26">
        <v>0</v>
      </c>
      <c r="BA244" s="26">
        <v>0</v>
      </c>
      <c r="BB244" s="26">
        <v>0</v>
      </c>
      <c r="BC244" s="26">
        <v>0</v>
      </c>
      <c r="BD244" s="26">
        <v>0</v>
      </c>
      <c r="BE244" s="26">
        <v>0</v>
      </c>
      <c r="BF244" s="26">
        <v>0</v>
      </c>
      <c r="BG244" s="26">
        <v>0</v>
      </c>
      <c r="BH244" s="26">
        <v>0</v>
      </c>
      <c r="BI244" s="26">
        <v>0</v>
      </c>
      <c r="BJ244" s="26">
        <v>0</v>
      </c>
      <c r="BK244" s="26">
        <v>0</v>
      </c>
      <c r="BL244" s="26">
        <v>0</v>
      </c>
      <c r="BM244" s="26">
        <v>0</v>
      </c>
      <c r="BN244" s="26">
        <v>0</v>
      </c>
      <c r="BO244" s="26">
        <v>18459.153399999999</v>
      </c>
      <c r="BP244" s="26">
        <v>354848.82799999998</v>
      </c>
      <c r="BQ244" s="26">
        <v>5947.6234199999999</v>
      </c>
      <c r="BR244" s="26">
        <v>47.401204199999995</v>
      </c>
      <c r="BS244" s="26">
        <v>3.94997957</v>
      </c>
      <c r="BT244" s="26">
        <v>0</v>
      </c>
      <c r="BU244" s="26">
        <v>1</v>
      </c>
      <c r="BV244" s="26">
        <v>0</v>
      </c>
      <c r="BW244" s="26">
        <v>-69518.582999999999</v>
      </c>
      <c r="BX244" s="26">
        <v>-3616.34051</v>
      </c>
      <c r="BY244" s="26">
        <v>-1283.2542000000001</v>
      </c>
      <c r="BZ244" s="26">
        <v>-38.854247200000003</v>
      </c>
      <c r="CA244" s="26">
        <v>-2.0211888999999998</v>
      </c>
      <c r="CB244" s="26">
        <v>5.1726972599999997E-2</v>
      </c>
      <c r="CC244" s="26">
        <v>0.99437147299999995</v>
      </c>
      <c r="CD244" s="26">
        <v>19.2234616</v>
      </c>
      <c r="CE244" s="26">
        <v>0</v>
      </c>
      <c r="CF244" s="26">
        <v>0</v>
      </c>
      <c r="CG244" s="26">
        <v>0</v>
      </c>
      <c r="CH244" s="26">
        <v>0</v>
      </c>
      <c r="CI244" s="26">
        <v>0</v>
      </c>
      <c r="CJ244" s="26">
        <v>0</v>
      </c>
      <c r="CK244" s="26">
        <v>0</v>
      </c>
      <c r="CL244" s="26">
        <v>0</v>
      </c>
      <c r="CM244" s="26">
        <v>0</v>
      </c>
      <c r="CN244" s="26">
        <v>0</v>
      </c>
      <c r="CO244" s="26">
        <v>0</v>
      </c>
      <c r="CP244" s="26">
        <v>0</v>
      </c>
      <c r="CQ244" s="26">
        <v>0</v>
      </c>
      <c r="CR244" s="26">
        <v>0</v>
      </c>
      <c r="CS244" s="26">
        <v>0</v>
      </c>
      <c r="CT244" s="26">
        <v>0</v>
      </c>
      <c r="CU244" s="26">
        <v>0</v>
      </c>
      <c r="CV244" s="26">
        <v>0</v>
      </c>
      <c r="CW244" s="26">
        <v>0</v>
      </c>
      <c r="CX244" s="26">
        <v>0</v>
      </c>
      <c r="CY244" s="26">
        <v>0</v>
      </c>
      <c r="CZ244" s="26">
        <v>0</v>
      </c>
      <c r="DA244" s="26">
        <v>0</v>
      </c>
      <c r="DB244" s="26">
        <v>0</v>
      </c>
      <c r="DC244" s="26">
        <v>0</v>
      </c>
      <c r="DD244" s="26">
        <v>0</v>
      </c>
      <c r="DE244" s="26">
        <v>0</v>
      </c>
      <c r="DF244" s="26">
        <v>0</v>
      </c>
      <c r="DG244" s="26">
        <v>0</v>
      </c>
      <c r="DH244" s="26">
        <v>0</v>
      </c>
      <c r="DI244" s="26">
        <v>0</v>
      </c>
      <c r="DJ244" s="26">
        <v>0</v>
      </c>
      <c r="DK244" s="26">
        <v>0</v>
      </c>
      <c r="DL244" s="26">
        <v>0</v>
      </c>
      <c r="DM244" s="26">
        <v>0</v>
      </c>
      <c r="DN244" s="26">
        <v>0</v>
      </c>
      <c r="DO244" s="26">
        <v>0</v>
      </c>
      <c r="DP244" s="26">
        <v>0</v>
      </c>
      <c r="DQ244" s="26">
        <v>0</v>
      </c>
      <c r="DR244" s="26">
        <v>0</v>
      </c>
      <c r="DS244" s="26">
        <v>0</v>
      </c>
      <c r="DT244" s="26">
        <v>0</v>
      </c>
      <c r="DU244" s="26">
        <v>0</v>
      </c>
      <c r="DV244" s="26">
        <v>0</v>
      </c>
      <c r="DW244" s="26">
        <v>0</v>
      </c>
      <c r="DX244" s="26">
        <v>25.092833200000001</v>
      </c>
      <c r="DY244" s="26">
        <v>0.61959341099999998</v>
      </c>
      <c r="DZ244" s="26">
        <v>0.25996926399999998</v>
      </c>
      <c r="EA244" s="26">
        <v>8.4619995299999999</v>
      </c>
      <c r="EB244" s="26">
        <v>1.0312114100000001</v>
      </c>
      <c r="EC244" s="26">
        <v>249.50383400000001</v>
      </c>
      <c r="ED244" s="26">
        <v>0</v>
      </c>
      <c r="EE244" s="26">
        <v>57.32226639999999</v>
      </c>
      <c r="EF244" s="26">
        <v>82.156953099999996</v>
      </c>
      <c r="EG244" s="26">
        <v>10.4160641</v>
      </c>
      <c r="EH244" s="26">
        <v>1.15734212</v>
      </c>
      <c r="EI244" s="26">
        <v>16.719684600000001</v>
      </c>
      <c r="EJ244" s="26">
        <v>2.1560445600000002</v>
      </c>
      <c r="EK244" s="26">
        <v>0</v>
      </c>
      <c r="EL244" s="26">
        <v>9.4619263199999999</v>
      </c>
      <c r="EM244" s="26">
        <v>0</v>
      </c>
      <c r="EN244" s="26">
        <v>0</v>
      </c>
      <c r="EO244" s="26">
        <v>0</v>
      </c>
      <c r="EP244" s="26">
        <v>7.16111567</v>
      </c>
      <c r="EQ244" s="26">
        <v>464.35972200000003</v>
      </c>
      <c r="ER244" s="26">
        <v>5.5863107799999998</v>
      </c>
      <c r="ES244" s="26">
        <v>47.401204199999995</v>
      </c>
      <c r="ET244" s="26">
        <v>3.94997957</v>
      </c>
      <c r="EU244" s="26">
        <v>0</v>
      </c>
      <c r="EV244" s="26">
        <v>0</v>
      </c>
      <c r="EW244" s="26">
        <v>1</v>
      </c>
      <c r="EX244" s="26">
        <v>-74680.510200000004</v>
      </c>
      <c r="EY244" s="26">
        <v>-1151.68424</v>
      </c>
      <c r="EZ244" s="26">
        <v>-0.53479577599999994</v>
      </c>
      <c r="FA244" s="26">
        <v>-148.263204</v>
      </c>
      <c r="FB244" s="26">
        <v>-2.2864385199999999</v>
      </c>
      <c r="FC244" s="26">
        <v>2.1365070999999999E-2</v>
      </c>
      <c r="FD244" s="26">
        <v>1.38540961</v>
      </c>
      <c r="FE244" s="26">
        <v>64.844605700000002</v>
      </c>
      <c r="FF244" s="26">
        <v>0</v>
      </c>
      <c r="FG244" s="26">
        <v>7.2898075300000004E-2</v>
      </c>
      <c r="FH244" s="26">
        <v>-1501366755.5200002</v>
      </c>
      <c r="FI244" s="26">
        <v>0.21729497479391535</v>
      </c>
      <c r="FJ244" s="26">
        <v>0</v>
      </c>
      <c r="FK244" s="26">
        <v>0</v>
      </c>
      <c r="FL244" s="26">
        <v>0</v>
      </c>
      <c r="FM244" s="26">
        <v>0</v>
      </c>
      <c r="FN244" s="26">
        <v>0</v>
      </c>
      <c r="FO244" s="26">
        <v>0</v>
      </c>
      <c r="FP244" s="26">
        <v>0</v>
      </c>
      <c r="FQ244" s="26">
        <v>0</v>
      </c>
      <c r="FR244" s="26">
        <v>0</v>
      </c>
      <c r="FS244" s="26">
        <v>0</v>
      </c>
      <c r="FT244" s="26">
        <v>0</v>
      </c>
      <c r="FU244" s="26">
        <v>0</v>
      </c>
      <c r="FV244" s="26">
        <v>0</v>
      </c>
      <c r="FW244" s="26">
        <v>0</v>
      </c>
      <c r="FX244" s="26">
        <v>0</v>
      </c>
      <c r="FY244" s="26">
        <v>0</v>
      </c>
      <c r="FZ244" s="26">
        <v>0</v>
      </c>
      <c r="GA244" s="26">
        <v>0</v>
      </c>
      <c r="GB244" s="26">
        <v>0</v>
      </c>
      <c r="GC244" s="26">
        <v>0</v>
      </c>
      <c r="GD244" s="26">
        <v>0</v>
      </c>
      <c r="GE244" s="26">
        <v>0</v>
      </c>
      <c r="GF244" s="26">
        <v>0</v>
      </c>
      <c r="GG244" s="26">
        <v>0</v>
      </c>
      <c r="GH244" s="26">
        <v>0</v>
      </c>
      <c r="GI244" s="26">
        <v>0</v>
      </c>
      <c r="GJ244" s="26">
        <v>0</v>
      </c>
      <c r="GK244" s="26">
        <v>0</v>
      </c>
      <c r="GL244" s="26">
        <v>0</v>
      </c>
      <c r="GM244" s="26">
        <v>0</v>
      </c>
      <c r="GN244" s="26">
        <v>0</v>
      </c>
      <c r="GO244" s="26">
        <v>0</v>
      </c>
      <c r="GP244" s="26">
        <v>0</v>
      </c>
      <c r="GQ244" s="26">
        <v>0</v>
      </c>
      <c r="GR244" s="26">
        <v>0</v>
      </c>
      <c r="GS244" s="26">
        <v>0</v>
      </c>
      <c r="GT244" s="26">
        <v>0</v>
      </c>
      <c r="GU244" s="26">
        <v>0</v>
      </c>
      <c r="GV244" s="26">
        <v>0</v>
      </c>
      <c r="GW244" s="26">
        <v>0</v>
      </c>
      <c r="GX244" s="26">
        <v>0</v>
      </c>
      <c r="GY244" s="26">
        <v>0</v>
      </c>
      <c r="GZ244" s="26">
        <v>0</v>
      </c>
      <c r="HA244" s="26">
        <v>0</v>
      </c>
      <c r="HB244" s="26">
        <v>0</v>
      </c>
      <c r="HC244" s="26">
        <v>0</v>
      </c>
      <c r="HD244" s="26">
        <v>0</v>
      </c>
      <c r="HE244" s="26">
        <v>0</v>
      </c>
      <c r="HF244" s="26">
        <v>0</v>
      </c>
      <c r="HG244" s="26">
        <v>0</v>
      </c>
      <c r="HH244" s="26">
        <v>0</v>
      </c>
      <c r="HI244" s="26">
        <v>0</v>
      </c>
      <c r="HJ244" s="26">
        <v>0</v>
      </c>
      <c r="HK244" s="26">
        <v>0</v>
      </c>
      <c r="HL244" s="26">
        <v>0</v>
      </c>
      <c r="HM244" s="26">
        <v>0</v>
      </c>
      <c r="HN244" s="26">
        <v>0</v>
      </c>
      <c r="HO244" s="26">
        <v>0</v>
      </c>
      <c r="HP244" s="26">
        <v>0</v>
      </c>
      <c r="HQ244" s="26">
        <v>0</v>
      </c>
      <c r="HR244" s="26">
        <v>0</v>
      </c>
      <c r="HS244" s="26">
        <v>0</v>
      </c>
      <c r="HT244" s="26">
        <v>5.1431895133677383E-3</v>
      </c>
    </row>
    <row r="245" spans="2:228" x14ac:dyDescent="0.2">
      <c r="B245" s="27" t="s">
        <v>3026</v>
      </c>
      <c r="C245" s="26">
        <v>71353.147700000001</v>
      </c>
      <c r="D245" s="26">
        <v>-224.48914400000001</v>
      </c>
      <c r="E245" s="26">
        <v>71353.147700000001</v>
      </c>
      <c r="F245" s="26">
        <v>0</v>
      </c>
      <c r="G245" s="26">
        <v>0</v>
      </c>
      <c r="H245" s="26">
        <v>0</v>
      </c>
      <c r="I245" s="26">
        <v>0</v>
      </c>
      <c r="J245" s="26">
        <v>0</v>
      </c>
      <c r="K245" s="26">
        <v>0</v>
      </c>
      <c r="L245" s="26">
        <v>0</v>
      </c>
      <c r="M245" s="26">
        <v>0</v>
      </c>
      <c r="N245" s="26">
        <v>0</v>
      </c>
      <c r="O245" s="26">
        <v>0</v>
      </c>
      <c r="P245" s="26">
        <v>0</v>
      </c>
      <c r="Q245" s="26">
        <v>0</v>
      </c>
      <c r="R245" s="26">
        <v>0</v>
      </c>
      <c r="S245" s="26">
        <v>0</v>
      </c>
      <c r="T245" s="26">
        <v>0</v>
      </c>
      <c r="U245" s="26">
        <v>0</v>
      </c>
      <c r="V245" s="26">
        <v>0</v>
      </c>
      <c r="W245" s="26">
        <v>0</v>
      </c>
      <c r="X245" s="26">
        <v>0</v>
      </c>
      <c r="Y245" s="26">
        <v>0</v>
      </c>
      <c r="Z245" s="26">
        <v>0</v>
      </c>
      <c r="AA245" s="26">
        <v>0</v>
      </c>
      <c r="AB245" s="26">
        <v>0</v>
      </c>
      <c r="AC245" s="26">
        <v>0</v>
      </c>
      <c r="AD245" s="26">
        <v>0</v>
      </c>
      <c r="AE245" s="26">
        <v>0</v>
      </c>
      <c r="AF245" s="26">
        <v>0</v>
      </c>
      <c r="AG245" s="26">
        <v>0</v>
      </c>
      <c r="AH245" s="26">
        <v>0</v>
      </c>
      <c r="AI245" s="26">
        <v>0</v>
      </c>
      <c r="AJ245" s="26">
        <v>0</v>
      </c>
      <c r="AK245" s="26">
        <v>0</v>
      </c>
      <c r="AL245" s="26">
        <v>0</v>
      </c>
      <c r="AM245" s="26">
        <v>0</v>
      </c>
      <c r="AN245" s="26">
        <v>0</v>
      </c>
      <c r="AO245" s="26">
        <v>0</v>
      </c>
      <c r="AP245" s="26">
        <v>0</v>
      </c>
      <c r="AQ245" s="26">
        <v>0</v>
      </c>
      <c r="AR245" s="26">
        <v>0</v>
      </c>
      <c r="AS245" s="26">
        <v>0</v>
      </c>
      <c r="AT245" s="26">
        <v>0</v>
      </c>
      <c r="AU245" s="26">
        <v>0</v>
      </c>
      <c r="AV245" s="26">
        <v>0</v>
      </c>
      <c r="AW245" s="26">
        <v>0</v>
      </c>
      <c r="AX245" s="26">
        <v>0</v>
      </c>
      <c r="AY245" s="26">
        <v>0</v>
      </c>
      <c r="AZ245" s="26">
        <v>0</v>
      </c>
      <c r="BA245" s="26">
        <v>0</v>
      </c>
      <c r="BB245" s="26">
        <v>0</v>
      </c>
      <c r="BC245" s="26">
        <v>0</v>
      </c>
      <c r="BD245" s="26">
        <v>0</v>
      </c>
      <c r="BE245" s="26">
        <v>0</v>
      </c>
      <c r="BF245" s="26">
        <v>0</v>
      </c>
      <c r="BG245" s="26">
        <v>0</v>
      </c>
      <c r="BH245" s="26">
        <v>0</v>
      </c>
      <c r="BI245" s="26">
        <v>0</v>
      </c>
      <c r="BJ245" s="26">
        <v>0</v>
      </c>
      <c r="BK245" s="26">
        <v>0</v>
      </c>
      <c r="BL245" s="26">
        <v>0</v>
      </c>
      <c r="BM245" s="26">
        <v>0</v>
      </c>
      <c r="BN245" s="26">
        <v>0</v>
      </c>
      <c r="BO245" s="26">
        <v>3960.7015600000004</v>
      </c>
      <c r="BP245" s="26">
        <v>71353.147700000001</v>
      </c>
      <c r="BQ245" s="26">
        <v>1511030.85</v>
      </c>
      <c r="BR245" s="26">
        <v>157.66670499999998</v>
      </c>
      <c r="BS245" s="26">
        <v>1.5443677099999999</v>
      </c>
      <c r="BT245" s="26">
        <v>1</v>
      </c>
      <c r="BU245" s="26">
        <v>0</v>
      </c>
      <c r="BV245" s="26">
        <v>0</v>
      </c>
      <c r="BW245" s="26">
        <v>-56679.135900000001</v>
      </c>
      <c r="BX245" s="26">
        <v>-3146.17013</v>
      </c>
      <c r="BY245" s="26">
        <v>-224.48914400000001</v>
      </c>
      <c r="BZ245" s="26">
        <v>-8.4707231800000002</v>
      </c>
      <c r="CA245" s="26">
        <v>-0.47019658800000003</v>
      </c>
      <c r="CB245" s="26">
        <v>4.3686528300000001E-5</v>
      </c>
      <c r="CC245" s="26">
        <v>7.8702503899999996E-4</v>
      </c>
      <c r="CD245" s="26">
        <v>18.015280000000001</v>
      </c>
      <c r="CE245" s="26">
        <v>1191.5110400000001</v>
      </c>
      <c r="CF245" s="26">
        <v>0</v>
      </c>
      <c r="CG245" s="26">
        <v>0</v>
      </c>
      <c r="CH245" s="26">
        <v>0</v>
      </c>
      <c r="CI245" s="26">
        <v>0</v>
      </c>
      <c r="CJ245" s="26">
        <v>0</v>
      </c>
      <c r="CK245" s="26">
        <v>0</v>
      </c>
      <c r="CL245" s="26">
        <v>0</v>
      </c>
      <c r="CM245" s="26">
        <v>0</v>
      </c>
      <c r="CN245" s="26">
        <v>0</v>
      </c>
      <c r="CO245" s="26">
        <v>0</v>
      </c>
      <c r="CP245" s="26">
        <v>0</v>
      </c>
      <c r="CQ245" s="26">
        <v>0</v>
      </c>
      <c r="CR245" s="26">
        <v>0</v>
      </c>
      <c r="CS245" s="26">
        <v>0</v>
      </c>
      <c r="CT245" s="26">
        <v>0</v>
      </c>
      <c r="CU245" s="26">
        <v>0</v>
      </c>
      <c r="CV245" s="26">
        <v>0</v>
      </c>
      <c r="CW245" s="26">
        <v>0</v>
      </c>
      <c r="CX245" s="26">
        <v>0</v>
      </c>
      <c r="CY245" s="26">
        <v>0</v>
      </c>
      <c r="CZ245" s="26">
        <v>0</v>
      </c>
      <c r="DA245" s="26">
        <v>0</v>
      </c>
      <c r="DB245" s="26">
        <v>0</v>
      </c>
      <c r="DC245" s="26">
        <v>0</v>
      </c>
      <c r="DD245" s="26">
        <v>0</v>
      </c>
      <c r="DE245" s="26">
        <v>0</v>
      </c>
      <c r="DF245" s="26">
        <v>0</v>
      </c>
      <c r="DG245" s="26">
        <v>0</v>
      </c>
      <c r="DH245" s="26">
        <v>0</v>
      </c>
      <c r="DI245" s="26">
        <v>0</v>
      </c>
      <c r="DJ245" s="26">
        <v>0</v>
      </c>
      <c r="DK245" s="26">
        <v>0</v>
      </c>
      <c r="DL245" s="26">
        <v>0</v>
      </c>
      <c r="DM245" s="26">
        <v>0</v>
      </c>
      <c r="DN245" s="26">
        <v>0</v>
      </c>
      <c r="DO245" s="26">
        <v>0</v>
      </c>
      <c r="DP245" s="26">
        <v>0</v>
      </c>
      <c r="DQ245" s="26">
        <v>0</v>
      </c>
      <c r="DR245" s="26">
        <v>0</v>
      </c>
      <c r="DS245" s="26">
        <v>0</v>
      </c>
      <c r="DT245" s="26">
        <v>0</v>
      </c>
      <c r="DU245" s="26">
        <v>0</v>
      </c>
      <c r="DV245" s="26">
        <v>0</v>
      </c>
      <c r="DW245" s="26">
        <v>0</v>
      </c>
      <c r="DX245" s="26">
        <v>0</v>
      </c>
      <c r="DY245" s="26">
        <v>0</v>
      </c>
      <c r="DZ245" s="26">
        <v>0</v>
      </c>
      <c r="EA245" s="26">
        <v>0</v>
      </c>
      <c r="EB245" s="26">
        <v>0</v>
      </c>
      <c r="EC245" s="26">
        <v>0</v>
      </c>
      <c r="ED245" s="26">
        <v>0</v>
      </c>
      <c r="EE245" s="26">
        <v>0</v>
      </c>
      <c r="EF245" s="26">
        <v>0</v>
      </c>
      <c r="EG245" s="26">
        <v>0</v>
      </c>
      <c r="EH245" s="26">
        <v>0</v>
      </c>
      <c r="EI245" s="26">
        <v>0</v>
      </c>
      <c r="EJ245" s="26">
        <v>0</v>
      </c>
      <c r="EK245" s="26">
        <v>0</v>
      </c>
      <c r="EL245" s="26">
        <v>0</v>
      </c>
      <c r="EM245" s="26">
        <v>0</v>
      </c>
      <c r="EN245" s="26">
        <v>0</v>
      </c>
      <c r="EO245" s="26">
        <v>0</v>
      </c>
      <c r="EP245" s="26">
        <v>0</v>
      </c>
      <c r="EQ245" s="26">
        <v>0</v>
      </c>
      <c r="ER245" s="26">
        <v>0</v>
      </c>
      <c r="ES245" s="26">
        <v>0</v>
      </c>
      <c r="ET245" s="26">
        <v>1.5443677099999999</v>
      </c>
      <c r="EU245" s="26">
        <v>0</v>
      </c>
      <c r="EV245" s="26">
        <v>0</v>
      </c>
      <c r="EW245" s="26">
        <v>0</v>
      </c>
      <c r="EX245" s="26">
        <v>0</v>
      </c>
      <c r="EY245" s="26">
        <v>0</v>
      </c>
      <c r="EZ245" s="26">
        <v>0</v>
      </c>
      <c r="FA245" s="26">
        <v>0</v>
      </c>
      <c r="FB245" s="26">
        <v>0</v>
      </c>
      <c r="FC245" s="26">
        <v>0</v>
      </c>
      <c r="FD245" s="26">
        <v>0</v>
      </c>
      <c r="FE245" s="26">
        <v>0</v>
      </c>
      <c r="FF245" s="26">
        <v>0</v>
      </c>
      <c r="FG245" s="26">
        <v>0</v>
      </c>
      <c r="FH245" s="26">
        <v>-266042526.711</v>
      </c>
      <c r="FI245" s="26">
        <v>0</v>
      </c>
      <c r="FJ245" s="26">
        <v>1.100194886579337</v>
      </c>
      <c r="FK245" s="26">
        <v>0</v>
      </c>
      <c r="FL245" s="26">
        <v>0</v>
      </c>
      <c r="FM245" s="26">
        <v>0</v>
      </c>
      <c r="FN245" s="26">
        <v>0</v>
      </c>
      <c r="FO245" s="26">
        <v>0</v>
      </c>
      <c r="FP245" s="26">
        <v>0</v>
      </c>
      <c r="FQ245" s="26">
        <v>0</v>
      </c>
      <c r="FR245" s="26">
        <v>0</v>
      </c>
      <c r="FS245" s="26">
        <v>0</v>
      </c>
      <c r="FT245" s="26">
        <v>0</v>
      </c>
      <c r="FU245" s="26">
        <v>0</v>
      </c>
      <c r="FV245" s="26">
        <v>0</v>
      </c>
      <c r="FW245" s="26">
        <v>0</v>
      </c>
      <c r="FX245" s="26">
        <v>0</v>
      </c>
      <c r="FY245" s="26">
        <v>0</v>
      </c>
      <c r="FZ245" s="26">
        <v>0</v>
      </c>
      <c r="GA245" s="26">
        <v>0</v>
      </c>
      <c r="GB245" s="26">
        <v>0</v>
      </c>
      <c r="GC245" s="26">
        <v>0</v>
      </c>
      <c r="GD245" s="26">
        <v>0</v>
      </c>
      <c r="GE245" s="26">
        <v>0</v>
      </c>
      <c r="GF245" s="26">
        <v>0</v>
      </c>
      <c r="GG245" s="26">
        <v>0</v>
      </c>
      <c r="GH245" s="26">
        <v>0</v>
      </c>
      <c r="GI245" s="26">
        <v>0</v>
      </c>
      <c r="GJ245" s="26">
        <v>0</v>
      </c>
      <c r="GK245" s="26">
        <v>0</v>
      </c>
      <c r="GL245" s="26">
        <v>0</v>
      </c>
      <c r="GM245" s="26">
        <v>0</v>
      </c>
      <c r="GN245" s="26">
        <v>0</v>
      </c>
      <c r="GO245" s="26">
        <v>0</v>
      </c>
      <c r="GP245" s="26">
        <v>0</v>
      </c>
      <c r="GQ245" s="26">
        <v>0</v>
      </c>
      <c r="GR245" s="26">
        <v>0</v>
      </c>
      <c r="GS245" s="26">
        <v>0</v>
      </c>
      <c r="GT245" s="26">
        <v>0</v>
      </c>
      <c r="GU245" s="26">
        <v>0</v>
      </c>
      <c r="GV245" s="26">
        <v>0</v>
      </c>
      <c r="GW245" s="26">
        <v>0</v>
      </c>
      <c r="GX245" s="26">
        <v>0</v>
      </c>
      <c r="GY245" s="26">
        <v>0</v>
      </c>
      <c r="GZ245" s="26">
        <v>0</v>
      </c>
      <c r="HA245" s="26">
        <v>0</v>
      </c>
      <c r="HB245" s="26">
        <v>0</v>
      </c>
      <c r="HC245" s="26">
        <v>0</v>
      </c>
      <c r="HD245" s="26">
        <v>0</v>
      </c>
      <c r="HE245" s="26">
        <v>0</v>
      </c>
      <c r="HF245" s="26">
        <v>0</v>
      </c>
      <c r="HG245" s="26">
        <v>0</v>
      </c>
      <c r="HH245" s="26">
        <v>0</v>
      </c>
      <c r="HI245" s="26">
        <v>0</v>
      </c>
      <c r="HJ245" s="26">
        <v>0</v>
      </c>
      <c r="HK245" s="26">
        <v>0</v>
      </c>
      <c r="HL245" s="26">
        <v>0</v>
      </c>
      <c r="HM245" s="26">
        <v>0</v>
      </c>
      <c r="HN245" s="26">
        <v>0</v>
      </c>
      <c r="HO245" s="26">
        <v>0</v>
      </c>
      <c r="HP245" s="26">
        <v>0</v>
      </c>
      <c r="HQ245" s="26">
        <v>0</v>
      </c>
      <c r="HR245" s="26">
        <v>0</v>
      </c>
      <c r="HS245" s="26">
        <v>0</v>
      </c>
      <c r="HT245" s="26">
        <v>0</v>
      </c>
    </row>
    <row r="246" spans="2:228" x14ac:dyDescent="0.2">
      <c r="B246" s="27" t="s">
        <v>2640</v>
      </c>
      <c r="C246" s="26">
        <v>411491.266</v>
      </c>
      <c r="D246" s="26">
        <v>-1492.46172</v>
      </c>
      <c r="E246" s="26">
        <v>385095.74200000003</v>
      </c>
      <c r="F246" s="26">
        <v>189.96647100000001</v>
      </c>
      <c r="G246" s="26">
        <v>501.83506700000004</v>
      </c>
      <c r="H246" s="26">
        <v>1101.61771</v>
      </c>
      <c r="I246" s="26">
        <v>462.21722000000005</v>
      </c>
      <c r="J246" s="26">
        <v>1022.3896999999999</v>
      </c>
      <c r="K246" s="26">
        <v>211.86789400000001</v>
      </c>
      <c r="L246" s="26">
        <v>318.75849399999998</v>
      </c>
      <c r="M246" s="26">
        <v>0</v>
      </c>
      <c r="N246" s="26">
        <v>1090.9604200000001</v>
      </c>
      <c r="O246" s="26">
        <v>27.531921799999999</v>
      </c>
      <c r="P246" s="26">
        <v>11.5518553</v>
      </c>
      <c r="Q246" s="26">
        <v>376.01039200000002</v>
      </c>
      <c r="R246" s="26">
        <v>45.822054899999998</v>
      </c>
      <c r="S246" s="26">
        <v>11753.7978</v>
      </c>
      <c r="T246" s="26">
        <v>632.14659600000005</v>
      </c>
      <c r="U246" s="26">
        <v>356.05842999999999</v>
      </c>
      <c r="V246" s="26">
        <v>485.77552500000007</v>
      </c>
      <c r="W246" s="26">
        <v>58.335082300000003</v>
      </c>
      <c r="X246" s="26">
        <v>1630.9824900000001</v>
      </c>
      <c r="Y246" s="26">
        <v>726.84030600000006</v>
      </c>
      <c r="Z246" s="26">
        <v>167.87425400000001</v>
      </c>
      <c r="AA246" s="26">
        <v>440.67470300000002</v>
      </c>
      <c r="AB246" s="26">
        <v>7.15406386E-4</v>
      </c>
      <c r="AC246" s="26">
        <v>6.8071378000000002E-2</v>
      </c>
      <c r="AD246" s="26">
        <v>2389.1657300000002</v>
      </c>
      <c r="AE246" s="26">
        <v>1791.6933100000001</v>
      </c>
      <c r="AF246" s="26">
        <v>124.03579599999999</v>
      </c>
      <c r="AG246" s="26">
        <v>0</v>
      </c>
      <c r="AH246" s="26">
        <v>0</v>
      </c>
      <c r="AI246" s="26">
        <v>0</v>
      </c>
      <c r="AJ246" s="26">
        <v>0</v>
      </c>
      <c r="AK246" s="26">
        <v>0</v>
      </c>
      <c r="AL246" s="26">
        <v>0</v>
      </c>
      <c r="AM246" s="26">
        <v>12.8602407</v>
      </c>
      <c r="AN246" s="26">
        <v>0.11970423400000002</v>
      </c>
      <c r="AO246" s="26">
        <v>0.20687404600000001</v>
      </c>
      <c r="AP246" s="26">
        <v>0</v>
      </c>
      <c r="AQ246" s="26">
        <v>0</v>
      </c>
      <c r="AR246" s="26">
        <v>0</v>
      </c>
      <c r="AS246" s="26">
        <v>3.6965341900000001E-17</v>
      </c>
      <c r="AT246" s="26">
        <v>0</v>
      </c>
      <c r="AU246" s="26">
        <v>0</v>
      </c>
      <c r="AV246" s="26">
        <v>7.3288308700000004E-10</v>
      </c>
      <c r="AW246" s="26">
        <v>0</v>
      </c>
      <c r="AX246" s="26">
        <v>0</v>
      </c>
      <c r="AY246" s="26">
        <v>0</v>
      </c>
      <c r="AZ246" s="26">
        <v>0</v>
      </c>
      <c r="BA246" s="26">
        <v>0</v>
      </c>
      <c r="BB246" s="26">
        <v>0</v>
      </c>
      <c r="BC246" s="26">
        <v>0</v>
      </c>
      <c r="BD246" s="26">
        <v>0</v>
      </c>
      <c r="BE246" s="26">
        <v>0</v>
      </c>
      <c r="BF246" s="26">
        <v>0</v>
      </c>
      <c r="BG246" s="26">
        <v>0</v>
      </c>
      <c r="BH246" s="26">
        <v>0</v>
      </c>
      <c r="BI246" s="26">
        <v>0</v>
      </c>
      <c r="BJ246" s="26">
        <v>0</v>
      </c>
      <c r="BK246" s="26">
        <v>0</v>
      </c>
      <c r="BL246" s="26">
        <v>0</v>
      </c>
      <c r="BM246" s="26">
        <v>0</v>
      </c>
      <c r="BN246" s="26">
        <v>0</v>
      </c>
      <c r="BO246" s="26">
        <v>21559.971799999999</v>
      </c>
      <c r="BP246" s="26">
        <v>411026.90700000001</v>
      </c>
      <c r="BQ246" s="26">
        <v>6942.10844</v>
      </c>
      <c r="BR246" s="26">
        <v>51.840398499999992</v>
      </c>
      <c r="BS246" s="26">
        <v>1.2949979599999999</v>
      </c>
      <c r="BT246" s="26">
        <v>0</v>
      </c>
      <c r="BU246" s="26">
        <v>1</v>
      </c>
      <c r="BV246" s="26">
        <v>0</v>
      </c>
      <c r="BW246" s="26">
        <v>-69198.954899999997</v>
      </c>
      <c r="BX246" s="26">
        <v>-3629.7563300000002</v>
      </c>
      <c r="BY246" s="26">
        <v>-1491.9275299999999</v>
      </c>
      <c r="BZ246" s="26">
        <v>-38.43609</v>
      </c>
      <c r="CA246" s="26">
        <v>-2.0161235300000002</v>
      </c>
      <c r="CB246" s="26">
        <v>5.1761343500000001E-2</v>
      </c>
      <c r="CC246" s="26">
        <v>0.98679650699999999</v>
      </c>
      <c r="CD246" s="26">
        <v>19.064352700000001</v>
      </c>
      <c r="CE246" s="26">
        <v>0</v>
      </c>
      <c r="CF246" s="26">
        <v>0</v>
      </c>
      <c r="CG246" s="26">
        <v>0</v>
      </c>
      <c r="CH246" s="26">
        <v>0</v>
      </c>
      <c r="CI246" s="26">
        <v>0</v>
      </c>
      <c r="CJ246" s="26">
        <v>0</v>
      </c>
      <c r="CK246" s="26">
        <v>0</v>
      </c>
      <c r="CL246" s="26">
        <v>0</v>
      </c>
      <c r="CM246" s="26">
        <v>0</v>
      </c>
      <c r="CN246" s="26">
        <v>0</v>
      </c>
      <c r="CO246" s="26">
        <v>0</v>
      </c>
      <c r="CP246" s="26">
        <v>0</v>
      </c>
      <c r="CQ246" s="26">
        <v>0</v>
      </c>
      <c r="CR246" s="26">
        <v>0</v>
      </c>
      <c r="CS246" s="26">
        <v>0</v>
      </c>
      <c r="CT246" s="26">
        <v>0</v>
      </c>
      <c r="CU246" s="26">
        <v>0</v>
      </c>
      <c r="CV246" s="26">
        <v>0</v>
      </c>
      <c r="CW246" s="26">
        <v>0</v>
      </c>
      <c r="CX246" s="26">
        <v>0</v>
      </c>
      <c r="CY246" s="26">
        <v>0</v>
      </c>
      <c r="CZ246" s="26">
        <v>0</v>
      </c>
      <c r="DA246" s="26">
        <v>0</v>
      </c>
      <c r="DB246" s="26">
        <v>0</v>
      </c>
      <c r="DC246" s="26">
        <v>0</v>
      </c>
      <c r="DD246" s="26">
        <v>0</v>
      </c>
      <c r="DE246" s="26">
        <v>0</v>
      </c>
      <c r="DF246" s="26">
        <v>0</v>
      </c>
      <c r="DG246" s="26">
        <v>0</v>
      </c>
      <c r="DH246" s="26">
        <v>0</v>
      </c>
      <c r="DI246" s="26">
        <v>0</v>
      </c>
      <c r="DJ246" s="26">
        <v>0</v>
      </c>
      <c r="DK246" s="26">
        <v>0</v>
      </c>
      <c r="DL246" s="26">
        <v>0</v>
      </c>
      <c r="DM246" s="26">
        <v>0</v>
      </c>
      <c r="DN246" s="26">
        <v>0</v>
      </c>
      <c r="DO246" s="26">
        <v>0</v>
      </c>
      <c r="DP246" s="26">
        <v>0</v>
      </c>
      <c r="DQ246" s="26">
        <v>0</v>
      </c>
      <c r="DR246" s="26">
        <v>0</v>
      </c>
      <c r="DS246" s="26">
        <v>0</v>
      </c>
      <c r="DT246" s="26">
        <v>0</v>
      </c>
      <c r="DU246" s="26">
        <v>0</v>
      </c>
      <c r="DV246" s="26">
        <v>0</v>
      </c>
      <c r="DW246" s="26">
        <v>0</v>
      </c>
      <c r="DX246" s="26">
        <v>25.092833200000001</v>
      </c>
      <c r="DY246" s="26">
        <v>0.61959341099999998</v>
      </c>
      <c r="DZ246" s="26">
        <v>0.25996926399999998</v>
      </c>
      <c r="EA246" s="26">
        <v>8.4619995299999999</v>
      </c>
      <c r="EB246" s="26">
        <v>1.0312114100000001</v>
      </c>
      <c r="EC246" s="26">
        <v>249.50383400000001</v>
      </c>
      <c r="ED246" s="26">
        <v>0</v>
      </c>
      <c r="EE246" s="26">
        <v>57.32226639999999</v>
      </c>
      <c r="EF246" s="26">
        <v>82.156953099999996</v>
      </c>
      <c r="EG246" s="26">
        <v>10.4160641</v>
      </c>
      <c r="EH246" s="26">
        <v>1.15734212</v>
      </c>
      <c r="EI246" s="26">
        <v>16.719684600000001</v>
      </c>
      <c r="EJ246" s="26">
        <v>2.1560445600000002</v>
      </c>
      <c r="EK246" s="26">
        <v>0</v>
      </c>
      <c r="EL246" s="26">
        <v>9.4619263199999999</v>
      </c>
      <c r="EM246" s="26">
        <v>0</v>
      </c>
      <c r="EN246" s="26">
        <v>0</v>
      </c>
      <c r="EO246" s="26">
        <v>0</v>
      </c>
      <c r="EP246" s="26">
        <v>7.16111567</v>
      </c>
      <c r="EQ246" s="26">
        <v>464.35972200000003</v>
      </c>
      <c r="ER246" s="26">
        <v>5.5863107799999998</v>
      </c>
      <c r="ES246" s="26">
        <v>51.840398499999992</v>
      </c>
      <c r="ET246" s="26">
        <v>1.2949979599999999</v>
      </c>
      <c r="EU246" s="26">
        <v>0</v>
      </c>
      <c r="EV246" s="26">
        <v>0</v>
      </c>
      <c r="EW246" s="26">
        <v>1</v>
      </c>
      <c r="EX246" s="26">
        <v>-74596.538799999995</v>
      </c>
      <c r="EY246" s="26">
        <v>-1150.3892699999999</v>
      </c>
      <c r="EZ246" s="26">
        <v>-0.53419444699999996</v>
      </c>
      <c r="FA246" s="26">
        <v>-148.00304399999999</v>
      </c>
      <c r="FB246" s="26">
        <v>-2.2824264599999999</v>
      </c>
      <c r="FC246" s="26">
        <v>2.1365070999999999E-2</v>
      </c>
      <c r="FD246" s="26">
        <v>1.38540961</v>
      </c>
      <c r="FE246" s="26">
        <v>64.844605700000002</v>
      </c>
      <c r="FF246" s="26">
        <v>0</v>
      </c>
      <c r="FG246" s="26">
        <v>6.4491133699999995E-2</v>
      </c>
      <c r="FH246" s="26">
        <v>-1747382286.1599998</v>
      </c>
      <c r="FI246" s="26">
        <v>0.22273915122635768</v>
      </c>
      <c r="FJ246" s="26">
        <v>0</v>
      </c>
      <c r="FK246" s="26">
        <v>0</v>
      </c>
      <c r="FL246" s="26">
        <v>0</v>
      </c>
      <c r="FM246" s="26">
        <v>0</v>
      </c>
      <c r="FN246" s="26">
        <v>0</v>
      </c>
      <c r="FO246" s="26">
        <v>0</v>
      </c>
      <c r="FP246" s="26">
        <v>0</v>
      </c>
      <c r="FQ246" s="26">
        <v>0</v>
      </c>
      <c r="FR246" s="26">
        <v>0</v>
      </c>
      <c r="FS246" s="26">
        <v>0</v>
      </c>
      <c r="FT246" s="26">
        <v>0</v>
      </c>
      <c r="FU246" s="26">
        <v>0</v>
      </c>
      <c r="FV246" s="26">
        <v>0</v>
      </c>
      <c r="FW246" s="26">
        <v>0</v>
      </c>
      <c r="FX246" s="26">
        <v>0</v>
      </c>
      <c r="FY246" s="26">
        <v>0</v>
      </c>
      <c r="FZ246" s="26">
        <v>0</v>
      </c>
      <c r="GA246" s="26">
        <v>0</v>
      </c>
      <c r="GB246" s="26">
        <v>0</v>
      </c>
      <c r="GC246" s="26">
        <v>0</v>
      </c>
      <c r="GD246" s="26">
        <v>0</v>
      </c>
      <c r="GE246" s="26">
        <v>0</v>
      </c>
      <c r="GF246" s="26">
        <v>0</v>
      </c>
      <c r="GG246" s="26">
        <v>0</v>
      </c>
      <c r="GH246" s="26">
        <v>0</v>
      </c>
      <c r="GI246" s="26">
        <v>0</v>
      </c>
      <c r="GJ246" s="26">
        <v>0</v>
      </c>
      <c r="GK246" s="26">
        <v>0</v>
      </c>
      <c r="GL246" s="26">
        <v>0</v>
      </c>
      <c r="GM246" s="26">
        <v>0</v>
      </c>
      <c r="GN246" s="26">
        <v>0</v>
      </c>
      <c r="GO246" s="26">
        <v>0</v>
      </c>
      <c r="GP246" s="26">
        <v>0</v>
      </c>
      <c r="GQ246" s="26">
        <v>0</v>
      </c>
      <c r="GR246" s="26">
        <v>0</v>
      </c>
      <c r="GS246" s="26">
        <v>0</v>
      </c>
      <c r="GT246" s="26">
        <v>0</v>
      </c>
      <c r="GU246" s="26">
        <v>0</v>
      </c>
      <c r="GV246" s="26">
        <v>0</v>
      </c>
      <c r="GW246" s="26">
        <v>0</v>
      </c>
      <c r="GX246" s="26">
        <v>0</v>
      </c>
      <c r="GY246" s="26">
        <v>0</v>
      </c>
      <c r="GZ246" s="26">
        <v>0</v>
      </c>
      <c r="HA246" s="26">
        <v>0</v>
      </c>
      <c r="HB246" s="26">
        <v>0</v>
      </c>
      <c r="HC246" s="26">
        <v>0</v>
      </c>
      <c r="HD246" s="26">
        <v>0</v>
      </c>
      <c r="HE246" s="26">
        <v>0</v>
      </c>
      <c r="HF246" s="26">
        <v>0</v>
      </c>
      <c r="HG246" s="26">
        <v>0</v>
      </c>
      <c r="HH246" s="26">
        <v>0</v>
      </c>
      <c r="HI246" s="26">
        <v>0</v>
      </c>
      <c r="HJ246" s="26">
        <v>0</v>
      </c>
      <c r="HK246" s="26">
        <v>0</v>
      </c>
      <c r="HL246" s="26">
        <v>0</v>
      </c>
      <c r="HM246" s="26">
        <v>0</v>
      </c>
      <c r="HN246" s="26">
        <v>0</v>
      </c>
      <c r="HO246" s="26">
        <v>0</v>
      </c>
      <c r="HP246" s="26">
        <v>0</v>
      </c>
      <c r="HQ246" s="26">
        <v>0</v>
      </c>
      <c r="HR246" s="26">
        <v>0</v>
      </c>
      <c r="HS246" s="26">
        <v>0</v>
      </c>
      <c r="HT246" s="26">
        <v>5.1431895133677383E-3</v>
      </c>
    </row>
    <row r="247" spans="2:228" x14ac:dyDescent="0.2">
      <c r="B247" s="27" t="s">
        <v>2642</v>
      </c>
      <c r="C247" s="26">
        <v>411491.266</v>
      </c>
      <c r="D247" s="26">
        <v>-1498.80555</v>
      </c>
      <c r="E247" s="26">
        <v>385095.74200000003</v>
      </c>
      <c r="F247" s="26">
        <v>189.96647100000001</v>
      </c>
      <c r="G247" s="26">
        <v>501.83506700000004</v>
      </c>
      <c r="H247" s="26">
        <v>1101.61771</v>
      </c>
      <c r="I247" s="26">
        <v>462.21722000000005</v>
      </c>
      <c r="J247" s="26">
        <v>1022.3896999999999</v>
      </c>
      <c r="K247" s="26">
        <v>211.86789400000001</v>
      </c>
      <c r="L247" s="26">
        <v>318.75849399999998</v>
      </c>
      <c r="M247" s="26">
        <v>0</v>
      </c>
      <c r="N247" s="26">
        <v>1090.9604200000001</v>
      </c>
      <c r="O247" s="26">
        <v>27.531921799999999</v>
      </c>
      <c r="P247" s="26">
        <v>11.5518553</v>
      </c>
      <c r="Q247" s="26">
        <v>376.01039200000002</v>
      </c>
      <c r="R247" s="26">
        <v>45.822054899999998</v>
      </c>
      <c r="S247" s="26">
        <v>11753.7978</v>
      </c>
      <c r="T247" s="26">
        <v>632.14659600000005</v>
      </c>
      <c r="U247" s="26">
        <v>356.05842999999999</v>
      </c>
      <c r="V247" s="26">
        <v>485.77552500000007</v>
      </c>
      <c r="W247" s="26">
        <v>58.335082300000003</v>
      </c>
      <c r="X247" s="26">
        <v>1630.9824900000001</v>
      </c>
      <c r="Y247" s="26">
        <v>726.84030600000006</v>
      </c>
      <c r="Z247" s="26">
        <v>167.87425400000001</v>
      </c>
      <c r="AA247" s="26">
        <v>440.67470300000002</v>
      </c>
      <c r="AB247" s="26">
        <v>7.15406386E-4</v>
      </c>
      <c r="AC247" s="26">
        <v>6.8071378000000002E-2</v>
      </c>
      <c r="AD247" s="26">
        <v>2389.1657300000002</v>
      </c>
      <c r="AE247" s="26">
        <v>1791.6933100000001</v>
      </c>
      <c r="AF247" s="26">
        <v>124.03579599999999</v>
      </c>
      <c r="AG247" s="26">
        <v>0</v>
      </c>
      <c r="AH247" s="26">
        <v>0</v>
      </c>
      <c r="AI247" s="26">
        <v>0</v>
      </c>
      <c r="AJ247" s="26">
        <v>0</v>
      </c>
      <c r="AK247" s="26">
        <v>0</v>
      </c>
      <c r="AL247" s="26">
        <v>0</v>
      </c>
      <c r="AM247" s="26">
        <v>12.8602407</v>
      </c>
      <c r="AN247" s="26">
        <v>0.11970423400000002</v>
      </c>
      <c r="AO247" s="26">
        <v>0.20687404600000001</v>
      </c>
      <c r="AP247" s="26">
        <v>0</v>
      </c>
      <c r="AQ247" s="26">
        <v>0</v>
      </c>
      <c r="AR247" s="26">
        <v>0</v>
      </c>
      <c r="AS247" s="26">
        <v>3.6965341900000001E-17</v>
      </c>
      <c r="AT247" s="26">
        <v>0</v>
      </c>
      <c r="AU247" s="26">
        <v>0</v>
      </c>
      <c r="AV247" s="26">
        <v>7.3288308700000004E-10</v>
      </c>
      <c r="AW247" s="26">
        <v>0</v>
      </c>
      <c r="AX247" s="26">
        <v>0</v>
      </c>
      <c r="AY247" s="26">
        <v>0</v>
      </c>
      <c r="AZ247" s="26">
        <v>0</v>
      </c>
      <c r="BA247" s="26">
        <v>0</v>
      </c>
      <c r="BB247" s="26">
        <v>0</v>
      </c>
      <c r="BC247" s="26">
        <v>0</v>
      </c>
      <c r="BD247" s="26">
        <v>0</v>
      </c>
      <c r="BE247" s="26">
        <v>0</v>
      </c>
      <c r="BF247" s="26">
        <v>0</v>
      </c>
      <c r="BG247" s="26">
        <v>0</v>
      </c>
      <c r="BH247" s="26">
        <v>0</v>
      </c>
      <c r="BI247" s="26">
        <v>0</v>
      </c>
      <c r="BJ247" s="26">
        <v>0</v>
      </c>
      <c r="BK247" s="26">
        <v>0</v>
      </c>
      <c r="BL247" s="26">
        <v>0</v>
      </c>
      <c r="BM247" s="26">
        <v>0</v>
      </c>
      <c r="BN247" s="26">
        <v>0</v>
      </c>
      <c r="BO247" s="26">
        <v>21559.971799999999</v>
      </c>
      <c r="BP247" s="26">
        <v>411026.90700000001</v>
      </c>
      <c r="BQ247" s="26">
        <v>6824.3868599999996</v>
      </c>
      <c r="BR247" s="26">
        <v>35</v>
      </c>
      <c r="BS247" s="26">
        <v>1.2949979599999999</v>
      </c>
      <c r="BT247" s="26">
        <v>0</v>
      </c>
      <c r="BU247" s="26">
        <v>1</v>
      </c>
      <c r="BV247" s="26">
        <v>0</v>
      </c>
      <c r="BW247" s="26">
        <v>-69493.091100000005</v>
      </c>
      <c r="BX247" s="26">
        <v>-3645.1849299999999</v>
      </c>
      <c r="BY247" s="26">
        <v>-1498.2691</v>
      </c>
      <c r="BZ247" s="26">
        <v>-39.363947500000002</v>
      </c>
      <c r="CA247" s="26">
        <v>-2.0647932899999999</v>
      </c>
      <c r="CB247" s="26">
        <v>5.2654233500000001E-2</v>
      </c>
      <c r="CC247" s="26">
        <v>1.0038188800000001</v>
      </c>
      <c r="CD247" s="26">
        <v>19.064352700000001</v>
      </c>
      <c r="CE247" s="26">
        <v>0</v>
      </c>
      <c r="CF247" s="26">
        <v>0</v>
      </c>
      <c r="CG247" s="26">
        <v>0</v>
      </c>
      <c r="CH247" s="26">
        <v>0</v>
      </c>
      <c r="CI247" s="26">
        <v>0</v>
      </c>
      <c r="CJ247" s="26">
        <v>0</v>
      </c>
      <c r="CK247" s="26">
        <v>0</v>
      </c>
      <c r="CL247" s="26">
        <v>0</v>
      </c>
      <c r="CM247" s="26">
        <v>0</v>
      </c>
      <c r="CN247" s="26">
        <v>0</v>
      </c>
      <c r="CO247" s="26">
        <v>0</v>
      </c>
      <c r="CP247" s="26">
        <v>0</v>
      </c>
      <c r="CQ247" s="26">
        <v>0</v>
      </c>
      <c r="CR247" s="26">
        <v>0</v>
      </c>
      <c r="CS247" s="26">
        <v>0</v>
      </c>
      <c r="CT247" s="26">
        <v>0</v>
      </c>
      <c r="CU247" s="26">
        <v>0</v>
      </c>
      <c r="CV247" s="26">
        <v>0</v>
      </c>
      <c r="CW247" s="26">
        <v>0</v>
      </c>
      <c r="CX247" s="26">
        <v>0</v>
      </c>
      <c r="CY247" s="26">
        <v>0</v>
      </c>
      <c r="CZ247" s="26">
        <v>0</v>
      </c>
      <c r="DA247" s="26">
        <v>0</v>
      </c>
      <c r="DB247" s="26">
        <v>0</v>
      </c>
      <c r="DC247" s="26">
        <v>0</v>
      </c>
      <c r="DD247" s="26">
        <v>0</v>
      </c>
      <c r="DE247" s="26">
        <v>0</v>
      </c>
      <c r="DF247" s="26">
        <v>0</v>
      </c>
      <c r="DG247" s="26">
        <v>0</v>
      </c>
      <c r="DH247" s="26">
        <v>0</v>
      </c>
      <c r="DI247" s="26">
        <v>0</v>
      </c>
      <c r="DJ247" s="26">
        <v>0</v>
      </c>
      <c r="DK247" s="26">
        <v>0</v>
      </c>
      <c r="DL247" s="26">
        <v>0</v>
      </c>
      <c r="DM247" s="26">
        <v>0</v>
      </c>
      <c r="DN247" s="26">
        <v>0</v>
      </c>
      <c r="DO247" s="26">
        <v>0</v>
      </c>
      <c r="DP247" s="26">
        <v>0</v>
      </c>
      <c r="DQ247" s="26">
        <v>0</v>
      </c>
      <c r="DR247" s="26">
        <v>0</v>
      </c>
      <c r="DS247" s="26">
        <v>0</v>
      </c>
      <c r="DT247" s="26">
        <v>0</v>
      </c>
      <c r="DU247" s="26">
        <v>0</v>
      </c>
      <c r="DV247" s="26">
        <v>0</v>
      </c>
      <c r="DW247" s="26">
        <v>0</v>
      </c>
      <c r="DX247" s="26">
        <v>25.092833200000001</v>
      </c>
      <c r="DY247" s="26">
        <v>0.61959341099999998</v>
      </c>
      <c r="DZ247" s="26">
        <v>0.25996926399999998</v>
      </c>
      <c r="EA247" s="26">
        <v>8.4619995299999999</v>
      </c>
      <c r="EB247" s="26">
        <v>1.0312114100000001</v>
      </c>
      <c r="EC247" s="26">
        <v>249.50383400000001</v>
      </c>
      <c r="ED247" s="26">
        <v>0</v>
      </c>
      <c r="EE247" s="26">
        <v>57.32226639999999</v>
      </c>
      <c r="EF247" s="26">
        <v>82.156953099999996</v>
      </c>
      <c r="EG247" s="26">
        <v>10.4160641</v>
      </c>
      <c r="EH247" s="26">
        <v>1.15734212</v>
      </c>
      <c r="EI247" s="26">
        <v>16.719684600000001</v>
      </c>
      <c r="EJ247" s="26">
        <v>2.1560445600000002</v>
      </c>
      <c r="EK247" s="26">
        <v>0</v>
      </c>
      <c r="EL247" s="26">
        <v>9.4619263199999999</v>
      </c>
      <c r="EM247" s="26">
        <v>0</v>
      </c>
      <c r="EN247" s="26">
        <v>0</v>
      </c>
      <c r="EO247" s="26">
        <v>0</v>
      </c>
      <c r="EP247" s="26">
        <v>7.16111567</v>
      </c>
      <c r="EQ247" s="26">
        <v>464.35972200000003</v>
      </c>
      <c r="ER247" s="26">
        <v>5.5863107799999998</v>
      </c>
      <c r="ES247" s="26">
        <v>35</v>
      </c>
      <c r="ET247" s="26">
        <v>1.2949979599999999</v>
      </c>
      <c r="EU247" s="26">
        <v>0</v>
      </c>
      <c r="EV247" s="26">
        <v>0</v>
      </c>
      <c r="EW247" s="26">
        <v>1</v>
      </c>
      <c r="EX247" s="26">
        <v>-74911.952900000004</v>
      </c>
      <c r="EY247" s="26">
        <v>-1155.25343</v>
      </c>
      <c r="EZ247" s="26">
        <v>-0.53645316499999995</v>
      </c>
      <c r="FA247" s="26">
        <v>-148.99950799999999</v>
      </c>
      <c r="FB247" s="26">
        <v>-2.2977934200000001</v>
      </c>
      <c r="FC247" s="26">
        <v>2.1365070999999999E-2</v>
      </c>
      <c r="FD247" s="26">
        <v>1.38540961</v>
      </c>
      <c r="FE247" s="26">
        <v>64.844605700000002</v>
      </c>
      <c r="FF247" s="26">
        <v>0</v>
      </c>
      <c r="FG247" s="26">
        <v>6.4491133699999995E-2</v>
      </c>
      <c r="FH247" s="26">
        <v>-1747382286.1599998</v>
      </c>
      <c r="FI247" s="26">
        <v>0.22273915122635768</v>
      </c>
      <c r="FJ247" s="26">
        <v>0</v>
      </c>
      <c r="FK247" s="26">
        <v>0</v>
      </c>
      <c r="FL247" s="26">
        <v>0</v>
      </c>
      <c r="FM247" s="26">
        <v>0</v>
      </c>
      <c r="FN247" s="26">
        <v>0</v>
      </c>
      <c r="FO247" s="26">
        <v>0</v>
      </c>
      <c r="FP247" s="26">
        <v>0</v>
      </c>
      <c r="FQ247" s="26">
        <v>0</v>
      </c>
      <c r="FR247" s="26">
        <v>0</v>
      </c>
      <c r="FS247" s="26">
        <v>0</v>
      </c>
      <c r="FT247" s="26">
        <v>0</v>
      </c>
      <c r="FU247" s="26">
        <v>0</v>
      </c>
      <c r="FV247" s="26">
        <v>0</v>
      </c>
      <c r="FW247" s="26">
        <v>0</v>
      </c>
      <c r="FX247" s="26">
        <v>0</v>
      </c>
      <c r="FY247" s="26">
        <v>0</v>
      </c>
      <c r="FZ247" s="26">
        <v>0</v>
      </c>
      <c r="GA247" s="26">
        <v>0</v>
      </c>
      <c r="GB247" s="26">
        <v>0</v>
      </c>
      <c r="GC247" s="26">
        <v>0</v>
      </c>
      <c r="GD247" s="26">
        <v>0</v>
      </c>
      <c r="GE247" s="26">
        <v>0</v>
      </c>
      <c r="GF247" s="26">
        <v>0</v>
      </c>
      <c r="GG247" s="26">
        <v>0</v>
      </c>
      <c r="GH247" s="26">
        <v>0</v>
      </c>
      <c r="GI247" s="26">
        <v>0</v>
      </c>
      <c r="GJ247" s="26">
        <v>0</v>
      </c>
      <c r="GK247" s="26">
        <v>0</v>
      </c>
      <c r="GL247" s="26">
        <v>0</v>
      </c>
      <c r="GM247" s="26">
        <v>0</v>
      </c>
      <c r="GN247" s="26">
        <v>0</v>
      </c>
      <c r="GO247" s="26">
        <v>0</v>
      </c>
      <c r="GP247" s="26">
        <v>0</v>
      </c>
      <c r="GQ247" s="26">
        <v>0</v>
      </c>
      <c r="GR247" s="26">
        <v>0</v>
      </c>
      <c r="GS247" s="26">
        <v>0</v>
      </c>
      <c r="GT247" s="26">
        <v>0</v>
      </c>
      <c r="GU247" s="26">
        <v>0</v>
      </c>
      <c r="GV247" s="26">
        <v>0</v>
      </c>
      <c r="GW247" s="26">
        <v>0</v>
      </c>
      <c r="GX247" s="26">
        <v>0</v>
      </c>
      <c r="GY247" s="26">
        <v>0</v>
      </c>
      <c r="GZ247" s="26">
        <v>0</v>
      </c>
      <c r="HA247" s="26">
        <v>0</v>
      </c>
      <c r="HB247" s="26">
        <v>0</v>
      </c>
      <c r="HC247" s="26">
        <v>0</v>
      </c>
      <c r="HD247" s="26">
        <v>0</v>
      </c>
      <c r="HE247" s="26">
        <v>0</v>
      </c>
      <c r="HF247" s="26">
        <v>0</v>
      </c>
      <c r="HG247" s="26">
        <v>0</v>
      </c>
      <c r="HH247" s="26">
        <v>0</v>
      </c>
      <c r="HI247" s="26">
        <v>0</v>
      </c>
      <c r="HJ247" s="26">
        <v>0</v>
      </c>
      <c r="HK247" s="26">
        <v>0</v>
      </c>
      <c r="HL247" s="26">
        <v>0</v>
      </c>
      <c r="HM247" s="26">
        <v>0</v>
      </c>
      <c r="HN247" s="26">
        <v>0</v>
      </c>
      <c r="HO247" s="26">
        <v>0</v>
      </c>
      <c r="HP247" s="26">
        <v>0</v>
      </c>
      <c r="HQ247" s="26">
        <v>0</v>
      </c>
      <c r="HR247" s="26">
        <v>0</v>
      </c>
      <c r="HS247" s="26">
        <v>0</v>
      </c>
      <c r="HT247" s="26">
        <v>5.1431895133677383E-3</v>
      </c>
    </row>
    <row r="248" spans="2:228" x14ac:dyDescent="0.2">
      <c r="B248" s="27" t="s">
        <v>2643</v>
      </c>
      <c r="C248" s="26">
        <v>20921.610199999999</v>
      </c>
      <c r="D248" s="26">
        <v>-33.776014699999998</v>
      </c>
      <c r="E248" s="26">
        <v>0</v>
      </c>
      <c r="F248" s="26">
        <v>172.86948799999999</v>
      </c>
      <c r="G248" s="26">
        <v>456.66991100000007</v>
      </c>
      <c r="H248" s="26">
        <v>1002.47211</v>
      </c>
      <c r="I248" s="26">
        <v>420.61766999999998</v>
      </c>
      <c r="J248" s="26">
        <v>930.37462600000015</v>
      </c>
      <c r="K248" s="26">
        <v>192.79978399999999</v>
      </c>
      <c r="L248" s="26">
        <v>290.07022999999998</v>
      </c>
      <c r="M248" s="26">
        <v>0</v>
      </c>
      <c r="N248" s="26">
        <v>992.77398400000015</v>
      </c>
      <c r="O248" s="26">
        <v>25.0540488</v>
      </c>
      <c r="P248" s="26">
        <v>10.5121883</v>
      </c>
      <c r="Q248" s="26">
        <v>342.16945700000002</v>
      </c>
      <c r="R248" s="26">
        <v>41.698070000000001</v>
      </c>
      <c r="S248" s="26">
        <v>10695.956</v>
      </c>
      <c r="T248" s="26">
        <v>575.25340200000005</v>
      </c>
      <c r="U248" s="26">
        <v>324.013171</v>
      </c>
      <c r="V248" s="26">
        <v>442.05572799999999</v>
      </c>
      <c r="W248" s="26">
        <v>53.084924899999997</v>
      </c>
      <c r="X248" s="26">
        <v>1484.19406</v>
      </c>
      <c r="Y248" s="26">
        <v>661.42467899999997</v>
      </c>
      <c r="Z248" s="26">
        <v>152.76557099999999</v>
      </c>
      <c r="AA248" s="26">
        <v>401.01398</v>
      </c>
      <c r="AB248" s="26">
        <v>6.5101981099999998E-4</v>
      </c>
      <c r="AC248" s="26">
        <v>6.1944954000000003E-2</v>
      </c>
      <c r="AD248" s="26">
        <v>645.074747</v>
      </c>
      <c r="AE248" s="26">
        <v>483.75719300000003</v>
      </c>
      <c r="AF248" s="26">
        <v>112.87257400000001</v>
      </c>
      <c r="AG248" s="26">
        <v>0</v>
      </c>
      <c r="AH248" s="26">
        <v>0</v>
      </c>
      <c r="AI248" s="26">
        <v>0</v>
      </c>
      <c r="AJ248" s="26">
        <v>0</v>
      </c>
      <c r="AK248" s="26">
        <v>0</v>
      </c>
      <c r="AL248" s="26">
        <v>0</v>
      </c>
      <c r="AM248" s="26">
        <v>11.702819</v>
      </c>
      <c r="AN248" s="26">
        <v>0.10893085299999999</v>
      </c>
      <c r="AO248" s="26">
        <v>0.188255382</v>
      </c>
      <c r="AP248" s="26">
        <v>0</v>
      </c>
      <c r="AQ248" s="26">
        <v>0</v>
      </c>
      <c r="AR248" s="26">
        <v>0</v>
      </c>
      <c r="AS248" s="26">
        <v>0</v>
      </c>
      <c r="AT248" s="26">
        <v>0</v>
      </c>
      <c r="AU248" s="26">
        <v>0</v>
      </c>
      <c r="AV248" s="26">
        <v>6.6692360900000002E-10</v>
      </c>
      <c r="AW248" s="26">
        <v>0</v>
      </c>
      <c r="AX248" s="26">
        <v>0</v>
      </c>
      <c r="AY248" s="26">
        <v>0</v>
      </c>
      <c r="AZ248" s="26">
        <v>0</v>
      </c>
      <c r="BA248" s="26">
        <v>0</v>
      </c>
      <c r="BB248" s="26">
        <v>0</v>
      </c>
      <c r="BC248" s="26">
        <v>0</v>
      </c>
      <c r="BD248" s="26">
        <v>0</v>
      </c>
      <c r="BE248" s="26">
        <v>0</v>
      </c>
      <c r="BF248" s="26">
        <v>0</v>
      </c>
      <c r="BG248" s="26">
        <v>0</v>
      </c>
      <c r="BH248" s="26">
        <v>0</v>
      </c>
      <c r="BI248" s="26">
        <v>0</v>
      </c>
      <c r="BJ248" s="26">
        <v>0</v>
      </c>
      <c r="BK248" s="26">
        <v>0</v>
      </c>
      <c r="BL248" s="26">
        <v>0</v>
      </c>
      <c r="BM248" s="26">
        <v>0</v>
      </c>
      <c r="BN248" s="26">
        <v>0</v>
      </c>
      <c r="BO248" s="26">
        <v>140.91050799999999</v>
      </c>
      <c r="BP248" s="26">
        <v>20921.610199999999</v>
      </c>
      <c r="BQ248" s="26">
        <v>76.812635</v>
      </c>
      <c r="BR248" s="26">
        <v>35</v>
      </c>
      <c r="BS248" s="26">
        <v>1.2949979599999999</v>
      </c>
      <c r="BT248" s="26">
        <v>0</v>
      </c>
      <c r="BU248" s="26">
        <v>1</v>
      </c>
      <c r="BV248" s="26">
        <v>0</v>
      </c>
      <c r="BW248" s="26">
        <v>-239698.33799999999</v>
      </c>
      <c r="BX248" s="26">
        <v>-1614.40798</v>
      </c>
      <c r="BY248" s="26">
        <v>-33.776014699999998</v>
      </c>
      <c r="BZ248" s="26">
        <v>-200.215712</v>
      </c>
      <c r="CA248" s="26">
        <v>-1.3484859499999999</v>
      </c>
      <c r="CB248" s="26">
        <v>3.0574506800000002E-2</v>
      </c>
      <c r="CC248" s="26">
        <v>4.5395331099999998</v>
      </c>
      <c r="CD248" s="26">
        <v>148.47445099999999</v>
      </c>
      <c r="CE248" s="26">
        <v>0</v>
      </c>
      <c r="CF248" s="26">
        <v>0</v>
      </c>
      <c r="CG248" s="26">
        <v>0</v>
      </c>
      <c r="CH248" s="26">
        <v>0</v>
      </c>
      <c r="CI248" s="26">
        <v>0</v>
      </c>
      <c r="CJ248" s="26">
        <v>0</v>
      </c>
      <c r="CK248" s="26">
        <v>0</v>
      </c>
      <c r="CL248" s="26">
        <v>0</v>
      </c>
      <c r="CM248" s="26">
        <v>0</v>
      </c>
      <c r="CN248" s="26">
        <v>0</v>
      </c>
      <c r="CO248" s="26">
        <v>0</v>
      </c>
      <c r="CP248" s="26">
        <v>0</v>
      </c>
      <c r="CQ248" s="26">
        <v>0</v>
      </c>
      <c r="CR248" s="26">
        <v>0</v>
      </c>
      <c r="CS248" s="26">
        <v>0</v>
      </c>
      <c r="CT248" s="26">
        <v>0</v>
      </c>
      <c r="CU248" s="26">
        <v>0</v>
      </c>
      <c r="CV248" s="26">
        <v>0</v>
      </c>
      <c r="CW248" s="26">
        <v>0</v>
      </c>
      <c r="CX248" s="26">
        <v>0</v>
      </c>
      <c r="CY248" s="26">
        <v>0</v>
      </c>
      <c r="CZ248" s="26">
        <v>0</v>
      </c>
      <c r="DA248" s="26">
        <v>0</v>
      </c>
      <c r="DB248" s="26">
        <v>0</v>
      </c>
      <c r="DC248" s="26">
        <v>0</v>
      </c>
      <c r="DD248" s="26">
        <v>0</v>
      </c>
      <c r="DE248" s="26">
        <v>0</v>
      </c>
      <c r="DF248" s="26">
        <v>0</v>
      </c>
      <c r="DG248" s="26">
        <v>0</v>
      </c>
      <c r="DH248" s="26">
        <v>0</v>
      </c>
      <c r="DI248" s="26">
        <v>0</v>
      </c>
      <c r="DJ248" s="26">
        <v>0</v>
      </c>
      <c r="DK248" s="26">
        <v>0</v>
      </c>
      <c r="DL248" s="26">
        <v>0</v>
      </c>
      <c r="DM248" s="26">
        <v>0</v>
      </c>
      <c r="DN248" s="26">
        <v>0</v>
      </c>
      <c r="DO248" s="26">
        <v>0</v>
      </c>
      <c r="DP248" s="26">
        <v>0</v>
      </c>
      <c r="DQ248" s="26">
        <v>0</v>
      </c>
      <c r="DR248" s="26">
        <v>0</v>
      </c>
      <c r="DS248" s="26">
        <v>0</v>
      </c>
      <c r="DT248" s="26">
        <v>0</v>
      </c>
      <c r="DU248" s="26">
        <v>0</v>
      </c>
      <c r="DV248" s="26">
        <v>0</v>
      </c>
      <c r="DW248" s="26">
        <v>0</v>
      </c>
      <c r="DX248" s="26">
        <v>0</v>
      </c>
      <c r="DY248" s="26">
        <v>0</v>
      </c>
      <c r="DZ248" s="26">
        <v>0</v>
      </c>
      <c r="EA248" s="26">
        <v>0</v>
      </c>
      <c r="EB248" s="26">
        <v>0</v>
      </c>
      <c r="EC248" s="26">
        <v>0</v>
      </c>
      <c r="ED248" s="26">
        <v>0</v>
      </c>
      <c r="EE248" s="26">
        <v>0</v>
      </c>
      <c r="EF248" s="26">
        <v>0</v>
      </c>
      <c r="EG248" s="26">
        <v>0</v>
      </c>
      <c r="EH248" s="26">
        <v>0</v>
      </c>
      <c r="EI248" s="26">
        <v>0</v>
      </c>
      <c r="EJ248" s="26">
        <v>0</v>
      </c>
      <c r="EK248" s="26">
        <v>0</v>
      </c>
      <c r="EL248" s="26">
        <v>0</v>
      </c>
      <c r="EM248" s="26">
        <v>0</v>
      </c>
      <c r="EN248" s="26">
        <v>0</v>
      </c>
      <c r="EO248" s="26">
        <v>0</v>
      </c>
      <c r="EP248" s="26">
        <v>0</v>
      </c>
      <c r="EQ248" s="26">
        <v>0</v>
      </c>
      <c r="ER248" s="26">
        <v>0</v>
      </c>
      <c r="ES248" s="26">
        <v>0</v>
      </c>
      <c r="ET248" s="26">
        <v>1.2949979599999999</v>
      </c>
      <c r="EU248" s="26">
        <v>0</v>
      </c>
      <c r="EV248" s="26">
        <v>0</v>
      </c>
      <c r="EW248" s="26">
        <v>0</v>
      </c>
      <c r="EX248" s="26">
        <v>0</v>
      </c>
      <c r="EY248" s="26">
        <v>0</v>
      </c>
      <c r="EZ248" s="26">
        <v>0</v>
      </c>
      <c r="FA248" s="26">
        <v>0</v>
      </c>
      <c r="FB248" s="26">
        <v>0</v>
      </c>
      <c r="FC248" s="26">
        <v>0</v>
      </c>
      <c r="FD248" s="26">
        <v>0</v>
      </c>
      <c r="FE248" s="26">
        <v>0</v>
      </c>
      <c r="FF248" s="26">
        <v>0</v>
      </c>
      <c r="FG248" s="26">
        <v>1.0816761699999999</v>
      </c>
      <c r="FH248" s="26">
        <v>-39397437.471799999</v>
      </c>
      <c r="FI248" s="26">
        <v>0.19442821766653687</v>
      </c>
      <c r="FJ248" s="26">
        <v>0</v>
      </c>
      <c r="FK248" s="26">
        <v>0</v>
      </c>
      <c r="FL248" s="26">
        <v>0</v>
      </c>
      <c r="FM248" s="26">
        <v>0</v>
      </c>
      <c r="FN248" s="26">
        <v>0</v>
      </c>
      <c r="FO248" s="26">
        <v>0</v>
      </c>
      <c r="FP248" s="26">
        <v>0</v>
      </c>
      <c r="FQ248" s="26">
        <v>0</v>
      </c>
      <c r="FR248" s="26">
        <v>0</v>
      </c>
      <c r="FS248" s="26">
        <v>0</v>
      </c>
      <c r="FT248" s="26">
        <v>0</v>
      </c>
      <c r="FU248" s="26">
        <v>0</v>
      </c>
      <c r="FV248" s="26">
        <v>0</v>
      </c>
      <c r="FW248" s="26">
        <v>0</v>
      </c>
      <c r="FX248" s="26">
        <v>0</v>
      </c>
      <c r="FY248" s="26">
        <v>0</v>
      </c>
      <c r="FZ248" s="26">
        <v>0</v>
      </c>
      <c r="GA248" s="26">
        <v>0</v>
      </c>
      <c r="GB248" s="26">
        <v>0</v>
      </c>
      <c r="GC248" s="26">
        <v>0</v>
      </c>
      <c r="GD248" s="26">
        <v>0</v>
      </c>
      <c r="GE248" s="26">
        <v>0</v>
      </c>
      <c r="GF248" s="26">
        <v>0</v>
      </c>
      <c r="GG248" s="26">
        <v>0</v>
      </c>
      <c r="GH248" s="26">
        <v>0</v>
      </c>
      <c r="GI248" s="26">
        <v>0</v>
      </c>
      <c r="GJ248" s="26">
        <v>0</v>
      </c>
      <c r="GK248" s="26">
        <v>0</v>
      </c>
      <c r="GL248" s="26">
        <v>0</v>
      </c>
      <c r="GM248" s="26">
        <v>0</v>
      </c>
      <c r="GN248" s="26">
        <v>0</v>
      </c>
      <c r="GO248" s="26">
        <v>0</v>
      </c>
      <c r="GP248" s="26">
        <v>0</v>
      </c>
      <c r="GQ248" s="26">
        <v>0</v>
      </c>
      <c r="GR248" s="26">
        <v>0</v>
      </c>
      <c r="GS248" s="26">
        <v>0</v>
      </c>
      <c r="GT248" s="26">
        <v>0</v>
      </c>
      <c r="GU248" s="26">
        <v>0</v>
      </c>
      <c r="GV248" s="26">
        <v>0</v>
      </c>
      <c r="GW248" s="26">
        <v>0</v>
      </c>
      <c r="GX248" s="26">
        <v>0</v>
      </c>
      <c r="GY248" s="26">
        <v>0</v>
      </c>
      <c r="GZ248" s="26">
        <v>0</v>
      </c>
      <c r="HA248" s="26">
        <v>0</v>
      </c>
      <c r="HB248" s="26">
        <v>0</v>
      </c>
      <c r="HC248" s="26">
        <v>0</v>
      </c>
      <c r="HD248" s="26">
        <v>0</v>
      </c>
      <c r="HE248" s="26">
        <v>0</v>
      </c>
      <c r="HF248" s="26">
        <v>0</v>
      </c>
      <c r="HG248" s="26">
        <v>0</v>
      </c>
      <c r="HH248" s="26">
        <v>0</v>
      </c>
      <c r="HI248" s="26">
        <v>0</v>
      </c>
      <c r="HJ248" s="26">
        <v>0</v>
      </c>
      <c r="HK248" s="26">
        <v>0</v>
      </c>
      <c r="HL248" s="26">
        <v>0</v>
      </c>
      <c r="HM248" s="26">
        <v>0</v>
      </c>
      <c r="HN248" s="26">
        <v>0</v>
      </c>
      <c r="HO248" s="26">
        <v>0</v>
      </c>
      <c r="HP248" s="26">
        <v>0</v>
      </c>
      <c r="HQ248" s="26">
        <v>0</v>
      </c>
      <c r="HR248" s="26">
        <v>0</v>
      </c>
      <c r="HS248" s="26">
        <v>0</v>
      </c>
      <c r="HT248" s="26">
        <v>0</v>
      </c>
    </row>
    <row r="249" spans="2:228" x14ac:dyDescent="0.2">
      <c r="B249" s="27" t="s">
        <v>2893</v>
      </c>
      <c r="C249" s="26">
        <v>390569.65600000002</v>
      </c>
      <c r="D249" s="26">
        <v>-1465.0518999999999</v>
      </c>
      <c r="E249" s="26">
        <v>385095.74200000003</v>
      </c>
      <c r="F249" s="26">
        <v>17.096982400000002</v>
      </c>
      <c r="G249" s="26">
        <v>45.165156099999997</v>
      </c>
      <c r="H249" s="26">
        <v>99.145593599999998</v>
      </c>
      <c r="I249" s="26">
        <v>41.599549799999998</v>
      </c>
      <c r="J249" s="26">
        <v>92.015072900000007</v>
      </c>
      <c r="K249" s="26">
        <v>19.0681105</v>
      </c>
      <c r="L249" s="26">
        <v>28.688264500000002</v>
      </c>
      <c r="M249" s="26">
        <v>0</v>
      </c>
      <c r="N249" s="26">
        <v>98.186437999999995</v>
      </c>
      <c r="O249" s="26">
        <v>2.47787296</v>
      </c>
      <c r="P249" s="26">
        <v>1.03966698</v>
      </c>
      <c r="Q249" s="26">
        <v>33.840935299999998</v>
      </c>
      <c r="R249" s="26">
        <v>4.1239849399999997</v>
      </c>
      <c r="S249" s="26">
        <v>1057.8418099999999</v>
      </c>
      <c r="T249" s="26">
        <v>56.893193599999989</v>
      </c>
      <c r="U249" s="26">
        <v>32.045258699999998</v>
      </c>
      <c r="V249" s="26">
        <v>43.719797300000003</v>
      </c>
      <c r="W249" s="26">
        <v>5.2501574</v>
      </c>
      <c r="X249" s="26">
        <v>146.78842399999999</v>
      </c>
      <c r="Y249" s="26">
        <v>65.415627599999993</v>
      </c>
      <c r="Z249" s="26">
        <v>15.1086829</v>
      </c>
      <c r="AA249" s="26">
        <v>39.660723300000001</v>
      </c>
      <c r="AB249" s="26">
        <v>6.4386574699999995E-5</v>
      </c>
      <c r="AC249" s="26">
        <v>6.12642402E-3</v>
      </c>
      <c r="AD249" s="26">
        <v>1744.0909799999999</v>
      </c>
      <c r="AE249" s="26">
        <v>1307.9361100000001</v>
      </c>
      <c r="AF249" s="26">
        <v>11.1632216</v>
      </c>
      <c r="AG249" s="26">
        <v>0</v>
      </c>
      <c r="AH249" s="26">
        <v>0</v>
      </c>
      <c r="AI249" s="26">
        <v>0</v>
      </c>
      <c r="AJ249" s="26">
        <v>0</v>
      </c>
      <c r="AK249" s="26">
        <v>0</v>
      </c>
      <c r="AL249" s="26">
        <v>0</v>
      </c>
      <c r="AM249" s="26">
        <v>1.15742166</v>
      </c>
      <c r="AN249" s="26">
        <v>1.07733811E-2</v>
      </c>
      <c r="AO249" s="26">
        <v>1.8618664100000001E-2</v>
      </c>
      <c r="AP249" s="26">
        <v>0</v>
      </c>
      <c r="AQ249" s="26">
        <v>0</v>
      </c>
      <c r="AR249" s="26">
        <v>0</v>
      </c>
      <c r="AS249" s="26">
        <v>0</v>
      </c>
      <c r="AT249" s="26">
        <v>0</v>
      </c>
      <c r="AU249" s="26">
        <v>0</v>
      </c>
      <c r="AV249" s="26">
        <v>6.59594778E-11</v>
      </c>
      <c r="AW249" s="26">
        <v>0</v>
      </c>
      <c r="AX249" s="26">
        <v>0</v>
      </c>
      <c r="AY249" s="26">
        <v>0</v>
      </c>
      <c r="AZ249" s="26">
        <v>0</v>
      </c>
      <c r="BA249" s="26">
        <v>0</v>
      </c>
      <c r="BB249" s="26">
        <v>0</v>
      </c>
      <c r="BC249" s="26">
        <v>0</v>
      </c>
      <c r="BD249" s="26">
        <v>0</v>
      </c>
      <c r="BE249" s="26">
        <v>0</v>
      </c>
      <c r="BF249" s="26">
        <v>0</v>
      </c>
      <c r="BG249" s="26">
        <v>0</v>
      </c>
      <c r="BH249" s="26">
        <v>0</v>
      </c>
      <c r="BI249" s="26">
        <v>0</v>
      </c>
      <c r="BJ249" s="26">
        <v>0</v>
      </c>
      <c r="BK249" s="26">
        <v>0</v>
      </c>
      <c r="BL249" s="26">
        <v>0</v>
      </c>
      <c r="BM249" s="26">
        <v>0</v>
      </c>
      <c r="BN249" s="26">
        <v>0</v>
      </c>
      <c r="BO249" s="26">
        <v>21419.061300000001</v>
      </c>
      <c r="BP249" s="26">
        <v>390105.29599999997</v>
      </c>
      <c r="BQ249" s="26">
        <v>6621.8298500000001</v>
      </c>
      <c r="BR249" s="26">
        <v>35</v>
      </c>
      <c r="BS249" s="26">
        <v>1.2949979599999999</v>
      </c>
      <c r="BT249" s="26">
        <v>0</v>
      </c>
      <c r="BU249" s="26">
        <v>1</v>
      </c>
      <c r="BV249" s="26">
        <v>0</v>
      </c>
      <c r="BW249" s="26">
        <v>-68374.398700000005</v>
      </c>
      <c r="BX249" s="26">
        <v>-3754.1541999999999</v>
      </c>
      <c r="BY249" s="26">
        <v>-1464.5154500000001</v>
      </c>
      <c r="BZ249" s="26">
        <v>-38.378384400000002</v>
      </c>
      <c r="CA249" s="26">
        <v>-2.1071976600000002</v>
      </c>
      <c r="CB249" s="26">
        <v>5.3910227099999999E-2</v>
      </c>
      <c r="CC249" s="26">
        <v>0.98186679700000001</v>
      </c>
      <c r="CD249" s="26">
        <v>18.2129969</v>
      </c>
      <c r="CE249" s="26">
        <v>0</v>
      </c>
      <c r="CF249" s="26">
        <v>0</v>
      </c>
      <c r="CG249" s="26">
        <v>0</v>
      </c>
      <c r="CH249" s="26">
        <v>0</v>
      </c>
      <c r="CI249" s="26">
        <v>0</v>
      </c>
      <c r="CJ249" s="26">
        <v>0</v>
      </c>
      <c r="CK249" s="26">
        <v>0</v>
      </c>
      <c r="CL249" s="26">
        <v>0</v>
      </c>
      <c r="CM249" s="26">
        <v>0</v>
      </c>
      <c r="CN249" s="26">
        <v>0</v>
      </c>
      <c r="CO249" s="26">
        <v>0</v>
      </c>
      <c r="CP249" s="26">
        <v>0</v>
      </c>
      <c r="CQ249" s="26">
        <v>0</v>
      </c>
      <c r="CR249" s="26">
        <v>0</v>
      </c>
      <c r="CS249" s="26">
        <v>0</v>
      </c>
      <c r="CT249" s="26">
        <v>0</v>
      </c>
      <c r="CU249" s="26">
        <v>0</v>
      </c>
      <c r="CV249" s="26">
        <v>0</v>
      </c>
      <c r="CW249" s="26">
        <v>0</v>
      </c>
      <c r="CX249" s="26">
        <v>0</v>
      </c>
      <c r="CY249" s="26">
        <v>0</v>
      </c>
      <c r="CZ249" s="26">
        <v>0</v>
      </c>
      <c r="DA249" s="26">
        <v>0</v>
      </c>
      <c r="DB249" s="26">
        <v>0</v>
      </c>
      <c r="DC249" s="26">
        <v>0</v>
      </c>
      <c r="DD249" s="26">
        <v>0</v>
      </c>
      <c r="DE249" s="26">
        <v>0</v>
      </c>
      <c r="DF249" s="26">
        <v>0</v>
      </c>
      <c r="DG249" s="26">
        <v>0</v>
      </c>
      <c r="DH249" s="26">
        <v>0</v>
      </c>
      <c r="DI249" s="26">
        <v>0</v>
      </c>
      <c r="DJ249" s="26">
        <v>0</v>
      </c>
      <c r="DK249" s="26">
        <v>0</v>
      </c>
      <c r="DL249" s="26">
        <v>0</v>
      </c>
      <c r="DM249" s="26">
        <v>0</v>
      </c>
      <c r="DN249" s="26">
        <v>0</v>
      </c>
      <c r="DO249" s="26">
        <v>0</v>
      </c>
      <c r="DP249" s="26">
        <v>0</v>
      </c>
      <c r="DQ249" s="26">
        <v>0</v>
      </c>
      <c r="DR249" s="26">
        <v>0</v>
      </c>
      <c r="DS249" s="26">
        <v>0</v>
      </c>
      <c r="DT249" s="26">
        <v>0</v>
      </c>
      <c r="DU249" s="26">
        <v>0</v>
      </c>
      <c r="DV249" s="26">
        <v>0</v>
      </c>
      <c r="DW249" s="26">
        <v>0</v>
      </c>
      <c r="DX249" s="26">
        <v>25.092833200000001</v>
      </c>
      <c r="DY249" s="26">
        <v>0.61959341099999998</v>
      </c>
      <c r="DZ249" s="26">
        <v>0.25996926399999998</v>
      </c>
      <c r="EA249" s="26">
        <v>8.4619995299999999</v>
      </c>
      <c r="EB249" s="26">
        <v>1.0312114100000001</v>
      </c>
      <c r="EC249" s="26">
        <v>249.50383400000001</v>
      </c>
      <c r="ED249" s="26">
        <v>0</v>
      </c>
      <c r="EE249" s="26">
        <v>57.32226639999999</v>
      </c>
      <c r="EF249" s="26">
        <v>82.156953099999996</v>
      </c>
      <c r="EG249" s="26">
        <v>10.4160641</v>
      </c>
      <c r="EH249" s="26">
        <v>1.15734212</v>
      </c>
      <c r="EI249" s="26">
        <v>16.719684600000001</v>
      </c>
      <c r="EJ249" s="26">
        <v>2.1560445600000002</v>
      </c>
      <c r="EK249" s="26">
        <v>0</v>
      </c>
      <c r="EL249" s="26">
        <v>9.4619263199999999</v>
      </c>
      <c r="EM249" s="26">
        <v>0</v>
      </c>
      <c r="EN249" s="26">
        <v>0</v>
      </c>
      <c r="EO249" s="26">
        <v>0</v>
      </c>
      <c r="EP249" s="26">
        <v>7.16111567</v>
      </c>
      <c r="EQ249" s="26">
        <v>464.35972200000003</v>
      </c>
      <c r="ER249" s="26">
        <v>5.5863107799999998</v>
      </c>
      <c r="ES249" s="26">
        <v>35</v>
      </c>
      <c r="ET249" s="26">
        <v>1.2949979599999999</v>
      </c>
      <c r="EU249" s="26">
        <v>0</v>
      </c>
      <c r="EV249" s="26">
        <v>0</v>
      </c>
      <c r="EW249" s="26">
        <v>1</v>
      </c>
      <c r="EX249" s="26">
        <v>-74911.952900000004</v>
      </c>
      <c r="EY249" s="26">
        <v>-1155.25343</v>
      </c>
      <c r="EZ249" s="26">
        <v>-0.53645316499999995</v>
      </c>
      <c r="FA249" s="26">
        <v>-148.99950799999999</v>
      </c>
      <c r="FB249" s="26">
        <v>-2.2977934200000001</v>
      </c>
      <c r="FC249" s="26">
        <v>2.1365070999999999E-2</v>
      </c>
      <c r="FD249" s="26">
        <v>1.38540961</v>
      </c>
      <c r="FE249" s="26">
        <v>64.844605700000002</v>
      </c>
      <c r="FF249" s="26">
        <v>0</v>
      </c>
      <c r="FG249" s="26">
        <v>1.0003672700000001E-2</v>
      </c>
      <c r="FH249" s="26">
        <v>-1708010572.6199999</v>
      </c>
      <c r="FI249" s="26">
        <v>2.8310933837598581E-2</v>
      </c>
      <c r="FJ249" s="26">
        <v>0</v>
      </c>
      <c r="FK249" s="26">
        <v>0</v>
      </c>
      <c r="FL249" s="26">
        <v>0</v>
      </c>
      <c r="FM249" s="26">
        <v>0</v>
      </c>
      <c r="FN249" s="26">
        <v>0</v>
      </c>
      <c r="FO249" s="26">
        <v>0</v>
      </c>
      <c r="FP249" s="26">
        <v>0</v>
      </c>
      <c r="FQ249" s="26">
        <v>0</v>
      </c>
      <c r="FR249" s="26">
        <v>0</v>
      </c>
      <c r="FS249" s="26">
        <v>0</v>
      </c>
      <c r="FT249" s="26">
        <v>0</v>
      </c>
      <c r="FU249" s="26">
        <v>0</v>
      </c>
      <c r="FV249" s="26">
        <v>0</v>
      </c>
      <c r="FW249" s="26">
        <v>0</v>
      </c>
      <c r="FX249" s="26">
        <v>0</v>
      </c>
      <c r="FY249" s="26">
        <v>0</v>
      </c>
      <c r="FZ249" s="26">
        <v>0</v>
      </c>
      <c r="GA249" s="26">
        <v>0</v>
      </c>
      <c r="GB249" s="26">
        <v>0</v>
      </c>
      <c r="GC249" s="26">
        <v>0</v>
      </c>
      <c r="GD249" s="26">
        <v>0</v>
      </c>
      <c r="GE249" s="26">
        <v>0</v>
      </c>
      <c r="GF249" s="26">
        <v>0</v>
      </c>
      <c r="GG249" s="26">
        <v>0</v>
      </c>
      <c r="GH249" s="26">
        <v>0</v>
      </c>
      <c r="GI249" s="26">
        <v>0</v>
      </c>
      <c r="GJ249" s="26">
        <v>0</v>
      </c>
      <c r="GK249" s="26">
        <v>0</v>
      </c>
      <c r="GL249" s="26">
        <v>0</v>
      </c>
      <c r="GM249" s="26">
        <v>0</v>
      </c>
      <c r="GN249" s="26">
        <v>0</v>
      </c>
      <c r="GO249" s="26">
        <v>0</v>
      </c>
      <c r="GP249" s="26">
        <v>0</v>
      </c>
      <c r="GQ249" s="26">
        <v>0</v>
      </c>
      <c r="GR249" s="26">
        <v>0</v>
      </c>
      <c r="GS249" s="26">
        <v>0</v>
      </c>
      <c r="GT249" s="26">
        <v>0</v>
      </c>
      <c r="GU249" s="26">
        <v>0</v>
      </c>
      <c r="GV249" s="26">
        <v>0</v>
      </c>
      <c r="GW249" s="26">
        <v>0</v>
      </c>
      <c r="GX249" s="26">
        <v>0</v>
      </c>
      <c r="GY249" s="26">
        <v>0</v>
      </c>
      <c r="GZ249" s="26">
        <v>0</v>
      </c>
      <c r="HA249" s="26">
        <v>0</v>
      </c>
      <c r="HB249" s="26">
        <v>0</v>
      </c>
      <c r="HC249" s="26">
        <v>0</v>
      </c>
      <c r="HD249" s="26">
        <v>0</v>
      </c>
      <c r="HE249" s="26">
        <v>0</v>
      </c>
      <c r="HF249" s="26">
        <v>0</v>
      </c>
      <c r="HG249" s="26">
        <v>0</v>
      </c>
      <c r="HH249" s="26">
        <v>0</v>
      </c>
      <c r="HI249" s="26">
        <v>0</v>
      </c>
      <c r="HJ249" s="26">
        <v>0</v>
      </c>
      <c r="HK249" s="26">
        <v>0</v>
      </c>
      <c r="HL249" s="26">
        <v>0</v>
      </c>
      <c r="HM249" s="26">
        <v>0</v>
      </c>
      <c r="HN249" s="26">
        <v>0</v>
      </c>
      <c r="HO249" s="26">
        <v>0</v>
      </c>
      <c r="HP249" s="26">
        <v>0</v>
      </c>
      <c r="HQ249" s="26">
        <v>0</v>
      </c>
      <c r="HR249" s="26">
        <v>0</v>
      </c>
      <c r="HS249" s="26">
        <v>0</v>
      </c>
      <c r="HT249" s="26">
        <v>5.1431895133677383E-3</v>
      </c>
    </row>
    <row r="250" spans="2:228" x14ac:dyDescent="0.2">
      <c r="B250" s="27" t="s">
        <v>2894</v>
      </c>
      <c r="C250" s="26">
        <v>1073.2786100000001</v>
      </c>
      <c r="D250" s="26">
        <v>-1.73270955</v>
      </c>
      <c r="E250" s="26">
        <v>0</v>
      </c>
      <c r="F250" s="26">
        <v>8.8682047500000003</v>
      </c>
      <c r="G250" s="26">
        <v>23.427166400000001</v>
      </c>
      <c r="H250" s="26">
        <v>51.426819399999999</v>
      </c>
      <c r="I250" s="26">
        <v>21.577686499999999</v>
      </c>
      <c r="J250" s="26">
        <v>47.728218300000002</v>
      </c>
      <c r="K250" s="26">
        <v>9.8906288999999994</v>
      </c>
      <c r="L250" s="26">
        <v>14.880602800000002</v>
      </c>
      <c r="M250" s="26">
        <v>0</v>
      </c>
      <c r="N250" s="26">
        <v>50.929305399999997</v>
      </c>
      <c r="O250" s="26">
        <v>1.2852727100000001</v>
      </c>
      <c r="P250" s="26">
        <v>0.53927526100000001</v>
      </c>
      <c r="Q250" s="26">
        <v>17.553293100000001</v>
      </c>
      <c r="R250" s="26">
        <v>2.1391109899999998</v>
      </c>
      <c r="S250" s="26">
        <v>548.70254499999999</v>
      </c>
      <c r="T250" s="26">
        <v>29.510499500000002</v>
      </c>
      <c r="U250" s="26">
        <v>16.6218757</v>
      </c>
      <c r="V250" s="26">
        <v>22.6774588</v>
      </c>
      <c r="W250" s="26">
        <v>2.7232566399999998</v>
      </c>
      <c r="X250" s="26">
        <v>76.139155400000007</v>
      </c>
      <c r="Y250" s="26">
        <v>33.931086000000001</v>
      </c>
      <c r="Z250" s="26">
        <v>7.8368738099999993</v>
      </c>
      <c r="AA250" s="26">
        <v>20.572017200000001</v>
      </c>
      <c r="AB250" s="26">
        <v>3.3397316299999998E-5</v>
      </c>
      <c r="AC250" s="26">
        <v>3.1777761400000001E-3</v>
      </c>
      <c r="AD250" s="26">
        <v>33.0923345</v>
      </c>
      <c r="AE250" s="26">
        <v>24.816744</v>
      </c>
      <c r="AF250" s="26">
        <v>5.7903630499999998</v>
      </c>
      <c r="AG250" s="26">
        <v>0</v>
      </c>
      <c r="AH250" s="26">
        <v>0</v>
      </c>
      <c r="AI250" s="26">
        <v>0</v>
      </c>
      <c r="AJ250" s="26">
        <v>0</v>
      </c>
      <c r="AK250" s="26">
        <v>0</v>
      </c>
      <c r="AL250" s="26">
        <v>0</v>
      </c>
      <c r="AM250" s="26">
        <v>0.60035461599999995</v>
      </c>
      <c r="AN250" s="26">
        <v>5.5881527500000003E-3</v>
      </c>
      <c r="AO250" s="26">
        <v>9.6575010899999994E-3</v>
      </c>
      <c r="AP250" s="26">
        <v>0</v>
      </c>
      <c r="AQ250" s="26">
        <v>0</v>
      </c>
      <c r="AR250" s="26">
        <v>0</v>
      </c>
      <c r="AS250" s="26">
        <v>0</v>
      </c>
      <c r="AT250" s="26">
        <v>0</v>
      </c>
      <c r="AU250" s="26">
        <v>0</v>
      </c>
      <c r="AV250" s="26">
        <v>3.4213181100000002E-11</v>
      </c>
      <c r="AW250" s="26">
        <v>0</v>
      </c>
      <c r="AX250" s="26">
        <v>0</v>
      </c>
      <c r="AY250" s="26">
        <v>0</v>
      </c>
      <c r="AZ250" s="26">
        <v>0</v>
      </c>
      <c r="BA250" s="26">
        <v>0</v>
      </c>
      <c r="BB250" s="26">
        <v>0</v>
      </c>
      <c r="BC250" s="26">
        <v>0</v>
      </c>
      <c r="BD250" s="26">
        <v>0</v>
      </c>
      <c r="BE250" s="26">
        <v>0</v>
      </c>
      <c r="BF250" s="26">
        <v>0</v>
      </c>
      <c r="BG250" s="26">
        <v>0</v>
      </c>
      <c r="BH250" s="26">
        <v>0</v>
      </c>
      <c r="BI250" s="26">
        <v>0</v>
      </c>
      <c r="BJ250" s="26">
        <v>0</v>
      </c>
      <c r="BK250" s="26">
        <v>0</v>
      </c>
      <c r="BL250" s="26">
        <v>0</v>
      </c>
      <c r="BM250" s="26">
        <v>0</v>
      </c>
      <c r="BN250" s="26">
        <v>0</v>
      </c>
      <c r="BO250" s="26">
        <v>7.2287090399999991</v>
      </c>
      <c r="BP250" s="26">
        <v>1073.2786100000001</v>
      </c>
      <c r="BQ250" s="26">
        <v>3.94048818</v>
      </c>
      <c r="BR250" s="26">
        <v>35</v>
      </c>
      <c r="BS250" s="26">
        <v>1.2949979599999999</v>
      </c>
      <c r="BT250" s="26">
        <v>0</v>
      </c>
      <c r="BU250" s="26">
        <v>1</v>
      </c>
      <c r="BV250" s="26">
        <v>0</v>
      </c>
      <c r="BW250" s="26">
        <v>-239698.33799999999</v>
      </c>
      <c r="BX250" s="26">
        <v>-1614.40798</v>
      </c>
      <c r="BY250" s="26">
        <v>-1.73270955</v>
      </c>
      <c r="BZ250" s="26">
        <v>-200.215712</v>
      </c>
      <c r="CA250" s="26">
        <v>-1.3484859499999999</v>
      </c>
      <c r="CB250" s="26">
        <v>3.0574506800000002E-2</v>
      </c>
      <c r="CC250" s="26">
        <v>4.5395331099999998</v>
      </c>
      <c r="CD250" s="26">
        <v>148.47445099999999</v>
      </c>
      <c r="CE250" s="26">
        <v>0</v>
      </c>
      <c r="CF250" s="26">
        <v>0</v>
      </c>
      <c r="CG250" s="26">
        <v>0</v>
      </c>
      <c r="CH250" s="26">
        <v>0</v>
      </c>
      <c r="CI250" s="26">
        <v>0</v>
      </c>
      <c r="CJ250" s="26">
        <v>0</v>
      </c>
      <c r="CK250" s="26">
        <v>0</v>
      </c>
      <c r="CL250" s="26">
        <v>0</v>
      </c>
      <c r="CM250" s="26">
        <v>0</v>
      </c>
      <c r="CN250" s="26">
        <v>0</v>
      </c>
      <c r="CO250" s="26">
        <v>0</v>
      </c>
      <c r="CP250" s="26">
        <v>0</v>
      </c>
      <c r="CQ250" s="26">
        <v>0</v>
      </c>
      <c r="CR250" s="26">
        <v>0</v>
      </c>
      <c r="CS250" s="26">
        <v>0</v>
      </c>
      <c r="CT250" s="26">
        <v>0</v>
      </c>
      <c r="CU250" s="26">
        <v>0</v>
      </c>
      <c r="CV250" s="26">
        <v>0</v>
      </c>
      <c r="CW250" s="26">
        <v>0</v>
      </c>
      <c r="CX250" s="26">
        <v>0</v>
      </c>
      <c r="CY250" s="26">
        <v>0</v>
      </c>
      <c r="CZ250" s="26">
        <v>0</v>
      </c>
      <c r="DA250" s="26">
        <v>0</v>
      </c>
      <c r="DB250" s="26">
        <v>0</v>
      </c>
      <c r="DC250" s="26">
        <v>0</v>
      </c>
      <c r="DD250" s="26">
        <v>0</v>
      </c>
      <c r="DE250" s="26">
        <v>0</v>
      </c>
      <c r="DF250" s="26">
        <v>0</v>
      </c>
      <c r="DG250" s="26">
        <v>0</v>
      </c>
      <c r="DH250" s="26">
        <v>0</v>
      </c>
      <c r="DI250" s="26">
        <v>0</v>
      </c>
      <c r="DJ250" s="26">
        <v>0</v>
      </c>
      <c r="DK250" s="26">
        <v>0</v>
      </c>
      <c r="DL250" s="26">
        <v>0</v>
      </c>
      <c r="DM250" s="26">
        <v>0</v>
      </c>
      <c r="DN250" s="26">
        <v>0</v>
      </c>
      <c r="DO250" s="26">
        <v>0</v>
      </c>
      <c r="DP250" s="26">
        <v>0</v>
      </c>
      <c r="DQ250" s="26">
        <v>0</v>
      </c>
      <c r="DR250" s="26">
        <v>0</v>
      </c>
      <c r="DS250" s="26">
        <v>0</v>
      </c>
      <c r="DT250" s="26">
        <v>0</v>
      </c>
      <c r="DU250" s="26">
        <v>0</v>
      </c>
      <c r="DV250" s="26">
        <v>0</v>
      </c>
      <c r="DW250" s="26">
        <v>0</v>
      </c>
      <c r="DX250" s="26">
        <v>0</v>
      </c>
      <c r="DY250" s="26">
        <v>0</v>
      </c>
      <c r="DZ250" s="26">
        <v>0</v>
      </c>
      <c r="EA250" s="26">
        <v>0</v>
      </c>
      <c r="EB250" s="26">
        <v>0</v>
      </c>
      <c r="EC250" s="26">
        <v>0</v>
      </c>
      <c r="ED250" s="26">
        <v>0</v>
      </c>
      <c r="EE250" s="26">
        <v>0</v>
      </c>
      <c r="EF250" s="26">
        <v>0</v>
      </c>
      <c r="EG250" s="26">
        <v>0</v>
      </c>
      <c r="EH250" s="26">
        <v>0</v>
      </c>
      <c r="EI250" s="26">
        <v>0</v>
      </c>
      <c r="EJ250" s="26">
        <v>0</v>
      </c>
      <c r="EK250" s="26">
        <v>0</v>
      </c>
      <c r="EL250" s="26">
        <v>0</v>
      </c>
      <c r="EM250" s="26">
        <v>0</v>
      </c>
      <c r="EN250" s="26">
        <v>0</v>
      </c>
      <c r="EO250" s="26">
        <v>0</v>
      </c>
      <c r="EP250" s="26">
        <v>0</v>
      </c>
      <c r="EQ250" s="26">
        <v>0</v>
      </c>
      <c r="ER250" s="26">
        <v>0</v>
      </c>
      <c r="ES250" s="26">
        <v>0</v>
      </c>
      <c r="ET250" s="26">
        <v>1.2949979599999999</v>
      </c>
      <c r="EU250" s="26">
        <v>0</v>
      </c>
      <c r="EV250" s="26">
        <v>0</v>
      </c>
      <c r="EW250" s="26">
        <v>0</v>
      </c>
      <c r="EX250" s="26">
        <v>0</v>
      </c>
      <c r="EY250" s="26">
        <v>0</v>
      </c>
      <c r="EZ250" s="26">
        <v>0</v>
      </c>
      <c r="FA250" s="26">
        <v>0</v>
      </c>
      <c r="FB250" s="26">
        <v>0</v>
      </c>
      <c r="FC250" s="26">
        <v>0</v>
      </c>
      <c r="FD250" s="26">
        <v>0</v>
      </c>
      <c r="FE250" s="26">
        <v>0</v>
      </c>
      <c r="FF250" s="26">
        <v>0</v>
      </c>
      <c r="FG250" s="26">
        <v>1.0816761699999999</v>
      </c>
      <c r="FH250" s="26">
        <v>-2021088.5444200002</v>
      </c>
      <c r="FI250" s="26">
        <v>9.9741675520155625E-3</v>
      </c>
      <c r="FJ250" s="26">
        <v>0</v>
      </c>
      <c r="FK250" s="26">
        <v>0</v>
      </c>
      <c r="FL250" s="26">
        <v>0</v>
      </c>
      <c r="FM250" s="26">
        <v>0</v>
      </c>
      <c r="FN250" s="26">
        <v>0</v>
      </c>
      <c r="FO250" s="26">
        <v>0</v>
      </c>
      <c r="FP250" s="26">
        <v>0</v>
      </c>
      <c r="FQ250" s="26">
        <v>0</v>
      </c>
      <c r="FR250" s="26">
        <v>0</v>
      </c>
      <c r="FS250" s="26">
        <v>0</v>
      </c>
      <c r="FT250" s="26">
        <v>0</v>
      </c>
      <c r="FU250" s="26">
        <v>0</v>
      </c>
      <c r="FV250" s="26">
        <v>0</v>
      </c>
      <c r="FW250" s="26">
        <v>0</v>
      </c>
      <c r="FX250" s="26">
        <v>0</v>
      </c>
      <c r="FY250" s="26">
        <v>0</v>
      </c>
      <c r="FZ250" s="26">
        <v>0</v>
      </c>
      <c r="GA250" s="26">
        <v>0</v>
      </c>
      <c r="GB250" s="26">
        <v>0</v>
      </c>
      <c r="GC250" s="26">
        <v>0</v>
      </c>
      <c r="GD250" s="26">
        <v>0</v>
      </c>
      <c r="GE250" s="26">
        <v>0</v>
      </c>
      <c r="GF250" s="26">
        <v>0</v>
      </c>
      <c r="GG250" s="26">
        <v>0</v>
      </c>
      <c r="GH250" s="26">
        <v>0</v>
      </c>
      <c r="GI250" s="26">
        <v>0</v>
      </c>
      <c r="GJ250" s="26">
        <v>0</v>
      </c>
      <c r="GK250" s="26">
        <v>0</v>
      </c>
      <c r="GL250" s="26">
        <v>0</v>
      </c>
      <c r="GM250" s="26">
        <v>0</v>
      </c>
      <c r="GN250" s="26">
        <v>0</v>
      </c>
      <c r="GO250" s="26">
        <v>0</v>
      </c>
      <c r="GP250" s="26">
        <v>0</v>
      </c>
      <c r="GQ250" s="26">
        <v>0</v>
      </c>
      <c r="GR250" s="26">
        <v>0</v>
      </c>
      <c r="GS250" s="26">
        <v>0</v>
      </c>
      <c r="GT250" s="26">
        <v>0</v>
      </c>
      <c r="GU250" s="26">
        <v>0</v>
      </c>
      <c r="GV250" s="26">
        <v>0</v>
      </c>
      <c r="GW250" s="26">
        <v>0</v>
      </c>
      <c r="GX250" s="26">
        <v>0</v>
      </c>
      <c r="GY250" s="26">
        <v>0</v>
      </c>
      <c r="GZ250" s="26">
        <v>0</v>
      </c>
      <c r="HA250" s="26">
        <v>0</v>
      </c>
      <c r="HB250" s="26">
        <v>0</v>
      </c>
      <c r="HC250" s="26">
        <v>0</v>
      </c>
      <c r="HD250" s="26">
        <v>0</v>
      </c>
      <c r="HE250" s="26">
        <v>0</v>
      </c>
      <c r="HF250" s="26">
        <v>0</v>
      </c>
      <c r="HG250" s="26">
        <v>0</v>
      </c>
      <c r="HH250" s="26">
        <v>0</v>
      </c>
      <c r="HI250" s="26">
        <v>0</v>
      </c>
      <c r="HJ250" s="26">
        <v>0</v>
      </c>
      <c r="HK250" s="26">
        <v>0</v>
      </c>
      <c r="HL250" s="26">
        <v>0</v>
      </c>
      <c r="HM250" s="26">
        <v>0</v>
      </c>
      <c r="HN250" s="26">
        <v>0</v>
      </c>
      <c r="HO250" s="26">
        <v>0</v>
      </c>
      <c r="HP250" s="26">
        <v>0</v>
      </c>
      <c r="HQ250" s="26">
        <v>0</v>
      </c>
      <c r="HR250" s="26">
        <v>0</v>
      </c>
      <c r="HS250" s="26">
        <v>0</v>
      </c>
      <c r="HT250" s="26">
        <v>0</v>
      </c>
    </row>
    <row r="251" spans="2:228" x14ac:dyDescent="0.2">
      <c r="B251" s="27" t="s">
        <v>2895</v>
      </c>
      <c r="C251" s="26">
        <v>19848.331600000001</v>
      </c>
      <c r="D251" s="26">
        <v>-32.043305199999999</v>
      </c>
      <c r="E251" s="26">
        <v>0</v>
      </c>
      <c r="F251" s="26">
        <v>164.001284</v>
      </c>
      <c r="G251" s="26">
        <v>433.24274500000001</v>
      </c>
      <c r="H251" s="26">
        <v>951.0452939999999</v>
      </c>
      <c r="I251" s="26">
        <v>399.03998300000001</v>
      </c>
      <c r="J251" s="26">
        <v>882.64640799999995</v>
      </c>
      <c r="K251" s="26">
        <v>182.909155</v>
      </c>
      <c r="L251" s="26">
        <v>275.18962699999997</v>
      </c>
      <c r="M251" s="26">
        <v>0</v>
      </c>
      <c r="N251" s="26">
        <v>941.84467900000004</v>
      </c>
      <c r="O251" s="26">
        <v>23.7687761</v>
      </c>
      <c r="P251" s="26">
        <v>9.9729130599999998</v>
      </c>
      <c r="Q251" s="26">
        <v>324.61616299999997</v>
      </c>
      <c r="R251" s="26">
        <v>39.558959000000002</v>
      </c>
      <c r="S251" s="26">
        <v>10147.253500000001</v>
      </c>
      <c r="T251" s="26">
        <v>545.74290299999996</v>
      </c>
      <c r="U251" s="26">
        <v>307.39129600000001</v>
      </c>
      <c r="V251" s="26">
        <v>419.37826899999999</v>
      </c>
      <c r="W251" s="26">
        <v>50.361668199999997</v>
      </c>
      <c r="X251" s="26">
        <v>1408.0549100000001</v>
      </c>
      <c r="Y251" s="26">
        <v>627.49359300000003</v>
      </c>
      <c r="Z251" s="26">
        <v>144.928698</v>
      </c>
      <c r="AA251" s="26">
        <v>380.44196299999999</v>
      </c>
      <c r="AB251" s="26">
        <v>6.1762249500000004E-4</v>
      </c>
      <c r="AC251" s="26">
        <v>5.8767177800000001E-2</v>
      </c>
      <c r="AD251" s="26">
        <v>611.98241299999995</v>
      </c>
      <c r="AE251" s="26">
        <v>458.94044899999994</v>
      </c>
      <c r="AF251" s="26">
        <v>107.082211</v>
      </c>
      <c r="AG251" s="26">
        <v>0</v>
      </c>
      <c r="AH251" s="26">
        <v>0</v>
      </c>
      <c r="AI251" s="26">
        <v>0</v>
      </c>
      <c r="AJ251" s="26">
        <v>0</v>
      </c>
      <c r="AK251" s="26">
        <v>0</v>
      </c>
      <c r="AL251" s="26">
        <v>0</v>
      </c>
      <c r="AM251" s="26">
        <v>11.102464400000001</v>
      </c>
      <c r="AN251" s="26">
        <v>0.1033427</v>
      </c>
      <c r="AO251" s="26">
        <v>0.17859788100000001</v>
      </c>
      <c r="AP251" s="26">
        <v>0</v>
      </c>
      <c r="AQ251" s="26">
        <v>0</v>
      </c>
      <c r="AR251" s="26">
        <v>0</v>
      </c>
      <c r="AS251" s="26">
        <v>0</v>
      </c>
      <c r="AT251" s="26">
        <v>0</v>
      </c>
      <c r="AU251" s="26">
        <v>0</v>
      </c>
      <c r="AV251" s="26">
        <v>6.3271042800000005E-10</v>
      </c>
      <c r="AW251" s="26">
        <v>0</v>
      </c>
      <c r="AX251" s="26">
        <v>0</v>
      </c>
      <c r="AY251" s="26">
        <v>0</v>
      </c>
      <c r="AZ251" s="26">
        <v>0</v>
      </c>
      <c r="BA251" s="26">
        <v>0</v>
      </c>
      <c r="BB251" s="26">
        <v>0</v>
      </c>
      <c r="BC251" s="26">
        <v>0</v>
      </c>
      <c r="BD251" s="26">
        <v>0</v>
      </c>
      <c r="BE251" s="26">
        <v>0</v>
      </c>
      <c r="BF251" s="26">
        <v>0</v>
      </c>
      <c r="BG251" s="26">
        <v>0</v>
      </c>
      <c r="BH251" s="26">
        <v>0</v>
      </c>
      <c r="BI251" s="26">
        <v>0</v>
      </c>
      <c r="BJ251" s="26">
        <v>0</v>
      </c>
      <c r="BK251" s="26">
        <v>0</v>
      </c>
      <c r="BL251" s="26">
        <v>0</v>
      </c>
      <c r="BM251" s="26">
        <v>0</v>
      </c>
      <c r="BN251" s="26">
        <v>0</v>
      </c>
      <c r="BO251" s="26">
        <v>133.68179900000001</v>
      </c>
      <c r="BP251" s="26">
        <v>19848.331600000001</v>
      </c>
      <c r="BQ251" s="26">
        <v>72.872146900000004</v>
      </c>
      <c r="BR251" s="26">
        <v>35</v>
      </c>
      <c r="BS251" s="26">
        <v>1.2949979599999999</v>
      </c>
      <c r="BT251" s="26">
        <v>0</v>
      </c>
      <c r="BU251" s="26">
        <v>1</v>
      </c>
      <c r="BV251" s="26">
        <v>0</v>
      </c>
      <c r="BW251" s="26">
        <v>-239698.33799999999</v>
      </c>
      <c r="BX251" s="26">
        <v>-1614.40798</v>
      </c>
      <c r="BY251" s="26">
        <v>-32.043305199999999</v>
      </c>
      <c r="BZ251" s="26">
        <v>-200.215712</v>
      </c>
      <c r="CA251" s="26">
        <v>-1.3484859499999999</v>
      </c>
      <c r="CB251" s="26">
        <v>3.0574506800000002E-2</v>
      </c>
      <c r="CC251" s="26">
        <v>4.5395331099999998</v>
      </c>
      <c r="CD251" s="26">
        <v>148.47445099999999</v>
      </c>
      <c r="CE251" s="26">
        <v>0</v>
      </c>
      <c r="CF251" s="26">
        <v>0</v>
      </c>
      <c r="CG251" s="26">
        <v>0</v>
      </c>
      <c r="CH251" s="26">
        <v>0</v>
      </c>
      <c r="CI251" s="26">
        <v>0</v>
      </c>
      <c r="CJ251" s="26">
        <v>0</v>
      </c>
      <c r="CK251" s="26">
        <v>0</v>
      </c>
      <c r="CL251" s="26">
        <v>0</v>
      </c>
      <c r="CM251" s="26">
        <v>0</v>
      </c>
      <c r="CN251" s="26">
        <v>0</v>
      </c>
      <c r="CO251" s="26">
        <v>0</v>
      </c>
      <c r="CP251" s="26">
        <v>0</v>
      </c>
      <c r="CQ251" s="26">
        <v>0</v>
      </c>
      <c r="CR251" s="26">
        <v>0</v>
      </c>
      <c r="CS251" s="26">
        <v>0</v>
      </c>
      <c r="CT251" s="26">
        <v>0</v>
      </c>
      <c r="CU251" s="26">
        <v>0</v>
      </c>
      <c r="CV251" s="26">
        <v>0</v>
      </c>
      <c r="CW251" s="26">
        <v>0</v>
      </c>
      <c r="CX251" s="26">
        <v>0</v>
      </c>
      <c r="CY251" s="26">
        <v>0</v>
      </c>
      <c r="CZ251" s="26">
        <v>0</v>
      </c>
      <c r="DA251" s="26">
        <v>0</v>
      </c>
      <c r="DB251" s="26">
        <v>0</v>
      </c>
      <c r="DC251" s="26">
        <v>0</v>
      </c>
      <c r="DD251" s="26">
        <v>0</v>
      </c>
      <c r="DE251" s="26">
        <v>0</v>
      </c>
      <c r="DF251" s="26">
        <v>0</v>
      </c>
      <c r="DG251" s="26">
        <v>0</v>
      </c>
      <c r="DH251" s="26">
        <v>0</v>
      </c>
      <c r="DI251" s="26">
        <v>0</v>
      </c>
      <c r="DJ251" s="26">
        <v>0</v>
      </c>
      <c r="DK251" s="26">
        <v>0</v>
      </c>
      <c r="DL251" s="26">
        <v>0</v>
      </c>
      <c r="DM251" s="26">
        <v>0</v>
      </c>
      <c r="DN251" s="26">
        <v>0</v>
      </c>
      <c r="DO251" s="26">
        <v>0</v>
      </c>
      <c r="DP251" s="26">
        <v>0</v>
      </c>
      <c r="DQ251" s="26">
        <v>0</v>
      </c>
      <c r="DR251" s="26">
        <v>0</v>
      </c>
      <c r="DS251" s="26">
        <v>0</v>
      </c>
      <c r="DT251" s="26">
        <v>0</v>
      </c>
      <c r="DU251" s="26">
        <v>0</v>
      </c>
      <c r="DV251" s="26">
        <v>0</v>
      </c>
      <c r="DW251" s="26">
        <v>0</v>
      </c>
      <c r="DX251" s="26">
        <v>0</v>
      </c>
      <c r="DY251" s="26">
        <v>0</v>
      </c>
      <c r="DZ251" s="26">
        <v>0</v>
      </c>
      <c r="EA251" s="26">
        <v>0</v>
      </c>
      <c r="EB251" s="26">
        <v>0</v>
      </c>
      <c r="EC251" s="26">
        <v>0</v>
      </c>
      <c r="ED251" s="26">
        <v>0</v>
      </c>
      <c r="EE251" s="26">
        <v>0</v>
      </c>
      <c r="EF251" s="26">
        <v>0</v>
      </c>
      <c r="EG251" s="26">
        <v>0</v>
      </c>
      <c r="EH251" s="26">
        <v>0</v>
      </c>
      <c r="EI251" s="26">
        <v>0</v>
      </c>
      <c r="EJ251" s="26">
        <v>0</v>
      </c>
      <c r="EK251" s="26">
        <v>0</v>
      </c>
      <c r="EL251" s="26">
        <v>0</v>
      </c>
      <c r="EM251" s="26">
        <v>0</v>
      </c>
      <c r="EN251" s="26">
        <v>0</v>
      </c>
      <c r="EO251" s="26">
        <v>0</v>
      </c>
      <c r="EP251" s="26">
        <v>0</v>
      </c>
      <c r="EQ251" s="26">
        <v>0</v>
      </c>
      <c r="ER251" s="26">
        <v>0</v>
      </c>
      <c r="ES251" s="26">
        <v>0</v>
      </c>
      <c r="ET251" s="26">
        <v>1.2949979599999999</v>
      </c>
      <c r="EU251" s="26">
        <v>0</v>
      </c>
      <c r="EV251" s="26">
        <v>0</v>
      </c>
      <c r="EW251" s="26">
        <v>0</v>
      </c>
      <c r="EX251" s="26">
        <v>0</v>
      </c>
      <c r="EY251" s="26">
        <v>0</v>
      </c>
      <c r="EZ251" s="26">
        <v>0</v>
      </c>
      <c r="FA251" s="26">
        <v>0</v>
      </c>
      <c r="FB251" s="26">
        <v>0</v>
      </c>
      <c r="FC251" s="26">
        <v>0</v>
      </c>
      <c r="FD251" s="26">
        <v>0</v>
      </c>
      <c r="FE251" s="26">
        <v>0</v>
      </c>
      <c r="FF251" s="26">
        <v>0</v>
      </c>
      <c r="FG251" s="26">
        <v>1.0816761699999999</v>
      </c>
      <c r="FH251" s="26">
        <v>-37376348.973899998</v>
      </c>
      <c r="FI251" s="26">
        <v>0.18445405008674351</v>
      </c>
      <c r="FJ251" s="26">
        <v>0</v>
      </c>
      <c r="FK251" s="26">
        <v>0</v>
      </c>
      <c r="FL251" s="26">
        <v>0</v>
      </c>
      <c r="FM251" s="26">
        <v>0</v>
      </c>
      <c r="FN251" s="26">
        <v>0</v>
      </c>
      <c r="FO251" s="26">
        <v>0</v>
      </c>
      <c r="FP251" s="26">
        <v>0</v>
      </c>
      <c r="FQ251" s="26">
        <v>0</v>
      </c>
      <c r="FR251" s="26">
        <v>0</v>
      </c>
      <c r="FS251" s="26">
        <v>0</v>
      </c>
      <c r="FT251" s="26">
        <v>0</v>
      </c>
      <c r="FU251" s="26">
        <v>0</v>
      </c>
      <c r="FV251" s="26">
        <v>0</v>
      </c>
      <c r="FW251" s="26">
        <v>0</v>
      </c>
      <c r="FX251" s="26">
        <v>0</v>
      </c>
      <c r="FY251" s="26">
        <v>0</v>
      </c>
      <c r="FZ251" s="26">
        <v>0</v>
      </c>
      <c r="GA251" s="26">
        <v>0</v>
      </c>
      <c r="GB251" s="26">
        <v>0</v>
      </c>
      <c r="GC251" s="26">
        <v>0</v>
      </c>
      <c r="GD251" s="26">
        <v>0</v>
      </c>
      <c r="GE251" s="26">
        <v>0</v>
      </c>
      <c r="GF251" s="26">
        <v>0</v>
      </c>
      <c r="GG251" s="26">
        <v>0</v>
      </c>
      <c r="GH251" s="26">
        <v>0</v>
      </c>
      <c r="GI251" s="26">
        <v>0</v>
      </c>
      <c r="GJ251" s="26">
        <v>0</v>
      </c>
      <c r="GK251" s="26">
        <v>0</v>
      </c>
      <c r="GL251" s="26">
        <v>0</v>
      </c>
      <c r="GM251" s="26">
        <v>0</v>
      </c>
      <c r="GN251" s="26">
        <v>0</v>
      </c>
      <c r="GO251" s="26">
        <v>0</v>
      </c>
      <c r="GP251" s="26">
        <v>0</v>
      </c>
      <c r="GQ251" s="26">
        <v>0</v>
      </c>
      <c r="GR251" s="26">
        <v>0</v>
      </c>
      <c r="GS251" s="26">
        <v>0</v>
      </c>
      <c r="GT251" s="26">
        <v>0</v>
      </c>
      <c r="GU251" s="26">
        <v>0</v>
      </c>
      <c r="GV251" s="26">
        <v>0</v>
      </c>
      <c r="GW251" s="26">
        <v>0</v>
      </c>
      <c r="GX251" s="26">
        <v>0</v>
      </c>
      <c r="GY251" s="26">
        <v>0</v>
      </c>
      <c r="GZ251" s="26">
        <v>0</v>
      </c>
      <c r="HA251" s="26">
        <v>0</v>
      </c>
      <c r="HB251" s="26">
        <v>0</v>
      </c>
      <c r="HC251" s="26">
        <v>0</v>
      </c>
      <c r="HD251" s="26">
        <v>0</v>
      </c>
      <c r="HE251" s="26">
        <v>0</v>
      </c>
      <c r="HF251" s="26">
        <v>0</v>
      </c>
      <c r="HG251" s="26">
        <v>0</v>
      </c>
      <c r="HH251" s="26">
        <v>0</v>
      </c>
      <c r="HI251" s="26">
        <v>0</v>
      </c>
      <c r="HJ251" s="26">
        <v>0</v>
      </c>
      <c r="HK251" s="26">
        <v>0</v>
      </c>
      <c r="HL251" s="26">
        <v>0</v>
      </c>
      <c r="HM251" s="26">
        <v>0</v>
      </c>
      <c r="HN251" s="26">
        <v>0</v>
      </c>
      <c r="HO251" s="26">
        <v>0</v>
      </c>
      <c r="HP251" s="26">
        <v>0</v>
      </c>
      <c r="HQ251" s="26">
        <v>0</v>
      </c>
      <c r="HR251" s="26">
        <v>0</v>
      </c>
      <c r="HS251" s="26">
        <v>0</v>
      </c>
      <c r="HT251" s="26">
        <v>0</v>
      </c>
    </row>
    <row r="252" spans="2:228" x14ac:dyDescent="0.2">
      <c r="B252" s="27" t="s">
        <v>2896</v>
      </c>
      <c r="C252" s="26">
        <v>1073.2786100000001</v>
      </c>
      <c r="D252" s="26">
        <v>-1.06756261</v>
      </c>
      <c r="E252" s="26">
        <v>0</v>
      </c>
      <c r="F252" s="26">
        <v>0</v>
      </c>
      <c r="G252" s="26">
        <v>0</v>
      </c>
      <c r="H252" s="26">
        <v>0</v>
      </c>
      <c r="I252" s="26">
        <v>0</v>
      </c>
      <c r="J252" s="26">
        <v>0</v>
      </c>
      <c r="K252" s="26">
        <v>0</v>
      </c>
      <c r="L252" s="26">
        <v>0</v>
      </c>
      <c r="M252" s="26">
        <v>0</v>
      </c>
      <c r="N252" s="26">
        <v>0</v>
      </c>
      <c r="O252" s="26">
        <v>0</v>
      </c>
      <c r="P252" s="26">
        <v>0</v>
      </c>
      <c r="Q252" s="26">
        <v>0</v>
      </c>
      <c r="R252" s="26">
        <v>0</v>
      </c>
      <c r="S252" s="26">
        <v>0</v>
      </c>
      <c r="T252" s="26">
        <v>0</v>
      </c>
      <c r="U252" s="26">
        <v>0</v>
      </c>
      <c r="V252" s="26">
        <v>0</v>
      </c>
      <c r="W252" s="26">
        <v>0</v>
      </c>
      <c r="X252" s="26">
        <v>0</v>
      </c>
      <c r="Y252" s="26">
        <v>0</v>
      </c>
      <c r="Z252" s="26">
        <v>0</v>
      </c>
      <c r="AA252" s="26">
        <v>0</v>
      </c>
      <c r="AB252" s="26">
        <v>0</v>
      </c>
      <c r="AC252" s="26">
        <v>0</v>
      </c>
      <c r="AD252" s="26">
        <v>0</v>
      </c>
      <c r="AE252" s="26">
        <v>0</v>
      </c>
      <c r="AF252" s="26">
        <v>0</v>
      </c>
      <c r="AG252" s="26">
        <v>0</v>
      </c>
      <c r="AH252" s="26">
        <v>0</v>
      </c>
      <c r="AI252" s="26">
        <v>0</v>
      </c>
      <c r="AJ252" s="26">
        <v>0</v>
      </c>
      <c r="AK252" s="26">
        <v>0</v>
      </c>
      <c r="AL252" s="26">
        <v>0</v>
      </c>
      <c r="AM252" s="26">
        <v>0</v>
      </c>
      <c r="AN252" s="26">
        <v>0</v>
      </c>
      <c r="AO252" s="26">
        <v>0</v>
      </c>
      <c r="AP252" s="26">
        <v>0</v>
      </c>
      <c r="AQ252" s="26">
        <v>0</v>
      </c>
      <c r="AR252" s="26">
        <v>0</v>
      </c>
      <c r="AS252" s="26">
        <v>0</v>
      </c>
      <c r="AT252" s="26">
        <v>0</v>
      </c>
      <c r="AU252" s="26">
        <v>0</v>
      </c>
      <c r="AV252" s="26">
        <v>0</v>
      </c>
      <c r="AW252" s="26">
        <v>0</v>
      </c>
      <c r="AX252" s="26">
        <v>0</v>
      </c>
      <c r="AY252" s="26">
        <v>0</v>
      </c>
      <c r="AZ252" s="26">
        <v>0</v>
      </c>
      <c r="BA252" s="26">
        <v>0</v>
      </c>
      <c r="BB252" s="26">
        <v>0</v>
      </c>
      <c r="BC252" s="26">
        <v>0</v>
      </c>
      <c r="BD252" s="26">
        <v>0</v>
      </c>
      <c r="BE252" s="26">
        <v>0</v>
      </c>
      <c r="BF252" s="26">
        <v>0</v>
      </c>
      <c r="BG252" s="26">
        <v>0</v>
      </c>
      <c r="BH252" s="26">
        <v>0</v>
      </c>
      <c r="BI252" s="26">
        <v>0</v>
      </c>
      <c r="BJ252" s="26">
        <v>0</v>
      </c>
      <c r="BK252" s="26">
        <v>0</v>
      </c>
      <c r="BL252" s="26">
        <v>0</v>
      </c>
      <c r="BM252" s="26">
        <v>0</v>
      </c>
      <c r="BN252" s="26">
        <v>0</v>
      </c>
      <c r="BO252" s="26">
        <v>0</v>
      </c>
      <c r="BP252" s="26">
        <v>0</v>
      </c>
      <c r="BQ252" s="26">
        <v>0</v>
      </c>
      <c r="BR252" s="26">
        <v>0</v>
      </c>
      <c r="BS252" s="26">
        <v>2</v>
      </c>
      <c r="BT252" s="26">
        <v>0</v>
      </c>
      <c r="BU252" s="26">
        <v>0</v>
      </c>
      <c r="BV252" s="26">
        <v>0</v>
      </c>
      <c r="BW252" s="26">
        <v>0</v>
      </c>
      <c r="BX252" s="26">
        <v>0</v>
      </c>
      <c r="BY252" s="26">
        <v>0</v>
      </c>
      <c r="BZ252" s="26">
        <v>0</v>
      </c>
      <c r="CA252" s="26">
        <v>0</v>
      </c>
      <c r="CB252" s="26">
        <v>0</v>
      </c>
      <c r="CC252" s="26">
        <v>0</v>
      </c>
      <c r="CD252" s="26">
        <v>0</v>
      </c>
      <c r="CE252" s="26">
        <v>0</v>
      </c>
      <c r="CF252" s="26">
        <v>0</v>
      </c>
      <c r="CG252" s="26">
        <v>0</v>
      </c>
      <c r="CH252" s="26">
        <v>0</v>
      </c>
      <c r="CI252" s="26">
        <v>0</v>
      </c>
      <c r="CJ252" s="26">
        <v>0</v>
      </c>
      <c r="CK252" s="26">
        <v>0</v>
      </c>
      <c r="CL252" s="26">
        <v>0</v>
      </c>
      <c r="CM252" s="26">
        <v>0</v>
      </c>
      <c r="CN252" s="26">
        <v>0</v>
      </c>
      <c r="CO252" s="26">
        <v>0</v>
      </c>
      <c r="CP252" s="26">
        <v>0</v>
      </c>
      <c r="CQ252" s="26">
        <v>0</v>
      </c>
      <c r="CR252" s="26">
        <v>0</v>
      </c>
      <c r="CS252" s="26">
        <v>0</v>
      </c>
      <c r="CT252" s="26">
        <v>0</v>
      </c>
      <c r="CU252" s="26">
        <v>0</v>
      </c>
      <c r="CV252" s="26">
        <v>0</v>
      </c>
      <c r="CW252" s="26">
        <v>0</v>
      </c>
      <c r="CX252" s="26">
        <v>0</v>
      </c>
      <c r="CY252" s="26">
        <v>0</v>
      </c>
      <c r="CZ252" s="26">
        <v>0</v>
      </c>
      <c r="DA252" s="26">
        <v>0</v>
      </c>
      <c r="DB252" s="26">
        <v>0</v>
      </c>
      <c r="DC252" s="26">
        <v>0</v>
      </c>
      <c r="DD252" s="26">
        <v>0</v>
      </c>
      <c r="DE252" s="26">
        <v>0</v>
      </c>
      <c r="DF252" s="26">
        <v>0</v>
      </c>
      <c r="DG252" s="26">
        <v>0</v>
      </c>
      <c r="DH252" s="26">
        <v>0</v>
      </c>
      <c r="DI252" s="26">
        <v>0</v>
      </c>
      <c r="DJ252" s="26">
        <v>0</v>
      </c>
      <c r="DK252" s="26">
        <v>0</v>
      </c>
      <c r="DL252" s="26">
        <v>0</v>
      </c>
      <c r="DM252" s="26">
        <v>0</v>
      </c>
      <c r="DN252" s="26">
        <v>0</v>
      </c>
      <c r="DO252" s="26">
        <v>0</v>
      </c>
      <c r="DP252" s="26">
        <v>0</v>
      </c>
      <c r="DQ252" s="26">
        <v>0</v>
      </c>
      <c r="DR252" s="26">
        <v>0</v>
      </c>
      <c r="DS252" s="26">
        <v>0</v>
      </c>
      <c r="DT252" s="26">
        <v>0</v>
      </c>
      <c r="DU252" s="26">
        <v>0</v>
      </c>
      <c r="DV252" s="26">
        <v>0</v>
      </c>
      <c r="DW252" s="26">
        <v>0</v>
      </c>
      <c r="DX252" s="26">
        <v>0</v>
      </c>
      <c r="DY252" s="26">
        <v>0</v>
      </c>
      <c r="DZ252" s="26">
        <v>0</v>
      </c>
      <c r="EA252" s="26">
        <v>0</v>
      </c>
      <c r="EB252" s="26">
        <v>0</v>
      </c>
      <c r="EC252" s="26">
        <v>0</v>
      </c>
      <c r="ED252" s="26">
        <v>0</v>
      </c>
      <c r="EE252" s="26">
        <v>0</v>
      </c>
      <c r="EF252" s="26">
        <v>0</v>
      </c>
      <c r="EG252" s="26">
        <v>0</v>
      </c>
      <c r="EH252" s="26">
        <v>0</v>
      </c>
      <c r="EI252" s="26">
        <v>0</v>
      </c>
      <c r="EJ252" s="26">
        <v>0</v>
      </c>
      <c r="EK252" s="26">
        <v>1073.2786100000001</v>
      </c>
      <c r="EL252" s="26">
        <v>0</v>
      </c>
      <c r="EM252" s="26">
        <v>0</v>
      </c>
      <c r="EN252" s="26">
        <v>0</v>
      </c>
      <c r="EO252" s="26">
        <v>0</v>
      </c>
      <c r="EP252" s="26">
        <v>46.186358800000001</v>
      </c>
      <c r="EQ252" s="26">
        <v>1073.2786100000001</v>
      </c>
      <c r="ER252" s="26">
        <v>11.923778199999999</v>
      </c>
      <c r="ES252" s="26">
        <v>35</v>
      </c>
      <c r="ET252" s="26">
        <v>2</v>
      </c>
      <c r="EU252" s="26">
        <v>0</v>
      </c>
      <c r="EV252" s="26">
        <v>0</v>
      </c>
      <c r="EW252" s="26">
        <v>1</v>
      </c>
      <c r="EX252" s="26">
        <v>-23114.240399999999</v>
      </c>
      <c r="EY252" s="26">
        <v>-994.67425900000001</v>
      </c>
      <c r="EZ252" s="26">
        <v>-1.06756261</v>
      </c>
      <c r="FA252" s="26">
        <v>-77.530261400000001</v>
      </c>
      <c r="FB252" s="26">
        <v>-3.3363568899999998</v>
      </c>
      <c r="FC252" s="26">
        <v>6.4557779199999998E-2</v>
      </c>
      <c r="FD252" s="26">
        <v>1.50019367</v>
      </c>
      <c r="FE252" s="26">
        <v>23.238</v>
      </c>
      <c r="FF252" s="26">
        <v>0</v>
      </c>
      <c r="FG252" s="26">
        <v>1.44280919</v>
      </c>
      <c r="FH252" s="26">
        <v>-1246182.4003699999</v>
      </c>
      <c r="FI252" s="26">
        <v>0</v>
      </c>
      <c r="FJ252" s="26">
        <v>0</v>
      </c>
      <c r="FK252" s="26">
        <v>0</v>
      </c>
      <c r="FL252" s="26">
        <v>0</v>
      </c>
      <c r="FM252" s="26">
        <v>0</v>
      </c>
      <c r="FN252" s="26">
        <v>0</v>
      </c>
      <c r="FO252" s="26">
        <v>0</v>
      </c>
      <c r="FP252" s="26">
        <v>0</v>
      </c>
      <c r="FQ252" s="26">
        <v>0</v>
      </c>
      <c r="FR252" s="26">
        <v>0</v>
      </c>
      <c r="FS252" s="26">
        <v>0</v>
      </c>
      <c r="FT252" s="26">
        <v>0</v>
      </c>
      <c r="FU252" s="26">
        <v>0</v>
      </c>
      <c r="FV252" s="26">
        <v>0</v>
      </c>
      <c r="FW252" s="26">
        <v>0</v>
      </c>
      <c r="FX252" s="26">
        <v>0</v>
      </c>
      <c r="FY252" s="26">
        <v>0</v>
      </c>
      <c r="FZ252" s="26">
        <v>0</v>
      </c>
      <c r="GA252" s="26">
        <v>0</v>
      </c>
      <c r="GB252" s="26">
        <v>0</v>
      </c>
      <c r="GC252" s="26">
        <v>0</v>
      </c>
      <c r="GD252" s="26">
        <v>0</v>
      </c>
      <c r="GE252" s="26">
        <v>0</v>
      </c>
      <c r="GF252" s="26">
        <v>0</v>
      </c>
      <c r="GG252" s="26">
        <v>0</v>
      </c>
      <c r="GH252" s="26">
        <v>0</v>
      </c>
      <c r="GI252" s="26">
        <v>0</v>
      </c>
      <c r="GJ252" s="26">
        <v>0</v>
      </c>
      <c r="GK252" s="26">
        <v>0</v>
      </c>
      <c r="GL252" s="26">
        <v>0</v>
      </c>
      <c r="GM252" s="26">
        <v>0</v>
      </c>
      <c r="GN252" s="26">
        <v>0</v>
      </c>
      <c r="GO252" s="26">
        <v>0</v>
      </c>
      <c r="GP252" s="26">
        <v>0</v>
      </c>
      <c r="GQ252" s="26">
        <v>0</v>
      </c>
      <c r="GR252" s="26">
        <v>0</v>
      </c>
      <c r="GS252" s="26">
        <v>0</v>
      </c>
      <c r="GT252" s="26">
        <v>0</v>
      </c>
      <c r="GU252" s="26">
        <v>0</v>
      </c>
      <c r="GV252" s="26">
        <v>0</v>
      </c>
      <c r="GW252" s="26">
        <v>0</v>
      </c>
      <c r="GX252" s="26">
        <v>0</v>
      </c>
      <c r="GY252" s="26">
        <v>0</v>
      </c>
      <c r="GZ252" s="26">
        <v>0</v>
      </c>
      <c r="HA252" s="26">
        <v>0</v>
      </c>
      <c r="HB252" s="26">
        <v>0</v>
      </c>
      <c r="HC252" s="26">
        <v>0</v>
      </c>
      <c r="HD252" s="26">
        <v>0</v>
      </c>
      <c r="HE252" s="26">
        <v>0</v>
      </c>
      <c r="HF252" s="26">
        <v>0</v>
      </c>
      <c r="HG252" s="26">
        <v>0</v>
      </c>
      <c r="HH252" s="26">
        <v>0</v>
      </c>
      <c r="HI252" s="26">
        <v>0</v>
      </c>
      <c r="HJ252" s="26">
        <v>0</v>
      </c>
      <c r="HK252" s="26">
        <v>0</v>
      </c>
      <c r="HL252" s="26">
        <v>0</v>
      </c>
      <c r="HM252" s="26">
        <v>0</v>
      </c>
      <c r="HN252" s="26">
        <v>0</v>
      </c>
      <c r="HO252" s="26">
        <v>0</v>
      </c>
      <c r="HP252" s="26">
        <v>0</v>
      </c>
      <c r="HQ252" s="26">
        <v>0</v>
      </c>
      <c r="HR252" s="26">
        <v>0</v>
      </c>
      <c r="HS252" s="26">
        <v>0</v>
      </c>
      <c r="HT252" s="26">
        <v>1.2829544213747466E-2</v>
      </c>
    </row>
    <row r="253" spans="2:228" x14ac:dyDescent="0.2">
      <c r="B253" s="27" t="s">
        <v>2897</v>
      </c>
      <c r="C253" s="26">
        <v>40847.214200000002</v>
      </c>
      <c r="D253" s="26">
        <v>-107.360038</v>
      </c>
      <c r="E253" s="26">
        <v>18440.126400000001</v>
      </c>
      <c r="F253" s="26">
        <v>0</v>
      </c>
      <c r="G253" s="26">
        <v>0</v>
      </c>
      <c r="H253" s="26">
        <v>0</v>
      </c>
      <c r="I253" s="26">
        <v>0</v>
      </c>
      <c r="J253" s="26">
        <v>0</v>
      </c>
      <c r="K253" s="26">
        <v>0</v>
      </c>
      <c r="L253" s="26">
        <v>0</v>
      </c>
      <c r="M253" s="26">
        <v>0</v>
      </c>
      <c r="N253" s="26">
        <v>0</v>
      </c>
      <c r="O253" s="26">
        <v>0</v>
      </c>
      <c r="P253" s="26">
        <v>0</v>
      </c>
      <c r="Q253" s="26">
        <v>0</v>
      </c>
      <c r="R253" s="26">
        <v>0</v>
      </c>
      <c r="S253" s="26">
        <v>0</v>
      </c>
      <c r="T253" s="26">
        <v>0</v>
      </c>
      <c r="U253" s="26">
        <v>0</v>
      </c>
      <c r="V253" s="26">
        <v>0</v>
      </c>
      <c r="W253" s="26">
        <v>0</v>
      </c>
      <c r="X253" s="26">
        <v>0</v>
      </c>
      <c r="Y253" s="26">
        <v>0</v>
      </c>
      <c r="Z253" s="26">
        <v>0</v>
      </c>
      <c r="AA253" s="26">
        <v>0</v>
      </c>
      <c r="AB253" s="26">
        <v>708.70926599999996</v>
      </c>
      <c r="AC253" s="26">
        <v>5.8767177800000001E-2</v>
      </c>
      <c r="AD253" s="26">
        <v>0</v>
      </c>
      <c r="AE253" s="26">
        <v>0</v>
      </c>
      <c r="AF253" s="26">
        <v>107.082211</v>
      </c>
      <c r="AG253" s="26">
        <v>0</v>
      </c>
      <c r="AH253" s="26">
        <v>0</v>
      </c>
      <c r="AI253" s="26">
        <v>0</v>
      </c>
      <c r="AJ253" s="26">
        <v>0</v>
      </c>
      <c r="AK253" s="26">
        <v>0</v>
      </c>
      <c r="AL253" s="26">
        <v>0</v>
      </c>
      <c r="AM253" s="26">
        <v>0</v>
      </c>
      <c r="AN253" s="26">
        <v>1141.1837</v>
      </c>
      <c r="AO253" s="26">
        <v>0.17859788100000001</v>
      </c>
      <c r="AP253" s="26">
        <v>0</v>
      </c>
      <c r="AQ253" s="26">
        <v>0</v>
      </c>
      <c r="AR253" s="26">
        <v>0</v>
      </c>
      <c r="AS253" s="26">
        <v>14460.4825</v>
      </c>
      <c r="AT253" s="26">
        <v>5381.7111299999997</v>
      </c>
      <c r="AU253" s="26">
        <v>607.68159600000001</v>
      </c>
      <c r="AV253" s="26">
        <v>6.3271042800000005E-10</v>
      </c>
      <c r="AW253" s="26">
        <v>0</v>
      </c>
      <c r="AX253" s="26">
        <v>0</v>
      </c>
      <c r="AY253" s="26">
        <v>0</v>
      </c>
      <c r="AZ253" s="26">
        <v>0</v>
      </c>
      <c r="BA253" s="26">
        <v>0</v>
      </c>
      <c r="BB253" s="26">
        <v>0</v>
      </c>
      <c r="BC253" s="26">
        <v>0</v>
      </c>
      <c r="BD253" s="26">
        <v>0</v>
      </c>
      <c r="BE253" s="26">
        <v>0</v>
      </c>
      <c r="BF253" s="26">
        <v>0</v>
      </c>
      <c r="BG253" s="26">
        <v>0</v>
      </c>
      <c r="BH253" s="26">
        <v>0</v>
      </c>
      <c r="BI253" s="26">
        <v>0</v>
      </c>
      <c r="BJ253" s="26">
        <v>0</v>
      </c>
      <c r="BK253" s="26">
        <v>0</v>
      </c>
      <c r="BL253" s="26">
        <v>0</v>
      </c>
      <c r="BM253" s="26">
        <v>0</v>
      </c>
      <c r="BN253" s="26">
        <v>0</v>
      </c>
      <c r="BO253" s="26">
        <v>1783.54234</v>
      </c>
      <c r="BP253" s="26">
        <v>40847.214200000002</v>
      </c>
      <c r="BQ253" s="26">
        <v>158111.345</v>
      </c>
      <c r="BR253" s="26">
        <v>35</v>
      </c>
      <c r="BS253" s="26">
        <v>2</v>
      </c>
      <c r="BT253" s="26">
        <v>0.41985983300000002</v>
      </c>
      <c r="BU253" s="26">
        <v>0.58014016700000004</v>
      </c>
      <c r="BV253" s="26">
        <v>0</v>
      </c>
      <c r="BW253" s="26">
        <v>-60194.834900000002</v>
      </c>
      <c r="BX253" s="26">
        <v>-2628.3319200000001</v>
      </c>
      <c r="BY253" s="26">
        <v>-107.360038</v>
      </c>
      <c r="BZ253" s="26">
        <v>-25.8622643</v>
      </c>
      <c r="CA253" s="26">
        <v>-1.1292433099999999</v>
      </c>
      <c r="CB253" s="26">
        <v>1.8800488600000001E-4</v>
      </c>
      <c r="CC253" s="26">
        <v>4.3057434999999996E-3</v>
      </c>
      <c r="CD253" s="26">
        <v>22.9022957</v>
      </c>
      <c r="CE253" s="26">
        <v>0</v>
      </c>
      <c r="CF253" s="26">
        <v>0</v>
      </c>
      <c r="CG253" s="26">
        <v>0</v>
      </c>
      <c r="CH253" s="26">
        <v>0</v>
      </c>
      <c r="CI253" s="26">
        <v>0</v>
      </c>
      <c r="CJ253" s="26">
        <v>0</v>
      </c>
      <c r="CK253" s="26">
        <v>0</v>
      </c>
      <c r="CL253" s="26">
        <v>0</v>
      </c>
      <c r="CM253" s="26">
        <v>0</v>
      </c>
      <c r="CN253" s="26">
        <v>0</v>
      </c>
      <c r="CO253" s="26">
        <v>0</v>
      </c>
      <c r="CP253" s="26">
        <v>0</v>
      </c>
      <c r="CQ253" s="26">
        <v>0</v>
      </c>
      <c r="CR253" s="26">
        <v>0</v>
      </c>
      <c r="CS253" s="26">
        <v>0</v>
      </c>
      <c r="CT253" s="26">
        <v>0</v>
      </c>
      <c r="CU253" s="26">
        <v>0</v>
      </c>
      <c r="CV253" s="26">
        <v>0</v>
      </c>
      <c r="CW253" s="26">
        <v>0</v>
      </c>
      <c r="CX253" s="26">
        <v>0</v>
      </c>
      <c r="CY253" s="26">
        <v>0</v>
      </c>
      <c r="CZ253" s="26">
        <v>0</v>
      </c>
      <c r="DA253" s="26">
        <v>0</v>
      </c>
      <c r="DB253" s="26">
        <v>0</v>
      </c>
      <c r="DC253" s="26">
        <v>0</v>
      </c>
      <c r="DD253" s="26">
        <v>0</v>
      </c>
      <c r="DE253" s="26">
        <v>0</v>
      </c>
      <c r="DF253" s="26">
        <v>0</v>
      </c>
      <c r="DG253" s="26">
        <v>0</v>
      </c>
      <c r="DH253" s="26">
        <v>0</v>
      </c>
      <c r="DI253" s="26">
        <v>0</v>
      </c>
      <c r="DJ253" s="26">
        <v>0</v>
      </c>
      <c r="DK253" s="26">
        <v>0</v>
      </c>
      <c r="DL253" s="26">
        <v>0</v>
      </c>
      <c r="DM253" s="26">
        <v>0</v>
      </c>
      <c r="DN253" s="26">
        <v>0</v>
      </c>
      <c r="DO253" s="26">
        <v>0</v>
      </c>
      <c r="DP253" s="26">
        <v>0</v>
      </c>
      <c r="DQ253" s="26">
        <v>0</v>
      </c>
      <c r="DR253" s="26">
        <v>0</v>
      </c>
      <c r="DS253" s="26">
        <v>0</v>
      </c>
      <c r="DT253" s="26">
        <v>0</v>
      </c>
      <c r="DU253" s="26">
        <v>0</v>
      </c>
      <c r="DV253" s="26">
        <v>0</v>
      </c>
      <c r="DW253" s="26">
        <v>0</v>
      </c>
      <c r="DX253" s="26">
        <v>0</v>
      </c>
      <c r="DY253" s="26">
        <v>0</v>
      </c>
      <c r="DZ253" s="26">
        <v>0</v>
      </c>
      <c r="EA253" s="26">
        <v>0</v>
      </c>
      <c r="EB253" s="26">
        <v>0</v>
      </c>
      <c r="EC253" s="26">
        <v>0</v>
      </c>
      <c r="ED253" s="26">
        <v>0</v>
      </c>
      <c r="EE253" s="26">
        <v>0</v>
      </c>
      <c r="EF253" s="26">
        <v>0</v>
      </c>
      <c r="EG253" s="26">
        <v>0</v>
      </c>
      <c r="EH253" s="26">
        <v>0</v>
      </c>
      <c r="EI253" s="26">
        <v>0</v>
      </c>
      <c r="EJ253" s="26">
        <v>0</v>
      </c>
      <c r="EK253" s="26">
        <v>0</v>
      </c>
      <c r="EL253" s="26">
        <v>0</v>
      </c>
      <c r="EM253" s="26">
        <v>0</v>
      </c>
      <c r="EN253" s="26">
        <v>0</v>
      </c>
      <c r="EO253" s="26">
        <v>0</v>
      </c>
      <c r="EP253" s="26">
        <v>0</v>
      </c>
      <c r="EQ253" s="26">
        <v>0</v>
      </c>
      <c r="ER253" s="26">
        <v>0</v>
      </c>
      <c r="ES253" s="26">
        <v>0</v>
      </c>
      <c r="ET253" s="26">
        <v>2</v>
      </c>
      <c r="EU253" s="26">
        <v>0</v>
      </c>
      <c r="EV253" s="26">
        <v>0</v>
      </c>
      <c r="EW253" s="26">
        <v>0</v>
      </c>
      <c r="EX253" s="26">
        <v>0</v>
      </c>
      <c r="EY253" s="26">
        <v>0</v>
      </c>
      <c r="EZ253" s="26">
        <v>0</v>
      </c>
      <c r="FA253" s="26">
        <v>0</v>
      </c>
      <c r="FB253" s="26">
        <v>0</v>
      </c>
      <c r="FC253" s="26">
        <v>0</v>
      </c>
      <c r="FD253" s="26">
        <v>0</v>
      </c>
      <c r="FE253" s="26">
        <v>0</v>
      </c>
      <c r="FF253" s="26">
        <v>0</v>
      </c>
      <c r="FG253" s="26">
        <v>0.55354057700000003</v>
      </c>
      <c r="FH253" s="26">
        <v>-125203422.095</v>
      </c>
      <c r="FI253" s="26">
        <v>0.18445405008674351</v>
      </c>
      <c r="FJ253" s="26">
        <v>5.5938262114172766E-3</v>
      </c>
      <c r="FK253" s="26">
        <v>0</v>
      </c>
      <c r="FL253" s="26">
        <v>0</v>
      </c>
      <c r="FM253" s="26">
        <v>0</v>
      </c>
      <c r="FN253" s="26">
        <v>0</v>
      </c>
      <c r="FO253" s="26">
        <v>0</v>
      </c>
      <c r="FP253" s="26">
        <v>0</v>
      </c>
      <c r="FQ253" s="26">
        <v>0</v>
      </c>
      <c r="FR253" s="26">
        <v>0</v>
      </c>
      <c r="FS253" s="26">
        <v>0</v>
      </c>
      <c r="FT253" s="26">
        <v>0</v>
      </c>
      <c r="FU253" s="26">
        <v>0</v>
      </c>
      <c r="FV253" s="26">
        <v>0</v>
      </c>
      <c r="FW253" s="26">
        <v>0</v>
      </c>
      <c r="FX253" s="26">
        <v>0</v>
      </c>
      <c r="FY253" s="26">
        <v>0</v>
      </c>
      <c r="FZ253" s="26">
        <v>0</v>
      </c>
      <c r="GA253" s="26">
        <v>0</v>
      </c>
      <c r="GB253" s="26">
        <v>0</v>
      </c>
      <c r="GC253" s="26">
        <v>0</v>
      </c>
      <c r="GD253" s="26">
        <v>0</v>
      </c>
      <c r="GE253" s="26">
        <v>0</v>
      </c>
      <c r="GF253" s="26">
        <v>0</v>
      </c>
      <c r="GG253" s="26">
        <v>3.6868071683833462E-3</v>
      </c>
      <c r="GH253" s="26">
        <v>1.5500582929560217E-14</v>
      </c>
      <c r="GI253" s="26">
        <v>0</v>
      </c>
      <c r="GJ253" s="26">
        <v>0</v>
      </c>
      <c r="GK253" s="26">
        <v>0</v>
      </c>
      <c r="GL253" s="26">
        <v>0</v>
      </c>
      <c r="GM253" s="26">
        <v>0</v>
      </c>
      <c r="GN253" s="26">
        <v>0</v>
      </c>
      <c r="GO253" s="26">
        <v>0</v>
      </c>
      <c r="GP253" s="26">
        <v>0</v>
      </c>
      <c r="GQ253" s="26">
        <v>0</v>
      </c>
      <c r="GR253" s="26">
        <v>0</v>
      </c>
      <c r="GS253" s="26">
        <v>9.9059238848029467E-3</v>
      </c>
      <c r="GT253" s="26">
        <v>1.7708979919449619E-6</v>
      </c>
      <c r="GU253" s="26">
        <v>0</v>
      </c>
      <c r="GV253" s="26">
        <v>0</v>
      </c>
      <c r="GW253" s="26">
        <v>0</v>
      </c>
      <c r="GX253" s="26">
        <v>9.1156893784810705E-2</v>
      </c>
      <c r="GY253" s="26">
        <v>9.3178196578758907E-2</v>
      </c>
      <c r="GZ253" s="26">
        <v>4.4870806192299781E-3</v>
      </c>
      <c r="HA253" s="26">
        <v>1.8560313092926952E-15</v>
      </c>
      <c r="HB253" s="26">
        <v>0</v>
      </c>
      <c r="HC253" s="26">
        <v>0</v>
      </c>
      <c r="HD253" s="26">
        <v>0</v>
      </c>
      <c r="HE253" s="26">
        <v>0</v>
      </c>
      <c r="HF253" s="26">
        <v>0</v>
      </c>
      <c r="HG253" s="26">
        <v>0</v>
      </c>
      <c r="HH253" s="26">
        <v>0</v>
      </c>
      <c r="HI253" s="26">
        <v>0</v>
      </c>
      <c r="HJ253" s="26">
        <v>0</v>
      </c>
      <c r="HK253" s="26">
        <v>0</v>
      </c>
      <c r="HL253" s="26">
        <v>0</v>
      </c>
      <c r="HM253" s="26">
        <v>0</v>
      </c>
      <c r="HN253" s="26">
        <v>0</v>
      </c>
      <c r="HO253" s="26">
        <v>0</v>
      </c>
      <c r="HP253" s="26">
        <v>0</v>
      </c>
      <c r="HQ253" s="26">
        <v>0</v>
      </c>
      <c r="HR253" s="26">
        <v>0</v>
      </c>
      <c r="HS253" s="26">
        <v>0</v>
      </c>
      <c r="HT253" s="26">
        <v>0</v>
      </c>
    </row>
    <row r="254" spans="2:228" x14ac:dyDescent="0.2">
      <c r="B254" s="27" t="s">
        <v>2898</v>
      </c>
      <c r="C254" s="26">
        <v>411491.27100000001</v>
      </c>
      <c r="D254" s="26">
        <v>-1496.92221</v>
      </c>
      <c r="E254" s="26">
        <v>384281.08100000001</v>
      </c>
      <c r="F254" s="26">
        <v>17.096982400000002</v>
      </c>
      <c r="G254" s="26">
        <v>45.165156099999997</v>
      </c>
      <c r="H254" s="26">
        <v>99.145593599999998</v>
      </c>
      <c r="I254" s="26">
        <v>41.599549799999998</v>
      </c>
      <c r="J254" s="26">
        <v>92.015072900000007</v>
      </c>
      <c r="K254" s="26">
        <v>19.0681105</v>
      </c>
      <c r="L254" s="26">
        <v>28.688264500000002</v>
      </c>
      <c r="M254" s="26">
        <v>0</v>
      </c>
      <c r="N254" s="26">
        <v>98.186437999999995</v>
      </c>
      <c r="O254" s="26">
        <v>2.47787296</v>
      </c>
      <c r="P254" s="26">
        <v>1.03966698</v>
      </c>
      <c r="Q254" s="26">
        <v>33.840935299999998</v>
      </c>
      <c r="R254" s="26">
        <v>4.1239849399999997</v>
      </c>
      <c r="S254" s="26">
        <v>1057.8418099999999</v>
      </c>
      <c r="T254" s="26">
        <v>56.893193599999989</v>
      </c>
      <c r="U254" s="26">
        <v>32.045258699999998</v>
      </c>
      <c r="V254" s="26">
        <v>43.719797300000003</v>
      </c>
      <c r="W254" s="26">
        <v>5.2501574</v>
      </c>
      <c r="X254" s="26">
        <v>146.78842399999999</v>
      </c>
      <c r="Y254" s="26">
        <v>65.415627599999993</v>
      </c>
      <c r="Z254" s="26">
        <v>15.1086829</v>
      </c>
      <c r="AA254" s="26">
        <v>39.660723300000001</v>
      </c>
      <c r="AB254" s="26">
        <v>708.70933000000002</v>
      </c>
      <c r="AC254" s="26">
        <v>6.48936019E-2</v>
      </c>
      <c r="AD254" s="26">
        <v>0</v>
      </c>
      <c r="AE254" s="26">
        <v>1307.9361100000001</v>
      </c>
      <c r="AF254" s="26">
        <v>118.24543300000001</v>
      </c>
      <c r="AG254" s="26">
        <v>0</v>
      </c>
      <c r="AH254" s="26">
        <v>0</v>
      </c>
      <c r="AI254" s="26">
        <v>0</v>
      </c>
      <c r="AJ254" s="26">
        <v>0</v>
      </c>
      <c r="AK254" s="26">
        <v>0</v>
      </c>
      <c r="AL254" s="26">
        <v>0</v>
      </c>
      <c r="AM254" s="26">
        <v>1.15742166</v>
      </c>
      <c r="AN254" s="26">
        <v>1141.1944699999999</v>
      </c>
      <c r="AO254" s="26">
        <v>0.19721654499999999</v>
      </c>
      <c r="AP254" s="26">
        <v>0</v>
      </c>
      <c r="AQ254" s="26">
        <v>0</v>
      </c>
      <c r="AR254" s="26">
        <v>0</v>
      </c>
      <c r="AS254" s="26">
        <v>14460.4825</v>
      </c>
      <c r="AT254" s="26">
        <v>5381.7111299999997</v>
      </c>
      <c r="AU254" s="26">
        <v>607.68159600000001</v>
      </c>
      <c r="AV254" s="26">
        <v>6.3271042800000005E-10</v>
      </c>
      <c r="AW254" s="26">
        <v>0</v>
      </c>
      <c r="AX254" s="26">
        <v>0</v>
      </c>
      <c r="AY254" s="26">
        <v>0</v>
      </c>
      <c r="AZ254" s="26">
        <v>0</v>
      </c>
      <c r="BA254" s="26">
        <v>0</v>
      </c>
      <c r="BB254" s="26">
        <v>0</v>
      </c>
      <c r="BC254" s="26">
        <v>0</v>
      </c>
      <c r="BD254" s="26">
        <v>0</v>
      </c>
      <c r="BE254" s="26">
        <v>0</v>
      </c>
      <c r="BF254" s="26">
        <v>0</v>
      </c>
      <c r="BG254" s="26">
        <v>0</v>
      </c>
      <c r="BH254" s="26">
        <v>0</v>
      </c>
      <c r="BI254" s="26">
        <v>0</v>
      </c>
      <c r="BJ254" s="26">
        <v>0</v>
      </c>
      <c r="BK254" s="26">
        <v>0</v>
      </c>
      <c r="BL254" s="26">
        <v>0</v>
      </c>
      <c r="BM254" s="26">
        <v>0</v>
      </c>
      <c r="BN254" s="26">
        <v>0</v>
      </c>
      <c r="BO254" s="26">
        <v>22120.6018</v>
      </c>
      <c r="BP254" s="26">
        <v>409953.63199999998</v>
      </c>
      <c r="BQ254" s="26">
        <v>157969.666</v>
      </c>
      <c r="BR254" s="26">
        <v>35.609836500000029</v>
      </c>
      <c r="BS254" s="26">
        <v>2</v>
      </c>
      <c r="BT254" s="26">
        <v>3.2412978600000003E-2</v>
      </c>
      <c r="BU254" s="26">
        <v>0.96758702100000005</v>
      </c>
      <c r="BV254" s="26">
        <v>0</v>
      </c>
      <c r="BW254" s="26">
        <v>-67598.454899999997</v>
      </c>
      <c r="BX254" s="26">
        <v>-3647.5308</v>
      </c>
      <c r="BY254" s="26">
        <v>-1495.3185100000001</v>
      </c>
      <c r="BZ254" s="26">
        <v>-37.461862500000002</v>
      </c>
      <c r="CA254" s="26">
        <v>-2.0213967500000001</v>
      </c>
      <c r="CB254" s="26">
        <v>2.3338448599999999E-3</v>
      </c>
      <c r="CC254" s="26">
        <v>4.3252357499999998E-2</v>
      </c>
      <c r="CD254" s="26">
        <v>18.5326618</v>
      </c>
      <c r="CE254" s="26">
        <v>0</v>
      </c>
      <c r="CF254" s="26">
        <v>0</v>
      </c>
      <c r="CG254" s="26">
        <v>0</v>
      </c>
      <c r="CH254" s="26">
        <v>0</v>
      </c>
      <c r="CI254" s="26">
        <v>0</v>
      </c>
      <c r="CJ254" s="26">
        <v>0</v>
      </c>
      <c r="CK254" s="26">
        <v>0</v>
      </c>
      <c r="CL254" s="26">
        <v>0</v>
      </c>
      <c r="CM254" s="26">
        <v>0</v>
      </c>
      <c r="CN254" s="26">
        <v>0</v>
      </c>
      <c r="CO254" s="26">
        <v>0</v>
      </c>
      <c r="CP254" s="26">
        <v>0</v>
      </c>
      <c r="CQ254" s="26">
        <v>0</v>
      </c>
      <c r="CR254" s="26">
        <v>0</v>
      </c>
      <c r="CS254" s="26">
        <v>0</v>
      </c>
      <c r="CT254" s="26">
        <v>0</v>
      </c>
      <c r="CU254" s="26">
        <v>0</v>
      </c>
      <c r="CV254" s="26">
        <v>0</v>
      </c>
      <c r="CW254" s="26">
        <v>0</v>
      </c>
      <c r="CX254" s="26">
        <v>0</v>
      </c>
      <c r="CY254" s="26">
        <v>0</v>
      </c>
      <c r="CZ254" s="26">
        <v>0</v>
      </c>
      <c r="DA254" s="26">
        <v>0</v>
      </c>
      <c r="DB254" s="26">
        <v>0</v>
      </c>
      <c r="DC254" s="26">
        <v>0</v>
      </c>
      <c r="DD254" s="26">
        <v>0</v>
      </c>
      <c r="DE254" s="26">
        <v>0</v>
      </c>
      <c r="DF254" s="26">
        <v>0</v>
      </c>
      <c r="DG254" s="26">
        <v>0</v>
      </c>
      <c r="DH254" s="26">
        <v>0</v>
      </c>
      <c r="DI254" s="26">
        <v>0</v>
      </c>
      <c r="DJ254" s="26">
        <v>0</v>
      </c>
      <c r="DK254" s="26">
        <v>0</v>
      </c>
      <c r="DL254" s="26">
        <v>0</v>
      </c>
      <c r="DM254" s="26">
        <v>0</v>
      </c>
      <c r="DN254" s="26">
        <v>0</v>
      </c>
      <c r="DO254" s="26">
        <v>0</v>
      </c>
      <c r="DP254" s="26">
        <v>0</v>
      </c>
      <c r="DQ254" s="26">
        <v>0</v>
      </c>
      <c r="DR254" s="26">
        <v>0</v>
      </c>
      <c r="DS254" s="26">
        <v>0</v>
      </c>
      <c r="DT254" s="26">
        <v>0</v>
      </c>
      <c r="DU254" s="26">
        <v>0</v>
      </c>
      <c r="DV254" s="26">
        <v>0</v>
      </c>
      <c r="DW254" s="26">
        <v>0</v>
      </c>
      <c r="DX254" s="26">
        <v>25.092833200000001</v>
      </c>
      <c r="DY254" s="26">
        <v>0.61959341099999998</v>
      </c>
      <c r="DZ254" s="26">
        <v>0.25996926399999998</v>
      </c>
      <c r="EA254" s="26">
        <v>8.4619995299999999</v>
      </c>
      <c r="EB254" s="26">
        <v>1.0312114100000001</v>
      </c>
      <c r="EC254" s="26">
        <v>249.50383400000001</v>
      </c>
      <c r="ED254" s="26">
        <v>0</v>
      </c>
      <c r="EE254" s="26">
        <v>57.32226639999999</v>
      </c>
      <c r="EF254" s="26">
        <v>82.156953099999996</v>
      </c>
      <c r="EG254" s="26">
        <v>10.4160641</v>
      </c>
      <c r="EH254" s="26">
        <v>1.15734212</v>
      </c>
      <c r="EI254" s="26">
        <v>16.719684600000001</v>
      </c>
      <c r="EJ254" s="26">
        <v>2.1560445600000002</v>
      </c>
      <c r="EK254" s="26">
        <v>1073.2786100000001</v>
      </c>
      <c r="EL254" s="26">
        <v>9.4619263199999999</v>
      </c>
      <c r="EM254" s="26">
        <v>0</v>
      </c>
      <c r="EN254" s="26">
        <v>0</v>
      </c>
      <c r="EO254" s="26">
        <v>0</v>
      </c>
      <c r="EP254" s="26">
        <v>53.347474499999997</v>
      </c>
      <c r="EQ254" s="26">
        <v>1537.63833</v>
      </c>
      <c r="ER254" s="26">
        <v>17.5100889</v>
      </c>
      <c r="ES254" s="26">
        <v>35.609836500000029</v>
      </c>
      <c r="ET254" s="26">
        <v>2</v>
      </c>
      <c r="EU254" s="26">
        <v>0</v>
      </c>
      <c r="EV254" s="26">
        <v>0</v>
      </c>
      <c r="EW254" s="26">
        <v>1</v>
      </c>
      <c r="EX254" s="26">
        <v>-30061.281599999998</v>
      </c>
      <c r="EY254" s="26">
        <v>-1042.9588200000001</v>
      </c>
      <c r="EZ254" s="26">
        <v>-1.6036934700000001</v>
      </c>
      <c r="FA254" s="26">
        <v>-86.321236200000001</v>
      </c>
      <c r="FB254" s="26">
        <v>-2.9948654800000001</v>
      </c>
      <c r="FC254" s="26">
        <v>5.0777844000000003E-2</v>
      </c>
      <c r="FD254" s="26">
        <v>1.4635736699999999</v>
      </c>
      <c r="FE254" s="26">
        <v>28.8230763</v>
      </c>
      <c r="FF254" s="26">
        <v>0</v>
      </c>
      <c r="FG254" s="26">
        <v>6.8206204500000006E-2</v>
      </c>
      <c r="FH254" s="26">
        <v>-1745521265.1900001</v>
      </c>
      <c r="FI254" s="26">
        <v>0.21276498364656432</v>
      </c>
      <c r="FJ254" s="26">
        <v>5.6978512955828103E-3</v>
      </c>
      <c r="FK254" s="26">
        <v>1.7113536914686073E-6</v>
      </c>
      <c r="FL254" s="26">
        <v>6.9462025833473982E-19</v>
      </c>
      <c r="FM254" s="26">
        <v>1.5248156705318588E-18</v>
      </c>
      <c r="FN254" s="26">
        <v>6.3978279956270684E-19</v>
      </c>
      <c r="FO254" s="26">
        <v>2.8598679673233887E-16</v>
      </c>
      <c r="FP254" s="26">
        <v>5.9264506029671608E-17</v>
      </c>
      <c r="FQ254" s="26">
        <v>4.4366225354929807E-15</v>
      </c>
      <c r="FR254" s="26">
        <v>0</v>
      </c>
      <c r="FS254" s="26">
        <v>1.6778441495338643E-18</v>
      </c>
      <c r="FT254" s="26">
        <v>4.2342758672075402E-20</v>
      </c>
      <c r="FU254" s="26">
        <v>1.7766192447685095E-20</v>
      </c>
      <c r="FV254" s="26">
        <v>1.1952124012283658E-16</v>
      </c>
      <c r="FW254" s="26">
        <v>1.4565312422078056E-17</v>
      </c>
      <c r="FX254" s="26">
        <v>1.6269142213486469E-17</v>
      </c>
      <c r="FY254" s="26">
        <v>3.3480726378956922E-12</v>
      </c>
      <c r="FZ254" s="26">
        <v>3.5136394169980042E-10</v>
      </c>
      <c r="GA254" s="26">
        <v>1.303746927096642E-6</v>
      </c>
      <c r="GB254" s="26">
        <v>1.4870121424516527E-8</v>
      </c>
      <c r="GC254" s="26">
        <v>1.2251674292457839E-10</v>
      </c>
      <c r="GD254" s="26">
        <v>1.8027596366442992E-16</v>
      </c>
      <c r="GE254" s="26">
        <v>3.3427203600750961E-13</v>
      </c>
      <c r="GF254" s="26">
        <v>1.6166905657113022E-13</v>
      </c>
      <c r="GG254" s="26">
        <v>2.2695500126008444E-4</v>
      </c>
      <c r="GH254" s="26">
        <v>8.0526401477544548E-16</v>
      </c>
      <c r="GI254" s="26">
        <v>0</v>
      </c>
      <c r="GJ254" s="26">
        <v>0</v>
      </c>
      <c r="GK254" s="26">
        <v>0</v>
      </c>
      <c r="GL254" s="26">
        <v>0</v>
      </c>
      <c r="GM254" s="26">
        <v>0</v>
      </c>
      <c r="GN254" s="26">
        <v>0</v>
      </c>
      <c r="GO254" s="26">
        <v>0</v>
      </c>
      <c r="GP254" s="26">
        <v>0</v>
      </c>
      <c r="GQ254" s="26">
        <v>0</v>
      </c>
      <c r="GR254" s="26">
        <v>8.1074176759704531E-17</v>
      </c>
      <c r="GS254" s="26">
        <v>9.8948760513812295E-3</v>
      </c>
      <c r="GT254" s="26">
        <v>1.9543592989682076E-6</v>
      </c>
      <c r="GU254" s="26">
        <v>0</v>
      </c>
      <c r="GV254" s="26">
        <v>0</v>
      </c>
      <c r="GW254" s="26">
        <v>0</v>
      </c>
      <c r="GX254" s="26">
        <v>8.8786718765849301E-2</v>
      </c>
      <c r="GY254" s="26">
        <v>9.3065019355631259E-2</v>
      </c>
      <c r="GZ254" s="26">
        <v>1.4887606591323075E-3</v>
      </c>
      <c r="HA254" s="26">
        <v>0</v>
      </c>
      <c r="HB254" s="26">
        <v>0</v>
      </c>
      <c r="HC254" s="26">
        <v>0</v>
      </c>
      <c r="HD254" s="26">
        <v>0</v>
      </c>
      <c r="HE254" s="26">
        <v>0</v>
      </c>
      <c r="HF254" s="26">
        <v>0</v>
      </c>
      <c r="HG254" s="26">
        <v>0</v>
      </c>
      <c r="HH254" s="26">
        <v>0</v>
      </c>
      <c r="HI254" s="26">
        <v>0</v>
      </c>
      <c r="HJ254" s="26">
        <v>0</v>
      </c>
      <c r="HK254" s="26">
        <v>0</v>
      </c>
      <c r="HL254" s="26">
        <v>0</v>
      </c>
      <c r="HM254" s="26">
        <v>0</v>
      </c>
      <c r="HN254" s="26">
        <v>0</v>
      </c>
      <c r="HO254" s="26">
        <v>0</v>
      </c>
      <c r="HP254" s="26">
        <v>0</v>
      </c>
      <c r="HQ254" s="26">
        <v>0</v>
      </c>
      <c r="HR254" s="26">
        <v>0</v>
      </c>
      <c r="HS254" s="26">
        <v>0</v>
      </c>
      <c r="HT254" s="26">
        <v>1.7972733727115203E-2</v>
      </c>
    </row>
    <row r="255" spans="2:228" x14ac:dyDescent="0.2">
      <c r="B255" s="27" t="s">
        <v>2951</v>
      </c>
      <c r="C255" s="26">
        <v>20998.878100000002</v>
      </c>
      <c r="D255" s="26">
        <v>-76.557279399999999</v>
      </c>
      <c r="E255" s="26">
        <v>19254.787100000001</v>
      </c>
      <c r="F255" s="26">
        <v>0</v>
      </c>
      <c r="G255" s="26">
        <v>0</v>
      </c>
      <c r="H255" s="26">
        <v>0</v>
      </c>
      <c r="I255" s="26">
        <v>0</v>
      </c>
      <c r="J255" s="26">
        <v>0</v>
      </c>
      <c r="K255" s="26">
        <v>0</v>
      </c>
      <c r="L255" s="26">
        <v>0</v>
      </c>
      <c r="M255" s="26">
        <v>0</v>
      </c>
      <c r="N255" s="26">
        <v>0</v>
      </c>
      <c r="O255" s="26">
        <v>0</v>
      </c>
      <c r="P255" s="26">
        <v>0</v>
      </c>
      <c r="Q255" s="26">
        <v>0</v>
      </c>
      <c r="R255" s="26">
        <v>0</v>
      </c>
      <c r="S255" s="26">
        <v>0</v>
      </c>
      <c r="T255" s="26">
        <v>0</v>
      </c>
      <c r="U255" s="26">
        <v>0</v>
      </c>
      <c r="V255" s="26">
        <v>0</v>
      </c>
      <c r="W255" s="26">
        <v>0</v>
      </c>
      <c r="X255" s="26">
        <v>0</v>
      </c>
      <c r="Y255" s="26">
        <v>0</v>
      </c>
      <c r="Z255" s="26">
        <v>0</v>
      </c>
      <c r="AA255" s="26">
        <v>0</v>
      </c>
      <c r="AB255" s="26">
        <v>0</v>
      </c>
      <c r="AC255" s="26">
        <v>0</v>
      </c>
      <c r="AD255" s="26">
        <v>1744.0909799999999</v>
      </c>
      <c r="AE255" s="26">
        <v>0</v>
      </c>
      <c r="AF255" s="26">
        <v>0</v>
      </c>
      <c r="AG255" s="26">
        <v>0</v>
      </c>
      <c r="AH255" s="26">
        <v>0</v>
      </c>
      <c r="AI255" s="26">
        <v>0</v>
      </c>
      <c r="AJ255" s="26">
        <v>0</v>
      </c>
      <c r="AK255" s="26">
        <v>0</v>
      </c>
      <c r="AL255" s="26">
        <v>0</v>
      </c>
      <c r="AM255" s="26">
        <v>0</v>
      </c>
      <c r="AN255" s="26">
        <v>0</v>
      </c>
      <c r="AO255" s="26">
        <v>0</v>
      </c>
      <c r="AP255" s="26">
        <v>0</v>
      </c>
      <c r="AQ255" s="26">
        <v>0</v>
      </c>
      <c r="AR255" s="26">
        <v>0</v>
      </c>
      <c r="AS255" s="26">
        <v>0</v>
      </c>
      <c r="AT255" s="26">
        <v>0</v>
      </c>
      <c r="AU255" s="26">
        <v>0</v>
      </c>
      <c r="AV255" s="26">
        <v>0</v>
      </c>
      <c r="AW255" s="26">
        <v>0</v>
      </c>
      <c r="AX255" s="26">
        <v>0</v>
      </c>
      <c r="AY255" s="26">
        <v>0</v>
      </c>
      <c r="AZ255" s="26">
        <v>0</v>
      </c>
      <c r="BA255" s="26">
        <v>0</v>
      </c>
      <c r="BB255" s="26">
        <v>0</v>
      </c>
      <c r="BC255" s="26">
        <v>0</v>
      </c>
      <c r="BD255" s="26">
        <v>0</v>
      </c>
      <c r="BE255" s="26">
        <v>0</v>
      </c>
      <c r="BF255" s="26">
        <v>0</v>
      </c>
      <c r="BG255" s="26">
        <v>0</v>
      </c>
      <c r="BH255" s="26">
        <v>0</v>
      </c>
      <c r="BI255" s="26">
        <v>0</v>
      </c>
      <c r="BJ255" s="26">
        <v>0</v>
      </c>
      <c r="BK255" s="26">
        <v>0</v>
      </c>
      <c r="BL255" s="26">
        <v>0</v>
      </c>
      <c r="BM255" s="26">
        <v>0</v>
      </c>
      <c r="BN255" s="26">
        <v>0</v>
      </c>
      <c r="BO255" s="26">
        <v>1082.0018500000001</v>
      </c>
      <c r="BP255" s="26">
        <v>20998.878100000002</v>
      </c>
      <c r="BQ255" s="26">
        <v>373.92284100000001</v>
      </c>
      <c r="BR255" s="26">
        <v>35</v>
      </c>
      <c r="BS255" s="26">
        <v>1.2949979599999999</v>
      </c>
      <c r="BT255" s="26">
        <v>0</v>
      </c>
      <c r="BU255" s="26">
        <v>1</v>
      </c>
      <c r="BV255" s="26">
        <v>0</v>
      </c>
      <c r="BW255" s="26">
        <v>-70755.219800000006</v>
      </c>
      <c r="BX255" s="26">
        <v>-3645.7794800000001</v>
      </c>
      <c r="BY255" s="26">
        <v>-76.557279399999999</v>
      </c>
      <c r="BZ255" s="26">
        <v>-36.295710300000003</v>
      </c>
      <c r="CA255" s="26">
        <v>-1.8701963800000001</v>
      </c>
      <c r="CB255" s="26">
        <v>4.8227500399999998E-2</v>
      </c>
      <c r="CC255" s="26">
        <v>0.93597196800000004</v>
      </c>
      <c r="CD255" s="26">
        <v>19.407432700000001</v>
      </c>
      <c r="CE255" s="26">
        <v>387.28477199999998</v>
      </c>
      <c r="CF255" s="26">
        <v>0</v>
      </c>
      <c r="CG255" s="26">
        <v>0</v>
      </c>
      <c r="CH255" s="26">
        <v>0</v>
      </c>
      <c r="CI255" s="26">
        <v>0</v>
      </c>
      <c r="CJ255" s="26">
        <v>0</v>
      </c>
      <c r="CK255" s="26">
        <v>0</v>
      </c>
      <c r="CL255" s="26">
        <v>0</v>
      </c>
      <c r="CM255" s="26">
        <v>0</v>
      </c>
      <c r="CN255" s="26">
        <v>0</v>
      </c>
      <c r="CO255" s="26">
        <v>0</v>
      </c>
      <c r="CP255" s="26">
        <v>0</v>
      </c>
      <c r="CQ255" s="26">
        <v>0</v>
      </c>
      <c r="CR255" s="26">
        <v>0</v>
      </c>
      <c r="CS255" s="26">
        <v>0</v>
      </c>
      <c r="CT255" s="26">
        <v>0</v>
      </c>
      <c r="CU255" s="26">
        <v>0</v>
      </c>
      <c r="CV255" s="26">
        <v>0</v>
      </c>
      <c r="CW255" s="26">
        <v>0</v>
      </c>
      <c r="CX255" s="26">
        <v>0</v>
      </c>
      <c r="CY255" s="26">
        <v>0</v>
      </c>
      <c r="CZ255" s="26">
        <v>0</v>
      </c>
      <c r="DA255" s="26">
        <v>0</v>
      </c>
      <c r="DB255" s="26">
        <v>0</v>
      </c>
      <c r="DC255" s="26">
        <v>0</v>
      </c>
      <c r="DD255" s="26">
        <v>0</v>
      </c>
      <c r="DE255" s="26">
        <v>0</v>
      </c>
      <c r="DF255" s="26">
        <v>0</v>
      </c>
      <c r="DG255" s="26">
        <v>0</v>
      </c>
      <c r="DH255" s="26">
        <v>0</v>
      </c>
      <c r="DI255" s="26">
        <v>0</v>
      </c>
      <c r="DJ255" s="26">
        <v>0</v>
      </c>
      <c r="DK255" s="26">
        <v>0</v>
      </c>
      <c r="DL255" s="26">
        <v>0</v>
      </c>
      <c r="DM255" s="26">
        <v>0</v>
      </c>
      <c r="DN255" s="26">
        <v>0</v>
      </c>
      <c r="DO255" s="26">
        <v>0</v>
      </c>
      <c r="DP255" s="26">
        <v>0</v>
      </c>
      <c r="DQ255" s="26">
        <v>0</v>
      </c>
      <c r="DR255" s="26">
        <v>0</v>
      </c>
      <c r="DS255" s="26">
        <v>0</v>
      </c>
      <c r="DT255" s="26">
        <v>0</v>
      </c>
      <c r="DU255" s="26">
        <v>0</v>
      </c>
      <c r="DV255" s="26">
        <v>0</v>
      </c>
      <c r="DW255" s="26">
        <v>0</v>
      </c>
      <c r="DX255" s="26">
        <v>0</v>
      </c>
      <c r="DY255" s="26">
        <v>0</v>
      </c>
      <c r="DZ255" s="26">
        <v>0</v>
      </c>
      <c r="EA255" s="26">
        <v>0</v>
      </c>
      <c r="EB255" s="26">
        <v>0</v>
      </c>
      <c r="EC255" s="26">
        <v>0</v>
      </c>
      <c r="ED255" s="26">
        <v>0</v>
      </c>
      <c r="EE255" s="26">
        <v>0</v>
      </c>
      <c r="EF255" s="26">
        <v>0</v>
      </c>
      <c r="EG255" s="26">
        <v>0</v>
      </c>
      <c r="EH255" s="26">
        <v>0</v>
      </c>
      <c r="EI255" s="26">
        <v>0</v>
      </c>
      <c r="EJ255" s="26">
        <v>0</v>
      </c>
      <c r="EK255" s="26">
        <v>0</v>
      </c>
      <c r="EL255" s="26">
        <v>0</v>
      </c>
      <c r="EM255" s="26">
        <v>0</v>
      </c>
      <c r="EN255" s="26">
        <v>0</v>
      </c>
      <c r="EO255" s="26">
        <v>0</v>
      </c>
      <c r="EP255" s="26">
        <v>0</v>
      </c>
      <c r="EQ255" s="26">
        <v>0</v>
      </c>
      <c r="ER255" s="26">
        <v>0</v>
      </c>
      <c r="ES255" s="26">
        <v>0</v>
      </c>
      <c r="ET255" s="26">
        <v>1.2949979599999999</v>
      </c>
      <c r="EU255" s="26">
        <v>0</v>
      </c>
      <c r="EV255" s="26">
        <v>0</v>
      </c>
      <c r="EW255" s="26">
        <v>0</v>
      </c>
      <c r="EX255" s="26">
        <v>0</v>
      </c>
      <c r="EY255" s="26">
        <v>0</v>
      </c>
      <c r="EZ255" s="26">
        <v>0</v>
      </c>
      <c r="FA255" s="26">
        <v>0</v>
      </c>
      <c r="FB255" s="26">
        <v>0</v>
      </c>
      <c r="FC255" s="26">
        <v>0</v>
      </c>
      <c r="FD255" s="26">
        <v>0</v>
      </c>
      <c r="FE255" s="26">
        <v>0</v>
      </c>
      <c r="FF255" s="26">
        <v>0</v>
      </c>
      <c r="FG255" s="26">
        <v>0</v>
      </c>
      <c r="FH255" s="26">
        <v>-89249923.257799998</v>
      </c>
      <c r="FI255" s="26">
        <v>0</v>
      </c>
      <c r="FJ255" s="26">
        <v>0</v>
      </c>
      <c r="FK255" s="26">
        <v>0</v>
      </c>
      <c r="FL255" s="26">
        <v>0</v>
      </c>
      <c r="FM255" s="26">
        <v>0</v>
      </c>
      <c r="FN255" s="26">
        <v>0</v>
      </c>
      <c r="FO255" s="26">
        <v>0</v>
      </c>
      <c r="FP255" s="26">
        <v>0</v>
      </c>
      <c r="FQ255" s="26">
        <v>0</v>
      </c>
      <c r="FR255" s="26">
        <v>0</v>
      </c>
      <c r="FS255" s="26">
        <v>0</v>
      </c>
      <c r="FT255" s="26">
        <v>0</v>
      </c>
      <c r="FU255" s="26">
        <v>0</v>
      </c>
      <c r="FV255" s="26">
        <v>0</v>
      </c>
      <c r="FW255" s="26">
        <v>0</v>
      </c>
      <c r="FX255" s="26">
        <v>0</v>
      </c>
      <c r="FY255" s="26">
        <v>0</v>
      </c>
      <c r="FZ255" s="26">
        <v>0</v>
      </c>
      <c r="GA255" s="26">
        <v>0</v>
      </c>
      <c r="GB255" s="26">
        <v>0</v>
      </c>
      <c r="GC255" s="26">
        <v>0</v>
      </c>
      <c r="GD255" s="26">
        <v>0</v>
      </c>
      <c r="GE255" s="26">
        <v>0</v>
      </c>
      <c r="GF255" s="26">
        <v>0</v>
      </c>
      <c r="GG255" s="26">
        <v>0</v>
      </c>
      <c r="GH255" s="26">
        <v>0</v>
      </c>
      <c r="GI255" s="26">
        <v>0</v>
      </c>
      <c r="GJ255" s="26">
        <v>0</v>
      </c>
      <c r="GK255" s="26">
        <v>0</v>
      </c>
      <c r="GL255" s="26">
        <v>0</v>
      </c>
      <c r="GM255" s="26">
        <v>0</v>
      </c>
      <c r="GN255" s="26">
        <v>0</v>
      </c>
      <c r="GO255" s="26">
        <v>0</v>
      </c>
      <c r="GP255" s="26">
        <v>0</v>
      </c>
      <c r="GQ255" s="26">
        <v>0</v>
      </c>
      <c r="GR255" s="26">
        <v>0</v>
      </c>
      <c r="GS255" s="26">
        <v>0</v>
      </c>
      <c r="GT255" s="26">
        <v>0</v>
      </c>
      <c r="GU255" s="26">
        <v>0</v>
      </c>
      <c r="GV255" s="26">
        <v>0</v>
      </c>
      <c r="GW255" s="26">
        <v>0</v>
      </c>
      <c r="GX255" s="26">
        <v>0</v>
      </c>
      <c r="GY255" s="26">
        <v>0</v>
      </c>
      <c r="GZ255" s="26">
        <v>0</v>
      </c>
      <c r="HA255" s="26">
        <v>0</v>
      </c>
      <c r="HB255" s="26">
        <v>0</v>
      </c>
      <c r="HC255" s="26">
        <v>0</v>
      </c>
      <c r="HD255" s="26">
        <v>0</v>
      </c>
      <c r="HE255" s="26">
        <v>0</v>
      </c>
      <c r="HF255" s="26">
        <v>0</v>
      </c>
      <c r="HG255" s="26">
        <v>0</v>
      </c>
      <c r="HH255" s="26">
        <v>0</v>
      </c>
      <c r="HI255" s="26">
        <v>0</v>
      </c>
      <c r="HJ255" s="26">
        <v>0</v>
      </c>
      <c r="HK255" s="26">
        <v>0</v>
      </c>
      <c r="HL255" s="26">
        <v>0</v>
      </c>
      <c r="HM255" s="26">
        <v>0</v>
      </c>
      <c r="HN255" s="26">
        <v>0</v>
      </c>
      <c r="HO255" s="26">
        <v>0</v>
      </c>
      <c r="HP255" s="26">
        <v>0</v>
      </c>
      <c r="HQ255" s="26">
        <v>0</v>
      </c>
      <c r="HR255" s="26">
        <v>0</v>
      </c>
      <c r="HS255" s="26">
        <v>0</v>
      </c>
      <c r="HT255" s="26">
        <v>0</v>
      </c>
    </row>
    <row r="256" spans="2:228" x14ac:dyDescent="0.2">
      <c r="B256" s="27" t="s">
        <v>2952</v>
      </c>
      <c r="C256" s="26">
        <v>369570.77799999999</v>
      </c>
      <c r="D256" s="26">
        <v>-1388.49461</v>
      </c>
      <c r="E256" s="26">
        <v>365840.95500000002</v>
      </c>
      <c r="F256" s="26">
        <v>17.096982400000002</v>
      </c>
      <c r="G256" s="26">
        <v>45.165156099999997</v>
      </c>
      <c r="H256" s="26">
        <v>99.145593599999998</v>
      </c>
      <c r="I256" s="26">
        <v>41.599549799999998</v>
      </c>
      <c r="J256" s="26">
        <v>92.015072900000007</v>
      </c>
      <c r="K256" s="26">
        <v>19.0681105</v>
      </c>
      <c r="L256" s="26">
        <v>28.688264500000002</v>
      </c>
      <c r="M256" s="26">
        <v>0</v>
      </c>
      <c r="N256" s="26">
        <v>98.186437999999995</v>
      </c>
      <c r="O256" s="26">
        <v>2.47787296</v>
      </c>
      <c r="P256" s="26">
        <v>1.03966698</v>
      </c>
      <c r="Q256" s="26">
        <v>33.840935299999998</v>
      </c>
      <c r="R256" s="26">
        <v>4.1239849399999997</v>
      </c>
      <c r="S256" s="26">
        <v>1057.8418099999999</v>
      </c>
      <c r="T256" s="26">
        <v>56.893193599999989</v>
      </c>
      <c r="U256" s="26">
        <v>32.045258699999998</v>
      </c>
      <c r="V256" s="26">
        <v>43.719797300000003</v>
      </c>
      <c r="W256" s="26">
        <v>5.2501574</v>
      </c>
      <c r="X256" s="26">
        <v>146.78842399999999</v>
      </c>
      <c r="Y256" s="26">
        <v>65.415627599999993</v>
      </c>
      <c r="Z256" s="26">
        <v>15.1086829</v>
      </c>
      <c r="AA256" s="26">
        <v>39.660723300000001</v>
      </c>
      <c r="AB256" s="26">
        <v>6.4386574699999995E-5</v>
      </c>
      <c r="AC256" s="26">
        <v>6.12642402E-3</v>
      </c>
      <c r="AD256" s="26">
        <v>0</v>
      </c>
      <c r="AE256" s="26">
        <v>1307.9361100000001</v>
      </c>
      <c r="AF256" s="26">
        <v>11.1632216</v>
      </c>
      <c r="AG256" s="26">
        <v>0</v>
      </c>
      <c r="AH256" s="26">
        <v>0</v>
      </c>
      <c r="AI256" s="26">
        <v>0</v>
      </c>
      <c r="AJ256" s="26">
        <v>0</v>
      </c>
      <c r="AK256" s="26">
        <v>0</v>
      </c>
      <c r="AL256" s="26">
        <v>0</v>
      </c>
      <c r="AM256" s="26">
        <v>1.15742166</v>
      </c>
      <c r="AN256" s="26">
        <v>1.07733811E-2</v>
      </c>
      <c r="AO256" s="26">
        <v>1.8618664100000001E-2</v>
      </c>
      <c r="AP256" s="26">
        <v>0</v>
      </c>
      <c r="AQ256" s="26">
        <v>0</v>
      </c>
      <c r="AR256" s="26">
        <v>0</v>
      </c>
      <c r="AS256" s="26">
        <v>0</v>
      </c>
      <c r="AT256" s="26">
        <v>0</v>
      </c>
      <c r="AU256" s="26">
        <v>0</v>
      </c>
      <c r="AV256" s="26">
        <v>0</v>
      </c>
      <c r="AW256" s="26">
        <v>0</v>
      </c>
      <c r="AX256" s="26">
        <v>0</v>
      </c>
      <c r="AY256" s="26">
        <v>0</v>
      </c>
      <c r="AZ256" s="26">
        <v>0</v>
      </c>
      <c r="BA256" s="26">
        <v>0</v>
      </c>
      <c r="BB256" s="26">
        <v>0</v>
      </c>
      <c r="BC256" s="26">
        <v>0</v>
      </c>
      <c r="BD256" s="26">
        <v>0</v>
      </c>
      <c r="BE256" s="26">
        <v>0</v>
      </c>
      <c r="BF256" s="26">
        <v>0</v>
      </c>
      <c r="BG256" s="26">
        <v>0</v>
      </c>
      <c r="BH256" s="26">
        <v>0</v>
      </c>
      <c r="BI256" s="26">
        <v>0</v>
      </c>
      <c r="BJ256" s="26">
        <v>0</v>
      </c>
      <c r="BK256" s="26">
        <v>0</v>
      </c>
      <c r="BL256" s="26">
        <v>0</v>
      </c>
      <c r="BM256" s="26">
        <v>0</v>
      </c>
      <c r="BN256" s="26">
        <v>0</v>
      </c>
      <c r="BO256" s="26">
        <v>20337.059499999999</v>
      </c>
      <c r="BP256" s="26">
        <v>369106.41800000001</v>
      </c>
      <c r="BQ256" s="26">
        <v>6247.92281</v>
      </c>
      <c r="BR256" s="26">
        <v>35</v>
      </c>
      <c r="BS256" s="26">
        <v>1.2949979599999999</v>
      </c>
      <c r="BT256" s="26">
        <v>0</v>
      </c>
      <c r="BU256" s="26">
        <v>1</v>
      </c>
      <c r="BV256" s="26">
        <v>0</v>
      </c>
      <c r="BW256" s="26">
        <v>-68247.730100000001</v>
      </c>
      <c r="BX256" s="26">
        <v>-3760.31972</v>
      </c>
      <c r="BY256" s="26">
        <v>-1387.9581499999999</v>
      </c>
      <c r="BZ256" s="26">
        <v>-38.493192800000003</v>
      </c>
      <c r="CA256" s="26">
        <v>-2.1209014800000001</v>
      </c>
      <c r="CB256" s="26">
        <v>5.4250187999999991E-2</v>
      </c>
      <c r="CC256" s="26">
        <v>0.98461100599999996</v>
      </c>
      <c r="CD256" s="26">
        <v>18.149448700000001</v>
      </c>
      <c r="CE256" s="26">
        <v>0</v>
      </c>
      <c r="CF256" s="26">
        <v>0</v>
      </c>
      <c r="CG256" s="26">
        <v>0</v>
      </c>
      <c r="CH256" s="26">
        <v>0</v>
      </c>
      <c r="CI256" s="26">
        <v>0</v>
      </c>
      <c r="CJ256" s="26">
        <v>0</v>
      </c>
      <c r="CK256" s="26">
        <v>0</v>
      </c>
      <c r="CL256" s="26">
        <v>0</v>
      </c>
      <c r="CM256" s="26">
        <v>0</v>
      </c>
      <c r="CN256" s="26">
        <v>0</v>
      </c>
      <c r="CO256" s="26">
        <v>0</v>
      </c>
      <c r="CP256" s="26">
        <v>0</v>
      </c>
      <c r="CQ256" s="26">
        <v>0</v>
      </c>
      <c r="CR256" s="26">
        <v>0</v>
      </c>
      <c r="CS256" s="26">
        <v>0</v>
      </c>
      <c r="CT256" s="26">
        <v>0</v>
      </c>
      <c r="CU256" s="26">
        <v>0</v>
      </c>
      <c r="CV256" s="26">
        <v>0</v>
      </c>
      <c r="CW256" s="26">
        <v>0</v>
      </c>
      <c r="CX256" s="26">
        <v>0</v>
      </c>
      <c r="CY256" s="26">
        <v>0</v>
      </c>
      <c r="CZ256" s="26">
        <v>0</v>
      </c>
      <c r="DA256" s="26">
        <v>0</v>
      </c>
      <c r="DB256" s="26">
        <v>0</v>
      </c>
      <c r="DC256" s="26">
        <v>0</v>
      </c>
      <c r="DD256" s="26">
        <v>0</v>
      </c>
      <c r="DE256" s="26">
        <v>0</v>
      </c>
      <c r="DF256" s="26">
        <v>0</v>
      </c>
      <c r="DG256" s="26">
        <v>0</v>
      </c>
      <c r="DH256" s="26">
        <v>0</v>
      </c>
      <c r="DI256" s="26">
        <v>0</v>
      </c>
      <c r="DJ256" s="26">
        <v>0</v>
      </c>
      <c r="DK256" s="26">
        <v>0</v>
      </c>
      <c r="DL256" s="26">
        <v>0</v>
      </c>
      <c r="DM256" s="26">
        <v>0</v>
      </c>
      <c r="DN256" s="26">
        <v>0</v>
      </c>
      <c r="DO256" s="26">
        <v>0</v>
      </c>
      <c r="DP256" s="26">
        <v>0</v>
      </c>
      <c r="DQ256" s="26">
        <v>0</v>
      </c>
      <c r="DR256" s="26">
        <v>0</v>
      </c>
      <c r="DS256" s="26">
        <v>0</v>
      </c>
      <c r="DT256" s="26">
        <v>0</v>
      </c>
      <c r="DU256" s="26">
        <v>0</v>
      </c>
      <c r="DV256" s="26">
        <v>0</v>
      </c>
      <c r="DW256" s="26">
        <v>0</v>
      </c>
      <c r="DX256" s="26">
        <v>25.092833200000001</v>
      </c>
      <c r="DY256" s="26">
        <v>0.61959341099999998</v>
      </c>
      <c r="DZ256" s="26">
        <v>0.25996926399999998</v>
      </c>
      <c r="EA256" s="26">
        <v>8.4619995299999999</v>
      </c>
      <c r="EB256" s="26">
        <v>1.0312114100000001</v>
      </c>
      <c r="EC256" s="26">
        <v>249.50383400000001</v>
      </c>
      <c r="ED256" s="26">
        <v>0</v>
      </c>
      <c r="EE256" s="26">
        <v>57.32226639999999</v>
      </c>
      <c r="EF256" s="26">
        <v>82.156953099999996</v>
      </c>
      <c r="EG256" s="26">
        <v>10.4160641</v>
      </c>
      <c r="EH256" s="26">
        <v>1.15734212</v>
      </c>
      <c r="EI256" s="26">
        <v>16.719684600000001</v>
      </c>
      <c r="EJ256" s="26">
        <v>2.1560445600000002</v>
      </c>
      <c r="EK256" s="26">
        <v>0</v>
      </c>
      <c r="EL256" s="26">
        <v>9.4619263199999999</v>
      </c>
      <c r="EM256" s="26">
        <v>0</v>
      </c>
      <c r="EN256" s="26">
        <v>0</v>
      </c>
      <c r="EO256" s="26">
        <v>0</v>
      </c>
      <c r="EP256" s="26">
        <v>7.16111567</v>
      </c>
      <c r="EQ256" s="26">
        <v>464.35972200000003</v>
      </c>
      <c r="ER256" s="26">
        <v>5.5863107799999998</v>
      </c>
      <c r="ES256" s="26">
        <v>35</v>
      </c>
      <c r="ET256" s="26">
        <v>1.2949979599999999</v>
      </c>
      <c r="EU256" s="26">
        <v>0</v>
      </c>
      <c r="EV256" s="26">
        <v>0</v>
      </c>
      <c r="EW256" s="26">
        <v>1</v>
      </c>
      <c r="EX256" s="26">
        <v>-74911.952900000004</v>
      </c>
      <c r="EY256" s="26">
        <v>-1155.25343</v>
      </c>
      <c r="EZ256" s="26">
        <v>-0.53645316499999995</v>
      </c>
      <c r="FA256" s="26">
        <v>-148.99950799999999</v>
      </c>
      <c r="FB256" s="26">
        <v>-2.2977934200000001</v>
      </c>
      <c r="FC256" s="26">
        <v>2.1365070999999999E-2</v>
      </c>
      <c r="FD256" s="26">
        <v>1.38540961</v>
      </c>
      <c r="FE256" s="26">
        <v>64.844605700000002</v>
      </c>
      <c r="FF256" s="26">
        <v>0</v>
      </c>
      <c r="FG256" s="26">
        <v>1.0572077799999999E-2</v>
      </c>
      <c r="FH256" s="26">
        <v>-1618760626.8</v>
      </c>
      <c r="FI256" s="26">
        <v>2.8310933837598581E-2</v>
      </c>
      <c r="FJ256" s="26">
        <v>0</v>
      </c>
      <c r="FK256" s="26">
        <v>0</v>
      </c>
      <c r="FL256" s="26">
        <v>0</v>
      </c>
      <c r="FM256" s="26">
        <v>0</v>
      </c>
      <c r="FN256" s="26">
        <v>0</v>
      </c>
      <c r="FO256" s="26">
        <v>0</v>
      </c>
      <c r="FP256" s="26">
        <v>0</v>
      </c>
      <c r="FQ256" s="26">
        <v>0</v>
      </c>
      <c r="FR256" s="26">
        <v>0</v>
      </c>
      <c r="FS256" s="26">
        <v>0</v>
      </c>
      <c r="FT256" s="26">
        <v>0</v>
      </c>
      <c r="FU256" s="26">
        <v>0</v>
      </c>
      <c r="FV256" s="26">
        <v>0</v>
      </c>
      <c r="FW256" s="26">
        <v>0</v>
      </c>
      <c r="FX256" s="26">
        <v>0</v>
      </c>
      <c r="FY256" s="26">
        <v>0</v>
      </c>
      <c r="FZ256" s="26">
        <v>0</v>
      </c>
      <c r="GA256" s="26">
        <v>0</v>
      </c>
      <c r="GB256" s="26">
        <v>0</v>
      </c>
      <c r="GC256" s="26">
        <v>0</v>
      </c>
      <c r="GD256" s="26">
        <v>0</v>
      </c>
      <c r="GE256" s="26">
        <v>0</v>
      </c>
      <c r="GF256" s="26">
        <v>0</v>
      </c>
      <c r="GG256" s="26">
        <v>0</v>
      </c>
      <c r="GH256" s="26">
        <v>0</v>
      </c>
      <c r="GI256" s="26">
        <v>0</v>
      </c>
      <c r="GJ256" s="26">
        <v>0</v>
      </c>
      <c r="GK256" s="26">
        <v>0</v>
      </c>
      <c r="GL256" s="26">
        <v>0</v>
      </c>
      <c r="GM256" s="26">
        <v>0</v>
      </c>
      <c r="GN256" s="26">
        <v>0</v>
      </c>
      <c r="GO256" s="26">
        <v>0</v>
      </c>
      <c r="GP256" s="26">
        <v>0</v>
      </c>
      <c r="GQ256" s="26">
        <v>0</v>
      </c>
      <c r="GR256" s="26">
        <v>0</v>
      </c>
      <c r="GS256" s="26">
        <v>0</v>
      </c>
      <c r="GT256" s="26">
        <v>0</v>
      </c>
      <c r="GU256" s="26">
        <v>0</v>
      </c>
      <c r="GV256" s="26">
        <v>0</v>
      </c>
      <c r="GW256" s="26">
        <v>0</v>
      </c>
      <c r="GX256" s="26">
        <v>0</v>
      </c>
      <c r="GY256" s="26">
        <v>0</v>
      </c>
      <c r="GZ256" s="26">
        <v>0</v>
      </c>
      <c r="HA256" s="26">
        <v>0</v>
      </c>
      <c r="HB256" s="26">
        <v>0</v>
      </c>
      <c r="HC256" s="26">
        <v>0</v>
      </c>
      <c r="HD256" s="26">
        <v>0</v>
      </c>
      <c r="HE256" s="26">
        <v>0</v>
      </c>
      <c r="HF256" s="26">
        <v>0</v>
      </c>
      <c r="HG256" s="26">
        <v>0</v>
      </c>
      <c r="HH256" s="26">
        <v>0</v>
      </c>
      <c r="HI256" s="26">
        <v>0</v>
      </c>
      <c r="HJ256" s="26">
        <v>0</v>
      </c>
      <c r="HK256" s="26">
        <v>0</v>
      </c>
      <c r="HL256" s="26">
        <v>0</v>
      </c>
      <c r="HM256" s="26">
        <v>0</v>
      </c>
      <c r="HN256" s="26">
        <v>0</v>
      </c>
      <c r="HO256" s="26">
        <v>0</v>
      </c>
      <c r="HP256" s="26">
        <v>0</v>
      </c>
      <c r="HQ256" s="26">
        <v>0</v>
      </c>
      <c r="HR256" s="26">
        <v>0</v>
      </c>
      <c r="HS256" s="26">
        <v>0</v>
      </c>
      <c r="HT256" s="26">
        <v>5.1431895133677383E-3</v>
      </c>
    </row>
    <row r="257" spans="2:228" x14ac:dyDescent="0.2">
      <c r="B257" s="27" t="s">
        <v>2904</v>
      </c>
      <c r="C257" s="26">
        <v>389651.35600000003</v>
      </c>
      <c r="D257" s="26">
        <v>-1458.1158800000001</v>
      </c>
      <c r="E257" s="26">
        <v>383539.76299999998</v>
      </c>
      <c r="F257" s="26">
        <v>16.531987300000001</v>
      </c>
      <c r="G257" s="26">
        <v>45.165156099999997</v>
      </c>
      <c r="H257" s="26">
        <v>99.145593599999998</v>
      </c>
      <c r="I257" s="26">
        <v>41.599549799999998</v>
      </c>
      <c r="J257" s="26">
        <v>92.015072900000007</v>
      </c>
      <c r="K257" s="26">
        <v>19.0681105</v>
      </c>
      <c r="L257" s="26">
        <v>28.688264400000001</v>
      </c>
      <c r="M257" s="26">
        <v>0</v>
      </c>
      <c r="N257" s="26">
        <v>98.186437999999995</v>
      </c>
      <c r="O257" s="26">
        <v>2.47787296</v>
      </c>
      <c r="P257" s="26">
        <v>1.03966698</v>
      </c>
      <c r="Q257" s="26">
        <v>33.840935299999998</v>
      </c>
      <c r="R257" s="26">
        <v>4.1239849399999997</v>
      </c>
      <c r="S257" s="26">
        <v>1057.8418099999999</v>
      </c>
      <c r="T257" s="26">
        <v>56.893190100000005</v>
      </c>
      <c r="U257" s="26">
        <v>32.044939300000003</v>
      </c>
      <c r="V257" s="26">
        <v>42.809143800000001</v>
      </c>
      <c r="W257" s="26">
        <v>5.2436856599999997</v>
      </c>
      <c r="X257" s="26">
        <v>146.78834699999999</v>
      </c>
      <c r="Y257" s="26">
        <v>65.415627599999993</v>
      </c>
      <c r="Z257" s="26">
        <v>15.108682699999997</v>
      </c>
      <c r="AA257" s="26">
        <v>39.660723099999998</v>
      </c>
      <c r="AB257" s="26">
        <v>681.55752299999995</v>
      </c>
      <c r="AC257" s="26">
        <v>6.4893601300000006E-2</v>
      </c>
      <c r="AD257" s="26">
        <v>0</v>
      </c>
      <c r="AE257" s="26">
        <v>1307.9361100000001</v>
      </c>
      <c r="AF257" s="26">
        <v>118.24543300000001</v>
      </c>
      <c r="AG257" s="26">
        <v>0</v>
      </c>
      <c r="AH257" s="26">
        <v>0</v>
      </c>
      <c r="AI257" s="26">
        <v>0</v>
      </c>
      <c r="AJ257" s="26">
        <v>0</v>
      </c>
      <c r="AK257" s="26">
        <v>0</v>
      </c>
      <c r="AL257" s="26">
        <v>0</v>
      </c>
      <c r="AM257" s="26">
        <v>1.15742166</v>
      </c>
      <c r="AN257" s="26">
        <v>0.65227652999999997</v>
      </c>
      <c r="AO257" s="26">
        <v>5.9109495199999997E-5</v>
      </c>
      <c r="AP257" s="26">
        <v>0</v>
      </c>
      <c r="AQ257" s="26">
        <v>0</v>
      </c>
      <c r="AR257" s="26">
        <v>0</v>
      </c>
      <c r="AS257" s="26">
        <v>194.44901999999999</v>
      </c>
      <c r="AT257" s="26">
        <v>3.3140423999999999</v>
      </c>
      <c r="AU257" s="26">
        <v>322.88870900000001</v>
      </c>
      <c r="AV257" s="26">
        <v>0</v>
      </c>
      <c r="AW257" s="26">
        <v>0</v>
      </c>
      <c r="AX257" s="26">
        <v>0</v>
      </c>
      <c r="AY257" s="26">
        <v>0</v>
      </c>
      <c r="AZ257" s="26">
        <v>0</v>
      </c>
      <c r="BA257" s="26">
        <v>0</v>
      </c>
      <c r="BB257" s="26">
        <v>0</v>
      </c>
      <c r="BC257" s="26">
        <v>0</v>
      </c>
      <c r="BD257" s="26">
        <v>0</v>
      </c>
      <c r="BE257" s="26">
        <v>0</v>
      </c>
      <c r="BF257" s="26">
        <v>0</v>
      </c>
      <c r="BG257" s="26">
        <v>0</v>
      </c>
      <c r="BH257" s="26">
        <v>0</v>
      </c>
      <c r="BI257" s="26">
        <v>0</v>
      </c>
      <c r="BJ257" s="26">
        <v>0</v>
      </c>
      <c r="BK257" s="26">
        <v>0</v>
      </c>
      <c r="BL257" s="26">
        <v>0</v>
      </c>
      <c r="BM257" s="26">
        <v>0</v>
      </c>
      <c r="BN257" s="26">
        <v>0</v>
      </c>
      <c r="BO257" s="26">
        <v>21374.420099999999</v>
      </c>
      <c r="BP257" s="26">
        <v>388113.717</v>
      </c>
      <c r="BQ257" s="26">
        <v>6574.7390699999996</v>
      </c>
      <c r="BR257" s="26">
        <v>34.934752199999991</v>
      </c>
      <c r="BS257" s="26">
        <v>1</v>
      </c>
      <c r="BT257" s="26">
        <v>0</v>
      </c>
      <c r="BU257" s="26">
        <v>1</v>
      </c>
      <c r="BV257" s="26">
        <v>0</v>
      </c>
      <c r="BW257" s="26">
        <v>-68142.752699999997</v>
      </c>
      <c r="BX257" s="26">
        <v>-3752.7965600000002</v>
      </c>
      <c r="BY257" s="26">
        <v>-1456.5118299999999</v>
      </c>
      <c r="BZ257" s="26">
        <v>-38.498117999999998</v>
      </c>
      <c r="CA257" s="26">
        <v>-2.1201903199999999</v>
      </c>
      <c r="CB257" s="26">
        <v>5.4183189200000002E-2</v>
      </c>
      <c r="CC257" s="26">
        <v>0.98385073700000003</v>
      </c>
      <c r="CD257" s="26">
        <v>18.157859500000001</v>
      </c>
      <c r="CE257" s="26">
        <v>0</v>
      </c>
      <c r="CF257" s="26">
        <v>0</v>
      </c>
      <c r="CG257" s="26">
        <v>0</v>
      </c>
      <c r="CH257" s="26">
        <v>0</v>
      </c>
      <c r="CI257" s="26">
        <v>0</v>
      </c>
      <c r="CJ257" s="26">
        <v>0</v>
      </c>
      <c r="CK257" s="26">
        <v>0</v>
      </c>
      <c r="CL257" s="26">
        <v>0</v>
      </c>
      <c r="CM257" s="26">
        <v>0</v>
      </c>
      <c r="CN257" s="26">
        <v>0</v>
      </c>
      <c r="CO257" s="26">
        <v>0</v>
      </c>
      <c r="CP257" s="26">
        <v>0</v>
      </c>
      <c r="CQ257" s="26">
        <v>0</v>
      </c>
      <c r="CR257" s="26">
        <v>0</v>
      </c>
      <c r="CS257" s="26">
        <v>0</v>
      </c>
      <c r="CT257" s="26">
        <v>0</v>
      </c>
      <c r="CU257" s="26">
        <v>0</v>
      </c>
      <c r="CV257" s="26">
        <v>0</v>
      </c>
      <c r="CW257" s="26">
        <v>0</v>
      </c>
      <c r="CX257" s="26">
        <v>0</v>
      </c>
      <c r="CY257" s="26">
        <v>0</v>
      </c>
      <c r="CZ257" s="26">
        <v>0</v>
      </c>
      <c r="DA257" s="26">
        <v>0</v>
      </c>
      <c r="DB257" s="26">
        <v>0</v>
      </c>
      <c r="DC257" s="26">
        <v>0</v>
      </c>
      <c r="DD257" s="26">
        <v>0</v>
      </c>
      <c r="DE257" s="26">
        <v>0</v>
      </c>
      <c r="DF257" s="26">
        <v>0</v>
      </c>
      <c r="DG257" s="26">
        <v>0</v>
      </c>
      <c r="DH257" s="26">
        <v>0</v>
      </c>
      <c r="DI257" s="26">
        <v>0</v>
      </c>
      <c r="DJ257" s="26">
        <v>0</v>
      </c>
      <c r="DK257" s="26">
        <v>0</v>
      </c>
      <c r="DL257" s="26">
        <v>0</v>
      </c>
      <c r="DM257" s="26">
        <v>0</v>
      </c>
      <c r="DN257" s="26">
        <v>0</v>
      </c>
      <c r="DO257" s="26">
        <v>0</v>
      </c>
      <c r="DP257" s="26">
        <v>0</v>
      </c>
      <c r="DQ257" s="26">
        <v>0</v>
      </c>
      <c r="DR257" s="26">
        <v>0</v>
      </c>
      <c r="DS257" s="26">
        <v>0</v>
      </c>
      <c r="DT257" s="26">
        <v>0</v>
      </c>
      <c r="DU257" s="26">
        <v>0</v>
      </c>
      <c r="DV257" s="26">
        <v>0</v>
      </c>
      <c r="DW257" s="26">
        <v>0</v>
      </c>
      <c r="DX257" s="26">
        <v>25.092833200000001</v>
      </c>
      <c r="DY257" s="26">
        <v>0.61959341099999998</v>
      </c>
      <c r="DZ257" s="26">
        <v>0.25996926399999998</v>
      </c>
      <c r="EA257" s="26">
        <v>8.4619995299999999</v>
      </c>
      <c r="EB257" s="26">
        <v>1.0312114100000001</v>
      </c>
      <c r="EC257" s="26">
        <v>249.50383400000001</v>
      </c>
      <c r="ED257" s="26">
        <v>0</v>
      </c>
      <c r="EE257" s="26">
        <v>57.32226639999999</v>
      </c>
      <c r="EF257" s="26">
        <v>82.156953099999996</v>
      </c>
      <c r="EG257" s="26">
        <v>10.4160641</v>
      </c>
      <c r="EH257" s="26">
        <v>1.15734212</v>
      </c>
      <c r="EI257" s="26">
        <v>16.719684600000001</v>
      </c>
      <c r="EJ257" s="26">
        <v>2.1560445600000002</v>
      </c>
      <c r="EK257" s="26">
        <v>1073.2786100000001</v>
      </c>
      <c r="EL257" s="26">
        <v>9.4619263199999999</v>
      </c>
      <c r="EM257" s="26">
        <v>0</v>
      </c>
      <c r="EN257" s="26">
        <v>0</v>
      </c>
      <c r="EO257" s="26">
        <v>0</v>
      </c>
      <c r="EP257" s="26">
        <v>53.347474499999997</v>
      </c>
      <c r="EQ257" s="26">
        <v>1537.63833</v>
      </c>
      <c r="ER257" s="26">
        <v>17.5100889</v>
      </c>
      <c r="ES257" s="26">
        <v>34.934752199999991</v>
      </c>
      <c r="ET257" s="26">
        <v>1</v>
      </c>
      <c r="EU257" s="26">
        <v>0</v>
      </c>
      <c r="EV257" s="26">
        <v>0</v>
      </c>
      <c r="EW257" s="26">
        <v>1</v>
      </c>
      <c r="EX257" s="26">
        <v>-30067.9696</v>
      </c>
      <c r="EY257" s="26">
        <v>-1043.1908599999999</v>
      </c>
      <c r="EZ257" s="26">
        <v>-1.60405025</v>
      </c>
      <c r="FA257" s="26">
        <v>-86.342920800000002</v>
      </c>
      <c r="FB257" s="26">
        <v>-2.9956178100000002</v>
      </c>
      <c r="FC257" s="26">
        <v>5.0777844000000003E-2</v>
      </c>
      <c r="FD257" s="26">
        <v>1.4635736699999999</v>
      </c>
      <c r="FE257" s="26">
        <v>28.8230763</v>
      </c>
      <c r="FF257" s="26">
        <v>0</v>
      </c>
      <c r="FG257" s="26">
        <v>1.5584488800000001E-2</v>
      </c>
      <c r="FH257" s="26">
        <v>-1700013679.95</v>
      </c>
      <c r="FI257" s="26">
        <v>2.9575583292160222E-2</v>
      </c>
      <c r="FJ257" s="26">
        <v>0</v>
      </c>
      <c r="FK257" s="26">
        <v>0</v>
      </c>
      <c r="FL257" s="26">
        <v>0</v>
      </c>
      <c r="FM257" s="26">
        <v>0</v>
      </c>
      <c r="FN257" s="26">
        <v>0</v>
      </c>
      <c r="FO257" s="26">
        <v>0</v>
      </c>
      <c r="FP257" s="26">
        <v>0</v>
      </c>
      <c r="FQ257" s="26">
        <v>0</v>
      </c>
      <c r="FR257" s="26">
        <v>0</v>
      </c>
      <c r="FS257" s="26">
        <v>0</v>
      </c>
      <c r="FT257" s="26">
        <v>0</v>
      </c>
      <c r="FU257" s="26">
        <v>0</v>
      </c>
      <c r="FV257" s="26">
        <v>0</v>
      </c>
      <c r="FW257" s="26">
        <v>0</v>
      </c>
      <c r="FX257" s="26">
        <v>0</v>
      </c>
      <c r="FY257" s="26">
        <v>0</v>
      </c>
      <c r="FZ257" s="26">
        <v>0</v>
      </c>
      <c r="GA257" s="26">
        <v>0</v>
      </c>
      <c r="GB257" s="26">
        <v>0</v>
      </c>
      <c r="GC257" s="26">
        <v>0</v>
      </c>
      <c r="GD257" s="26">
        <v>0</v>
      </c>
      <c r="GE257" s="26">
        <v>0</v>
      </c>
      <c r="GF257" s="26">
        <v>0</v>
      </c>
      <c r="GG257" s="26">
        <v>0</v>
      </c>
      <c r="GH257" s="26">
        <v>0</v>
      </c>
      <c r="GI257" s="26">
        <v>0</v>
      </c>
      <c r="GJ257" s="26">
        <v>0</v>
      </c>
      <c r="GK257" s="26">
        <v>0</v>
      </c>
      <c r="GL257" s="26">
        <v>0</v>
      </c>
      <c r="GM257" s="26">
        <v>0</v>
      </c>
      <c r="GN257" s="26">
        <v>0</v>
      </c>
      <c r="GO257" s="26">
        <v>0</v>
      </c>
      <c r="GP257" s="26">
        <v>0</v>
      </c>
      <c r="GQ257" s="26">
        <v>0</v>
      </c>
      <c r="GR257" s="26">
        <v>0</v>
      </c>
      <c r="GS257" s="26">
        <v>0</v>
      </c>
      <c r="GT257" s="26">
        <v>0</v>
      </c>
      <c r="GU257" s="26">
        <v>0</v>
      </c>
      <c r="GV257" s="26">
        <v>0</v>
      </c>
      <c r="GW257" s="26">
        <v>0</v>
      </c>
      <c r="GX257" s="26">
        <v>0</v>
      </c>
      <c r="GY257" s="26">
        <v>0</v>
      </c>
      <c r="GZ257" s="26">
        <v>0</v>
      </c>
      <c r="HA257" s="26">
        <v>0</v>
      </c>
      <c r="HB257" s="26">
        <v>0</v>
      </c>
      <c r="HC257" s="26">
        <v>0</v>
      </c>
      <c r="HD257" s="26">
        <v>0</v>
      </c>
      <c r="HE257" s="26">
        <v>0</v>
      </c>
      <c r="HF257" s="26">
        <v>0</v>
      </c>
      <c r="HG257" s="26">
        <v>0</v>
      </c>
      <c r="HH257" s="26">
        <v>0</v>
      </c>
      <c r="HI257" s="26">
        <v>0</v>
      </c>
      <c r="HJ257" s="26">
        <v>0</v>
      </c>
      <c r="HK257" s="26">
        <v>0</v>
      </c>
      <c r="HL257" s="26">
        <v>0</v>
      </c>
      <c r="HM257" s="26">
        <v>0</v>
      </c>
      <c r="HN257" s="26">
        <v>0</v>
      </c>
      <c r="HO257" s="26">
        <v>0</v>
      </c>
      <c r="HP257" s="26">
        <v>0</v>
      </c>
      <c r="HQ257" s="26">
        <v>0</v>
      </c>
      <c r="HR257" s="26">
        <v>0</v>
      </c>
      <c r="HS257" s="26">
        <v>0</v>
      </c>
      <c r="HT257" s="26">
        <v>1.7972733727115203E-2</v>
      </c>
    </row>
    <row r="258" spans="2:228" x14ac:dyDescent="0.2">
      <c r="B258" s="27" t="s">
        <v>2641</v>
      </c>
      <c r="C258" s="26">
        <v>361079.29</v>
      </c>
      <c r="D258" s="26">
        <v>-1353.99053</v>
      </c>
      <c r="E258" s="26">
        <v>356434.94300000003</v>
      </c>
      <c r="F258" s="26">
        <v>15.363669</v>
      </c>
      <c r="G258" s="26">
        <v>41.973326800000002</v>
      </c>
      <c r="H258" s="26">
        <v>92.138957599999998</v>
      </c>
      <c r="I258" s="26">
        <v>38.659702500000002</v>
      </c>
      <c r="J258" s="26">
        <v>85.512352100000001</v>
      </c>
      <c r="K258" s="26">
        <v>17.720563899999998</v>
      </c>
      <c r="L258" s="26">
        <v>26.660859899999998</v>
      </c>
      <c r="M258" s="26">
        <v>0</v>
      </c>
      <c r="N258" s="26">
        <v>91.247585700000002</v>
      </c>
      <c r="O258" s="26">
        <v>2.30276126</v>
      </c>
      <c r="P258" s="26">
        <v>0.96619353500000005</v>
      </c>
      <c r="Q258" s="26">
        <v>31.449390599999997</v>
      </c>
      <c r="R258" s="26">
        <v>3.8325422299999996</v>
      </c>
      <c r="S258" s="26">
        <v>983.08394599999997</v>
      </c>
      <c r="T258" s="26">
        <v>52.8725387</v>
      </c>
      <c r="U258" s="26">
        <v>29.780318000000001</v>
      </c>
      <c r="V258" s="26">
        <v>39.783814300000003</v>
      </c>
      <c r="W258" s="26">
        <v>4.8731134999999997</v>
      </c>
      <c r="X258" s="26">
        <v>136.41479000000001</v>
      </c>
      <c r="Y258" s="26">
        <v>60.792694100000006</v>
      </c>
      <c r="Z258" s="26">
        <v>14.0409495</v>
      </c>
      <c r="AA258" s="26">
        <v>36.857893099999998</v>
      </c>
      <c r="AB258" s="26">
        <v>633.39173700000003</v>
      </c>
      <c r="AC258" s="26">
        <v>6.0307559500000003E-2</v>
      </c>
      <c r="AD258" s="26">
        <v>0</v>
      </c>
      <c r="AE258" s="26">
        <v>1215.50405</v>
      </c>
      <c r="AF258" s="26">
        <v>109.889008</v>
      </c>
      <c r="AG258" s="26">
        <v>0</v>
      </c>
      <c r="AH258" s="26">
        <v>0</v>
      </c>
      <c r="AI258" s="26">
        <v>0</v>
      </c>
      <c r="AJ258" s="26">
        <v>0</v>
      </c>
      <c r="AK258" s="26">
        <v>0</v>
      </c>
      <c r="AL258" s="26">
        <v>0</v>
      </c>
      <c r="AM258" s="26">
        <v>1.0756264799999999</v>
      </c>
      <c r="AN258" s="26">
        <v>0.606180037</v>
      </c>
      <c r="AO258" s="26">
        <v>5.4932217100000007E-5</v>
      </c>
      <c r="AP258" s="26">
        <v>0</v>
      </c>
      <c r="AQ258" s="26">
        <v>0</v>
      </c>
      <c r="AR258" s="26">
        <v>0</v>
      </c>
      <c r="AS258" s="26">
        <v>180.70727400000001</v>
      </c>
      <c r="AT258" s="26">
        <v>3.0798384599999999</v>
      </c>
      <c r="AU258" s="26">
        <v>300.070109</v>
      </c>
      <c r="AV258" s="26">
        <v>0</v>
      </c>
      <c r="AW258" s="26">
        <v>0</v>
      </c>
      <c r="AX258" s="26">
        <v>0</v>
      </c>
      <c r="AY258" s="26">
        <v>0</v>
      </c>
      <c r="AZ258" s="26">
        <v>0</v>
      </c>
      <c r="BA258" s="26">
        <v>0</v>
      </c>
      <c r="BB258" s="26">
        <v>0</v>
      </c>
      <c r="BC258" s="26">
        <v>0</v>
      </c>
      <c r="BD258" s="26">
        <v>0</v>
      </c>
      <c r="BE258" s="26">
        <v>0</v>
      </c>
      <c r="BF258" s="26">
        <v>0</v>
      </c>
      <c r="BG258" s="26">
        <v>0</v>
      </c>
      <c r="BH258" s="26">
        <v>0</v>
      </c>
      <c r="BI258" s="26">
        <v>0</v>
      </c>
      <c r="BJ258" s="26">
        <v>0</v>
      </c>
      <c r="BK258" s="26">
        <v>0</v>
      </c>
      <c r="BL258" s="26">
        <v>0</v>
      </c>
      <c r="BM258" s="26">
        <v>0</v>
      </c>
      <c r="BN258" s="26">
        <v>0</v>
      </c>
      <c r="BO258" s="26">
        <v>19863.886200000001</v>
      </c>
      <c r="BP258" s="26">
        <v>360685.65500000003</v>
      </c>
      <c r="BQ258" s="26">
        <v>6110.1011399999998</v>
      </c>
      <c r="BR258" s="26">
        <v>34.934752199999991</v>
      </c>
      <c r="BS258" s="26">
        <v>1</v>
      </c>
      <c r="BT258" s="26">
        <v>0</v>
      </c>
      <c r="BU258" s="26">
        <v>1</v>
      </c>
      <c r="BV258" s="26">
        <v>0</v>
      </c>
      <c r="BW258" s="26">
        <v>-68142.752699999997</v>
      </c>
      <c r="BX258" s="26">
        <v>-3752.7965600000002</v>
      </c>
      <c r="BY258" s="26">
        <v>-1353.57989</v>
      </c>
      <c r="BZ258" s="26">
        <v>-38.498117999999998</v>
      </c>
      <c r="CA258" s="26">
        <v>-2.1201903199999999</v>
      </c>
      <c r="CB258" s="26">
        <v>5.4183189200000002E-2</v>
      </c>
      <c r="CC258" s="26">
        <v>0.98385073700000003</v>
      </c>
      <c r="CD258" s="26">
        <v>18.157859500000001</v>
      </c>
      <c r="CE258" s="26">
        <v>0</v>
      </c>
      <c r="CF258" s="26">
        <v>0</v>
      </c>
      <c r="CG258" s="26">
        <v>0</v>
      </c>
      <c r="CH258" s="26">
        <v>0</v>
      </c>
      <c r="CI258" s="26">
        <v>0</v>
      </c>
      <c r="CJ258" s="26">
        <v>0</v>
      </c>
      <c r="CK258" s="26">
        <v>0</v>
      </c>
      <c r="CL258" s="26">
        <v>0</v>
      </c>
      <c r="CM258" s="26">
        <v>0</v>
      </c>
      <c r="CN258" s="26">
        <v>0</v>
      </c>
      <c r="CO258" s="26">
        <v>0</v>
      </c>
      <c r="CP258" s="26">
        <v>0</v>
      </c>
      <c r="CQ258" s="26">
        <v>0</v>
      </c>
      <c r="CR258" s="26">
        <v>0</v>
      </c>
      <c r="CS258" s="26">
        <v>0</v>
      </c>
      <c r="CT258" s="26">
        <v>0</v>
      </c>
      <c r="CU258" s="26">
        <v>0</v>
      </c>
      <c r="CV258" s="26">
        <v>0</v>
      </c>
      <c r="CW258" s="26">
        <v>0</v>
      </c>
      <c r="CX258" s="26">
        <v>0</v>
      </c>
      <c r="CY258" s="26">
        <v>0</v>
      </c>
      <c r="CZ258" s="26">
        <v>0</v>
      </c>
      <c r="DA258" s="26">
        <v>0</v>
      </c>
      <c r="DB258" s="26">
        <v>0</v>
      </c>
      <c r="DC258" s="26">
        <v>0</v>
      </c>
      <c r="DD258" s="26">
        <v>0</v>
      </c>
      <c r="DE258" s="26">
        <v>0</v>
      </c>
      <c r="DF258" s="26">
        <v>0</v>
      </c>
      <c r="DG258" s="26">
        <v>0</v>
      </c>
      <c r="DH258" s="26">
        <v>0</v>
      </c>
      <c r="DI258" s="26">
        <v>0</v>
      </c>
      <c r="DJ258" s="26">
        <v>0</v>
      </c>
      <c r="DK258" s="26">
        <v>0</v>
      </c>
      <c r="DL258" s="26">
        <v>0</v>
      </c>
      <c r="DM258" s="26">
        <v>0</v>
      </c>
      <c r="DN258" s="26">
        <v>0</v>
      </c>
      <c r="DO258" s="26">
        <v>0</v>
      </c>
      <c r="DP258" s="26">
        <v>0</v>
      </c>
      <c r="DQ258" s="26">
        <v>0</v>
      </c>
      <c r="DR258" s="26">
        <v>0</v>
      </c>
      <c r="DS258" s="26">
        <v>0</v>
      </c>
      <c r="DT258" s="26">
        <v>0</v>
      </c>
      <c r="DU258" s="26">
        <v>0</v>
      </c>
      <c r="DV258" s="26">
        <v>0</v>
      </c>
      <c r="DW258" s="26">
        <v>0</v>
      </c>
      <c r="DX258" s="26">
        <v>6.4237653100000003</v>
      </c>
      <c r="DY258" s="26">
        <v>0.158615913</v>
      </c>
      <c r="DZ258" s="26">
        <v>6.65521315E-2</v>
      </c>
      <c r="EA258" s="26">
        <v>2.16627188</v>
      </c>
      <c r="EB258" s="26">
        <v>0.26399012100000002</v>
      </c>
      <c r="EC258" s="26">
        <v>63.872981600000003</v>
      </c>
      <c r="ED258" s="26">
        <v>0</v>
      </c>
      <c r="EE258" s="26">
        <v>14.674500200000001</v>
      </c>
      <c r="EF258" s="26">
        <v>21.03218</v>
      </c>
      <c r="EG258" s="26">
        <v>2.6665124100000002</v>
      </c>
      <c r="EH258" s="26">
        <v>0.29627958399999998</v>
      </c>
      <c r="EI258" s="26">
        <v>4.2802392500000002</v>
      </c>
      <c r="EJ258" s="26">
        <v>0.551947407</v>
      </c>
      <c r="EK258" s="26">
        <v>274.75932299999999</v>
      </c>
      <c r="EL258" s="26">
        <v>2.42225314</v>
      </c>
      <c r="EM258" s="26">
        <v>0</v>
      </c>
      <c r="EN258" s="26">
        <v>0</v>
      </c>
      <c r="EO258" s="26">
        <v>0</v>
      </c>
      <c r="EP258" s="26">
        <v>13.6569535</v>
      </c>
      <c r="EQ258" s="26">
        <v>393.63541199999997</v>
      </c>
      <c r="ER258" s="26">
        <v>4.4825827699999996</v>
      </c>
      <c r="ES258" s="26">
        <v>34.934752199999991</v>
      </c>
      <c r="ET258" s="26">
        <v>1</v>
      </c>
      <c r="EU258" s="26">
        <v>0</v>
      </c>
      <c r="EV258" s="26">
        <v>0</v>
      </c>
      <c r="EW258" s="26">
        <v>1</v>
      </c>
      <c r="EX258" s="26">
        <v>-30067.9696</v>
      </c>
      <c r="EY258" s="26">
        <v>-1043.1908599999999</v>
      </c>
      <c r="EZ258" s="26">
        <v>-0.41063686500000002</v>
      </c>
      <c r="FA258" s="26">
        <v>-86.342920800000002</v>
      </c>
      <c r="FB258" s="26">
        <v>-2.9956178100000002</v>
      </c>
      <c r="FC258" s="26">
        <v>5.0777844000000003E-2</v>
      </c>
      <c r="FD258" s="26">
        <v>1.4635736699999999</v>
      </c>
      <c r="FE258" s="26">
        <v>28.8230763</v>
      </c>
      <c r="FF258" s="26">
        <v>0</v>
      </c>
      <c r="FG258" s="26">
        <v>1.15802458E-2</v>
      </c>
      <c r="FH258" s="26">
        <v>-1578613215.52</v>
      </c>
      <c r="FI258" s="26">
        <v>2.7485471692105995E-2</v>
      </c>
      <c r="FJ258" s="26">
        <v>0</v>
      </c>
      <c r="FK258" s="26">
        <v>0</v>
      </c>
      <c r="FL258" s="26">
        <v>0</v>
      </c>
      <c r="FM258" s="26">
        <v>0</v>
      </c>
      <c r="FN258" s="26">
        <v>0</v>
      </c>
      <c r="FO258" s="26">
        <v>0</v>
      </c>
      <c r="FP258" s="26">
        <v>0</v>
      </c>
      <c r="FQ258" s="26">
        <v>0</v>
      </c>
      <c r="FR258" s="26">
        <v>0</v>
      </c>
      <c r="FS258" s="26">
        <v>0</v>
      </c>
      <c r="FT258" s="26">
        <v>0</v>
      </c>
      <c r="FU258" s="26">
        <v>0</v>
      </c>
      <c r="FV258" s="26">
        <v>0</v>
      </c>
      <c r="FW258" s="26">
        <v>0</v>
      </c>
      <c r="FX258" s="26">
        <v>0</v>
      </c>
      <c r="FY258" s="26">
        <v>0</v>
      </c>
      <c r="FZ258" s="26">
        <v>0</v>
      </c>
      <c r="GA258" s="26">
        <v>0</v>
      </c>
      <c r="GB258" s="26">
        <v>0</v>
      </c>
      <c r="GC258" s="26">
        <v>0</v>
      </c>
      <c r="GD258" s="26">
        <v>0</v>
      </c>
      <c r="GE258" s="26">
        <v>0</v>
      </c>
      <c r="GF258" s="26">
        <v>0</v>
      </c>
      <c r="GG258" s="26">
        <v>0</v>
      </c>
      <c r="GH258" s="26">
        <v>0</v>
      </c>
      <c r="GI258" s="26">
        <v>0</v>
      </c>
      <c r="GJ258" s="26">
        <v>0</v>
      </c>
      <c r="GK258" s="26">
        <v>0</v>
      </c>
      <c r="GL258" s="26">
        <v>0</v>
      </c>
      <c r="GM258" s="26">
        <v>0</v>
      </c>
      <c r="GN258" s="26">
        <v>0</v>
      </c>
      <c r="GO258" s="26">
        <v>0</v>
      </c>
      <c r="GP258" s="26">
        <v>0</v>
      </c>
      <c r="GQ258" s="26">
        <v>0</v>
      </c>
      <c r="GR258" s="26">
        <v>0</v>
      </c>
      <c r="GS258" s="26">
        <v>0</v>
      </c>
      <c r="GT258" s="26">
        <v>0</v>
      </c>
      <c r="GU258" s="26">
        <v>0</v>
      </c>
      <c r="GV258" s="26">
        <v>0</v>
      </c>
      <c r="GW258" s="26">
        <v>0</v>
      </c>
      <c r="GX258" s="26">
        <v>0</v>
      </c>
      <c r="GY258" s="26">
        <v>0</v>
      </c>
      <c r="GZ258" s="26">
        <v>0</v>
      </c>
      <c r="HA258" s="26">
        <v>0</v>
      </c>
      <c r="HB258" s="26">
        <v>0</v>
      </c>
      <c r="HC258" s="26">
        <v>0</v>
      </c>
      <c r="HD258" s="26">
        <v>0</v>
      </c>
      <c r="HE258" s="26">
        <v>0</v>
      </c>
      <c r="HF258" s="26">
        <v>0</v>
      </c>
      <c r="HG258" s="26">
        <v>0</v>
      </c>
      <c r="HH258" s="26">
        <v>0</v>
      </c>
      <c r="HI258" s="26">
        <v>0</v>
      </c>
      <c r="HJ258" s="26">
        <v>0</v>
      </c>
      <c r="HK258" s="26">
        <v>0</v>
      </c>
      <c r="HL258" s="26">
        <v>0</v>
      </c>
      <c r="HM258" s="26">
        <v>0</v>
      </c>
      <c r="HN258" s="26">
        <v>0</v>
      </c>
      <c r="HO258" s="26">
        <v>0</v>
      </c>
      <c r="HP258" s="26">
        <v>0</v>
      </c>
      <c r="HQ258" s="26">
        <v>0</v>
      </c>
      <c r="HR258" s="26">
        <v>0</v>
      </c>
      <c r="HS258" s="26">
        <v>0</v>
      </c>
      <c r="HT258" s="26">
        <v>4.601019842363714E-3</v>
      </c>
    </row>
    <row r="259" spans="2:228" x14ac:dyDescent="0.2">
      <c r="B259" s="27" t="s">
        <v>2426</v>
      </c>
      <c r="C259" s="26">
        <v>28572.065299999998</v>
      </c>
      <c r="D259" s="26">
        <v>-104.12535200000001</v>
      </c>
      <c r="E259" s="26">
        <v>27104.820199999998</v>
      </c>
      <c r="F259" s="26">
        <v>1.1683183500000001</v>
      </c>
      <c r="G259" s="26">
        <v>3.1918292500000001</v>
      </c>
      <c r="H259" s="26">
        <v>7.0066359499999997</v>
      </c>
      <c r="I259" s="26">
        <v>2.9398472500000001</v>
      </c>
      <c r="J259" s="26">
        <v>6.5027208400000003</v>
      </c>
      <c r="K259" s="26">
        <v>1.34754661</v>
      </c>
      <c r="L259" s="26">
        <v>2.0274045200000002</v>
      </c>
      <c r="M259" s="26">
        <v>0</v>
      </c>
      <c r="N259" s="26">
        <v>6.93885226</v>
      </c>
      <c r="O259" s="26">
        <v>0.17511170300000001</v>
      </c>
      <c r="P259" s="26">
        <v>7.3473441900000006E-2</v>
      </c>
      <c r="Q259" s="26">
        <v>2.3915446500000002</v>
      </c>
      <c r="R259" s="26">
        <v>0.29144271700000002</v>
      </c>
      <c r="S259" s="26">
        <v>74.757860199999996</v>
      </c>
      <c r="T259" s="26">
        <v>4.0206514100000001</v>
      </c>
      <c r="U259" s="26">
        <v>2.2646213099999999</v>
      </c>
      <c r="V259" s="26">
        <v>3.02532947</v>
      </c>
      <c r="W259" s="26">
        <v>0.37057215599999999</v>
      </c>
      <c r="X259" s="26">
        <v>10.373557399999999</v>
      </c>
      <c r="Y259" s="26">
        <v>4.6229335200000001</v>
      </c>
      <c r="Z259" s="26">
        <v>1.0677331699999999</v>
      </c>
      <c r="AA259" s="26">
        <v>2.8028300399999999</v>
      </c>
      <c r="AB259" s="26">
        <v>48.165785900000003</v>
      </c>
      <c r="AC259" s="26">
        <v>4.5860418300000001E-3</v>
      </c>
      <c r="AD259" s="26">
        <v>0</v>
      </c>
      <c r="AE259" s="26">
        <v>92.432067399999994</v>
      </c>
      <c r="AF259" s="26">
        <v>8.35642481</v>
      </c>
      <c r="AG259" s="26">
        <v>0</v>
      </c>
      <c r="AH259" s="26">
        <v>0</v>
      </c>
      <c r="AI259" s="26">
        <v>0</v>
      </c>
      <c r="AJ259" s="26">
        <v>0</v>
      </c>
      <c r="AK259" s="26">
        <v>0</v>
      </c>
      <c r="AL259" s="26">
        <v>0</v>
      </c>
      <c r="AM259" s="26">
        <v>8.1795185500000006E-2</v>
      </c>
      <c r="AN259" s="26">
        <v>4.6096493199999998E-2</v>
      </c>
      <c r="AO259" s="26">
        <v>4.1772780700000001E-6</v>
      </c>
      <c r="AP259" s="26">
        <v>0</v>
      </c>
      <c r="AQ259" s="26">
        <v>0</v>
      </c>
      <c r="AR259" s="26">
        <v>0</v>
      </c>
      <c r="AS259" s="26">
        <v>13.7417452</v>
      </c>
      <c r="AT259" s="26">
        <v>0.234203939</v>
      </c>
      <c r="AU259" s="26">
        <v>22.818599899999999</v>
      </c>
      <c r="AV259" s="26">
        <v>0</v>
      </c>
      <c r="AW259" s="26">
        <v>0</v>
      </c>
      <c r="AX259" s="26">
        <v>0</v>
      </c>
      <c r="AY259" s="26">
        <v>0</v>
      </c>
      <c r="AZ259" s="26">
        <v>0</v>
      </c>
      <c r="BA259" s="26">
        <v>0</v>
      </c>
      <c r="BB259" s="26">
        <v>0</v>
      </c>
      <c r="BC259" s="26">
        <v>0</v>
      </c>
      <c r="BD259" s="26">
        <v>0</v>
      </c>
      <c r="BE259" s="26">
        <v>0</v>
      </c>
      <c r="BF259" s="26">
        <v>0</v>
      </c>
      <c r="BG259" s="26">
        <v>0</v>
      </c>
      <c r="BH259" s="26">
        <v>0</v>
      </c>
      <c r="BI259" s="26">
        <v>0</v>
      </c>
      <c r="BJ259" s="26">
        <v>0</v>
      </c>
      <c r="BK259" s="26">
        <v>0</v>
      </c>
      <c r="BL259" s="26">
        <v>0</v>
      </c>
      <c r="BM259" s="26">
        <v>0</v>
      </c>
      <c r="BN259" s="26">
        <v>0</v>
      </c>
      <c r="BO259" s="26">
        <v>1510.5338999999999</v>
      </c>
      <c r="BP259" s="26">
        <v>27428.062399999999</v>
      </c>
      <c r="BQ259" s="26">
        <v>464.63792699999999</v>
      </c>
      <c r="BR259" s="26">
        <v>34.934752199999991</v>
      </c>
      <c r="BS259" s="26">
        <v>1</v>
      </c>
      <c r="BT259" s="26">
        <v>0</v>
      </c>
      <c r="BU259" s="26">
        <v>1</v>
      </c>
      <c r="BV259" s="26">
        <v>0</v>
      </c>
      <c r="BW259" s="26">
        <v>-68142.752699999997</v>
      </c>
      <c r="BX259" s="26">
        <v>-3752.7965600000002</v>
      </c>
      <c r="BY259" s="26">
        <v>-102.931939</v>
      </c>
      <c r="BZ259" s="26">
        <v>-38.498117999999998</v>
      </c>
      <c r="CA259" s="26">
        <v>-2.1201903199999999</v>
      </c>
      <c r="CB259" s="26">
        <v>5.4183189200000002E-2</v>
      </c>
      <c r="CC259" s="26">
        <v>0.98385073700000003</v>
      </c>
      <c r="CD259" s="26">
        <v>18.157859500000001</v>
      </c>
      <c r="CE259" s="26">
        <v>0</v>
      </c>
      <c r="CF259" s="26">
        <v>0</v>
      </c>
      <c r="CG259" s="26">
        <v>0</v>
      </c>
      <c r="CH259" s="26">
        <v>0</v>
      </c>
      <c r="CI259" s="26">
        <v>0</v>
      </c>
      <c r="CJ259" s="26">
        <v>0</v>
      </c>
      <c r="CK259" s="26">
        <v>0</v>
      </c>
      <c r="CL259" s="26">
        <v>0</v>
      </c>
      <c r="CM259" s="26">
        <v>0</v>
      </c>
      <c r="CN259" s="26">
        <v>0</v>
      </c>
      <c r="CO259" s="26">
        <v>0</v>
      </c>
      <c r="CP259" s="26">
        <v>0</v>
      </c>
      <c r="CQ259" s="26">
        <v>0</v>
      </c>
      <c r="CR259" s="26">
        <v>0</v>
      </c>
      <c r="CS259" s="26">
        <v>0</v>
      </c>
      <c r="CT259" s="26">
        <v>0</v>
      </c>
      <c r="CU259" s="26">
        <v>0</v>
      </c>
      <c r="CV259" s="26">
        <v>0</v>
      </c>
      <c r="CW259" s="26">
        <v>0</v>
      </c>
      <c r="CX259" s="26">
        <v>0</v>
      </c>
      <c r="CY259" s="26">
        <v>0</v>
      </c>
      <c r="CZ259" s="26">
        <v>0</v>
      </c>
      <c r="DA259" s="26">
        <v>0</v>
      </c>
      <c r="DB259" s="26">
        <v>0</v>
      </c>
      <c r="DC259" s="26">
        <v>0</v>
      </c>
      <c r="DD259" s="26">
        <v>0</v>
      </c>
      <c r="DE259" s="26">
        <v>0</v>
      </c>
      <c r="DF259" s="26">
        <v>0</v>
      </c>
      <c r="DG259" s="26">
        <v>0</v>
      </c>
      <c r="DH259" s="26">
        <v>0</v>
      </c>
      <c r="DI259" s="26">
        <v>0</v>
      </c>
      <c r="DJ259" s="26">
        <v>0</v>
      </c>
      <c r="DK259" s="26">
        <v>0</v>
      </c>
      <c r="DL259" s="26">
        <v>0</v>
      </c>
      <c r="DM259" s="26">
        <v>0</v>
      </c>
      <c r="DN259" s="26">
        <v>0</v>
      </c>
      <c r="DO259" s="26">
        <v>0</v>
      </c>
      <c r="DP259" s="26">
        <v>0</v>
      </c>
      <c r="DQ259" s="26">
        <v>0</v>
      </c>
      <c r="DR259" s="26">
        <v>0</v>
      </c>
      <c r="DS259" s="26">
        <v>0</v>
      </c>
      <c r="DT259" s="26">
        <v>0</v>
      </c>
      <c r="DU259" s="26">
        <v>0</v>
      </c>
      <c r="DV259" s="26">
        <v>0</v>
      </c>
      <c r="DW259" s="26">
        <v>0</v>
      </c>
      <c r="DX259" s="26">
        <v>18.669067900000002</v>
      </c>
      <c r="DY259" s="26">
        <v>0.46097749799999999</v>
      </c>
      <c r="DZ259" s="26">
        <v>0.19341713199999999</v>
      </c>
      <c r="EA259" s="26">
        <v>6.2957276499999999</v>
      </c>
      <c r="EB259" s="26">
        <v>0.76722128999999994</v>
      </c>
      <c r="EC259" s="26">
        <v>185.630853</v>
      </c>
      <c r="ED259" s="26">
        <v>0</v>
      </c>
      <c r="EE259" s="26">
        <v>42.6477662</v>
      </c>
      <c r="EF259" s="26">
        <v>61.124773099999999</v>
      </c>
      <c r="EG259" s="26">
        <v>7.7495516799999997</v>
      </c>
      <c r="EH259" s="26">
        <v>0.86106254000000004</v>
      </c>
      <c r="EI259" s="26">
        <v>12.439445299999999</v>
      </c>
      <c r="EJ259" s="26">
        <v>1.6040971500000001</v>
      </c>
      <c r="EK259" s="26">
        <v>798.51928199999998</v>
      </c>
      <c r="EL259" s="26">
        <v>7.0396731800000003</v>
      </c>
      <c r="EM259" s="26">
        <v>0</v>
      </c>
      <c r="EN259" s="26">
        <v>0</v>
      </c>
      <c r="EO259" s="26">
        <v>0</v>
      </c>
      <c r="EP259" s="26">
        <v>39.690520999999997</v>
      </c>
      <c r="EQ259" s="26">
        <v>1144.0029199999999</v>
      </c>
      <c r="ER259" s="26">
        <v>13.027506199999999</v>
      </c>
      <c r="ES259" s="26">
        <v>34.934752199999991</v>
      </c>
      <c r="ET259" s="26">
        <v>1</v>
      </c>
      <c r="EU259" s="26">
        <v>0</v>
      </c>
      <c r="EV259" s="26">
        <v>0</v>
      </c>
      <c r="EW259" s="26">
        <v>1</v>
      </c>
      <c r="EX259" s="26">
        <v>-30067.9696</v>
      </c>
      <c r="EY259" s="26">
        <v>-1043.1908599999999</v>
      </c>
      <c r="EZ259" s="26">
        <v>-1.1934133899999999</v>
      </c>
      <c r="FA259" s="26">
        <v>-86.342920800000002</v>
      </c>
      <c r="FB259" s="26">
        <v>-2.9956178100000002</v>
      </c>
      <c r="FC259" s="26">
        <v>5.0777844000000003E-2</v>
      </c>
      <c r="FD259" s="26">
        <v>1.4635736699999999</v>
      </c>
      <c r="FE259" s="26">
        <v>28.8230763</v>
      </c>
      <c r="FF259" s="26">
        <v>0</v>
      </c>
      <c r="FG259" s="26">
        <v>6.6188083600000003E-2</v>
      </c>
      <c r="FH259" s="26">
        <v>-121400462.104</v>
      </c>
      <c r="FI259" s="26">
        <v>2.0901114889431143E-3</v>
      </c>
      <c r="FJ259" s="26">
        <v>0</v>
      </c>
      <c r="FK259" s="26">
        <v>0</v>
      </c>
      <c r="FL259" s="26">
        <v>0</v>
      </c>
      <c r="FM259" s="26">
        <v>0</v>
      </c>
      <c r="FN259" s="26">
        <v>0</v>
      </c>
      <c r="FO259" s="26">
        <v>0</v>
      </c>
      <c r="FP259" s="26">
        <v>0</v>
      </c>
      <c r="FQ259" s="26">
        <v>0</v>
      </c>
      <c r="FR259" s="26">
        <v>0</v>
      </c>
      <c r="FS259" s="26">
        <v>0</v>
      </c>
      <c r="FT259" s="26">
        <v>0</v>
      </c>
      <c r="FU259" s="26">
        <v>0</v>
      </c>
      <c r="FV259" s="26">
        <v>0</v>
      </c>
      <c r="FW259" s="26">
        <v>0</v>
      </c>
      <c r="FX259" s="26">
        <v>0</v>
      </c>
      <c r="FY259" s="26">
        <v>0</v>
      </c>
      <c r="FZ259" s="26">
        <v>0</v>
      </c>
      <c r="GA259" s="26">
        <v>0</v>
      </c>
      <c r="GB259" s="26">
        <v>0</v>
      </c>
      <c r="GC259" s="26">
        <v>0</v>
      </c>
      <c r="GD259" s="26">
        <v>0</v>
      </c>
      <c r="GE259" s="26">
        <v>0</v>
      </c>
      <c r="GF259" s="26">
        <v>0</v>
      </c>
      <c r="GG259" s="26">
        <v>0</v>
      </c>
      <c r="GH259" s="26">
        <v>0</v>
      </c>
      <c r="GI259" s="26">
        <v>0</v>
      </c>
      <c r="GJ259" s="26">
        <v>0</v>
      </c>
      <c r="GK259" s="26">
        <v>0</v>
      </c>
      <c r="GL259" s="26">
        <v>0</v>
      </c>
      <c r="GM259" s="26">
        <v>0</v>
      </c>
      <c r="GN259" s="26">
        <v>0</v>
      </c>
      <c r="GO259" s="26">
        <v>0</v>
      </c>
      <c r="GP259" s="26">
        <v>0</v>
      </c>
      <c r="GQ259" s="26">
        <v>0</v>
      </c>
      <c r="GR259" s="26">
        <v>0</v>
      </c>
      <c r="GS259" s="26">
        <v>0</v>
      </c>
      <c r="GT259" s="26">
        <v>0</v>
      </c>
      <c r="GU259" s="26">
        <v>0</v>
      </c>
      <c r="GV259" s="26">
        <v>0</v>
      </c>
      <c r="GW259" s="26">
        <v>0</v>
      </c>
      <c r="GX259" s="26">
        <v>0</v>
      </c>
      <c r="GY259" s="26">
        <v>0</v>
      </c>
      <c r="GZ259" s="26">
        <v>0</v>
      </c>
      <c r="HA259" s="26">
        <v>0</v>
      </c>
      <c r="HB259" s="26">
        <v>0</v>
      </c>
      <c r="HC259" s="26">
        <v>0</v>
      </c>
      <c r="HD259" s="26">
        <v>0</v>
      </c>
      <c r="HE259" s="26">
        <v>0</v>
      </c>
      <c r="HF259" s="26">
        <v>0</v>
      </c>
      <c r="HG259" s="26">
        <v>0</v>
      </c>
      <c r="HH259" s="26">
        <v>0</v>
      </c>
      <c r="HI259" s="26">
        <v>0</v>
      </c>
      <c r="HJ259" s="26">
        <v>0</v>
      </c>
      <c r="HK259" s="26">
        <v>0</v>
      </c>
      <c r="HL259" s="26">
        <v>0</v>
      </c>
      <c r="HM259" s="26">
        <v>0</v>
      </c>
      <c r="HN259" s="26">
        <v>0</v>
      </c>
      <c r="HO259" s="26">
        <v>0</v>
      </c>
      <c r="HP259" s="26">
        <v>0</v>
      </c>
      <c r="HQ259" s="26">
        <v>0</v>
      </c>
      <c r="HR259" s="26">
        <v>0</v>
      </c>
      <c r="HS259" s="26">
        <v>0</v>
      </c>
      <c r="HT259" s="26">
        <v>1.3371713884751488E-2</v>
      </c>
    </row>
    <row r="260" spans="2:228" x14ac:dyDescent="0.2">
      <c r="B260" s="27" t="s">
        <v>1419</v>
      </c>
      <c r="C260" s="26">
        <v>90535.697700000004</v>
      </c>
      <c r="D260" s="26">
        <v>-337.63841000000002</v>
      </c>
      <c r="E260" s="26">
        <v>88471.546400000007</v>
      </c>
      <c r="F260" s="26">
        <v>2.2493200000000001E-2</v>
      </c>
      <c r="G260" s="26">
        <v>6.3500793700000002E-2</v>
      </c>
      <c r="H260" s="26">
        <v>0.13939559700000001</v>
      </c>
      <c r="I260" s="26">
        <v>5.8487663000000002E-2</v>
      </c>
      <c r="J260" s="26">
        <v>0.12937030799999999</v>
      </c>
      <c r="K260" s="26">
        <v>2.68091656E-2</v>
      </c>
      <c r="L260" s="26">
        <v>4.0334800599999998E-2</v>
      </c>
      <c r="M260" s="26">
        <v>0</v>
      </c>
      <c r="N260" s="26">
        <v>0.138047054</v>
      </c>
      <c r="O260" s="26">
        <v>3.4838117200000004E-3</v>
      </c>
      <c r="P260" s="26">
        <v>1.46173918E-3</v>
      </c>
      <c r="Q260" s="26">
        <v>4.7579294199999997E-2</v>
      </c>
      <c r="R260" s="26">
        <v>4.6743274600000002E-2</v>
      </c>
      <c r="S260" s="26">
        <v>1.4872924199999999</v>
      </c>
      <c r="T260" s="26">
        <v>12.9279039</v>
      </c>
      <c r="U260" s="26">
        <v>4.5053845100000003E-2</v>
      </c>
      <c r="V260" s="26">
        <v>5.8924365499999999E-2</v>
      </c>
      <c r="W260" s="26">
        <v>7.3640877099999998E-3</v>
      </c>
      <c r="X260" s="26">
        <v>0.20637976099999999</v>
      </c>
      <c r="Y260" s="26">
        <v>9.1972321900000001E-2</v>
      </c>
      <c r="Z260" s="26">
        <v>2.1242334099999999E-2</v>
      </c>
      <c r="AA260" s="26">
        <v>5.5761733499999994E-2</v>
      </c>
      <c r="AB260" s="26">
        <v>0.64919614299999995</v>
      </c>
      <c r="AC260" s="26">
        <v>1.4745849300000001E-2</v>
      </c>
      <c r="AD260" s="26">
        <v>0</v>
      </c>
      <c r="AE260" s="26">
        <v>3.8121021800000001</v>
      </c>
      <c r="AF260" s="26">
        <v>26.8690493</v>
      </c>
      <c r="AG260" s="26">
        <v>0</v>
      </c>
      <c r="AH260" s="26">
        <v>1092.4734900000001</v>
      </c>
      <c r="AI260" s="26">
        <v>0</v>
      </c>
      <c r="AJ260" s="26">
        <v>0</v>
      </c>
      <c r="AK260" s="26">
        <v>0</v>
      </c>
      <c r="AL260" s="26">
        <v>0</v>
      </c>
      <c r="AM260" s="26">
        <v>9.1079388999999997E-2</v>
      </c>
      <c r="AN260" s="26">
        <v>0.65320560500000002</v>
      </c>
      <c r="AO260" s="26">
        <v>1.26107824</v>
      </c>
      <c r="AP260" s="26">
        <v>0</v>
      </c>
      <c r="AQ260" s="26">
        <v>1.2080770999999999</v>
      </c>
      <c r="AR260" s="26">
        <v>0</v>
      </c>
      <c r="AS260" s="26">
        <v>1.4981927100000001</v>
      </c>
      <c r="AT260" s="26">
        <v>5.3028122700000003E-5</v>
      </c>
      <c r="AU260" s="26">
        <v>9.0262825499999995</v>
      </c>
      <c r="AV260" s="26">
        <v>2.4016965500000001E-2</v>
      </c>
      <c r="AW260" s="26">
        <v>0</v>
      </c>
      <c r="AX260" s="26">
        <v>0</v>
      </c>
      <c r="AY260" s="26">
        <v>0</v>
      </c>
      <c r="AZ260" s="26">
        <v>0</v>
      </c>
      <c r="BA260" s="26">
        <v>0</v>
      </c>
      <c r="BB260" s="26">
        <v>0</v>
      </c>
      <c r="BC260" s="26">
        <v>0</v>
      </c>
      <c r="BD260" s="26">
        <v>0</v>
      </c>
      <c r="BE260" s="26">
        <v>0</v>
      </c>
      <c r="BF260" s="26">
        <v>0</v>
      </c>
      <c r="BG260" s="26">
        <v>0</v>
      </c>
      <c r="BH260" s="26">
        <v>0</v>
      </c>
      <c r="BI260" s="26">
        <v>0</v>
      </c>
      <c r="BJ260" s="26">
        <v>0</v>
      </c>
      <c r="BK260" s="26">
        <v>0</v>
      </c>
      <c r="BL260" s="26">
        <v>0</v>
      </c>
      <c r="BM260" s="26">
        <v>0</v>
      </c>
      <c r="BN260" s="26">
        <v>0</v>
      </c>
      <c r="BO260" s="26">
        <v>4924.5555899999999</v>
      </c>
      <c r="BP260" s="26">
        <v>89624.746599999999</v>
      </c>
      <c r="BQ260" s="26">
        <v>1519.43011</v>
      </c>
      <c r="BR260" s="26">
        <v>25.138527099999976</v>
      </c>
      <c r="BS260" s="26">
        <v>2</v>
      </c>
      <c r="BT260" s="26">
        <v>0</v>
      </c>
      <c r="BU260" s="26">
        <v>1</v>
      </c>
      <c r="BV260" s="26">
        <v>0</v>
      </c>
      <c r="BW260" s="26">
        <v>-68372.076400000005</v>
      </c>
      <c r="BX260" s="26">
        <v>-3756.7982499999998</v>
      </c>
      <c r="BY260" s="26">
        <v>-336.70209399999999</v>
      </c>
      <c r="BZ260" s="26">
        <v>-38.967992500000001</v>
      </c>
      <c r="CA260" s="26">
        <v>-2.1411502200000001</v>
      </c>
      <c r="CB260" s="26">
        <v>5.4017572299999997E-2</v>
      </c>
      <c r="CC260" s="26">
        <v>0.98309606599999999</v>
      </c>
      <c r="CD260" s="26">
        <v>18.199560300000002</v>
      </c>
      <c r="CE260" s="26">
        <v>0</v>
      </c>
      <c r="CF260" s="26">
        <v>0</v>
      </c>
      <c r="CG260" s="26">
        <v>0</v>
      </c>
      <c r="CH260" s="26">
        <v>0</v>
      </c>
      <c r="CI260" s="26">
        <v>0</v>
      </c>
      <c r="CJ260" s="26">
        <v>0</v>
      </c>
      <c r="CK260" s="26">
        <v>0</v>
      </c>
      <c r="CL260" s="26">
        <v>0</v>
      </c>
      <c r="CM260" s="26">
        <v>0</v>
      </c>
      <c r="CN260" s="26">
        <v>0</v>
      </c>
      <c r="CO260" s="26">
        <v>0</v>
      </c>
      <c r="CP260" s="26">
        <v>0</v>
      </c>
      <c r="CQ260" s="26">
        <v>0</v>
      </c>
      <c r="CR260" s="26">
        <v>0</v>
      </c>
      <c r="CS260" s="26">
        <v>0</v>
      </c>
      <c r="CT260" s="26">
        <v>0</v>
      </c>
      <c r="CU260" s="26">
        <v>0</v>
      </c>
      <c r="CV260" s="26">
        <v>0</v>
      </c>
      <c r="CW260" s="26">
        <v>0</v>
      </c>
      <c r="CX260" s="26">
        <v>0</v>
      </c>
      <c r="CY260" s="26">
        <v>0</v>
      </c>
      <c r="CZ260" s="26">
        <v>0</v>
      </c>
      <c r="DA260" s="26">
        <v>0</v>
      </c>
      <c r="DB260" s="26">
        <v>0</v>
      </c>
      <c r="DC260" s="26">
        <v>0</v>
      </c>
      <c r="DD260" s="26">
        <v>0</v>
      </c>
      <c r="DE260" s="26">
        <v>0</v>
      </c>
      <c r="DF260" s="26">
        <v>0</v>
      </c>
      <c r="DG260" s="26">
        <v>0</v>
      </c>
      <c r="DH260" s="26">
        <v>0</v>
      </c>
      <c r="DI260" s="26">
        <v>0</v>
      </c>
      <c r="DJ260" s="26">
        <v>0</v>
      </c>
      <c r="DK260" s="26">
        <v>0</v>
      </c>
      <c r="DL260" s="26">
        <v>0</v>
      </c>
      <c r="DM260" s="26">
        <v>0</v>
      </c>
      <c r="DN260" s="26">
        <v>0</v>
      </c>
      <c r="DO260" s="26">
        <v>0</v>
      </c>
      <c r="DP260" s="26">
        <v>0</v>
      </c>
      <c r="DQ260" s="26">
        <v>0</v>
      </c>
      <c r="DR260" s="26">
        <v>0</v>
      </c>
      <c r="DS260" s="26">
        <v>0</v>
      </c>
      <c r="DT260" s="26">
        <v>0</v>
      </c>
      <c r="DU260" s="26">
        <v>0</v>
      </c>
      <c r="DV260" s="26">
        <v>0</v>
      </c>
      <c r="DW260" s="26">
        <v>0</v>
      </c>
      <c r="DX260" s="26">
        <v>7.7444407400000008</v>
      </c>
      <c r="DY260" s="26">
        <v>0.19122609300000001</v>
      </c>
      <c r="DZ260" s="26">
        <v>8.0234724199999996E-2</v>
      </c>
      <c r="EA260" s="26">
        <v>2.61164028</v>
      </c>
      <c r="EB260" s="26">
        <v>0.318264406</v>
      </c>
      <c r="EC260" s="26">
        <v>77.004762299999996</v>
      </c>
      <c r="ED260" s="26">
        <v>0</v>
      </c>
      <c r="EE260" s="26">
        <v>2.7967199499999998E-2</v>
      </c>
      <c r="EF260" s="26">
        <v>25.356230199999999</v>
      </c>
      <c r="EG260" s="26">
        <v>3.2147263100000001</v>
      </c>
      <c r="EH260" s="26">
        <v>0.35719232699999998</v>
      </c>
      <c r="EI260" s="26">
        <v>5.1602226499999997</v>
      </c>
      <c r="EJ260" s="26">
        <v>0.66542343599999998</v>
      </c>
      <c r="EK260" s="26">
        <v>785.29852500000004</v>
      </c>
      <c r="EL260" s="26">
        <v>2.9202492599999998</v>
      </c>
      <c r="EM260" s="26">
        <v>0</v>
      </c>
      <c r="EN260" s="26">
        <v>0</v>
      </c>
      <c r="EO260" s="26">
        <v>0</v>
      </c>
      <c r="EP260" s="26">
        <v>35.2304976</v>
      </c>
      <c r="EQ260" s="26">
        <v>910.95110499999987</v>
      </c>
      <c r="ER260" s="26">
        <v>10.252603799999999</v>
      </c>
      <c r="ES260" s="26">
        <v>25.138527099999976</v>
      </c>
      <c r="ET260" s="26">
        <v>2</v>
      </c>
      <c r="EU260" s="26">
        <v>0</v>
      </c>
      <c r="EV260" s="26">
        <v>0</v>
      </c>
      <c r="EW260" s="26">
        <v>1</v>
      </c>
      <c r="EX260" s="26">
        <v>-26576.861700000001</v>
      </c>
      <c r="EY260" s="26">
        <v>-1027.84448</v>
      </c>
      <c r="EZ260" s="26">
        <v>-0.93631606899999997</v>
      </c>
      <c r="FA260" s="26">
        <v>-82.465361299999998</v>
      </c>
      <c r="FB260" s="26">
        <v>-3.1892992900000001</v>
      </c>
      <c r="FC260" s="26">
        <v>5.7270812999999997E-2</v>
      </c>
      <c r="FD260" s="26">
        <v>1.4808451199999999</v>
      </c>
      <c r="FE260" s="26">
        <v>25.856890100000001</v>
      </c>
      <c r="FF260" s="26">
        <v>0</v>
      </c>
      <c r="FG260" s="26">
        <v>1.48693961E-2</v>
      </c>
      <c r="FH260" s="26">
        <v>-392686606.91499996</v>
      </c>
      <c r="FI260" s="26">
        <v>2.53091013413617E-4</v>
      </c>
      <c r="FJ260" s="26">
        <v>0</v>
      </c>
      <c r="FK260" s="26">
        <v>0</v>
      </c>
      <c r="FL260" s="26">
        <v>0</v>
      </c>
      <c r="FM260" s="26">
        <v>0</v>
      </c>
      <c r="FN260" s="26">
        <v>0</v>
      </c>
      <c r="FO260" s="26">
        <v>0</v>
      </c>
      <c r="FP260" s="26">
        <v>0</v>
      </c>
      <c r="FQ260" s="26">
        <v>0</v>
      </c>
      <c r="FR260" s="26">
        <v>0</v>
      </c>
      <c r="FS260" s="26">
        <v>0</v>
      </c>
      <c r="FT260" s="26">
        <v>0</v>
      </c>
      <c r="FU260" s="26">
        <v>0</v>
      </c>
      <c r="FV260" s="26">
        <v>0</v>
      </c>
      <c r="FW260" s="26">
        <v>0</v>
      </c>
      <c r="FX260" s="26">
        <v>0</v>
      </c>
      <c r="FY260" s="26">
        <v>0</v>
      </c>
      <c r="FZ260" s="26">
        <v>0</v>
      </c>
      <c r="GA260" s="26">
        <v>0</v>
      </c>
      <c r="GB260" s="26">
        <v>0</v>
      </c>
      <c r="GC260" s="26">
        <v>0</v>
      </c>
      <c r="GD260" s="26">
        <v>0</v>
      </c>
      <c r="GE260" s="26">
        <v>0</v>
      </c>
      <c r="GF260" s="26">
        <v>0</v>
      </c>
      <c r="GG260" s="26">
        <v>0</v>
      </c>
      <c r="GH260" s="26">
        <v>0</v>
      </c>
      <c r="GI260" s="26">
        <v>0</v>
      </c>
      <c r="GJ260" s="26">
        <v>0</v>
      </c>
      <c r="GK260" s="26">
        <v>0</v>
      </c>
      <c r="GL260" s="26">
        <v>0</v>
      </c>
      <c r="GM260" s="26">
        <v>0</v>
      </c>
      <c r="GN260" s="26">
        <v>0</v>
      </c>
      <c r="GO260" s="26">
        <v>0</v>
      </c>
      <c r="GP260" s="26">
        <v>0</v>
      </c>
      <c r="GQ260" s="26">
        <v>0</v>
      </c>
      <c r="GR260" s="26">
        <v>0</v>
      </c>
      <c r="GS260" s="26">
        <v>0</v>
      </c>
      <c r="GT260" s="26">
        <v>0</v>
      </c>
      <c r="GU260" s="26">
        <v>0</v>
      </c>
      <c r="GV260" s="26">
        <v>0</v>
      </c>
      <c r="GW260" s="26">
        <v>0</v>
      </c>
      <c r="GX260" s="26">
        <v>0</v>
      </c>
      <c r="GY260" s="26">
        <v>0</v>
      </c>
      <c r="GZ260" s="26">
        <v>0</v>
      </c>
      <c r="HA260" s="26">
        <v>0</v>
      </c>
      <c r="HB260" s="26">
        <v>0</v>
      </c>
      <c r="HC260" s="26">
        <v>0</v>
      </c>
      <c r="HD260" s="26">
        <v>0</v>
      </c>
      <c r="HE260" s="26">
        <v>0</v>
      </c>
      <c r="HF260" s="26">
        <v>0</v>
      </c>
      <c r="HG260" s="26">
        <v>0</v>
      </c>
      <c r="HH260" s="26">
        <v>0</v>
      </c>
      <c r="HI260" s="26">
        <v>0</v>
      </c>
      <c r="HJ260" s="26">
        <v>0</v>
      </c>
      <c r="HK260" s="26">
        <v>0</v>
      </c>
      <c r="HL260" s="26">
        <v>0</v>
      </c>
      <c r="HM260" s="26">
        <v>0</v>
      </c>
      <c r="HN260" s="26">
        <v>0</v>
      </c>
      <c r="HO260" s="26">
        <v>0</v>
      </c>
      <c r="HP260" s="26">
        <v>0</v>
      </c>
      <c r="HQ260" s="26">
        <v>0</v>
      </c>
      <c r="HR260" s="26">
        <v>0</v>
      </c>
      <c r="HS260" s="26">
        <v>0</v>
      </c>
      <c r="HT260" s="26">
        <v>1.0759670530521809E-2</v>
      </c>
    </row>
    <row r="261" spans="2:228" x14ac:dyDescent="0.2">
      <c r="B261" s="27" t="s">
        <v>2899</v>
      </c>
      <c r="C261" s="26">
        <v>119107.76300000002</v>
      </c>
      <c r="D261" s="26">
        <v>-441.55776600000002</v>
      </c>
      <c r="E261" s="26">
        <v>115576.36700000001</v>
      </c>
      <c r="F261" s="26">
        <v>1.1908115500000001</v>
      </c>
      <c r="G261" s="26">
        <v>3.25533005</v>
      </c>
      <c r="H261" s="26">
        <v>7.1460315400000001</v>
      </c>
      <c r="I261" s="26">
        <v>2.9983349100000001</v>
      </c>
      <c r="J261" s="26">
        <v>6.6320911499999999</v>
      </c>
      <c r="K261" s="26">
        <v>1.37435577</v>
      </c>
      <c r="L261" s="26">
        <v>2.0677393199999998</v>
      </c>
      <c r="M261" s="26">
        <v>0</v>
      </c>
      <c r="N261" s="26">
        <v>7.0768993099999999</v>
      </c>
      <c r="O261" s="26">
        <v>0.17859551500000001</v>
      </c>
      <c r="P261" s="26">
        <v>7.4935181099999998E-2</v>
      </c>
      <c r="Q261" s="26">
        <v>2.43912394</v>
      </c>
      <c r="R261" s="26">
        <v>0.33818599100000002</v>
      </c>
      <c r="S261" s="26">
        <v>76.245152599999997</v>
      </c>
      <c r="T261" s="26">
        <v>16.948555299999999</v>
      </c>
      <c r="U261" s="26">
        <v>2.3096751499999999</v>
      </c>
      <c r="V261" s="26">
        <v>3.0842538300000002</v>
      </c>
      <c r="W261" s="26">
        <v>0.37793624399999998</v>
      </c>
      <c r="X261" s="26">
        <v>10.5799372</v>
      </c>
      <c r="Y261" s="26">
        <v>4.7149058400000001</v>
      </c>
      <c r="Z261" s="26">
        <v>1.08897551</v>
      </c>
      <c r="AA261" s="26">
        <v>2.8585917799999998</v>
      </c>
      <c r="AB261" s="26">
        <v>48.814982100000002</v>
      </c>
      <c r="AC261" s="26">
        <v>1.9331891100000002E-2</v>
      </c>
      <c r="AD261" s="26">
        <v>0</v>
      </c>
      <c r="AE261" s="26">
        <v>96.244169600000006</v>
      </c>
      <c r="AF261" s="26">
        <v>35.2254741</v>
      </c>
      <c r="AG261" s="26">
        <v>0</v>
      </c>
      <c r="AH261" s="26">
        <v>1092.4734900000001</v>
      </c>
      <c r="AI261" s="26">
        <v>0</v>
      </c>
      <c r="AJ261" s="26">
        <v>0</v>
      </c>
      <c r="AK261" s="26">
        <v>0</v>
      </c>
      <c r="AL261" s="26">
        <v>0</v>
      </c>
      <c r="AM261" s="26">
        <v>0.172874575</v>
      </c>
      <c r="AN261" s="26">
        <v>0.69930209799999998</v>
      </c>
      <c r="AO261" s="26">
        <v>1.26108241</v>
      </c>
      <c r="AP261" s="26">
        <v>0</v>
      </c>
      <c r="AQ261" s="26">
        <v>1.2080770999999999</v>
      </c>
      <c r="AR261" s="26">
        <v>0</v>
      </c>
      <c r="AS261" s="26">
        <v>15.239937999999999</v>
      </c>
      <c r="AT261" s="26">
        <v>0.23425696700000001</v>
      </c>
      <c r="AU261" s="26">
        <v>31.844882500000001</v>
      </c>
      <c r="AV261" s="26">
        <v>2.4016965500000001E-2</v>
      </c>
      <c r="AW261" s="26">
        <v>0</v>
      </c>
      <c r="AX261" s="26">
        <v>0</v>
      </c>
      <c r="AY261" s="26">
        <v>0</v>
      </c>
      <c r="AZ261" s="26">
        <v>0</v>
      </c>
      <c r="BA261" s="26">
        <v>0</v>
      </c>
      <c r="BB261" s="26">
        <v>0</v>
      </c>
      <c r="BC261" s="26">
        <v>0</v>
      </c>
      <c r="BD261" s="26">
        <v>0</v>
      </c>
      <c r="BE261" s="26">
        <v>0</v>
      </c>
      <c r="BF261" s="26">
        <v>0</v>
      </c>
      <c r="BG261" s="26">
        <v>0</v>
      </c>
      <c r="BH261" s="26">
        <v>0</v>
      </c>
      <c r="BI261" s="26">
        <v>0</v>
      </c>
      <c r="BJ261" s="26">
        <v>0</v>
      </c>
      <c r="BK261" s="26">
        <v>0</v>
      </c>
      <c r="BL261" s="26">
        <v>0</v>
      </c>
      <c r="BM261" s="26">
        <v>0</v>
      </c>
      <c r="BN261" s="26">
        <v>0</v>
      </c>
      <c r="BO261" s="26">
        <v>6435.0894900000003</v>
      </c>
      <c r="BP261" s="26">
        <v>117052.80899999998</v>
      </c>
      <c r="BQ261" s="26">
        <v>1987.8618200000001</v>
      </c>
      <c r="BR261" s="26">
        <v>29.424044700000024</v>
      </c>
      <c r="BS261" s="26">
        <v>2</v>
      </c>
      <c r="BT261" s="26">
        <v>0</v>
      </c>
      <c r="BU261" s="26">
        <v>1</v>
      </c>
      <c r="BV261" s="26">
        <v>0</v>
      </c>
      <c r="BW261" s="26">
        <v>-68286.114199999996</v>
      </c>
      <c r="BX261" s="26">
        <v>-3754.0940700000001</v>
      </c>
      <c r="BY261" s="26">
        <v>-439.42725899999999</v>
      </c>
      <c r="BZ261" s="26">
        <v>-38.747470999999997</v>
      </c>
      <c r="CA261" s="26">
        <v>-2.1301790700000001</v>
      </c>
      <c r="CB261" s="26">
        <v>5.3953191900000003E-2</v>
      </c>
      <c r="CC261" s="26">
        <v>0.98139624400000003</v>
      </c>
      <c r="CD261" s="26">
        <v>18.189771700000001</v>
      </c>
      <c r="CE261" s="26">
        <v>0</v>
      </c>
      <c r="CF261" s="26">
        <v>0</v>
      </c>
      <c r="CG261" s="26">
        <v>0</v>
      </c>
      <c r="CH261" s="26">
        <v>0</v>
      </c>
      <c r="CI261" s="26">
        <v>0</v>
      </c>
      <c r="CJ261" s="26">
        <v>0</v>
      </c>
      <c r="CK261" s="26">
        <v>0</v>
      </c>
      <c r="CL261" s="26">
        <v>0</v>
      </c>
      <c r="CM261" s="26">
        <v>0</v>
      </c>
      <c r="CN261" s="26">
        <v>0</v>
      </c>
      <c r="CO261" s="26">
        <v>0</v>
      </c>
      <c r="CP261" s="26">
        <v>0</v>
      </c>
      <c r="CQ261" s="26">
        <v>0</v>
      </c>
      <c r="CR261" s="26">
        <v>0</v>
      </c>
      <c r="CS261" s="26">
        <v>0</v>
      </c>
      <c r="CT261" s="26">
        <v>0</v>
      </c>
      <c r="CU261" s="26">
        <v>0</v>
      </c>
      <c r="CV261" s="26">
        <v>0</v>
      </c>
      <c r="CW261" s="26">
        <v>0</v>
      </c>
      <c r="CX261" s="26">
        <v>0</v>
      </c>
      <c r="CY261" s="26">
        <v>0</v>
      </c>
      <c r="CZ261" s="26">
        <v>0</v>
      </c>
      <c r="DA261" s="26">
        <v>0</v>
      </c>
      <c r="DB261" s="26">
        <v>0</v>
      </c>
      <c r="DC261" s="26">
        <v>0</v>
      </c>
      <c r="DD261" s="26">
        <v>0</v>
      </c>
      <c r="DE261" s="26">
        <v>0</v>
      </c>
      <c r="DF261" s="26">
        <v>0</v>
      </c>
      <c r="DG261" s="26">
        <v>0</v>
      </c>
      <c r="DH261" s="26">
        <v>0</v>
      </c>
      <c r="DI261" s="26">
        <v>0</v>
      </c>
      <c r="DJ261" s="26">
        <v>0</v>
      </c>
      <c r="DK261" s="26">
        <v>0</v>
      </c>
      <c r="DL261" s="26">
        <v>0</v>
      </c>
      <c r="DM261" s="26">
        <v>0</v>
      </c>
      <c r="DN261" s="26">
        <v>0</v>
      </c>
      <c r="DO261" s="26">
        <v>0</v>
      </c>
      <c r="DP261" s="26">
        <v>0</v>
      </c>
      <c r="DQ261" s="26">
        <v>0</v>
      </c>
      <c r="DR261" s="26">
        <v>0</v>
      </c>
      <c r="DS261" s="26">
        <v>0</v>
      </c>
      <c r="DT261" s="26">
        <v>0</v>
      </c>
      <c r="DU261" s="26">
        <v>0</v>
      </c>
      <c r="DV261" s="26">
        <v>0</v>
      </c>
      <c r="DW261" s="26">
        <v>0</v>
      </c>
      <c r="DX261" s="26">
        <v>26.413508700000001</v>
      </c>
      <c r="DY261" s="26">
        <v>0.65220359100000003</v>
      </c>
      <c r="DZ261" s="26">
        <v>0.27365185600000003</v>
      </c>
      <c r="EA261" s="26">
        <v>8.9073679200000004</v>
      </c>
      <c r="EB261" s="26">
        <v>1.0854857</v>
      </c>
      <c r="EC261" s="26">
        <v>262.63561499999997</v>
      </c>
      <c r="ED261" s="26">
        <v>0</v>
      </c>
      <c r="EE261" s="26">
        <v>42.675733399999999</v>
      </c>
      <c r="EF261" s="26">
        <v>86.481003299999998</v>
      </c>
      <c r="EG261" s="26">
        <v>10.964278</v>
      </c>
      <c r="EH261" s="26">
        <v>1.21825487</v>
      </c>
      <c r="EI261" s="26">
        <v>17.599668000000001</v>
      </c>
      <c r="EJ261" s="26">
        <v>2.2695205899999999</v>
      </c>
      <c r="EK261" s="26">
        <v>1583.81781</v>
      </c>
      <c r="EL261" s="26">
        <v>9.9599224399999997</v>
      </c>
      <c r="EM261" s="26">
        <v>0</v>
      </c>
      <c r="EN261" s="26">
        <v>0</v>
      </c>
      <c r="EO261" s="26">
        <v>0</v>
      </c>
      <c r="EP261" s="26">
        <v>74.921018599999996</v>
      </c>
      <c r="EQ261" s="26">
        <v>2054.9540200000001</v>
      </c>
      <c r="ER261" s="26">
        <v>23.280109899999999</v>
      </c>
      <c r="ES261" s="26">
        <v>29.424044700000024</v>
      </c>
      <c r="ET261" s="26">
        <v>2</v>
      </c>
      <c r="EU261" s="26">
        <v>0</v>
      </c>
      <c r="EV261" s="26">
        <v>0</v>
      </c>
      <c r="EW261" s="26">
        <v>1</v>
      </c>
      <c r="EX261" s="26">
        <v>-28436.703099999999</v>
      </c>
      <c r="EY261" s="26">
        <v>-1036.7661499999999</v>
      </c>
      <c r="EZ261" s="26">
        <v>-2.1305067800000002</v>
      </c>
      <c r="FA261" s="26">
        <v>-84.510508099999996</v>
      </c>
      <c r="FB261" s="26">
        <v>-3.08114599</v>
      </c>
      <c r="FC261" s="26">
        <v>5.3637359599999997E-2</v>
      </c>
      <c r="FD261" s="26">
        <v>1.4711800500000001</v>
      </c>
      <c r="FE261" s="26">
        <v>27.428271299999999</v>
      </c>
      <c r="FF261" s="26">
        <v>0</v>
      </c>
      <c r="FG261" s="26">
        <v>2.71799361E-2</v>
      </c>
      <c r="FH261" s="26">
        <v>-514087150.42900002</v>
      </c>
      <c r="FI261" s="26">
        <v>2.343202502078953E-3</v>
      </c>
      <c r="FJ261" s="26">
        <v>0</v>
      </c>
      <c r="FK261" s="26">
        <v>0</v>
      </c>
      <c r="FL261" s="26">
        <v>0</v>
      </c>
      <c r="FM261" s="26">
        <v>0</v>
      </c>
      <c r="FN261" s="26">
        <v>0</v>
      </c>
      <c r="FO261" s="26">
        <v>0</v>
      </c>
      <c r="FP261" s="26">
        <v>0</v>
      </c>
      <c r="FQ261" s="26">
        <v>0</v>
      </c>
      <c r="FR261" s="26">
        <v>0</v>
      </c>
      <c r="FS261" s="26">
        <v>0</v>
      </c>
      <c r="FT261" s="26">
        <v>0</v>
      </c>
      <c r="FU261" s="26">
        <v>0</v>
      </c>
      <c r="FV261" s="26">
        <v>0</v>
      </c>
      <c r="FW261" s="26">
        <v>0</v>
      </c>
      <c r="FX261" s="26">
        <v>0</v>
      </c>
      <c r="FY261" s="26">
        <v>0</v>
      </c>
      <c r="FZ261" s="26">
        <v>0</v>
      </c>
      <c r="GA261" s="26">
        <v>0</v>
      </c>
      <c r="GB261" s="26">
        <v>0</v>
      </c>
      <c r="GC261" s="26">
        <v>0</v>
      </c>
      <c r="GD261" s="26">
        <v>0</v>
      </c>
      <c r="GE261" s="26">
        <v>0</v>
      </c>
      <c r="GF261" s="26">
        <v>0</v>
      </c>
      <c r="GG261" s="26">
        <v>0</v>
      </c>
      <c r="GH261" s="26">
        <v>0</v>
      </c>
      <c r="GI261" s="26">
        <v>0</v>
      </c>
      <c r="GJ261" s="26">
        <v>0</v>
      </c>
      <c r="GK261" s="26">
        <v>0</v>
      </c>
      <c r="GL261" s="26">
        <v>0</v>
      </c>
      <c r="GM261" s="26">
        <v>0</v>
      </c>
      <c r="GN261" s="26">
        <v>0</v>
      </c>
      <c r="GO261" s="26">
        <v>0</v>
      </c>
      <c r="GP261" s="26">
        <v>0</v>
      </c>
      <c r="GQ261" s="26">
        <v>0</v>
      </c>
      <c r="GR261" s="26">
        <v>0</v>
      </c>
      <c r="GS261" s="26">
        <v>0</v>
      </c>
      <c r="GT261" s="26">
        <v>0</v>
      </c>
      <c r="GU261" s="26">
        <v>0</v>
      </c>
      <c r="GV261" s="26">
        <v>0</v>
      </c>
      <c r="GW261" s="26">
        <v>0</v>
      </c>
      <c r="GX261" s="26">
        <v>0</v>
      </c>
      <c r="GY261" s="26">
        <v>0</v>
      </c>
      <c r="GZ261" s="26">
        <v>0</v>
      </c>
      <c r="HA261" s="26">
        <v>0</v>
      </c>
      <c r="HB261" s="26">
        <v>0</v>
      </c>
      <c r="HC261" s="26">
        <v>0</v>
      </c>
      <c r="HD261" s="26">
        <v>0</v>
      </c>
      <c r="HE261" s="26">
        <v>0</v>
      </c>
      <c r="HF261" s="26">
        <v>0</v>
      </c>
      <c r="HG261" s="26">
        <v>0</v>
      </c>
      <c r="HH261" s="26">
        <v>0</v>
      </c>
      <c r="HI261" s="26">
        <v>0</v>
      </c>
      <c r="HJ261" s="26">
        <v>0</v>
      </c>
      <c r="HK261" s="26">
        <v>0</v>
      </c>
      <c r="HL261" s="26">
        <v>0</v>
      </c>
      <c r="HM261" s="26">
        <v>0</v>
      </c>
      <c r="HN261" s="26">
        <v>0</v>
      </c>
      <c r="HO261" s="26">
        <v>0</v>
      </c>
      <c r="HP261" s="26">
        <v>0</v>
      </c>
      <c r="HQ261" s="26">
        <v>0</v>
      </c>
      <c r="HR261" s="26">
        <v>0</v>
      </c>
      <c r="HS261" s="26">
        <v>0</v>
      </c>
      <c r="HT261" s="26">
        <v>2.4131384443051077E-2</v>
      </c>
    </row>
    <row r="262" spans="2:228" x14ac:dyDescent="0.2">
      <c r="B262" s="27" t="s">
        <v>3353</v>
      </c>
      <c r="C262" s="26">
        <v>119107.76300000002</v>
      </c>
      <c r="D262" s="26">
        <v>-441.56178899999998</v>
      </c>
      <c r="E262" s="26">
        <v>115576.36700000001</v>
      </c>
      <c r="F262" s="26">
        <v>1.1908115500000001</v>
      </c>
      <c r="G262" s="26">
        <v>3.25533005</v>
      </c>
      <c r="H262" s="26">
        <v>7.1460315400000001</v>
      </c>
      <c r="I262" s="26">
        <v>2.9983349100000001</v>
      </c>
      <c r="J262" s="26">
        <v>6.6320911499999999</v>
      </c>
      <c r="K262" s="26">
        <v>1.37435577</v>
      </c>
      <c r="L262" s="26">
        <v>2.0677393199999998</v>
      </c>
      <c r="M262" s="26">
        <v>0</v>
      </c>
      <c r="N262" s="26">
        <v>7.0768993099999999</v>
      </c>
      <c r="O262" s="26">
        <v>0.17859551500000001</v>
      </c>
      <c r="P262" s="26">
        <v>7.4935181099999998E-2</v>
      </c>
      <c r="Q262" s="26">
        <v>2.43912394</v>
      </c>
      <c r="R262" s="26">
        <v>0.33818599100000002</v>
      </c>
      <c r="S262" s="26">
        <v>76.245152599999997</v>
      </c>
      <c r="T262" s="26">
        <v>16.948555299999999</v>
      </c>
      <c r="U262" s="26">
        <v>2.3096751499999999</v>
      </c>
      <c r="V262" s="26">
        <v>3.0842538300000002</v>
      </c>
      <c r="W262" s="26">
        <v>0.37793624399999998</v>
      </c>
      <c r="X262" s="26">
        <v>10.5799372</v>
      </c>
      <c r="Y262" s="26">
        <v>4.7149058400000001</v>
      </c>
      <c r="Z262" s="26">
        <v>1.08897551</v>
      </c>
      <c r="AA262" s="26">
        <v>2.8585917799999998</v>
      </c>
      <c r="AB262" s="26">
        <v>48.814982100000002</v>
      </c>
      <c r="AC262" s="26">
        <v>1.9331891100000002E-2</v>
      </c>
      <c r="AD262" s="26">
        <v>0</v>
      </c>
      <c r="AE262" s="26">
        <v>96.244169600000006</v>
      </c>
      <c r="AF262" s="26">
        <v>35.2254741</v>
      </c>
      <c r="AG262" s="26">
        <v>0</v>
      </c>
      <c r="AH262" s="26">
        <v>1092.4734900000001</v>
      </c>
      <c r="AI262" s="26">
        <v>0</v>
      </c>
      <c r="AJ262" s="26">
        <v>0</v>
      </c>
      <c r="AK262" s="26">
        <v>0</v>
      </c>
      <c r="AL262" s="26">
        <v>0</v>
      </c>
      <c r="AM262" s="26">
        <v>0.172874575</v>
      </c>
      <c r="AN262" s="26">
        <v>0.69930209799999998</v>
      </c>
      <c r="AO262" s="26">
        <v>1.26108241</v>
      </c>
      <c r="AP262" s="26">
        <v>0</v>
      </c>
      <c r="AQ262" s="26">
        <v>1.2080770999999999</v>
      </c>
      <c r="AR262" s="26">
        <v>0</v>
      </c>
      <c r="AS262" s="26">
        <v>15.239937999999999</v>
      </c>
      <c r="AT262" s="26">
        <v>0.23425696700000001</v>
      </c>
      <c r="AU262" s="26">
        <v>31.844882500000001</v>
      </c>
      <c r="AV262" s="26">
        <v>2.4016965500000001E-2</v>
      </c>
      <c r="AW262" s="26">
        <v>0</v>
      </c>
      <c r="AX262" s="26">
        <v>0</v>
      </c>
      <c r="AY262" s="26">
        <v>0</v>
      </c>
      <c r="AZ262" s="26">
        <v>0</v>
      </c>
      <c r="BA262" s="26">
        <v>0</v>
      </c>
      <c r="BB262" s="26">
        <v>0</v>
      </c>
      <c r="BC262" s="26">
        <v>0</v>
      </c>
      <c r="BD262" s="26">
        <v>0</v>
      </c>
      <c r="BE262" s="26">
        <v>0</v>
      </c>
      <c r="BF262" s="26">
        <v>0</v>
      </c>
      <c r="BG262" s="26">
        <v>0</v>
      </c>
      <c r="BH262" s="26">
        <v>0</v>
      </c>
      <c r="BI262" s="26">
        <v>0</v>
      </c>
      <c r="BJ262" s="26">
        <v>0</v>
      </c>
      <c r="BK262" s="26">
        <v>0</v>
      </c>
      <c r="BL262" s="26">
        <v>0</v>
      </c>
      <c r="BM262" s="26">
        <v>0</v>
      </c>
      <c r="BN262" s="26">
        <v>0</v>
      </c>
      <c r="BO262" s="26">
        <v>6435.0894900000003</v>
      </c>
      <c r="BP262" s="26">
        <v>117052.80899999998</v>
      </c>
      <c r="BQ262" s="26">
        <v>1988.8663999999999</v>
      </c>
      <c r="BR262" s="26">
        <v>29.386853400000007</v>
      </c>
      <c r="BS262" s="26">
        <v>1</v>
      </c>
      <c r="BT262" s="26">
        <v>4.05025938E-7</v>
      </c>
      <c r="BU262" s="26">
        <v>0.99999959500000002</v>
      </c>
      <c r="BV262" s="26">
        <v>0</v>
      </c>
      <c r="BW262" s="26">
        <v>-68286.735100000005</v>
      </c>
      <c r="BX262" s="26">
        <v>-3754.1282099999999</v>
      </c>
      <c r="BY262" s="26">
        <v>-439.43125500000002</v>
      </c>
      <c r="BZ262" s="26">
        <v>-38.7495051</v>
      </c>
      <c r="CA262" s="26">
        <v>-2.1302908899999999</v>
      </c>
      <c r="CB262" s="26">
        <v>5.3925940200000001E-2</v>
      </c>
      <c r="CC262" s="26">
        <v>0.98090054199999999</v>
      </c>
      <c r="CD262" s="26">
        <v>18.189771700000001</v>
      </c>
      <c r="CE262" s="26">
        <v>0</v>
      </c>
      <c r="CF262" s="26">
        <v>0</v>
      </c>
      <c r="CG262" s="26">
        <v>0</v>
      </c>
      <c r="CH262" s="26">
        <v>0</v>
      </c>
      <c r="CI262" s="26">
        <v>0</v>
      </c>
      <c r="CJ262" s="26">
        <v>0</v>
      </c>
      <c r="CK262" s="26">
        <v>0</v>
      </c>
      <c r="CL262" s="26">
        <v>0</v>
      </c>
      <c r="CM262" s="26">
        <v>0</v>
      </c>
      <c r="CN262" s="26">
        <v>0</v>
      </c>
      <c r="CO262" s="26">
        <v>0</v>
      </c>
      <c r="CP262" s="26">
        <v>0</v>
      </c>
      <c r="CQ262" s="26">
        <v>0</v>
      </c>
      <c r="CR262" s="26">
        <v>0</v>
      </c>
      <c r="CS262" s="26">
        <v>0</v>
      </c>
      <c r="CT262" s="26">
        <v>0</v>
      </c>
      <c r="CU262" s="26">
        <v>0</v>
      </c>
      <c r="CV262" s="26">
        <v>0</v>
      </c>
      <c r="CW262" s="26">
        <v>0</v>
      </c>
      <c r="CX262" s="26">
        <v>0</v>
      </c>
      <c r="CY262" s="26">
        <v>0</v>
      </c>
      <c r="CZ262" s="26">
        <v>0</v>
      </c>
      <c r="DA262" s="26">
        <v>0</v>
      </c>
      <c r="DB262" s="26">
        <v>0</v>
      </c>
      <c r="DC262" s="26">
        <v>0</v>
      </c>
      <c r="DD262" s="26">
        <v>0</v>
      </c>
      <c r="DE262" s="26">
        <v>0</v>
      </c>
      <c r="DF262" s="26">
        <v>0</v>
      </c>
      <c r="DG262" s="26">
        <v>0</v>
      </c>
      <c r="DH262" s="26">
        <v>0</v>
      </c>
      <c r="DI262" s="26">
        <v>0</v>
      </c>
      <c r="DJ262" s="26">
        <v>0</v>
      </c>
      <c r="DK262" s="26">
        <v>0</v>
      </c>
      <c r="DL262" s="26">
        <v>0</v>
      </c>
      <c r="DM262" s="26">
        <v>0</v>
      </c>
      <c r="DN262" s="26">
        <v>0</v>
      </c>
      <c r="DO262" s="26">
        <v>0</v>
      </c>
      <c r="DP262" s="26">
        <v>0</v>
      </c>
      <c r="DQ262" s="26">
        <v>0</v>
      </c>
      <c r="DR262" s="26">
        <v>0</v>
      </c>
      <c r="DS262" s="26">
        <v>0</v>
      </c>
      <c r="DT262" s="26">
        <v>0</v>
      </c>
      <c r="DU262" s="26">
        <v>0</v>
      </c>
      <c r="DV262" s="26">
        <v>0</v>
      </c>
      <c r="DW262" s="26">
        <v>0</v>
      </c>
      <c r="DX262" s="26">
        <v>26.413508700000001</v>
      </c>
      <c r="DY262" s="26">
        <v>0.65220359100000003</v>
      </c>
      <c r="DZ262" s="26">
        <v>0.27365185600000003</v>
      </c>
      <c r="EA262" s="26">
        <v>8.9073679200000004</v>
      </c>
      <c r="EB262" s="26">
        <v>1.0854857</v>
      </c>
      <c r="EC262" s="26">
        <v>262.63561499999997</v>
      </c>
      <c r="ED262" s="26">
        <v>0</v>
      </c>
      <c r="EE262" s="26">
        <v>42.675733399999999</v>
      </c>
      <c r="EF262" s="26">
        <v>86.481003299999998</v>
      </c>
      <c r="EG262" s="26">
        <v>10.964278</v>
      </c>
      <c r="EH262" s="26">
        <v>1.21825487</v>
      </c>
      <c r="EI262" s="26">
        <v>17.599668000000001</v>
      </c>
      <c r="EJ262" s="26">
        <v>2.2695205899999999</v>
      </c>
      <c r="EK262" s="26">
        <v>1583.81781</v>
      </c>
      <c r="EL262" s="26">
        <v>9.9599224399999997</v>
      </c>
      <c r="EM262" s="26">
        <v>0</v>
      </c>
      <c r="EN262" s="26">
        <v>0</v>
      </c>
      <c r="EO262" s="26">
        <v>0</v>
      </c>
      <c r="EP262" s="26">
        <v>74.921018599999996</v>
      </c>
      <c r="EQ262" s="26">
        <v>2054.9540200000001</v>
      </c>
      <c r="ER262" s="26">
        <v>23.280109899999999</v>
      </c>
      <c r="ES262" s="26">
        <v>29.386853400000007</v>
      </c>
      <c r="ET262" s="26">
        <v>1</v>
      </c>
      <c r="EU262" s="26">
        <v>0</v>
      </c>
      <c r="EV262" s="26">
        <v>0</v>
      </c>
      <c r="EW262" s="26">
        <v>1</v>
      </c>
      <c r="EX262" s="26">
        <v>-28437.0586</v>
      </c>
      <c r="EY262" s="26">
        <v>-1036.7791099999999</v>
      </c>
      <c r="EZ262" s="26">
        <v>-2.13053341</v>
      </c>
      <c r="FA262" s="26">
        <v>-84.511682899999997</v>
      </c>
      <c r="FB262" s="26">
        <v>-3.0811888299999999</v>
      </c>
      <c r="FC262" s="26">
        <v>5.3637359599999997E-2</v>
      </c>
      <c r="FD262" s="26">
        <v>1.4711800500000001</v>
      </c>
      <c r="FE262" s="26">
        <v>27.428271299999999</v>
      </c>
      <c r="FF262" s="26">
        <v>0</v>
      </c>
      <c r="FG262" s="26">
        <v>2.71799361E-2</v>
      </c>
      <c r="FH262" s="26">
        <v>-514087141.125</v>
      </c>
      <c r="FI262" s="26">
        <v>2.343202502078953E-3</v>
      </c>
      <c r="FJ262" s="26">
        <v>2.9210759400352742E-8</v>
      </c>
      <c r="FK262" s="26">
        <v>2.1817124007870326E-12</v>
      </c>
      <c r="FL262" s="26">
        <v>3.5195610559342665E-25</v>
      </c>
      <c r="FM262" s="26">
        <v>7.7260658673640835E-25</v>
      </c>
      <c r="FN262" s="26">
        <v>3.2417059426003144E-25</v>
      </c>
      <c r="FO262" s="26">
        <v>1.6749115328437366E-22</v>
      </c>
      <c r="FP262" s="26">
        <v>3.4708876666559902E-23</v>
      </c>
      <c r="FQ262" s="26">
        <v>3.9895015596937897E-21</v>
      </c>
      <c r="FR262" s="26">
        <v>0</v>
      </c>
      <c r="FS262" s="26">
        <v>8.5014435957893271E-25</v>
      </c>
      <c r="FT262" s="26">
        <v>2.1454589477192272E-26</v>
      </c>
      <c r="FU262" s="26">
        <v>9.0019256553487379E-27</v>
      </c>
      <c r="FV262" s="26">
        <v>6.9998861948879795E-23</v>
      </c>
      <c r="FW262" s="26">
        <v>9.705384022087517E-24</v>
      </c>
      <c r="FX262" s="26">
        <v>8.2433875103915446E-24</v>
      </c>
      <c r="FY262" s="26">
        <v>1.2585442684016876E-17</v>
      </c>
      <c r="FZ262" s="26">
        <v>3.9046658090151043E-16</v>
      </c>
      <c r="GA262" s="26">
        <v>1.7253750915807785E-12</v>
      </c>
      <c r="GB262" s="26">
        <v>1.8559579148476634E-14</v>
      </c>
      <c r="GC262" s="26">
        <v>1.0451501722500903E-16</v>
      </c>
      <c r="GD262" s="26">
        <v>1.4784892423834697E-22</v>
      </c>
      <c r="GE262" s="26">
        <v>2.9298543567721683E-19</v>
      </c>
      <c r="GF262" s="26">
        <v>1.3853580277495311E-19</v>
      </c>
      <c r="GG262" s="26">
        <v>2.4438792417732564E-10</v>
      </c>
      <c r="GH262" s="26">
        <v>2.8795907452589482E-21</v>
      </c>
      <c r="GI262" s="26">
        <v>0</v>
      </c>
      <c r="GJ262" s="26">
        <v>0</v>
      </c>
      <c r="GK262" s="26">
        <v>0</v>
      </c>
      <c r="GL262" s="26">
        <v>0</v>
      </c>
      <c r="GM262" s="26">
        <v>4.4052153407972783E-13</v>
      </c>
      <c r="GN262" s="26">
        <v>0</v>
      </c>
      <c r="GO262" s="26">
        <v>0</v>
      </c>
      <c r="GP262" s="26">
        <v>0</v>
      </c>
      <c r="GQ262" s="26">
        <v>0</v>
      </c>
      <c r="GR262" s="26">
        <v>1.1894622567379202E-22</v>
      </c>
      <c r="GS262" s="26">
        <v>1.1241679728822327E-7</v>
      </c>
      <c r="GT262" s="26">
        <v>4.3921274518036866E-7</v>
      </c>
      <c r="GU262" s="26">
        <v>0</v>
      </c>
      <c r="GV262" s="26">
        <v>4.3040837288771144E-12</v>
      </c>
      <c r="GW262" s="26">
        <v>0</v>
      </c>
      <c r="GX262" s="26">
        <v>7.1545553072364424E-8</v>
      </c>
      <c r="GY262" s="26">
        <v>6.902680388554776E-8</v>
      </c>
      <c r="GZ262" s="26">
        <v>2.3280275575131094E-9</v>
      </c>
      <c r="HA262" s="26">
        <v>1.9301165043298209E-13</v>
      </c>
      <c r="HB262" s="26">
        <v>0</v>
      </c>
      <c r="HC262" s="26">
        <v>0</v>
      </c>
      <c r="HD262" s="26">
        <v>0</v>
      </c>
      <c r="HE262" s="26">
        <v>0</v>
      </c>
      <c r="HF262" s="26">
        <v>0</v>
      </c>
      <c r="HG262" s="26">
        <v>0</v>
      </c>
      <c r="HH262" s="26">
        <v>0</v>
      </c>
      <c r="HI262" s="26">
        <v>0</v>
      </c>
      <c r="HJ262" s="26">
        <v>0</v>
      </c>
      <c r="HK262" s="26">
        <v>0</v>
      </c>
      <c r="HL262" s="26">
        <v>0</v>
      </c>
      <c r="HM262" s="26">
        <v>0</v>
      </c>
      <c r="HN262" s="26">
        <v>0</v>
      </c>
      <c r="HO262" s="26">
        <v>0</v>
      </c>
      <c r="HP262" s="26">
        <v>0</v>
      </c>
      <c r="HQ262" s="26">
        <v>0</v>
      </c>
      <c r="HR262" s="26">
        <v>0</v>
      </c>
      <c r="HS262" s="26">
        <v>0</v>
      </c>
      <c r="HT262" s="26">
        <v>2.4131384443051077E-2</v>
      </c>
    </row>
    <row r="263" spans="2:228" x14ac:dyDescent="0.2">
      <c r="B263" s="27" t="s">
        <v>1423</v>
      </c>
      <c r="C263" s="26">
        <v>21861.0072</v>
      </c>
      <c r="D263" s="26">
        <v>-38.821829299999997</v>
      </c>
      <c r="E263" s="26">
        <v>750.78291100000001</v>
      </c>
      <c r="F263" s="26">
        <v>0.56513829500000001</v>
      </c>
      <c r="G263" s="26">
        <v>9.8317209299999996E-13</v>
      </c>
      <c r="H263" s="26">
        <v>2.1582385499999999E-12</v>
      </c>
      <c r="I263" s="26">
        <v>9.0555463499999994E-13</v>
      </c>
      <c r="J263" s="26">
        <v>3.0265161200000001E-10</v>
      </c>
      <c r="K263" s="26">
        <v>6.2717924299999998E-11</v>
      </c>
      <c r="L263" s="26">
        <v>1.06593838E-8</v>
      </c>
      <c r="M263" s="26">
        <v>0</v>
      </c>
      <c r="N263" s="26">
        <v>2.13735929E-12</v>
      </c>
      <c r="O263" s="26">
        <v>5.3939270000000001E-14</v>
      </c>
      <c r="P263" s="26">
        <v>2.26318615E-14</v>
      </c>
      <c r="Q263" s="26">
        <v>1.11307999E-10</v>
      </c>
      <c r="R263" s="26">
        <v>1.8515809199999999E-11</v>
      </c>
      <c r="S263" s="26">
        <v>2.3027498E-11</v>
      </c>
      <c r="T263" s="26">
        <v>5.4563352399999997E-6</v>
      </c>
      <c r="U263" s="26">
        <v>3.19678121E-4</v>
      </c>
      <c r="V263" s="26">
        <v>0.91085412600000004</v>
      </c>
      <c r="W263" s="26">
        <v>6.4739933800000002E-3</v>
      </c>
      <c r="X263" s="26">
        <v>7.7093178400000002E-5</v>
      </c>
      <c r="Y263" s="26">
        <v>1.9307955299999999E-10</v>
      </c>
      <c r="Z263" s="26">
        <v>2.1548929E-7</v>
      </c>
      <c r="AA263" s="26">
        <v>1.3350376900000001E-7</v>
      </c>
      <c r="AB263" s="26">
        <v>27.157800200000001</v>
      </c>
      <c r="AC263" s="26">
        <v>9.7561763699999999E-10</v>
      </c>
      <c r="AD263" s="26">
        <v>0</v>
      </c>
      <c r="AE263" s="26">
        <v>0</v>
      </c>
      <c r="AF263" s="26">
        <v>0</v>
      </c>
      <c r="AG263" s="26">
        <v>0</v>
      </c>
      <c r="AH263" s="26">
        <v>3.22774015E-3</v>
      </c>
      <c r="AI263" s="26">
        <v>0</v>
      </c>
      <c r="AJ263" s="26">
        <v>0</v>
      </c>
      <c r="AK263" s="26">
        <v>0</v>
      </c>
      <c r="AL263" s="26">
        <v>0</v>
      </c>
      <c r="AM263" s="26">
        <v>2.90392551E-10</v>
      </c>
      <c r="AN263" s="26">
        <v>1143.1691000000001</v>
      </c>
      <c r="AO263" s="26">
        <v>5.4242980200000002</v>
      </c>
      <c r="AP263" s="26">
        <v>0</v>
      </c>
      <c r="AQ263" s="26">
        <v>1.3674957499999999E-2</v>
      </c>
      <c r="AR263" s="26">
        <v>0</v>
      </c>
      <c r="AS263" s="26">
        <v>14269.2286</v>
      </c>
      <c r="AT263" s="26">
        <v>5378.3972999999996</v>
      </c>
      <c r="AU263" s="26">
        <v>285.346923</v>
      </c>
      <c r="AV263" s="26">
        <v>4.5108502299999996E-4</v>
      </c>
      <c r="AW263" s="26">
        <v>0</v>
      </c>
      <c r="AX263" s="26">
        <v>0</v>
      </c>
      <c r="AY263" s="26">
        <v>0</v>
      </c>
      <c r="AZ263" s="26">
        <v>0</v>
      </c>
      <c r="BA263" s="26">
        <v>0</v>
      </c>
      <c r="BB263" s="26">
        <v>0</v>
      </c>
      <c r="BC263" s="26">
        <v>0</v>
      </c>
      <c r="BD263" s="26">
        <v>0</v>
      </c>
      <c r="BE263" s="26">
        <v>0</v>
      </c>
      <c r="BF263" s="26">
        <v>0</v>
      </c>
      <c r="BG263" s="26">
        <v>0</v>
      </c>
      <c r="BH263" s="26">
        <v>0</v>
      </c>
      <c r="BI263" s="26">
        <v>0</v>
      </c>
      <c r="BJ263" s="26">
        <v>0</v>
      </c>
      <c r="BK263" s="26">
        <v>0</v>
      </c>
      <c r="BL263" s="26">
        <v>0</v>
      </c>
      <c r="BM263" s="26">
        <v>0</v>
      </c>
      <c r="BN263" s="26">
        <v>0</v>
      </c>
      <c r="BO263" s="26">
        <v>747.065337</v>
      </c>
      <c r="BP263" s="26">
        <v>21861.0072</v>
      </c>
      <c r="BQ263" s="26">
        <v>307708.815</v>
      </c>
      <c r="BR263" s="26">
        <v>38.274052900000015</v>
      </c>
      <c r="BS263" s="26">
        <v>1.03402298</v>
      </c>
      <c r="BT263" s="26">
        <v>1</v>
      </c>
      <c r="BU263" s="26">
        <v>0</v>
      </c>
      <c r="BV263" s="26">
        <v>0</v>
      </c>
      <c r="BW263" s="26">
        <v>-51965.774700000002</v>
      </c>
      <c r="BX263" s="26">
        <v>-1775.8481400000001</v>
      </c>
      <c r="BY263" s="26">
        <v>-38.821829299999997</v>
      </c>
      <c r="BZ263" s="26">
        <v>-6.3846825599999999</v>
      </c>
      <c r="CA263" s="26">
        <v>-0.21818642599999999</v>
      </c>
      <c r="CB263" s="26">
        <v>4.04638678E-5</v>
      </c>
      <c r="CC263" s="26">
        <v>1.1840743499999999E-3</v>
      </c>
      <c r="CD263" s="26">
        <v>29.2625104</v>
      </c>
      <c r="CE263" s="26">
        <v>0</v>
      </c>
      <c r="CF263" s="26">
        <v>0</v>
      </c>
      <c r="CG263" s="26">
        <v>0</v>
      </c>
      <c r="CH263" s="26">
        <v>0</v>
      </c>
      <c r="CI263" s="26">
        <v>0</v>
      </c>
      <c r="CJ263" s="26">
        <v>0</v>
      </c>
      <c r="CK263" s="26">
        <v>0</v>
      </c>
      <c r="CL263" s="26">
        <v>0</v>
      </c>
      <c r="CM263" s="26">
        <v>0</v>
      </c>
      <c r="CN263" s="26">
        <v>0</v>
      </c>
      <c r="CO263" s="26">
        <v>0</v>
      </c>
      <c r="CP263" s="26">
        <v>0</v>
      </c>
      <c r="CQ263" s="26">
        <v>0</v>
      </c>
      <c r="CR263" s="26">
        <v>0</v>
      </c>
      <c r="CS263" s="26">
        <v>0</v>
      </c>
      <c r="CT263" s="26">
        <v>0</v>
      </c>
      <c r="CU263" s="26">
        <v>0</v>
      </c>
      <c r="CV263" s="26">
        <v>0</v>
      </c>
      <c r="CW263" s="26">
        <v>0</v>
      </c>
      <c r="CX263" s="26">
        <v>0</v>
      </c>
      <c r="CY263" s="26">
        <v>0</v>
      </c>
      <c r="CZ263" s="26">
        <v>0</v>
      </c>
      <c r="DA263" s="26">
        <v>0</v>
      </c>
      <c r="DB263" s="26">
        <v>0</v>
      </c>
      <c r="DC263" s="26">
        <v>0</v>
      </c>
      <c r="DD263" s="26">
        <v>0</v>
      </c>
      <c r="DE263" s="26">
        <v>0</v>
      </c>
      <c r="DF263" s="26">
        <v>0</v>
      </c>
      <c r="DG263" s="26">
        <v>0</v>
      </c>
      <c r="DH263" s="26">
        <v>0</v>
      </c>
      <c r="DI263" s="26">
        <v>0</v>
      </c>
      <c r="DJ263" s="26">
        <v>0</v>
      </c>
      <c r="DK263" s="26">
        <v>0</v>
      </c>
      <c r="DL263" s="26">
        <v>0</v>
      </c>
      <c r="DM263" s="26">
        <v>0</v>
      </c>
      <c r="DN263" s="26">
        <v>0</v>
      </c>
      <c r="DO263" s="26">
        <v>0</v>
      </c>
      <c r="DP263" s="26">
        <v>0</v>
      </c>
      <c r="DQ263" s="26">
        <v>0</v>
      </c>
      <c r="DR263" s="26">
        <v>0</v>
      </c>
      <c r="DS263" s="26">
        <v>0</v>
      </c>
      <c r="DT263" s="26">
        <v>0</v>
      </c>
      <c r="DU263" s="26">
        <v>0</v>
      </c>
      <c r="DV263" s="26">
        <v>0</v>
      </c>
      <c r="DW263" s="26">
        <v>0</v>
      </c>
      <c r="DX263" s="26">
        <v>0</v>
      </c>
      <c r="DY263" s="26">
        <v>0</v>
      </c>
      <c r="DZ263" s="26">
        <v>0</v>
      </c>
      <c r="EA263" s="26">
        <v>0</v>
      </c>
      <c r="EB263" s="26">
        <v>0</v>
      </c>
      <c r="EC263" s="26">
        <v>0</v>
      </c>
      <c r="ED263" s="26">
        <v>0</v>
      </c>
      <c r="EE263" s="26">
        <v>0</v>
      </c>
      <c r="EF263" s="26">
        <v>0</v>
      </c>
      <c r="EG263" s="26">
        <v>0</v>
      </c>
      <c r="EH263" s="26">
        <v>0</v>
      </c>
      <c r="EI263" s="26">
        <v>0</v>
      </c>
      <c r="EJ263" s="26">
        <v>0</v>
      </c>
      <c r="EK263" s="26">
        <v>0</v>
      </c>
      <c r="EL263" s="26">
        <v>0</v>
      </c>
      <c r="EM263" s="26">
        <v>0</v>
      </c>
      <c r="EN263" s="26">
        <v>0</v>
      </c>
      <c r="EO263" s="26">
        <v>0</v>
      </c>
      <c r="EP263" s="26">
        <v>0</v>
      </c>
      <c r="EQ263" s="26">
        <v>0</v>
      </c>
      <c r="ER263" s="26">
        <v>0</v>
      </c>
      <c r="ES263" s="26">
        <v>0</v>
      </c>
      <c r="ET263" s="26">
        <v>1.03402298</v>
      </c>
      <c r="EU263" s="26">
        <v>0</v>
      </c>
      <c r="EV263" s="26">
        <v>0</v>
      </c>
      <c r="EW263" s="26">
        <v>0</v>
      </c>
      <c r="EX263" s="26">
        <v>0</v>
      </c>
      <c r="EY263" s="26">
        <v>0</v>
      </c>
      <c r="EZ263" s="26">
        <v>0</v>
      </c>
      <c r="FA263" s="26">
        <v>0</v>
      </c>
      <c r="FB263" s="26">
        <v>0</v>
      </c>
      <c r="FC263" s="26">
        <v>0</v>
      </c>
      <c r="FD263" s="26">
        <v>0</v>
      </c>
      <c r="FE263" s="26">
        <v>0</v>
      </c>
      <c r="FF263" s="26">
        <v>0</v>
      </c>
      <c r="FG263" s="26">
        <v>1.00611936</v>
      </c>
      <c r="FH263" s="26">
        <v>-45249467.508100003</v>
      </c>
      <c r="FI263" s="26">
        <v>0.18320957591012108</v>
      </c>
      <c r="FJ263" s="26">
        <v>1.1576329092610632E-2</v>
      </c>
      <c r="FK263" s="26">
        <v>3.4075565828160083E-6</v>
      </c>
      <c r="FL263" s="26">
        <v>1.5159129565717481E-18</v>
      </c>
      <c r="FM263" s="26">
        <v>3.3276999988438223E-18</v>
      </c>
      <c r="FN263" s="26">
        <v>1.39623776394768E-18</v>
      </c>
      <c r="FO263" s="26">
        <v>5.5997541559091442E-16</v>
      </c>
      <c r="FP263" s="26">
        <v>1.1604265176167456E-16</v>
      </c>
      <c r="FQ263" s="26">
        <v>8.6501293192010355E-15</v>
      </c>
      <c r="FR263" s="26">
        <v>0</v>
      </c>
      <c r="FS263" s="26">
        <v>3.6616635570710863E-18</v>
      </c>
      <c r="FT263" s="26">
        <v>9.2407233794813429E-20</v>
      </c>
      <c r="FU263" s="26">
        <v>3.8772265865733688E-20</v>
      </c>
      <c r="FV263" s="26">
        <v>2.3402813215000285E-16</v>
      </c>
      <c r="FW263" s="26">
        <v>3.8929998644773325E-17</v>
      </c>
      <c r="FX263" s="26">
        <v>3.5505160284041287E-17</v>
      </c>
      <c r="FY263" s="26">
        <v>9.9615608019147097E-12</v>
      </c>
      <c r="FZ263" s="26">
        <v>7.0414303896647764E-10</v>
      </c>
      <c r="GA263" s="26">
        <v>2.6332264377324782E-6</v>
      </c>
      <c r="GB263" s="26">
        <v>2.9945959128456562E-8</v>
      </c>
      <c r="GC263" s="26">
        <v>2.3773365579075816E-10</v>
      </c>
      <c r="GD263" s="26">
        <v>3.525085000422902E-16</v>
      </c>
      <c r="GE263" s="26">
        <v>6.4996273853303535E-13</v>
      </c>
      <c r="GF263" s="26">
        <v>3.1403691362340642E-13</v>
      </c>
      <c r="GG263" s="26">
        <v>4.4295862576589122E-4</v>
      </c>
      <c r="GH263" s="26">
        <v>2.7631151943271441E-15</v>
      </c>
      <c r="GI263" s="26">
        <v>0</v>
      </c>
      <c r="GJ263" s="26">
        <v>0</v>
      </c>
      <c r="GK263" s="26">
        <v>0</v>
      </c>
      <c r="GL263" s="26">
        <v>0</v>
      </c>
      <c r="GM263" s="26">
        <v>1.0548827001057283E-8</v>
      </c>
      <c r="GN263" s="26">
        <v>0</v>
      </c>
      <c r="GO263" s="26">
        <v>0</v>
      </c>
      <c r="GP263" s="26">
        <v>0</v>
      </c>
      <c r="GQ263" s="26">
        <v>0</v>
      </c>
      <c r="GR263" s="26">
        <v>2.85572002284576E-16</v>
      </c>
      <c r="GS263" s="26">
        <v>9.9237151071675002E-3</v>
      </c>
      <c r="GT263" s="26">
        <v>5.3786586263626028E-5</v>
      </c>
      <c r="GU263" s="26">
        <v>0</v>
      </c>
      <c r="GV263" s="26">
        <v>8.2568302049435303E-8</v>
      </c>
      <c r="GW263" s="26">
        <v>0</v>
      </c>
      <c r="GX263" s="26">
        <v>9.006345516495208E-2</v>
      </c>
      <c r="GY263" s="26">
        <v>9.3126074356119706E-2</v>
      </c>
      <c r="GZ263" s="26">
        <v>2.3256649824942087E-3</v>
      </c>
      <c r="HA263" s="26">
        <v>1.9558540156468319E-9</v>
      </c>
      <c r="HB263" s="26">
        <v>0</v>
      </c>
      <c r="HC263" s="26">
        <v>0</v>
      </c>
      <c r="HD263" s="26">
        <v>0</v>
      </c>
      <c r="HE263" s="26">
        <v>0</v>
      </c>
      <c r="HF263" s="26">
        <v>0</v>
      </c>
      <c r="HG263" s="26">
        <v>0</v>
      </c>
      <c r="HH263" s="26">
        <v>0</v>
      </c>
      <c r="HI263" s="26">
        <v>0</v>
      </c>
      <c r="HJ263" s="26">
        <v>0</v>
      </c>
      <c r="HK263" s="26">
        <v>0</v>
      </c>
      <c r="HL263" s="26">
        <v>0</v>
      </c>
      <c r="HM263" s="26">
        <v>0</v>
      </c>
      <c r="HN263" s="26">
        <v>0</v>
      </c>
      <c r="HO263" s="26">
        <v>0</v>
      </c>
      <c r="HP263" s="26">
        <v>0</v>
      </c>
      <c r="HQ263" s="26">
        <v>0</v>
      </c>
      <c r="HR263" s="26">
        <v>0</v>
      </c>
      <c r="HS263" s="26">
        <v>0</v>
      </c>
      <c r="HT263" s="26">
        <v>0</v>
      </c>
    </row>
    <row r="264" spans="2:228" x14ac:dyDescent="0.2">
      <c r="B264" s="27" t="s">
        <v>2900</v>
      </c>
      <c r="C264" s="26">
        <v>109347.728</v>
      </c>
      <c r="D264" s="26">
        <v>-410.22246000000001</v>
      </c>
      <c r="E264" s="26">
        <v>107867.02099999999</v>
      </c>
      <c r="F264" s="26">
        <v>1.11138029</v>
      </c>
      <c r="G264" s="26">
        <v>3.0381882199999999</v>
      </c>
      <c r="H264" s="26">
        <v>6.6693664100000003</v>
      </c>
      <c r="I264" s="26">
        <v>2.7983355599999999</v>
      </c>
      <c r="J264" s="26">
        <v>6.18970763</v>
      </c>
      <c r="K264" s="26">
        <v>1.28268147</v>
      </c>
      <c r="L264" s="26">
        <v>1.9298139299999999</v>
      </c>
      <c r="M264" s="26">
        <v>0</v>
      </c>
      <c r="N264" s="26">
        <v>6.6048455400000003</v>
      </c>
      <c r="O264" s="26">
        <v>0.166682574</v>
      </c>
      <c r="P264" s="26">
        <v>6.9936744199999998E-2</v>
      </c>
      <c r="Q264" s="26">
        <v>2.2764259</v>
      </c>
      <c r="R264" s="26">
        <v>0.31562781099999998</v>
      </c>
      <c r="S264" s="26">
        <v>71.159335999999996</v>
      </c>
      <c r="T264" s="26">
        <v>15.818027800000001</v>
      </c>
      <c r="U264" s="26">
        <v>2.15561179</v>
      </c>
      <c r="V264" s="26">
        <v>2.8785233899999998</v>
      </c>
      <c r="W264" s="26">
        <v>0.35272658400000001</v>
      </c>
      <c r="X264" s="26">
        <v>9.8742186099999998</v>
      </c>
      <c r="Y264" s="26">
        <v>4.4004052400000004</v>
      </c>
      <c r="Z264" s="26">
        <v>1.0163370599999999</v>
      </c>
      <c r="AA264" s="26">
        <v>2.6679137700000002</v>
      </c>
      <c r="AB264" s="26">
        <v>45.558853200000001</v>
      </c>
      <c r="AC264" s="26">
        <v>1.8042386800000001E-2</v>
      </c>
      <c r="AD264" s="26">
        <v>0</v>
      </c>
      <c r="AE264" s="26">
        <v>89.824349100000006</v>
      </c>
      <c r="AF264" s="26">
        <v>32.875812600000003</v>
      </c>
      <c r="AG264" s="26">
        <v>0</v>
      </c>
      <c r="AH264" s="26">
        <v>1019.60171</v>
      </c>
      <c r="AI264" s="26">
        <v>0</v>
      </c>
      <c r="AJ264" s="26">
        <v>0</v>
      </c>
      <c r="AK264" s="26">
        <v>0</v>
      </c>
      <c r="AL264" s="26">
        <v>0</v>
      </c>
      <c r="AM264" s="26">
        <v>0.16134324</v>
      </c>
      <c r="AN264" s="26">
        <v>0.65265621799999995</v>
      </c>
      <c r="AO264" s="26">
        <v>1.17696383</v>
      </c>
      <c r="AP264" s="26">
        <v>0</v>
      </c>
      <c r="AQ264" s="26">
        <v>1.1274941599999999</v>
      </c>
      <c r="AR264" s="26">
        <v>0</v>
      </c>
      <c r="AS264" s="26">
        <v>14.223381099999999</v>
      </c>
      <c r="AT264" s="26">
        <v>0.21863121399999999</v>
      </c>
      <c r="AU264" s="26">
        <v>29.7207182</v>
      </c>
      <c r="AV264" s="26">
        <v>2.2414950400000001E-2</v>
      </c>
      <c r="AW264" s="26">
        <v>0</v>
      </c>
      <c r="AX264" s="26">
        <v>0</v>
      </c>
      <c r="AY264" s="26">
        <v>0</v>
      </c>
      <c r="AZ264" s="26">
        <v>0</v>
      </c>
      <c r="BA264" s="26">
        <v>0</v>
      </c>
      <c r="BB264" s="26">
        <v>0</v>
      </c>
      <c r="BC264" s="26">
        <v>0</v>
      </c>
      <c r="BD264" s="26">
        <v>0</v>
      </c>
      <c r="BE264" s="26">
        <v>0</v>
      </c>
      <c r="BF264" s="26">
        <v>0</v>
      </c>
      <c r="BG264" s="26">
        <v>0</v>
      </c>
      <c r="BH264" s="26">
        <v>0</v>
      </c>
      <c r="BI264" s="26">
        <v>0</v>
      </c>
      <c r="BJ264" s="26">
        <v>0</v>
      </c>
      <c r="BK264" s="26">
        <v>0</v>
      </c>
      <c r="BL264" s="26">
        <v>0</v>
      </c>
      <c r="BM264" s="26">
        <v>0</v>
      </c>
      <c r="BN264" s="26">
        <v>0</v>
      </c>
      <c r="BO264" s="26">
        <v>6005.8466699999999</v>
      </c>
      <c r="BP264" s="26">
        <v>109244.98</v>
      </c>
      <c r="BQ264" s="26">
        <v>1856.2924499999999</v>
      </c>
      <c r="BR264" s="26">
        <v>29.423973799999999</v>
      </c>
      <c r="BS264" s="26">
        <v>1</v>
      </c>
      <c r="BT264" s="26">
        <v>4.1428491200000001E-7</v>
      </c>
      <c r="BU264" s="26">
        <v>0.99999958600000005</v>
      </c>
      <c r="BV264" s="26">
        <v>0</v>
      </c>
      <c r="BW264" s="26">
        <v>-68286.114199999996</v>
      </c>
      <c r="BX264" s="26">
        <v>-3754.0940700000001</v>
      </c>
      <c r="BY264" s="26">
        <v>-410.11593399999998</v>
      </c>
      <c r="BZ264" s="26">
        <v>-38.747470900000003</v>
      </c>
      <c r="CA264" s="26">
        <v>-2.1301790600000001</v>
      </c>
      <c r="CB264" s="26">
        <v>5.3923315499999999E-2</v>
      </c>
      <c r="CC264" s="26">
        <v>0.980852799</v>
      </c>
      <c r="CD264" s="26">
        <v>18.189771700000001</v>
      </c>
      <c r="CE264" s="26">
        <v>0</v>
      </c>
      <c r="CF264" s="26">
        <v>0</v>
      </c>
      <c r="CG264" s="26">
        <v>0</v>
      </c>
      <c r="CH264" s="26">
        <v>0</v>
      </c>
      <c r="CI264" s="26">
        <v>0</v>
      </c>
      <c r="CJ264" s="26">
        <v>0</v>
      </c>
      <c r="CK264" s="26">
        <v>0</v>
      </c>
      <c r="CL264" s="26">
        <v>0</v>
      </c>
      <c r="CM264" s="26">
        <v>0</v>
      </c>
      <c r="CN264" s="26">
        <v>0</v>
      </c>
      <c r="CO264" s="26">
        <v>0</v>
      </c>
      <c r="CP264" s="26">
        <v>0</v>
      </c>
      <c r="CQ264" s="26">
        <v>0</v>
      </c>
      <c r="CR264" s="26">
        <v>0</v>
      </c>
      <c r="CS264" s="26">
        <v>0</v>
      </c>
      <c r="CT264" s="26">
        <v>0</v>
      </c>
      <c r="CU264" s="26">
        <v>0</v>
      </c>
      <c r="CV264" s="26">
        <v>0</v>
      </c>
      <c r="CW264" s="26">
        <v>0</v>
      </c>
      <c r="CX264" s="26">
        <v>0</v>
      </c>
      <c r="CY264" s="26">
        <v>0</v>
      </c>
      <c r="CZ264" s="26">
        <v>0</v>
      </c>
      <c r="DA264" s="26">
        <v>0</v>
      </c>
      <c r="DB264" s="26">
        <v>0</v>
      </c>
      <c r="DC264" s="26">
        <v>0</v>
      </c>
      <c r="DD264" s="26">
        <v>0</v>
      </c>
      <c r="DE264" s="26">
        <v>0</v>
      </c>
      <c r="DF264" s="26">
        <v>0</v>
      </c>
      <c r="DG264" s="26">
        <v>0</v>
      </c>
      <c r="DH264" s="26">
        <v>0</v>
      </c>
      <c r="DI264" s="26">
        <v>0</v>
      </c>
      <c r="DJ264" s="26">
        <v>0</v>
      </c>
      <c r="DK264" s="26">
        <v>0</v>
      </c>
      <c r="DL264" s="26">
        <v>0</v>
      </c>
      <c r="DM264" s="26">
        <v>0</v>
      </c>
      <c r="DN264" s="26">
        <v>0</v>
      </c>
      <c r="DO264" s="26">
        <v>0</v>
      </c>
      <c r="DP264" s="26">
        <v>0</v>
      </c>
      <c r="DQ264" s="26">
        <v>0</v>
      </c>
      <c r="DR264" s="26">
        <v>0</v>
      </c>
      <c r="DS264" s="26">
        <v>0</v>
      </c>
      <c r="DT264" s="26">
        <v>0</v>
      </c>
      <c r="DU264" s="26">
        <v>0</v>
      </c>
      <c r="DV264" s="26">
        <v>0</v>
      </c>
      <c r="DW264" s="26">
        <v>0</v>
      </c>
      <c r="DX264" s="26">
        <v>1.3206754300000001</v>
      </c>
      <c r="DY264" s="26">
        <v>3.2610179500000003E-2</v>
      </c>
      <c r="DZ264" s="26">
        <v>1.3682592800000001E-2</v>
      </c>
      <c r="EA264" s="26">
        <v>0.445368396</v>
      </c>
      <c r="EB264" s="26">
        <v>5.4274284800000003E-2</v>
      </c>
      <c r="EC264" s="26">
        <v>13.1317807</v>
      </c>
      <c r="ED264" s="26">
        <v>0</v>
      </c>
      <c r="EE264" s="26">
        <v>2.1337866700000001</v>
      </c>
      <c r="EF264" s="26">
        <v>4.3240501699999996</v>
      </c>
      <c r="EG264" s="26">
        <v>0.54821389899999995</v>
      </c>
      <c r="EH264" s="26">
        <v>6.0912743300000002E-2</v>
      </c>
      <c r="EI264" s="26">
        <v>0.879983399</v>
      </c>
      <c r="EJ264" s="26">
        <v>0.11347602900000001</v>
      </c>
      <c r="EK264" s="26">
        <v>79.190890400000001</v>
      </c>
      <c r="EL264" s="26">
        <v>0.49799612199999993</v>
      </c>
      <c r="EM264" s="26">
        <v>0</v>
      </c>
      <c r="EN264" s="26">
        <v>0</v>
      </c>
      <c r="EO264" s="26">
        <v>0</v>
      </c>
      <c r="EP264" s="26">
        <v>3.74605093</v>
      </c>
      <c r="EQ264" s="26">
        <v>102.74770100000001</v>
      </c>
      <c r="ER264" s="26">
        <v>1.1640055</v>
      </c>
      <c r="ES264" s="26">
        <v>29.423973799999999</v>
      </c>
      <c r="ET264" s="26">
        <v>1</v>
      </c>
      <c r="EU264" s="26">
        <v>0</v>
      </c>
      <c r="EV264" s="26">
        <v>0</v>
      </c>
      <c r="EW264" s="26">
        <v>1</v>
      </c>
      <c r="EX264" s="26">
        <v>-28436.703799999999</v>
      </c>
      <c r="EY264" s="26">
        <v>-1036.7661700000001</v>
      </c>
      <c r="EZ264" s="26">
        <v>-0.106525342</v>
      </c>
      <c r="FA264" s="26">
        <v>-84.510510400000001</v>
      </c>
      <c r="FB264" s="26">
        <v>-3.0811460799999999</v>
      </c>
      <c r="FC264" s="26">
        <v>5.3637359599999997E-2</v>
      </c>
      <c r="FD264" s="26">
        <v>1.4711800500000001</v>
      </c>
      <c r="FE264" s="26">
        <v>27.428271299999999</v>
      </c>
      <c r="FF264" s="26">
        <v>0</v>
      </c>
      <c r="FG264" s="26">
        <v>4.0828435900000003E-3</v>
      </c>
      <c r="FH264" s="26">
        <v>-477603876.48199999</v>
      </c>
      <c r="FI264" s="26">
        <v>2.1869027536063333E-3</v>
      </c>
      <c r="FJ264" s="26">
        <v>2.7945282445784484E-8</v>
      </c>
      <c r="FK264" s="26">
        <v>2.0865500305812891E-12</v>
      </c>
      <c r="FL264" s="26">
        <v>3.385199138192704E-25</v>
      </c>
      <c r="FM264" s="26">
        <v>7.431117392782273E-25</v>
      </c>
      <c r="FN264" s="26">
        <v>3.1179513582769442E-25</v>
      </c>
      <c r="FO264" s="26">
        <v>1.6095925323211846E-22</v>
      </c>
      <c r="FP264" s="26">
        <v>3.3355283322397825E-23</v>
      </c>
      <c r="FQ264" s="26">
        <v>3.8238243361461504E-21</v>
      </c>
      <c r="FR264" s="26">
        <v>0</v>
      </c>
      <c r="FS264" s="26">
        <v>8.1768944820818233E-25</v>
      </c>
      <c r="FT264" s="26">
        <v>2.0635544109528798E-26</v>
      </c>
      <c r="FU264" s="26">
        <v>8.658270263710606E-27</v>
      </c>
      <c r="FV264" s="26">
        <v>6.7269012760374326E-23</v>
      </c>
      <c r="FW264" s="26">
        <v>9.3268887968373326E-24</v>
      </c>
      <c r="FX264" s="26">
        <v>7.9286898689850741E-24</v>
      </c>
      <c r="FY264" s="26">
        <v>1.2061957652051216E-17</v>
      </c>
      <c r="FZ264" s="26">
        <v>3.7384061687961386E-16</v>
      </c>
      <c r="GA264" s="26">
        <v>1.6500681687561009E-12</v>
      </c>
      <c r="GB264" s="26">
        <v>1.7753628058695691E-14</v>
      </c>
      <c r="GC264" s="26">
        <v>1.0020951246834276E-16</v>
      </c>
      <c r="GD264" s="26">
        <v>1.4177545252309253E-22</v>
      </c>
      <c r="GE264" s="26">
        <v>2.8086316058023865E-19</v>
      </c>
      <c r="GF264" s="26">
        <v>1.3282160522923949E-19</v>
      </c>
      <c r="GG264" s="26">
        <v>2.3397133603843734E-10</v>
      </c>
      <c r="GH264" s="26">
        <v>2.7606462554185032E-21</v>
      </c>
      <c r="GI264" s="26">
        <v>0</v>
      </c>
      <c r="GJ264" s="26">
        <v>0</v>
      </c>
      <c r="GK264" s="26">
        <v>0</v>
      </c>
      <c r="GL264" s="26">
        <v>0</v>
      </c>
      <c r="GM264" s="26">
        <v>4.213144172594042E-13</v>
      </c>
      <c r="GN264" s="26">
        <v>0</v>
      </c>
      <c r="GO264" s="26">
        <v>0</v>
      </c>
      <c r="GP264" s="26">
        <v>0</v>
      </c>
      <c r="GQ264" s="26">
        <v>0</v>
      </c>
      <c r="GR264" s="26">
        <v>1.1417501980228905E-22</v>
      </c>
      <c r="GS264" s="26">
        <v>1.0732742113639716E-7</v>
      </c>
      <c r="GT264" s="26">
        <v>4.1913888113088882E-7</v>
      </c>
      <c r="GU264" s="26">
        <v>0</v>
      </c>
      <c r="GV264" s="26">
        <v>4.11558850514693E-12</v>
      </c>
      <c r="GW264" s="26">
        <v>0</v>
      </c>
      <c r="GX264" s="26">
        <v>6.8361358880224199E-8</v>
      </c>
      <c r="GY264" s="26">
        <v>6.5907926360596742E-8</v>
      </c>
      <c r="GZ264" s="26">
        <v>2.2243696344616237E-9</v>
      </c>
      <c r="HA264" s="26">
        <v>1.844796545313928E-13</v>
      </c>
      <c r="HB264" s="26">
        <v>0</v>
      </c>
      <c r="HC264" s="26">
        <v>0</v>
      </c>
      <c r="HD264" s="26">
        <v>0</v>
      </c>
      <c r="HE264" s="26">
        <v>0</v>
      </c>
      <c r="HF264" s="26">
        <v>0</v>
      </c>
      <c r="HG264" s="26">
        <v>0</v>
      </c>
      <c r="HH264" s="26">
        <v>0</v>
      </c>
      <c r="HI264" s="26">
        <v>0</v>
      </c>
      <c r="HJ264" s="26">
        <v>0</v>
      </c>
      <c r="HK264" s="26">
        <v>0</v>
      </c>
      <c r="HL264" s="26">
        <v>0</v>
      </c>
      <c r="HM264" s="26">
        <v>0</v>
      </c>
      <c r="HN264" s="26">
        <v>0</v>
      </c>
      <c r="HO264" s="26">
        <v>0</v>
      </c>
      <c r="HP264" s="26">
        <v>0</v>
      </c>
      <c r="HQ264" s="26">
        <v>0</v>
      </c>
      <c r="HR264" s="26">
        <v>0</v>
      </c>
      <c r="HS264" s="26">
        <v>0</v>
      </c>
      <c r="HT264" s="26">
        <v>1.2065692207636649E-3</v>
      </c>
    </row>
    <row r="265" spans="2:228" x14ac:dyDescent="0.2">
      <c r="B265" s="27" t="s">
        <v>2901</v>
      </c>
      <c r="C265" s="26">
        <v>470427.01800000004</v>
      </c>
      <c r="D265" s="26">
        <v>-1764.2092</v>
      </c>
      <c r="E265" s="26">
        <v>464301.96400000004</v>
      </c>
      <c r="F265" s="26">
        <v>16.475049299999998</v>
      </c>
      <c r="G265" s="26">
        <v>45.011515000000003</v>
      </c>
      <c r="H265" s="26">
        <v>98.808324099999993</v>
      </c>
      <c r="I265" s="26">
        <v>41.458038100000003</v>
      </c>
      <c r="J265" s="26">
        <v>91.702059700000007</v>
      </c>
      <c r="K265" s="26">
        <v>19.0032453</v>
      </c>
      <c r="L265" s="26">
        <v>28.590673899999999</v>
      </c>
      <c r="M265" s="26">
        <v>0</v>
      </c>
      <c r="N265" s="26">
        <v>97.852431300000006</v>
      </c>
      <c r="O265" s="26">
        <v>2.4694438299999999</v>
      </c>
      <c r="P265" s="26">
        <v>1.0361302800000001</v>
      </c>
      <c r="Q265" s="26">
        <v>33.725816500000001</v>
      </c>
      <c r="R265" s="26">
        <v>4.1481700400000001</v>
      </c>
      <c r="S265" s="26">
        <v>1054.2432799999999</v>
      </c>
      <c r="T265" s="26">
        <v>68.690566399999994</v>
      </c>
      <c r="U265" s="26">
        <v>31.9359298</v>
      </c>
      <c r="V265" s="26">
        <v>42.662337700000002</v>
      </c>
      <c r="W265" s="26">
        <v>5.2258400900000002</v>
      </c>
      <c r="X265" s="26">
        <v>146.289008</v>
      </c>
      <c r="Y265" s="26">
        <v>65.1930993</v>
      </c>
      <c r="Z265" s="26">
        <v>15.057286599999999</v>
      </c>
      <c r="AA265" s="26">
        <v>39.525806899999999</v>
      </c>
      <c r="AB265" s="26">
        <v>678.95059000000003</v>
      </c>
      <c r="AC265" s="26">
        <v>7.8349946300000001E-2</v>
      </c>
      <c r="AD265" s="26">
        <v>0</v>
      </c>
      <c r="AE265" s="26">
        <v>1305.3284000000001</v>
      </c>
      <c r="AF265" s="26">
        <v>142.76481999999999</v>
      </c>
      <c r="AG265" s="26">
        <v>0</v>
      </c>
      <c r="AH265" s="26">
        <v>1019.60171</v>
      </c>
      <c r="AI265" s="26">
        <v>0</v>
      </c>
      <c r="AJ265" s="26">
        <v>0</v>
      </c>
      <c r="AK265" s="26">
        <v>0</v>
      </c>
      <c r="AL265" s="26">
        <v>0</v>
      </c>
      <c r="AM265" s="26">
        <v>1.2369697200000001</v>
      </c>
      <c r="AN265" s="26">
        <v>1.25883626</v>
      </c>
      <c r="AO265" s="26">
        <v>1.1770187700000001</v>
      </c>
      <c r="AP265" s="26">
        <v>0</v>
      </c>
      <c r="AQ265" s="26">
        <v>1.1274941599999999</v>
      </c>
      <c r="AR265" s="26">
        <v>0</v>
      </c>
      <c r="AS265" s="26">
        <v>194.930655</v>
      </c>
      <c r="AT265" s="26">
        <v>3.2984696699999998</v>
      </c>
      <c r="AU265" s="26">
        <v>329.79082699999998</v>
      </c>
      <c r="AV265" s="26">
        <v>2.2414950400000001E-2</v>
      </c>
      <c r="AW265" s="26">
        <v>0</v>
      </c>
      <c r="AX265" s="26">
        <v>0</v>
      </c>
      <c r="AY265" s="26">
        <v>0</v>
      </c>
      <c r="AZ265" s="26">
        <v>0</v>
      </c>
      <c r="BA265" s="26">
        <v>0</v>
      </c>
      <c r="BB265" s="26">
        <v>0</v>
      </c>
      <c r="BC265" s="26">
        <v>0</v>
      </c>
      <c r="BD265" s="26">
        <v>0</v>
      </c>
      <c r="BE265" s="26">
        <v>0</v>
      </c>
      <c r="BF265" s="26">
        <v>0</v>
      </c>
      <c r="BG265" s="26">
        <v>0</v>
      </c>
      <c r="BH265" s="26">
        <v>0</v>
      </c>
      <c r="BI265" s="26">
        <v>0</v>
      </c>
      <c r="BJ265" s="26">
        <v>0</v>
      </c>
      <c r="BK265" s="26">
        <v>0</v>
      </c>
      <c r="BL265" s="26">
        <v>0</v>
      </c>
      <c r="BM265" s="26">
        <v>0</v>
      </c>
      <c r="BN265" s="26">
        <v>0</v>
      </c>
      <c r="BO265" s="26">
        <v>25869.732899999999</v>
      </c>
      <c r="BP265" s="26">
        <v>469930.63499999995</v>
      </c>
      <c r="BQ265" s="26">
        <v>7966.4606199999998</v>
      </c>
      <c r="BR265" s="26">
        <v>33.68682849999999</v>
      </c>
      <c r="BS265" s="26">
        <v>1</v>
      </c>
      <c r="BT265" s="26">
        <v>8.3720984300000006E-8</v>
      </c>
      <c r="BU265" s="26">
        <v>0.99999991600000004</v>
      </c>
      <c r="BV265" s="26">
        <v>0</v>
      </c>
      <c r="BW265" s="26">
        <v>-68175.888099999996</v>
      </c>
      <c r="BX265" s="26">
        <v>-3753.0900999999999</v>
      </c>
      <c r="BY265" s="26">
        <v>-1763.6920299999999</v>
      </c>
      <c r="BZ265" s="26">
        <v>-38.553188499999997</v>
      </c>
      <c r="CA265" s="26">
        <v>-2.1223572499999999</v>
      </c>
      <c r="CB265" s="26">
        <v>5.4122179200000002E-2</v>
      </c>
      <c r="CC265" s="26">
        <v>0.98314389899999999</v>
      </c>
      <c r="CD265" s="26">
        <v>18.1652682</v>
      </c>
      <c r="CE265" s="26">
        <v>0</v>
      </c>
      <c r="CF265" s="26">
        <v>0</v>
      </c>
      <c r="CG265" s="26">
        <v>0</v>
      </c>
      <c r="CH265" s="26">
        <v>0</v>
      </c>
      <c r="CI265" s="26">
        <v>0</v>
      </c>
      <c r="CJ265" s="26">
        <v>0</v>
      </c>
      <c r="CK265" s="26">
        <v>0</v>
      </c>
      <c r="CL265" s="26">
        <v>0</v>
      </c>
      <c r="CM265" s="26">
        <v>0</v>
      </c>
      <c r="CN265" s="26">
        <v>0</v>
      </c>
      <c r="CO265" s="26">
        <v>0</v>
      </c>
      <c r="CP265" s="26">
        <v>0</v>
      </c>
      <c r="CQ265" s="26">
        <v>0</v>
      </c>
      <c r="CR265" s="26">
        <v>0</v>
      </c>
      <c r="CS265" s="26">
        <v>0</v>
      </c>
      <c r="CT265" s="26">
        <v>0</v>
      </c>
      <c r="CU265" s="26">
        <v>0</v>
      </c>
      <c r="CV265" s="26">
        <v>0</v>
      </c>
      <c r="CW265" s="26">
        <v>0</v>
      </c>
      <c r="CX265" s="26">
        <v>0</v>
      </c>
      <c r="CY265" s="26">
        <v>0</v>
      </c>
      <c r="CZ265" s="26">
        <v>0</v>
      </c>
      <c r="DA265" s="26">
        <v>0</v>
      </c>
      <c r="DB265" s="26">
        <v>0</v>
      </c>
      <c r="DC265" s="26">
        <v>0</v>
      </c>
      <c r="DD265" s="26">
        <v>0</v>
      </c>
      <c r="DE265" s="26">
        <v>0</v>
      </c>
      <c r="DF265" s="26">
        <v>0</v>
      </c>
      <c r="DG265" s="26">
        <v>0</v>
      </c>
      <c r="DH265" s="26">
        <v>0</v>
      </c>
      <c r="DI265" s="26">
        <v>0</v>
      </c>
      <c r="DJ265" s="26">
        <v>0</v>
      </c>
      <c r="DK265" s="26">
        <v>0</v>
      </c>
      <c r="DL265" s="26">
        <v>0</v>
      </c>
      <c r="DM265" s="26">
        <v>0</v>
      </c>
      <c r="DN265" s="26">
        <v>0</v>
      </c>
      <c r="DO265" s="26">
        <v>0</v>
      </c>
      <c r="DP265" s="26">
        <v>0</v>
      </c>
      <c r="DQ265" s="26">
        <v>0</v>
      </c>
      <c r="DR265" s="26">
        <v>0</v>
      </c>
      <c r="DS265" s="26">
        <v>0</v>
      </c>
      <c r="DT265" s="26">
        <v>0</v>
      </c>
      <c r="DU265" s="26">
        <v>0</v>
      </c>
      <c r="DV265" s="26">
        <v>0</v>
      </c>
      <c r="DW265" s="26">
        <v>0</v>
      </c>
      <c r="DX265" s="26">
        <v>7.7444407400000008</v>
      </c>
      <c r="DY265" s="26">
        <v>0.19122609300000001</v>
      </c>
      <c r="DZ265" s="26">
        <v>8.0234724300000004E-2</v>
      </c>
      <c r="EA265" s="26">
        <v>2.61164028</v>
      </c>
      <c r="EB265" s="26">
        <v>0.318264406</v>
      </c>
      <c r="EC265" s="26">
        <v>77.004762299999996</v>
      </c>
      <c r="ED265" s="26">
        <v>0</v>
      </c>
      <c r="EE265" s="26">
        <v>16.808286899999999</v>
      </c>
      <c r="EF265" s="26">
        <v>25.356230199999999</v>
      </c>
      <c r="EG265" s="26">
        <v>3.2147263100000001</v>
      </c>
      <c r="EH265" s="26">
        <v>0.35719232699999998</v>
      </c>
      <c r="EI265" s="26">
        <v>5.1602226499999997</v>
      </c>
      <c r="EJ265" s="26">
        <v>0.66542343599999998</v>
      </c>
      <c r="EK265" s="26">
        <v>353.95021300000002</v>
      </c>
      <c r="EL265" s="26">
        <v>2.9202492599999998</v>
      </c>
      <c r="EM265" s="26">
        <v>0</v>
      </c>
      <c r="EN265" s="26">
        <v>0</v>
      </c>
      <c r="EO265" s="26">
        <v>0</v>
      </c>
      <c r="EP265" s="26">
        <v>17.4030044</v>
      </c>
      <c r="EQ265" s="26">
        <v>496.38311299999998</v>
      </c>
      <c r="ER265" s="26">
        <v>5.6465882599999997</v>
      </c>
      <c r="ES265" s="26">
        <v>33.68682849999999</v>
      </c>
      <c r="ET265" s="26">
        <v>1</v>
      </c>
      <c r="EU265" s="26">
        <v>0</v>
      </c>
      <c r="EV265" s="26">
        <v>0</v>
      </c>
      <c r="EW265" s="26">
        <v>1</v>
      </c>
      <c r="EX265" s="26">
        <v>-29717.757300000001</v>
      </c>
      <c r="EY265" s="26">
        <v>-1041.8933400000001</v>
      </c>
      <c r="EZ265" s="26">
        <v>-0.51717826499999997</v>
      </c>
      <c r="FA265" s="26">
        <v>-85.947651100000002</v>
      </c>
      <c r="FB265" s="26">
        <v>-3.0132921800000001</v>
      </c>
      <c r="FC265" s="26">
        <v>5.1367313499999998E-2</v>
      </c>
      <c r="FD265" s="26">
        <v>1.46514167</v>
      </c>
      <c r="FE265" s="26">
        <v>28.522840200000001</v>
      </c>
      <c r="FF265" s="26">
        <v>0</v>
      </c>
      <c r="FG265" s="26">
        <v>9.8375230099999999E-3</v>
      </c>
      <c r="FH265" s="26">
        <v>-2056217285.0599999</v>
      </c>
      <c r="FI265" s="26">
        <v>2.9672374404045663E-2</v>
      </c>
      <c r="FJ265" s="26">
        <v>3.0960652469907439E-8</v>
      </c>
      <c r="FK265" s="26">
        <v>7.6768743947483287E-12</v>
      </c>
      <c r="FL265" s="26">
        <v>2.3753117745580498E-24</v>
      </c>
      <c r="FM265" s="26">
        <v>5.2142340694916499E-24</v>
      </c>
      <c r="FN265" s="26">
        <v>2.1877905230578795E-24</v>
      </c>
      <c r="FO265" s="26">
        <v>1.023018452628592E-21</v>
      </c>
      <c r="FP265" s="26">
        <v>2.1199818947376331E-22</v>
      </c>
      <c r="FQ265" s="26">
        <v>1.8068856922328636E-20</v>
      </c>
      <c r="FR265" s="26">
        <v>0</v>
      </c>
      <c r="FS265" s="26">
        <v>5.73752768478911E-24</v>
      </c>
      <c r="FT265" s="26">
        <v>1.4479458699169005E-25</v>
      </c>
      <c r="FU265" s="26">
        <v>6.0752973541579347E-26</v>
      </c>
      <c r="FV265" s="26">
        <v>4.2754573119814366E-22</v>
      </c>
      <c r="FW265" s="26">
        <v>5.2586788754027646E-23</v>
      </c>
      <c r="FX265" s="26">
        <v>5.5633685722847263E-23</v>
      </c>
      <c r="FY265" s="26">
        <v>1.657642279927805E-17</v>
      </c>
      <c r="FZ265" s="26">
        <v>1.5356726289520477E-15</v>
      </c>
      <c r="GA265" s="26">
        <v>5.9629136588144202E-12</v>
      </c>
      <c r="GB265" s="26">
        <v>6.6964433869048808E-14</v>
      </c>
      <c r="GC265" s="26">
        <v>4.9148784559856943E-16</v>
      </c>
      <c r="GD265" s="26">
        <v>7.1157251958146902E-22</v>
      </c>
      <c r="GE265" s="26">
        <v>1.3510246774748642E-18</v>
      </c>
      <c r="GF265" s="26">
        <v>6.48825185746157E-19</v>
      </c>
      <c r="GG265" s="26">
        <v>9.6917262164226987E-10</v>
      </c>
      <c r="GH265" s="26">
        <v>3.9262946425214683E-21</v>
      </c>
      <c r="GI265" s="26">
        <v>0</v>
      </c>
      <c r="GJ265" s="26">
        <v>0</v>
      </c>
      <c r="GK265" s="26">
        <v>0</v>
      </c>
      <c r="GL265" s="26">
        <v>0</v>
      </c>
      <c r="GM265" s="26">
        <v>1.0516750084134E-13</v>
      </c>
      <c r="GN265" s="26">
        <v>0</v>
      </c>
      <c r="GO265" s="26">
        <v>0</v>
      </c>
      <c r="GP265" s="26">
        <v>0</v>
      </c>
      <c r="GQ265" s="26">
        <v>0</v>
      </c>
      <c r="GR265" s="26">
        <v>3.2944622208001424E-22</v>
      </c>
      <c r="GS265" s="26">
        <v>4.4942977581766041E-8</v>
      </c>
      <c r="GT265" s="26">
        <v>9.144923573159389E-8</v>
      </c>
      <c r="GU265" s="26">
        <v>0</v>
      </c>
      <c r="GV265" s="26">
        <v>1.0042752635897577E-12</v>
      </c>
      <c r="GW265" s="26">
        <v>0</v>
      </c>
      <c r="GX265" s="26">
        <v>2.1021451723727169E-7</v>
      </c>
      <c r="GY265" s="26">
        <v>2.1754872924038981E-7</v>
      </c>
      <c r="GZ265" s="26">
        <v>5.5219415719533099E-9</v>
      </c>
      <c r="HA265" s="26">
        <v>4.2859401453986321E-14</v>
      </c>
      <c r="HB265" s="26">
        <v>0</v>
      </c>
      <c r="HC265" s="26">
        <v>0</v>
      </c>
      <c r="HD265" s="26">
        <v>0</v>
      </c>
      <c r="HE265" s="26">
        <v>0</v>
      </c>
      <c r="HF265" s="26">
        <v>0</v>
      </c>
      <c r="HG265" s="26">
        <v>0</v>
      </c>
      <c r="HH265" s="26">
        <v>0</v>
      </c>
      <c r="HI265" s="26">
        <v>0</v>
      </c>
      <c r="HJ265" s="26">
        <v>0</v>
      </c>
      <c r="HK265" s="26">
        <v>0</v>
      </c>
      <c r="HL265" s="26">
        <v>0</v>
      </c>
      <c r="HM265" s="26">
        <v>0</v>
      </c>
      <c r="HN265" s="26">
        <v>0</v>
      </c>
      <c r="HO265" s="26">
        <v>0</v>
      </c>
      <c r="HP265" s="26">
        <v>0</v>
      </c>
      <c r="HQ265" s="26">
        <v>0</v>
      </c>
      <c r="HR265" s="26">
        <v>0</v>
      </c>
      <c r="HS265" s="26">
        <v>0</v>
      </c>
      <c r="HT265" s="26">
        <v>5.8075890464607122E-3</v>
      </c>
    </row>
    <row r="266" spans="2:228" x14ac:dyDescent="0.2">
      <c r="B266" s="27" t="s">
        <v>1414</v>
      </c>
      <c r="C266" s="26">
        <v>2649972.5</v>
      </c>
      <c r="D266" s="26">
        <v>-9893.5943499999994</v>
      </c>
      <c r="E266" s="26">
        <v>2593394.56</v>
      </c>
      <c r="F266" s="26">
        <v>0.65935109599999997</v>
      </c>
      <c r="G266" s="26">
        <v>1.8614213599999998</v>
      </c>
      <c r="H266" s="26">
        <v>4.0861527300000002</v>
      </c>
      <c r="I266" s="26">
        <v>1.7144696800000001</v>
      </c>
      <c r="J266" s="26">
        <v>3.7922778899999998</v>
      </c>
      <c r="K266" s="26">
        <v>0.78586661199999996</v>
      </c>
      <c r="L266" s="26">
        <v>1.18234836</v>
      </c>
      <c r="M266" s="26">
        <v>0</v>
      </c>
      <c r="N266" s="26">
        <v>4.0466224200000003</v>
      </c>
      <c r="O266" s="26">
        <v>0.102122213</v>
      </c>
      <c r="P266" s="26">
        <v>4.2848480799999998E-2</v>
      </c>
      <c r="Q266" s="26">
        <v>1.39470878</v>
      </c>
      <c r="R266" s="26">
        <v>1.37020224</v>
      </c>
      <c r="S266" s="26">
        <v>43.597532000000001</v>
      </c>
      <c r="T266" s="26">
        <v>378.96024699999998</v>
      </c>
      <c r="U266" s="26">
        <v>1.32067939</v>
      </c>
      <c r="V266" s="26">
        <v>1.7272707700000001</v>
      </c>
      <c r="W266" s="26">
        <v>0.21586612299999999</v>
      </c>
      <c r="X266" s="26">
        <v>6.0496833800000003</v>
      </c>
      <c r="Y266" s="26">
        <v>2.6960174000000001</v>
      </c>
      <c r="Z266" s="26">
        <v>0.62268409800000002</v>
      </c>
      <c r="AA266" s="26">
        <v>1.63456354</v>
      </c>
      <c r="AB266" s="26">
        <v>19.0301154</v>
      </c>
      <c r="AC266" s="26">
        <v>0.43225032699999999</v>
      </c>
      <c r="AD266" s="26">
        <v>0</v>
      </c>
      <c r="AE266" s="26">
        <v>111.745508</v>
      </c>
      <c r="AF266" s="26">
        <v>787.62200399999995</v>
      </c>
      <c r="AG266" s="26">
        <v>0</v>
      </c>
      <c r="AH266" s="26">
        <v>32024.063100000003</v>
      </c>
      <c r="AI266" s="26">
        <v>0</v>
      </c>
      <c r="AJ266" s="26">
        <v>0</v>
      </c>
      <c r="AK266" s="26">
        <v>0</v>
      </c>
      <c r="AL266" s="26">
        <v>0</v>
      </c>
      <c r="AM266" s="26">
        <v>2.6698425399999999</v>
      </c>
      <c r="AN266" s="26">
        <v>19.147541799999999</v>
      </c>
      <c r="AO266" s="26">
        <v>36.966232900000001</v>
      </c>
      <c r="AP266" s="26">
        <v>0</v>
      </c>
      <c r="AQ266" s="26">
        <v>35.412791300000002</v>
      </c>
      <c r="AR266" s="26">
        <v>0</v>
      </c>
      <c r="AS266" s="26">
        <v>43.916695500000003</v>
      </c>
      <c r="AT266" s="26">
        <v>1.55442589E-3</v>
      </c>
      <c r="AU266" s="26">
        <v>264.58977700000003</v>
      </c>
      <c r="AV266" s="26">
        <v>0.704016855</v>
      </c>
      <c r="AW266" s="26">
        <v>0</v>
      </c>
      <c r="AX266" s="26">
        <v>0</v>
      </c>
      <c r="AY266" s="26">
        <v>0</v>
      </c>
      <c r="AZ266" s="26">
        <v>0</v>
      </c>
      <c r="BA266" s="26">
        <v>0</v>
      </c>
      <c r="BB266" s="26">
        <v>0</v>
      </c>
      <c r="BC266" s="26">
        <v>0</v>
      </c>
      <c r="BD266" s="26">
        <v>0</v>
      </c>
      <c r="BE266" s="26">
        <v>0</v>
      </c>
      <c r="BF266" s="26">
        <v>0</v>
      </c>
      <c r="BG266" s="26">
        <v>0</v>
      </c>
      <c r="BH266" s="26">
        <v>0</v>
      </c>
      <c r="BI266" s="26">
        <v>0</v>
      </c>
      <c r="BJ266" s="26">
        <v>0</v>
      </c>
      <c r="BK266" s="26">
        <v>0</v>
      </c>
      <c r="BL266" s="26">
        <v>0</v>
      </c>
      <c r="BM266" s="26">
        <v>0</v>
      </c>
      <c r="BN266" s="26">
        <v>0</v>
      </c>
      <c r="BO266" s="26">
        <v>144355.06400000001</v>
      </c>
      <c r="BP266" s="26">
        <v>2627198.7200000002</v>
      </c>
      <c r="BQ266" s="26">
        <v>44533.586799999997</v>
      </c>
      <c r="BR266" s="26">
        <v>25</v>
      </c>
      <c r="BS266" s="26">
        <v>1</v>
      </c>
      <c r="BT266" s="26">
        <v>0</v>
      </c>
      <c r="BU266" s="26">
        <v>1</v>
      </c>
      <c r="BV266" s="26">
        <v>0</v>
      </c>
      <c r="BW266" s="26">
        <v>-68374.361199999999</v>
      </c>
      <c r="BX266" s="26">
        <v>-3756.9237400000002</v>
      </c>
      <c r="BY266" s="26">
        <v>-9870.1853300000002</v>
      </c>
      <c r="BZ266" s="26">
        <v>-38.975571100000003</v>
      </c>
      <c r="CA266" s="26">
        <v>-2.1415666099999999</v>
      </c>
      <c r="CB266" s="26">
        <v>5.4024790500000003E-2</v>
      </c>
      <c r="CC266" s="26">
        <v>0.983227446</v>
      </c>
      <c r="CD266" s="26">
        <v>18.199560600000002</v>
      </c>
      <c r="CE266" s="26">
        <v>0</v>
      </c>
      <c r="CF266" s="26">
        <v>0</v>
      </c>
      <c r="CG266" s="26">
        <v>0</v>
      </c>
      <c r="CH266" s="26">
        <v>0</v>
      </c>
      <c r="CI266" s="26">
        <v>0</v>
      </c>
      <c r="CJ266" s="26">
        <v>0</v>
      </c>
      <c r="CK266" s="26">
        <v>0</v>
      </c>
      <c r="CL266" s="26">
        <v>0</v>
      </c>
      <c r="CM266" s="26">
        <v>0</v>
      </c>
      <c r="CN266" s="26">
        <v>0</v>
      </c>
      <c r="CO266" s="26">
        <v>0</v>
      </c>
      <c r="CP266" s="26">
        <v>0</v>
      </c>
      <c r="CQ266" s="26">
        <v>0</v>
      </c>
      <c r="CR266" s="26">
        <v>0</v>
      </c>
      <c r="CS266" s="26">
        <v>0</v>
      </c>
      <c r="CT266" s="26">
        <v>0</v>
      </c>
      <c r="CU266" s="26">
        <v>0</v>
      </c>
      <c r="CV266" s="26">
        <v>0</v>
      </c>
      <c r="CW266" s="26">
        <v>0</v>
      </c>
      <c r="CX266" s="26">
        <v>0</v>
      </c>
      <c r="CY266" s="26">
        <v>0</v>
      </c>
      <c r="CZ266" s="26">
        <v>0</v>
      </c>
      <c r="DA266" s="26">
        <v>0</v>
      </c>
      <c r="DB266" s="26">
        <v>0</v>
      </c>
      <c r="DC266" s="26">
        <v>0</v>
      </c>
      <c r="DD266" s="26">
        <v>0</v>
      </c>
      <c r="DE266" s="26">
        <v>0</v>
      </c>
      <c r="DF266" s="26">
        <v>0</v>
      </c>
      <c r="DG266" s="26">
        <v>0</v>
      </c>
      <c r="DH266" s="26">
        <v>0</v>
      </c>
      <c r="DI266" s="26">
        <v>0</v>
      </c>
      <c r="DJ266" s="26">
        <v>0</v>
      </c>
      <c r="DK266" s="26">
        <v>0</v>
      </c>
      <c r="DL266" s="26">
        <v>0</v>
      </c>
      <c r="DM266" s="26">
        <v>0</v>
      </c>
      <c r="DN266" s="26">
        <v>0</v>
      </c>
      <c r="DO266" s="26">
        <v>0</v>
      </c>
      <c r="DP266" s="26">
        <v>0</v>
      </c>
      <c r="DQ266" s="26">
        <v>0</v>
      </c>
      <c r="DR266" s="26">
        <v>0</v>
      </c>
      <c r="DS266" s="26">
        <v>0</v>
      </c>
      <c r="DT266" s="26">
        <v>0</v>
      </c>
      <c r="DU266" s="26">
        <v>0</v>
      </c>
      <c r="DV266" s="26">
        <v>0</v>
      </c>
      <c r="DW266" s="26">
        <v>0</v>
      </c>
      <c r="DX266" s="26">
        <v>193.611019</v>
      </c>
      <c r="DY266" s="26">
        <v>4.7806523199999997</v>
      </c>
      <c r="DZ266" s="26">
        <v>2.0058681100000002</v>
      </c>
      <c r="EA266" s="26">
        <v>65.291006899999999</v>
      </c>
      <c r="EB266" s="26">
        <v>7.9566101600000003</v>
      </c>
      <c r="EC266" s="26">
        <v>1925.11906</v>
      </c>
      <c r="ED266" s="26">
        <v>0</v>
      </c>
      <c r="EE266" s="26">
        <v>0.69917998599999998</v>
      </c>
      <c r="EF266" s="26">
        <v>633.905754</v>
      </c>
      <c r="EG266" s="26">
        <v>80.368157600000004</v>
      </c>
      <c r="EH266" s="26">
        <v>8.9298081699999994</v>
      </c>
      <c r="EI266" s="26">
        <v>129.00556599999999</v>
      </c>
      <c r="EJ266" s="26">
        <v>16.635585899999999</v>
      </c>
      <c r="EK266" s="26">
        <v>19632.463</v>
      </c>
      <c r="EL266" s="26">
        <v>73.006231499999998</v>
      </c>
      <c r="EM266" s="26">
        <v>0</v>
      </c>
      <c r="EN266" s="26">
        <v>0</v>
      </c>
      <c r="EO266" s="26">
        <v>0</v>
      </c>
      <c r="EP266" s="26">
        <v>880.76243599999998</v>
      </c>
      <c r="EQ266" s="26">
        <v>22773.7775</v>
      </c>
      <c r="ER266" s="26">
        <v>256.31509299999999</v>
      </c>
      <c r="ES266" s="26">
        <v>25</v>
      </c>
      <c r="ET266" s="26">
        <v>1</v>
      </c>
      <c r="EU266" s="26">
        <v>0</v>
      </c>
      <c r="EV266" s="26">
        <v>0</v>
      </c>
      <c r="EW266" s="26">
        <v>1</v>
      </c>
      <c r="EX266" s="26">
        <v>-26578.133600000001</v>
      </c>
      <c r="EY266" s="26">
        <v>-1027.8936699999999</v>
      </c>
      <c r="EZ266" s="26">
        <v>-23.409021899999999</v>
      </c>
      <c r="FA266" s="26">
        <v>-82.469626199999993</v>
      </c>
      <c r="FB266" s="26">
        <v>-3.18946423</v>
      </c>
      <c r="FC266" s="26">
        <v>5.7270812900000002E-2</v>
      </c>
      <c r="FD266" s="26">
        <v>1.4808451199999999</v>
      </c>
      <c r="FE266" s="26">
        <v>25.856890100000001</v>
      </c>
      <c r="FF266" s="26">
        <v>0</v>
      </c>
      <c r="FG266" s="26">
        <v>1.2775893300000001E-2</v>
      </c>
      <c r="FH266" s="26">
        <v>-11506250229.049999</v>
      </c>
      <c r="FI266" s="26">
        <v>7.4189446704626691E-3</v>
      </c>
      <c r="FJ266" s="26">
        <v>0</v>
      </c>
      <c r="FK266" s="26">
        <v>0</v>
      </c>
      <c r="FL266" s="26">
        <v>0</v>
      </c>
      <c r="FM266" s="26">
        <v>0</v>
      </c>
      <c r="FN266" s="26">
        <v>0</v>
      </c>
      <c r="FO266" s="26">
        <v>0</v>
      </c>
      <c r="FP266" s="26">
        <v>0</v>
      </c>
      <c r="FQ266" s="26">
        <v>0</v>
      </c>
      <c r="FR266" s="26">
        <v>0</v>
      </c>
      <c r="FS266" s="26">
        <v>0</v>
      </c>
      <c r="FT266" s="26">
        <v>0</v>
      </c>
      <c r="FU266" s="26">
        <v>0</v>
      </c>
      <c r="FV266" s="26">
        <v>0</v>
      </c>
      <c r="FW266" s="26">
        <v>0</v>
      </c>
      <c r="FX266" s="26">
        <v>0</v>
      </c>
      <c r="FY266" s="26">
        <v>0</v>
      </c>
      <c r="FZ266" s="26">
        <v>0</v>
      </c>
      <c r="GA266" s="26">
        <v>0</v>
      </c>
      <c r="GB266" s="26">
        <v>0</v>
      </c>
      <c r="GC266" s="26">
        <v>0</v>
      </c>
      <c r="GD266" s="26">
        <v>0</v>
      </c>
      <c r="GE266" s="26">
        <v>0</v>
      </c>
      <c r="GF266" s="26">
        <v>0</v>
      </c>
      <c r="GG266" s="26">
        <v>0</v>
      </c>
      <c r="GH266" s="26">
        <v>0</v>
      </c>
      <c r="GI266" s="26">
        <v>0</v>
      </c>
      <c r="GJ266" s="26">
        <v>0</v>
      </c>
      <c r="GK266" s="26">
        <v>0</v>
      </c>
      <c r="GL266" s="26">
        <v>0</v>
      </c>
      <c r="GM266" s="26">
        <v>0</v>
      </c>
      <c r="GN266" s="26">
        <v>0</v>
      </c>
      <c r="GO266" s="26">
        <v>0</v>
      </c>
      <c r="GP266" s="26">
        <v>0</v>
      </c>
      <c r="GQ266" s="26">
        <v>0</v>
      </c>
      <c r="GR266" s="26">
        <v>0</v>
      </c>
      <c r="GS266" s="26">
        <v>0</v>
      </c>
      <c r="GT266" s="26">
        <v>0</v>
      </c>
      <c r="GU266" s="26">
        <v>0</v>
      </c>
      <c r="GV266" s="26">
        <v>0</v>
      </c>
      <c r="GW266" s="26">
        <v>0</v>
      </c>
      <c r="GX266" s="26">
        <v>0</v>
      </c>
      <c r="GY266" s="26">
        <v>0</v>
      </c>
      <c r="GZ266" s="26">
        <v>0</v>
      </c>
      <c r="HA266" s="26">
        <v>0</v>
      </c>
      <c r="HB266" s="26">
        <v>0</v>
      </c>
      <c r="HC266" s="26">
        <v>0</v>
      </c>
      <c r="HD266" s="26">
        <v>0</v>
      </c>
      <c r="HE266" s="26">
        <v>0</v>
      </c>
      <c r="HF266" s="26">
        <v>0</v>
      </c>
      <c r="HG266" s="26">
        <v>0</v>
      </c>
      <c r="HH266" s="26">
        <v>0</v>
      </c>
      <c r="HI266" s="26">
        <v>0</v>
      </c>
      <c r="HJ266" s="26">
        <v>0</v>
      </c>
      <c r="HK266" s="26">
        <v>0</v>
      </c>
      <c r="HL266" s="26">
        <v>0</v>
      </c>
      <c r="HM266" s="26">
        <v>0</v>
      </c>
      <c r="HN266" s="26">
        <v>0</v>
      </c>
      <c r="HO266" s="26">
        <v>0</v>
      </c>
      <c r="HP266" s="26">
        <v>0</v>
      </c>
      <c r="HQ266" s="26">
        <v>0</v>
      </c>
      <c r="HR266" s="26">
        <v>0</v>
      </c>
      <c r="HS266" s="26">
        <v>0</v>
      </c>
      <c r="HT266" s="26">
        <v>0.26899176242971184</v>
      </c>
    </row>
    <row r="267" spans="2:228" x14ac:dyDescent="0.2">
      <c r="B267" s="27" t="s">
        <v>2638</v>
      </c>
      <c r="C267" s="26">
        <v>2866467.8</v>
      </c>
      <c r="D267" s="26">
        <v>-9898.9859400000005</v>
      </c>
      <c r="E267" s="26">
        <v>2594470.3199999998</v>
      </c>
      <c r="F267" s="26">
        <v>0.68059544199999999</v>
      </c>
      <c r="G267" s="26">
        <v>1.8614213599999998</v>
      </c>
      <c r="H267" s="26">
        <v>4.0861527300000002</v>
      </c>
      <c r="I267" s="26">
        <v>1.7144696800000001</v>
      </c>
      <c r="J267" s="26">
        <v>3.7922778899999998</v>
      </c>
      <c r="K267" s="26">
        <v>0.78586661199999996</v>
      </c>
      <c r="L267" s="26">
        <v>1.18234836</v>
      </c>
      <c r="M267" s="26">
        <v>0</v>
      </c>
      <c r="N267" s="26">
        <v>4.0466224200000003</v>
      </c>
      <c r="O267" s="26">
        <v>0.102122213</v>
      </c>
      <c r="P267" s="26">
        <v>4.2848480799999998E-2</v>
      </c>
      <c r="Q267" s="26">
        <v>1.39470878</v>
      </c>
      <c r="R267" s="26">
        <v>1.37020224</v>
      </c>
      <c r="S267" s="26">
        <v>43.597532000000001</v>
      </c>
      <c r="T267" s="26">
        <v>378.96026000000001</v>
      </c>
      <c r="U267" s="26">
        <v>1.3206888800000001</v>
      </c>
      <c r="V267" s="26">
        <v>1.7630608999999997</v>
      </c>
      <c r="W267" s="26">
        <v>0.21610312800000001</v>
      </c>
      <c r="X267" s="26">
        <v>6.0496848999999999</v>
      </c>
      <c r="Y267" s="26">
        <v>2.6960174000000001</v>
      </c>
      <c r="Z267" s="26">
        <v>0.62268410299999999</v>
      </c>
      <c r="AA267" s="26">
        <v>1.63456354</v>
      </c>
      <c r="AB267" s="26">
        <v>19.569046499999999</v>
      </c>
      <c r="AC267" s="26">
        <v>0.43225032800000002</v>
      </c>
      <c r="AD267" s="26">
        <v>0</v>
      </c>
      <c r="AE267" s="26">
        <v>111.745508</v>
      </c>
      <c r="AF267" s="26">
        <v>787.62200399999995</v>
      </c>
      <c r="AG267" s="26">
        <v>3547.8573200000001</v>
      </c>
      <c r="AH267" s="26">
        <v>27238.965499999998</v>
      </c>
      <c r="AI267" s="26">
        <v>0</v>
      </c>
      <c r="AJ267" s="26">
        <v>0</v>
      </c>
      <c r="AK267" s="26">
        <v>0</v>
      </c>
      <c r="AL267" s="26">
        <v>0</v>
      </c>
      <c r="AM267" s="26">
        <v>2.6698425399999999</v>
      </c>
      <c r="AN267" s="26">
        <v>44689.293299999998</v>
      </c>
      <c r="AO267" s="26">
        <v>167879.05300000001</v>
      </c>
      <c r="AP267" s="26">
        <v>0</v>
      </c>
      <c r="AQ267" s="26">
        <v>37.677142799999999</v>
      </c>
      <c r="AR267" s="26">
        <v>0</v>
      </c>
      <c r="AS267" s="26">
        <v>3900.3306099999995</v>
      </c>
      <c r="AT267" s="26">
        <v>3.2997423499999998</v>
      </c>
      <c r="AU267" s="26">
        <v>546.42160799999999</v>
      </c>
      <c r="AV267" s="26">
        <v>0.85279640199999995</v>
      </c>
      <c r="AW267" s="26">
        <v>0</v>
      </c>
      <c r="AX267" s="26">
        <v>0</v>
      </c>
      <c r="AY267" s="26">
        <v>0</v>
      </c>
      <c r="AZ267" s="26">
        <v>0</v>
      </c>
      <c r="BA267" s="26">
        <v>0</v>
      </c>
      <c r="BB267" s="26">
        <v>0</v>
      </c>
      <c r="BC267" s="26">
        <v>0</v>
      </c>
      <c r="BD267" s="26">
        <v>0</v>
      </c>
      <c r="BE267" s="26">
        <v>0</v>
      </c>
      <c r="BF267" s="26">
        <v>0</v>
      </c>
      <c r="BG267" s="26">
        <v>0</v>
      </c>
      <c r="BH267" s="26">
        <v>0</v>
      </c>
      <c r="BI267" s="26">
        <v>0</v>
      </c>
      <c r="BJ267" s="26">
        <v>0</v>
      </c>
      <c r="BK267" s="26">
        <v>0</v>
      </c>
      <c r="BL267" s="26">
        <v>0</v>
      </c>
      <c r="BM267" s="26">
        <v>0</v>
      </c>
      <c r="BN267" s="26">
        <v>0</v>
      </c>
      <c r="BO267" s="26">
        <v>151898.43700000001</v>
      </c>
      <c r="BP267" s="26">
        <v>2843694.03</v>
      </c>
      <c r="BQ267" s="26">
        <v>3194222.87</v>
      </c>
      <c r="BR267" s="26">
        <v>25</v>
      </c>
      <c r="BS267" s="26">
        <v>1</v>
      </c>
      <c r="BT267" s="26">
        <v>5.0856060199999997E-2</v>
      </c>
      <c r="BU267" s="26">
        <v>0.94914394000000002</v>
      </c>
      <c r="BV267" s="26">
        <v>0</v>
      </c>
      <c r="BW267" s="26">
        <v>-65014.34120000001</v>
      </c>
      <c r="BX267" s="26">
        <v>-3472.7986700000001</v>
      </c>
      <c r="BY267" s="26">
        <v>-9875.5769099999998</v>
      </c>
      <c r="BZ267" s="26">
        <v>-36.932779099999998</v>
      </c>
      <c r="CA267" s="26">
        <v>-1.9727971399999999</v>
      </c>
      <c r="CB267" s="26">
        <v>7.9256855199999997E-4</v>
      </c>
      <c r="CC267" s="26">
        <v>1.48376935E-2</v>
      </c>
      <c r="CD267" s="26">
        <v>18.7210222</v>
      </c>
      <c r="CE267" s="26">
        <v>0</v>
      </c>
      <c r="CF267" s="26">
        <v>0</v>
      </c>
      <c r="CG267" s="26">
        <v>0</v>
      </c>
      <c r="CH267" s="26">
        <v>0</v>
      </c>
      <c r="CI267" s="26">
        <v>0</v>
      </c>
      <c r="CJ267" s="26">
        <v>0</v>
      </c>
      <c r="CK267" s="26">
        <v>0</v>
      </c>
      <c r="CL267" s="26">
        <v>0</v>
      </c>
      <c r="CM267" s="26">
        <v>0</v>
      </c>
      <c r="CN267" s="26">
        <v>0</v>
      </c>
      <c r="CO267" s="26">
        <v>0</v>
      </c>
      <c r="CP267" s="26">
        <v>0</v>
      </c>
      <c r="CQ267" s="26">
        <v>0</v>
      </c>
      <c r="CR267" s="26">
        <v>0</v>
      </c>
      <c r="CS267" s="26">
        <v>0</v>
      </c>
      <c r="CT267" s="26">
        <v>0</v>
      </c>
      <c r="CU267" s="26">
        <v>0</v>
      </c>
      <c r="CV267" s="26">
        <v>0</v>
      </c>
      <c r="CW267" s="26">
        <v>0</v>
      </c>
      <c r="CX267" s="26">
        <v>0</v>
      </c>
      <c r="CY267" s="26">
        <v>0</v>
      </c>
      <c r="CZ267" s="26">
        <v>0</v>
      </c>
      <c r="DA267" s="26">
        <v>0</v>
      </c>
      <c r="DB267" s="26">
        <v>0</v>
      </c>
      <c r="DC267" s="26">
        <v>0</v>
      </c>
      <c r="DD267" s="26">
        <v>0</v>
      </c>
      <c r="DE267" s="26">
        <v>0</v>
      </c>
      <c r="DF267" s="26">
        <v>0</v>
      </c>
      <c r="DG267" s="26">
        <v>0</v>
      </c>
      <c r="DH267" s="26">
        <v>0</v>
      </c>
      <c r="DI267" s="26">
        <v>0</v>
      </c>
      <c r="DJ267" s="26">
        <v>0</v>
      </c>
      <c r="DK267" s="26">
        <v>0</v>
      </c>
      <c r="DL267" s="26">
        <v>0</v>
      </c>
      <c r="DM267" s="26">
        <v>0</v>
      </c>
      <c r="DN267" s="26">
        <v>0</v>
      </c>
      <c r="DO267" s="26">
        <v>0</v>
      </c>
      <c r="DP267" s="26">
        <v>0</v>
      </c>
      <c r="DQ267" s="26">
        <v>0</v>
      </c>
      <c r="DR267" s="26">
        <v>0</v>
      </c>
      <c r="DS267" s="26">
        <v>0</v>
      </c>
      <c r="DT267" s="26">
        <v>0</v>
      </c>
      <c r="DU267" s="26">
        <v>0</v>
      </c>
      <c r="DV267" s="26">
        <v>0</v>
      </c>
      <c r="DW267" s="26">
        <v>0</v>
      </c>
      <c r="DX267" s="26">
        <v>193.611019</v>
      </c>
      <c r="DY267" s="26">
        <v>4.7806523199999997</v>
      </c>
      <c r="DZ267" s="26">
        <v>2.0058681100000002</v>
      </c>
      <c r="EA267" s="26">
        <v>65.291006899999999</v>
      </c>
      <c r="EB267" s="26">
        <v>7.9566101600000003</v>
      </c>
      <c r="EC267" s="26">
        <v>1925.11906</v>
      </c>
      <c r="ED267" s="26">
        <v>0</v>
      </c>
      <c r="EE267" s="26">
        <v>0.69917998599999998</v>
      </c>
      <c r="EF267" s="26">
        <v>633.905754</v>
      </c>
      <c r="EG267" s="26">
        <v>80.368157600000004</v>
      </c>
      <c r="EH267" s="26">
        <v>8.9298081699999994</v>
      </c>
      <c r="EI267" s="26">
        <v>129.00556599999999</v>
      </c>
      <c r="EJ267" s="26">
        <v>16.635585899999999</v>
      </c>
      <c r="EK267" s="26">
        <v>19632.463</v>
      </c>
      <c r="EL267" s="26">
        <v>73.006231499999998</v>
      </c>
      <c r="EM267" s="26">
        <v>0</v>
      </c>
      <c r="EN267" s="26">
        <v>0</v>
      </c>
      <c r="EO267" s="26">
        <v>0</v>
      </c>
      <c r="EP267" s="26">
        <v>880.76243599999998</v>
      </c>
      <c r="EQ267" s="26">
        <v>22773.7775</v>
      </c>
      <c r="ER267" s="26">
        <v>256.31509299999999</v>
      </c>
      <c r="ES267" s="26">
        <v>25</v>
      </c>
      <c r="ET267" s="26">
        <v>1</v>
      </c>
      <c r="EU267" s="26">
        <v>0</v>
      </c>
      <c r="EV267" s="26">
        <v>0</v>
      </c>
      <c r="EW267" s="26">
        <v>1</v>
      </c>
      <c r="EX267" s="26">
        <v>-26578.133600000001</v>
      </c>
      <c r="EY267" s="26">
        <v>-1027.8936699999999</v>
      </c>
      <c r="EZ267" s="26">
        <v>-23.409021899999999</v>
      </c>
      <c r="FA267" s="26">
        <v>-82.469626199999993</v>
      </c>
      <c r="FB267" s="26">
        <v>-3.18946423</v>
      </c>
      <c r="FC267" s="26">
        <v>5.7270812900000002E-2</v>
      </c>
      <c r="FD267" s="26">
        <v>1.4808451199999999</v>
      </c>
      <c r="FE267" s="26">
        <v>25.856890100000001</v>
      </c>
      <c r="FF267" s="26">
        <v>0</v>
      </c>
      <c r="FG267" s="26">
        <v>1.20002385E-2</v>
      </c>
      <c r="FH267" s="26">
        <v>-11512520648.220001</v>
      </c>
      <c r="FI267" s="26">
        <v>3.1817454698984081E-2</v>
      </c>
      <c r="FJ267" s="26">
        <v>6.6955123868974328E-2</v>
      </c>
      <c r="FK267" s="26">
        <v>1.2825454213714746E-7</v>
      </c>
      <c r="FL267" s="26">
        <v>1.0812127336497018E-20</v>
      </c>
      <c r="FM267" s="26">
        <v>2.3734552828765311E-20</v>
      </c>
      <c r="FN267" s="26">
        <v>9.9585536352239837E-21</v>
      </c>
      <c r="FO267" s="26">
        <v>5.6886540455092321E-18</v>
      </c>
      <c r="FP267" s="26">
        <v>1.1788490760974593E-18</v>
      </c>
      <c r="FQ267" s="26">
        <v>1.8629879565705702E-16</v>
      </c>
      <c r="FR267" s="26">
        <v>0</v>
      </c>
      <c r="FS267" s="26">
        <v>2.6116521070043277E-20</v>
      </c>
      <c r="FT267" s="26">
        <v>6.5908716916158617E-22</v>
      </c>
      <c r="FU267" s="26">
        <v>2.7654007082343166E-22</v>
      </c>
      <c r="FV267" s="26">
        <v>2.377434871797257E-18</v>
      </c>
      <c r="FW267" s="26">
        <v>2.3356607742408418E-18</v>
      </c>
      <c r="FX267" s="26">
        <v>2.5323770147034609E-19</v>
      </c>
      <c r="FY267" s="26">
        <v>2.3172226629822257E-11</v>
      </c>
      <c r="FZ267" s="26">
        <v>2.0929752472993576E-11</v>
      </c>
      <c r="GA267" s="26">
        <v>1.035940869398638E-7</v>
      </c>
      <c r="GB267" s="26">
        <v>1.0977012893371659E-9</v>
      </c>
      <c r="GC267" s="26">
        <v>4.6702903984734339E-12</v>
      </c>
      <c r="GD267" s="26">
        <v>6.5782161081812846E-18</v>
      </c>
      <c r="GE267" s="26">
        <v>1.3402511884997873E-14</v>
      </c>
      <c r="GF267" s="26">
        <v>6.2455854110757939E-15</v>
      </c>
      <c r="GG267" s="26">
        <v>8.8013588204108697E-6</v>
      </c>
      <c r="GH267" s="26">
        <v>5.1152584298109563E-15</v>
      </c>
      <c r="GI267" s="26">
        <v>0</v>
      </c>
      <c r="GJ267" s="26">
        <v>0</v>
      </c>
      <c r="GK267" s="26">
        <v>0</v>
      </c>
      <c r="GL267" s="26">
        <v>6.9196174442458287E-5</v>
      </c>
      <c r="GM267" s="26">
        <v>1.1628759231918963E-6</v>
      </c>
      <c r="GN267" s="26">
        <v>0</v>
      </c>
      <c r="GO267" s="26">
        <v>0</v>
      </c>
      <c r="GP267" s="26">
        <v>0</v>
      </c>
      <c r="GQ267" s="26">
        <v>0</v>
      </c>
      <c r="GR267" s="26">
        <v>1.2545062655916059E-16</v>
      </c>
      <c r="GS267" s="26">
        <v>0.3877764419911004</v>
      </c>
      <c r="GT267" s="26">
        <v>1.6642993160921724</v>
      </c>
      <c r="GU267" s="26">
        <v>0</v>
      </c>
      <c r="GV267" s="26">
        <v>1.368859902617546E-5</v>
      </c>
      <c r="GW267" s="26">
        <v>0</v>
      </c>
      <c r="GX267" s="26">
        <v>2.43409805002834E-2</v>
      </c>
      <c r="GY267" s="26">
        <v>5.7107622123527648E-5</v>
      </c>
      <c r="GZ267" s="26">
        <v>2.298454104498744E-3</v>
      </c>
      <c r="HA267" s="26">
        <v>6.4578031627735372E-7</v>
      </c>
      <c r="HB267" s="26">
        <v>0</v>
      </c>
      <c r="HC267" s="26">
        <v>0</v>
      </c>
      <c r="HD267" s="26">
        <v>0</v>
      </c>
      <c r="HE267" s="26">
        <v>0</v>
      </c>
      <c r="HF267" s="26">
        <v>0</v>
      </c>
      <c r="HG267" s="26">
        <v>0</v>
      </c>
      <c r="HH267" s="26">
        <v>0</v>
      </c>
      <c r="HI267" s="26">
        <v>0</v>
      </c>
      <c r="HJ267" s="26">
        <v>0</v>
      </c>
      <c r="HK267" s="26">
        <v>0</v>
      </c>
      <c r="HL267" s="26">
        <v>0</v>
      </c>
      <c r="HM267" s="26">
        <v>0</v>
      </c>
      <c r="HN267" s="26">
        <v>0</v>
      </c>
      <c r="HO267" s="26">
        <v>0</v>
      </c>
      <c r="HP267" s="26">
        <v>0</v>
      </c>
      <c r="HQ267" s="26">
        <v>0</v>
      </c>
      <c r="HR267" s="26">
        <v>0</v>
      </c>
      <c r="HS267" s="26">
        <v>0</v>
      </c>
      <c r="HT267" s="26">
        <v>0.26899176242971184</v>
      </c>
    </row>
    <row r="268" spans="2:228" x14ac:dyDescent="0.2">
      <c r="B268" s="27" t="s">
        <v>2639</v>
      </c>
      <c r="C268" s="26">
        <v>2870971.94</v>
      </c>
      <c r="D268" s="26">
        <v>-9915.7963400000008</v>
      </c>
      <c r="E268" s="26">
        <v>2597736.79</v>
      </c>
      <c r="F268" s="26">
        <v>0.68059544199999999</v>
      </c>
      <c r="G268" s="26">
        <v>1.8614213599999998</v>
      </c>
      <c r="H268" s="26">
        <v>4.0861527300000002</v>
      </c>
      <c r="I268" s="26">
        <v>1.7144696800000001</v>
      </c>
      <c r="J268" s="26">
        <v>3.7922778899999998</v>
      </c>
      <c r="K268" s="26">
        <v>0.78586661199999996</v>
      </c>
      <c r="L268" s="26">
        <v>1.18234836</v>
      </c>
      <c r="M268" s="26">
        <v>0</v>
      </c>
      <c r="N268" s="26">
        <v>4.0466224200000003</v>
      </c>
      <c r="O268" s="26">
        <v>0.102122213</v>
      </c>
      <c r="P268" s="26">
        <v>4.2848480799999998E-2</v>
      </c>
      <c r="Q268" s="26">
        <v>1.39470878</v>
      </c>
      <c r="R268" s="26">
        <v>1.37020224</v>
      </c>
      <c r="S268" s="26">
        <v>43.597532000000001</v>
      </c>
      <c r="T268" s="26">
        <v>378.96026000000001</v>
      </c>
      <c r="U268" s="26">
        <v>1.3206888800000001</v>
      </c>
      <c r="V268" s="26">
        <v>1.7630608999999997</v>
      </c>
      <c r="W268" s="26">
        <v>0.21610312800000001</v>
      </c>
      <c r="X268" s="26">
        <v>6.0496848999999999</v>
      </c>
      <c r="Y268" s="26">
        <v>2.6960174000000001</v>
      </c>
      <c r="Z268" s="26">
        <v>0.62268410299999999</v>
      </c>
      <c r="AA268" s="26">
        <v>1.63456354</v>
      </c>
      <c r="AB268" s="26">
        <v>19.569046499999999</v>
      </c>
      <c r="AC268" s="26">
        <v>0.43225032800000002</v>
      </c>
      <c r="AD268" s="26">
        <v>0</v>
      </c>
      <c r="AE268" s="26">
        <v>111.745508</v>
      </c>
      <c r="AF268" s="26">
        <v>787.62200399999995</v>
      </c>
      <c r="AG268" s="26">
        <v>0</v>
      </c>
      <c r="AH268" s="26">
        <v>32024.480900000002</v>
      </c>
      <c r="AI268" s="26">
        <v>0</v>
      </c>
      <c r="AJ268" s="26">
        <v>0</v>
      </c>
      <c r="AK268" s="26">
        <v>0</v>
      </c>
      <c r="AL268" s="26">
        <v>0</v>
      </c>
      <c r="AM268" s="26">
        <v>2.6698425399999999</v>
      </c>
      <c r="AN268" s="26">
        <v>44689.293299999998</v>
      </c>
      <c r="AO268" s="26">
        <v>167879.05300000001</v>
      </c>
      <c r="AP268" s="26">
        <v>0</v>
      </c>
      <c r="AQ268" s="26">
        <v>37.677142799999999</v>
      </c>
      <c r="AR268" s="26">
        <v>0</v>
      </c>
      <c r="AS268" s="26">
        <v>3900.3306099999995</v>
      </c>
      <c r="AT268" s="26">
        <v>3.2997423499999998</v>
      </c>
      <c r="AU268" s="26">
        <v>546.42160799999999</v>
      </c>
      <c r="AV268" s="26">
        <v>0.85279640199999995</v>
      </c>
      <c r="AW268" s="26">
        <v>0</v>
      </c>
      <c r="AX268" s="26">
        <v>0</v>
      </c>
      <c r="AY268" s="26">
        <v>0</v>
      </c>
      <c r="AZ268" s="26">
        <v>0</v>
      </c>
      <c r="BA268" s="26">
        <v>0</v>
      </c>
      <c r="BB268" s="26">
        <v>0</v>
      </c>
      <c r="BC268" s="26">
        <v>0</v>
      </c>
      <c r="BD268" s="26">
        <v>0</v>
      </c>
      <c r="BE268" s="26">
        <v>0</v>
      </c>
      <c r="BF268" s="26">
        <v>0</v>
      </c>
      <c r="BG268" s="26">
        <v>0</v>
      </c>
      <c r="BH268" s="26">
        <v>0</v>
      </c>
      <c r="BI268" s="26">
        <v>0</v>
      </c>
      <c r="BJ268" s="26">
        <v>0</v>
      </c>
      <c r="BK268" s="26">
        <v>0</v>
      </c>
      <c r="BL268" s="26">
        <v>0</v>
      </c>
      <c r="BM268" s="26">
        <v>0</v>
      </c>
      <c r="BN268" s="26">
        <v>0</v>
      </c>
      <c r="BO268" s="26">
        <v>152079.75399999999</v>
      </c>
      <c r="BP268" s="26">
        <v>2848198.16</v>
      </c>
      <c r="BQ268" s="26">
        <v>3194277.96</v>
      </c>
      <c r="BR268" s="26">
        <v>25</v>
      </c>
      <c r="BS268" s="26">
        <v>1</v>
      </c>
      <c r="BT268" s="26">
        <v>5.0793682899999998E-2</v>
      </c>
      <c r="BU268" s="26">
        <v>0.94920631700000002</v>
      </c>
      <c r="BV268" s="26">
        <v>0</v>
      </c>
      <c r="BW268" s="26">
        <v>-65047.364700000006</v>
      </c>
      <c r="BX268" s="26">
        <v>-3473.20892</v>
      </c>
      <c r="BY268" s="26">
        <v>-9892.3873199999998</v>
      </c>
      <c r="BZ268" s="26">
        <v>-36.943848199999998</v>
      </c>
      <c r="CA268" s="26">
        <v>-1.9726195500000001</v>
      </c>
      <c r="CB268" s="26">
        <v>7.93500933E-4</v>
      </c>
      <c r="CC268" s="26">
        <v>1.48609386E-2</v>
      </c>
      <c r="CD268" s="26">
        <v>18.728318999999999</v>
      </c>
      <c r="CE268" s="26">
        <v>0</v>
      </c>
      <c r="CF268" s="26">
        <v>0</v>
      </c>
      <c r="CG268" s="26">
        <v>0</v>
      </c>
      <c r="CH268" s="26">
        <v>0</v>
      </c>
      <c r="CI268" s="26">
        <v>0</v>
      </c>
      <c r="CJ268" s="26">
        <v>0</v>
      </c>
      <c r="CK268" s="26">
        <v>0</v>
      </c>
      <c r="CL268" s="26">
        <v>0</v>
      </c>
      <c r="CM268" s="26">
        <v>0</v>
      </c>
      <c r="CN268" s="26">
        <v>0</v>
      </c>
      <c r="CO268" s="26">
        <v>0</v>
      </c>
      <c r="CP268" s="26">
        <v>0</v>
      </c>
      <c r="CQ268" s="26">
        <v>0</v>
      </c>
      <c r="CR268" s="26">
        <v>0</v>
      </c>
      <c r="CS268" s="26">
        <v>0</v>
      </c>
      <c r="CT268" s="26">
        <v>0</v>
      </c>
      <c r="CU268" s="26">
        <v>0</v>
      </c>
      <c r="CV268" s="26">
        <v>0</v>
      </c>
      <c r="CW268" s="26">
        <v>0</v>
      </c>
      <c r="CX268" s="26">
        <v>0</v>
      </c>
      <c r="CY268" s="26">
        <v>0</v>
      </c>
      <c r="CZ268" s="26">
        <v>0</v>
      </c>
      <c r="DA268" s="26">
        <v>0</v>
      </c>
      <c r="DB268" s="26">
        <v>0</v>
      </c>
      <c r="DC268" s="26">
        <v>0</v>
      </c>
      <c r="DD268" s="26">
        <v>0</v>
      </c>
      <c r="DE268" s="26">
        <v>0</v>
      </c>
      <c r="DF268" s="26">
        <v>0</v>
      </c>
      <c r="DG268" s="26">
        <v>0</v>
      </c>
      <c r="DH268" s="26">
        <v>0</v>
      </c>
      <c r="DI268" s="26">
        <v>0</v>
      </c>
      <c r="DJ268" s="26">
        <v>0</v>
      </c>
      <c r="DK268" s="26">
        <v>0</v>
      </c>
      <c r="DL268" s="26">
        <v>0</v>
      </c>
      <c r="DM268" s="26">
        <v>0</v>
      </c>
      <c r="DN268" s="26">
        <v>0</v>
      </c>
      <c r="DO268" s="26">
        <v>0</v>
      </c>
      <c r="DP268" s="26">
        <v>0</v>
      </c>
      <c r="DQ268" s="26">
        <v>0</v>
      </c>
      <c r="DR268" s="26">
        <v>0</v>
      </c>
      <c r="DS268" s="26">
        <v>0</v>
      </c>
      <c r="DT268" s="26">
        <v>0</v>
      </c>
      <c r="DU268" s="26">
        <v>0</v>
      </c>
      <c r="DV268" s="26">
        <v>0</v>
      </c>
      <c r="DW268" s="26">
        <v>0</v>
      </c>
      <c r="DX268" s="26">
        <v>193.611019</v>
      </c>
      <c r="DY268" s="26">
        <v>4.7806523199999997</v>
      </c>
      <c r="DZ268" s="26">
        <v>2.0058681100000002</v>
      </c>
      <c r="EA268" s="26">
        <v>65.291006899999999</v>
      </c>
      <c r="EB268" s="26">
        <v>7.9566101600000003</v>
      </c>
      <c r="EC268" s="26">
        <v>1925.11906</v>
      </c>
      <c r="ED268" s="26">
        <v>0</v>
      </c>
      <c r="EE268" s="26">
        <v>0.69917998599999998</v>
      </c>
      <c r="EF268" s="26">
        <v>633.905754</v>
      </c>
      <c r="EG268" s="26">
        <v>80.368157600000004</v>
      </c>
      <c r="EH268" s="26">
        <v>8.9298081699999994</v>
      </c>
      <c r="EI268" s="26">
        <v>129.00556599999999</v>
      </c>
      <c r="EJ268" s="26">
        <v>16.635585899999999</v>
      </c>
      <c r="EK268" s="26">
        <v>19632.463</v>
      </c>
      <c r="EL268" s="26">
        <v>73.006231499999998</v>
      </c>
      <c r="EM268" s="26">
        <v>0</v>
      </c>
      <c r="EN268" s="26">
        <v>0</v>
      </c>
      <c r="EO268" s="26">
        <v>0</v>
      </c>
      <c r="EP268" s="26">
        <v>880.76243599999998</v>
      </c>
      <c r="EQ268" s="26">
        <v>22773.7775</v>
      </c>
      <c r="ER268" s="26">
        <v>256.31509299999999</v>
      </c>
      <c r="ES268" s="26">
        <v>25</v>
      </c>
      <c r="ET268" s="26">
        <v>1</v>
      </c>
      <c r="EU268" s="26">
        <v>0</v>
      </c>
      <c r="EV268" s="26">
        <v>0</v>
      </c>
      <c r="EW268" s="26">
        <v>1</v>
      </c>
      <c r="EX268" s="26">
        <v>-26578.133600000001</v>
      </c>
      <c r="EY268" s="26">
        <v>-1027.8936699999999</v>
      </c>
      <c r="EZ268" s="26">
        <v>-23.409021899999999</v>
      </c>
      <c r="FA268" s="26">
        <v>-82.469626199999993</v>
      </c>
      <c r="FB268" s="26">
        <v>-3.18946423</v>
      </c>
      <c r="FC268" s="26">
        <v>5.7270812900000002E-2</v>
      </c>
      <c r="FD268" s="26">
        <v>1.4808451199999999</v>
      </c>
      <c r="FE268" s="26">
        <v>25.856890100000001</v>
      </c>
      <c r="FF268" s="26">
        <v>0</v>
      </c>
      <c r="FG268" s="26">
        <v>1.1981411900000001E-2</v>
      </c>
      <c r="FH268" s="26">
        <v>-11532071143.42</v>
      </c>
      <c r="FI268" s="26">
        <v>3.1817454698984081E-2</v>
      </c>
      <c r="FJ268" s="26">
        <v>6.6952938868956841E-2</v>
      </c>
      <c r="FK268" s="26">
        <v>1.2809487408031456E-7</v>
      </c>
      <c r="FL268" s="26">
        <v>1.0798155891940803E-20</v>
      </c>
      <c r="FM268" s="26">
        <v>2.3703883022964398E-20</v>
      </c>
      <c r="FN268" s="26">
        <v>9.9456851906765926E-21</v>
      </c>
      <c r="FO268" s="26">
        <v>5.6813031565615361E-18</v>
      </c>
      <c r="FP268" s="26">
        <v>1.1773257649741616E-18</v>
      </c>
      <c r="FQ268" s="26">
        <v>1.8605806037735338E-16</v>
      </c>
      <c r="FR268" s="26">
        <v>0</v>
      </c>
      <c r="FS268" s="26">
        <v>2.6082773291995519E-20</v>
      </c>
      <c r="FT268" s="26">
        <v>6.5823549693255069E-22</v>
      </c>
      <c r="FU268" s="26">
        <v>2.7618272554279513E-22</v>
      </c>
      <c r="FV268" s="26">
        <v>2.3743627495504575E-18</v>
      </c>
      <c r="FW268" s="26">
        <v>2.3326426325500302E-18</v>
      </c>
      <c r="FX268" s="26">
        <v>2.5291046757883932E-19</v>
      </c>
      <c r="FY268" s="26">
        <v>2.3142283462916046E-11</v>
      </c>
      <c r="FZ268" s="26">
        <v>2.090361008389555E-11</v>
      </c>
      <c r="GA268" s="26">
        <v>1.0346723610551567E-7</v>
      </c>
      <c r="GB268" s="26">
        <v>1.0962843671036082E-9</v>
      </c>
      <c r="GC268" s="26">
        <v>4.6642554539807097E-12</v>
      </c>
      <c r="GD268" s="26">
        <v>6.5697157192243923E-18</v>
      </c>
      <c r="GE268" s="26">
        <v>1.3385182440414792E-14</v>
      </c>
      <c r="GF268" s="26">
        <v>6.2375148554556742E-15</v>
      </c>
      <c r="GG268" s="26">
        <v>8.7902609314331974E-6</v>
      </c>
      <c r="GH268" s="26">
        <v>5.1086484853136323E-15</v>
      </c>
      <c r="GI268" s="26">
        <v>0</v>
      </c>
      <c r="GJ268" s="26">
        <v>0</v>
      </c>
      <c r="GK268" s="26">
        <v>0</v>
      </c>
      <c r="GL268" s="26">
        <v>0</v>
      </c>
      <c r="GM268" s="26">
        <v>1.3654107442566193E-6</v>
      </c>
      <c r="GN268" s="26">
        <v>0</v>
      </c>
      <c r="GO268" s="26">
        <v>0</v>
      </c>
      <c r="GP268" s="26">
        <v>0</v>
      </c>
      <c r="GQ268" s="26">
        <v>0</v>
      </c>
      <c r="GR268" s="26">
        <v>1.2528851905786372E-16</v>
      </c>
      <c r="GS268" s="26">
        <v>0.38777622810220985</v>
      </c>
      <c r="GT268" s="26">
        <v>1.6642988438699464</v>
      </c>
      <c r="GU268" s="26">
        <v>0</v>
      </c>
      <c r="GV268" s="26">
        <v>1.3671973664931346E-5</v>
      </c>
      <c r="GW268" s="26">
        <v>0</v>
      </c>
      <c r="GX268" s="26">
        <v>2.4340626333613898E-2</v>
      </c>
      <c r="GY268" s="26">
        <v>5.7107587401305142E-5</v>
      </c>
      <c r="GZ268" s="26">
        <v>2.2970159322650164E-3</v>
      </c>
      <c r="HA268" s="26">
        <v>6.4509142182739807E-7</v>
      </c>
      <c r="HB268" s="26">
        <v>0</v>
      </c>
      <c r="HC268" s="26">
        <v>0</v>
      </c>
      <c r="HD268" s="26">
        <v>0</v>
      </c>
      <c r="HE268" s="26">
        <v>0</v>
      </c>
      <c r="HF268" s="26">
        <v>0</v>
      </c>
      <c r="HG268" s="26">
        <v>0</v>
      </c>
      <c r="HH268" s="26">
        <v>0</v>
      </c>
      <c r="HI268" s="26">
        <v>0</v>
      </c>
      <c r="HJ268" s="26">
        <v>0</v>
      </c>
      <c r="HK268" s="26">
        <v>0</v>
      </c>
      <c r="HL268" s="26">
        <v>0</v>
      </c>
      <c r="HM268" s="26">
        <v>0</v>
      </c>
      <c r="HN268" s="26">
        <v>0</v>
      </c>
      <c r="HO268" s="26">
        <v>0</v>
      </c>
      <c r="HP268" s="26">
        <v>0</v>
      </c>
      <c r="HQ268" s="26">
        <v>0</v>
      </c>
      <c r="HR268" s="26">
        <v>0</v>
      </c>
      <c r="HS268" s="26">
        <v>0</v>
      </c>
      <c r="HT268" s="26">
        <v>0.26899176242971184</v>
      </c>
    </row>
    <row r="269" spans="2:228" x14ac:dyDescent="0.2">
      <c r="B269" s="27" t="s">
        <v>2892</v>
      </c>
      <c r="C269" s="26">
        <v>2866467.8</v>
      </c>
      <c r="D269" s="26">
        <v>-9890.9323800000002</v>
      </c>
      <c r="E269" s="26">
        <v>2592855.31</v>
      </c>
      <c r="F269" s="26">
        <v>0.68059544199999999</v>
      </c>
      <c r="G269" s="26">
        <v>1.8614213599999998</v>
      </c>
      <c r="H269" s="26">
        <v>4.0861527300000002</v>
      </c>
      <c r="I269" s="26">
        <v>1.7144696800000001</v>
      </c>
      <c r="J269" s="26">
        <v>3.7922778899999998</v>
      </c>
      <c r="K269" s="26">
        <v>0.78586661199999996</v>
      </c>
      <c r="L269" s="26">
        <v>1.18234836</v>
      </c>
      <c r="M269" s="26">
        <v>0</v>
      </c>
      <c r="N269" s="26">
        <v>4.0466224200000003</v>
      </c>
      <c r="O269" s="26">
        <v>0.102122213</v>
      </c>
      <c r="P269" s="26">
        <v>4.2848480799999998E-2</v>
      </c>
      <c r="Q269" s="26">
        <v>1.39470878</v>
      </c>
      <c r="R269" s="26">
        <v>1.37020224</v>
      </c>
      <c r="S269" s="26">
        <v>43.597532000000001</v>
      </c>
      <c r="T269" s="26">
        <v>378.96026000000001</v>
      </c>
      <c r="U269" s="26">
        <v>1.3206888800000001</v>
      </c>
      <c r="V269" s="26">
        <v>1.7630608999999997</v>
      </c>
      <c r="W269" s="26">
        <v>0.21610312800000001</v>
      </c>
      <c r="X269" s="26">
        <v>6.0496848999999999</v>
      </c>
      <c r="Y269" s="26">
        <v>2.6960174000000001</v>
      </c>
      <c r="Z269" s="26">
        <v>0.62268410299999999</v>
      </c>
      <c r="AA269" s="26">
        <v>1.63456354</v>
      </c>
      <c r="AB269" s="26">
        <v>694.531297</v>
      </c>
      <c r="AC269" s="26">
        <v>0.43225032800000002</v>
      </c>
      <c r="AD269" s="26">
        <v>0</v>
      </c>
      <c r="AE269" s="26">
        <v>1396.8188500000001</v>
      </c>
      <c r="AF269" s="26">
        <v>787.62200399999995</v>
      </c>
      <c r="AG269" s="26">
        <v>0</v>
      </c>
      <c r="AH269" s="26">
        <v>27238.965499999998</v>
      </c>
      <c r="AI269" s="26">
        <v>0</v>
      </c>
      <c r="AJ269" s="26">
        <v>0</v>
      </c>
      <c r="AK269" s="26">
        <v>0</v>
      </c>
      <c r="AL269" s="26">
        <v>0</v>
      </c>
      <c r="AM269" s="26">
        <v>2.6698425399999999</v>
      </c>
      <c r="AN269" s="26">
        <v>49359.515099999997</v>
      </c>
      <c r="AO269" s="26">
        <v>167879.05300000001</v>
      </c>
      <c r="AP269" s="26">
        <v>0</v>
      </c>
      <c r="AQ269" s="26">
        <v>37.677142799999999</v>
      </c>
      <c r="AR269" s="26">
        <v>0</v>
      </c>
      <c r="AS269" s="26">
        <v>2432.9322900000002</v>
      </c>
      <c r="AT269" s="26">
        <v>3.2997423499999998</v>
      </c>
      <c r="AU269" s="26">
        <v>546.42160799999999</v>
      </c>
      <c r="AV269" s="26">
        <v>0.85279640199999995</v>
      </c>
      <c r="AW269" s="26">
        <v>0</v>
      </c>
      <c r="AX269" s="26">
        <v>0</v>
      </c>
      <c r="AY269" s="26">
        <v>0</v>
      </c>
      <c r="AZ269" s="26">
        <v>0</v>
      </c>
      <c r="BA269" s="26">
        <v>0</v>
      </c>
      <c r="BB269" s="26">
        <v>0</v>
      </c>
      <c r="BC269" s="26">
        <v>0</v>
      </c>
      <c r="BD269" s="26">
        <v>0</v>
      </c>
      <c r="BE269" s="26">
        <v>0</v>
      </c>
      <c r="BF269" s="26">
        <v>0</v>
      </c>
      <c r="BG269" s="26">
        <v>0</v>
      </c>
      <c r="BH269" s="26">
        <v>0</v>
      </c>
      <c r="BI269" s="26">
        <v>0</v>
      </c>
      <c r="BJ269" s="26">
        <v>0</v>
      </c>
      <c r="BK269" s="26">
        <v>0</v>
      </c>
      <c r="BL269" s="26">
        <v>0</v>
      </c>
      <c r="BM269" s="26">
        <v>0</v>
      </c>
      <c r="BN269" s="26">
        <v>0</v>
      </c>
      <c r="BO269" s="26">
        <v>151921.399</v>
      </c>
      <c r="BP269" s="26">
        <v>2843694.03</v>
      </c>
      <c r="BQ269" s="26">
        <v>3242136.34</v>
      </c>
      <c r="BR269" s="26">
        <v>25</v>
      </c>
      <c r="BS269" s="26">
        <v>1</v>
      </c>
      <c r="BT269" s="26">
        <v>5.16221875E-2</v>
      </c>
      <c r="BU269" s="26">
        <v>0.94837781200000004</v>
      </c>
      <c r="BV269" s="26">
        <v>0</v>
      </c>
      <c r="BW269" s="26">
        <v>-64951.503700000001</v>
      </c>
      <c r="BX269" s="26">
        <v>-3469.9666000000002</v>
      </c>
      <c r="BY269" s="26">
        <v>-9867.5233599999992</v>
      </c>
      <c r="BZ269" s="26">
        <v>-36.9098884</v>
      </c>
      <c r="CA269" s="26">
        <v>-1.9718724400000003</v>
      </c>
      <c r="CB269" s="26">
        <v>7.8097372199999995E-4</v>
      </c>
      <c r="CC269" s="26">
        <v>1.4618416699999999E-2</v>
      </c>
      <c r="CD269" s="26">
        <v>18.718192800000001</v>
      </c>
      <c r="CE269" s="26">
        <v>0</v>
      </c>
      <c r="CF269" s="26">
        <v>0</v>
      </c>
      <c r="CG269" s="26">
        <v>0</v>
      </c>
      <c r="CH269" s="26">
        <v>0</v>
      </c>
      <c r="CI269" s="26">
        <v>0</v>
      </c>
      <c r="CJ269" s="26">
        <v>0</v>
      </c>
      <c r="CK269" s="26">
        <v>0</v>
      </c>
      <c r="CL269" s="26">
        <v>0</v>
      </c>
      <c r="CM269" s="26">
        <v>0</v>
      </c>
      <c r="CN269" s="26">
        <v>0</v>
      </c>
      <c r="CO269" s="26">
        <v>0</v>
      </c>
      <c r="CP269" s="26">
        <v>0</v>
      </c>
      <c r="CQ269" s="26">
        <v>0</v>
      </c>
      <c r="CR269" s="26">
        <v>0</v>
      </c>
      <c r="CS269" s="26">
        <v>0</v>
      </c>
      <c r="CT269" s="26">
        <v>0</v>
      </c>
      <c r="CU269" s="26">
        <v>0</v>
      </c>
      <c r="CV269" s="26">
        <v>0</v>
      </c>
      <c r="CW269" s="26">
        <v>0</v>
      </c>
      <c r="CX269" s="26">
        <v>0</v>
      </c>
      <c r="CY269" s="26">
        <v>0</v>
      </c>
      <c r="CZ269" s="26">
        <v>0</v>
      </c>
      <c r="DA269" s="26">
        <v>0</v>
      </c>
      <c r="DB269" s="26">
        <v>0</v>
      </c>
      <c r="DC269" s="26">
        <v>0</v>
      </c>
      <c r="DD269" s="26">
        <v>0</v>
      </c>
      <c r="DE269" s="26">
        <v>0</v>
      </c>
      <c r="DF269" s="26">
        <v>0</v>
      </c>
      <c r="DG269" s="26">
        <v>0</v>
      </c>
      <c r="DH269" s="26">
        <v>0</v>
      </c>
      <c r="DI269" s="26">
        <v>0</v>
      </c>
      <c r="DJ269" s="26">
        <v>0</v>
      </c>
      <c r="DK269" s="26">
        <v>0</v>
      </c>
      <c r="DL269" s="26">
        <v>0</v>
      </c>
      <c r="DM269" s="26">
        <v>0</v>
      </c>
      <c r="DN269" s="26">
        <v>0</v>
      </c>
      <c r="DO269" s="26">
        <v>0</v>
      </c>
      <c r="DP269" s="26">
        <v>0</v>
      </c>
      <c r="DQ269" s="26">
        <v>0</v>
      </c>
      <c r="DR269" s="26">
        <v>0</v>
      </c>
      <c r="DS269" s="26">
        <v>0</v>
      </c>
      <c r="DT269" s="26">
        <v>0</v>
      </c>
      <c r="DU269" s="26">
        <v>0</v>
      </c>
      <c r="DV269" s="26">
        <v>0</v>
      </c>
      <c r="DW269" s="26">
        <v>0</v>
      </c>
      <c r="DX269" s="26">
        <v>193.611019</v>
      </c>
      <c r="DY269" s="26">
        <v>4.7806523199999997</v>
      </c>
      <c r="DZ269" s="26">
        <v>2.0058681100000002</v>
      </c>
      <c r="EA269" s="26">
        <v>65.291006899999999</v>
      </c>
      <c r="EB269" s="26">
        <v>7.9566101600000003</v>
      </c>
      <c r="EC269" s="26">
        <v>1925.11906</v>
      </c>
      <c r="ED269" s="26">
        <v>0</v>
      </c>
      <c r="EE269" s="26">
        <v>0.69917998599999998</v>
      </c>
      <c r="EF269" s="26">
        <v>633.905754</v>
      </c>
      <c r="EG269" s="26">
        <v>80.368157600000004</v>
      </c>
      <c r="EH269" s="26">
        <v>8.9298081699999994</v>
      </c>
      <c r="EI269" s="26">
        <v>129.00556599999999</v>
      </c>
      <c r="EJ269" s="26">
        <v>16.635585899999999</v>
      </c>
      <c r="EK269" s="26">
        <v>19632.463</v>
      </c>
      <c r="EL269" s="26">
        <v>73.006231499999998</v>
      </c>
      <c r="EM269" s="26">
        <v>0</v>
      </c>
      <c r="EN269" s="26">
        <v>0</v>
      </c>
      <c r="EO269" s="26">
        <v>0</v>
      </c>
      <c r="EP269" s="26">
        <v>880.76243599999998</v>
      </c>
      <c r="EQ269" s="26">
        <v>22773.7775</v>
      </c>
      <c r="ER269" s="26">
        <v>256.31509299999999</v>
      </c>
      <c r="ES269" s="26">
        <v>25</v>
      </c>
      <c r="ET269" s="26">
        <v>1</v>
      </c>
      <c r="EU269" s="26">
        <v>0</v>
      </c>
      <c r="EV269" s="26">
        <v>0</v>
      </c>
      <c r="EW269" s="26">
        <v>1</v>
      </c>
      <c r="EX269" s="26">
        <v>-26578.133600000001</v>
      </c>
      <c r="EY269" s="26">
        <v>-1027.8936699999999</v>
      </c>
      <c r="EZ269" s="26">
        <v>-23.409021899999999</v>
      </c>
      <c r="FA269" s="26">
        <v>-82.469626199999993</v>
      </c>
      <c r="FB269" s="26">
        <v>-3.18946423</v>
      </c>
      <c r="FC269" s="26">
        <v>5.7270812900000002E-2</v>
      </c>
      <c r="FD269" s="26">
        <v>1.4808451199999999</v>
      </c>
      <c r="FE269" s="26">
        <v>25.856890100000001</v>
      </c>
      <c r="FF269" s="26">
        <v>0</v>
      </c>
      <c r="FG269" s="26">
        <v>1.23724601E-2</v>
      </c>
      <c r="FH269" s="26">
        <v>-11503154357.940001</v>
      </c>
      <c r="FI269" s="26">
        <v>3.1817454698984081E-2</v>
      </c>
      <c r="FJ269" s="26">
        <v>6.7974399710461875E-2</v>
      </c>
      <c r="FK269" s="26">
        <v>1.3032617159816494E-7</v>
      </c>
      <c r="FL269" s="26">
        <v>1.0991481421265185E-20</v>
      </c>
      <c r="FM269" s="26">
        <v>2.4128267109692805E-20</v>
      </c>
      <c r="FN269" s="26">
        <v>1.0123748442101099E-20</v>
      </c>
      <c r="FO269" s="26">
        <v>5.7830187407085941E-18</v>
      </c>
      <c r="FP269" s="26">
        <v>1.1984040984761217E-18</v>
      </c>
      <c r="FQ269" s="26">
        <v>1.8938916318177997E-16</v>
      </c>
      <c r="FR269" s="26">
        <v>0</v>
      </c>
      <c r="FS269" s="26">
        <v>2.654974799017576E-20</v>
      </c>
      <c r="FT269" s="26">
        <v>6.7002026091571763E-22</v>
      </c>
      <c r="FU269" s="26">
        <v>2.8112738280457463E-22</v>
      </c>
      <c r="FV269" s="26">
        <v>2.416872313779423E-18</v>
      </c>
      <c r="FW269" s="26">
        <v>2.3744052551063529E-18</v>
      </c>
      <c r="FX269" s="26">
        <v>2.5743846733728548E-19</v>
      </c>
      <c r="FY269" s="26">
        <v>2.3556612882897346E-11</v>
      </c>
      <c r="FZ269" s="26">
        <v>2.1294595059245649E-11</v>
      </c>
      <c r="GA269" s="26">
        <v>1.0527771584222172E-7</v>
      </c>
      <c r="GB269" s="26">
        <v>1.1159067783716985E-9</v>
      </c>
      <c r="GC269" s="26">
        <v>4.7477622324265419E-12</v>
      </c>
      <c r="GD269" s="26">
        <v>6.6873370812764742E-18</v>
      </c>
      <c r="GE269" s="26">
        <v>1.3625293414557904E-14</v>
      </c>
      <c r="GF269" s="26">
        <v>6.3491886341268426E-15</v>
      </c>
      <c r="GG269" s="26">
        <v>3.1753339142915601E-4</v>
      </c>
      <c r="GH269" s="26">
        <v>5.2001115138231147E-15</v>
      </c>
      <c r="GI269" s="26">
        <v>0</v>
      </c>
      <c r="GJ269" s="26">
        <v>0</v>
      </c>
      <c r="GK269" s="26">
        <v>0</v>
      </c>
      <c r="GL269" s="26">
        <v>0</v>
      </c>
      <c r="GM269" s="26">
        <v>1.1821657233462147E-6</v>
      </c>
      <c r="GN269" s="26">
        <v>0</v>
      </c>
      <c r="GO269" s="26">
        <v>0</v>
      </c>
      <c r="GP269" s="26">
        <v>0</v>
      </c>
      <c r="GQ269" s="26">
        <v>0</v>
      </c>
      <c r="GR269" s="26">
        <v>1.275316304646975E-16</v>
      </c>
      <c r="GS269" s="26">
        <v>0.42830360064865103</v>
      </c>
      <c r="GT269" s="26">
        <v>1.664304918869995</v>
      </c>
      <c r="GU269" s="26">
        <v>0</v>
      </c>
      <c r="GV269" s="26">
        <v>1.3901792666769897E-5</v>
      </c>
      <c r="GW269" s="26">
        <v>0</v>
      </c>
      <c r="GX269" s="26">
        <v>1.5186103899266609E-2</v>
      </c>
      <c r="GY269" s="26">
        <v>5.7108060456864486E-5</v>
      </c>
      <c r="GZ269" s="26">
        <v>2.3167472824228669E-3</v>
      </c>
      <c r="HA269" s="26">
        <v>6.5459624690343665E-7</v>
      </c>
      <c r="HB269" s="26">
        <v>0</v>
      </c>
      <c r="HC269" s="26">
        <v>0</v>
      </c>
      <c r="HD269" s="26">
        <v>0</v>
      </c>
      <c r="HE269" s="26">
        <v>0</v>
      </c>
      <c r="HF269" s="26">
        <v>0</v>
      </c>
      <c r="HG269" s="26">
        <v>0</v>
      </c>
      <c r="HH269" s="26">
        <v>0</v>
      </c>
      <c r="HI269" s="26">
        <v>0</v>
      </c>
      <c r="HJ269" s="26">
        <v>0</v>
      </c>
      <c r="HK269" s="26">
        <v>0</v>
      </c>
      <c r="HL269" s="26">
        <v>0</v>
      </c>
      <c r="HM269" s="26">
        <v>0</v>
      </c>
      <c r="HN269" s="26">
        <v>0</v>
      </c>
      <c r="HO269" s="26">
        <v>0</v>
      </c>
      <c r="HP269" s="26">
        <v>0</v>
      </c>
      <c r="HQ269" s="26">
        <v>0</v>
      </c>
      <c r="HR269" s="26">
        <v>0</v>
      </c>
      <c r="HS269" s="26">
        <v>0</v>
      </c>
      <c r="HT269" s="26">
        <v>0.26899176242971184</v>
      </c>
    </row>
    <row r="270" spans="2:228" x14ac:dyDescent="0.2">
      <c r="B270" s="27" t="s">
        <v>3008</v>
      </c>
      <c r="C270" s="26">
        <v>2649972.5</v>
      </c>
      <c r="D270" s="26">
        <v>-9893.3383400000002</v>
      </c>
      <c r="E270" s="26">
        <v>2593394.56</v>
      </c>
      <c r="F270" s="26">
        <v>0.65935109599999997</v>
      </c>
      <c r="G270" s="26">
        <v>1.8614213599999998</v>
      </c>
      <c r="H270" s="26">
        <v>4.0861527300000002</v>
      </c>
      <c r="I270" s="26">
        <v>1.7144696800000001</v>
      </c>
      <c r="J270" s="26">
        <v>3.7922778899999998</v>
      </c>
      <c r="K270" s="26">
        <v>0.78586661199999996</v>
      </c>
      <c r="L270" s="26">
        <v>1.18234836</v>
      </c>
      <c r="M270" s="26">
        <v>0</v>
      </c>
      <c r="N270" s="26">
        <v>4.0466224200000003</v>
      </c>
      <c r="O270" s="26">
        <v>0.102122213</v>
      </c>
      <c r="P270" s="26">
        <v>4.2848480799999998E-2</v>
      </c>
      <c r="Q270" s="26">
        <v>1.39470878</v>
      </c>
      <c r="R270" s="26">
        <v>1.37020224</v>
      </c>
      <c r="S270" s="26">
        <v>43.597532000000001</v>
      </c>
      <c r="T270" s="26">
        <v>378.96024699999998</v>
      </c>
      <c r="U270" s="26">
        <v>1.32067939</v>
      </c>
      <c r="V270" s="26">
        <v>1.7272707700000001</v>
      </c>
      <c r="W270" s="26">
        <v>0.21586612299999999</v>
      </c>
      <c r="X270" s="26">
        <v>6.0496833800000003</v>
      </c>
      <c r="Y270" s="26">
        <v>2.6960174000000001</v>
      </c>
      <c r="Z270" s="26">
        <v>0.62268409800000002</v>
      </c>
      <c r="AA270" s="26">
        <v>1.63456354</v>
      </c>
      <c r="AB270" s="26">
        <v>19.0301154</v>
      </c>
      <c r="AC270" s="26">
        <v>0.43225032699999999</v>
      </c>
      <c r="AD270" s="26">
        <v>0</v>
      </c>
      <c r="AE270" s="26">
        <v>111.745508</v>
      </c>
      <c r="AF270" s="26">
        <v>787.62200399999995</v>
      </c>
      <c r="AG270" s="26">
        <v>0</v>
      </c>
      <c r="AH270" s="26">
        <v>32024.063100000003</v>
      </c>
      <c r="AI270" s="26">
        <v>0</v>
      </c>
      <c r="AJ270" s="26">
        <v>0</v>
      </c>
      <c r="AK270" s="26">
        <v>0</v>
      </c>
      <c r="AL270" s="26">
        <v>0</v>
      </c>
      <c r="AM270" s="26">
        <v>2.6698425399999999</v>
      </c>
      <c r="AN270" s="26">
        <v>19.147541799999999</v>
      </c>
      <c r="AO270" s="26">
        <v>36.966232900000001</v>
      </c>
      <c r="AP270" s="26">
        <v>0</v>
      </c>
      <c r="AQ270" s="26">
        <v>35.412791300000002</v>
      </c>
      <c r="AR270" s="26">
        <v>0</v>
      </c>
      <c r="AS270" s="26">
        <v>43.916695500000003</v>
      </c>
      <c r="AT270" s="26">
        <v>1.55442589E-3</v>
      </c>
      <c r="AU270" s="26">
        <v>264.58977700000003</v>
      </c>
      <c r="AV270" s="26">
        <v>0.704016855</v>
      </c>
      <c r="AW270" s="26">
        <v>0</v>
      </c>
      <c r="AX270" s="26">
        <v>0</v>
      </c>
      <c r="AY270" s="26">
        <v>0</v>
      </c>
      <c r="AZ270" s="26">
        <v>0</v>
      </c>
      <c r="BA270" s="26">
        <v>0</v>
      </c>
      <c r="BB270" s="26">
        <v>0</v>
      </c>
      <c r="BC270" s="26">
        <v>0</v>
      </c>
      <c r="BD270" s="26">
        <v>0</v>
      </c>
      <c r="BE270" s="26">
        <v>0</v>
      </c>
      <c r="BF270" s="26">
        <v>0</v>
      </c>
      <c r="BG270" s="26">
        <v>0</v>
      </c>
      <c r="BH270" s="26">
        <v>0</v>
      </c>
      <c r="BI270" s="26">
        <v>0</v>
      </c>
      <c r="BJ270" s="26">
        <v>0</v>
      </c>
      <c r="BK270" s="26">
        <v>0</v>
      </c>
      <c r="BL270" s="26">
        <v>0</v>
      </c>
      <c r="BM270" s="26">
        <v>0</v>
      </c>
      <c r="BN270" s="26">
        <v>0</v>
      </c>
      <c r="BO270" s="26">
        <v>144355.06400000001</v>
      </c>
      <c r="BP270" s="26">
        <v>2627198.7200000002</v>
      </c>
      <c r="BQ270" s="26">
        <v>44538.191599999998</v>
      </c>
      <c r="BR270" s="26">
        <v>25.107175699999971</v>
      </c>
      <c r="BS270" s="26">
        <v>4.4022981999999997</v>
      </c>
      <c r="BT270" s="26">
        <v>0</v>
      </c>
      <c r="BU270" s="26">
        <v>1</v>
      </c>
      <c r="BV270" s="26">
        <v>0</v>
      </c>
      <c r="BW270" s="26">
        <v>-68372.593699999998</v>
      </c>
      <c r="BX270" s="26">
        <v>-3756.82663</v>
      </c>
      <c r="BY270" s="26">
        <v>-9869.9301899999991</v>
      </c>
      <c r="BZ270" s="26">
        <v>-38.969707700000001</v>
      </c>
      <c r="CA270" s="26">
        <v>-2.14124443</v>
      </c>
      <c r="CB270" s="26">
        <v>5.4019204899999999E-2</v>
      </c>
      <c r="CC270" s="26">
        <v>0.98312579099999997</v>
      </c>
      <c r="CD270" s="26">
        <v>18.199560600000002</v>
      </c>
      <c r="CE270" s="26">
        <v>0</v>
      </c>
      <c r="CF270" s="26">
        <v>0</v>
      </c>
      <c r="CG270" s="26">
        <v>0</v>
      </c>
      <c r="CH270" s="26">
        <v>0</v>
      </c>
      <c r="CI270" s="26">
        <v>0</v>
      </c>
      <c r="CJ270" s="26">
        <v>0</v>
      </c>
      <c r="CK270" s="26">
        <v>0</v>
      </c>
      <c r="CL270" s="26">
        <v>0</v>
      </c>
      <c r="CM270" s="26">
        <v>0</v>
      </c>
      <c r="CN270" s="26">
        <v>0</v>
      </c>
      <c r="CO270" s="26">
        <v>0</v>
      </c>
      <c r="CP270" s="26">
        <v>0</v>
      </c>
      <c r="CQ270" s="26">
        <v>0</v>
      </c>
      <c r="CR270" s="26">
        <v>0</v>
      </c>
      <c r="CS270" s="26">
        <v>0</v>
      </c>
      <c r="CT270" s="26">
        <v>0</v>
      </c>
      <c r="CU270" s="26">
        <v>0</v>
      </c>
      <c r="CV270" s="26">
        <v>0</v>
      </c>
      <c r="CW270" s="26">
        <v>0</v>
      </c>
      <c r="CX270" s="26">
        <v>0</v>
      </c>
      <c r="CY270" s="26">
        <v>0</v>
      </c>
      <c r="CZ270" s="26">
        <v>0</v>
      </c>
      <c r="DA270" s="26">
        <v>0</v>
      </c>
      <c r="DB270" s="26">
        <v>0</v>
      </c>
      <c r="DC270" s="26">
        <v>0</v>
      </c>
      <c r="DD270" s="26">
        <v>0</v>
      </c>
      <c r="DE270" s="26">
        <v>0</v>
      </c>
      <c r="DF270" s="26">
        <v>0</v>
      </c>
      <c r="DG270" s="26">
        <v>0</v>
      </c>
      <c r="DH270" s="26">
        <v>0</v>
      </c>
      <c r="DI270" s="26">
        <v>0</v>
      </c>
      <c r="DJ270" s="26">
        <v>0</v>
      </c>
      <c r="DK270" s="26">
        <v>0</v>
      </c>
      <c r="DL270" s="26">
        <v>0</v>
      </c>
      <c r="DM270" s="26">
        <v>0</v>
      </c>
      <c r="DN270" s="26">
        <v>0</v>
      </c>
      <c r="DO270" s="26">
        <v>0</v>
      </c>
      <c r="DP270" s="26">
        <v>0</v>
      </c>
      <c r="DQ270" s="26">
        <v>0</v>
      </c>
      <c r="DR270" s="26">
        <v>0</v>
      </c>
      <c r="DS270" s="26">
        <v>0</v>
      </c>
      <c r="DT270" s="26">
        <v>0</v>
      </c>
      <c r="DU270" s="26">
        <v>0</v>
      </c>
      <c r="DV270" s="26">
        <v>0</v>
      </c>
      <c r="DW270" s="26">
        <v>0</v>
      </c>
      <c r="DX270" s="26">
        <v>193.611019</v>
      </c>
      <c r="DY270" s="26">
        <v>4.7806523199999997</v>
      </c>
      <c r="DZ270" s="26">
        <v>2.0058681100000002</v>
      </c>
      <c r="EA270" s="26">
        <v>65.291006899999999</v>
      </c>
      <c r="EB270" s="26">
        <v>7.9566101600000003</v>
      </c>
      <c r="EC270" s="26">
        <v>1925.11906</v>
      </c>
      <c r="ED270" s="26">
        <v>0</v>
      </c>
      <c r="EE270" s="26">
        <v>0.69917998599999998</v>
      </c>
      <c r="EF270" s="26">
        <v>633.905754</v>
      </c>
      <c r="EG270" s="26">
        <v>80.368157600000004</v>
      </c>
      <c r="EH270" s="26">
        <v>8.9298081699999994</v>
      </c>
      <c r="EI270" s="26">
        <v>129.00556599999999</v>
      </c>
      <c r="EJ270" s="26">
        <v>16.635585899999999</v>
      </c>
      <c r="EK270" s="26">
        <v>19632.463</v>
      </c>
      <c r="EL270" s="26">
        <v>73.006231499999998</v>
      </c>
      <c r="EM270" s="26">
        <v>0</v>
      </c>
      <c r="EN270" s="26">
        <v>0</v>
      </c>
      <c r="EO270" s="26">
        <v>0</v>
      </c>
      <c r="EP270" s="26">
        <v>880.76243599999998</v>
      </c>
      <c r="EQ270" s="26">
        <v>22773.7775</v>
      </c>
      <c r="ER270" s="26">
        <v>256.31509299999999</v>
      </c>
      <c r="ES270" s="26">
        <v>25.107175699999971</v>
      </c>
      <c r="ET270" s="26">
        <v>4.4022981999999997</v>
      </c>
      <c r="EU270" s="26">
        <v>0</v>
      </c>
      <c r="EV270" s="26">
        <v>0</v>
      </c>
      <c r="EW270" s="26">
        <v>1</v>
      </c>
      <c r="EX270" s="26">
        <v>-26577.149600000001</v>
      </c>
      <c r="EY270" s="26">
        <v>-1027.8556100000001</v>
      </c>
      <c r="EZ270" s="26">
        <v>-23.408155199999999</v>
      </c>
      <c r="FA270" s="26">
        <v>-82.4663264</v>
      </c>
      <c r="FB270" s="26">
        <v>-3.1893366099999998</v>
      </c>
      <c r="FC270" s="26">
        <v>5.7270812900000002E-2</v>
      </c>
      <c r="FD270" s="26">
        <v>1.4808451199999999</v>
      </c>
      <c r="FE270" s="26">
        <v>25.856890100000001</v>
      </c>
      <c r="FF270" s="26">
        <v>0</v>
      </c>
      <c r="FG270" s="26">
        <v>1.2775893300000001E-2</v>
      </c>
      <c r="FH270" s="26">
        <v>-11506250229.049999</v>
      </c>
      <c r="FI270" s="26">
        <v>7.4189446704626691E-3</v>
      </c>
      <c r="FJ270" s="26">
        <v>0</v>
      </c>
      <c r="FK270" s="26">
        <v>0</v>
      </c>
      <c r="FL270" s="26">
        <v>0</v>
      </c>
      <c r="FM270" s="26">
        <v>0</v>
      </c>
      <c r="FN270" s="26">
        <v>0</v>
      </c>
      <c r="FO270" s="26">
        <v>0</v>
      </c>
      <c r="FP270" s="26">
        <v>0</v>
      </c>
      <c r="FQ270" s="26">
        <v>0</v>
      </c>
      <c r="FR270" s="26">
        <v>0</v>
      </c>
      <c r="FS270" s="26">
        <v>0</v>
      </c>
      <c r="FT270" s="26">
        <v>0</v>
      </c>
      <c r="FU270" s="26">
        <v>0</v>
      </c>
      <c r="FV270" s="26">
        <v>0</v>
      </c>
      <c r="FW270" s="26">
        <v>0</v>
      </c>
      <c r="FX270" s="26">
        <v>0</v>
      </c>
      <c r="FY270" s="26">
        <v>0</v>
      </c>
      <c r="FZ270" s="26">
        <v>0</v>
      </c>
      <c r="GA270" s="26">
        <v>0</v>
      </c>
      <c r="GB270" s="26">
        <v>0</v>
      </c>
      <c r="GC270" s="26">
        <v>0</v>
      </c>
      <c r="GD270" s="26">
        <v>0</v>
      </c>
      <c r="GE270" s="26">
        <v>0</v>
      </c>
      <c r="GF270" s="26">
        <v>0</v>
      </c>
      <c r="GG270" s="26">
        <v>0</v>
      </c>
      <c r="GH270" s="26">
        <v>0</v>
      </c>
      <c r="GI270" s="26">
        <v>0</v>
      </c>
      <c r="GJ270" s="26">
        <v>0</v>
      </c>
      <c r="GK270" s="26">
        <v>0</v>
      </c>
      <c r="GL270" s="26">
        <v>0</v>
      </c>
      <c r="GM270" s="26">
        <v>0</v>
      </c>
      <c r="GN270" s="26">
        <v>0</v>
      </c>
      <c r="GO270" s="26">
        <v>0</v>
      </c>
      <c r="GP270" s="26">
        <v>0</v>
      </c>
      <c r="GQ270" s="26">
        <v>0</v>
      </c>
      <c r="GR270" s="26">
        <v>0</v>
      </c>
      <c r="GS270" s="26">
        <v>0</v>
      </c>
      <c r="GT270" s="26">
        <v>0</v>
      </c>
      <c r="GU270" s="26">
        <v>0</v>
      </c>
      <c r="GV270" s="26">
        <v>0</v>
      </c>
      <c r="GW270" s="26">
        <v>0</v>
      </c>
      <c r="GX270" s="26">
        <v>0</v>
      </c>
      <c r="GY270" s="26">
        <v>0</v>
      </c>
      <c r="GZ270" s="26">
        <v>0</v>
      </c>
      <c r="HA270" s="26">
        <v>0</v>
      </c>
      <c r="HB270" s="26">
        <v>0</v>
      </c>
      <c r="HC270" s="26">
        <v>0</v>
      </c>
      <c r="HD270" s="26">
        <v>0</v>
      </c>
      <c r="HE270" s="26">
        <v>0</v>
      </c>
      <c r="HF270" s="26">
        <v>0</v>
      </c>
      <c r="HG270" s="26">
        <v>0</v>
      </c>
      <c r="HH270" s="26">
        <v>0</v>
      </c>
      <c r="HI270" s="26">
        <v>0</v>
      </c>
      <c r="HJ270" s="26">
        <v>0</v>
      </c>
      <c r="HK270" s="26">
        <v>0</v>
      </c>
      <c r="HL270" s="26">
        <v>0</v>
      </c>
      <c r="HM270" s="26">
        <v>0</v>
      </c>
      <c r="HN270" s="26">
        <v>0</v>
      </c>
      <c r="HO270" s="26">
        <v>0</v>
      </c>
      <c r="HP270" s="26">
        <v>0</v>
      </c>
      <c r="HQ270" s="26">
        <v>0</v>
      </c>
      <c r="HR270" s="26">
        <v>0</v>
      </c>
      <c r="HS270" s="26">
        <v>0</v>
      </c>
      <c r="HT270" s="26">
        <v>0.26899176242971184</v>
      </c>
    </row>
    <row r="271" spans="2:228" x14ac:dyDescent="0.2">
      <c r="B271" s="27" t="s">
        <v>1417</v>
      </c>
      <c r="C271" s="26">
        <v>2172856.75</v>
      </c>
      <c r="D271" s="26">
        <v>-8103.3218400000005</v>
      </c>
      <c r="E271" s="26">
        <v>2123317.11</v>
      </c>
      <c r="F271" s="26">
        <v>0.53983680000000001</v>
      </c>
      <c r="G271" s="26">
        <v>1.5240190499999999</v>
      </c>
      <c r="H271" s="26">
        <v>3.3454943199999998</v>
      </c>
      <c r="I271" s="26">
        <v>1.4037039099999999</v>
      </c>
      <c r="J271" s="26">
        <v>3.1048874</v>
      </c>
      <c r="K271" s="26">
        <v>0.64341997500000003</v>
      </c>
      <c r="L271" s="26">
        <v>0.96803521400000003</v>
      </c>
      <c r="M271" s="26">
        <v>0</v>
      </c>
      <c r="N271" s="26">
        <v>3.3131292999999999</v>
      </c>
      <c r="O271" s="26">
        <v>8.3611481200000004E-2</v>
      </c>
      <c r="P271" s="26">
        <v>3.5081740299999997E-2</v>
      </c>
      <c r="Q271" s="26">
        <v>1.14190306</v>
      </c>
      <c r="R271" s="26">
        <v>1.1218385900000001</v>
      </c>
      <c r="S271" s="26">
        <v>35.695018099999999</v>
      </c>
      <c r="T271" s="26">
        <v>310.26969300000002</v>
      </c>
      <c r="U271" s="26">
        <v>1.08129228</v>
      </c>
      <c r="V271" s="26">
        <v>1.4141847700000001</v>
      </c>
      <c r="W271" s="26">
        <v>0.17673810500000001</v>
      </c>
      <c r="X271" s="26">
        <v>4.9531142700000004</v>
      </c>
      <c r="Y271" s="26">
        <v>2.2073357300000001</v>
      </c>
      <c r="Z271" s="26">
        <v>0.50981601799999998</v>
      </c>
      <c r="AA271" s="26">
        <v>1.3382816</v>
      </c>
      <c r="AB271" s="26">
        <v>15.580707400000001</v>
      </c>
      <c r="AC271" s="26">
        <v>0.35390038200000001</v>
      </c>
      <c r="AD271" s="26">
        <v>0</v>
      </c>
      <c r="AE271" s="26">
        <v>91.490452399999995</v>
      </c>
      <c r="AF271" s="26">
        <v>644.85718299999996</v>
      </c>
      <c r="AG271" s="26">
        <v>0</v>
      </c>
      <c r="AH271" s="26">
        <v>26219.363799999999</v>
      </c>
      <c r="AI271" s="26">
        <v>0</v>
      </c>
      <c r="AJ271" s="26">
        <v>0</v>
      </c>
      <c r="AK271" s="26">
        <v>0</v>
      </c>
      <c r="AL271" s="26">
        <v>0</v>
      </c>
      <c r="AM271" s="26">
        <v>2.1859053400000001</v>
      </c>
      <c r="AN271" s="26">
        <v>15.6769345</v>
      </c>
      <c r="AO271" s="26">
        <v>30.265877699999997</v>
      </c>
      <c r="AP271" s="26">
        <v>0</v>
      </c>
      <c r="AQ271" s="26">
        <v>28.993850299999998</v>
      </c>
      <c r="AR271" s="26">
        <v>0</v>
      </c>
      <c r="AS271" s="26">
        <v>35.956624900000001</v>
      </c>
      <c r="AT271" s="26">
        <v>1.27267495E-3</v>
      </c>
      <c r="AU271" s="26">
        <v>216.63078100000001</v>
      </c>
      <c r="AV271" s="26">
        <v>0.57640717200000002</v>
      </c>
      <c r="AW271" s="26">
        <v>0</v>
      </c>
      <c r="AX271" s="26">
        <v>0</v>
      </c>
      <c r="AY271" s="26">
        <v>0</v>
      </c>
      <c r="AZ271" s="26">
        <v>0</v>
      </c>
      <c r="BA271" s="26">
        <v>0</v>
      </c>
      <c r="BB271" s="26">
        <v>0</v>
      </c>
      <c r="BC271" s="26">
        <v>0</v>
      </c>
      <c r="BD271" s="26">
        <v>0</v>
      </c>
      <c r="BE271" s="26">
        <v>0</v>
      </c>
      <c r="BF271" s="26">
        <v>0</v>
      </c>
      <c r="BG271" s="26">
        <v>0</v>
      </c>
      <c r="BH271" s="26">
        <v>0</v>
      </c>
      <c r="BI271" s="26">
        <v>0</v>
      </c>
      <c r="BJ271" s="26">
        <v>0</v>
      </c>
      <c r="BK271" s="26">
        <v>0</v>
      </c>
      <c r="BL271" s="26">
        <v>0</v>
      </c>
      <c r="BM271" s="26">
        <v>0</v>
      </c>
      <c r="BN271" s="26">
        <v>0</v>
      </c>
      <c r="BO271" s="26">
        <v>118189.334</v>
      </c>
      <c r="BP271" s="26">
        <v>2150993.9199999999</v>
      </c>
      <c r="BQ271" s="26">
        <v>36466.322500000002</v>
      </c>
      <c r="BR271" s="26">
        <v>25.138527099999976</v>
      </c>
      <c r="BS271" s="26">
        <v>2</v>
      </c>
      <c r="BT271" s="26">
        <v>0</v>
      </c>
      <c r="BU271" s="26">
        <v>1</v>
      </c>
      <c r="BV271" s="26">
        <v>0</v>
      </c>
      <c r="BW271" s="26">
        <v>-68372.076400000005</v>
      </c>
      <c r="BX271" s="26">
        <v>-3756.7982499999998</v>
      </c>
      <c r="BY271" s="26">
        <v>-8080.8502600000011</v>
      </c>
      <c r="BZ271" s="26">
        <v>-38.967992500000001</v>
      </c>
      <c r="CA271" s="26">
        <v>-2.1411502200000001</v>
      </c>
      <c r="CB271" s="26">
        <v>5.4017572299999997E-2</v>
      </c>
      <c r="CC271" s="26">
        <v>0.98309606599999999</v>
      </c>
      <c r="CD271" s="26">
        <v>18.199560300000002</v>
      </c>
      <c r="CE271" s="26">
        <v>0</v>
      </c>
      <c r="CF271" s="26">
        <v>0</v>
      </c>
      <c r="CG271" s="26">
        <v>0</v>
      </c>
      <c r="CH271" s="26">
        <v>0</v>
      </c>
      <c r="CI271" s="26">
        <v>0</v>
      </c>
      <c r="CJ271" s="26">
        <v>0</v>
      </c>
      <c r="CK271" s="26">
        <v>0</v>
      </c>
      <c r="CL271" s="26">
        <v>0</v>
      </c>
      <c r="CM271" s="26">
        <v>0</v>
      </c>
      <c r="CN271" s="26">
        <v>0</v>
      </c>
      <c r="CO271" s="26">
        <v>0</v>
      </c>
      <c r="CP271" s="26">
        <v>0</v>
      </c>
      <c r="CQ271" s="26">
        <v>0</v>
      </c>
      <c r="CR271" s="26">
        <v>0</v>
      </c>
      <c r="CS271" s="26">
        <v>0</v>
      </c>
      <c r="CT271" s="26">
        <v>0</v>
      </c>
      <c r="CU271" s="26">
        <v>0</v>
      </c>
      <c r="CV271" s="26">
        <v>0</v>
      </c>
      <c r="CW271" s="26">
        <v>0</v>
      </c>
      <c r="CX271" s="26">
        <v>0</v>
      </c>
      <c r="CY271" s="26">
        <v>0</v>
      </c>
      <c r="CZ271" s="26">
        <v>0</v>
      </c>
      <c r="DA271" s="26">
        <v>0</v>
      </c>
      <c r="DB271" s="26">
        <v>0</v>
      </c>
      <c r="DC271" s="26">
        <v>0</v>
      </c>
      <c r="DD271" s="26">
        <v>0</v>
      </c>
      <c r="DE271" s="26">
        <v>0</v>
      </c>
      <c r="DF271" s="26">
        <v>0</v>
      </c>
      <c r="DG271" s="26">
        <v>0</v>
      </c>
      <c r="DH271" s="26">
        <v>0</v>
      </c>
      <c r="DI271" s="26">
        <v>0</v>
      </c>
      <c r="DJ271" s="26">
        <v>0</v>
      </c>
      <c r="DK271" s="26">
        <v>0</v>
      </c>
      <c r="DL271" s="26">
        <v>0</v>
      </c>
      <c r="DM271" s="26">
        <v>0</v>
      </c>
      <c r="DN271" s="26">
        <v>0</v>
      </c>
      <c r="DO271" s="26">
        <v>0</v>
      </c>
      <c r="DP271" s="26">
        <v>0</v>
      </c>
      <c r="DQ271" s="26">
        <v>0</v>
      </c>
      <c r="DR271" s="26">
        <v>0</v>
      </c>
      <c r="DS271" s="26">
        <v>0</v>
      </c>
      <c r="DT271" s="26">
        <v>0</v>
      </c>
      <c r="DU271" s="26">
        <v>0</v>
      </c>
      <c r="DV271" s="26">
        <v>0</v>
      </c>
      <c r="DW271" s="26">
        <v>0</v>
      </c>
      <c r="DX271" s="26">
        <v>185.866578</v>
      </c>
      <c r="DY271" s="26">
        <v>4.5894262299999999</v>
      </c>
      <c r="DZ271" s="26">
        <v>1.9256333799999998</v>
      </c>
      <c r="EA271" s="26">
        <v>62.679366600000002</v>
      </c>
      <c r="EB271" s="26">
        <v>7.6383457500000009</v>
      </c>
      <c r="EC271" s="26">
        <v>1848.1143</v>
      </c>
      <c r="ED271" s="26">
        <v>0</v>
      </c>
      <c r="EE271" s="26">
        <v>0.67121278699999998</v>
      </c>
      <c r="EF271" s="26">
        <v>608.54952400000002</v>
      </c>
      <c r="EG271" s="26">
        <v>77.153431299999994</v>
      </c>
      <c r="EH271" s="26">
        <v>8.57261585</v>
      </c>
      <c r="EI271" s="26">
        <v>123.845344</v>
      </c>
      <c r="EJ271" s="26">
        <v>15.970162500000001</v>
      </c>
      <c r="EK271" s="26">
        <v>18847.1646</v>
      </c>
      <c r="EL271" s="26">
        <v>70.085982200000004</v>
      </c>
      <c r="EM271" s="26">
        <v>0</v>
      </c>
      <c r="EN271" s="26">
        <v>0</v>
      </c>
      <c r="EO271" s="26">
        <v>0</v>
      </c>
      <c r="EP271" s="26">
        <v>845.53194199999996</v>
      </c>
      <c r="EQ271" s="26">
        <v>21862.826499999999</v>
      </c>
      <c r="ER271" s="26">
        <v>246.06248999999997</v>
      </c>
      <c r="ES271" s="26">
        <v>25.138527099999976</v>
      </c>
      <c r="ET271" s="26">
        <v>2</v>
      </c>
      <c r="EU271" s="26">
        <v>0</v>
      </c>
      <c r="EV271" s="26">
        <v>0</v>
      </c>
      <c r="EW271" s="26">
        <v>1</v>
      </c>
      <c r="EX271" s="26">
        <v>-26576.861700000001</v>
      </c>
      <c r="EY271" s="26">
        <v>-1027.84448</v>
      </c>
      <c r="EZ271" s="26">
        <v>-22.471585699999999</v>
      </c>
      <c r="FA271" s="26">
        <v>-82.465361299999998</v>
      </c>
      <c r="FB271" s="26">
        <v>-3.1892992900000001</v>
      </c>
      <c r="FC271" s="26">
        <v>5.7270812999999997E-2</v>
      </c>
      <c r="FD271" s="26">
        <v>1.4808451199999999</v>
      </c>
      <c r="FE271" s="26">
        <v>25.856890100000001</v>
      </c>
      <c r="FF271" s="26">
        <v>0</v>
      </c>
      <c r="FG271" s="26">
        <v>1.48693961E-2</v>
      </c>
      <c r="FH271" s="26">
        <v>-9424478577.5900002</v>
      </c>
      <c r="FI271" s="26">
        <v>6.0741843263712519E-3</v>
      </c>
      <c r="FJ271" s="26">
        <v>0</v>
      </c>
      <c r="FK271" s="26">
        <v>0</v>
      </c>
      <c r="FL271" s="26">
        <v>0</v>
      </c>
      <c r="FM271" s="26">
        <v>0</v>
      </c>
      <c r="FN271" s="26">
        <v>0</v>
      </c>
      <c r="FO271" s="26">
        <v>0</v>
      </c>
      <c r="FP271" s="26">
        <v>0</v>
      </c>
      <c r="FQ271" s="26">
        <v>0</v>
      </c>
      <c r="FR271" s="26">
        <v>0</v>
      </c>
      <c r="FS271" s="26">
        <v>0</v>
      </c>
      <c r="FT271" s="26">
        <v>0</v>
      </c>
      <c r="FU271" s="26">
        <v>0</v>
      </c>
      <c r="FV271" s="26">
        <v>0</v>
      </c>
      <c r="FW271" s="26">
        <v>0</v>
      </c>
      <c r="FX271" s="26">
        <v>0</v>
      </c>
      <c r="FY271" s="26">
        <v>0</v>
      </c>
      <c r="FZ271" s="26">
        <v>0</v>
      </c>
      <c r="GA271" s="26">
        <v>0</v>
      </c>
      <c r="GB271" s="26">
        <v>0</v>
      </c>
      <c r="GC271" s="26">
        <v>0</v>
      </c>
      <c r="GD271" s="26">
        <v>0</v>
      </c>
      <c r="GE271" s="26">
        <v>0</v>
      </c>
      <c r="GF271" s="26">
        <v>0</v>
      </c>
      <c r="GG271" s="26">
        <v>0</v>
      </c>
      <c r="GH271" s="26">
        <v>0</v>
      </c>
      <c r="GI271" s="26">
        <v>0</v>
      </c>
      <c r="GJ271" s="26">
        <v>0</v>
      </c>
      <c r="GK271" s="26">
        <v>0</v>
      </c>
      <c r="GL271" s="26">
        <v>0</v>
      </c>
      <c r="GM271" s="26">
        <v>0</v>
      </c>
      <c r="GN271" s="26">
        <v>0</v>
      </c>
      <c r="GO271" s="26">
        <v>0</v>
      </c>
      <c r="GP271" s="26">
        <v>0</v>
      </c>
      <c r="GQ271" s="26">
        <v>0</v>
      </c>
      <c r="GR271" s="26">
        <v>0</v>
      </c>
      <c r="GS271" s="26">
        <v>0</v>
      </c>
      <c r="GT271" s="26">
        <v>0</v>
      </c>
      <c r="GU271" s="26">
        <v>0</v>
      </c>
      <c r="GV271" s="26">
        <v>0</v>
      </c>
      <c r="GW271" s="26">
        <v>0</v>
      </c>
      <c r="GX271" s="26">
        <v>0</v>
      </c>
      <c r="GY271" s="26">
        <v>0</v>
      </c>
      <c r="GZ271" s="26">
        <v>0</v>
      </c>
      <c r="HA271" s="26">
        <v>0</v>
      </c>
      <c r="HB271" s="26">
        <v>0</v>
      </c>
      <c r="HC271" s="26">
        <v>0</v>
      </c>
      <c r="HD271" s="26">
        <v>0</v>
      </c>
      <c r="HE271" s="26">
        <v>0</v>
      </c>
      <c r="HF271" s="26">
        <v>0</v>
      </c>
      <c r="HG271" s="26">
        <v>0</v>
      </c>
      <c r="HH271" s="26">
        <v>0</v>
      </c>
      <c r="HI271" s="26">
        <v>0</v>
      </c>
      <c r="HJ271" s="26">
        <v>0</v>
      </c>
      <c r="HK271" s="26">
        <v>0</v>
      </c>
      <c r="HL271" s="26">
        <v>0</v>
      </c>
      <c r="HM271" s="26">
        <v>0</v>
      </c>
      <c r="HN271" s="26">
        <v>0</v>
      </c>
      <c r="HO271" s="26">
        <v>0</v>
      </c>
      <c r="HP271" s="26">
        <v>0</v>
      </c>
      <c r="HQ271" s="26">
        <v>0</v>
      </c>
      <c r="HR271" s="26">
        <v>0</v>
      </c>
      <c r="HS271" s="26">
        <v>0</v>
      </c>
      <c r="HT271" s="26">
        <v>0.25823209289919008</v>
      </c>
    </row>
    <row r="272" spans="2:228" x14ac:dyDescent="0.2">
      <c r="B272" s="27" t="s">
        <v>2644</v>
      </c>
      <c r="C272" s="26">
        <v>220999.43700000001</v>
      </c>
      <c r="D272" s="26">
        <v>-22.201983899999998</v>
      </c>
      <c r="E272" s="26">
        <v>4342.2333600000002</v>
      </c>
      <c r="F272" s="26">
        <v>2.12443467E-2</v>
      </c>
      <c r="G272" s="26">
        <v>7.00333528E-15</v>
      </c>
      <c r="H272" s="26">
        <v>1.5373573199999999E-14</v>
      </c>
      <c r="I272" s="26">
        <v>6.4504502999999989E-15</v>
      </c>
      <c r="J272" s="26">
        <v>3.0705914500000002E-12</v>
      </c>
      <c r="K272" s="26">
        <v>6.3631288900000005E-13</v>
      </c>
      <c r="L272" s="26">
        <v>2.2927568700000001E-10</v>
      </c>
      <c r="M272" s="26">
        <v>0</v>
      </c>
      <c r="N272" s="26">
        <v>1.5224845999999999E-14</v>
      </c>
      <c r="O272" s="26">
        <v>3.8422041799999999E-16</v>
      </c>
      <c r="P272" s="26">
        <v>1.6121136399999999E-16</v>
      </c>
      <c r="Q272" s="26">
        <v>1.1292898300000001E-12</v>
      </c>
      <c r="R272" s="26">
        <v>1.1094469900000001E-12</v>
      </c>
      <c r="S272" s="26">
        <v>1.6402956400000001E-13</v>
      </c>
      <c r="T272" s="26">
        <v>1.26759314E-5</v>
      </c>
      <c r="U272" s="26">
        <v>9.4901516999999999E-6</v>
      </c>
      <c r="V272" s="26">
        <v>3.5790132299999999E-2</v>
      </c>
      <c r="W272" s="26">
        <v>2.3700485599999999E-4</v>
      </c>
      <c r="X272" s="26">
        <v>1.51254265E-6</v>
      </c>
      <c r="Y272" s="26">
        <v>3.5984318899999998E-12</v>
      </c>
      <c r="Z272" s="26">
        <v>4.4377368500000003E-9</v>
      </c>
      <c r="AA272" s="26">
        <v>2.6517002999999999E-9</v>
      </c>
      <c r="AB272" s="26">
        <v>0.53893106499999999</v>
      </c>
      <c r="AC272" s="26">
        <v>1.8037929800000001E-9</v>
      </c>
      <c r="AD272" s="26">
        <v>0</v>
      </c>
      <c r="AE272" s="26">
        <v>0</v>
      </c>
      <c r="AF272" s="26">
        <v>0</v>
      </c>
      <c r="AG272" s="26">
        <v>0</v>
      </c>
      <c r="AH272" s="26">
        <v>0.41778968</v>
      </c>
      <c r="AI272" s="26">
        <v>0</v>
      </c>
      <c r="AJ272" s="26">
        <v>0</v>
      </c>
      <c r="AK272" s="26">
        <v>0</v>
      </c>
      <c r="AL272" s="26">
        <v>0</v>
      </c>
      <c r="AM272" s="26">
        <v>1.27403439E-10</v>
      </c>
      <c r="AN272" s="26">
        <v>44670.145799999998</v>
      </c>
      <c r="AO272" s="26">
        <v>167842.087</v>
      </c>
      <c r="AP272" s="26">
        <v>0</v>
      </c>
      <c r="AQ272" s="26">
        <v>2.2643514800000002</v>
      </c>
      <c r="AR272" s="26">
        <v>0</v>
      </c>
      <c r="AS272" s="26">
        <v>3856.4139199999995</v>
      </c>
      <c r="AT272" s="26">
        <v>3.2981879200000002</v>
      </c>
      <c r="AU272" s="26">
        <v>281.83183100000002</v>
      </c>
      <c r="AV272" s="26">
        <v>0.14877954700000001</v>
      </c>
      <c r="AW272" s="26">
        <v>0</v>
      </c>
      <c r="AX272" s="26">
        <v>0</v>
      </c>
      <c r="AY272" s="26">
        <v>0</v>
      </c>
      <c r="AZ272" s="26">
        <v>0</v>
      </c>
      <c r="BA272" s="26">
        <v>0</v>
      </c>
      <c r="BB272" s="26">
        <v>0</v>
      </c>
      <c r="BC272" s="26">
        <v>0</v>
      </c>
      <c r="BD272" s="26">
        <v>0</v>
      </c>
      <c r="BE272" s="26">
        <v>0</v>
      </c>
      <c r="BF272" s="26">
        <v>0</v>
      </c>
      <c r="BG272" s="26">
        <v>0</v>
      </c>
      <c r="BH272" s="26">
        <v>0</v>
      </c>
      <c r="BI272" s="26">
        <v>0</v>
      </c>
      <c r="BJ272" s="26">
        <v>0</v>
      </c>
      <c r="BK272" s="26">
        <v>0</v>
      </c>
      <c r="BL272" s="26">
        <v>0</v>
      </c>
      <c r="BM272" s="26">
        <v>0</v>
      </c>
      <c r="BN272" s="26">
        <v>0</v>
      </c>
      <c r="BO272" s="26">
        <v>7724.690810000001</v>
      </c>
      <c r="BP272" s="26">
        <v>220999.43700000001</v>
      </c>
      <c r="BQ272" s="26">
        <v>3149744.37</v>
      </c>
      <c r="BR272" s="26">
        <v>25</v>
      </c>
      <c r="BS272" s="26">
        <v>1</v>
      </c>
      <c r="BT272" s="26">
        <v>1</v>
      </c>
      <c r="BU272" s="26">
        <v>0</v>
      </c>
      <c r="BV272" s="26">
        <v>0</v>
      </c>
      <c r="BW272" s="26">
        <v>-2874.1582400000002</v>
      </c>
      <c r="BX272" s="26">
        <v>-100.461721</v>
      </c>
      <c r="BY272" s="26">
        <v>-22.201983899999998</v>
      </c>
      <c r="BZ272" s="26">
        <v>1.0239492400000001</v>
      </c>
      <c r="CA272" s="26">
        <v>3.5790549300000002E-2</v>
      </c>
      <c r="CB272" s="26">
        <v>4.0874696499999997E-5</v>
      </c>
      <c r="CC272" s="26">
        <v>1.1694040800000001E-3</v>
      </c>
      <c r="CD272" s="26">
        <v>28.609486499999999</v>
      </c>
      <c r="CE272" s="26">
        <v>0</v>
      </c>
      <c r="CF272" s="26">
        <v>0</v>
      </c>
      <c r="CG272" s="26">
        <v>0</v>
      </c>
      <c r="CH272" s="26">
        <v>0</v>
      </c>
      <c r="CI272" s="26">
        <v>0</v>
      </c>
      <c r="CJ272" s="26">
        <v>0</v>
      </c>
      <c r="CK272" s="26">
        <v>0</v>
      </c>
      <c r="CL272" s="26">
        <v>0</v>
      </c>
      <c r="CM272" s="26">
        <v>0</v>
      </c>
      <c r="CN272" s="26">
        <v>0</v>
      </c>
      <c r="CO272" s="26">
        <v>0</v>
      </c>
      <c r="CP272" s="26">
        <v>0</v>
      </c>
      <c r="CQ272" s="26">
        <v>0</v>
      </c>
      <c r="CR272" s="26">
        <v>0</v>
      </c>
      <c r="CS272" s="26">
        <v>0</v>
      </c>
      <c r="CT272" s="26">
        <v>0</v>
      </c>
      <c r="CU272" s="26">
        <v>0</v>
      </c>
      <c r="CV272" s="26">
        <v>0</v>
      </c>
      <c r="CW272" s="26">
        <v>0</v>
      </c>
      <c r="CX272" s="26">
        <v>0</v>
      </c>
      <c r="CY272" s="26">
        <v>0</v>
      </c>
      <c r="CZ272" s="26">
        <v>0</v>
      </c>
      <c r="DA272" s="26">
        <v>0</v>
      </c>
      <c r="DB272" s="26">
        <v>0</v>
      </c>
      <c r="DC272" s="26">
        <v>0</v>
      </c>
      <c r="DD272" s="26">
        <v>0</v>
      </c>
      <c r="DE272" s="26">
        <v>0</v>
      </c>
      <c r="DF272" s="26">
        <v>0</v>
      </c>
      <c r="DG272" s="26">
        <v>0</v>
      </c>
      <c r="DH272" s="26">
        <v>0</v>
      </c>
      <c r="DI272" s="26">
        <v>0</v>
      </c>
      <c r="DJ272" s="26">
        <v>0</v>
      </c>
      <c r="DK272" s="26">
        <v>0</v>
      </c>
      <c r="DL272" s="26">
        <v>0</v>
      </c>
      <c r="DM272" s="26">
        <v>0</v>
      </c>
      <c r="DN272" s="26">
        <v>0</v>
      </c>
      <c r="DO272" s="26">
        <v>0</v>
      </c>
      <c r="DP272" s="26">
        <v>0</v>
      </c>
      <c r="DQ272" s="26">
        <v>0</v>
      </c>
      <c r="DR272" s="26">
        <v>0</v>
      </c>
      <c r="DS272" s="26">
        <v>0</v>
      </c>
      <c r="DT272" s="26">
        <v>0</v>
      </c>
      <c r="DU272" s="26">
        <v>0</v>
      </c>
      <c r="DV272" s="26">
        <v>0</v>
      </c>
      <c r="DW272" s="26">
        <v>0</v>
      </c>
      <c r="DX272" s="26">
        <v>0</v>
      </c>
      <c r="DY272" s="26">
        <v>0</v>
      </c>
      <c r="DZ272" s="26">
        <v>0</v>
      </c>
      <c r="EA272" s="26">
        <v>0</v>
      </c>
      <c r="EB272" s="26">
        <v>0</v>
      </c>
      <c r="EC272" s="26">
        <v>0</v>
      </c>
      <c r="ED272" s="26">
        <v>0</v>
      </c>
      <c r="EE272" s="26">
        <v>0</v>
      </c>
      <c r="EF272" s="26">
        <v>0</v>
      </c>
      <c r="EG272" s="26">
        <v>0</v>
      </c>
      <c r="EH272" s="26">
        <v>0</v>
      </c>
      <c r="EI272" s="26">
        <v>0</v>
      </c>
      <c r="EJ272" s="26">
        <v>0</v>
      </c>
      <c r="EK272" s="26">
        <v>0</v>
      </c>
      <c r="EL272" s="26">
        <v>0</v>
      </c>
      <c r="EM272" s="26">
        <v>0</v>
      </c>
      <c r="EN272" s="26">
        <v>0</v>
      </c>
      <c r="EO272" s="26">
        <v>0</v>
      </c>
      <c r="EP272" s="26">
        <v>0</v>
      </c>
      <c r="EQ272" s="26">
        <v>0</v>
      </c>
      <c r="ER272" s="26">
        <v>0</v>
      </c>
      <c r="ES272" s="26">
        <v>0</v>
      </c>
      <c r="ET272" s="26">
        <v>1</v>
      </c>
      <c r="EU272" s="26">
        <v>0</v>
      </c>
      <c r="EV272" s="26">
        <v>0</v>
      </c>
      <c r="EW272" s="26">
        <v>0</v>
      </c>
      <c r="EX272" s="26">
        <v>0</v>
      </c>
      <c r="EY272" s="26">
        <v>0</v>
      </c>
      <c r="EZ272" s="26">
        <v>0</v>
      </c>
      <c r="FA272" s="26">
        <v>0</v>
      </c>
      <c r="FB272" s="26">
        <v>0</v>
      </c>
      <c r="FC272" s="26">
        <v>0</v>
      </c>
      <c r="FD272" s="26">
        <v>0</v>
      </c>
      <c r="FE272" s="26">
        <v>0</v>
      </c>
      <c r="FF272" s="26">
        <v>0</v>
      </c>
      <c r="FG272" s="26">
        <v>2.4548993000000001E-3</v>
      </c>
      <c r="FH272" s="26">
        <v>-25820907.275699999</v>
      </c>
      <c r="FI272" s="26">
        <v>2.4398509972965856E-2</v>
      </c>
      <c r="FJ272" s="26">
        <v>6.6952938868956841E-2</v>
      </c>
      <c r="FK272" s="26">
        <v>1.2809486519142558E-7</v>
      </c>
      <c r="FL272" s="26">
        <v>1.0798157058607478E-20</v>
      </c>
      <c r="FM272" s="26">
        <v>2.3703885606297752E-20</v>
      </c>
      <c r="FN272" s="26">
        <v>9.9456862740099354E-21</v>
      </c>
      <c r="FO272" s="26">
        <v>5.6813036843393182E-18</v>
      </c>
      <c r="FP272" s="26">
        <v>1.1773258733074958E-18</v>
      </c>
      <c r="FQ272" s="26">
        <v>1.8605806759957566E-16</v>
      </c>
      <c r="FR272" s="26">
        <v>0</v>
      </c>
      <c r="FS272" s="26">
        <v>2.6082776125328876E-20</v>
      </c>
      <c r="FT272" s="26">
        <v>6.5823556637699564E-22</v>
      </c>
      <c r="FU272" s="26">
        <v>2.7618275554279537E-22</v>
      </c>
      <c r="FV272" s="26">
        <v>2.3743629689949039E-18</v>
      </c>
      <c r="FW272" s="26">
        <v>2.3326428464389206E-18</v>
      </c>
      <c r="FX272" s="26">
        <v>2.5291049507883949E-19</v>
      </c>
      <c r="FY272" s="26">
        <v>2.3142284351804943E-11</v>
      </c>
      <c r="FZ272" s="26">
        <v>2.0903602167228815E-11</v>
      </c>
      <c r="GA272" s="26">
        <v>1.0346719610551535E-7</v>
      </c>
      <c r="GB272" s="26">
        <v>1.0962843671036082E-9</v>
      </c>
      <c r="GC272" s="26">
        <v>4.664255676202934E-12</v>
      </c>
      <c r="GD272" s="26">
        <v>6.5697160247799504E-18</v>
      </c>
      <c r="GE272" s="26">
        <v>1.3385183107081465E-14</v>
      </c>
      <c r="GF272" s="26">
        <v>6.2375151332334546E-15</v>
      </c>
      <c r="GG272" s="26">
        <v>8.7902614314332039E-6</v>
      </c>
      <c r="GH272" s="26">
        <v>5.1086487075358566E-15</v>
      </c>
      <c r="GI272" s="26">
        <v>0</v>
      </c>
      <c r="GJ272" s="26">
        <v>0</v>
      </c>
      <c r="GK272" s="26">
        <v>0</v>
      </c>
      <c r="GL272" s="26">
        <v>0</v>
      </c>
      <c r="GM272" s="26">
        <v>1.3654107387010638E-6</v>
      </c>
      <c r="GN272" s="26">
        <v>0</v>
      </c>
      <c r="GO272" s="26">
        <v>0</v>
      </c>
      <c r="GP272" s="26">
        <v>0</v>
      </c>
      <c r="GQ272" s="26">
        <v>0</v>
      </c>
      <c r="GR272" s="26">
        <v>1.252885276689749E-16</v>
      </c>
      <c r="GS272" s="26">
        <v>0.38777622810220985</v>
      </c>
      <c r="GT272" s="26">
        <v>1.6642988438699464</v>
      </c>
      <c r="GU272" s="26">
        <v>0</v>
      </c>
      <c r="GV272" s="26">
        <v>1.3671973553820233E-5</v>
      </c>
      <c r="GW272" s="26">
        <v>0</v>
      </c>
      <c r="GX272" s="26">
        <v>2.4340626333613898E-2</v>
      </c>
      <c r="GY272" s="26">
        <v>5.7107587401305142E-5</v>
      </c>
      <c r="GZ272" s="26">
        <v>2.2970159072650161E-3</v>
      </c>
      <c r="HA272" s="26">
        <v>6.4509141349406464E-7</v>
      </c>
      <c r="HB272" s="26">
        <v>0</v>
      </c>
      <c r="HC272" s="26">
        <v>0</v>
      </c>
      <c r="HD272" s="26">
        <v>0</v>
      </c>
      <c r="HE272" s="26">
        <v>0</v>
      </c>
      <c r="HF272" s="26">
        <v>0</v>
      </c>
      <c r="HG272" s="26">
        <v>0</v>
      </c>
      <c r="HH272" s="26">
        <v>0</v>
      </c>
      <c r="HI272" s="26">
        <v>0</v>
      </c>
      <c r="HJ272" s="26">
        <v>0</v>
      </c>
      <c r="HK272" s="26">
        <v>0</v>
      </c>
      <c r="HL272" s="26">
        <v>0</v>
      </c>
      <c r="HM272" s="26">
        <v>0</v>
      </c>
      <c r="HN272" s="26">
        <v>0</v>
      </c>
      <c r="HO272" s="26">
        <v>0</v>
      </c>
      <c r="HP272" s="26">
        <v>0</v>
      </c>
      <c r="HQ272" s="26">
        <v>0</v>
      </c>
      <c r="HR272" s="26">
        <v>0</v>
      </c>
      <c r="HS272" s="26">
        <v>0</v>
      </c>
      <c r="HT272" s="26">
        <v>0</v>
      </c>
    </row>
    <row r="273" spans="2:228" x14ac:dyDescent="0.2">
      <c r="B273" s="27" t="s">
        <v>1420</v>
      </c>
      <c r="C273" s="26">
        <v>9760.0353699999996</v>
      </c>
      <c r="D273" s="26">
        <v>-31.334807900000001</v>
      </c>
      <c r="E273" s="26">
        <v>7709.3452199999992</v>
      </c>
      <c r="F273" s="26">
        <v>7.9431267999999999E-2</v>
      </c>
      <c r="G273" s="26">
        <v>0.21714182500000001</v>
      </c>
      <c r="H273" s="26">
        <v>0.47666513199999999</v>
      </c>
      <c r="I273" s="26">
        <v>0.19999935599999999</v>
      </c>
      <c r="J273" s="26">
        <v>0.44238352199999997</v>
      </c>
      <c r="K273" s="26">
        <v>9.16743052E-2</v>
      </c>
      <c r="L273" s="26">
        <v>0.13792539700000001</v>
      </c>
      <c r="M273" s="26">
        <v>0</v>
      </c>
      <c r="N273" s="26">
        <v>0.47205377199999998</v>
      </c>
      <c r="O273" s="26">
        <v>1.19129414E-2</v>
      </c>
      <c r="P273" s="26">
        <v>4.9984369399999999E-3</v>
      </c>
      <c r="Q273" s="26">
        <v>0.16269804099999999</v>
      </c>
      <c r="R273" s="26">
        <v>2.2558180600000002E-2</v>
      </c>
      <c r="S273" s="26">
        <v>5.0858165900000003</v>
      </c>
      <c r="T273" s="26">
        <v>1.13052752</v>
      </c>
      <c r="U273" s="26">
        <v>0.15406335700000001</v>
      </c>
      <c r="V273" s="26">
        <v>0.20573044700000001</v>
      </c>
      <c r="W273" s="26">
        <v>2.5209660599999999E-2</v>
      </c>
      <c r="X273" s="26">
        <v>0.70571856899999996</v>
      </c>
      <c r="Y273" s="26">
        <v>0.31450060099999999</v>
      </c>
      <c r="Z273" s="26">
        <v>7.2638449800000005E-2</v>
      </c>
      <c r="AA273" s="26">
        <v>0.19067800300000001</v>
      </c>
      <c r="AB273" s="26">
        <v>3.2561289100000002</v>
      </c>
      <c r="AC273" s="26">
        <v>1.2895043E-3</v>
      </c>
      <c r="AD273" s="26">
        <v>0</v>
      </c>
      <c r="AE273" s="26">
        <v>6.4198205100000001</v>
      </c>
      <c r="AF273" s="26">
        <v>2.3496615099999998</v>
      </c>
      <c r="AG273" s="26">
        <v>0</v>
      </c>
      <c r="AH273" s="26">
        <v>72.871777600000001</v>
      </c>
      <c r="AI273" s="26">
        <v>0</v>
      </c>
      <c r="AJ273" s="26">
        <v>0</v>
      </c>
      <c r="AK273" s="26">
        <v>0</v>
      </c>
      <c r="AL273" s="26">
        <v>0</v>
      </c>
      <c r="AM273" s="26">
        <v>1.1531334799999999E-2</v>
      </c>
      <c r="AN273" s="26">
        <v>4.6645879600000002E-2</v>
      </c>
      <c r="AO273" s="26">
        <v>8.4118578499999999E-2</v>
      </c>
      <c r="AP273" s="26">
        <v>0</v>
      </c>
      <c r="AQ273" s="26">
        <v>8.0582939800000003E-2</v>
      </c>
      <c r="AR273" s="26">
        <v>0</v>
      </c>
      <c r="AS273" s="26">
        <v>1.01655681</v>
      </c>
      <c r="AT273" s="26">
        <v>1.56257536E-2</v>
      </c>
      <c r="AU273" s="26">
        <v>2.1241642999999999</v>
      </c>
      <c r="AV273" s="26">
        <v>1.6020150400000001E-3</v>
      </c>
      <c r="AW273" s="26">
        <v>0</v>
      </c>
      <c r="AX273" s="26">
        <v>0</v>
      </c>
      <c r="AY273" s="26">
        <v>0</v>
      </c>
      <c r="AZ273" s="26">
        <v>0</v>
      </c>
      <c r="BA273" s="26">
        <v>0</v>
      </c>
      <c r="BB273" s="26">
        <v>0</v>
      </c>
      <c r="BC273" s="26">
        <v>0</v>
      </c>
      <c r="BD273" s="26">
        <v>0</v>
      </c>
      <c r="BE273" s="26">
        <v>0</v>
      </c>
      <c r="BF273" s="26">
        <v>0</v>
      </c>
      <c r="BG273" s="26">
        <v>0</v>
      </c>
      <c r="BH273" s="26">
        <v>0</v>
      </c>
      <c r="BI273" s="26">
        <v>0</v>
      </c>
      <c r="BJ273" s="26">
        <v>0</v>
      </c>
      <c r="BK273" s="26">
        <v>0</v>
      </c>
      <c r="BL273" s="26">
        <v>0</v>
      </c>
      <c r="BM273" s="26">
        <v>0</v>
      </c>
      <c r="BN273" s="26">
        <v>0</v>
      </c>
      <c r="BO273" s="26">
        <v>429.24282699999998</v>
      </c>
      <c r="BP273" s="26">
        <v>7807.8290500000003</v>
      </c>
      <c r="BQ273" s="26">
        <v>132.605503</v>
      </c>
      <c r="BR273" s="26">
        <v>29.487460199999987</v>
      </c>
      <c r="BS273" s="26">
        <v>2</v>
      </c>
      <c r="BT273" s="26">
        <v>0</v>
      </c>
      <c r="BU273" s="26">
        <v>1</v>
      </c>
      <c r="BV273" s="26">
        <v>0</v>
      </c>
      <c r="BW273" s="26">
        <v>-68285.0533</v>
      </c>
      <c r="BX273" s="26">
        <v>-3754.03575</v>
      </c>
      <c r="BY273" s="26">
        <v>-29.310869600000004</v>
      </c>
      <c r="BZ273" s="26">
        <v>-38.743996199999998</v>
      </c>
      <c r="CA273" s="26">
        <v>-2.1299880400000002</v>
      </c>
      <c r="CB273" s="26">
        <v>5.3949850400000006E-2</v>
      </c>
      <c r="CC273" s="26">
        <v>0.98133546400000005</v>
      </c>
      <c r="CD273" s="26">
        <v>18.189771700000001</v>
      </c>
      <c r="CE273" s="26">
        <v>0</v>
      </c>
      <c r="CF273" s="26">
        <v>0</v>
      </c>
      <c r="CG273" s="26">
        <v>0</v>
      </c>
      <c r="CH273" s="26">
        <v>0</v>
      </c>
      <c r="CI273" s="26">
        <v>0</v>
      </c>
      <c r="CJ273" s="26">
        <v>0</v>
      </c>
      <c r="CK273" s="26">
        <v>0</v>
      </c>
      <c r="CL273" s="26">
        <v>0</v>
      </c>
      <c r="CM273" s="26">
        <v>0</v>
      </c>
      <c r="CN273" s="26">
        <v>0</v>
      </c>
      <c r="CO273" s="26">
        <v>0</v>
      </c>
      <c r="CP273" s="26">
        <v>0</v>
      </c>
      <c r="CQ273" s="26">
        <v>0</v>
      </c>
      <c r="CR273" s="26">
        <v>0</v>
      </c>
      <c r="CS273" s="26">
        <v>0</v>
      </c>
      <c r="CT273" s="26">
        <v>0</v>
      </c>
      <c r="CU273" s="26">
        <v>0</v>
      </c>
      <c r="CV273" s="26">
        <v>0</v>
      </c>
      <c r="CW273" s="26">
        <v>0</v>
      </c>
      <c r="CX273" s="26">
        <v>0</v>
      </c>
      <c r="CY273" s="26">
        <v>0</v>
      </c>
      <c r="CZ273" s="26">
        <v>0</v>
      </c>
      <c r="DA273" s="26">
        <v>0</v>
      </c>
      <c r="DB273" s="26">
        <v>0</v>
      </c>
      <c r="DC273" s="26">
        <v>0</v>
      </c>
      <c r="DD273" s="26">
        <v>0</v>
      </c>
      <c r="DE273" s="26">
        <v>0</v>
      </c>
      <c r="DF273" s="26">
        <v>0</v>
      </c>
      <c r="DG273" s="26">
        <v>0</v>
      </c>
      <c r="DH273" s="26">
        <v>0</v>
      </c>
      <c r="DI273" s="26">
        <v>0</v>
      </c>
      <c r="DJ273" s="26">
        <v>0</v>
      </c>
      <c r="DK273" s="26">
        <v>0</v>
      </c>
      <c r="DL273" s="26">
        <v>0</v>
      </c>
      <c r="DM273" s="26">
        <v>0</v>
      </c>
      <c r="DN273" s="26">
        <v>0</v>
      </c>
      <c r="DO273" s="26">
        <v>0</v>
      </c>
      <c r="DP273" s="26">
        <v>0</v>
      </c>
      <c r="DQ273" s="26">
        <v>0</v>
      </c>
      <c r="DR273" s="26">
        <v>0</v>
      </c>
      <c r="DS273" s="26">
        <v>0</v>
      </c>
      <c r="DT273" s="26">
        <v>0</v>
      </c>
      <c r="DU273" s="26">
        <v>0</v>
      </c>
      <c r="DV273" s="26">
        <v>0</v>
      </c>
      <c r="DW273" s="26">
        <v>0</v>
      </c>
      <c r="DX273" s="26">
        <v>25.092833200000001</v>
      </c>
      <c r="DY273" s="26">
        <v>0.61959341099999998</v>
      </c>
      <c r="DZ273" s="26">
        <v>0.25996926300000001</v>
      </c>
      <c r="EA273" s="26">
        <v>8.4619995299999999</v>
      </c>
      <c r="EB273" s="26">
        <v>1.0312114100000001</v>
      </c>
      <c r="EC273" s="26">
        <v>249.50383400000001</v>
      </c>
      <c r="ED273" s="26">
        <v>0</v>
      </c>
      <c r="EE273" s="26">
        <v>40.541946699999997</v>
      </c>
      <c r="EF273" s="26">
        <v>82.156953099999996</v>
      </c>
      <c r="EG273" s="26">
        <v>10.4160641</v>
      </c>
      <c r="EH273" s="26">
        <v>1.15734212</v>
      </c>
      <c r="EI273" s="26">
        <v>16.719684600000001</v>
      </c>
      <c r="EJ273" s="26">
        <v>2.1560445600000002</v>
      </c>
      <c r="EK273" s="26">
        <v>1504.6269199999999</v>
      </c>
      <c r="EL273" s="26">
        <v>9.4619263199999999</v>
      </c>
      <c r="EM273" s="26">
        <v>0</v>
      </c>
      <c r="EN273" s="26">
        <v>0</v>
      </c>
      <c r="EO273" s="26">
        <v>0</v>
      </c>
      <c r="EP273" s="26">
        <v>71.174967600000002</v>
      </c>
      <c r="EQ273" s="26">
        <v>1952.20632</v>
      </c>
      <c r="ER273" s="26">
        <v>22.116104400000001</v>
      </c>
      <c r="ES273" s="26">
        <v>29.487460199999987</v>
      </c>
      <c r="ET273" s="26">
        <v>2</v>
      </c>
      <c r="EU273" s="26">
        <v>0</v>
      </c>
      <c r="EV273" s="26">
        <v>0</v>
      </c>
      <c r="EW273" s="26">
        <v>1</v>
      </c>
      <c r="EX273" s="26">
        <v>-28436.097099999999</v>
      </c>
      <c r="EY273" s="26">
        <v>-1036.74405</v>
      </c>
      <c r="EZ273" s="26">
        <v>-2.0239383000000002</v>
      </c>
      <c r="FA273" s="26">
        <v>-84.508505299999996</v>
      </c>
      <c r="FB273" s="26">
        <v>-3.0810729700000001</v>
      </c>
      <c r="FC273" s="26">
        <v>5.3637359599999997E-2</v>
      </c>
      <c r="FD273" s="26">
        <v>1.4711800500000001</v>
      </c>
      <c r="FE273" s="26">
        <v>27.428271299999999</v>
      </c>
      <c r="FF273" s="26">
        <v>0</v>
      </c>
      <c r="FG273" s="26">
        <v>0.28595098499999999</v>
      </c>
      <c r="FH273" s="26">
        <v>-36483264.875599995</v>
      </c>
      <c r="FI273" s="26">
        <v>1.5629974819484241E-4</v>
      </c>
      <c r="FJ273" s="26">
        <v>0</v>
      </c>
      <c r="FK273" s="26">
        <v>0</v>
      </c>
      <c r="FL273" s="26">
        <v>0</v>
      </c>
      <c r="FM273" s="26">
        <v>0</v>
      </c>
      <c r="FN273" s="26">
        <v>0</v>
      </c>
      <c r="FO273" s="26">
        <v>0</v>
      </c>
      <c r="FP273" s="26">
        <v>0</v>
      </c>
      <c r="FQ273" s="26">
        <v>0</v>
      </c>
      <c r="FR273" s="26">
        <v>0</v>
      </c>
      <c r="FS273" s="26">
        <v>0</v>
      </c>
      <c r="FT273" s="26">
        <v>0</v>
      </c>
      <c r="FU273" s="26">
        <v>0</v>
      </c>
      <c r="FV273" s="26">
        <v>0</v>
      </c>
      <c r="FW273" s="26">
        <v>0</v>
      </c>
      <c r="FX273" s="26">
        <v>0</v>
      </c>
      <c r="FY273" s="26">
        <v>0</v>
      </c>
      <c r="FZ273" s="26">
        <v>0</v>
      </c>
      <c r="GA273" s="26">
        <v>0</v>
      </c>
      <c r="GB273" s="26">
        <v>0</v>
      </c>
      <c r="GC273" s="26">
        <v>0</v>
      </c>
      <c r="GD273" s="26">
        <v>0</v>
      </c>
      <c r="GE273" s="26">
        <v>0</v>
      </c>
      <c r="GF273" s="26">
        <v>0</v>
      </c>
      <c r="GG273" s="26">
        <v>0</v>
      </c>
      <c r="GH273" s="26">
        <v>0</v>
      </c>
      <c r="GI273" s="26">
        <v>0</v>
      </c>
      <c r="GJ273" s="26">
        <v>0</v>
      </c>
      <c r="GK273" s="26">
        <v>0</v>
      </c>
      <c r="GL273" s="26">
        <v>0</v>
      </c>
      <c r="GM273" s="26">
        <v>0</v>
      </c>
      <c r="GN273" s="26">
        <v>0</v>
      </c>
      <c r="GO273" s="26">
        <v>0</v>
      </c>
      <c r="GP273" s="26">
        <v>0</v>
      </c>
      <c r="GQ273" s="26">
        <v>0</v>
      </c>
      <c r="GR273" s="26">
        <v>0</v>
      </c>
      <c r="GS273" s="26">
        <v>0</v>
      </c>
      <c r="GT273" s="26">
        <v>0</v>
      </c>
      <c r="GU273" s="26">
        <v>0</v>
      </c>
      <c r="GV273" s="26">
        <v>0</v>
      </c>
      <c r="GW273" s="26">
        <v>0</v>
      </c>
      <c r="GX273" s="26">
        <v>0</v>
      </c>
      <c r="GY273" s="26">
        <v>0</v>
      </c>
      <c r="GZ273" s="26">
        <v>0</v>
      </c>
      <c r="HA273" s="26">
        <v>0</v>
      </c>
      <c r="HB273" s="26">
        <v>0</v>
      </c>
      <c r="HC273" s="26">
        <v>0</v>
      </c>
      <c r="HD273" s="26">
        <v>0</v>
      </c>
      <c r="HE273" s="26">
        <v>0</v>
      </c>
      <c r="HF273" s="26">
        <v>0</v>
      </c>
      <c r="HG273" s="26">
        <v>0</v>
      </c>
      <c r="HH273" s="26">
        <v>0</v>
      </c>
      <c r="HI273" s="26">
        <v>0</v>
      </c>
      <c r="HJ273" s="26">
        <v>0</v>
      </c>
      <c r="HK273" s="26">
        <v>0</v>
      </c>
      <c r="HL273" s="26">
        <v>0</v>
      </c>
      <c r="HM273" s="26">
        <v>0</v>
      </c>
      <c r="HN273" s="26">
        <v>0</v>
      </c>
      <c r="HO273" s="26">
        <v>0</v>
      </c>
      <c r="HP273" s="26">
        <v>0</v>
      </c>
      <c r="HQ273" s="26">
        <v>0</v>
      </c>
      <c r="HR273" s="26">
        <v>0</v>
      </c>
      <c r="HS273" s="26">
        <v>0</v>
      </c>
      <c r="HT273" s="26">
        <v>2.29248152111763E-2</v>
      </c>
    </row>
    <row r="274" spans="2:228" x14ac:dyDescent="0.2">
      <c r="B274" s="27" t="s">
        <v>3352</v>
      </c>
      <c r="C274" s="26">
        <v>9760.0353699999996</v>
      </c>
      <c r="D274" s="26">
        <v>-31.335306399999997</v>
      </c>
      <c r="E274" s="26">
        <v>7709.3452199999992</v>
      </c>
      <c r="F274" s="26">
        <v>7.9431267999999999E-2</v>
      </c>
      <c r="G274" s="26">
        <v>0.21714182500000001</v>
      </c>
      <c r="H274" s="26">
        <v>0.47666513199999999</v>
      </c>
      <c r="I274" s="26">
        <v>0.19999935599999999</v>
      </c>
      <c r="J274" s="26">
        <v>0.44238352199999997</v>
      </c>
      <c r="K274" s="26">
        <v>9.16743052E-2</v>
      </c>
      <c r="L274" s="26">
        <v>0.13792539700000001</v>
      </c>
      <c r="M274" s="26">
        <v>0</v>
      </c>
      <c r="N274" s="26">
        <v>0.47205377199999998</v>
      </c>
      <c r="O274" s="26">
        <v>1.19129414E-2</v>
      </c>
      <c r="P274" s="26">
        <v>4.9984369399999999E-3</v>
      </c>
      <c r="Q274" s="26">
        <v>0.16269804099999999</v>
      </c>
      <c r="R274" s="26">
        <v>2.2558180600000002E-2</v>
      </c>
      <c r="S274" s="26">
        <v>5.0858165900000003</v>
      </c>
      <c r="T274" s="26">
        <v>1.13052752</v>
      </c>
      <c r="U274" s="26">
        <v>0.15406335700000001</v>
      </c>
      <c r="V274" s="26">
        <v>0.20573044700000001</v>
      </c>
      <c r="W274" s="26">
        <v>2.5209660599999999E-2</v>
      </c>
      <c r="X274" s="26">
        <v>0.70571856899999996</v>
      </c>
      <c r="Y274" s="26">
        <v>0.31450060099999999</v>
      </c>
      <c r="Z274" s="26">
        <v>7.2638449800000005E-2</v>
      </c>
      <c r="AA274" s="26">
        <v>0.19067800300000001</v>
      </c>
      <c r="AB274" s="26">
        <v>3.2561289100000002</v>
      </c>
      <c r="AC274" s="26">
        <v>1.2895043E-3</v>
      </c>
      <c r="AD274" s="26">
        <v>0</v>
      </c>
      <c r="AE274" s="26">
        <v>6.4198205100000001</v>
      </c>
      <c r="AF274" s="26">
        <v>2.3496615099999998</v>
      </c>
      <c r="AG274" s="26">
        <v>0</v>
      </c>
      <c r="AH274" s="26">
        <v>72.871777600000001</v>
      </c>
      <c r="AI274" s="26">
        <v>0</v>
      </c>
      <c r="AJ274" s="26">
        <v>0</v>
      </c>
      <c r="AK274" s="26">
        <v>0</v>
      </c>
      <c r="AL274" s="26">
        <v>0</v>
      </c>
      <c r="AM274" s="26">
        <v>1.1531334799999999E-2</v>
      </c>
      <c r="AN274" s="26">
        <v>4.6645879600000002E-2</v>
      </c>
      <c r="AO274" s="26">
        <v>8.4118578499999999E-2</v>
      </c>
      <c r="AP274" s="26">
        <v>0</v>
      </c>
      <c r="AQ274" s="26">
        <v>8.0582939800000003E-2</v>
      </c>
      <c r="AR274" s="26">
        <v>0</v>
      </c>
      <c r="AS274" s="26">
        <v>1.01655681</v>
      </c>
      <c r="AT274" s="26">
        <v>1.56257536E-2</v>
      </c>
      <c r="AU274" s="26">
        <v>2.1241642999999999</v>
      </c>
      <c r="AV274" s="26">
        <v>1.6020150400000001E-3</v>
      </c>
      <c r="AW274" s="26">
        <v>0</v>
      </c>
      <c r="AX274" s="26">
        <v>0</v>
      </c>
      <c r="AY274" s="26">
        <v>0</v>
      </c>
      <c r="AZ274" s="26">
        <v>0</v>
      </c>
      <c r="BA274" s="26">
        <v>0</v>
      </c>
      <c r="BB274" s="26">
        <v>0</v>
      </c>
      <c r="BC274" s="26">
        <v>0</v>
      </c>
      <c r="BD274" s="26">
        <v>0</v>
      </c>
      <c r="BE274" s="26">
        <v>0</v>
      </c>
      <c r="BF274" s="26">
        <v>0</v>
      </c>
      <c r="BG274" s="26">
        <v>0</v>
      </c>
      <c r="BH274" s="26">
        <v>0</v>
      </c>
      <c r="BI274" s="26">
        <v>0</v>
      </c>
      <c r="BJ274" s="26">
        <v>0</v>
      </c>
      <c r="BK274" s="26">
        <v>0</v>
      </c>
      <c r="BL274" s="26">
        <v>0</v>
      </c>
      <c r="BM274" s="26">
        <v>0</v>
      </c>
      <c r="BN274" s="26">
        <v>0</v>
      </c>
      <c r="BO274" s="26">
        <v>429.24282699999998</v>
      </c>
      <c r="BP274" s="26">
        <v>7807.8290500000003</v>
      </c>
      <c r="BQ274" s="26">
        <v>132.67075600000001</v>
      </c>
      <c r="BR274" s="26">
        <v>29.423973799999999</v>
      </c>
      <c r="BS274" s="26">
        <v>1</v>
      </c>
      <c r="BT274" s="26">
        <v>4.1428491200000001E-7</v>
      </c>
      <c r="BU274" s="26">
        <v>0.99999958600000005</v>
      </c>
      <c r="BV274" s="26">
        <v>0</v>
      </c>
      <c r="BW274" s="26">
        <v>-68286.114199999996</v>
      </c>
      <c r="BX274" s="26">
        <v>-3754.0940700000001</v>
      </c>
      <c r="BY274" s="26">
        <v>-29.311325</v>
      </c>
      <c r="BZ274" s="26">
        <v>-38.747470900000003</v>
      </c>
      <c r="CA274" s="26">
        <v>-2.1301790600000001</v>
      </c>
      <c r="CB274" s="26">
        <v>5.3923315499999999E-2</v>
      </c>
      <c r="CC274" s="26">
        <v>0.980852799</v>
      </c>
      <c r="CD274" s="26">
        <v>18.189771700000001</v>
      </c>
      <c r="CE274" s="26">
        <v>0</v>
      </c>
      <c r="CF274" s="26">
        <v>0</v>
      </c>
      <c r="CG274" s="26">
        <v>0</v>
      </c>
      <c r="CH274" s="26">
        <v>0</v>
      </c>
      <c r="CI274" s="26">
        <v>0</v>
      </c>
      <c r="CJ274" s="26">
        <v>0</v>
      </c>
      <c r="CK274" s="26">
        <v>0</v>
      </c>
      <c r="CL274" s="26">
        <v>0</v>
      </c>
      <c r="CM274" s="26">
        <v>0</v>
      </c>
      <c r="CN274" s="26">
        <v>0</v>
      </c>
      <c r="CO274" s="26">
        <v>0</v>
      </c>
      <c r="CP274" s="26">
        <v>0</v>
      </c>
      <c r="CQ274" s="26">
        <v>0</v>
      </c>
      <c r="CR274" s="26">
        <v>0</v>
      </c>
      <c r="CS274" s="26">
        <v>0</v>
      </c>
      <c r="CT274" s="26">
        <v>0</v>
      </c>
      <c r="CU274" s="26">
        <v>0</v>
      </c>
      <c r="CV274" s="26">
        <v>0</v>
      </c>
      <c r="CW274" s="26">
        <v>0</v>
      </c>
      <c r="CX274" s="26">
        <v>0</v>
      </c>
      <c r="CY274" s="26">
        <v>0</v>
      </c>
      <c r="CZ274" s="26">
        <v>0</v>
      </c>
      <c r="DA274" s="26">
        <v>0</v>
      </c>
      <c r="DB274" s="26">
        <v>0</v>
      </c>
      <c r="DC274" s="26">
        <v>0</v>
      </c>
      <c r="DD274" s="26">
        <v>0</v>
      </c>
      <c r="DE274" s="26">
        <v>0</v>
      </c>
      <c r="DF274" s="26">
        <v>0</v>
      </c>
      <c r="DG274" s="26">
        <v>0</v>
      </c>
      <c r="DH274" s="26">
        <v>0</v>
      </c>
      <c r="DI274" s="26">
        <v>0</v>
      </c>
      <c r="DJ274" s="26">
        <v>0</v>
      </c>
      <c r="DK274" s="26">
        <v>0</v>
      </c>
      <c r="DL274" s="26">
        <v>0</v>
      </c>
      <c r="DM274" s="26">
        <v>0</v>
      </c>
      <c r="DN274" s="26">
        <v>0</v>
      </c>
      <c r="DO274" s="26">
        <v>0</v>
      </c>
      <c r="DP274" s="26">
        <v>0</v>
      </c>
      <c r="DQ274" s="26">
        <v>0</v>
      </c>
      <c r="DR274" s="26">
        <v>0</v>
      </c>
      <c r="DS274" s="26">
        <v>0</v>
      </c>
      <c r="DT274" s="26">
        <v>0</v>
      </c>
      <c r="DU274" s="26">
        <v>0</v>
      </c>
      <c r="DV274" s="26">
        <v>0</v>
      </c>
      <c r="DW274" s="26">
        <v>0</v>
      </c>
      <c r="DX274" s="26">
        <v>25.092833200000001</v>
      </c>
      <c r="DY274" s="26">
        <v>0.61959341099999998</v>
      </c>
      <c r="DZ274" s="26">
        <v>0.25996926300000001</v>
      </c>
      <c r="EA274" s="26">
        <v>8.4619995299999999</v>
      </c>
      <c r="EB274" s="26">
        <v>1.0312114100000001</v>
      </c>
      <c r="EC274" s="26">
        <v>249.50383400000001</v>
      </c>
      <c r="ED274" s="26">
        <v>0</v>
      </c>
      <c r="EE274" s="26">
        <v>40.541946699999997</v>
      </c>
      <c r="EF274" s="26">
        <v>82.156953099999996</v>
      </c>
      <c r="EG274" s="26">
        <v>10.4160641</v>
      </c>
      <c r="EH274" s="26">
        <v>1.15734212</v>
      </c>
      <c r="EI274" s="26">
        <v>16.719684600000001</v>
      </c>
      <c r="EJ274" s="26">
        <v>2.1560445600000002</v>
      </c>
      <c r="EK274" s="26">
        <v>1504.6269199999999</v>
      </c>
      <c r="EL274" s="26">
        <v>9.4619263199999999</v>
      </c>
      <c r="EM274" s="26">
        <v>0</v>
      </c>
      <c r="EN274" s="26">
        <v>0</v>
      </c>
      <c r="EO274" s="26">
        <v>0</v>
      </c>
      <c r="EP274" s="26">
        <v>71.174967600000002</v>
      </c>
      <c r="EQ274" s="26">
        <v>1952.20632</v>
      </c>
      <c r="ER274" s="26">
        <v>22.116104400000001</v>
      </c>
      <c r="ES274" s="26">
        <v>29.423973799999999</v>
      </c>
      <c r="ET274" s="26">
        <v>1</v>
      </c>
      <c r="EU274" s="26">
        <v>0</v>
      </c>
      <c r="EV274" s="26">
        <v>0</v>
      </c>
      <c r="EW274" s="26">
        <v>1</v>
      </c>
      <c r="EX274" s="26">
        <v>-28436.703799999999</v>
      </c>
      <c r="EY274" s="26">
        <v>-1036.7661700000001</v>
      </c>
      <c r="EZ274" s="26">
        <v>-2.0239814900000002</v>
      </c>
      <c r="FA274" s="26">
        <v>-84.510510400000001</v>
      </c>
      <c r="FB274" s="26">
        <v>-3.0811460799999999</v>
      </c>
      <c r="FC274" s="26">
        <v>5.3637359599999997E-2</v>
      </c>
      <c r="FD274" s="26">
        <v>1.4711800500000001</v>
      </c>
      <c r="FE274" s="26">
        <v>27.428271299999999</v>
      </c>
      <c r="FF274" s="26">
        <v>0</v>
      </c>
      <c r="FG274" s="26">
        <v>0.28595098499999999</v>
      </c>
      <c r="FH274" s="26">
        <v>-36483264.1778</v>
      </c>
      <c r="FI274" s="26">
        <v>1.5629974819484241E-4</v>
      </c>
      <c r="FJ274" s="26">
        <v>1.9972724354226238E-9</v>
      </c>
      <c r="FK274" s="26">
        <v>1.4912745619301964E-13</v>
      </c>
      <c r="FL274" s="26">
        <v>2.4194298054665497E-26</v>
      </c>
      <c r="FM274" s="26">
        <v>5.311081042488648E-26</v>
      </c>
      <c r="FN274" s="26">
        <v>2.2284256150496273E-26</v>
      </c>
      <c r="FO274" s="26">
        <v>1.1503890925364461E-23</v>
      </c>
      <c r="FP274" s="26">
        <v>2.383929674626993E-24</v>
      </c>
      <c r="FQ274" s="26">
        <v>2.7329188663077952E-22</v>
      </c>
      <c r="FR274" s="26">
        <v>0</v>
      </c>
      <c r="FS274" s="26">
        <v>5.8440941023083086E-26</v>
      </c>
      <c r="FT274" s="26">
        <v>1.4748394006876041E-27</v>
      </c>
      <c r="FU274" s="26">
        <v>6.1881373550606545E-28</v>
      </c>
      <c r="FV274" s="26">
        <v>4.8077719829066204E-24</v>
      </c>
      <c r="FW274" s="26">
        <v>6.6660045533280367E-25</v>
      </c>
      <c r="FX274" s="26">
        <v>5.6667002120002681E-25</v>
      </c>
      <c r="FY274" s="26">
        <v>8.6207808745218027E-19</v>
      </c>
      <c r="FZ274" s="26">
        <v>2.6718698019305143E-17</v>
      </c>
      <c r="GA274" s="26">
        <v>1.1793173649900945E-13</v>
      </c>
      <c r="GB274" s="26">
        <v>1.2688664795953762E-15</v>
      </c>
      <c r="GC274" s="26">
        <v>7.1620567239631209E-18</v>
      </c>
      <c r="GD274" s="26">
        <v>1.013280883106247E-23</v>
      </c>
      <c r="GE274" s="26">
        <v>2.0073522271699291E-20</v>
      </c>
      <c r="GF274" s="26">
        <v>9.4928699648318479E-21</v>
      </c>
      <c r="GG274" s="26">
        <v>1.672212485599922E-11</v>
      </c>
      <c r="GH274" s="26">
        <v>1.9730567074511201E-22</v>
      </c>
      <c r="GI274" s="26">
        <v>0</v>
      </c>
      <c r="GJ274" s="26">
        <v>0</v>
      </c>
      <c r="GK274" s="26">
        <v>0</v>
      </c>
      <c r="GL274" s="26">
        <v>0</v>
      </c>
      <c r="GM274" s="26">
        <v>3.0111689685337959E-14</v>
      </c>
      <c r="GN274" s="26">
        <v>0</v>
      </c>
      <c r="GO274" s="26">
        <v>0</v>
      </c>
      <c r="GP274" s="26">
        <v>0</v>
      </c>
      <c r="GQ274" s="26">
        <v>0</v>
      </c>
      <c r="GR274" s="26">
        <v>8.1601830652814641E-24</v>
      </c>
      <c r="GS274" s="26">
        <v>7.6707795335884584E-9</v>
      </c>
      <c r="GT274" s="26">
        <v>2.9956202461871845E-8</v>
      </c>
      <c r="GU274" s="26">
        <v>0</v>
      </c>
      <c r="GV274" s="26">
        <v>2.941445134642672E-13</v>
      </c>
      <c r="GW274" s="26">
        <v>0</v>
      </c>
      <c r="GX274" s="26">
        <v>4.8858428446422976E-9</v>
      </c>
      <c r="GY274" s="26">
        <v>4.7104940099061744E-9</v>
      </c>
      <c r="GZ274" s="26">
        <v>1.5897753710515365E-10</v>
      </c>
      <c r="HA274" s="26">
        <v>1.3184913438812641E-14</v>
      </c>
      <c r="HB274" s="26">
        <v>0</v>
      </c>
      <c r="HC274" s="26">
        <v>0</v>
      </c>
      <c r="HD274" s="26">
        <v>0</v>
      </c>
      <c r="HE274" s="26">
        <v>0</v>
      </c>
      <c r="HF274" s="26">
        <v>0</v>
      </c>
      <c r="HG274" s="26">
        <v>0</v>
      </c>
      <c r="HH274" s="26">
        <v>0</v>
      </c>
      <c r="HI274" s="26">
        <v>0</v>
      </c>
      <c r="HJ274" s="26">
        <v>0</v>
      </c>
      <c r="HK274" s="26">
        <v>0</v>
      </c>
      <c r="HL274" s="26">
        <v>0</v>
      </c>
      <c r="HM274" s="26">
        <v>0</v>
      </c>
      <c r="HN274" s="26">
        <v>0</v>
      </c>
      <c r="HO274" s="26">
        <v>0</v>
      </c>
      <c r="HP274" s="26">
        <v>0</v>
      </c>
      <c r="HQ274" s="26">
        <v>0</v>
      </c>
      <c r="HR274" s="26">
        <v>0</v>
      </c>
      <c r="HS274" s="26">
        <v>0</v>
      </c>
      <c r="HT274" s="26">
        <v>2.29248152111763E-2</v>
      </c>
    </row>
    <row r="275" spans="2:228" x14ac:dyDescent="0.2">
      <c r="B275" s="27" t="s">
        <v>1421</v>
      </c>
      <c r="C275" s="26">
        <v>386582.93</v>
      </c>
      <c r="D275" s="26">
        <v>-1452.2849699999999</v>
      </c>
      <c r="E275" s="26">
        <v>381608.76699999999</v>
      </c>
      <c r="F275" s="26">
        <v>9.7021164100000001E-2</v>
      </c>
      <c r="G275" s="26">
        <v>0.27390152000000001</v>
      </c>
      <c r="H275" s="26">
        <v>0.60126281400000003</v>
      </c>
      <c r="I275" s="26">
        <v>0.252278104</v>
      </c>
      <c r="J275" s="26">
        <v>0.55802017699999995</v>
      </c>
      <c r="K275" s="26">
        <v>0.11563747200000002</v>
      </c>
      <c r="L275" s="26">
        <v>0.173978348</v>
      </c>
      <c r="M275" s="26">
        <v>0</v>
      </c>
      <c r="N275" s="26">
        <v>0.59544606899999997</v>
      </c>
      <c r="O275" s="26">
        <v>1.5026919699999999E-2</v>
      </c>
      <c r="P275" s="26">
        <v>6.3050012500000001E-3</v>
      </c>
      <c r="Q275" s="26">
        <v>0.20522642699999999</v>
      </c>
      <c r="R275" s="26">
        <v>0.20162037699999999</v>
      </c>
      <c r="S275" s="26">
        <v>6.4152214699999996</v>
      </c>
      <c r="T275" s="26">
        <v>55.7626499</v>
      </c>
      <c r="U275" s="26">
        <v>0.194333266</v>
      </c>
      <c r="V275" s="26">
        <v>0.25416173800000003</v>
      </c>
      <c r="W275" s="26">
        <v>3.1763930699999998E-2</v>
      </c>
      <c r="X275" s="26">
        <v>0.89018935099999996</v>
      </c>
      <c r="Y275" s="26">
        <v>0.39670935299999999</v>
      </c>
      <c r="Z275" s="26">
        <v>9.1625746100000002E-2</v>
      </c>
      <c r="AA275" s="26">
        <v>0.24052019899999996</v>
      </c>
      <c r="AB275" s="26">
        <v>2.8002136700000002</v>
      </c>
      <c r="AC275" s="26">
        <v>6.3604095200000002E-2</v>
      </c>
      <c r="AD275" s="26">
        <v>0</v>
      </c>
      <c r="AE275" s="26">
        <v>16.442953299999999</v>
      </c>
      <c r="AF275" s="26">
        <v>115.895771</v>
      </c>
      <c r="AG275" s="26">
        <v>0</v>
      </c>
      <c r="AH275" s="26">
        <v>4712.2267599999996</v>
      </c>
      <c r="AI275" s="26">
        <v>0</v>
      </c>
      <c r="AJ275" s="26">
        <v>0</v>
      </c>
      <c r="AK275" s="26">
        <v>0</v>
      </c>
      <c r="AL275" s="26">
        <v>0</v>
      </c>
      <c r="AM275" s="26">
        <v>0.39285781600000003</v>
      </c>
      <c r="AN275" s="26">
        <v>2.8174925499999999</v>
      </c>
      <c r="AO275" s="26">
        <v>5.4394494299999998</v>
      </c>
      <c r="AP275" s="26">
        <v>0</v>
      </c>
      <c r="AQ275" s="26">
        <v>5.21086604</v>
      </c>
      <c r="AR275" s="26">
        <v>0</v>
      </c>
      <c r="AS275" s="26">
        <v>6.4621852400000002</v>
      </c>
      <c r="AT275" s="26">
        <v>2.2872823100000001E-4</v>
      </c>
      <c r="AU275" s="26">
        <v>38.933442800000002</v>
      </c>
      <c r="AV275" s="26">
        <v>0.103593571</v>
      </c>
      <c r="AW275" s="26">
        <v>0</v>
      </c>
      <c r="AX275" s="26">
        <v>0</v>
      </c>
      <c r="AY275" s="26">
        <v>0</v>
      </c>
      <c r="AZ275" s="26">
        <v>0</v>
      </c>
      <c r="BA275" s="26">
        <v>0</v>
      </c>
      <c r="BB275" s="26">
        <v>0</v>
      </c>
      <c r="BC275" s="26">
        <v>0</v>
      </c>
      <c r="BD275" s="26">
        <v>0</v>
      </c>
      <c r="BE275" s="26">
        <v>0</v>
      </c>
      <c r="BF275" s="26">
        <v>0</v>
      </c>
      <c r="BG275" s="26">
        <v>0</v>
      </c>
      <c r="BH275" s="26">
        <v>0</v>
      </c>
      <c r="BI275" s="26">
        <v>0</v>
      </c>
      <c r="BJ275" s="26">
        <v>0</v>
      </c>
      <c r="BK275" s="26">
        <v>0</v>
      </c>
      <c r="BL275" s="26">
        <v>0</v>
      </c>
      <c r="BM275" s="26">
        <v>0</v>
      </c>
      <c r="BN275" s="26">
        <v>0</v>
      </c>
      <c r="BO275" s="26">
        <v>21241.333200000001</v>
      </c>
      <c r="BP275" s="26">
        <v>386582.93</v>
      </c>
      <c r="BQ275" s="26">
        <v>6554.3596200000002</v>
      </c>
      <c r="BR275" s="26">
        <v>25.221569999999986</v>
      </c>
      <c r="BS275" s="26">
        <v>4.4022981999999997</v>
      </c>
      <c r="BT275" s="26">
        <v>0</v>
      </c>
      <c r="BU275" s="26">
        <v>1</v>
      </c>
      <c r="BV275" s="26">
        <v>0</v>
      </c>
      <c r="BW275" s="26">
        <v>-68370.7068</v>
      </c>
      <c r="BX275" s="26">
        <v>-3756.7229499999999</v>
      </c>
      <c r="BY275" s="26">
        <v>-1452.2849699999999</v>
      </c>
      <c r="BZ275" s="26">
        <v>-38.963450199999997</v>
      </c>
      <c r="CA275" s="26">
        <v>-2.1409006100000001</v>
      </c>
      <c r="CB275" s="26">
        <v>5.4013242500000003E-2</v>
      </c>
      <c r="CC275" s="26">
        <v>0.98301727699999997</v>
      </c>
      <c r="CD275" s="26">
        <v>18.199560600000002</v>
      </c>
      <c r="CE275" s="26">
        <v>0</v>
      </c>
      <c r="CF275" s="26">
        <v>0</v>
      </c>
      <c r="CG275" s="26">
        <v>0</v>
      </c>
      <c r="CH275" s="26">
        <v>0</v>
      </c>
      <c r="CI275" s="26">
        <v>0</v>
      </c>
      <c r="CJ275" s="26">
        <v>0</v>
      </c>
      <c r="CK275" s="26">
        <v>0</v>
      </c>
      <c r="CL275" s="26">
        <v>0</v>
      </c>
      <c r="CM275" s="26">
        <v>0</v>
      </c>
      <c r="CN275" s="26">
        <v>0</v>
      </c>
      <c r="CO275" s="26">
        <v>0</v>
      </c>
      <c r="CP275" s="26">
        <v>0</v>
      </c>
      <c r="CQ275" s="26">
        <v>0</v>
      </c>
      <c r="CR275" s="26">
        <v>0</v>
      </c>
      <c r="CS275" s="26">
        <v>0</v>
      </c>
      <c r="CT275" s="26">
        <v>0</v>
      </c>
      <c r="CU275" s="26">
        <v>0</v>
      </c>
      <c r="CV275" s="26">
        <v>0</v>
      </c>
      <c r="CW275" s="26">
        <v>0</v>
      </c>
      <c r="CX275" s="26">
        <v>0</v>
      </c>
      <c r="CY275" s="26">
        <v>0</v>
      </c>
      <c r="CZ275" s="26">
        <v>0</v>
      </c>
      <c r="DA275" s="26">
        <v>0</v>
      </c>
      <c r="DB275" s="26">
        <v>0</v>
      </c>
      <c r="DC275" s="26">
        <v>0</v>
      </c>
      <c r="DD275" s="26">
        <v>0</v>
      </c>
      <c r="DE275" s="26">
        <v>0</v>
      </c>
      <c r="DF275" s="26">
        <v>0</v>
      </c>
      <c r="DG275" s="26">
        <v>0</v>
      </c>
      <c r="DH275" s="26">
        <v>0</v>
      </c>
      <c r="DI275" s="26">
        <v>0</v>
      </c>
      <c r="DJ275" s="26">
        <v>0</v>
      </c>
      <c r="DK275" s="26">
        <v>0</v>
      </c>
      <c r="DL275" s="26">
        <v>0</v>
      </c>
      <c r="DM275" s="26">
        <v>0</v>
      </c>
      <c r="DN275" s="26">
        <v>0</v>
      </c>
      <c r="DO275" s="26">
        <v>0</v>
      </c>
      <c r="DP275" s="26">
        <v>0</v>
      </c>
      <c r="DQ275" s="26">
        <v>0</v>
      </c>
      <c r="DR275" s="26">
        <v>0</v>
      </c>
      <c r="DS275" s="26">
        <v>0</v>
      </c>
      <c r="DT275" s="26">
        <v>0</v>
      </c>
      <c r="DU275" s="26">
        <v>0</v>
      </c>
      <c r="DV275" s="26">
        <v>0</v>
      </c>
      <c r="DW275" s="26">
        <v>0</v>
      </c>
      <c r="DX275" s="26">
        <v>0</v>
      </c>
      <c r="DY275" s="26">
        <v>0</v>
      </c>
      <c r="DZ275" s="26">
        <v>0</v>
      </c>
      <c r="EA275" s="26">
        <v>0</v>
      </c>
      <c r="EB275" s="26">
        <v>0</v>
      </c>
      <c r="EC275" s="26">
        <v>0</v>
      </c>
      <c r="ED275" s="26">
        <v>0</v>
      </c>
      <c r="EE275" s="26">
        <v>0</v>
      </c>
      <c r="EF275" s="26">
        <v>0</v>
      </c>
      <c r="EG275" s="26">
        <v>0</v>
      </c>
      <c r="EH275" s="26">
        <v>0</v>
      </c>
      <c r="EI275" s="26">
        <v>0</v>
      </c>
      <c r="EJ275" s="26">
        <v>0</v>
      </c>
      <c r="EK275" s="26">
        <v>0</v>
      </c>
      <c r="EL275" s="26">
        <v>0</v>
      </c>
      <c r="EM275" s="26">
        <v>0</v>
      </c>
      <c r="EN275" s="26">
        <v>0</v>
      </c>
      <c r="EO275" s="26">
        <v>0</v>
      </c>
      <c r="EP275" s="26">
        <v>0</v>
      </c>
      <c r="EQ275" s="26">
        <v>0</v>
      </c>
      <c r="ER275" s="26">
        <v>0</v>
      </c>
      <c r="ES275" s="26">
        <v>0</v>
      </c>
      <c r="ET275" s="26">
        <v>4.4022981999999997</v>
      </c>
      <c r="EU275" s="26">
        <v>0</v>
      </c>
      <c r="EV275" s="26">
        <v>0</v>
      </c>
      <c r="EW275" s="26">
        <v>0</v>
      </c>
      <c r="EX275" s="26">
        <v>0</v>
      </c>
      <c r="EY275" s="26">
        <v>0</v>
      </c>
      <c r="EZ275" s="26">
        <v>0</v>
      </c>
      <c r="FA275" s="26">
        <v>0</v>
      </c>
      <c r="FB275" s="26">
        <v>0</v>
      </c>
      <c r="FC275" s="26">
        <v>0</v>
      </c>
      <c r="FD275" s="26">
        <v>0</v>
      </c>
      <c r="FE275" s="26">
        <v>0</v>
      </c>
      <c r="FF275" s="26">
        <v>0</v>
      </c>
      <c r="FG275" s="26">
        <v>5.1861772200000001E-4</v>
      </c>
      <c r="FH275" s="26">
        <v>-1689097703.8</v>
      </c>
      <c r="FI275" s="26">
        <v>1.0916712698444812E-3</v>
      </c>
      <c r="FJ275" s="26">
        <v>0</v>
      </c>
      <c r="FK275" s="26">
        <v>0</v>
      </c>
      <c r="FL275" s="26">
        <v>0</v>
      </c>
      <c r="FM275" s="26">
        <v>0</v>
      </c>
      <c r="FN275" s="26">
        <v>0</v>
      </c>
      <c r="FO275" s="26">
        <v>0</v>
      </c>
      <c r="FP275" s="26">
        <v>0</v>
      </c>
      <c r="FQ275" s="26">
        <v>0</v>
      </c>
      <c r="FR275" s="26">
        <v>0</v>
      </c>
      <c r="FS275" s="26">
        <v>0</v>
      </c>
      <c r="FT275" s="26">
        <v>0</v>
      </c>
      <c r="FU275" s="26">
        <v>0</v>
      </c>
      <c r="FV275" s="26">
        <v>0</v>
      </c>
      <c r="FW275" s="26">
        <v>0</v>
      </c>
      <c r="FX275" s="26">
        <v>0</v>
      </c>
      <c r="FY275" s="26">
        <v>0</v>
      </c>
      <c r="FZ275" s="26">
        <v>0</v>
      </c>
      <c r="GA275" s="26">
        <v>0</v>
      </c>
      <c r="GB275" s="26">
        <v>0</v>
      </c>
      <c r="GC275" s="26">
        <v>0</v>
      </c>
      <c r="GD275" s="26">
        <v>0</v>
      </c>
      <c r="GE275" s="26">
        <v>0</v>
      </c>
      <c r="GF275" s="26">
        <v>0</v>
      </c>
      <c r="GG275" s="26">
        <v>0</v>
      </c>
      <c r="GH275" s="26">
        <v>0</v>
      </c>
      <c r="GI275" s="26">
        <v>0</v>
      </c>
      <c r="GJ275" s="26">
        <v>0</v>
      </c>
      <c r="GK275" s="26">
        <v>0</v>
      </c>
      <c r="GL275" s="26">
        <v>0</v>
      </c>
      <c r="GM275" s="26">
        <v>0</v>
      </c>
      <c r="GN275" s="26">
        <v>0</v>
      </c>
      <c r="GO275" s="26">
        <v>0</v>
      </c>
      <c r="GP275" s="26">
        <v>0</v>
      </c>
      <c r="GQ275" s="26">
        <v>0</v>
      </c>
      <c r="GR275" s="26">
        <v>0</v>
      </c>
      <c r="GS275" s="26">
        <v>0</v>
      </c>
      <c r="GT275" s="26">
        <v>0</v>
      </c>
      <c r="GU275" s="26">
        <v>0</v>
      </c>
      <c r="GV275" s="26">
        <v>0</v>
      </c>
      <c r="GW275" s="26">
        <v>0</v>
      </c>
      <c r="GX275" s="26">
        <v>0</v>
      </c>
      <c r="GY275" s="26">
        <v>0</v>
      </c>
      <c r="GZ275" s="26">
        <v>0</v>
      </c>
      <c r="HA275" s="26">
        <v>0</v>
      </c>
      <c r="HB275" s="26">
        <v>0</v>
      </c>
      <c r="HC275" s="26">
        <v>0</v>
      </c>
      <c r="HD275" s="26">
        <v>0</v>
      </c>
      <c r="HE275" s="26">
        <v>0</v>
      </c>
      <c r="HF275" s="26">
        <v>0</v>
      </c>
      <c r="HG275" s="26">
        <v>0</v>
      </c>
      <c r="HH275" s="26">
        <v>0</v>
      </c>
      <c r="HI275" s="26">
        <v>0</v>
      </c>
      <c r="HJ275" s="26">
        <v>0</v>
      </c>
      <c r="HK275" s="26">
        <v>0</v>
      </c>
      <c r="HL275" s="26">
        <v>0</v>
      </c>
      <c r="HM275" s="26">
        <v>0</v>
      </c>
      <c r="HN275" s="26">
        <v>0</v>
      </c>
      <c r="HO275" s="26">
        <v>0</v>
      </c>
      <c r="HP275" s="26">
        <v>0</v>
      </c>
      <c r="HQ275" s="26">
        <v>0</v>
      </c>
      <c r="HR275" s="26">
        <v>0</v>
      </c>
      <c r="HS275" s="26">
        <v>0</v>
      </c>
      <c r="HT275" s="26">
        <v>0</v>
      </c>
    </row>
    <row r="276" spans="2:228" x14ac:dyDescent="0.2">
      <c r="B276" s="27" t="s">
        <v>3009</v>
      </c>
      <c r="C276" s="26">
        <v>386582.93</v>
      </c>
      <c r="D276" s="26">
        <v>-1452.3250499999999</v>
      </c>
      <c r="E276" s="26">
        <v>381608.76699999999</v>
      </c>
      <c r="F276" s="26">
        <v>9.7021164100000001E-2</v>
      </c>
      <c r="G276" s="26">
        <v>0.27390152000000001</v>
      </c>
      <c r="H276" s="26">
        <v>0.60126281400000003</v>
      </c>
      <c r="I276" s="26">
        <v>0.252278104</v>
      </c>
      <c r="J276" s="26">
        <v>0.55802017699999995</v>
      </c>
      <c r="K276" s="26">
        <v>0.11563747200000002</v>
      </c>
      <c r="L276" s="26">
        <v>0.173978348</v>
      </c>
      <c r="M276" s="26">
        <v>0</v>
      </c>
      <c r="N276" s="26">
        <v>0.59544606899999997</v>
      </c>
      <c r="O276" s="26">
        <v>1.5026919699999999E-2</v>
      </c>
      <c r="P276" s="26">
        <v>6.3050012500000001E-3</v>
      </c>
      <c r="Q276" s="26">
        <v>0.20522642699999999</v>
      </c>
      <c r="R276" s="26">
        <v>0.20162037699999999</v>
      </c>
      <c r="S276" s="26">
        <v>6.4152214699999996</v>
      </c>
      <c r="T276" s="26">
        <v>55.7626499</v>
      </c>
      <c r="U276" s="26">
        <v>0.194333266</v>
      </c>
      <c r="V276" s="26">
        <v>0.25416173800000003</v>
      </c>
      <c r="W276" s="26">
        <v>3.1763930699999998E-2</v>
      </c>
      <c r="X276" s="26">
        <v>0.89018935099999996</v>
      </c>
      <c r="Y276" s="26">
        <v>0.39670935299999999</v>
      </c>
      <c r="Z276" s="26">
        <v>9.1625746100000002E-2</v>
      </c>
      <c r="AA276" s="26">
        <v>0.24052019899999996</v>
      </c>
      <c r="AB276" s="26">
        <v>2.8002136700000002</v>
      </c>
      <c r="AC276" s="26">
        <v>6.3604095200000002E-2</v>
      </c>
      <c r="AD276" s="26">
        <v>0</v>
      </c>
      <c r="AE276" s="26">
        <v>16.442953299999999</v>
      </c>
      <c r="AF276" s="26">
        <v>115.895771</v>
      </c>
      <c r="AG276" s="26">
        <v>0</v>
      </c>
      <c r="AH276" s="26">
        <v>4712.2267599999996</v>
      </c>
      <c r="AI276" s="26">
        <v>0</v>
      </c>
      <c r="AJ276" s="26">
        <v>0</v>
      </c>
      <c r="AK276" s="26">
        <v>0</v>
      </c>
      <c r="AL276" s="26">
        <v>0</v>
      </c>
      <c r="AM276" s="26">
        <v>0.39285781600000003</v>
      </c>
      <c r="AN276" s="26">
        <v>2.8174925499999999</v>
      </c>
      <c r="AO276" s="26">
        <v>5.4394494299999998</v>
      </c>
      <c r="AP276" s="26">
        <v>0</v>
      </c>
      <c r="AQ276" s="26">
        <v>5.21086604</v>
      </c>
      <c r="AR276" s="26">
        <v>0</v>
      </c>
      <c r="AS276" s="26">
        <v>6.4621852400000002</v>
      </c>
      <c r="AT276" s="26">
        <v>2.2872823100000001E-4</v>
      </c>
      <c r="AU276" s="26">
        <v>38.933442800000002</v>
      </c>
      <c r="AV276" s="26">
        <v>0.103593571</v>
      </c>
      <c r="AW276" s="26">
        <v>0</v>
      </c>
      <c r="AX276" s="26">
        <v>0</v>
      </c>
      <c r="AY276" s="26">
        <v>0</v>
      </c>
      <c r="AZ276" s="26">
        <v>0</v>
      </c>
      <c r="BA276" s="26">
        <v>0</v>
      </c>
      <c r="BB276" s="26">
        <v>0</v>
      </c>
      <c r="BC276" s="26">
        <v>0</v>
      </c>
      <c r="BD276" s="26">
        <v>0</v>
      </c>
      <c r="BE276" s="26">
        <v>0</v>
      </c>
      <c r="BF276" s="26">
        <v>0</v>
      </c>
      <c r="BG276" s="26">
        <v>0</v>
      </c>
      <c r="BH276" s="26">
        <v>0</v>
      </c>
      <c r="BI276" s="26">
        <v>0</v>
      </c>
      <c r="BJ276" s="26">
        <v>0</v>
      </c>
      <c r="BK276" s="26">
        <v>0</v>
      </c>
      <c r="BL276" s="26">
        <v>0</v>
      </c>
      <c r="BM276" s="26">
        <v>0</v>
      </c>
      <c r="BN276" s="26">
        <v>0</v>
      </c>
      <c r="BO276" s="26">
        <v>21241.333200000001</v>
      </c>
      <c r="BP276" s="26">
        <v>386582.93</v>
      </c>
      <c r="BQ276" s="26">
        <v>6553.8372799999997</v>
      </c>
      <c r="BR276" s="26">
        <v>25.107173299999999</v>
      </c>
      <c r="BS276" s="26">
        <v>1</v>
      </c>
      <c r="BT276" s="26">
        <v>2.3248215699999998E-8</v>
      </c>
      <c r="BU276" s="26">
        <v>0.99999997699999998</v>
      </c>
      <c r="BV276" s="26">
        <v>0</v>
      </c>
      <c r="BW276" s="26">
        <v>-68372.593699999998</v>
      </c>
      <c r="BX276" s="26">
        <v>-3756.82663</v>
      </c>
      <c r="BY276" s="26">
        <v>-1452.3250499999999</v>
      </c>
      <c r="BZ276" s="26">
        <v>-38.969707700000001</v>
      </c>
      <c r="CA276" s="26">
        <v>-2.14124443</v>
      </c>
      <c r="CB276" s="26">
        <v>5.4017547300000003E-2</v>
      </c>
      <c r="CC276" s="26">
        <v>0.98309562399999995</v>
      </c>
      <c r="CD276" s="26">
        <v>18.199560600000002</v>
      </c>
      <c r="CE276" s="26">
        <v>0</v>
      </c>
      <c r="CF276" s="26">
        <v>0</v>
      </c>
      <c r="CG276" s="26">
        <v>0</v>
      </c>
      <c r="CH276" s="26">
        <v>0</v>
      </c>
      <c r="CI276" s="26">
        <v>0</v>
      </c>
      <c r="CJ276" s="26">
        <v>0</v>
      </c>
      <c r="CK276" s="26">
        <v>0</v>
      </c>
      <c r="CL276" s="26">
        <v>0</v>
      </c>
      <c r="CM276" s="26">
        <v>0</v>
      </c>
      <c r="CN276" s="26">
        <v>0</v>
      </c>
      <c r="CO276" s="26">
        <v>0</v>
      </c>
      <c r="CP276" s="26">
        <v>0</v>
      </c>
      <c r="CQ276" s="26">
        <v>0</v>
      </c>
      <c r="CR276" s="26">
        <v>0</v>
      </c>
      <c r="CS276" s="26">
        <v>0</v>
      </c>
      <c r="CT276" s="26">
        <v>0</v>
      </c>
      <c r="CU276" s="26">
        <v>0</v>
      </c>
      <c r="CV276" s="26">
        <v>0</v>
      </c>
      <c r="CW276" s="26">
        <v>0</v>
      </c>
      <c r="CX276" s="26">
        <v>0</v>
      </c>
      <c r="CY276" s="26">
        <v>0</v>
      </c>
      <c r="CZ276" s="26">
        <v>0</v>
      </c>
      <c r="DA276" s="26">
        <v>0</v>
      </c>
      <c r="DB276" s="26">
        <v>0</v>
      </c>
      <c r="DC276" s="26">
        <v>0</v>
      </c>
      <c r="DD276" s="26">
        <v>0</v>
      </c>
      <c r="DE276" s="26">
        <v>0</v>
      </c>
      <c r="DF276" s="26">
        <v>0</v>
      </c>
      <c r="DG276" s="26">
        <v>0</v>
      </c>
      <c r="DH276" s="26">
        <v>0</v>
      </c>
      <c r="DI276" s="26">
        <v>0</v>
      </c>
      <c r="DJ276" s="26">
        <v>0</v>
      </c>
      <c r="DK276" s="26">
        <v>0</v>
      </c>
      <c r="DL276" s="26">
        <v>0</v>
      </c>
      <c r="DM276" s="26">
        <v>0</v>
      </c>
      <c r="DN276" s="26">
        <v>0</v>
      </c>
      <c r="DO276" s="26">
        <v>0</v>
      </c>
      <c r="DP276" s="26">
        <v>0</v>
      </c>
      <c r="DQ276" s="26">
        <v>0</v>
      </c>
      <c r="DR276" s="26">
        <v>0</v>
      </c>
      <c r="DS276" s="26">
        <v>0</v>
      </c>
      <c r="DT276" s="26">
        <v>0</v>
      </c>
      <c r="DU276" s="26">
        <v>0</v>
      </c>
      <c r="DV276" s="26">
        <v>0</v>
      </c>
      <c r="DW276" s="26">
        <v>0</v>
      </c>
      <c r="DX276" s="26">
        <v>0</v>
      </c>
      <c r="DY276" s="26">
        <v>0</v>
      </c>
      <c r="DZ276" s="26">
        <v>0</v>
      </c>
      <c r="EA276" s="26">
        <v>0</v>
      </c>
      <c r="EB276" s="26">
        <v>0</v>
      </c>
      <c r="EC276" s="26">
        <v>0</v>
      </c>
      <c r="ED276" s="26">
        <v>0</v>
      </c>
      <c r="EE276" s="26">
        <v>0</v>
      </c>
      <c r="EF276" s="26">
        <v>0</v>
      </c>
      <c r="EG276" s="26">
        <v>0</v>
      </c>
      <c r="EH276" s="26">
        <v>0</v>
      </c>
      <c r="EI276" s="26">
        <v>0</v>
      </c>
      <c r="EJ276" s="26">
        <v>0</v>
      </c>
      <c r="EK276" s="26">
        <v>0</v>
      </c>
      <c r="EL276" s="26">
        <v>0</v>
      </c>
      <c r="EM276" s="26">
        <v>0</v>
      </c>
      <c r="EN276" s="26">
        <v>0</v>
      </c>
      <c r="EO276" s="26">
        <v>0</v>
      </c>
      <c r="EP276" s="26">
        <v>0</v>
      </c>
      <c r="EQ276" s="26">
        <v>0</v>
      </c>
      <c r="ER276" s="26">
        <v>0</v>
      </c>
      <c r="ES276" s="26">
        <v>0</v>
      </c>
      <c r="ET276" s="26">
        <v>0</v>
      </c>
      <c r="EU276" s="26">
        <v>0</v>
      </c>
      <c r="EV276" s="26">
        <v>0</v>
      </c>
      <c r="EW276" s="26">
        <v>0</v>
      </c>
      <c r="EX276" s="26">
        <v>0</v>
      </c>
      <c r="EY276" s="26">
        <v>0</v>
      </c>
      <c r="EZ276" s="26">
        <v>0</v>
      </c>
      <c r="FA276" s="26">
        <v>0</v>
      </c>
      <c r="FB276" s="26">
        <v>0</v>
      </c>
      <c r="FC276" s="26">
        <v>0</v>
      </c>
      <c r="FD276" s="26">
        <v>0</v>
      </c>
      <c r="FE276" s="26">
        <v>0</v>
      </c>
      <c r="FF276" s="26">
        <v>0</v>
      </c>
      <c r="FG276" s="26">
        <v>5.1861772200000001E-4</v>
      </c>
      <c r="FH276" s="26">
        <v>-1689097703.8</v>
      </c>
      <c r="FI276" s="26">
        <v>1.0916712698444812E-3</v>
      </c>
      <c r="FJ276" s="26">
        <v>4.3075926733496308E-9</v>
      </c>
      <c r="FK276" s="26">
        <v>8.2337889825369793E-15</v>
      </c>
      <c r="FL276" s="26">
        <v>7.0587744731368627E-28</v>
      </c>
      <c r="FM276" s="26">
        <v>1.5495272123962177E-27</v>
      </c>
      <c r="FN276" s="26">
        <v>6.5015127742343243E-28</v>
      </c>
      <c r="FO276" s="26">
        <v>3.704849112972126E-25</v>
      </c>
      <c r="FP276" s="26">
        <v>7.6774891447532472E-26</v>
      </c>
      <c r="FQ276" s="26">
        <v>1.2037083762963337E-23</v>
      </c>
      <c r="FR276" s="26">
        <v>0</v>
      </c>
      <c r="FS276" s="26">
        <v>1.7050357108625079E-27</v>
      </c>
      <c r="FT276" s="26">
        <v>4.3028975899787366E-29</v>
      </c>
      <c r="FU276" s="26">
        <v>1.8054115811099593E-29</v>
      </c>
      <c r="FV276" s="26">
        <v>1.548351762386814E-25</v>
      </c>
      <c r="FW276" s="26">
        <v>1.5211455482802756E-25</v>
      </c>
      <c r="FX276" s="26">
        <v>1.6532803993373543E-26</v>
      </c>
      <c r="FY276" s="26">
        <v>1.4968899591973418E-18</v>
      </c>
      <c r="FZ276" s="26">
        <v>1.3479662441170632E-18</v>
      </c>
      <c r="GA276" s="26">
        <v>6.6501447198678243E-15</v>
      </c>
      <c r="GB276" s="26">
        <v>7.0509613341854677E-17</v>
      </c>
      <c r="GC276" s="26">
        <v>3.0210186075014826E-19</v>
      </c>
      <c r="GD276" s="26">
        <v>4.2546039229257201E-25</v>
      </c>
      <c r="GE276" s="26">
        <v>8.6641734582022761E-22</v>
      </c>
      <c r="GF276" s="26">
        <v>4.0388995323111964E-22</v>
      </c>
      <c r="GG276" s="26">
        <v>5.6710892120353803E-13</v>
      </c>
      <c r="GH276" s="26">
        <v>3.3072931931250124E-22</v>
      </c>
      <c r="GI276" s="26">
        <v>0</v>
      </c>
      <c r="GJ276" s="26">
        <v>0</v>
      </c>
      <c r="GK276" s="26">
        <v>0</v>
      </c>
      <c r="GL276" s="26">
        <v>0</v>
      </c>
      <c r="GM276" s="26">
        <v>8.7769176257708966E-14</v>
      </c>
      <c r="GN276" s="26">
        <v>0</v>
      </c>
      <c r="GO276" s="26">
        <v>0</v>
      </c>
      <c r="GP276" s="26">
        <v>0</v>
      </c>
      <c r="GQ276" s="26">
        <v>0</v>
      </c>
      <c r="GR276" s="26">
        <v>8.1419340095799169E-24</v>
      </c>
      <c r="GS276" s="26">
        <v>2.4807063226234283E-8</v>
      </c>
      <c r="GT276" s="26">
        <v>1.0634555029520885E-7</v>
      </c>
      <c r="GU276" s="26">
        <v>0</v>
      </c>
      <c r="GV276" s="26">
        <v>8.7830101535974148E-13</v>
      </c>
      <c r="GW276" s="26">
        <v>0</v>
      </c>
      <c r="GX276" s="26">
        <v>1.5604040874832328E-9</v>
      </c>
      <c r="GY276" s="26">
        <v>3.6544125014575223E-12</v>
      </c>
      <c r="GZ276" s="26">
        <v>1.4722895923338722E-10</v>
      </c>
      <c r="HA276" s="26">
        <v>4.13896753311174E-14</v>
      </c>
      <c r="HB276" s="26">
        <v>0</v>
      </c>
      <c r="HC276" s="26">
        <v>0</v>
      </c>
      <c r="HD276" s="26">
        <v>0</v>
      </c>
      <c r="HE276" s="26">
        <v>0</v>
      </c>
      <c r="HF276" s="26">
        <v>0</v>
      </c>
      <c r="HG276" s="26">
        <v>0</v>
      </c>
      <c r="HH276" s="26">
        <v>0</v>
      </c>
      <c r="HI276" s="26">
        <v>0</v>
      </c>
      <c r="HJ276" s="26">
        <v>0</v>
      </c>
      <c r="HK276" s="26">
        <v>0</v>
      </c>
      <c r="HL276" s="26">
        <v>0</v>
      </c>
      <c r="HM276" s="26">
        <v>0</v>
      </c>
      <c r="HN276" s="26">
        <v>0</v>
      </c>
      <c r="HO276" s="26">
        <v>0</v>
      </c>
      <c r="HP276" s="26">
        <v>0</v>
      </c>
      <c r="HQ276" s="26">
        <v>0</v>
      </c>
      <c r="HR276" s="26">
        <v>0</v>
      </c>
      <c r="HS276" s="26">
        <v>0</v>
      </c>
      <c r="HT276" s="26">
        <v>0</v>
      </c>
    </row>
    <row r="277" spans="2:228" x14ac:dyDescent="0.2">
      <c r="B277" s="27" t="s">
        <v>1424</v>
      </c>
      <c r="C277" s="26">
        <v>2263392.44</v>
      </c>
      <c r="D277" s="26">
        <v>-8441.0244399999992</v>
      </c>
      <c r="E277" s="26">
        <v>2211788.66</v>
      </c>
      <c r="F277" s="26">
        <v>0.56233</v>
      </c>
      <c r="G277" s="26">
        <v>1.5875198399999999</v>
      </c>
      <c r="H277" s="26">
        <v>3.4848899200000001</v>
      </c>
      <c r="I277" s="26">
        <v>1.46219158</v>
      </c>
      <c r="J277" s="26">
        <v>3.2342577100000001</v>
      </c>
      <c r="K277" s="26">
        <v>0.67022914099999997</v>
      </c>
      <c r="L277" s="26">
        <v>1.0083700099999999</v>
      </c>
      <c r="M277" s="26">
        <v>0</v>
      </c>
      <c r="N277" s="26">
        <v>3.4511763499999999</v>
      </c>
      <c r="O277" s="26">
        <v>8.7095292899999996E-2</v>
      </c>
      <c r="P277" s="26">
        <v>3.6543479500000003E-2</v>
      </c>
      <c r="Q277" s="26">
        <v>1.18948236</v>
      </c>
      <c r="R277" s="26">
        <v>1.1685818699999999</v>
      </c>
      <c r="S277" s="26">
        <v>37.1823105</v>
      </c>
      <c r="T277" s="26">
        <v>323.19759699999997</v>
      </c>
      <c r="U277" s="26">
        <v>1.1263461299999999</v>
      </c>
      <c r="V277" s="26">
        <v>1.47310914</v>
      </c>
      <c r="W277" s="26">
        <v>0.184102193</v>
      </c>
      <c r="X277" s="26">
        <v>5.1594940300000003</v>
      </c>
      <c r="Y277" s="26">
        <v>2.29930805</v>
      </c>
      <c r="Z277" s="26">
        <v>0.53105835199999996</v>
      </c>
      <c r="AA277" s="26">
        <v>1.3940433400000001</v>
      </c>
      <c r="AB277" s="26">
        <v>16.2299036</v>
      </c>
      <c r="AC277" s="26">
        <v>0.36864623099999999</v>
      </c>
      <c r="AD277" s="26">
        <v>0</v>
      </c>
      <c r="AE277" s="26">
        <v>95.302554599999993</v>
      </c>
      <c r="AF277" s="26">
        <v>671.72623199999998</v>
      </c>
      <c r="AG277" s="26">
        <v>0</v>
      </c>
      <c r="AH277" s="26">
        <v>27311.837299999999</v>
      </c>
      <c r="AI277" s="26">
        <v>0</v>
      </c>
      <c r="AJ277" s="26">
        <v>0</v>
      </c>
      <c r="AK277" s="26">
        <v>0</v>
      </c>
      <c r="AL277" s="26">
        <v>0</v>
      </c>
      <c r="AM277" s="26">
        <v>2.2769847300000001</v>
      </c>
      <c r="AN277" s="26">
        <v>16.330140100000001</v>
      </c>
      <c r="AO277" s="26">
        <v>31.526955900000001</v>
      </c>
      <c r="AP277" s="26">
        <v>0</v>
      </c>
      <c r="AQ277" s="26">
        <v>30.201927399999999</v>
      </c>
      <c r="AR277" s="26">
        <v>0</v>
      </c>
      <c r="AS277" s="26">
        <v>37.454817599999998</v>
      </c>
      <c r="AT277" s="26">
        <v>1.3257030700000001E-3</v>
      </c>
      <c r="AU277" s="26">
        <v>225.65706399999996</v>
      </c>
      <c r="AV277" s="26">
        <v>0.60042413699999997</v>
      </c>
      <c r="AW277" s="26">
        <v>0</v>
      </c>
      <c r="AX277" s="26">
        <v>0</v>
      </c>
      <c r="AY277" s="26">
        <v>0</v>
      </c>
      <c r="AZ277" s="26">
        <v>0</v>
      </c>
      <c r="BA277" s="26">
        <v>0</v>
      </c>
      <c r="BB277" s="26">
        <v>0</v>
      </c>
      <c r="BC277" s="26">
        <v>0</v>
      </c>
      <c r="BD277" s="26">
        <v>0</v>
      </c>
      <c r="BE277" s="26">
        <v>0</v>
      </c>
      <c r="BF277" s="26">
        <v>0</v>
      </c>
      <c r="BG277" s="26">
        <v>0</v>
      </c>
      <c r="BH277" s="26">
        <v>0</v>
      </c>
      <c r="BI277" s="26">
        <v>0</v>
      </c>
      <c r="BJ277" s="26">
        <v>0</v>
      </c>
      <c r="BK277" s="26">
        <v>0</v>
      </c>
      <c r="BL277" s="26">
        <v>0</v>
      </c>
      <c r="BM277" s="26">
        <v>0</v>
      </c>
      <c r="BN277" s="26">
        <v>0</v>
      </c>
      <c r="BO277" s="26">
        <v>123113.88999999998</v>
      </c>
      <c r="BP277" s="26">
        <v>2240618.67</v>
      </c>
      <c r="BQ277" s="26">
        <v>37985.769699999997</v>
      </c>
      <c r="BR277" s="26">
        <v>25.107173299999999</v>
      </c>
      <c r="BS277" s="26">
        <v>1</v>
      </c>
      <c r="BT277" s="26">
        <v>2.3248215699999998E-8</v>
      </c>
      <c r="BU277" s="26">
        <v>0.99999997699999998</v>
      </c>
      <c r="BV277" s="26">
        <v>0</v>
      </c>
      <c r="BW277" s="26">
        <v>-68372.595700000005</v>
      </c>
      <c r="BX277" s="26">
        <v>-3756.8267799999999</v>
      </c>
      <c r="BY277" s="26">
        <v>-8417.6162800000002</v>
      </c>
      <c r="BZ277" s="26">
        <v>-38.969707200000002</v>
      </c>
      <c r="CA277" s="26">
        <v>-2.14124443</v>
      </c>
      <c r="CB277" s="26">
        <v>5.4017547999999999E-2</v>
      </c>
      <c r="CC277" s="26">
        <v>0.98309562399999995</v>
      </c>
      <c r="CD277" s="26">
        <v>18.199560300000002</v>
      </c>
      <c r="CE277" s="26">
        <v>0</v>
      </c>
      <c r="CF277" s="26">
        <v>0</v>
      </c>
      <c r="CG277" s="26">
        <v>0</v>
      </c>
      <c r="CH277" s="26">
        <v>0</v>
      </c>
      <c r="CI277" s="26">
        <v>0</v>
      </c>
      <c r="CJ277" s="26">
        <v>0</v>
      </c>
      <c r="CK277" s="26">
        <v>0</v>
      </c>
      <c r="CL277" s="26">
        <v>0</v>
      </c>
      <c r="CM277" s="26">
        <v>0</v>
      </c>
      <c r="CN277" s="26">
        <v>0</v>
      </c>
      <c r="CO277" s="26">
        <v>0</v>
      </c>
      <c r="CP277" s="26">
        <v>0</v>
      </c>
      <c r="CQ277" s="26">
        <v>0</v>
      </c>
      <c r="CR277" s="26">
        <v>0</v>
      </c>
      <c r="CS277" s="26">
        <v>0</v>
      </c>
      <c r="CT277" s="26">
        <v>0</v>
      </c>
      <c r="CU277" s="26">
        <v>0</v>
      </c>
      <c r="CV277" s="26">
        <v>0</v>
      </c>
      <c r="CW277" s="26">
        <v>0</v>
      </c>
      <c r="CX277" s="26">
        <v>0</v>
      </c>
      <c r="CY277" s="26">
        <v>0</v>
      </c>
      <c r="CZ277" s="26">
        <v>0</v>
      </c>
      <c r="DA277" s="26">
        <v>0</v>
      </c>
      <c r="DB277" s="26">
        <v>0</v>
      </c>
      <c r="DC277" s="26">
        <v>0</v>
      </c>
      <c r="DD277" s="26">
        <v>0</v>
      </c>
      <c r="DE277" s="26">
        <v>0</v>
      </c>
      <c r="DF277" s="26">
        <v>0</v>
      </c>
      <c r="DG277" s="26">
        <v>0</v>
      </c>
      <c r="DH277" s="26">
        <v>0</v>
      </c>
      <c r="DI277" s="26">
        <v>0</v>
      </c>
      <c r="DJ277" s="26">
        <v>0</v>
      </c>
      <c r="DK277" s="26">
        <v>0</v>
      </c>
      <c r="DL277" s="26">
        <v>0</v>
      </c>
      <c r="DM277" s="26">
        <v>0</v>
      </c>
      <c r="DN277" s="26">
        <v>0</v>
      </c>
      <c r="DO277" s="26">
        <v>0</v>
      </c>
      <c r="DP277" s="26">
        <v>0</v>
      </c>
      <c r="DQ277" s="26">
        <v>0</v>
      </c>
      <c r="DR277" s="26">
        <v>0</v>
      </c>
      <c r="DS277" s="26">
        <v>0</v>
      </c>
      <c r="DT277" s="26">
        <v>0</v>
      </c>
      <c r="DU277" s="26">
        <v>0</v>
      </c>
      <c r="DV277" s="26">
        <v>0</v>
      </c>
      <c r="DW277" s="26">
        <v>0</v>
      </c>
      <c r="DX277" s="26">
        <v>193.611019</v>
      </c>
      <c r="DY277" s="26">
        <v>4.7806523199999997</v>
      </c>
      <c r="DZ277" s="26">
        <v>2.0058681100000002</v>
      </c>
      <c r="EA277" s="26">
        <v>65.291006899999999</v>
      </c>
      <c r="EB277" s="26">
        <v>7.9566101600000003</v>
      </c>
      <c r="EC277" s="26">
        <v>1925.11906</v>
      </c>
      <c r="ED277" s="26">
        <v>0</v>
      </c>
      <c r="EE277" s="26">
        <v>0.69917998599999998</v>
      </c>
      <c r="EF277" s="26">
        <v>633.905754</v>
      </c>
      <c r="EG277" s="26">
        <v>80.368157600000004</v>
      </c>
      <c r="EH277" s="26">
        <v>8.9298081699999994</v>
      </c>
      <c r="EI277" s="26">
        <v>129.00556599999999</v>
      </c>
      <c r="EJ277" s="26">
        <v>16.635585899999999</v>
      </c>
      <c r="EK277" s="26">
        <v>19632.463100000001</v>
      </c>
      <c r="EL277" s="26">
        <v>73.006231499999998</v>
      </c>
      <c r="EM277" s="26">
        <v>0</v>
      </c>
      <c r="EN277" s="26">
        <v>0</v>
      </c>
      <c r="EO277" s="26">
        <v>0</v>
      </c>
      <c r="EP277" s="26">
        <v>880.76243899999997</v>
      </c>
      <c r="EQ277" s="26">
        <v>22773.777600000001</v>
      </c>
      <c r="ER277" s="26">
        <v>256.31509399999999</v>
      </c>
      <c r="ES277" s="26">
        <v>25.107173299999999</v>
      </c>
      <c r="ET277" s="26">
        <v>1</v>
      </c>
      <c r="EU277" s="26">
        <v>0</v>
      </c>
      <c r="EV277" s="26">
        <v>0</v>
      </c>
      <c r="EW277" s="26">
        <v>1</v>
      </c>
      <c r="EX277" s="26">
        <v>-26577.1495</v>
      </c>
      <c r="EY277" s="26">
        <v>-1027.8556100000001</v>
      </c>
      <c r="EZ277" s="26">
        <v>-23.408155199999999</v>
      </c>
      <c r="FA277" s="26">
        <v>-82.4663264</v>
      </c>
      <c r="FB277" s="26">
        <v>-3.1893366099999998</v>
      </c>
      <c r="FC277" s="26">
        <v>5.7270812999999997E-2</v>
      </c>
      <c r="FD277" s="26">
        <v>1.4808451199999999</v>
      </c>
      <c r="FE277" s="26">
        <v>25.856890100000001</v>
      </c>
      <c r="FF277" s="26">
        <v>0</v>
      </c>
      <c r="FG277" s="26">
        <v>1.4869396E-2</v>
      </c>
      <c r="FH277" s="26">
        <v>-9817165201.9500008</v>
      </c>
      <c r="FI277" s="26">
        <v>6.3272815783960304E-3</v>
      </c>
      <c r="FJ277" s="26">
        <v>2.4966629255288592E-8</v>
      </c>
      <c r="FK277" s="26">
        <v>4.7722700937337159E-14</v>
      </c>
      <c r="FL277" s="26">
        <v>4.0912365327298928E-27</v>
      </c>
      <c r="FM277" s="26">
        <v>8.9809957385146331E-27</v>
      </c>
      <c r="FN277" s="26">
        <v>3.7682499468126661E-27</v>
      </c>
      <c r="FO277" s="26">
        <v>2.1473152505118552E-24</v>
      </c>
      <c r="FP277" s="26">
        <v>4.4498410078209502E-25</v>
      </c>
      <c r="FQ277" s="26">
        <v>6.9766440280353751E-23</v>
      </c>
      <c r="FR277" s="26">
        <v>0</v>
      </c>
      <c r="FS277" s="26">
        <v>9.8823165512807556E-27</v>
      </c>
      <c r="FT277" s="26">
        <v>2.4939416782848665E-28</v>
      </c>
      <c r="FU277" s="26">
        <v>1.0464090944823839E-28</v>
      </c>
      <c r="FV277" s="26">
        <v>8.9741828773490181E-25</v>
      </c>
      <c r="FW277" s="26">
        <v>8.8164967927541964E-25</v>
      </c>
      <c r="FX277" s="26">
        <v>9.5823449099920929E-26</v>
      </c>
      <c r="FY277" s="26">
        <v>8.6759123749628559E-18</v>
      </c>
      <c r="FZ277" s="26">
        <v>7.8127566736131653E-18</v>
      </c>
      <c r="GA277" s="26">
        <v>3.8543964197240601E-14</v>
      </c>
      <c r="GB277" s="26">
        <v>4.0867080604714427E-16</v>
      </c>
      <c r="GC277" s="26">
        <v>1.7509699001188705E-18</v>
      </c>
      <c r="GD277" s="26">
        <v>2.4659508669498293E-24</v>
      </c>
      <c r="GE277" s="26">
        <v>5.0217191512848644E-21</v>
      </c>
      <c r="GF277" s="26">
        <v>2.3409294826163248E-21</v>
      </c>
      <c r="GG277" s="26">
        <v>3.2869398874066304E-12</v>
      </c>
      <c r="GH277" s="26">
        <v>1.9168934820018144E-21</v>
      </c>
      <c r="GI277" s="26">
        <v>0</v>
      </c>
      <c r="GJ277" s="26">
        <v>0</v>
      </c>
      <c r="GK277" s="26">
        <v>0</v>
      </c>
      <c r="GL277" s="26">
        <v>0</v>
      </c>
      <c r="GM277" s="26">
        <v>5.0870652073631881E-13</v>
      </c>
      <c r="GN277" s="26">
        <v>0</v>
      </c>
      <c r="GO277" s="26">
        <v>0</v>
      </c>
      <c r="GP277" s="26">
        <v>0</v>
      </c>
      <c r="GQ277" s="26">
        <v>0</v>
      </c>
      <c r="GR277" s="26">
        <v>4.7190313155300282E-23</v>
      </c>
      <c r="GS277" s="26">
        <v>1.4378071392802348E-7</v>
      </c>
      <c r="GT277" s="26">
        <v>6.1637441604210652E-7</v>
      </c>
      <c r="GU277" s="26">
        <v>0</v>
      </c>
      <c r="GV277" s="26">
        <v>5.0905964296136601E-12</v>
      </c>
      <c r="GW277" s="26">
        <v>0</v>
      </c>
      <c r="GX277" s="26">
        <v>9.0440376556856352E-9</v>
      </c>
      <c r="GY277" s="26">
        <v>2.1180823975002145E-11</v>
      </c>
      <c r="GZ277" s="26">
        <v>8.5333296793777492E-10</v>
      </c>
      <c r="HA277" s="26">
        <v>2.3989284830803167E-13</v>
      </c>
      <c r="HB277" s="26">
        <v>0</v>
      </c>
      <c r="HC277" s="26">
        <v>0</v>
      </c>
      <c r="HD277" s="26">
        <v>0</v>
      </c>
      <c r="HE277" s="26">
        <v>0</v>
      </c>
      <c r="HF277" s="26">
        <v>0</v>
      </c>
      <c r="HG277" s="26">
        <v>0</v>
      </c>
      <c r="HH277" s="26">
        <v>0</v>
      </c>
      <c r="HI277" s="26">
        <v>0</v>
      </c>
      <c r="HJ277" s="26">
        <v>0</v>
      </c>
      <c r="HK277" s="26">
        <v>0</v>
      </c>
      <c r="HL277" s="26">
        <v>0</v>
      </c>
      <c r="HM277" s="26">
        <v>0</v>
      </c>
      <c r="HN277" s="26">
        <v>0</v>
      </c>
      <c r="HO277" s="26">
        <v>0</v>
      </c>
      <c r="HP277" s="26">
        <v>0</v>
      </c>
      <c r="HQ277" s="26">
        <v>0</v>
      </c>
      <c r="HR277" s="26">
        <v>0</v>
      </c>
      <c r="HS277" s="26">
        <v>0</v>
      </c>
      <c r="HT277" s="26">
        <v>0.26899176326304525</v>
      </c>
    </row>
    <row r="278" spans="2:228" x14ac:dyDescent="0.2">
      <c r="B278" s="27" t="s">
        <v>1426</v>
      </c>
      <c r="C278" s="26">
        <v>376640.16100000002</v>
      </c>
      <c r="D278" s="26">
        <v>-1425.7897700000001</v>
      </c>
      <c r="E278" s="26">
        <v>376640.16100000002</v>
      </c>
      <c r="F278" s="26">
        <v>0</v>
      </c>
      <c r="G278" s="26">
        <v>0</v>
      </c>
      <c r="H278" s="26">
        <v>0</v>
      </c>
      <c r="I278" s="26">
        <v>0</v>
      </c>
      <c r="J278" s="26">
        <v>0</v>
      </c>
      <c r="K278" s="26">
        <v>0</v>
      </c>
      <c r="L278" s="26">
        <v>0</v>
      </c>
      <c r="M278" s="26">
        <v>0</v>
      </c>
      <c r="N278" s="26">
        <v>0</v>
      </c>
      <c r="O278" s="26">
        <v>0</v>
      </c>
      <c r="P278" s="26">
        <v>0</v>
      </c>
      <c r="Q278" s="26">
        <v>0</v>
      </c>
      <c r="R278" s="26">
        <v>0</v>
      </c>
      <c r="S278" s="26">
        <v>0</v>
      </c>
      <c r="T278" s="26">
        <v>0</v>
      </c>
      <c r="U278" s="26">
        <v>0</v>
      </c>
      <c r="V278" s="26">
        <v>0</v>
      </c>
      <c r="W278" s="26">
        <v>0</v>
      </c>
      <c r="X278" s="26">
        <v>0</v>
      </c>
      <c r="Y278" s="26">
        <v>0</v>
      </c>
      <c r="Z278" s="26">
        <v>0</v>
      </c>
      <c r="AA278" s="26">
        <v>0</v>
      </c>
      <c r="AB278" s="26">
        <v>0</v>
      </c>
      <c r="AC278" s="26">
        <v>0</v>
      </c>
      <c r="AD278" s="26">
        <v>0</v>
      </c>
      <c r="AE278" s="26">
        <v>0</v>
      </c>
      <c r="AF278" s="26">
        <v>0</v>
      </c>
      <c r="AG278" s="26">
        <v>0</v>
      </c>
      <c r="AH278" s="26">
        <v>0</v>
      </c>
      <c r="AI278" s="26">
        <v>0</v>
      </c>
      <c r="AJ278" s="26">
        <v>0</v>
      </c>
      <c r="AK278" s="26">
        <v>0</v>
      </c>
      <c r="AL278" s="26">
        <v>0</v>
      </c>
      <c r="AM278" s="26">
        <v>0</v>
      </c>
      <c r="AN278" s="26">
        <v>0</v>
      </c>
      <c r="AO278" s="26">
        <v>0</v>
      </c>
      <c r="AP278" s="26">
        <v>0</v>
      </c>
      <c r="AQ278" s="26">
        <v>0</v>
      </c>
      <c r="AR278" s="26">
        <v>0</v>
      </c>
      <c r="AS278" s="26">
        <v>0</v>
      </c>
      <c r="AT278" s="26">
        <v>0</v>
      </c>
      <c r="AU278" s="26">
        <v>0</v>
      </c>
      <c r="AV278" s="26">
        <v>0</v>
      </c>
      <c r="AW278" s="26">
        <v>0</v>
      </c>
      <c r="AX278" s="26">
        <v>0</v>
      </c>
      <c r="AY278" s="26">
        <v>0</v>
      </c>
      <c r="AZ278" s="26">
        <v>0</v>
      </c>
      <c r="BA278" s="26">
        <v>0</v>
      </c>
      <c r="BB278" s="26">
        <v>0</v>
      </c>
      <c r="BC278" s="26">
        <v>0</v>
      </c>
      <c r="BD278" s="26">
        <v>0</v>
      </c>
      <c r="BE278" s="26">
        <v>0</v>
      </c>
      <c r="BF278" s="26">
        <v>0</v>
      </c>
      <c r="BG278" s="26">
        <v>0</v>
      </c>
      <c r="BH278" s="26">
        <v>0</v>
      </c>
      <c r="BI278" s="26">
        <v>0</v>
      </c>
      <c r="BJ278" s="26">
        <v>0</v>
      </c>
      <c r="BK278" s="26">
        <v>0</v>
      </c>
      <c r="BL278" s="26">
        <v>0</v>
      </c>
      <c r="BM278" s="26">
        <v>0</v>
      </c>
      <c r="BN278" s="26">
        <v>0</v>
      </c>
      <c r="BO278" s="26">
        <v>20906.705900000001</v>
      </c>
      <c r="BP278" s="26">
        <v>376640.16100000002</v>
      </c>
      <c r="BQ278" s="26">
        <v>6328.3357699999997</v>
      </c>
      <c r="BR278" s="26">
        <v>27.087556000000006</v>
      </c>
      <c r="BS278" s="26">
        <v>1</v>
      </c>
      <c r="BT278" s="26">
        <v>0</v>
      </c>
      <c r="BU278" s="26">
        <v>1</v>
      </c>
      <c r="BV278" s="26">
        <v>0</v>
      </c>
      <c r="BW278" s="26">
        <v>-68197.723800000007</v>
      </c>
      <c r="BX278" s="26">
        <v>-3785.5489200000002</v>
      </c>
      <c r="BY278" s="26">
        <v>-1425.7897700000001</v>
      </c>
      <c r="BZ278" s="26">
        <v>-38.736080999999999</v>
      </c>
      <c r="CA278" s="26">
        <v>-2.1501792399999999</v>
      </c>
      <c r="CB278" s="26">
        <v>5.50610947E-2</v>
      </c>
      <c r="CC278" s="26">
        <v>0.991941038</v>
      </c>
      <c r="CD278" s="26">
        <v>18.015280000000001</v>
      </c>
      <c r="CE278" s="26">
        <v>6289.4339600000003</v>
      </c>
      <c r="CF278" s="26">
        <v>0</v>
      </c>
      <c r="CG278" s="26">
        <v>0</v>
      </c>
      <c r="CH278" s="26">
        <v>0</v>
      </c>
      <c r="CI278" s="26">
        <v>0</v>
      </c>
      <c r="CJ278" s="26">
        <v>0</v>
      </c>
      <c r="CK278" s="26">
        <v>0</v>
      </c>
      <c r="CL278" s="26">
        <v>0</v>
      </c>
      <c r="CM278" s="26">
        <v>0</v>
      </c>
      <c r="CN278" s="26">
        <v>0</v>
      </c>
      <c r="CO278" s="26">
        <v>0</v>
      </c>
      <c r="CP278" s="26">
        <v>0</v>
      </c>
      <c r="CQ278" s="26">
        <v>0</v>
      </c>
      <c r="CR278" s="26">
        <v>0</v>
      </c>
      <c r="CS278" s="26">
        <v>0</v>
      </c>
      <c r="CT278" s="26">
        <v>0</v>
      </c>
      <c r="CU278" s="26">
        <v>0</v>
      </c>
      <c r="CV278" s="26">
        <v>0</v>
      </c>
      <c r="CW278" s="26">
        <v>0</v>
      </c>
      <c r="CX278" s="26">
        <v>0</v>
      </c>
      <c r="CY278" s="26">
        <v>0</v>
      </c>
      <c r="CZ278" s="26">
        <v>0</v>
      </c>
      <c r="DA278" s="26">
        <v>0</v>
      </c>
      <c r="DB278" s="26">
        <v>0</v>
      </c>
      <c r="DC278" s="26">
        <v>0</v>
      </c>
      <c r="DD278" s="26">
        <v>0</v>
      </c>
      <c r="DE278" s="26">
        <v>0</v>
      </c>
      <c r="DF278" s="26">
        <v>0</v>
      </c>
      <c r="DG278" s="26">
        <v>0</v>
      </c>
      <c r="DH278" s="26">
        <v>0</v>
      </c>
      <c r="DI278" s="26">
        <v>0</v>
      </c>
      <c r="DJ278" s="26">
        <v>0</v>
      </c>
      <c r="DK278" s="26">
        <v>0</v>
      </c>
      <c r="DL278" s="26">
        <v>0</v>
      </c>
      <c r="DM278" s="26">
        <v>0</v>
      </c>
      <c r="DN278" s="26">
        <v>0</v>
      </c>
      <c r="DO278" s="26">
        <v>0</v>
      </c>
      <c r="DP278" s="26">
        <v>0</v>
      </c>
      <c r="DQ278" s="26">
        <v>0</v>
      </c>
      <c r="DR278" s="26">
        <v>0</v>
      </c>
      <c r="DS278" s="26">
        <v>0</v>
      </c>
      <c r="DT278" s="26">
        <v>0</v>
      </c>
      <c r="DU278" s="26">
        <v>0</v>
      </c>
      <c r="DV278" s="26">
        <v>0</v>
      </c>
      <c r="DW278" s="26">
        <v>0</v>
      </c>
      <c r="DX278" s="26">
        <v>0</v>
      </c>
      <c r="DY278" s="26">
        <v>0</v>
      </c>
      <c r="DZ278" s="26">
        <v>0</v>
      </c>
      <c r="EA278" s="26">
        <v>0</v>
      </c>
      <c r="EB278" s="26">
        <v>0</v>
      </c>
      <c r="EC278" s="26">
        <v>0</v>
      </c>
      <c r="ED278" s="26">
        <v>0</v>
      </c>
      <c r="EE278" s="26">
        <v>0</v>
      </c>
      <c r="EF278" s="26">
        <v>0</v>
      </c>
      <c r="EG278" s="26">
        <v>0</v>
      </c>
      <c r="EH278" s="26">
        <v>0</v>
      </c>
      <c r="EI278" s="26">
        <v>0</v>
      </c>
      <c r="EJ278" s="26">
        <v>0</v>
      </c>
      <c r="EK278" s="26">
        <v>0</v>
      </c>
      <c r="EL278" s="26">
        <v>0</v>
      </c>
      <c r="EM278" s="26">
        <v>0</v>
      </c>
      <c r="EN278" s="26">
        <v>0</v>
      </c>
      <c r="EO278" s="26">
        <v>0</v>
      </c>
      <c r="EP278" s="26">
        <v>0</v>
      </c>
      <c r="EQ278" s="26">
        <v>0</v>
      </c>
      <c r="ER278" s="26">
        <v>0</v>
      </c>
      <c r="ES278" s="26">
        <v>0</v>
      </c>
      <c r="ET278" s="26">
        <v>1</v>
      </c>
      <c r="EU278" s="26">
        <v>0</v>
      </c>
      <c r="EV278" s="26">
        <v>0</v>
      </c>
      <c r="EW278" s="26">
        <v>0</v>
      </c>
      <c r="EX278" s="26">
        <v>0</v>
      </c>
      <c r="EY278" s="26">
        <v>0</v>
      </c>
      <c r="EZ278" s="26">
        <v>0</v>
      </c>
      <c r="FA278" s="26">
        <v>0</v>
      </c>
      <c r="FB278" s="26">
        <v>0</v>
      </c>
      <c r="FC278" s="26">
        <v>0</v>
      </c>
      <c r="FD278" s="26">
        <v>0</v>
      </c>
      <c r="FE278" s="26">
        <v>0</v>
      </c>
      <c r="FF278" s="26">
        <v>0</v>
      </c>
      <c r="FG278" s="26">
        <v>0</v>
      </c>
      <c r="FH278" s="26">
        <v>-1659031211.4100001</v>
      </c>
      <c r="FI278" s="26">
        <v>0</v>
      </c>
      <c r="FJ278" s="26">
        <v>0</v>
      </c>
      <c r="FK278" s="26">
        <v>0</v>
      </c>
      <c r="FL278" s="26">
        <v>0</v>
      </c>
      <c r="FM278" s="26">
        <v>0</v>
      </c>
      <c r="FN278" s="26">
        <v>0</v>
      </c>
      <c r="FO278" s="26">
        <v>0</v>
      </c>
      <c r="FP278" s="26">
        <v>0</v>
      </c>
      <c r="FQ278" s="26">
        <v>0</v>
      </c>
      <c r="FR278" s="26">
        <v>0</v>
      </c>
      <c r="FS278" s="26">
        <v>0</v>
      </c>
      <c r="FT278" s="26">
        <v>0</v>
      </c>
      <c r="FU278" s="26">
        <v>0</v>
      </c>
      <c r="FV278" s="26">
        <v>0</v>
      </c>
      <c r="FW278" s="26">
        <v>0</v>
      </c>
      <c r="FX278" s="26">
        <v>0</v>
      </c>
      <c r="FY278" s="26">
        <v>0</v>
      </c>
      <c r="FZ278" s="26">
        <v>0</v>
      </c>
      <c r="GA278" s="26">
        <v>0</v>
      </c>
      <c r="GB278" s="26">
        <v>0</v>
      </c>
      <c r="GC278" s="26">
        <v>0</v>
      </c>
      <c r="GD278" s="26">
        <v>0</v>
      </c>
      <c r="GE278" s="26">
        <v>0</v>
      </c>
      <c r="GF278" s="26">
        <v>0</v>
      </c>
      <c r="GG278" s="26">
        <v>0</v>
      </c>
      <c r="GH278" s="26">
        <v>0</v>
      </c>
      <c r="GI278" s="26">
        <v>0</v>
      </c>
      <c r="GJ278" s="26">
        <v>0</v>
      </c>
      <c r="GK278" s="26">
        <v>0</v>
      </c>
      <c r="GL278" s="26">
        <v>0</v>
      </c>
      <c r="GM278" s="26">
        <v>0</v>
      </c>
      <c r="GN278" s="26">
        <v>0</v>
      </c>
      <c r="GO278" s="26">
        <v>0</v>
      </c>
      <c r="GP278" s="26">
        <v>0</v>
      </c>
      <c r="GQ278" s="26">
        <v>0</v>
      </c>
      <c r="GR278" s="26">
        <v>0</v>
      </c>
      <c r="GS278" s="26">
        <v>0</v>
      </c>
      <c r="GT278" s="26">
        <v>0</v>
      </c>
      <c r="GU278" s="26">
        <v>0</v>
      </c>
      <c r="GV278" s="26">
        <v>0</v>
      </c>
      <c r="GW278" s="26">
        <v>0</v>
      </c>
      <c r="GX278" s="26">
        <v>0</v>
      </c>
      <c r="GY278" s="26">
        <v>0</v>
      </c>
      <c r="GZ278" s="26">
        <v>0</v>
      </c>
      <c r="HA278" s="26">
        <v>0</v>
      </c>
      <c r="HB278" s="26">
        <v>0</v>
      </c>
      <c r="HC278" s="26">
        <v>0</v>
      </c>
      <c r="HD278" s="26">
        <v>0</v>
      </c>
      <c r="HE278" s="26">
        <v>0</v>
      </c>
      <c r="HF278" s="26">
        <v>0</v>
      </c>
      <c r="HG278" s="26">
        <v>0</v>
      </c>
      <c r="HH278" s="26">
        <v>0</v>
      </c>
      <c r="HI278" s="26">
        <v>0</v>
      </c>
      <c r="HJ278" s="26">
        <v>0</v>
      </c>
      <c r="HK278" s="26">
        <v>0</v>
      </c>
      <c r="HL278" s="26">
        <v>0</v>
      </c>
      <c r="HM278" s="26">
        <v>0</v>
      </c>
      <c r="HN278" s="26">
        <v>0</v>
      </c>
      <c r="HO278" s="26">
        <v>0</v>
      </c>
      <c r="HP278" s="26">
        <v>0</v>
      </c>
      <c r="HQ278" s="26">
        <v>0</v>
      </c>
      <c r="HR278" s="26">
        <v>0</v>
      </c>
      <c r="HS278" s="26">
        <v>0</v>
      </c>
      <c r="HT278" s="26">
        <v>0</v>
      </c>
    </row>
    <row r="279" spans="2:228" x14ac:dyDescent="0.2">
      <c r="B279" s="27" t="s">
        <v>1427</v>
      </c>
      <c r="C279" s="26">
        <v>9921.6759700000002</v>
      </c>
      <c r="D279" s="26">
        <v>-25.3073838</v>
      </c>
      <c r="E279" s="26">
        <v>4959.1407900000004</v>
      </c>
      <c r="F279" s="26">
        <v>9.6877905299999997E-2</v>
      </c>
      <c r="G279" s="26">
        <v>0.27390152000000001</v>
      </c>
      <c r="H279" s="26">
        <v>0.60126281400000003</v>
      </c>
      <c r="I279" s="26">
        <v>0.252278104</v>
      </c>
      <c r="J279" s="26">
        <v>0.55802017699999995</v>
      </c>
      <c r="K279" s="26">
        <v>0.11563747200000002</v>
      </c>
      <c r="L279" s="26">
        <v>0.173978348</v>
      </c>
      <c r="M279" s="26">
        <v>0</v>
      </c>
      <c r="N279" s="26">
        <v>0.59544606899999997</v>
      </c>
      <c r="O279" s="26">
        <v>1.5026919699999999E-2</v>
      </c>
      <c r="P279" s="26">
        <v>6.3050012500000001E-3</v>
      </c>
      <c r="Q279" s="26">
        <v>0.20522642699999999</v>
      </c>
      <c r="R279" s="26">
        <v>0.20162037699999999</v>
      </c>
      <c r="S279" s="26">
        <v>6.4152214699999996</v>
      </c>
      <c r="T279" s="26">
        <v>55.762647999999999</v>
      </c>
      <c r="U279" s="26">
        <v>0.19433299100000001</v>
      </c>
      <c r="V279" s="26">
        <v>0.25396105699999999</v>
      </c>
      <c r="W279" s="26">
        <v>3.1761682200000002E-2</v>
      </c>
      <c r="X279" s="26">
        <v>0.89018904700000001</v>
      </c>
      <c r="Y279" s="26">
        <v>0.39670935299999999</v>
      </c>
      <c r="Z279" s="26">
        <v>9.1625745300000005E-2</v>
      </c>
      <c r="AA279" s="26">
        <v>0.24052019899999996</v>
      </c>
      <c r="AB279" s="26">
        <v>2.7942214500000002</v>
      </c>
      <c r="AC279" s="26">
        <v>6.3604094799999997E-2</v>
      </c>
      <c r="AD279" s="26">
        <v>0</v>
      </c>
      <c r="AE279" s="26">
        <v>16.442953299999999</v>
      </c>
      <c r="AF279" s="26">
        <v>115.895771</v>
      </c>
      <c r="AG279" s="26">
        <v>0</v>
      </c>
      <c r="AH279" s="26">
        <v>4712.2235300000002</v>
      </c>
      <c r="AI279" s="26">
        <v>0</v>
      </c>
      <c r="AJ279" s="26">
        <v>0</v>
      </c>
      <c r="AK279" s="26">
        <v>0</v>
      </c>
      <c r="AL279" s="26">
        <v>0</v>
      </c>
      <c r="AM279" s="26">
        <v>0.39285781600000003</v>
      </c>
      <c r="AN279" s="26">
        <v>0.19058539999999999</v>
      </c>
      <c r="AO279" s="26">
        <v>0.21230884999999999</v>
      </c>
      <c r="AP279" s="26">
        <v>0</v>
      </c>
      <c r="AQ279" s="26">
        <v>5.1971910899999996</v>
      </c>
      <c r="AR279" s="26">
        <v>0</v>
      </c>
      <c r="AS279" s="26">
        <v>3.2670370200000001</v>
      </c>
      <c r="AT279" s="26">
        <v>1.49930392E-5</v>
      </c>
      <c r="AU279" s="26">
        <v>38.379406699999997</v>
      </c>
      <c r="AV279" s="26">
        <v>0.10314248600000001</v>
      </c>
      <c r="AW279" s="26">
        <v>0</v>
      </c>
      <c r="AX279" s="26">
        <v>0</v>
      </c>
      <c r="AY279" s="26">
        <v>0</v>
      </c>
      <c r="AZ279" s="26">
        <v>0</v>
      </c>
      <c r="BA279" s="26">
        <v>0</v>
      </c>
      <c r="BB279" s="26">
        <v>0</v>
      </c>
      <c r="BC279" s="26">
        <v>0</v>
      </c>
      <c r="BD279" s="26">
        <v>0</v>
      </c>
      <c r="BE279" s="26">
        <v>0</v>
      </c>
      <c r="BF279" s="26">
        <v>0</v>
      </c>
      <c r="BG279" s="26">
        <v>0</v>
      </c>
      <c r="BH279" s="26">
        <v>0</v>
      </c>
      <c r="BI279" s="26">
        <v>0</v>
      </c>
      <c r="BJ279" s="26">
        <v>0</v>
      </c>
      <c r="BK279" s="26">
        <v>0</v>
      </c>
      <c r="BL279" s="26">
        <v>0</v>
      </c>
      <c r="BM279" s="26">
        <v>0</v>
      </c>
      <c r="BN279" s="26">
        <v>0</v>
      </c>
      <c r="BO279" s="26">
        <v>333.74359199999998</v>
      </c>
      <c r="BP279" s="26">
        <v>9921.6759700000002</v>
      </c>
      <c r="BQ279" s="26">
        <v>2391.88366</v>
      </c>
      <c r="BR279" s="26">
        <v>100</v>
      </c>
      <c r="BS279" s="26">
        <v>1</v>
      </c>
      <c r="BT279" s="26">
        <v>1.2557825099999999E-2</v>
      </c>
      <c r="BU279" s="26">
        <v>0.98744217499999998</v>
      </c>
      <c r="BV279" s="26">
        <v>0</v>
      </c>
      <c r="BW279" s="26">
        <v>-75828.8223</v>
      </c>
      <c r="BX279" s="26">
        <v>-2550.7166000000002</v>
      </c>
      <c r="BY279" s="26">
        <v>-25.3073838</v>
      </c>
      <c r="BZ279" s="26">
        <v>-43.978511300000001</v>
      </c>
      <c r="CA279" s="26">
        <v>-1.4793414300000001</v>
      </c>
      <c r="CB279" s="26">
        <v>2.3255283E-3</v>
      </c>
      <c r="CC279" s="26">
        <v>6.9134325699999999E-2</v>
      </c>
      <c r="CD279" s="26">
        <v>29.728438799999999</v>
      </c>
      <c r="CE279" s="26">
        <v>0</v>
      </c>
      <c r="CF279" s="26">
        <v>0</v>
      </c>
      <c r="CG279" s="26">
        <v>0</v>
      </c>
      <c r="CH279" s="26">
        <v>0</v>
      </c>
      <c r="CI279" s="26">
        <v>0</v>
      </c>
      <c r="CJ279" s="26">
        <v>0</v>
      </c>
      <c r="CK279" s="26">
        <v>0</v>
      </c>
      <c r="CL279" s="26">
        <v>0</v>
      </c>
      <c r="CM279" s="26">
        <v>0</v>
      </c>
      <c r="CN279" s="26">
        <v>0</v>
      </c>
      <c r="CO279" s="26">
        <v>0</v>
      </c>
      <c r="CP279" s="26">
        <v>0</v>
      </c>
      <c r="CQ279" s="26">
        <v>0</v>
      </c>
      <c r="CR279" s="26">
        <v>0</v>
      </c>
      <c r="CS279" s="26">
        <v>0</v>
      </c>
      <c r="CT279" s="26">
        <v>0</v>
      </c>
      <c r="CU279" s="26">
        <v>0</v>
      </c>
      <c r="CV279" s="26">
        <v>0</v>
      </c>
      <c r="CW279" s="26">
        <v>0</v>
      </c>
      <c r="CX279" s="26">
        <v>0</v>
      </c>
      <c r="CY279" s="26">
        <v>0</v>
      </c>
      <c r="CZ279" s="26">
        <v>0</v>
      </c>
      <c r="DA279" s="26">
        <v>0</v>
      </c>
      <c r="DB279" s="26">
        <v>0</v>
      </c>
      <c r="DC279" s="26">
        <v>0</v>
      </c>
      <c r="DD279" s="26">
        <v>0</v>
      </c>
      <c r="DE279" s="26">
        <v>0</v>
      </c>
      <c r="DF279" s="26">
        <v>0</v>
      </c>
      <c r="DG279" s="26">
        <v>0</v>
      </c>
      <c r="DH279" s="26">
        <v>0</v>
      </c>
      <c r="DI279" s="26">
        <v>0</v>
      </c>
      <c r="DJ279" s="26">
        <v>0</v>
      </c>
      <c r="DK279" s="26">
        <v>0</v>
      </c>
      <c r="DL279" s="26">
        <v>0</v>
      </c>
      <c r="DM279" s="26">
        <v>0</v>
      </c>
      <c r="DN279" s="26">
        <v>0</v>
      </c>
      <c r="DO279" s="26">
        <v>0</v>
      </c>
      <c r="DP279" s="26">
        <v>0</v>
      </c>
      <c r="DQ279" s="26">
        <v>0</v>
      </c>
      <c r="DR279" s="26">
        <v>0</v>
      </c>
      <c r="DS279" s="26">
        <v>0</v>
      </c>
      <c r="DT279" s="26">
        <v>0</v>
      </c>
      <c r="DU279" s="26">
        <v>0</v>
      </c>
      <c r="DV279" s="26">
        <v>0</v>
      </c>
      <c r="DW279" s="26">
        <v>0</v>
      </c>
      <c r="DX279" s="26">
        <v>0</v>
      </c>
      <c r="DY279" s="26">
        <v>0</v>
      </c>
      <c r="DZ279" s="26">
        <v>0</v>
      </c>
      <c r="EA279" s="26">
        <v>0</v>
      </c>
      <c r="EB279" s="26">
        <v>0</v>
      </c>
      <c r="EC279" s="26">
        <v>0</v>
      </c>
      <c r="ED279" s="26">
        <v>0</v>
      </c>
      <c r="EE279" s="26">
        <v>0</v>
      </c>
      <c r="EF279" s="26">
        <v>0</v>
      </c>
      <c r="EG279" s="26">
        <v>0</v>
      </c>
      <c r="EH279" s="26">
        <v>0</v>
      </c>
      <c r="EI279" s="26">
        <v>0</v>
      </c>
      <c r="EJ279" s="26">
        <v>0</v>
      </c>
      <c r="EK279" s="26">
        <v>0</v>
      </c>
      <c r="EL279" s="26">
        <v>0</v>
      </c>
      <c r="EM279" s="26">
        <v>0</v>
      </c>
      <c r="EN279" s="26">
        <v>0</v>
      </c>
      <c r="EO279" s="26">
        <v>0</v>
      </c>
      <c r="EP279" s="26">
        <v>0</v>
      </c>
      <c r="EQ279" s="26">
        <v>0</v>
      </c>
      <c r="ER279" s="26">
        <v>0</v>
      </c>
      <c r="ES279" s="26">
        <v>0</v>
      </c>
      <c r="ET279" s="26">
        <v>1</v>
      </c>
      <c r="EU279" s="26">
        <v>0</v>
      </c>
      <c r="EV279" s="26">
        <v>0</v>
      </c>
      <c r="EW279" s="26">
        <v>0</v>
      </c>
      <c r="EX279" s="26">
        <v>0</v>
      </c>
      <c r="EY279" s="26">
        <v>0</v>
      </c>
      <c r="EZ279" s="26">
        <v>0</v>
      </c>
      <c r="FA279" s="26">
        <v>0</v>
      </c>
      <c r="FB279" s="26">
        <v>0</v>
      </c>
      <c r="FC279" s="26">
        <v>0</v>
      </c>
      <c r="FD279" s="26">
        <v>0</v>
      </c>
      <c r="FE279" s="26">
        <v>0</v>
      </c>
      <c r="FF279" s="26">
        <v>0</v>
      </c>
      <c r="FG279" s="26">
        <v>2.0102124700000001E-2</v>
      </c>
      <c r="FH279" s="26">
        <v>-29969597.277600002</v>
      </c>
      <c r="FI279" s="26">
        <v>1.0714959863497456E-3</v>
      </c>
      <c r="FJ279" s="26">
        <v>9.5960273267682193E-4</v>
      </c>
      <c r="FK279" s="26">
        <v>4.9416873728668326E-8</v>
      </c>
      <c r="FL279" s="26">
        <v>9.9280453572021418E-17</v>
      </c>
      <c r="FM279" s="26">
        <v>2.179383478546179E-16</v>
      </c>
      <c r="FN279" s="26">
        <v>9.1442663509319082E-17</v>
      </c>
      <c r="FO279" s="26">
        <v>8.2406277881472438E-15</v>
      </c>
      <c r="FP279" s="26">
        <v>1.7076897942170741E-15</v>
      </c>
      <c r="FQ279" s="26">
        <v>5.15502906901801E-15</v>
      </c>
      <c r="FR279" s="26">
        <v>0</v>
      </c>
      <c r="FS279" s="26">
        <v>2.3981035136292724E-16</v>
      </c>
      <c r="FT279" s="26">
        <v>6.0519517428600584E-18</v>
      </c>
      <c r="FU279" s="26">
        <v>2.5392804564253546E-18</v>
      </c>
      <c r="FV279" s="26">
        <v>3.4439703608850966E-15</v>
      </c>
      <c r="FW279" s="26">
        <v>3.3834560826232042E-15</v>
      </c>
      <c r="FX279" s="26">
        <v>2.3253105574913736E-15</v>
      </c>
      <c r="FY279" s="26">
        <v>5.6413304895750876E-10</v>
      </c>
      <c r="FZ279" s="26">
        <v>1.7029594219570088E-11</v>
      </c>
      <c r="GA279" s="26">
        <v>1.1978547179161711E-8</v>
      </c>
      <c r="GB279" s="26">
        <v>1.03567998328544E-9</v>
      </c>
      <c r="GC279" s="26">
        <v>1.514061848223606E-10</v>
      </c>
      <c r="GD279" s="26">
        <v>1.9358060182642261E-15</v>
      </c>
      <c r="GE279" s="26">
        <v>4.4702721746510666E-13</v>
      </c>
      <c r="GF279" s="26">
        <v>2.8144794391825022E-13</v>
      </c>
      <c r="GG279" s="26">
        <v>7.5463146437038504E-6</v>
      </c>
      <c r="GH279" s="26">
        <v>2.1847700397003826E-13</v>
      </c>
      <c r="GI279" s="26">
        <v>0</v>
      </c>
      <c r="GJ279" s="26">
        <v>0</v>
      </c>
      <c r="GK279" s="26">
        <v>0</v>
      </c>
      <c r="GL279" s="26">
        <v>0</v>
      </c>
      <c r="GM279" s="26">
        <v>1.0350280193913353E-6</v>
      </c>
      <c r="GN279" s="26">
        <v>0</v>
      </c>
      <c r="GO279" s="26">
        <v>0</v>
      </c>
      <c r="GP279" s="26">
        <v>0</v>
      </c>
      <c r="GQ279" s="26">
        <v>0</v>
      </c>
      <c r="GR279" s="26">
        <v>2.8970687176209941E-14</v>
      </c>
      <c r="GS279" s="26">
        <v>1.6524930493310556E-6</v>
      </c>
      <c r="GT279" s="26">
        <v>2.103854477941947E-6</v>
      </c>
      <c r="GU279" s="26">
        <v>0</v>
      </c>
      <c r="GV279" s="26">
        <v>6.2991910781713071E-6</v>
      </c>
      <c r="GW279" s="26">
        <v>0</v>
      </c>
      <c r="GX279" s="26">
        <v>2.0335054440458212E-5</v>
      </c>
      <c r="GY279" s="26">
        <v>2.5933236235243667E-10</v>
      </c>
      <c r="GZ279" s="26">
        <v>1.6543607660126641E-4</v>
      </c>
      <c r="HA279" s="26">
        <v>1.1852193844817552E-7</v>
      </c>
      <c r="HB279" s="26">
        <v>0</v>
      </c>
      <c r="HC279" s="26">
        <v>0</v>
      </c>
      <c r="HD279" s="26">
        <v>0</v>
      </c>
      <c r="HE279" s="26">
        <v>0</v>
      </c>
      <c r="HF279" s="26">
        <v>0</v>
      </c>
      <c r="HG279" s="26">
        <v>0</v>
      </c>
      <c r="HH279" s="26">
        <v>0</v>
      </c>
      <c r="HI279" s="26">
        <v>0</v>
      </c>
      <c r="HJ279" s="26">
        <v>0</v>
      </c>
      <c r="HK279" s="26">
        <v>0</v>
      </c>
      <c r="HL279" s="26">
        <v>0</v>
      </c>
      <c r="HM279" s="26">
        <v>0</v>
      </c>
      <c r="HN279" s="26">
        <v>0</v>
      </c>
      <c r="HO279" s="26">
        <v>0</v>
      </c>
      <c r="HP279" s="26">
        <v>0</v>
      </c>
      <c r="HQ279" s="26">
        <v>0</v>
      </c>
      <c r="HR279" s="26">
        <v>0</v>
      </c>
      <c r="HS279" s="26">
        <v>0</v>
      </c>
      <c r="HT279" s="26">
        <v>0</v>
      </c>
    </row>
    <row r="280" spans="2:228" x14ac:dyDescent="0.2">
      <c r="B280" s="27" t="s">
        <v>2645</v>
      </c>
      <c r="C280" s="26">
        <v>305287.01400000002</v>
      </c>
      <c r="D280" s="26">
        <v>-1156.20092</v>
      </c>
      <c r="E280" s="26">
        <v>305287.01400000002</v>
      </c>
      <c r="F280" s="26">
        <v>0</v>
      </c>
      <c r="G280" s="26">
        <v>0</v>
      </c>
      <c r="H280" s="26">
        <v>0</v>
      </c>
      <c r="I280" s="26">
        <v>0</v>
      </c>
      <c r="J280" s="26">
        <v>0</v>
      </c>
      <c r="K280" s="26">
        <v>0</v>
      </c>
      <c r="L280" s="26">
        <v>0</v>
      </c>
      <c r="M280" s="26">
        <v>0</v>
      </c>
      <c r="N280" s="26">
        <v>0</v>
      </c>
      <c r="O280" s="26">
        <v>0</v>
      </c>
      <c r="P280" s="26">
        <v>0</v>
      </c>
      <c r="Q280" s="26">
        <v>0</v>
      </c>
      <c r="R280" s="26">
        <v>0</v>
      </c>
      <c r="S280" s="26">
        <v>0</v>
      </c>
      <c r="T280" s="26">
        <v>0</v>
      </c>
      <c r="U280" s="26">
        <v>0</v>
      </c>
      <c r="V280" s="26">
        <v>0</v>
      </c>
      <c r="W280" s="26">
        <v>0</v>
      </c>
      <c r="X280" s="26">
        <v>0</v>
      </c>
      <c r="Y280" s="26">
        <v>0</v>
      </c>
      <c r="Z280" s="26">
        <v>0</v>
      </c>
      <c r="AA280" s="26">
        <v>0</v>
      </c>
      <c r="AB280" s="26">
        <v>0</v>
      </c>
      <c r="AC280" s="26">
        <v>0</v>
      </c>
      <c r="AD280" s="26">
        <v>0</v>
      </c>
      <c r="AE280" s="26">
        <v>0</v>
      </c>
      <c r="AF280" s="26">
        <v>0</v>
      </c>
      <c r="AG280" s="26">
        <v>0</v>
      </c>
      <c r="AH280" s="26">
        <v>0</v>
      </c>
      <c r="AI280" s="26">
        <v>0</v>
      </c>
      <c r="AJ280" s="26">
        <v>0</v>
      </c>
      <c r="AK280" s="26">
        <v>0</v>
      </c>
      <c r="AL280" s="26">
        <v>0</v>
      </c>
      <c r="AM280" s="26">
        <v>0</v>
      </c>
      <c r="AN280" s="26">
        <v>0</v>
      </c>
      <c r="AO280" s="26">
        <v>0</v>
      </c>
      <c r="AP280" s="26">
        <v>0</v>
      </c>
      <c r="AQ280" s="26">
        <v>0</v>
      </c>
      <c r="AR280" s="26">
        <v>0</v>
      </c>
      <c r="AS280" s="26">
        <v>0</v>
      </c>
      <c r="AT280" s="26">
        <v>0</v>
      </c>
      <c r="AU280" s="26">
        <v>0</v>
      </c>
      <c r="AV280" s="26">
        <v>0</v>
      </c>
      <c r="AW280" s="26">
        <v>0</v>
      </c>
      <c r="AX280" s="26">
        <v>0</v>
      </c>
      <c r="AY280" s="26">
        <v>0</v>
      </c>
      <c r="AZ280" s="26">
        <v>0</v>
      </c>
      <c r="BA280" s="26">
        <v>0</v>
      </c>
      <c r="BB280" s="26">
        <v>0</v>
      </c>
      <c r="BC280" s="26">
        <v>0</v>
      </c>
      <c r="BD280" s="26">
        <v>0</v>
      </c>
      <c r="BE280" s="26">
        <v>0</v>
      </c>
      <c r="BF280" s="26">
        <v>0</v>
      </c>
      <c r="BG280" s="26">
        <v>0</v>
      </c>
      <c r="BH280" s="26">
        <v>0</v>
      </c>
      <c r="BI280" s="26">
        <v>0</v>
      </c>
      <c r="BJ280" s="26">
        <v>0</v>
      </c>
      <c r="BK280" s="26">
        <v>0</v>
      </c>
      <c r="BL280" s="26">
        <v>0</v>
      </c>
      <c r="BM280" s="26">
        <v>0</v>
      </c>
      <c r="BN280" s="26">
        <v>0</v>
      </c>
      <c r="BO280" s="26">
        <v>16946.004400000002</v>
      </c>
      <c r="BP280" s="26">
        <v>305287.01400000002</v>
      </c>
      <c r="BQ280" s="26">
        <v>5120.1523800000004</v>
      </c>
      <c r="BR280" s="26">
        <v>25.221569999999986</v>
      </c>
      <c r="BS280" s="26">
        <v>1</v>
      </c>
      <c r="BT280" s="26">
        <v>0</v>
      </c>
      <c r="BU280" s="26">
        <v>1</v>
      </c>
      <c r="BV280" s="26">
        <v>0</v>
      </c>
      <c r="BW280" s="26">
        <v>-68228.526299999998</v>
      </c>
      <c r="BX280" s="26">
        <v>-3787.2587199999998</v>
      </c>
      <c r="BY280" s="26">
        <v>-1156.20092</v>
      </c>
      <c r="BZ280" s="26">
        <v>-38.837953400000004</v>
      </c>
      <c r="CA280" s="26">
        <v>-2.15583401</v>
      </c>
      <c r="CB280" s="26">
        <v>5.5161132299999999E-2</v>
      </c>
      <c r="CC280" s="26">
        <v>0.99374324400000003</v>
      </c>
      <c r="CD280" s="26">
        <v>18.015280000000001</v>
      </c>
      <c r="CE280" s="26">
        <v>5097.92292</v>
      </c>
      <c r="CF280" s="26">
        <v>0</v>
      </c>
      <c r="CG280" s="26">
        <v>0</v>
      </c>
      <c r="CH280" s="26">
        <v>0</v>
      </c>
      <c r="CI280" s="26">
        <v>0</v>
      </c>
      <c r="CJ280" s="26">
        <v>0</v>
      </c>
      <c r="CK280" s="26">
        <v>0</v>
      </c>
      <c r="CL280" s="26">
        <v>0</v>
      </c>
      <c r="CM280" s="26">
        <v>0</v>
      </c>
      <c r="CN280" s="26">
        <v>0</v>
      </c>
      <c r="CO280" s="26">
        <v>0</v>
      </c>
      <c r="CP280" s="26">
        <v>0</v>
      </c>
      <c r="CQ280" s="26">
        <v>0</v>
      </c>
      <c r="CR280" s="26">
        <v>0</v>
      </c>
      <c r="CS280" s="26">
        <v>0</v>
      </c>
      <c r="CT280" s="26">
        <v>0</v>
      </c>
      <c r="CU280" s="26">
        <v>0</v>
      </c>
      <c r="CV280" s="26">
        <v>0</v>
      </c>
      <c r="CW280" s="26">
        <v>0</v>
      </c>
      <c r="CX280" s="26">
        <v>0</v>
      </c>
      <c r="CY280" s="26">
        <v>0</v>
      </c>
      <c r="CZ280" s="26">
        <v>0</v>
      </c>
      <c r="DA280" s="26">
        <v>0</v>
      </c>
      <c r="DB280" s="26">
        <v>0</v>
      </c>
      <c r="DC280" s="26">
        <v>0</v>
      </c>
      <c r="DD280" s="26">
        <v>0</v>
      </c>
      <c r="DE280" s="26">
        <v>0</v>
      </c>
      <c r="DF280" s="26">
        <v>0</v>
      </c>
      <c r="DG280" s="26">
        <v>0</v>
      </c>
      <c r="DH280" s="26">
        <v>0</v>
      </c>
      <c r="DI280" s="26">
        <v>0</v>
      </c>
      <c r="DJ280" s="26">
        <v>0</v>
      </c>
      <c r="DK280" s="26">
        <v>0</v>
      </c>
      <c r="DL280" s="26">
        <v>0</v>
      </c>
      <c r="DM280" s="26">
        <v>0</v>
      </c>
      <c r="DN280" s="26">
        <v>0</v>
      </c>
      <c r="DO280" s="26">
        <v>0</v>
      </c>
      <c r="DP280" s="26">
        <v>0</v>
      </c>
      <c r="DQ280" s="26">
        <v>0</v>
      </c>
      <c r="DR280" s="26">
        <v>0</v>
      </c>
      <c r="DS280" s="26">
        <v>0</v>
      </c>
      <c r="DT280" s="26">
        <v>0</v>
      </c>
      <c r="DU280" s="26">
        <v>0</v>
      </c>
      <c r="DV280" s="26">
        <v>0</v>
      </c>
      <c r="DW280" s="26">
        <v>0</v>
      </c>
      <c r="DX280" s="26">
        <v>0</v>
      </c>
      <c r="DY280" s="26">
        <v>0</v>
      </c>
      <c r="DZ280" s="26">
        <v>0</v>
      </c>
      <c r="EA280" s="26">
        <v>0</v>
      </c>
      <c r="EB280" s="26">
        <v>0</v>
      </c>
      <c r="EC280" s="26">
        <v>0</v>
      </c>
      <c r="ED280" s="26">
        <v>0</v>
      </c>
      <c r="EE280" s="26">
        <v>0</v>
      </c>
      <c r="EF280" s="26">
        <v>0</v>
      </c>
      <c r="EG280" s="26">
        <v>0</v>
      </c>
      <c r="EH280" s="26">
        <v>0</v>
      </c>
      <c r="EI280" s="26">
        <v>0</v>
      </c>
      <c r="EJ280" s="26">
        <v>0</v>
      </c>
      <c r="EK280" s="26">
        <v>0</v>
      </c>
      <c r="EL280" s="26">
        <v>0</v>
      </c>
      <c r="EM280" s="26">
        <v>0</v>
      </c>
      <c r="EN280" s="26">
        <v>0</v>
      </c>
      <c r="EO280" s="26">
        <v>0</v>
      </c>
      <c r="EP280" s="26">
        <v>0</v>
      </c>
      <c r="EQ280" s="26">
        <v>0</v>
      </c>
      <c r="ER280" s="26">
        <v>0</v>
      </c>
      <c r="ES280" s="26">
        <v>0</v>
      </c>
      <c r="ET280" s="26">
        <v>1</v>
      </c>
      <c r="EU280" s="26">
        <v>0</v>
      </c>
      <c r="EV280" s="26">
        <v>0</v>
      </c>
      <c r="EW280" s="26">
        <v>0</v>
      </c>
      <c r="EX280" s="26">
        <v>0</v>
      </c>
      <c r="EY280" s="26">
        <v>0</v>
      </c>
      <c r="EZ280" s="26">
        <v>0</v>
      </c>
      <c r="FA280" s="26">
        <v>0</v>
      </c>
      <c r="FB280" s="26">
        <v>0</v>
      </c>
      <c r="FC280" s="26">
        <v>0</v>
      </c>
      <c r="FD280" s="26">
        <v>0</v>
      </c>
      <c r="FE280" s="26">
        <v>0</v>
      </c>
      <c r="FF280" s="26">
        <v>0</v>
      </c>
      <c r="FG280" s="26">
        <v>0</v>
      </c>
      <c r="FH280" s="26">
        <v>-1344733613.1400001</v>
      </c>
      <c r="FI280" s="26">
        <v>0</v>
      </c>
      <c r="FJ280" s="26">
        <v>0</v>
      </c>
      <c r="FK280" s="26">
        <v>0</v>
      </c>
      <c r="FL280" s="26">
        <v>0</v>
      </c>
      <c r="FM280" s="26">
        <v>0</v>
      </c>
      <c r="FN280" s="26">
        <v>0</v>
      </c>
      <c r="FO280" s="26">
        <v>0</v>
      </c>
      <c r="FP280" s="26">
        <v>0</v>
      </c>
      <c r="FQ280" s="26">
        <v>0</v>
      </c>
      <c r="FR280" s="26">
        <v>0</v>
      </c>
      <c r="FS280" s="26">
        <v>0</v>
      </c>
      <c r="FT280" s="26">
        <v>0</v>
      </c>
      <c r="FU280" s="26">
        <v>0</v>
      </c>
      <c r="FV280" s="26">
        <v>0</v>
      </c>
      <c r="FW280" s="26">
        <v>0</v>
      </c>
      <c r="FX280" s="26">
        <v>0</v>
      </c>
      <c r="FY280" s="26">
        <v>0</v>
      </c>
      <c r="FZ280" s="26">
        <v>0</v>
      </c>
      <c r="GA280" s="26">
        <v>0</v>
      </c>
      <c r="GB280" s="26">
        <v>0</v>
      </c>
      <c r="GC280" s="26">
        <v>0</v>
      </c>
      <c r="GD280" s="26">
        <v>0</v>
      </c>
      <c r="GE280" s="26">
        <v>0</v>
      </c>
      <c r="GF280" s="26">
        <v>0</v>
      </c>
      <c r="GG280" s="26">
        <v>0</v>
      </c>
      <c r="GH280" s="26">
        <v>0</v>
      </c>
      <c r="GI280" s="26">
        <v>0</v>
      </c>
      <c r="GJ280" s="26">
        <v>0</v>
      </c>
      <c r="GK280" s="26">
        <v>0</v>
      </c>
      <c r="GL280" s="26">
        <v>0</v>
      </c>
      <c r="GM280" s="26">
        <v>0</v>
      </c>
      <c r="GN280" s="26">
        <v>0</v>
      </c>
      <c r="GO280" s="26">
        <v>0</v>
      </c>
      <c r="GP280" s="26">
        <v>0</v>
      </c>
      <c r="GQ280" s="26">
        <v>0</v>
      </c>
      <c r="GR280" s="26">
        <v>0</v>
      </c>
      <c r="GS280" s="26">
        <v>0</v>
      </c>
      <c r="GT280" s="26">
        <v>0</v>
      </c>
      <c r="GU280" s="26">
        <v>0</v>
      </c>
      <c r="GV280" s="26">
        <v>0</v>
      </c>
      <c r="GW280" s="26">
        <v>0</v>
      </c>
      <c r="GX280" s="26">
        <v>0</v>
      </c>
      <c r="GY280" s="26">
        <v>0</v>
      </c>
      <c r="GZ280" s="26">
        <v>0</v>
      </c>
      <c r="HA280" s="26">
        <v>0</v>
      </c>
      <c r="HB280" s="26">
        <v>0</v>
      </c>
      <c r="HC280" s="26">
        <v>0</v>
      </c>
      <c r="HD280" s="26">
        <v>0</v>
      </c>
      <c r="HE280" s="26">
        <v>0</v>
      </c>
      <c r="HF280" s="26">
        <v>0</v>
      </c>
      <c r="HG280" s="26">
        <v>0</v>
      </c>
      <c r="HH280" s="26">
        <v>0</v>
      </c>
      <c r="HI280" s="26">
        <v>0</v>
      </c>
      <c r="HJ280" s="26">
        <v>0</v>
      </c>
      <c r="HK280" s="26">
        <v>0</v>
      </c>
      <c r="HL280" s="26">
        <v>0</v>
      </c>
      <c r="HM280" s="26">
        <v>0</v>
      </c>
      <c r="HN280" s="26">
        <v>0</v>
      </c>
      <c r="HO280" s="26">
        <v>0</v>
      </c>
      <c r="HP280" s="26">
        <v>0</v>
      </c>
      <c r="HQ280" s="26">
        <v>0</v>
      </c>
      <c r="HR280" s="26">
        <v>0</v>
      </c>
      <c r="HS280" s="26">
        <v>0</v>
      </c>
      <c r="HT280" s="26">
        <v>0</v>
      </c>
    </row>
    <row r="281" spans="2:228" x14ac:dyDescent="0.2">
      <c r="B281" s="27" t="s">
        <v>2902</v>
      </c>
      <c r="C281" s="26">
        <v>4974.1623200000004</v>
      </c>
      <c r="D281" s="26">
        <v>-7.0302529199999997</v>
      </c>
      <c r="E281" s="26">
        <v>0</v>
      </c>
      <c r="F281" s="26">
        <v>9.7021164100000001E-2</v>
      </c>
      <c r="G281" s="26">
        <v>0.27390152000000001</v>
      </c>
      <c r="H281" s="26">
        <v>0.60126281400000003</v>
      </c>
      <c r="I281" s="26">
        <v>0.252278104</v>
      </c>
      <c r="J281" s="26">
        <v>0.55802017699999995</v>
      </c>
      <c r="K281" s="26">
        <v>0.11563747200000002</v>
      </c>
      <c r="L281" s="26">
        <v>0.173978348</v>
      </c>
      <c r="M281" s="26">
        <v>0</v>
      </c>
      <c r="N281" s="26">
        <v>0.59544606899999997</v>
      </c>
      <c r="O281" s="26">
        <v>1.5026919699999999E-2</v>
      </c>
      <c r="P281" s="26">
        <v>6.3050012500000001E-3</v>
      </c>
      <c r="Q281" s="26">
        <v>0.20522642699999999</v>
      </c>
      <c r="R281" s="26">
        <v>0.20162037699999999</v>
      </c>
      <c r="S281" s="26">
        <v>6.4152214699999996</v>
      </c>
      <c r="T281" s="26">
        <v>55.7626499</v>
      </c>
      <c r="U281" s="26">
        <v>0.194333266</v>
      </c>
      <c r="V281" s="26">
        <v>0.25416173800000003</v>
      </c>
      <c r="W281" s="26">
        <v>3.1763930699999998E-2</v>
      </c>
      <c r="X281" s="26">
        <v>0.89018935099999996</v>
      </c>
      <c r="Y281" s="26">
        <v>0.39670935299999999</v>
      </c>
      <c r="Z281" s="26">
        <v>9.1625746100000002E-2</v>
      </c>
      <c r="AA281" s="26">
        <v>0.24052019899999996</v>
      </c>
      <c r="AB281" s="26">
        <v>2.8002136700000002</v>
      </c>
      <c r="AC281" s="26">
        <v>6.3604095200000002E-2</v>
      </c>
      <c r="AD281" s="26">
        <v>0</v>
      </c>
      <c r="AE281" s="26">
        <v>16.442953299999999</v>
      </c>
      <c r="AF281" s="26">
        <v>115.895771</v>
      </c>
      <c r="AG281" s="26">
        <v>0</v>
      </c>
      <c r="AH281" s="26">
        <v>4712.2267599999996</v>
      </c>
      <c r="AI281" s="26">
        <v>0</v>
      </c>
      <c r="AJ281" s="26">
        <v>0</v>
      </c>
      <c r="AK281" s="26">
        <v>0</v>
      </c>
      <c r="AL281" s="26">
        <v>0</v>
      </c>
      <c r="AM281" s="26">
        <v>0.39285781600000003</v>
      </c>
      <c r="AN281" s="26">
        <v>2.8174925499999999</v>
      </c>
      <c r="AO281" s="26">
        <v>5.4394494299999998</v>
      </c>
      <c r="AP281" s="26">
        <v>0</v>
      </c>
      <c r="AQ281" s="26">
        <v>5.21086604</v>
      </c>
      <c r="AR281" s="26">
        <v>0</v>
      </c>
      <c r="AS281" s="26">
        <v>6.4621852400000002</v>
      </c>
      <c r="AT281" s="26">
        <v>2.2872823100000001E-4</v>
      </c>
      <c r="AU281" s="26">
        <v>38.933442800000002</v>
      </c>
      <c r="AV281" s="26">
        <v>0.103593571</v>
      </c>
      <c r="AW281" s="26">
        <v>0</v>
      </c>
      <c r="AX281" s="26">
        <v>0</v>
      </c>
      <c r="AY281" s="26">
        <v>0</v>
      </c>
      <c r="AZ281" s="26">
        <v>0</v>
      </c>
      <c r="BA281" s="26">
        <v>0</v>
      </c>
      <c r="BB281" s="26">
        <v>0</v>
      </c>
      <c r="BC281" s="26">
        <v>0</v>
      </c>
      <c r="BD281" s="26">
        <v>0</v>
      </c>
      <c r="BE281" s="26">
        <v>0</v>
      </c>
      <c r="BF281" s="26">
        <v>0</v>
      </c>
      <c r="BG281" s="26">
        <v>0</v>
      </c>
      <c r="BH281" s="26">
        <v>0</v>
      </c>
      <c r="BI281" s="26">
        <v>0</v>
      </c>
      <c r="BJ281" s="26">
        <v>0</v>
      </c>
      <c r="BK281" s="26">
        <v>0</v>
      </c>
      <c r="BL281" s="26">
        <v>0</v>
      </c>
      <c r="BM281" s="26">
        <v>0</v>
      </c>
      <c r="BN281" s="26">
        <v>0</v>
      </c>
      <c r="BO281" s="26">
        <v>58.827704999999995</v>
      </c>
      <c r="BP281" s="26">
        <v>4974.1623200000004</v>
      </c>
      <c r="BQ281" s="26">
        <v>430.11819000000003</v>
      </c>
      <c r="BR281" s="26">
        <v>25.221569999999986</v>
      </c>
      <c r="BS281" s="26">
        <v>1</v>
      </c>
      <c r="BT281" s="26">
        <v>9.9103118900000006E-3</v>
      </c>
      <c r="BU281" s="26">
        <v>0.99008968799999997</v>
      </c>
      <c r="BV281" s="26">
        <v>0</v>
      </c>
      <c r="BW281" s="26">
        <v>-119505.81600000001</v>
      </c>
      <c r="BX281" s="26">
        <v>-1413.3541299999999</v>
      </c>
      <c r="BY281" s="26">
        <v>-7.0302529199999997</v>
      </c>
      <c r="BZ281" s="26">
        <v>-97.575322499999999</v>
      </c>
      <c r="CA281" s="26">
        <v>-1.1539897400000001</v>
      </c>
      <c r="CB281" s="26">
        <v>2.2795170299999999E-3</v>
      </c>
      <c r="CC281" s="26">
        <v>0.19274400899999999</v>
      </c>
      <c r="CD281" s="26">
        <v>84.554757300000006</v>
      </c>
      <c r="CE281" s="26">
        <v>0</v>
      </c>
      <c r="CF281" s="26">
        <v>0</v>
      </c>
      <c r="CG281" s="26">
        <v>0</v>
      </c>
      <c r="CH281" s="26">
        <v>0</v>
      </c>
      <c r="CI281" s="26">
        <v>0</v>
      </c>
      <c r="CJ281" s="26">
        <v>0</v>
      </c>
      <c r="CK281" s="26">
        <v>0</v>
      </c>
      <c r="CL281" s="26">
        <v>0</v>
      </c>
      <c r="CM281" s="26">
        <v>0</v>
      </c>
      <c r="CN281" s="26">
        <v>0</v>
      </c>
      <c r="CO281" s="26">
        <v>0</v>
      </c>
      <c r="CP281" s="26">
        <v>0</v>
      </c>
      <c r="CQ281" s="26">
        <v>0</v>
      </c>
      <c r="CR281" s="26">
        <v>0</v>
      </c>
      <c r="CS281" s="26">
        <v>0</v>
      </c>
      <c r="CT281" s="26">
        <v>0</v>
      </c>
      <c r="CU281" s="26">
        <v>0</v>
      </c>
      <c r="CV281" s="26">
        <v>0</v>
      </c>
      <c r="CW281" s="26">
        <v>0</v>
      </c>
      <c r="CX281" s="26">
        <v>0</v>
      </c>
      <c r="CY281" s="26">
        <v>0</v>
      </c>
      <c r="CZ281" s="26">
        <v>0</v>
      </c>
      <c r="DA281" s="26">
        <v>0</v>
      </c>
      <c r="DB281" s="26">
        <v>0</v>
      </c>
      <c r="DC281" s="26">
        <v>0</v>
      </c>
      <c r="DD281" s="26">
        <v>0</v>
      </c>
      <c r="DE281" s="26">
        <v>0</v>
      </c>
      <c r="DF281" s="26">
        <v>0</v>
      </c>
      <c r="DG281" s="26">
        <v>0</v>
      </c>
      <c r="DH281" s="26">
        <v>0</v>
      </c>
      <c r="DI281" s="26">
        <v>0</v>
      </c>
      <c r="DJ281" s="26">
        <v>0</v>
      </c>
      <c r="DK281" s="26">
        <v>0</v>
      </c>
      <c r="DL281" s="26">
        <v>0</v>
      </c>
      <c r="DM281" s="26">
        <v>0</v>
      </c>
      <c r="DN281" s="26">
        <v>0</v>
      </c>
      <c r="DO281" s="26">
        <v>0</v>
      </c>
      <c r="DP281" s="26">
        <v>0</v>
      </c>
      <c r="DQ281" s="26">
        <v>0</v>
      </c>
      <c r="DR281" s="26">
        <v>0</v>
      </c>
      <c r="DS281" s="26">
        <v>0</v>
      </c>
      <c r="DT281" s="26">
        <v>0</v>
      </c>
      <c r="DU281" s="26">
        <v>0</v>
      </c>
      <c r="DV281" s="26">
        <v>0</v>
      </c>
      <c r="DW281" s="26">
        <v>0</v>
      </c>
      <c r="DX281" s="26">
        <v>0</v>
      </c>
      <c r="DY281" s="26">
        <v>0</v>
      </c>
      <c r="DZ281" s="26">
        <v>0</v>
      </c>
      <c r="EA281" s="26">
        <v>0</v>
      </c>
      <c r="EB281" s="26">
        <v>0</v>
      </c>
      <c r="EC281" s="26">
        <v>0</v>
      </c>
      <c r="ED281" s="26">
        <v>0</v>
      </c>
      <c r="EE281" s="26">
        <v>0</v>
      </c>
      <c r="EF281" s="26">
        <v>0</v>
      </c>
      <c r="EG281" s="26">
        <v>0</v>
      </c>
      <c r="EH281" s="26">
        <v>0</v>
      </c>
      <c r="EI281" s="26">
        <v>0</v>
      </c>
      <c r="EJ281" s="26">
        <v>0</v>
      </c>
      <c r="EK281" s="26">
        <v>0</v>
      </c>
      <c r="EL281" s="26">
        <v>0</v>
      </c>
      <c r="EM281" s="26">
        <v>0</v>
      </c>
      <c r="EN281" s="26">
        <v>0</v>
      </c>
      <c r="EO281" s="26">
        <v>0</v>
      </c>
      <c r="EP281" s="26">
        <v>0</v>
      </c>
      <c r="EQ281" s="26">
        <v>0</v>
      </c>
      <c r="ER281" s="26">
        <v>0</v>
      </c>
      <c r="ES281" s="26">
        <v>0</v>
      </c>
      <c r="ET281" s="26">
        <v>1</v>
      </c>
      <c r="EU281" s="26">
        <v>0</v>
      </c>
      <c r="EV281" s="26">
        <v>0</v>
      </c>
      <c r="EW281" s="26">
        <v>0</v>
      </c>
      <c r="EX281" s="26">
        <v>0</v>
      </c>
      <c r="EY281" s="26">
        <v>0</v>
      </c>
      <c r="EZ281" s="26">
        <v>0</v>
      </c>
      <c r="FA281" s="26">
        <v>0</v>
      </c>
      <c r="FB281" s="26">
        <v>0</v>
      </c>
      <c r="FC281" s="26">
        <v>0</v>
      </c>
      <c r="FD281" s="26">
        <v>0</v>
      </c>
      <c r="FE281" s="26">
        <v>0</v>
      </c>
      <c r="FF281" s="26">
        <v>0</v>
      </c>
      <c r="FG281" s="26">
        <v>4.0306034599999999E-2</v>
      </c>
      <c r="FH281" s="26">
        <v>-8176509.8557400005</v>
      </c>
      <c r="FI281" s="26">
        <v>1.0916712698444812E-3</v>
      </c>
      <c r="FJ281" s="26">
        <v>0</v>
      </c>
      <c r="FK281" s="26">
        <v>4.6327268148395927E-10</v>
      </c>
      <c r="FL281" s="26">
        <v>3.1122960526761462E-22</v>
      </c>
      <c r="FM281" s="26">
        <v>6.8320463324341479E-22</v>
      </c>
      <c r="FN281" s="26">
        <v>2.8665928562660761E-22</v>
      </c>
      <c r="FO281" s="26">
        <v>1.6292707908119443E-19</v>
      </c>
      <c r="FP281" s="26">
        <v>3.3763072214549021E-20</v>
      </c>
      <c r="FQ281" s="26">
        <v>5.2488693753242888E-18</v>
      </c>
      <c r="FR281" s="26">
        <v>0</v>
      </c>
      <c r="FS281" s="26">
        <v>7.5177014490305004E-22</v>
      </c>
      <c r="FT281" s="26">
        <v>1.8971977735109156E-23</v>
      </c>
      <c r="FU281" s="26">
        <v>7.9602703692377181E-24</v>
      </c>
      <c r="FV281" s="26">
        <v>6.8091418044731335E-20</v>
      </c>
      <c r="FW281" s="26">
        <v>6.6894978035159831E-20</v>
      </c>
      <c r="FX281" s="26">
        <v>7.2895062527604941E-21</v>
      </c>
      <c r="FY281" s="26">
        <v>6.5258831355403983E-13</v>
      </c>
      <c r="FZ281" s="26">
        <v>2.1627271700795952E-14</v>
      </c>
      <c r="GA281" s="26">
        <v>2.2081441954429316E-11</v>
      </c>
      <c r="GB281" s="26">
        <v>3.0521844410841423E-11</v>
      </c>
      <c r="GC281" s="26">
        <v>1.3189489105515914E-13</v>
      </c>
      <c r="GD281" s="26">
        <v>1.8572789398582314E-19</v>
      </c>
      <c r="GE281" s="26">
        <v>6.2784988835613246E-16</v>
      </c>
      <c r="GF281" s="26">
        <v>1.7628339946582275E-16</v>
      </c>
      <c r="GG281" s="26">
        <v>4.1303725885985367E-6</v>
      </c>
      <c r="GH281" s="26">
        <v>1.4432141809901577E-16</v>
      </c>
      <c r="GI281" s="26">
        <v>0</v>
      </c>
      <c r="GJ281" s="26">
        <v>0</v>
      </c>
      <c r="GK281" s="26">
        <v>0</v>
      </c>
      <c r="GL281" s="26">
        <v>0</v>
      </c>
      <c r="GM281" s="26">
        <v>3.8010645026307386E-8</v>
      </c>
      <c r="GN281" s="26">
        <v>0</v>
      </c>
      <c r="GO281" s="26">
        <v>0</v>
      </c>
      <c r="GP281" s="26">
        <v>0</v>
      </c>
      <c r="GQ281" s="26">
        <v>0</v>
      </c>
      <c r="GR281" s="26">
        <v>3.5673771118723505E-18</v>
      </c>
      <c r="GS281" s="26">
        <v>2.3949273247149741E-5</v>
      </c>
      <c r="GT281" s="26">
        <v>5.2373752641212247E-5</v>
      </c>
      <c r="GU281" s="26">
        <v>0</v>
      </c>
      <c r="GV281" s="26">
        <v>3.7558479189356724E-7</v>
      </c>
      <c r="GW281" s="26">
        <v>0</v>
      </c>
      <c r="GX281" s="26">
        <v>2.8098968558125082E-5</v>
      </c>
      <c r="GY281" s="26">
        <v>3.5092595002962979E-9</v>
      </c>
      <c r="GZ281" s="26">
        <v>5.2957504590326704E-5</v>
      </c>
      <c r="HA281" s="26">
        <v>1.7204145554299833E-8</v>
      </c>
      <c r="HB281" s="26">
        <v>0</v>
      </c>
      <c r="HC281" s="26">
        <v>0</v>
      </c>
      <c r="HD281" s="26">
        <v>0</v>
      </c>
      <c r="HE281" s="26">
        <v>0</v>
      </c>
      <c r="HF281" s="26">
        <v>0</v>
      </c>
      <c r="HG281" s="26">
        <v>0</v>
      </c>
      <c r="HH281" s="26">
        <v>0</v>
      </c>
      <c r="HI281" s="26">
        <v>0</v>
      </c>
      <c r="HJ281" s="26">
        <v>0</v>
      </c>
      <c r="HK281" s="26">
        <v>0</v>
      </c>
      <c r="HL281" s="26">
        <v>0</v>
      </c>
      <c r="HM281" s="26">
        <v>0</v>
      </c>
      <c r="HN281" s="26">
        <v>0</v>
      </c>
      <c r="HO281" s="26">
        <v>0</v>
      </c>
      <c r="HP281" s="26">
        <v>0</v>
      </c>
      <c r="HQ281" s="26">
        <v>0</v>
      </c>
      <c r="HR281" s="26">
        <v>0</v>
      </c>
      <c r="HS281" s="26">
        <v>0</v>
      </c>
      <c r="HT281" s="26">
        <v>0</v>
      </c>
    </row>
    <row r="282" spans="2:228" x14ac:dyDescent="0.2">
      <c r="B282" s="27" t="s">
        <v>2903</v>
      </c>
      <c r="C282" s="26">
        <v>381608.76699999999</v>
      </c>
      <c r="D282" s="26">
        <v>-1445.2511400000001</v>
      </c>
      <c r="E282" s="26">
        <v>381608.76699999999</v>
      </c>
      <c r="F282" s="26">
        <v>0</v>
      </c>
      <c r="G282" s="26">
        <v>0</v>
      </c>
      <c r="H282" s="26">
        <v>0</v>
      </c>
      <c r="I282" s="26">
        <v>0</v>
      </c>
      <c r="J282" s="26">
        <v>0</v>
      </c>
      <c r="K282" s="26">
        <v>0</v>
      </c>
      <c r="L282" s="26">
        <v>0</v>
      </c>
      <c r="M282" s="26">
        <v>0</v>
      </c>
      <c r="N282" s="26">
        <v>0</v>
      </c>
      <c r="O282" s="26">
        <v>0</v>
      </c>
      <c r="P282" s="26">
        <v>0</v>
      </c>
      <c r="Q282" s="26">
        <v>0</v>
      </c>
      <c r="R282" s="26">
        <v>0</v>
      </c>
      <c r="S282" s="26">
        <v>0</v>
      </c>
      <c r="T282" s="26">
        <v>0</v>
      </c>
      <c r="U282" s="26">
        <v>0</v>
      </c>
      <c r="V282" s="26">
        <v>0</v>
      </c>
      <c r="W282" s="26">
        <v>0</v>
      </c>
      <c r="X282" s="26">
        <v>0</v>
      </c>
      <c r="Y282" s="26">
        <v>0</v>
      </c>
      <c r="Z282" s="26">
        <v>0</v>
      </c>
      <c r="AA282" s="26">
        <v>0</v>
      </c>
      <c r="AB282" s="26">
        <v>0</v>
      </c>
      <c r="AC282" s="26">
        <v>0</v>
      </c>
      <c r="AD282" s="26">
        <v>0</v>
      </c>
      <c r="AE282" s="26">
        <v>0</v>
      </c>
      <c r="AF282" s="26">
        <v>0</v>
      </c>
      <c r="AG282" s="26">
        <v>0</v>
      </c>
      <c r="AH282" s="26">
        <v>0</v>
      </c>
      <c r="AI282" s="26">
        <v>0</v>
      </c>
      <c r="AJ282" s="26">
        <v>0</v>
      </c>
      <c r="AK282" s="26">
        <v>0</v>
      </c>
      <c r="AL282" s="26">
        <v>0</v>
      </c>
      <c r="AM282" s="26">
        <v>0</v>
      </c>
      <c r="AN282" s="26">
        <v>0</v>
      </c>
      <c r="AO282" s="26">
        <v>0</v>
      </c>
      <c r="AP282" s="26">
        <v>0</v>
      </c>
      <c r="AQ282" s="26">
        <v>0</v>
      </c>
      <c r="AR282" s="26">
        <v>0</v>
      </c>
      <c r="AS282" s="26">
        <v>0</v>
      </c>
      <c r="AT282" s="26">
        <v>0</v>
      </c>
      <c r="AU282" s="26">
        <v>0</v>
      </c>
      <c r="AV282" s="26">
        <v>0</v>
      </c>
      <c r="AW282" s="26">
        <v>0</v>
      </c>
      <c r="AX282" s="26">
        <v>0</v>
      </c>
      <c r="AY282" s="26">
        <v>0</v>
      </c>
      <c r="AZ282" s="26">
        <v>0</v>
      </c>
      <c r="BA282" s="26">
        <v>0</v>
      </c>
      <c r="BB282" s="26">
        <v>0</v>
      </c>
      <c r="BC282" s="26">
        <v>0</v>
      </c>
      <c r="BD282" s="26">
        <v>0</v>
      </c>
      <c r="BE282" s="26">
        <v>0</v>
      </c>
      <c r="BF282" s="26">
        <v>0</v>
      </c>
      <c r="BG282" s="26">
        <v>0</v>
      </c>
      <c r="BH282" s="26">
        <v>0</v>
      </c>
      <c r="BI282" s="26">
        <v>0</v>
      </c>
      <c r="BJ282" s="26">
        <v>0</v>
      </c>
      <c r="BK282" s="26">
        <v>0</v>
      </c>
      <c r="BL282" s="26">
        <v>0</v>
      </c>
      <c r="BM282" s="26">
        <v>0</v>
      </c>
      <c r="BN282" s="26">
        <v>0</v>
      </c>
      <c r="BO282" s="26">
        <v>21182.505499999999</v>
      </c>
      <c r="BP282" s="26">
        <v>381608.76699999999</v>
      </c>
      <c r="BQ282" s="26">
        <v>6400.1904699999996</v>
      </c>
      <c r="BR282" s="26">
        <v>25.221569999999986</v>
      </c>
      <c r="BS282" s="26">
        <v>1</v>
      </c>
      <c r="BT282" s="26">
        <v>0</v>
      </c>
      <c r="BU282" s="26">
        <v>1</v>
      </c>
      <c r="BV282" s="26">
        <v>0</v>
      </c>
      <c r="BW282" s="26">
        <v>-68228.526299999998</v>
      </c>
      <c r="BX282" s="26">
        <v>-3787.2587199999998</v>
      </c>
      <c r="BY282" s="26">
        <v>-1445.2511400000001</v>
      </c>
      <c r="BZ282" s="26">
        <v>-38.837953400000004</v>
      </c>
      <c r="CA282" s="26">
        <v>-2.15583401</v>
      </c>
      <c r="CB282" s="26">
        <v>5.5161132299999999E-2</v>
      </c>
      <c r="CC282" s="26">
        <v>0.99374324400000003</v>
      </c>
      <c r="CD282" s="26">
        <v>18.015280000000001</v>
      </c>
      <c r="CE282" s="26">
        <v>6372.4036500000002</v>
      </c>
      <c r="CF282" s="26">
        <v>0</v>
      </c>
      <c r="CG282" s="26">
        <v>0</v>
      </c>
      <c r="CH282" s="26">
        <v>0</v>
      </c>
      <c r="CI282" s="26">
        <v>0</v>
      </c>
      <c r="CJ282" s="26">
        <v>0</v>
      </c>
      <c r="CK282" s="26">
        <v>0</v>
      </c>
      <c r="CL282" s="26">
        <v>0</v>
      </c>
      <c r="CM282" s="26">
        <v>0</v>
      </c>
      <c r="CN282" s="26">
        <v>0</v>
      </c>
      <c r="CO282" s="26">
        <v>0</v>
      </c>
      <c r="CP282" s="26">
        <v>0</v>
      </c>
      <c r="CQ282" s="26">
        <v>0</v>
      </c>
      <c r="CR282" s="26">
        <v>0</v>
      </c>
      <c r="CS282" s="26">
        <v>0</v>
      </c>
      <c r="CT282" s="26">
        <v>0</v>
      </c>
      <c r="CU282" s="26">
        <v>0</v>
      </c>
      <c r="CV282" s="26">
        <v>0</v>
      </c>
      <c r="CW282" s="26">
        <v>0</v>
      </c>
      <c r="CX282" s="26">
        <v>0</v>
      </c>
      <c r="CY282" s="26">
        <v>0</v>
      </c>
      <c r="CZ282" s="26">
        <v>0</v>
      </c>
      <c r="DA282" s="26">
        <v>0</v>
      </c>
      <c r="DB282" s="26">
        <v>0</v>
      </c>
      <c r="DC282" s="26">
        <v>0</v>
      </c>
      <c r="DD282" s="26">
        <v>0</v>
      </c>
      <c r="DE282" s="26">
        <v>0</v>
      </c>
      <c r="DF282" s="26">
        <v>0</v>
      </c>
      <c r="DG282" s="26">
        <v>0</v>
      </c>
      <c r="DH282" s="26">
        <v>0</v>
      </c>
      <c r="DI282" s="26">
        <v>0</v>
      </c>
      <c r="DJ282" s="26">
        <v>0</v>
      </c>
      <c r="DK282" s="26">
        <v>0</v>
      </c>
      <c r="DL282" s="26">
        <v>0</v>
      </c>
      <c r="DM282" s="26">
        <v>0</v>
      </c>
      <c r="DN282" s="26">
        <v>0</v>
      </c>
      <c r="DO282" s="26">
        <v>0</v>
      </c>
      <c r="DP282" s="26">
        <v>0</v>
      </c>
      <c r="DQ282" s="26">
        <v>0</v>
      </c>
      <c r="DR282" s="26">
        <v>0</v>
      </c>
      <c r="DS282" s="26">
        <v>0</v>
      </c>
      <c r="DT282" s="26">
        <v>0</v>
      </c>
      <c r="DU282" s="26">
        <v>0</v>
      </c>
      <c r="DV282" s="26">
        <v>0</v>
      </c>
      <c r="DW282" s="26">
        <v>0</v>
      </c>
      <c r="DX282" s="26">
        <v>0</v>
      </c>
      <c r="DY282" s="26">
        <v>0</v>
      </c>
      <c r="DZ282" s="26">
        <v>0</v>
      </c>
      <c r="EA282" s="26">
        <v>0</v>
      </c>
      <c r="EB282" s="26">
        <v>0</v>
      </c>
      <c r="EC282" s="26">
        <v>0</v>
      </c>
      <c r="ED282" s="26">
        <v>0</v>
      </c>
      <c r="EE282" s="26">
        <v>0</v>
      </c>
      <c r="EF282" s="26">
        <v>0</v>
      </c>
      <c r="EG282" s="26">
        <v>0</v>
      </c>
      <c r="EH282" s="26">
        <v>0</v>
      </c>
      <c r="EI282" s="26">
        <v>0</v>
      </c>
      <c r="EJ282" s="26">
        <v>0</v>
      </c>
      <c r="EK282" s="26">
        <v>0</v>
      </c>
      <c r="EL282" s="26">
        <v>0</v>
      </c>
      <c r="EM282" s="26">
        <v>0</v>
      </c>
      <c r="EN282" s="26">
        <v>0</v>
      </c>
      <c r="EO282" s="26">
        <v>0</v>
      </c>
      <c r="EP282" s="26">
        <v>0</v>
      </c>
      <c r="EQ282" s="26">
        <v>0</v>
      </c>
      <c r="ER282" s="26">
        <v>0</v>
      </c>
      <c r="ES282" s="26">
        <v>0</v>
      </c>
      <c r="ET282" s="26">
        <v>1</v>
      </c>
      <c r="EU282" s="26">
        <v>0</v>
      </c>
      <c r="EV282" s="26">
        <v>0</v>
      </c>
      <c r="EW282" s="26">
        <v>0</v>
      </c>
      <c r="EX282" s="26">
        <v>0</v>
      </c>
      <c r="EY282" s="26">
        <v>0</v>
      </c>
      <c r="EZ282" s="26">
        <v>0</v>
      </c>
      <c r="FA282" s="26">
        <v>0</v>
      </c>
      <c r="FB282" s="26">
        <v>0</v>
      </c>
      <c r="FC282" s="26">
        <v>0</v>
      </c>
      <c r="FD282" s="26">
        <v>0</v>
      </c>
      <c r="FE282" s="26">
        <v>0</v>
      </c>
      <c r="FF282" s="26">
        <v>0</v>
      </c>
      <c r="FG282" s="26">
        <v>0</v>
      </c>
      <c r="FH282" s="26">
        <v>-1680917010.6099999</v>
      </c>
      <c r="FI282" s="26">
        <v>0</v>
      </c>
      <c r="FJ282" s="26">
        <v>0</v>
      </c>
      <c r="FK282" s="26">
        <v>0</v>
      </c>
      <c r="FL282" s="26">
        <v>0</v>
      </c>
      <c r="FM282" s="26">
        <v>0</v>
      </c>
      <c r="FN282" s="26">
        <v>0</v>
      </c>
      <c r="FO282" s="26">
        <v>0</v>
      </c>
      <c r="FP282" s="26">
        <v>0</v>
      </c>
      <c r="FQ282" s="26">
        <v>0</v>
      </c>
      <c r="FR282" s="26">
        <v>0</v>
      </c>
      <c r="FS282" s="26">
        <v>0</v>
      </c>
      <c r="FT282" s="26">
        <v>0</v>
      </c>
      <c r="FU282" s="26">
        <v>0</v>
      </c>
      <c r="FV282" s="26">
        <v>0</v>
      </c>
      <c r="FW282" s="26">
        <v>0</v>
      </c>
      <c r="FX282" s="26">
        <v>0</v>
      </c>
      <c r="FY282" s="26">
        <v>0</v>
      </c>
      <c r="FZ282" s="26">
        <v>0</v>
      </c>
      <c r="GA282" s="26">
        <v>0</v>
      </c>
      <c r="GB282" s="26">
        <v>0</v>
      </c>
      <c r="GC282" s="26">
        <v>0</v>
      </c>
      <c r="GD282" s="26">
        <v>0</v>
      </c>
      <c r="GE282" s="26">
        <v>0</v>
      </c>
      <c r="GF282" s="26">
        <v>0</v>
      </c>
      <c r="GG282" s="26">
        <v>0</v>
      </c>
      <c r="GH282" s="26">
        <v>0</v>
      </c>
      <c r="GI282" s="26">
        <v>0</v>
      </c>
      <c r="GJ282" s="26">
        <v>0</v>
      </c>
      <c r="GK282" s="26">
        <v>0</v>
      </c>
      <c r="GL282" s="26">
        <v>0</v>
      </c>
      <c r="GM282" s="26">
        <v>0</v>
      </c>
      <c r="GN282" s="26">
        <v>0</v>
      </c>
      <c r="GO282" s="26">
        <v>0</v>
      </c>
      <c r="GP282" s="26">
        <v>0</v>
      </c>
      <c r="GQ282" s="26">
        <v>0</v>
      </c>
      <c r="GR282" s="26">
        <v>0</v>
      </c>
      <c r="GS282" s="26">
        <v>0</v>
      </c>
      <c r="GT282" s="26">
        <v>0</v>
      </c>
      <c r="GU282" s="26">
        <v>0</v>
      </c>
      <c r="GV282" s="26">
        <v>0</v>
      </c>
      <c r="GW282" s="26">
        <v>0</v>
      </c>
      <c r="GX282" s="26">
        <v>0</v>
      </c>
      <c r="GY282" s="26">
        <v>0</v>
      </c>
      <c r="GZ282" s="26">
        <v>0</v>
      </c>
      <c r="HA282" s="26">
        <v>0</v>
      </c>
      <c r="HB282" s="26">
        <v>0</v>
      </c>
      <c r="HC282" s="26">
        <v>0</v>
      </c>
      <c r="HD282" s="26">
        <v>0</v>
      </c>
      <c r="HE282" s="26">
        <v>0</v>
      </c>
      <c r="HF282" s="26">
        <v>0</v>
      </c>
      <c r="HG282" s="26">
        <v>0</v>
      </c>
      <c r="HH282" s="26">
        <v>0</v>
      </c>
      <c r="HI282" s="26">
        <v>0</v>
      </c>
      <c r="HJ282" s="26">
        <v>0</v>
      </c>
      <c r="HK282" s="26">
        <v>0</v>
      </c>
      <c r="HL282" s="26">
        <v>0</v>
      </c>
      <c r="HM282" s="26">
        <v>0</v>
      </c>
      <c r="HN282" s="26">
        <v>0</v>
      </c>
      <c r="HO282" s="26">
        <v>0</v>
      </c>
      <c r="HP282" s="26">
        <v>0</v>
      </c>
      <c r="HQ282" s="26">
        <v>0</v>
      </c>
      <c r="HR282" s="26">
        <v>0</v>
      </c>
      <c r="HS282" s="26">
        <v>0</v>
      </c>
      <c r="HT282" s="26">
        <v>0</v>
      </c>
    </row>
    <row r="283" spans="2:228" x14ac:dyDescent="0.2">
      <c r="B283" s="27" t="s">
        <v>3029</v>
      </c>
      <c r="C283" s="26">
        <v>81295.915800000002</v>
      </c>
      <c r="D283" s="26">
        <v>-296.08048200000002</v>
      </c>
      <c r="E283" s="26">
        <v>76321.753400000001</v>
      </c>
      <c r="F283" s="26">
        <v>9.7021164100000001E-2</v>
      </c>
      <c r="G283" s="26">
        <v>0.27390152000000001</v>
      </c>
      <c r="H283" s="26">
        <v>0.60126281400000003</v>
      </c>
      <c r="I283" s="26">
        <v>0.252278104</v>
      </c>
      <c r="J283" s="26">
        <v>0.55802017699999995</v>
      </c>
      <c r="K283" s="26">
        <v>0.11563747200000002</v>
      </c>
      <c r="L283" s="26">
        <v>0.173978348</v>
      </c>
      <c r="M283" s="26">
        <v>0</v>
      </c>
      <c r="N283" s="26">
        <v>0.59544606899999997</v>
      </c>
      <c r="O283" s="26">
        <v>1.5026919699999999E-2</v>
      </c>
      <c r="P283" s="26">
        <v>6.3050012500000001E-3</v>
      </c>
      <c r="Q283" s="26">
        <v>0.20522642699999999</v>
      </c>
      <c r="R283" s="26">
        <v>0.20162037699999999</v>
      </c>
      <c r="S283" s="26">
        <v>6.4152214699999996</v>
      </c>
      <c r="T283" s="26">
        <v>55.7626499</v>
      </c>
      <c r="U283" s="26">
        <v>0.194333266</v>
      </c>
      <c r="V283" s="26">
        <v>0.25416173800000003</v>
      </c>
      <c r="W283" s="26">
        <v>3.1763930699999998E-2</v>
      </c>
      <c r="X283" s="26">
        <v>0.89018935099999996</v>
      </c>
      <c r="Y283" s="26">
        <v>0.39670935299999999</v>
      </c>
      <c r="Z283" s="26">
        <v>9.1625746100000002E-2</v>
      </c>
      <c r="AA283" s="26">
        <v>0.24052019899999996</v>
      </c>
      <c r="AB283" s="26">
        <v>2.8002136700000002</v>
      </c>
      <c r="AC283" s="26">
        <v>6.3604095200000002E-2</v>
      </c>
      <c r="AD283" s="26">
        <v>0</v>
      </c>
      <c r="AE283" s="26">
        <v>16.442953299999999</v>
      </c>
      <c r="AF283" s="26">
        <v>115.895771</v>
      </c>
      <c r="AG283" s="26">
        <v>0</v>
      </c>
      <c r="AH283" s="26">
        <v>4712.2267599999996</v>
      </c>
      <c r="AI283" s="26">
        <v>0</v>
      </c>
      <c r="AJ283" s="26">
        <v>0</v>
      </c>
      <c r="AK283" s="26">
        <v>0</v>
      </c>
      <c r="AL283" s="26">
        <v>0</v>
      </c>
      <c r="AM283" s="26">
        <v>0.39285781600000003</v>
      </c>
      <c r="AN283" s="26">
        <v>2.8174925499999999</v>
      </c>
      <c r="AO283" s="26">
        <v>5.4394494299999998</v>
      </c>
      <c r="AP283" s="26">
        <v>0</v>
      </c>
      <c r="AQ283" s="26">
        <v>5.21086604</v>
      </c>
      <c r="AR283" s="26">
        <v>0</v>
      </c>
      <c r="AS283" s="26">
        <v>6.4621852400000002</v>
      </c>
      <c r="AT283" s="26">
        <v>2.2872823100000001E-4</v>
      </c>
      <c r="AU283" s="26">
        <v>38.933442800000002</v>
      </c>
      <c r="AV283" s="26">
        <v>0.103593571</v>
      </c>
      <c r="AW283" s="26">
        <v>0</v>
      </c>
      <c r="AX283" s="26">
        <v>0</v>
      </c>
      <c r="AY283" s="26">
        <v>0</v>
      </c>
      <c r="AZ283" s="26">
        <v>0</v>
      </c>
      <c r="BA283" s="26">
        <v>0</v>
      </c>
      <c r="BB283" s="26">
        <v>0</v>
      </c>
      <c r="BC283" s="26">
        <v>0</v>
      </c>
      <c r="BD283" s="26">
        <v>0</v>
      </c>
      <c r="BE283" s="26">
        <v>0</v>
      </c>
      <c r="BF283" s="26">
        <v>0</v>
      </c>
      <c r="BG283" s="26">
        <v>0</v>
      </c>
      <c r="BH283" s="26">
        <v>0</v>
      </c>
      <c r="BI283" s="26">
        <v>0</v>
      </c>
      <c r="BJ283" s="26">
        <v>0</v>
      </c>
      <c r="BK283" s="26">
        <v>0</v>
      </c>
      <c r="BL283" s="26">
        <v>0</v>
      </c>
      <c r="BM283" s="26">
        <v>0</v>
      </c>
      <c r="BN283" s="26">
        <v>0</v>
      </c>
      <c r="BO283" s="26">
        <v>4295.3288000000002</v>
      </c>
      <c r="BP283" s="26">
        <v>81295.915800000002</v>
      </c>
      <c r="BQ283" s="26">
        <v>1534.54377</v>
      </c>
      <c r="BR283" s="26">
        <v>25.261518700000011</v>
      </c>
      <c r="BS283" s="26">
        <v>1</v>
      </c>
      <c r="BT283" s="26">
        <v>5.7214446500000003E-5</v>
      </c>
      <c r="BU283" s="26">
        <v>0.99994278599999997</v>
      </c>
      <c r="BV283" s="26">
        <v>0</v>
      </c>
      <c r="BW283" s="26">
        <v>-68930.806700000001</v>
      </c>
      <c r="BX283" s="26">
        <v>-3642.0092800000002</v>
      </c>
      <c r="BY283" s="26">
        <v>-296.08048200000002</v>
      </c>
      <c r="BZ283" s="26">
        <v>-39.499313899999997</v>
      </c>
      <c r="CA283" s="26">
        <v>-2.08697496</v>
      </c>
      <c r="CB283" s="26">
        <v>4.6651528599999999E-2</v>
      </c>
      <c r="CC283" s="26">
        <v>0.88295423100000003</v>
      </c>
      <c r="CD283" s="26">
        <v>18.926587399999999</v>
      </c>
      <c r="CE283" s="26">
        <v>0</v>
      </c>
      <c r="CF283" s="26">
        <v>0</v>
      </c>
      <c r="CG283" s="26">
        <v>0</v>
      </c>
      <c r="CH283" s="26">
        <v>0</v>
      </c>
      <c r="CI283" s="26">
        <v>0</v>
      </c>
      <c r="CJ283" s="26">
        <v>0</v>
      </c>
      <c r="CK283" s="26">
        <v>0</v>
      </c>
      <c r="CL283" s="26">
        <v>0</v>
      </c>
      <c r="CM283" s="26">
        <v>0</v>
      </c>
      <c r="CN283" s="26">
        <v>0</v>
      </c>
      <c r="CO283" s="26">
        <v>0</v>
      </c>
      <c r="CP283" s="26">
        <v>0</v>
      </c>
      <c r="CQ283" s="26">
        <v>0</v>
      </c>
      <c r="CR283" s="26">
        <v>0</v>
      </c>
      <c r="CS283" s="26">
        <v>0</v>
      </c>
      <c r="CT283" s="26">
        <v>0</v>
      </c>
      <c r="CU283" s="26">
        <v>0</v>
      </c>
      <c r="CV283" s="26">
        <v>0</v>
      </c>
      <c r="CW283" s="26">
        <v>0</v>
      </c>
      <c r="CX283" s="26">
        <v>0</v>
      </c>
      <c r="CY283" s="26">
        <v>0</v>
      </c>
      <c r="CZ283" s="26">
        <v>0</v>
      </c>
      <c r="DA283" s="26">
        <v>0</v>
      </c>
      <c r="DB283" s="26">
        <v>0</v>
      </c>
      <c r="DC283" s="26">
        <v>0</v>
      </c>
      <c r="DD283" s="26">
        <v>0</v>
      </c>
      <c r="DE283" s="26">
        <v>0</v>
      </c>
      <c r="DF283" s="26">
        <v>0</v>
      </c>
      <c r="DG283" s="26">
        <v>0</v>
      </c>
      <c r="DH283" s="26">
        <v>0</v>
      </c>
      <c r="DI283" s="26">
        <v>0</v>
      </c>
      <c r="DJ283" s="26">
        <v>0</v>
      </c>
      <c r="DK283" s="26">
        <v>0</v>
      </c>
      <c r="DL283" s="26">
        <v>0</v>
      </c>
      <c r="DM283" s="26">
        <v>0</v>
      </c>
      <c r="DN283" s="26">
        <v>0</v>
      </c>
      <c r="DO283" s="26">
        <v>0</v>
      </c>
      <c r="DP283" s="26">
        <v>0</v>
      </c>
      <c r="DQ283" s="26">
        <v>0</v>
      </c>
      <c r="DR283" s="26">
        <v>0</v>
      </c>
      <c r="DS283" s="26">
        <v>0</v>
      </c>
      <c r="DT283" s="26">
        <v>0</v>
      </c>
      <c r="DU283" s="26">
        <v>0</v>
      </c>
      <c r="DV283" s="26">
        <v>0</v>
      </c>
      <c r="DW283" s="26">
        <v>0</v>
      </c>
      <c r="DX283" s="26">
        <v>0</v>
      </c>
      <c r="DY283" s="26">
        <v>0</v>
      </c>
      <c r="DZ283" s="26">
        <v>0</v>
      </c>
      <c r="EA283" s="26">
        <v>0</v>
      </c>
      <c r="EB283" s="26">
        <v>0</v>
      </c>
      <c r="EC283" s="26">
        <v>0</v>
      </c>
      <c r="ED283" s="26">
        <v>0</v>
      </c>
      <c r="EE283" s="26">
        <v>0</v>
      </c>
      <c r="EF283" s="26">
        <v>0</v>
      </c>
      <c r="EG283" s="26">
        <v>0</v>
      </c>
      <c r="EH283" s="26">
        <v>0</v>
      </c>
      <c r="EI283" s="26">
        <v>0</v>
      </c>
      <c r="EJ283" s="26">
        <v>0</v>
      </c>
      <c r="EK283" s="26">
        <v>0</v>
      </c>
      <c r="EL283" s="26">
        <v>0</v>
      </c>
      <c r="EM283" s="26">
        <v>0</v>
      </c>
      <c r="EN283" s="26">
        <v>0</v>
      </c>
      <c r="EO283" s="26">
        <v>0</v>
      </c>
      <c r="EP283" s="26">
        <v>0</v>
      </c>
      <c r="EQ283" s="26">
        <v>0</v>
      </c>
      <c r="ER283" s="26">
        <v>0</v>
      </c>
      <c r="ES283" s="26">
        <v>0</v>
      </c>
      <c r="ET283" s="26">
        <v>1</v>
      </c>
      <c r="EU283" s="26">
        <v>0</v>
      </c>
      <c r="EV283" s="26">
        <v>0</v>
      </c>
      <c r="EW283" s="26">
        <v>0</v>
      </c>
      <c r="EX283" s="26">
        <v>0</v>
      </c>
      <c r="EY283" s="26">
        <v>0</v>
      </c>
      <c r="EZ283" s="26">
        <v>0</v>
      </c>
      <c r="FA283" s="26">
        <v>0</v>
      </c>
      <c r="FB283" s="26">
        <v>0</v>
      </c>
      <c r="FC283" s="26">
        <v>0</v>
      </c>
      <c r="FD283" s="26">
        <v>0</v>
      </c>
      <c r="FE283" s="26">
        <v>0</v>
      </c>
      <c r="FF283" s="26">
        <v>0</v>
      </c>
      <c r="FG283" s="26">
        <v>2.46616028E-3</v>
      </c>
      <c r="FH283" s="26">
        <v>-344363230.04000002</v>
      </c>
      <c r="FI283" s="26">
        <v>1.0916712698444812E-3</v>
      </c>
      <c r="FJ283" s="26">
        <v>2.1399137421193098E-6</v>
      </c>
      <c r="FK283" s="26">
        <v>1.9517314933916297E-11</v>
      </c>
      <c r="FL283" s="26">
        <v>1.7940638254636217E-24</v>
      </c>
      <c r="FM283" s="26">
        <v>3.9382908926174379E-24</v>
      </c>
      <c r="FN283" s="26">
        <v>1.6524297465527714E-24</v>
      </c>
      <c r="FO283" s="26">
        <v>9.3833073250664595E-22</v>
      </c>
      <c r="FP283" s="26">
        <v>1.9444851238892145E-22</v>
      </c>
      <c r="FQ283" s="26">
        <v>3.0140115241120922E-20</v>
      </c>
      <c r="FR283" s="26">
        <v>0</v>
      </c>
      <c r="FS283" s="26">
        <v>4.3335325346682598E-24</v>
      </c>
      <c r="FT283" s="26">
        <v>1.0936279337490234E-25</v>
      </c>
      <c r="FU283" s="26">
        <v>4.5886486755980787E-26</v>
      </c>
      <c r="FV283" s="26">
        <v>3.9215255313722044E-22</v>
      </c>
      <c r="FW283" s="26">
        <v>3.8526200863765163E-22</v>
      </c>
      <c r="FX283" s="26">
        <v>4.2019908391714821E-23</v>
      </c>
      <c r="FY283" s="26">
        <v>3.74701350219833E-15</v>
      </c>
      <c r="FZ283" s="26">
        <v>2.5789610622983551E-15</v>
      </c>
      <c r="GA283" s="26">
        <v>1.2747887740871991E-11</v>
      </c>
      <c r="GB283" s="26">
        <v>1.75040929455883E-13</v>
      </c>
      <c r="GC283" s="26">
        <v>7.5769048939485721E-16</v>
      </c>
      <c r="GD283" s="26">
        <v>1.06689734464629E-21</v>
      </c>
      <c r="GE283" s="26">
        <v>2.1824208452371448E-18</v>
      </c>
      <c r="GF283" s="26">
        <v>1.0125850942117918E-18</v>
      </c>
      <c r="GG283" s="26">
        <v>1.4545998838590213E-9</v>
      </c>
      <c r="GH283" s="26">
        <v>8.2893299274257515E-19</v>
      </c>
      <c r="GI283" s="26">
        <v>0</v>
      </c>
      <c r="GJ283" s="26">
        <v>0</v>
      </c>
      <c r="GK283" s="26">
        <v>0</v>
      </c>
      <c r="GL283" s="26">
        <v>0</v>
      </c>
      <c r="GM283" s="26">
        <v>2.1774352979750381E-10</v>
      </c>
      <c r="GN283" s="26">
        <v>0</v>
      </c>
      <c r="GO283" s="26">
        <v>0</v>
      </c>
      <c r="GP283" s="26">
        <v>0</v>
      </c>
      <c r="GQ283" s="26">
        <v>0</v>
      </c>
      <c r="GR283" s="26">
        <v>2.0518511886370319E-20</v>
      </c>
      <c r="GS283" s="26">
        <v>1.7479947945395137E-5</v>
      </c>
      <c r="GT283" s="26">
        <v>4.4751993135793722E-5</v>
      </c>
      <c r="GU283" s="26">
        <v>0</v>
      </c>
      <c r="GV283" s="26">
        <v>2.1768741007483261E-9</v>
      </c>
      <c r="GW283" s="26">
        <v>0</v>
      </c>
      <c r="GX283" s="26">
        <v>3.5233175004087622E-6</v>
      </c>
      <c r="GY283" s="26">
        <v>2.7527704442443858E-9</v>
      </c>
      <c r="GZ283" s="26">
        <v>3.633302612399754E-7</v>
      </c>
      <c r="HA283" s="26">
        <v>1.0238432970796353E-10</v>
      </c>
      <c r="HB283" s="26">
        <v>0</v>
      </c>
      <c r="HC283" s="26">
        <v>0</v>
      </c>
      <c r="HD283" s="26">
        <v>0</v>
      </c>
      <c r="HE283" s="26">
        <v>0</v>
      </c>
      <c r="HF283" s="26">
        <v>0</v>
      </c>
      <c r="HG283" s="26">
        <v>0</v>
      </c>
      <c r="HH283" s="26">
        <v>0</v>
      </c>
      <c r="HI283" s="26">
        <v>0</v>
      </c>
      <c r="HJ283" s="26">
        <v>0</v>
      </c>
      <c r="HK283" s="26">
        <v>0</v>
      </c>
      <c r="HL283" s="26">
        <v>0</v>
      </c>
      <c r="HM283" s="26">
        <v>0</v>
      </c>
      <c r="HN283" s="26">
        <v>0</v>
      </c>
      <c r="HO283" s="26">
        <v>0</v>
      </c>
      <c r="HP283" s="26">
        <v>0</v>
      </c>
      <c r="HQ283" s="26">
        <v>0</v>
      </c>
      <c r="HR283" s="26">
        <v>0</v>
      </c>
      <c r="HS283" s="26">
        <v>0</v>
      </c>
      <c r="HT283" s="26">
        <v>0</v>
      </c>
    </row>
    <row r="284" spans="2:228" x14ac:dyDescent="0.2">
      <c r="B284" s="27" t="s">
        <v>3171</v>
      </c>
      <c r="C284" s="26">
        <v>76321.753400000001</v>
      </c>
      <c r="D284" s="26">
        <v>-289.050229</v>
      </c>
      <c r="E284" s="26">
        <v>76321.753400000001</v>
      </c>
      <c r="F284" s="26">
        <v>0</v>
      </c>
      <c r="G284" s="26">
        <v>0</v>
      </c>
      <c r="H284" s="26">
        <v>0</v>
      </c>
      <c r="I284" s="26">
        <v>0</v>
      </c>
      <c r="J284" s="26">
        <v>0</v>
      </c>
      <c r="K284" s="26">
        <v>0</v>
      </c>
      <c r="L284" s="26">
        <v>0</v>
      </c>
      <c r="M284" s="26">
        <v>0</v>
      </c>
      <c r="N284" s="26">
        <v>0</v>
      </c>
      <c r="O284" s="26">
        <v>0</v>
      </c>
      <c r="P284" s="26">
        <v>0</v>
      </c>
      <c r="Q284" s="26">
        <v>0</v>
      </c>
      <c r="R284" s="26">
        <v>0</v>
      </c>
      <c r="S284" s="26">
        <v>0</v>
      </c>
      <c r="T284" s="26">
        <v>0</v>
      </c>
      <c r="U284" s="26">
        <v>0</v>
      </c>
      <c r="V284" s="26">
        <v>0</v>
      </c>
      <c r="W284" s="26">
        <v>0</v>
      </c>
      <c r="X284" s="26">
        <v>0</v>
      </c>
      <c r="Y284" s="26">
        <v>0</v>
      </c>
      <c r="Z284" s="26">
        <v>0</v>
      </c>
      <c r="AA284" s="26">
        <v>0</v>
      </c>
      <c r="AB284" s="26">
        <v>0</v>
      </c>
      <c r="AC284" s="26">
        <v>0</v>
      </c>
      <c r="AD284" s="26">
        <v>0</v>
      </c>
      <c r="AE284" s="26">
        <v>0</v>
      </c>
      <c r="AF284" s="26">
        <v>0</v>
      </c>
      <c r="AG284" s="26">
        <v>0</v>
      </c>
      <c r="AH284" s="26">
        <v>0</v>
      </c>
      <c r="AI284" s="26">
        <v>0</v>
      </c>
      <c r="AJ284" s="26">
        <v>0</v>
      </c>
      <c r="AK284" s="26">
        <v>0</v>
      </c>
      <c r="AL284" s="26">
        <v>0</v>
      </c>
      <c r="AM284" s="26">
        <v>0</v>
      </c>
      <c r="AN284" s="26">
        <v>0</v>
      </c>
      <c r="AO284" s="26">
        <v>0</v>
      </c>
      <c r="AP284" s="26">
        <v>0</v>
      </c>
      <c r="AQ284" s="26">
        <v>0</v>
      </c>
      <c r="AR284" s="26">
        <v>0</v>
      </c>
      <c r="AS284" s="26">
        <v>0</v>
      </c>
      <c r="AT284" s="26">
        <v>0</v>
      </c>
      <c r="AU284" s="26">
        <v>0</v>
      </c>
      <c r="AV284" s="26">
        <v>0</v>
      </c>
      <c r="AW284" s="26">
        <v>0</v>
      </c>
      <c r="AX284" s="26">
        <v>0</v>
      </c>
      <c r="AY284" s="26">
        <v>0</v>
      </c>
      <c r="AZ284" s="26">
        <v>0</v>
      </c>
      <c r="BA284" s="26">
        <v>0</v>
      </c>
      <c r="BB284" s="26">
        <v>0</v>
      </c>
      <c r="BC284" s="26">
        <v>0</v>
      </c>
      <c r="BD284" s="26">
        <v>0</v>
      </c>
      <c r="BE284" s="26">
        <v>0</v>
      </c>
      <c r="BF284" s="26">
        <v>0</v>
      </c>
      <c r="BG284" s="26">
        <v>0</v>
      </c>
      <c r="BH284" s="26">
        <v>0</v>
      </c>
      <c r="BI284" s="26">
        <v>0</v>
      </c>
      <c r="BJ284" s="26">
        <v>0</v>
      </c>
      <c r="BK284" s="26">
        <v>0</v>
      </c>
      <c r="BL284" s="26">
        <v>0</v>
      </c>
      <c r="BM284" s="26">
        <v>0</v>
      </c>
      <c r="BN284" s="26">
        <v>0</v>
      </c>
      <c r="BO284" s="26">
        <v>4236.5011000000004</v>
      </c>
      <c r="BP284" s="26">
        <v>76321.753400000001</v>
      </c>
      <c r="BQ284" s="26">
        <v>1280.03809</v>
      </c>
      <c r="BR284" s="26">
        <v>25.221569999999986</v>
      </c>
      <c r="BS284" s="26">
        <v>1</v>
      </c>
      <c r="BT284" s="26">
        <v>0</v>
      </c>
      <c r="BU284" s="26">
        <v>1</v>
      </c>
      <c r="BV284" s="26">
        <v>0</v>
      </c>
      <c r="BW284" s="26">
        <v>-68228.526299999998</v>
      </c>
      <c r="BX284" s="26">
        <v>-3787.2587199999998</v>
      </c>
      <c r="BY284" s="26">
        <v>-289.050229</v>
      </c>
      <c r="BZ284" s="26">
        <v>-38.837953400000004</v>
      </c>
      <c r="CA284" s="26">
        <v>-2.15583401</v>
      </c>
      <c r="CB284" s="26">
        <v>5.5161132299999999E-2</v>
      </c>
      <c r="CC284" s="26">
        <v>0.99374324400000003</v>
      </c>
      <c r="CD284" s="26">
        <v>18.015280000000001</v>
      </c>
      <c r="CE284" s="26">
        <v>1274.48073</v>
      </c>
      <c r="CF284" s="26">
        <v>0</v>
      </c>
      <c r="CG284" s="26">
        <v>0</v>
      </c>
      <c r="CH284" s="26">
        <v>0</v>
      </c>
      <c r="CI284" s="26">
        <v>0</v>
      </c>
      <c r="CJ284" s="26">
        <v>0</v>
      </c>
      <c r="CK284" s="26">
        <v>0</v>
      </c>
      <c r="CL284" s="26">
        <v>0</v>
      </c>
      <c r="CM284" s="26">
        <v>0</v>
      </c>
      <c r="CN284" s="26">
        <v>0</v>
      </c>
      <c r="CO284" s="26">
        <v>0</v>
      </c>
      <c r="CP284" s="26">
        <v>0</v>
      </c>
      <c r="CQ284" s="26">
        <v>0</v>
      </c>
      <c r="CR284" s="26">
        <v>0</v>
      </c>
      <c r="CS284" s="26">
        <v>0</v>
      </c>
      <c r="CT284" s="26">
        <v>0</v>
      </c>
      <c r="CU284" s="26">
        <v>0</v>
      </c>
      <c r="CV284" s="26">
        <v>0</v>
      </c>
      <c r="CW284" s="26">
        <v>0</v>
      </c>
      <c r="CX284" s="26">
        <v>0</v>
      </c>
      <c r="CY284" s="26">
        <v>0</v>
      </c>
      <c r="CZ284" s="26">
        <v>0</v>
      </c>
      <c r="DA284" s="26">
        <v>0</v>
      </c>
      <c r="DB284" s="26">
        <v>0</v>
      </c>
      <c r="DC284" s="26">
        <v>0</v>
      </c>
      <c r="DD284" s="26">
        <v>0</v>
      </c>
      <c r="DE284" s="26">
        <v>0</v>
      </c>
      <c r="DF284" s="26">
        <v>0</v>
      </c>
      <c r="DG284" s="26">
        <v>0</v>
      </c>
      <c r="DH284" s="26">
        <v>0</v>
      </c>
      <c r="DI284" s="26">
        <v>0</v>
      </c>
      <c r="DJ284" s="26">
        <v>0</v>
      </c>
      <c r="DK284" s="26">
        <v>0</v>
      </c>
      <c r="DL284" s="26">
        <v>0</v>
      </c>
      <c r="DM284" s="26">
        <v>0</v>
      </c>
      <c r="DN284" s="26">
        <v>0</v>
      </c>
      <c r="DO284" s="26">
        <v>0</v>
      </c>
      <c r="DP284" s="26">
        <v>0</v>
      </c>
      <c r="DQ284" s="26">
        <v>0</v>
      </c>
      <c r="DR284" s="26">
        <v>0</v>
      </c>
      <c r="DS284" s="26">
        <v>0</v>
      </c>
      <c r="DT284" s="26">
        <v>0</v>
      </c>
      <c r="DU284" s="26">
        <v>0</v>
      </c>
      <c r="DV284" s="26">
        <v>0</v>
      </c>
      <c r="DW284" s="26">
        <v>0</v>
      </c>
      <c r="DX284" s="26">
        <v>0</v>
      </c>
      <c r="DY284" s="26">
        <v>0</v>
      </c>
      <c r="DZ284" s="26">
        <v>0</v>
      </c>
      <c r="EA284" s="26">
        <v>0</v>
      </c>
      <c r="EB284" s="26">
        <v>0</v>
      </c>
      <c r="EC284" s="26">
        <v>0</v>
      </c>
      <c r="ED284" s="26">
        <v>0</v>
      </c>
      <c r="EE284" s="26">
        <v>0</v>
      </c>
      <c r="EF284" s="26">
        <v>0</v>
      </c>
      <c r="EG284" s="26">
        <v>0</v>
      </c>
      <c r="EH284" s="26">
        <v>0</v>
      </c>
      <c r="EI284" s="26">
        <v>0</v>
      </c>
      <c r="EJ284" s="26">
        <v>0</v>
      </c>
      <c r="EK284" s="26">
        <v>0</v>
      </c>
      <c r="EL284" s="26">
        <v>0</v>
      </c>
      <c r="EM284" s="26">
        <v>0</v>
      </c>
      <c r="EN284" s="26">
        <v>0</v>
      </c>
      <c r="EO284" s="26">
        <v>0</v>
      </c>
      <c r="EP284" s="26">
        <v>0</v>
      </c>
      <c r="EQ284" s="26">
        <v>0</v>
      </c>
      <c r="ER284" s="26">
        <v>0</v>
      </c>
      <c r="ES284" s="26">
        <v>0</v>
      </c>
      <c r="ET284" s="26">
        <v>1</v>
      </c>
      <c r="EU284" s="26">
        <v>0</v>
      </c>
      <c r="EV284" s="26">
        <v>0</v>
      </c>
      <c r="EW284" s="26">
        <v>0</v>
      </c>
      <c r="EX284" s="26">
        <v>0</v>
      </c>
      <c r="EY284" s="26">
        <v>0</v>
      </c>
      <c r="EZ284" s="26">
        <v>0</v>
      </c>
      <c r="FA284" s="26">
        <v>0</v>
      </c>
      <c r="FB284" s="26">
        <v>0</v>
      </c>
      <c r="FC284" s="26">
        <v>0</v>
      </c>
      <c r="FD284" s="26">
        <v>0</v>
      </c>
      <c r="FE284" s="26">
        <v>0</v>
      </c>
      <c r="FF284" s="26">
        <v>0</v>
      </c>
      <c r="FG284" s="26">
        <v>0</v>
      </c>
      <c r="FH284" s="26">
        <v>-336183403.28500003</v>
      </c>
      <c r="FI284" s="26">
        <v>0</v>
      </c>
      <c r="FJ284" s="26">
        <v>0</v>
      </c>
      <c r="FK284" s="26">
        <v>0</v>
      </c>
      <c r="FL284" s="26">
        <v>0</v>
      </c>
      <c r="FM284" s="26">
        <v>0</v>
      </c>
      <c r="FN284" s="26">
        <v>0</v>
      </c>
      <c r="FO284" s="26">
        <v>0</v>
      </c>
      <c r="FP284" s="26">
        <v>0</v>
      </c>
      <c r="FQ284" s="26">
        <v>0</v>
      </c>
      <c r="FR284" s="26">
        <v>0</v>
      </c>
      <c r="FS284" s="26">
        <v>0</v>
      </c>
      <c r="FT284" s="26">
        <v>0</v>
      </c>
      <c r="FU284" s="26">
        <v>0</v>
      </c>
      <c r="FV284" s="26">
        <v>0</v>
      </c>
      <c r="FW284" s="26">
        <v>0</v>
      </c>
      <c r="FX284" s="26">
        <v>0</v>
      </c>
      <c r="FY284" s="26">
        <v>0</v>
      </c>
      <c r="FZ284" s="26">
        <v>0</v>
      </c>
      <c r="GA284" s="26">
        <v>0</v>
      </c>
      <c r="GB284" s="26">
        <v>0</v>
      </c>
      <c r="GC284" s="26">
        <v>0</v>
      </c>
      <c r="GD284" s="26">
        <v>0</v>
      </c>
      <c r="GE284" s="26">
        <v>0</v>
      </c>
      <c r="GF284" s="26">
        <v>0</v>
      </c>
      <c r="GG284" s="26">
        <v>0</v>
      </c>
      <c r="GH284" s="26">
        <v>0</v>
      </c>
      <c r="GI284" s="26">
        <v>0</v>
      </c>
      <c r="GJ284" s="26">
        <v>0</v>
      </c>
      <c r="GK284" s="26">
        <v>0</v>
      </c>
      <c r="GL284" s="26">
        <v>0</v>
      </c>
      <c r="GM284" s="26">
        <v>0</v>
      </c>
      <c r="GN284" s="26">
        <v>0</v>
      </c>
      <c r="GO284" s="26">
        <v>0</v>
      </c>
      <c r="GP284" s="26">
        <v>0</v>
      </c>
      <c r="GQ284" s="26">
        <v>0</v>
      </c>
      <c r="GR284" s="26">
        <v>0</v>
      </c>
      <c r="GS284" s="26">
        <v>0</v>
      </c>
      <c r="GT284" s="26">
        <v>0</v>
      </c>
      <c r="GU284" s="26">
        <v>0</v>
      </c>
      <c r="GV284" s="26">
        <v>0</v>
      </c>
      <c r="GW284" s="26">
        <v>0</v>
      </c>
      <c r="GX284" s="26">
        <v>0</v>
      </c>
      <c r="GY284" s="26">
        <v>0</v>
      </c>
      <c r="GZ284" s="26">
        <v>0</v>
      </c>
      <c r="HA284" s="26">
        <v>0</v>
      </c>
      <c r="HB284" s="26">
        <v>0</v>
      </c>
      <c r="HC284" s="26">
        <v>0</v>
      </c>
      <c r="HD284" s="26">
        <v>0</v>
      </c>
      <c r="HE284" s="26">
        <v>0</v>
      </c>
      <c r="HF284" s="26">
        <v>0</v>
      </c>
      <c r="HG284" s="26">
        <v>0</v>
      </c>
      <c r="HH284" s="26">
        <v>0</v>
      </c>
      <c r="HI284" s="26">
        <v>0</v>
      </c>
      <c r="HJ284" s="26">
        <v>0</v>
      </c>
      <c r="HK284" s="26">
        <v>0</v>
      </c>
      <c r="HL284" s="26">
        <v>0</v>
      </c>
      <c r="HM284" s="26">
        <v>0</v>
      </c>
      <c r="HN284" s="26">
        <v>0</v>
      </c>
      <c r="HO284" s="26">
        <v>0</v>
      </c>
      <c r="HP284" s="26">
        <v>0</v>
      </c>
      <c r="HQ284" s="26">
        <v>0</v>
      </c>
      <c r="HR284" s="26">
        <v>0</v>
      </c>
      <c r="HS284" s="26">
        <v>0</v>
      </c>
      <c r="HT284" s="26">
        <v>0</v>
      </c>
    </row>
    <row r="285" spans="2:228" x14ac:dyDescent="0.2">
      <c r="B285" s="27" t="s">
        <v>1415</v>
      </c>
      <c r="C285" s="26">
        <v>223184.03400000001</v>
      </c>
      <c r="D285" s="26">
        <v>-14.013872299999999</v>
      </c>
      <c r="E285" s="26">
        <v>4371.1926000000003</v>
      </c>
      <c r="F285" s="26">
        <v>0</v>
      </c>
      <c r="G285" s="26">
        <v>0</v>
      </c>
      <c r="H285" s="26">
        <v>0</v>
      </c>
      <c r="I285" s="26">
        <v>0</v>
      </c>
      <c r="J285" s="26">
        <v>0</v>
      </c>
      <c r="K285" s="26">
        <v>0</v>
      </c>
      <c r="L285" s="26">
        <v>0</v>
      </c>
      <c r="M285" s="26">
        <v>0</v>
      </c>
      <c r="N285" s="26">
        <v>0</v>
      </c>
      <c r="O285" s="26">
        <v>0</v>
      </c>
      <c r="P285" s="26">
        <v>0</v>
      </c>
      <c r="Q285" s="26">
        <v>0</v>
      </c>
      <c r="R285" s="26">
        <v>0</v>
      </c>
      <c r="S285" s="26">
        <v>0</v>
      </c>
      <c r="T285" s="26">
        <v>0</v>
      </c>
      <c r="U285" s="26">
        <v>0</v>
      </c>
      <c r="V285" s="26">
        <v>0</v>
      </c>
      <c r="W285" s="26">
        <v>0</v>
      </c>
      <c r="X285" s="26">
        <v>0</v>
      </c>
      <c r="Y285" s="26">
        <v>0</v>
      </c>
      <c r="Z285" s="26">
        <v>0</v>
      </c>
      <c r="AA285" s="26">
        <v>0</v>
      </c>
      <c r="AB285" s="26">
        <v>0</v>
      </c>
      <c r="AC285" s="26">
        <v>0</v>
      </c>
      <c r="AD285" s="26">
        <v>0</v>
      </c>
      <c r="AE285" s="26">
        <v>0</v>
      </c>
      <c r="AF285" s="26">
        <v>0</v>
      </c>
      <c r="AG285" s="26">
        <v>0</v>
      </c>
      <c r="AH285" s="26">
        <v>0</v>
      </c>
      <c r="AI285" s="26">
        <v>0</v>
      </c>
      <c r="AJ285" s="26">
        <v>0</v>
      </c>
      <c r="AK285" s="26">
        <v>0</v>
      </c>
      <c r="AL285" s="26">
        <v>0</v>
      </c>
      <c r="AM285" s="26">
        <v>0</v>
      </c>
      <c r="AN285" s="26">
        <v>50965.230799999998</v>
      </c>
      <c r="AO285" s="26">
        <v>167847.611</v>
      </c>
      <c r="AP285" s="26">
        <v>0</v>
      </c>
      <c r="AQ285" s="26">
        <v>0</v>
      </c>
      <c r="AR285" s="26">
        <v>0</v>
      </c>
      <c r="AS285" s="26">
        <v>0</v>
      </c>
      <c r="AT285" s="26">
        <v>0</v>
      </c>
      <c r="AU285" s="26">
        <v>0</v>
      </c>
      <c r="AV285" s="26">
        <v>0</v>
      </c>
      <c r="AW285" s="26">
        <v>0</v>
      </c>
      <c r="AX285" s="26">
        <v>0</v>
      </c>
      <c r="AY285" s="26">
        <v>0</v>
      </c>
      <c r="AZ285" s="26">
        <v>0</v>
      </c>
      <c r="BA285" s="26">
        <v>0</v>
      </c>
      <c r="BB285" s="26">
        <v>0</v>
      </c>
      <c r="BC285" s="26">
        <v>0</v>
      </c>
      <c r="BD285" s="26">
        <v>0</v>
      </c>
      <c r="BE285" s="26">
        <v>0</v>
      </c>
      <c r="BF285" s="26">
        <v>0</v>
      </c>
      <c r="BG285" s="26">
        <v>0</v>
      </c>
      <c r="BH285" s="26">
        <v>0</v>
      </c>
      <c r="BI285" s="26">
        <v>0</v>
      </c>
      <c r="BJ285" s="26">
        <v>0</v>
      </c>
      <c r="BK285" s="26">
        <v>0</v>
      </c>
      <c r="BL285" s="26">
        <v>0</v>
      </c>
      <c r="BM285" s="26">
        <v>0</v>
      </c>
      <c r="BN285" s="26">
        <v>0</v>
      </c>
      <c r="BO285" s="26">
        <v>7827.0342099999989</v>
      </c>
      <c r="BP285" s="26">
        <v>223184.03400000001</v>
      </c>
      <c r="BQ285" s="26">
        <v>3191474.92</v>
      </c>
      <c r="BR285" s="26">
        <v>25</v>
      </c>
      <c r="BS285" s="26">
        <v>1</v>
      </c>
      <c r="BT285" s="26">
        <v>1</v>
      </c>
      <c r="BU285" s="26">
        <v>0</v>
      </c>
      <c r="BV285" s="26">
        <v>0</v>
      </c>
      <c r="BW285" s="26">
        <v>-1790.4447299999999</v>
      </c>
      <c r="BX285" s="26">
        <v>-62.790657099999997</v>
      </c>
      <c r="BY285" s="26">
        <v>-14.013872299999999</v>
      </c>
      <c r="BZ285" s="26">
        <v>0.93504060899999997</v>
      </c>
      <c r="CA285" s="26">
        <v>3.2791749100000003E-2</v>
      </c>
      <c r="CB285" s="26">
        <v>4.0874696499999997E-5</v>
      </c>
      <c r="CC285" s="26">
        <v>1.16552188E-3</v>
      </c>
      <c r="CD285" s="26">
        <v>28.514508599999999</v>
      </c>
      <c r="CE285" s="26">
        <v>6843.0530699999999</v>
      </c>
      <c r="CF285" s="26">
        <v>0</v>
      </c>
      <c r="CG285" s="26">
        <v>0</v>
      </c>
      <c r="CH285" s="26">
        <v>0</v>
      </c>
      <c r="CI285" s="26">
        <v>0</v>
      </c>
      <c r="CJ285" s="26">
        <v>0</v>
      </c>
      <c r="CK285" s="26">
        <v>0</v>
      </c>
      <c r="CL285" s="26">
        <v>0</v>
      </c>
      <c r="CM285" s="26">
        <v>0</v>
      </c>
      <c r="CN285" s="26">
        <v>0</v>
      </c>
      <c r="CO285" s="26">
        <v>0</v>
      </c>
      <c r="CP285" s="26">
        <v>0</v>
      </c>
      <c r="CQ285" s="26">
        <v>0</v>
      </c>
      <c r="CR285" s="26">
        <v>0</v>
      </c>
      <c r="CS285" s="26">
        <v>0</v>
      </c>
      <c r="CT285" s="26">
        <v>0</v>
      </c>
      <c r="CU285" s="26">
        <v>0</v>
      </c>
      <c r="CV285" s="26">
        <v>0</v>
      </c>
      <c r="CW285" s="26">
        <v>0</v>
      </c>
      <c r="CX285" s="26">
        <v>0</v>
      </c>
      <c r="CY285" s="26">
        <v>0</v>
      </c>
      <c r="CZ285" s="26">
        <v>0</v>
      </c>
      <c r="DA285" s="26">
        <v>0</v>
      </c>
      <c r="DB285" s="26">
        <v>0</v>
      </c>
      <c r="DC285" s="26">
        <v>0</v>
      </c>
      <c r="DD285" s="26">
        <v>0</v>
      </c>
      <c r="DE285" s="26">
        <v>0</v>
      </c>
      <c r="DF285" s="26">
        <v>0</v>
      </c>
      <c r="DG285" s="26">
        <v>0</v>
      </c>
      <c r="DH285" s="26">
        <v>0</v>
      </c>
      <c r="DI285" s="26">
        <v>0</v>
      </c>
      <c r="DJ285" s="26">
        <v>0</v>
      </c>
      <c r="DK285" s="26">
        <v>0</v>
      </c>
      <c r="DL285" s="26">
        <v>0</v>
      </c>
      <c r="DM285" s="26">
        <v>0</v>
      </c>
      <c r="DN285" s="26">
        <v>0</v>
      </c>
      <c r="DO285" s="26">
        <v>0</v>
      </c>
      <c r="DP285" s="26">
        <v>0</v>
      </c>
      <c r="DQ285" s="26">
        <v>0</v>
      </c>
      <c r="DR285" s="26">
        <v>0</v>
      </c>
      <c r="DS285" s="26">
        <v>0</v>
      </c>
      <c r="DT285" s="26">
        <v>0</v>
      </c>
      <c r="DU285" s="26">
        <v>0</v>
      </c>
      <c r="DV285" s="26">
        <v>0</v>
      </c>
      <c r="DW285" s="26">
        <v>0</v>
      </c>
      <c r="DX285" s="26">
        <v>0</v>
      </c>
      <c r="DY285" s="26">
        <v>0</v>
      </c>
      <c r="DZ285" s="26">
        <v>0</v>
      </c>
      <c r="EA285" s="26">
        <v>0</v>
      </c>
      <c r="EB285" s="26">
        <v>0</v>
      </c>
      <c r="EC285" s="26">
        <v>0</v>
      </c>
      <c r="ED285" s="26">
        <v>0</v>
      </c>
      <c r="EE285" s="26">
        <v>0</v>
      </c>
      <c r="EF285" s="26">
        <v>0</v>
      </c>
      <c r="EG285" s="26">
        <v>0</v>
      </c>
      <c r="EH285" s="26">
        <v>0</v>
      </c>
      <c r="EI285" s="26">
        <v>0</v>
      </c>
      <c r="EJ285" s="26">
        <v>0</v>
      </c>
      <c r="EK285" s="26">
        <v>0</v>
      </c>
      <c r="EL285" s="26">
        <v>0</v>
      </c>
      <c r="EM285" s="26">
        <v>0</v>
      </c>
      <c r="EN285" s="26">
        <v>0</v>
      </c>
      <c r="EO285" s="26">
        <v>0</v>
      </c>
      <c r="EP285" s="26">
        <v>0</v>
      </c>
      <c r="EQ285" s="26">
        <v>0</v>
      </c>
      <c r="ER285" s="26">
        <v>0</v>
      </c>
      <c r="ES285" s="26">
        <v>0</v>
      </c>
      <c r="ET285" s="26">
        <v>1</v>
      </c>
      <c r="EU285" s="26">
        <v>0</v>
      </c>
      <c r="EV285" s="26">
        <v>0</v>
      </c>
      <c r="EW285" s="26">
        <v>0</v>
      </c>
      <c r="EX285" s="26">
        <v>0</v>
      </c>
      <c r="EY285" s="26">
        <v>0</v>
      </c>
      <c r="EZ285" s="26">
        <v>0</v>
      </c>
      <c r="FA285" s="26">
        <v>0</v>
      </c>
      <c r="FB285" s="26">
        <v>0</v>
      </c>
      <c r="FC285" s="26">
        <v>0</v>
      </c>
      <c r="FD285" s="26">
        <v>0</v>
      </c>
      <c r="FE285" s="26">
        <v>0</v>
      </c>
      <c r="FF285" s="26">
        <v>0</v>
      </c>
      <c r="FG285" s="26">
        <v>0</v>
      </c>
      <c r="FH285" s="26">
        <v>-16298133.4849</v>
      </c>
      <c r="FI285" s="26">
        <v>0</v>
      </c>
      <c r="FJ285" s="26">
        <v>6.7399461650306802E-2</v>
      </c>
      <c r="FK285" s="26">
        <v>0</v>
      </c>
      <c r="FL285" s="26">
        <v>0</v>
      </c>
      <c r="FM285" s="26">
        <v>0</v>
      </c>
      <c r="FN285" s="26">
        <v>0</v>
      </c>
      <c r="FO285" s="26">
        <v>0</v>
      </c>
      <c r="FP285" s="26">
        <v>0</v>
      </c>
      <c r="FQ285" s="26">
        <v>0</v>
      </c>
      <c r="FR285" s="26">
        <v>0</v>
      </c>
      <c r="FS285" s="26">
        <v>0</v>
      </c>
      <c r="FT285" s="26">
        <v>0</v>
      </c>
      <c r="FU285" s="26">
        <v>0</v>
      </c>
      <c r="FV285" s="26">
        <v>0</v>
      </c>
      <c r="FW285" s="26">
        <v>0</v>
      </c>
      <c r="FX285" s="26">
        <v>0</v>
      </c>
      <c r="FY285" s="26">
        <v>0</v>
      </c>
      <c r="FZ285" s="26">
        <v>0</v>
      </c>
      <c r="GA285" s="26">
        <v>0</v>
      </c>
      <c r="GB285" s="26">
        <v>0</v>
      </c>
      <c r="GC285" s="26">
        <v>0</v>
      </c>
      <c r="GD285" s="26">
        <v>0</v>
      </c>
      <c r="GE285" s="26">
        <v>0</v>
      </c>
      <c r="GF285" s="26">
        <v>0</v>
      </c>
      <c r="GG285" s="26">
        <v>0</v>
      </c>
      <c r="GH285" s="26">
        <v>0</v>
      </c>
      <c r="GI285" s="26">
        <v>0</v>
      </c>
      <c r="GJ285" s="26">
        <v>0</v>
      </c>
      <c r="GK285" s="26">
        <v>0</v>
      </c>
      <c r="GL285" s="26">
        <v>0</v>
      </c>
      <c r="GM285" s="26">
        <v>0</v>
      </c>
      <c r="GN285" s="26">
        <v>0</v>
      </c>
      <c r="GO285" s="26">
        <v>0</v>
      </c>
      <c r="GP285" s="26">
        <v>0</v>
      </c>
      <c r="GQ285" s="26">
        <v>0</v>
      </c>
      <c r="GR285" s="26">
        <v>0</v>
      </c>
      <c r="GS285" s="26">
        <v>0.44242311187271821</v>
      </c>
      <c r="GT285" s="26">
        <v>1.6643536133148289</v>
      </c>
      <c r="GU285" s="26">
        <v>0</v>
      </c>
      <c r="GV285" s="26">
        <v>0</v>
      </c>
      <c r="GW285" s="26">
        <v>0</v>
      </c>
      <c r="GX285" s="26">
        <v>0</v>
      </c>
      <c r="GY285" s="26">
        <v>0</v>
      </c>
      <c r="GZ285" s="26">
        <v>0</v>
      </c>
      <c r="HA285" s="26">
        <v>0</v>
      </c>
      <c r="HB285" s="26">
        <v>0</v>
      </c>
      <c r="HC285" s="26">
        <v>0</v>
      </c>
      <c r="HD285" s="26">
        <v>0</v>
      </c>
      <c r="HE285" s="26">
        <v>0</v>
      </c>
      <c r="HF285" s="26">
        <v>0</v>
      </c>
      <c r="HG285" s="26">
        <v>0</v>
      </c>
      <c r="HH285" s="26">
        <v>0</v>
      </c>
      <c r="HI285" s="26">
        <v>0</v>
      </c>
      <c r="HJ285" s="26">
        <v>0</v>
      </c>
      <c r="HK285" s="26">
        <v>0</v>
      </c>
      <c r="HL285" s="26">
        <v>0</v>
      </c>
      <c r="HM285" s="26">
        <v>0</v>
      </c>
      <c r="HN285" s="26">
        <v>0</v>
      </c>
      <c r="HO285" s="26">
        <v>0</v>
      </c>
      <c r="HP285" s="26">
        <v>0</v>
      </c>
      <c r="HQ285" s="26">
        <v>0</v>
      </c>
      <c r="HR285" s="26">
        <v>0</v>
      </c>
      <c r="HS285" s="26">
        <v>0</v>
      </c>
      <c r="HT285" s="26">
        <v>0</v>
      </c>
    </row>
    <row r="286" spans="2:228" x14ac:dyDescent="0.2">
      <c r="B286" s="27" t="s">
        <v>2427</v>
      </c>
      <c r="C286" s="26">
        <v>4504.1320500000002</v>
      </c>
      <c r="D286" s="26">
        <v>-12.311196300000001</v>
      </c>
      <c r="E286" s="26">
        <v>2252.1473799999999</v>
      </c>
      <c r="F286" s="26">
        <v>0</v>
      </c>
      <c r="G286" s="26">
        <v>0</v>
      </c>
      <c r="H286" s="26">
        <v>0</v>
      </c>
      <c r="I286" s="26">
        <v>0</v>
      </c>
      <c r="J286" s="26">
        <v>0</v>
      </c>
      <c r="K286" s="26">
        <v>0</v>
      </c>
      <c r="L286" s="26">
        <v>0</v>
      </c>
      <c r="M286" s="26">
        <v>0</v>
      </c>
      <c r="N286" s="26">
        <v>0</v>
      </c>
      <c r="O286" s="26">
        <v>0</v>
      </c>
      <c r="P286" s="26">
        <v>0</v>
      </c>
      <c r="Q286" s="26">
        <v>0</v>
      </c>
      <c r="R286" s="26">
        <v>0</v>
      </c>
      <c r="S286" s="26">
        <v>0</v>
      </c>
      <c r="T286" s="26">
        <v>0</v>
      </c>
      <c r="U286" s="26">
        <v>0</v>
      </c>
      <c r="V286" s="26">
        <v>0</v>
      </c>
      <c r="W286" s="26">
        <v>0</v>
      </c>
      <c r="X286" s="26">
        <v>0</v>
      </c>
      <c r="Y286" s="26">
        <v>0</v>
      </c>
      <c r="Z286" s="26">
        <v>0</v>
      </c>
      <c r="AA286" s="26">
        <v>0</v>
      </c>
      <c r="AB286" s="26">
        <v>0</v>
      </c>
      <c r="AC286" s="26">
        <v>0</v>
      </c>
      <c r="AD286" s="26">
        <v>0</v>
      </c>
      <c r="AE286" s="26">
        <v>0</v>
      </c>
      <c r="AF286" s="26">
        <v>0</v>
      </c>
      <c r="AG286" s="26">
        <v>0</v>
      </c>
      <c r="AH286" s="26">
        <v>0</v>
      </c>
      <c r="AI286" s="26">
        <v>2251.9846600000001</v>
      </c>
      <c r="AJ286" s="26">
        <v>0</v>
      </c>
      <c r="AK286" s="26">
        <v>0</v>
      </c>
      <c r="AL286" s="26">
        <v>0</v>
      </c>
      <c r="AM286" s="26">
        <v>0</v>
      </c>
      <c r="AN286" s="26">
        <v>0</v>
      </c>
      <c r="AO286" s="26">
        <v>0</v>
      </c>
      <c r="AP286" s="26">
        <v>0</v>
      </c>
      <c r="AQ286" s="26">
        <v>0</v>
      </c>
      <c r="AR286" s="26">
        <v>0</v>
      </c>
      <c r="AS286" s="26">
        <v>0</v>
      </c>
      <c r="AT286" s="26">
        <v>0</v>
      </c>
      <c r="AU286" s="26">
        <v>0</v>
      </c>
      <c r="AV286" s="26">
        <v>0</v>
      </c>
      <c r="AW286" s="26">
        <v>0</v>
      </c>
      <c r="AX286" s="26">
        <v>0</v>
      </c>
      <c r="AY286" s="26">
        <v>0</v>
      </c>
      <c r="AZ286" s="26">
        <v>0</v>
      </c>
      <c r="BA286" s="26">
        <v>0</v>
      </c>
      <c r="BB286" s="26">
        <v>0</v>
      </c>
      <c r="BC286" s="26">
        <v>0</v>
      </c>
      <c r="BD286" s="26">
        <v>0</v>
      </c>
      <c r="BE286" s="26">
        <v>0</v>
      </c>
      <c r="BF286" s="26">
        <v>0</v>
      </c>
      <c r="BG286" s="26">
        <v>0</v>
      </c>
      <c r="BH286" s="26">
        <v>0</v>
      </c>
      <c r="BI286" s="26">
        <v>0</v>
      </c>
      <c r="BJ286" s="26">
        <v>0</v>
      </c>
      <c r="BK286" s="26">
        <v>0</v>
      </c>
      <c r="BL286" s="26">
        <v>0</v>
      </c>
      <c r="BM286" s="26">
        <v>0</v>
      </c>
      <c r="BN286" s="26">
        <v>0</v>
      </c>
      <c r="BO286" s="26">
        <v>181.31686099999999</v>
      </c>
      <c r="BP286" s="26">
        <v>4504.1320500000002</v>
      </c>
      <c r="BQ286" s="26">
        <v>68.034836799999994</v>
      </c>
      <c r="BR286" s="26">
        <v>20.251764499999979</v>
      </c>
      <c r="BS286" s="26">
        <v>2</v>
      </c>
      <c r="BT286" s="26">
        <v>0</v>
      </c>
      <c r="BU286" s="26">
        <v>1</v>
      </c>
      <c r="BV286" s="26">
        <v>0</v>
      </c>
      <c r="BW286" s="26">
        <v>-67898.793900000004</v>
      </c>
      <c r="BX286" s="26">
        <v>-2733.3115600000001</v>
      </c>
      <c r="BY286" s="26">
        <v>-12.311196300000001</v>
      </c>
      <c r="BZ286" s="26">
        <v>-20.602984299999999</v>
      </c>
      <c r="CA286" s="26">
        <v>-0.82938697299999997</v>
      </c>
      <c r="CB286" s="26">
        <v>4.4417651200000005E-2</v>
      </c>
      <c r="CC286" s="26">
        <v>1.1033886500000001</v>
      </c>
      <c r="CD286" s="26">
        <v>24.84122</v>
      </c>
      <c r="CE286" s="26">
        <v>57.182575100000001</v>
      </c>
      <c r="CF286" s="26">
        <v>0</v>
      </c>
      <c r="CG286" s="26">
        <v>0</v>
      </c>
      <c r="CH286" s="26">
        <v>0</v>
      </c>
      <c r="CI286" s="26">
        <v>0</v>
      </c>
      <c r="CJ286" s="26">
        <v>0</v>
      </c>
      <c r="CK286" s="26">
        <v>0</v>
      </c>
      <c r="CL286" s="26">
        <v>0</v>
      </c>
      <c r="CM286" s="26">
        <v>0</v>
      </c>
      <c r="CN286" s="26">
        <v>0</v>
      </c>
      <c r="CO286" s="26">
        <v>0</v>
      </c>
      <c r="CP286" s="26">
        <v>0</v>
      </c>
      <c r="CQ286" s="26">
        <v>0</v>
      </c>
      <c r="CR286" s="26">
        <v>0</v>
      </c>
      <c r="CS286" s="26">
        <v>0</v>
      </c>
      <c r="CT286" s="26">
        <v>0</v>
      </c>
      <c r="CU286" s="26">
        <v>0</v>
      </c>
      <c r="CV286" s="26">
        <v>0</v>
      </c>
      <c r="CW286" s="26">
        <v>0</v>
      </c>
      <c r="CX286" s="26">
        <v>0</v>
      </c>
      <c r="CY286" s="26">
        <v>0</v>
      </c>
      <c r="CZ286" s="26">
        <v>0</v>
      </c>
      <c r="DA286" s="26">
        <v>0</v>
      </c>
      <c r="DB286" s="26">
        <v>0</v>
      </c>
      <c r="DC286" s="26">
        <v>0</v>
      </c>
      <c r="DD286" s="26">
        <v>0</v>
      </c>
      <c r="DE286" s="26">
        <v>0</v>
      </c>
      <c r="DF286" s="26">
        <v>0</v>
      </c>
      <c r="DG286" s="26">
        <v>0</v>
      </c>
      <c r="DH286" s="26">
        <v>0</v>
      </c>
      <c r="DI286" s="26">
        <v>0</v>
      </c>
      <c r="DJ286" s="26">
        <v>0</v>
      </c>
      <c r="DK286" s="26">
        <v>0</v>
      </c>
      <c r="DL286" s="26">
        <v>0</v>
      </c>
      <c r="DM286" s="26">
        <v>0</v>
      </c>
      <c r="DN286" s="26">
        <v>0</v>
      </c>
      <c r="DO286" s="26">
        <v>0</v>
      </c>
      <c r="DP286" s="26">
        <v>0</v>
      </c>
      <c r="DQ286" s="26">
        <v>0</v>
      </c>
      <c r="DR286" s="26">
        <v>0</v>
      </c>
      <c r="DS286" s="26">
        <v>0</v>
      </c>
      <c r="DT286" s="26">
        <v>0</v>
      </c>
      <c r="DU286" s="26">
        <v>0</v>
      </c>
      <c r="DV286" s="26">
        <v>0</v>
      </c>
      <c r="DW286" s="26">
        <v>0</v>
      </c>
      <c r="DX286" s="26">
        <v>0</v>
      </c>
      <c r="DY286" s="26">
        <v>0</v>
      </c>
      <c r="DZ286" s="26">
        <v>0</v>
      </c>
      <c r="EA286" s="26">
        <v>0</v>
      </c>
      <c r="EB286" s="26">
        <v>0</v>
      </c>
      <c r="EC286" s="26">
        <v>0</v>
      </c>
      <c r="ED286" s="26">
        <v>0</v>
      </c>
      <c r="EE286" s="26">
        <v>0</v>
      </c>
      <c r="EF286" s="26">
        <v>0</v>
      </c>
      <c r="EG286" s="26">
        <v>0</v>
      </c>
      <c r="EH286" s="26">
        <v>0</v>
      </c>
      <c r="EI286" s="26">
        <v>0</v>
      </c>
      <c r="EJ286" s="26">
        <v>0</v>
      </c>
      <c r="EK286" s="26">
        <v>0</v>
      </c>
      <c r="EL286" s="26">
        <v>0</v>
      </c>
      <c r="EM286" s="26">
        <v>0</v>
      </c>
      <c r="EN286" s="26">
        <v>0</v>
      </c>
      <c r="EO286" s="26">
        <v>0</v>
      </c>
      <c r="EP286" s="26">
        <v>0</v>
      </c>
      <c r="EQ286" s="26">
        <v>0</v>
      </c>
      <c r="ER286" s="26">
        <v>0</v>
      </c>
      <c r="ES286" s="26">
        <v>0</v>
      </c>
      <c r="ET286" s="26">
        <v>2</v>
      </c>
      <c r="EU286" s="26">
        <v>0</v>
      </c>
      <c r="EV286" s="26">
        <v>0</v>
      </c>
      <c r="EW286" s="26">
        <v>0</v>
      </c>
      <c r="EX286" s="26">
        <v>0</v>
      </c>
      <c r="EY286" s="26">
        <v>0</v>
      </c>
      <c r="EZ286" s="26">
        <v>0</v>
      </c>
      <c r="FA286" s="26">
        <v>0</v>
      </c>
      <c r="FB286" s="26">
        <v>0</v>
      </c>
      <c r="FC286" s="26">
        <v>0</v>
      </c>
      <c r="FD286" s="26">
        <v>0</v>
      </c>
      <c r="FE286" s="26">
        <v>0</v>
      </c>
      <c r="FF286" s="26">
        <v>0</v>
      </c>
      <c r="FG286" s="26">
        <v>0</v>
      </c>
      <c r="FH286" s="26">
        <v>-14310544.271600001</v>
      </c>
      <c r="FI286" s="26">
        <v>0</v>
      </c>
      <c r="FJ286" s="26">
        <v>0</v>
      </c>
      <c r="FK286" s="26">
        <v>0</v>
      </c>
      <c r="FL286" s="26">
        <v>0</v>
      </c>
      <c r="FM286" s="26">
        <v>0</v>
      </c>
      <c r="FN286" s="26">
        <v>0</v>
      </c>
      <c r="FO286" s="26">
        <v>0</v>
      </c>
      <c r="FP286" s="26">
        <v>0</v>
      </c>
      <c r="FQ286" s="26">
        <v>0</v>
      </c>
      <c r="FR286" s="26">
        <v>0</v>
      </c>
      <c r="FS286" s="26">
        <v>0</v>
      </c>
      <c r="FT286" s="26">
        <v>0</v>
      </c>
      <c r="FU286" s="26">
        <v>0</v>
      </c>
      <c r="FV286" s="26">
        <v>0</v>
      </c>
      <c r="FW286" s="26">
        <v>0</v>
      </c>
      <c r="FX286" s="26">
        <v>0</v>
      </c>
      <c r="FY286" s="26">
        <v>0</v>
      </c>
      <c r="FZ286" s="26">
        <v>0</v>
      </c>
      <c r="GA286" s="26">
        <v>0</v>
      </c>
      <c r="GB286" s="26">
        <v>0</v>
      </c>
      <c r="GC286" s="26">
        <v>0</v>
      </c>
      <c r="GD286" s="26">
        <v>0</v>
      </c>
      <c r="GE286" s="26">
        <v>0</v>
      </c>
      <c r="GF286" s="26">
        <v>0</v>
      </c>
      <c r="GG286" s="26">
        <v>0</v>
      </c>
      <c r="GH286" s="26">
        <v>0</v>
      </c>
      <c r="GI286" s="26">
        <v>0</v>
      </c>
      <c r="GJ286" s="26">
        <v>0</v>
      </c>
      <c r="GK286" s="26">
        <v>0</v>
      </c>
      <c r="GL286" s="26">
        <v>0</v>
      </c>
      <c r="GM286" s="26">
        <v>0</v>
      </c>
      <c r="GN286" s="26">
        <v>0</v>
      </c>
      <c r="GO286" s="26">
        <v>0</v>
      </c>
      <c r="GP286" s="26">
        <v>0</v>
      </c>
      <c r="GQ286" s="26">
        <v>0</v>
      </c>
      <c r="GR286" s="26">
        <v>0</v>
      </c>
      <c r="GS286" s="26">
        <v>0</v>
      </c>
      <c r="GT286" s="26">
        <v>0</v>
      </c>
      <c r="GU286" s="26">
        <v>0</v>
      </c>
      <c r="GV286" s="26">
        <v>0</v>
      </c>
      <c r="GW286" s="26">
        <v>0</v>
      </c>
      <c r="GX286" s="26">
        <v>0</v>
      </c>
      <c r="GY286" s="26">
        <v>0</v>
      </c>
      <c r="GZ286" s="26">
        <v>0</v>
      </c>
      <c r="HA286" s="26">
        <v>0</v>
      </c>
      <c r="HB286" s="26">
        <v>0</v>
      </c>
      <c r="HC286" s="26">
        <v>0</v>
      </c>
      <c r="HD286" s="26">
        <v>0</v>
      </c>
      <c r="HE286" s="26">
        <v>0</v>
      </c>
      <c r="HF286" s="26">
        <v>0</v>
      </c>
      <c r="HG286" s="26">
        <v>0</v>
      </c>
      <c r="HH286" s="26">
        <v>0</v>
      </c>
      <c r="HI286" s="26">
        <v>0</v>
      </c>
      <c r="HJ286" s="26">
        <v>0</v>
      </c>
      <c r="HK286" s="26">
        <v>0</v>
      </c>
      <c r="HL286" s="26">
        <v>0</v>
      </c>
      <c r="HM286" s="26">
        <v>0</v>
      </c>
      <c r="HN286" s="26">
        <v>0</v>
      </c>
      <c r="HO286" s="26">
        <v>0</v>
      </c>
      <c r="HP286" s="26">
        <v>0</v>
      </c>
      <c r="HQ286" s="26">
        <v>0</v>
      </c>
      <c r="HR286" s="26">
        <v>0</v>
      </c>
      <c r="HS286" s="26">
        <v>0</v>
      </c>
      <c r="HT286" s="26">
        <v>0</v>
      </c>
    </row>
    <row r="287" spans="2:228" x14ac:dyDescent="0.2">
      <c r="B287" s="27" t="s">
        <v>2592</v>
      </c>
      <c r="C287" s="26">
        <v>56178.078600000001</v>
      </c>
      <c r="D287" s="26">
        <v>-211.01840000000001</v>
      </c>
      <c r="E287" s="26">
        <v>55777.8753</v>
      </c>
      <c r="F287" s="26">
        <v>12.5423323</v>
      </c>
      <c r="G287" s="26">
        <v>1.03377985E-4</v>
      </c>
      <c r="H287" s="26">
        <v>3.46953888E-5</v>
      </c>
      <c r="I287" s="26">
        <v>1.4557505800000002E-5</v>
      </c>
      <c r="J287" s="26">
        <v>7.7316213700000013E-3</v>
      </c>
      <c r="K287" s="26">
        <v>9.4220476199999986E-4</v>
      </c>
      <c r="L287" s="26">
        <v>0</v>
      </c>
      <c r="M287" s="26">
        <v>0</v>
      </c>
      <c r="N287" s="26">
        <v>2.4779725299999999E-6</v>
      </c>
      <c r="O287" s="26">
        <v>8.0878753699999999E-7</v>
      </c>
      <c r="P287" s="26">
        <v>3.3935141400000003E-7</v>
      </c>
      <c r="Q287" s="26">
        <v>1.8143607999999999E-4</v>
      </c>
      <c r="R287" s="26">
        <v>2.2110490099999999E-5</v>
      </c>
      <c r="S287" s="26">
        <v>3.5548886100000002E-4</v>
      </c>
      <c r="T287" s="26">
        <v>9.14244689E-2</v>
      </c>
      <c r="U287" s="26">
        <v>1.0530895199999999</v>
      </c>
      <c r="V287" s="26">
        <v>327.77597600000001</v>
      </c>
      <c r="W287" s="26">
        <v>58.335082300000003</v>
      </c>
      <c r="X287" s="26">
        <v>1.34664735E-3</v>
      </c>
      <c r="Y287" s="26">
        <v>0</v>
      </c>
      <c r="Z287" s="26">
        <v>1.12365955E-7</v>
      </c>
      <c r="AA287" s="26">
        <v>4.4536799599999999E-8</v>
      </c>
      <c r="AB287" s="26">
        <v>1.27096445E-8</v>
      </c>
      <c r="AC287" s="26">
        <v>6.8071378000000002E-2</v>
      </c>
      <c r="AD287" s="26">
        <v>0</v>
      </c>
      <c r="AE287" s="26">
        <v>0</v>
      </c>
      <c r="AF287" s="26">
        <v>0</v>
      </c>
      <c r="AG287" s="26">
        <v>0</v>
      </c>
      <c r="AH287" s="26">
        <v>0</v>
      </c>
      <c r="AI287" s="26">
        <v>0</v>
      </c>
      <c r="AJ287" s="26">
        <v>0</v>
      </c>
      <c r="AK287" s="26">
        <v>0</v>
      </c>
      <c r="AL287" s="26">
        <v>0</v>
      </c>
      <c r="AM287" s="26">
        <v>0</v>
      </c>
      <c r="AN287" s="26">
        <v>0.11970423400000002</v>
      </c>
      <c r="AO287" s="26">
        <v>0.20687404600000001</v>
      </c>
      <c r="AP287" s="26">
        <v>0</v>
      </c>
      <c r="AQ287" s="26">
        <v>0</v>
      </c>
      <c r="AR287" s="26">
        <v>0</v>
      </c>
      <c r="AS287" s="26">
        <v>0</v>
      </c>
      <c r="AT287" s="26">
        <v>0</v>
      </c>
      <c r="AU287" s="26">
        <v>0</v>
      </c>
      <c r="AV287" s="26">
        <v>0</v>
      </c>
      <c r="AW287" s="26">
        <v>0</v>
      </c>
      <c r="AX287" s="26">
        <v>0</v>
      </c>
      <c r="AY287" s="26">
        <v>0</v>
      </c>
      <c r="AZ287" s="26">
        <v>0</v>
      </c>
      <c r="BA287" s="26">
        <v>0</v>
      </c>
      <c r="BB287" s="26">
        <v>0</v>
      </c>
      <c r="BC287" s="26">
        <v>0</v>
      </c>
      <c r="BD287" s="26">
        <v>0</v>
      </c>
      <c r="BE287" s="26">
        <v>0</v>
      </c>
      <c r="BF287" s="26">
        <v>0</v>
      </c>
      <c r="BG287" s="26">
        <v>0</v>
      </c>
      <c r="BH287" s="26">
        <v>0</v>
      </c>
      <c r="BI287" s="26">
        <v>0</v>
      </c>
      <c r="BJ287" s="26">
        <v>0</v>
      </c>
      <c r="BK287" s="26">
        <v>0</v>
      </c>
      <c r="BL287" s="26">
        <v>0</v>
      </c>
      <c r="BM287" s="26">
        <v>0</v>
      </c>
      <c r="BN287" s="26">
        <v>0</v>
      </c>
      <c r="BO287" s="26">
        <v>3100.8183600000002</v>
      </c>
      <c r="BP287" s="26">
        <v>56178.078600000001</v>
      </c>
      <c r="BQ287" s="26">
        <v>950.38705600000003</v>
      </c>
      <c r="BR287" s="26">
        <v>35</v>
      </c>
      <c r="BS287" s="26">
        <v>1</v>
      </c>
      <c r="BT287" s="26">
        <v>0</v>
      </c>
      <c r="BU287" s="26">
        <v>1</v>
      </c>
      <c r="BV287" s="26">
        <v>0</v>
      </c>
      <c r="BW287" s="26">
        <v>-68052.4859</v>
      </c>
      <c r="BX287" s="26">
        <v>-3756.2409200000002</v>
      </c>
      <c r="BY287" s="26">
        <v>-211.01840000000001</v>
      </c>
      <c r="BZ287" s="26">
        <v>-38.322299200000003</v>
      </c>
      <c r="CA287" s="26">
        <v>-2.1152465899999999</v>
      </c>
      <c r="CB287" s="26">
        <v>5.4378166399999997E-2</v>
      </c>
      <c r="CC287" s="26">
        <v>0.98517892699999998</v>
      </c>
      <c r="CD287" s="26">
        <v>18.1171781</v>
      </c>
      <c r="CE287" s="26">
        <v>937.37142400000005</v>
      </c>
      <c r="CF287" s="26">
        <v>0</v>
      </c>
      <c r="CG287" s="26">
        <v>0</v>
      </c>
      <c r="CH287" s="26">
        <v>0</v>
      </c>
      <c r="CI287" s="26">
        <v>0</v>
      </c>
      <c r="CJ287" s="26">
        <v>0</v>
      </c>
      <c r="CK287" s="26">
        <v>0</v>
      </c>
      <c r="CL287" s="26">
        <v>0</v>
      </c>
      <c r="CM287" s="26">
        <v>0</v>
      </c>
      <c r="CN287" s="26">
        <v>0</v>
      </c>
      <c r="CO287" s="26">
        <v>0</v>
      </c>
      <c r="CP287" s="26">
        <v>0</v>
      </c>
      <c r="CQ287" s="26">
        <v>0</v>
      </c>
      <c r="CR287" s="26">
        <v>0</v>
      </c>
      <c r="CS287" s="26">
        <v>0</v>
      </c>
      <c r="CT287" s="26">
        <v>0</v>
      </c>
      <c r="CU287" s="26">
        <v>0</v>
      </c>
      <c r="CV287" s="26">
        <v>0</v>
      </c>
      <c r="CW287" s="26">
        <v>0</v>
      </c>
      <c r="CX287" s="26">
        <v>0</v>
      </c>
      <c r="CY287" s="26">
        <v>0</v>
      </c>
      <c r="CZ287" s="26">
        <v>0</v>
      </c>
      <c r="DA287" s="26">
        <v>0</v>
      </c>
      <c r="DB287" s="26">
        <v>0</v>
      </c>
      <c r="DC287" s="26">
        <v>0</v>
      </c>
      <c r="DD287" s="26">
        <v>0</v>
      </c>
      <c r="DE287" s="26">
        <v>0</v>
      </c>
      <c r="DF287" s="26">
        <v>0</v>
      </c>
      <c r="DG287" s="26">
        <v>0</v>
      </c>
      <c r="DH287" s="26">
        <v>0</v>
      </c>
      <c r="DI287" s="26">
        <v>0</v>
      </c>
      <c r="DJ287" s="26">
        <v>0</v>
      </c>
      <c r="DK287" s="26">
        <v>0</v>
      </c>
      <c r="DL287" s="26">
        <v>0</v>
      </c>
      <c r="DM287" s="26">
        <v>0</v>
      </c>
      <c r="DN287" s="26">
        <v>0</v>
      </c>
      <c r="DO287" s="26">
        <v>0</v>
      </c>
      <c r="DP287" s="26">
        <v>0</v>
      </c>
      <c r="DQ287" s="26">
        <v>0</v>
      </c>
      <c r="DR287" s="26">
        <v>0</v>
      </c>
      <c r="DS287" s="26">
        <v>0</v>
      </c>
      <c r="DT287" s="26">
        <v>0</v>
      </c>
      <c r="DU287" s="26">
        <v>0</v>
      </c>
      <c r="DV287" s="26">
        <v>0</v>
      </c>
      <c r="DW287" s="26">
        <v>0</v>
      </c>
      <c r="DX287" s="26">
        <v>0</v>
      </c>
      <c r="DY287" s="26">
        <v>0</v>
      </c>
      <c r="DZ287" s="26">
        <v>0</v>
      </c>
      <c r="EA287" s="26">
        <v>0</v>
      </c>
      <c r="EB287" s="26">
        <v>0</v>
      </c>
      <c r="EC287" s="26">
        <v>0</v>
      </c>
      <c r="ED287" s="26">
        <v>0</v>
      </c>
      <c r="EE287" s="26">
        <v>0</v>
      </c>
      <c r="EF287" s="26">
        <v>0</v>
      </c>
      <c r="EG287" s="26">
        <v>0</v>
      </c>
      <c r="EH287" s="26">
        <v>0</v>
      </c>
      <c r="EI287" s="26">
        <v>0</v>
      </c>
      <c r="EJ287" s="26">
        <v>0</v>
      </c>
      <c r="EK287" s="26">
        <v>0</v>
      </c>
      <c r="EL287" s="26">
        <v>0</v>
      </c>
      <c r="EM287" s="26">
        <v>0</v>
      </c>
      <c r="EN287" s="26">
        <v>0</v>
      </c>
      <c r="EO287" s="26">
        <v>0</v>
      </c>
      <c r="EP287" s="26">
        <v>0</v>
      </c>
      <c r="EQ287" s="26">
        <v>0</v>
      </c>
      <c r="ER287" s="26">
        <v>0</v>
      </c>
      <c r="ES287" s="26">
        <v>0</v>
      </c>
      <c r="ET287" s="26">
        <v>1</v>
      </c>
      <c r="EU287" s="26">
        <v>0</v>
      </c>
      <c r="EV287" s="26">
        <v>0</v>
      </c>
      <c r="EW287" s="26">
        <v>0</v>
      </c>
      <c r="EX287" s="26">
        <v>0</v>
      </c>
      <c r="EY287" s="26">
        <v>0</v>
      </c>
      <c r="EZ287" s="26">
        <v>0</v>
      </c>
      <c r="FA287" s="26">
        <v>0</v>
      </c>
      <c r="FB287" s="26">
        <v>0</v>
      </c>
      <c r="FC287" s="26">
        <v>0</v>
      </c>
      <c r="FD287" s="26">
        <v>0</v>
      </c>
      <c r="FE287" s="26">
        <v>0</v>
      </c>
      <c r="FF287" s="26">
        <v>0</v>
      </c>
      <c r="FG287" s="26">
        <v>1.1319197499999999E-2</v>
      </c>
      <c r="FH287" s="26">
        <v>-246014710.72499999</v>
      </c>
      <c r="FI287" s="26">
        <v>5.4441764879978559E-3</v>
      </c>
      <c r="FJ287" s="26">
        <v>0</v>
      </c>
      <c r="FK287" s="26">
        <v>0</v>
      </c>
      <c r="FL287" s="26">
        <v>0</v>
      </c>
      <c r="FM287" s="26">
        <v>0</v>
      </c>
      <c r="FN287" s="26">
        <v>0</v>
      </c>
      <c r="FO287" s="26">
        <v>0</v>
      </c>
      <c r="FP287" s="26">
        <v>0</v>
      </c>
      <c r="FQ287" s="26">
        <v>0</v>
      </c>
      <c r="FR287" s="26">
        <v>0</v>
      </c>
      <c r="FS287" s="26">
        <v>0</v>
      </c>
      <c r="FT287" s="26">
        <v>0</v>
      </c>
      <c r="FU287" s="26">
        <v>0</v>
      </c>
      <c r="FV287" s="26">
        <v>0</v>
      </c>
      <c r="FW287" s="26">
        <v>0</v>
      </c>
      <c r="FX287" s="26">
        <v>0</v>
      </c>
      <c r="FY287" s="26">
        <v>0</v>
      </c>
      <c r="FZ287" s="26">
        <v>0</v>
      </c>
      <c r="GA287" s="26">
        <v>0</v>
      </c>
      <c r="GB287" s="26">
        <v>0</v>
      </c>
      <c r="GC287" s="26">
        <v>0</v>
      </c>
      <c r="GD287" s="26">
        <v>0</v>
      </c>
      <c r="GE287" s="26">
        <v>0</v>
      </c>
      <c r="GF287" s="26">
        <v>0</v>
      </c>
      <c r="GG287" s="26">
        <v>0</v>
      </c>
      <c r="GH287" s="26">
        <v>0</v>
      </c>
      <c r="GI287" s="26">
        <v>0</v>
      </c>
      <c r="GJ287" s="26">
        <v>0</v>
      </c>
      <c r="GK287" s="26">
        <v>0</v>
      </c>
      <c r="GL287" s="26">
        <v>0</v>
      </c>
      <c r="GM287" s="26">
        <v>0</v>
      </c>
      <c r="GN287" s="26">
        <v>0</v>
      </c>
      <c r="GO287" s="26">
        <v>0</v>
      </c>
      <c r="GP287" s="26">
        <v>0</v>
      </c>
      <c r="GQ287" s="26">
        <v>0</v>
      </c>
      <c r="GR287" s="26">
        <v>0</v>
      </c>
      <c r="GS287" s="26">
        <v>0</v>
      </c>
      <c r="GT287" s="26">
        <v>0</v>
      </c>
      <c r="GU287" s="26">
        <v>0</v>
      </c>
      <c r="GV287" s="26">
        <v>0</v>
      </c>
      <c r="GW287" s="26">
        <v>0</v>
      </c>
      <c r="GX287" s="26">
        <v>0</v>
      </c>
      <c r="GY287" s="26">
        <v>0</v>
      </c>
      <c r="GZ287" s="26">
        <v>0</v>
      </c>
      <c r="HA287" s="26">
        <v>0</v>
      </c>
      <c r="HB287" s="26">
        <v>0</v>
      </c>
      <c r="HC287" s="26">
        <v>0</v>
      </c>
      <c r="HD287" s="26">
        <v>0</v>
      </c>
      <c r="HE287" s="26">
        <v>0</v>
      </c>
      <c r="HF287" s="26">
        <v>0</v>
      </c>
      <c r="HG287" s="26">
        <v>0</v>
      </c>
      <c r="HH287" s="26">
        <v>0</v>
      </c>
      <c r="HI287" s="26">
        <v>0</v>
      </c>
      <c r="HJ287" s="26">
        <v>0</v>
      </c>
      <c r="HK287" s="26">
        <v>0</v>
      </c>
      <c r="HL287" s="26">
        <v>0</v>
      </c>
      <c r="HM287" s="26">
        <v>0</v>
      </c>
      <c r="HN287" s="26">
        <v>0</v>
      </c>
      <c r="HO287" s="26">
        <v>0</v>
      </c>
      <c r="HP287" s="26">
        <v>0</v>
      </c>
      <c r="HQ287" s="26">
        <v>0</v>
      </c>
      <c r="HR287" s="26">
        <v>0</v>
      </c>
      <c r="HS287" s="26">
        <v>0</v>
      </c>
      <c r="HT287" s="26">
        <v>0</v>
      </c>
    </row>
    <row r="288" spans="2:228" x14ac:dyDescent="0.2">
      <c r="B288" s="27" t="s">
        <v>3351</v>
      </c>
      <c r="C288" s="26">
        <v>4504.1320500000002</v>
      </c>
      <c r="D288" s="26">
        <v>-12.311530400000001</v>
      </c>
      <c r="E288" s="26">
        <v>2252.1473799999999</v>
      </c>
      <c r="F288" s="26">
        <v>0</v>
      </c>
      <c r="G288" s="26">
        <v>0</v>
      </c>
      <c r="H288" s="26">
        <v>0</v>
      </c>
      <c r="I288" s="26">
        <v>0</v>
      </c>
      <c r="J288" s="26">
        <v>0</v>
      </c>
      <c r="K288" s="26">
        <v>0</v>
      </c>
      <c r="L288" s="26">
        <v>0</v>
      </c>
      <c r="M288" s="26">
        <v>0</v>
      </c>
      <c r="N288" s="26">
        <v>0</v>
      </c>
      <c r="O288" s="26">
        <v>0</v>
      </c>
      <c r="P288" s="26">
        <v>0</v>
      </c>
      <c r="Q288" s="26">
        <v>0</v>
      </c>
      <c r="R288" s="26">
        <v>0</v>
      </c>
      <c r="S288" s="26">
        <v>0</v>
      </c>
      <c r="T288" s="26">
        <v>0</v>
      </c>
      <c r="U288" s="26">
        <v>0</v>
      </c>
      <c r="V288" s="26">
        <v>0</v>
      </c>
      <c r="W288" s="26">
        <v>0</v>
      </c>
      <c r="X288" s="26">
        <v>0</v>
      </c>
      <c r="Y288" s="26">
        <v>0</v>
      </c>
      <c r="Z288" s="26">
        <v>0</v>
      </c>
      <c r="AA288" s="26">
        <v>0</v>
      </c>
      <c r="AB288" s="26">
        <v>0</v>
      </c>
      <c r="AC288" s="26">
        <v>0</v>
      </c>
      <c r="AD288" s="26">
        <v>0</v>
      </c>
      <c r="AE288" s="26">
        <v>0</v>
      </c>
      <c r="AF288" s="26">
        <v>0</v>
      </c>
      <c r="AG288" s="26">
        <v>0</v>
      </c>
      <c r="AH288" s="26">
        <v>0</v>
      </c>
      <c r="AI288" s="26">
        <v>2251.9846600000001</v>
      </c>
      <c r="AJ288" s="26">
        <v>0</v>
      </c>
      <c r="AK288" s="26">
        <v>0</v>
      </c>
      <c r="AL288" s="26">
        <v>0</v>
      </c>
      <c r="AM288" s="26">
        <v>0</v>
      </c>
      <c r="AN288" s="26">
        <v>0</v>
      </c>
      <c r="AO288" s="26">
        <v>0</v>
      </c>
      <c r="AP288" s="26">
        <v>0</v>
      </c>
      <c r="AQ288" s="26">
        <v>0</v>
      </c>
      <c r="AR288" s="26">
        <v>0</v>
      </c>
      <c r="AS288" s="26">
        <v>0</v>
      </c>
      <c r="AT288" s="26">
        <v>0</v>
      </c>
      <c r="AU288" s="26">
        <v>0</v>
      </c>
      <c r="AV288" s="26">
        <v>0</v>
      </c>
      <c r="AW288" s="26">
        <v>0</v>
      </c>
      <c r="AX288" s="26">
        <v>0</v>
      </c>
      <c r="AY288" s="26">
        <v>0</v>
      </c>
      <c r="AZ288" s="26">
        <v>0</v>
      </c>
      <c r="BA288" s="26">
        <v>0</v>
      </c>
      <c r="BB288" s="26">
        <v>0</v>
      </c>
      <c r="BC288" s="26">
        <v>0</v>
      </c>
      <c r="BD288" s="26">
        <v>0</v>
      </c>
      <c r="BE288" s="26">
        <v>0</v>
      </c>
      <c r="BF288" s="26">
        <v>0</v>
      </c>
      <c r="BG288" s="26">
        <v>0</v>
      </c>
      <c r="BH288" s="26">
        <v>0</v>
      </c>
      <c r="BI288" s="26">
        <v>0</v>
      </c>
      <c r="BJ288" s="26">
        <v>0</v>
      </c>
      <c r="BK288" s="26">
        <v>0</v>
      </c>
      <c r="BL288" s="26">
        <v>0</v>
      </c>
      <c r="BM288" s="26">
        <v>0</v>
      </c>
      <c r="BN288" s="26">
        <v>0</v>
      </c>
      <c r="BO288" s="26">
        <v>181.31686099999999</v>
      </c>
      <c r="BP288" s="26">
        <v>4504.1320500000002</v>
      </c>
      <c r="BQ288" s="26">
        <v>68.029953500000005</v>
      </c>
      <c r="BR288" s="26">
        <v>20</v>
      </c>
      <c r="BS288" s="26">
        <v>1</v>
      </c>
      <c r="BT288" s="26">
        <v>0</v>
      </c>
      <c r="BU288" s="26">
        <v>1</v>
      </c>
      <c r="BV288" s="26">
        <v>0</v>
      </c>
      <c r="BW288" s="26">
        <v>-67900.636599999998</v>
      </c>
      <c r="BX288" s="26">
        <v>-2733.3857400000002</v>
      </c>
      <c r="BY288" s="26">
        <v>-12.311530400000001</v>
      </c>
      <c r="BZ288" s="26">
        <v>-20.602258800000001</v>
      </c>
      <c r="CA288" s="26">
        <v>-0.82935776900000002</v>
      </c>
      <c r="CB288" s="26">
        <v>4.4420839599999998E-2</v>
      </c>
      <c r="CC288" s="26">
        <v>1.1034678499999999</v>
      </c>
      <c r="CD288" s="26">
        <v>24.84122</v>
      </c>
      <c r="CE288" s="26">
        <v>57.182575100000001</v>
      </c>
      <c r="CF288" s="26">
        <v>0</v>
      </c>
      <c r="CG288" s="26">
        <v>0</v>
      </c>
      <c r="CH288" s="26">
        <v>0</v>
      </c>
      <c r="CI288" s="26">
        <v>0</v>
      </c>
      <c r="CJ288" s="26">
        <v>0</v>
      </c>
      <c r="CK288" s="26">
        <v>0</v>
      </c>
      <c r="CL288" s="26">
        <v>0</v>
      </c>
      <c r="CM288" s="26">
        <v>0</v>
      </c>
      <c r="CN288" s="26">
        <v>0</v>
      </c>
      <c r="CO288" s="26">
        <v>0</v>
      </c>
      <c r="CP288" s="26">
        <v>0</v>
      </c>
      <c r="CQ288" s="26">
        <v>0</v>
      </c>
      <c r="CR288" s="26">
        <v>0</v>
      </c>
      <c r="CS288" s="26">
        <v>0</v>
      </c>
      <c r="CT288" s="26">
        <v>0</v>
      </c>
      <c r="CU288" s="26">
        <v>0</v>
      </c>
      <c r="CV288" s="26">
        <v>0</v>
      </c>
      <c r="CW288" s="26">
        <v>0</v>
      </c>
      <c r="CX288" s="26">
        <v>0</v>
      </c>
      <c r="CY288" s="26">
        <v>0</v>
      </c>
      <c r="CZ288" s="26">
        <v>0</v>
      </c>
      <c r="DA288" s="26">
        <v>0</v>
      </c>
      <c r="DB288" s="26">
        <v>0</v>
      </c>
      <c r="DC288" s="26">
        <v>0</v>
      </c>
      <c r="DD288" s="26">
        <v>0</v>
      </c>
      <c r="DE288" s="26">
        <v>0</v>
      </c>
      <c r="DF288" s="26">
        <v>0</v>
      </c>
      <c r="DG288" s="26">
        <v>0</v>
      </c>
      <c r="DH288" s="26">
        <v>0</v>
      </c>
      <c r="DI288" s="26">
        <v>0</v>
      </c>
      <c r="DJ288" s="26">
        <v>0</v>
      </c>
      <c r="DK288" s="26">
        <v>0</v>
      </c>
      <c r="DL288" s="26">
        <v>0</v>
      </c>
      <c r="DM288" s="26">
        <v>0</v>
      </c>
      <c r="DN288" s="26">
        <v>0</v>
      </c>
      <c r="DO288" s="26">
        <v>0</v>
      </c>
      <c r="DP288" s="26">
        <v>0</v>
      </c>
      <c r="DQ288" s="26">
        <v>0</v>
      </c>
      <c r="DR288" s="26">
        <v>0</v>
      </c>
      <c r="DS288" s="26">
        <v>0</v>
      </c>
      <c r="DT288" s="26">
        <v>0</v>
      </c>
      <c r="DU288" s="26">
        <v>0</v>
      </c>
      <c r="DV288" s="26">
        <v>0</v>
      </c>
      <c r="DW288" s="26">
        <v>0</v>
      </c>
      <c r="DX288" s="26">
        <v>0</v>
      </c>
      <c r="DY288" s="26">
        <v>0</v>
      </c>
      <c r="DZ288" s="26">
        <v>0</v>
      </c>
      <c r="EA288" s="26">
        <v>0</v>
      </c>
      <c r="EB288" s="26">
        <v>0</v>
      </c>
      <c r="EC288" s="26">
        <v>0</v>
      </c>
      <c r="ED288" s="26">
        <v>0</v>
      </c>
      <c r="EE288" s="26">
        <v>0</v>
      </c>
      <c r="EF288" s="26">
        <v>0</v>
      </c>
      <c r="EG288" s="26">
        <v>0</v>
      </c>
      <c r="EH288" s="26">
        <v>0</v>
      </c>
      <c r="EI288" s="26">
        <v>0</v>
      </c>
      <c r="EJ288" s="26">
        <v>0</v>
      </c>
      <c r="EK288" s="26">
        <v>0</v>
      </c>
      <c r="EL288" s="26">
        <v>0</v>
      </c>
      <c r="EM288" s="26">
        <v>0</v>
      </c>
      <c r="EN288" s="26">
        <v>0</v>
      </c>
      <c r="EO288" s="26">
        <v>0</v>
      </c>
      <c r="EP288" s="26">
        <v>0</v>
      </c>
      <c r="EQ288" s="26">
        <v>0</v>
      </c>
      <c r="ER288" s="26">
        <v>0</v>
      </c>
      <c r="ES288" s="26">
        <v>0</v>
      </c>
      <c r="ET288" s="26">
        <v>1</v>
      </c>
      <c r="EU288" s="26">
        <v>0</v>
      </c>
      <c r="EV288" s="26">
        <v>0</v>
      </c>
      <c r="EW288" s="26">
        <v>0</v>
      </c>
      <c r="EX288" s="26">
        <v>0</v>
      </c>
      <c r="EY288" s="26">
        <v>0</v>
      </c>
      <c r="EZ288" s="26">
        <v>0</v>
      </c>
      <c r="FA288" s="26">
        <v>0</v>
      </c>
      <c r="FB288" s="26">
        <v>0</v>
      </c>
      <c r="FC288" s="26">
        <v>0</v>
      </c>
      <c r="FD288" s="26">
        <v>0</v>
      </c>
      <c r="FE288" s="26">
        <v>0</v>
      </c>
      <c r="FF288" s="26">
        <v>0</v>
      </c>
      <c r="FG288" s="26">
        <v>0</v>
      </c>
      <c r="FH288" s="26">
        <v>-14310544.271600001</v>
      </c>
      <c r="FI288" s="26">
        <v>0</v>
      </c>
      <c r="FJ288" s="26">
        <v>0</v>
      </c>
      <c r="FK288" s="26">
        <v>0</v>
      </c>
      <c r="FL288" s="26">
        <v>0</v>
      </c>
      <c r="FM288" s="26">
        <v>0</v>
      </c>
      <c r="FN288" s="26">
        <v>0</v>
      </c>
      <c r="FO288" s="26">
        <v>0</v>
      </c>
      <c r="FP288" s="26">
        <v>0</v>
      </c>
      <c r="FQ288" s="26">
        <v>0</v>
      </c>
      <c r="FR288" s="26">
        <v>0</v>
      </c>
      <c r="FS288" s="26">
        <v>0</v>
      </c>
      <c r="FT288" s="26">
        <v>0</v>
      </c>
      <c r="FU288" s="26">
        <v>0</v>
      </c>
      <c r="FV288" s="26">
        <v>0</v>
      </c>
      <c r="FW288" s="26">
        <v>0</v>
      </c>
      <c r="FX288" s="26">
        <v>0</v>
      </c>
      <c r="FY288" s="26">
        <v>0</v>
      </c>
      <c r="FZ288" s="26">
        <v>0</v>
      </c>
      <c r="GA288" s="26">
        <v>0</v>
      </c>
      <c r="GB288" s="26">
        <v>0</v>
      </c>
      <c r="GC288" s="26">
        <v>0</v>
      </c>
      <c r="GD288" s="26">
        <v>0</v>
      </c>
      <c r="GE288" s="26">
        <v>0</v>
      </c>
      <c r="GF288" s="26">
        <v>0</v>
      </c>
      <c r="GG288" s="26">
        <v>0</v>
      </c>
      <c r="GH288" s="26">
        <v>0</v>
      </c>
      <c r="GI288" s="26">
        <v>0</v>
      </c>
      <c r="GJ288" s="26">
        <v>0</v>
      </c>
      <c r="GK288" s="26">
        <v>0</v>
      </c>
      <c r="GL288" s="26">
        <v>0</v>
      </c>
      <c r="GM288" s="26">
        <v>0</v>
      </c>
      <c r="GN288" s="26">
        <v>0</v>
      </c>
      <c r="GO288" s="26">
        <v>0</v>
      </c>
      <c r="GP288" s="26">
        <v>0</v>
      </c>
      <c r="GQ288" s="26">
        <v>0</v>
      </c>
      <c r="GR288" s="26">
        <v>0</v>
      </c>
      <c r="GS288" s="26">
        <v>0</v>
      </c>
      <c r="GT288" s="26">
        <v>0</v>
      </c>
      <c r="GU288" s="26">
        <v>0</v>
      </c>
      <c r="GV288" s="26">
        <v>0</v>
      </c>
      <c r="GW288" s="26">
        <v>0</v>
      </c>
      <c r="GX288" s="26">
        <v>0</v>
      </c>
      <c r="GY288" s="26">
        <v>0</v>
      </c>
      <c r="GZ288" s="26">
        <v>0</v>
      </c>
      <c r="HA288" s="26">
        <v>0</v>
      </c>
      <c r="HB288" s="26">
        <v>0</v>
      </c>
      <c r="HC288" s="26">
        <v>0</v>
      </c>
      <c r="HD288" s="26">
        <v>0</v>
      </c>
      <c r="HE288" s="26">
        <v>0</v>
      </c>
      <c r="HF288" s="26">
        <v>0</v>
      </c>
      <c r="HG288" s="26">
        <v>0</v>
      </c>
      <c r="HH288" s="26">
        <v>0</v>
      </c>
      <c r="HI288" s="26">
        <v>0</v>
      </c>
      <c r="HJ288" s="26">
        <v>0</v>
      </c>
      <c r="HK288" s="26">
        <v>0</v>
      </c>
      <c r="HL288" s="26">
        <v>0</v>
      </c>
      <c r="HM288" s="26">
        <v>0</v>
      </c>
      <c r="HN288" s="26">
        <v>0</v>
      </c>
      <c r="HO288" s="26">
        <v>0</v>
      </c>
      <c r="HP288" s="26">
        <v>0</v>
      </c>
      <c r="HQ288" s="26">
        <v>0</v>
      </c>
      <c r="HR288" s="26">
        <v>0</v>
      </c>
      <c r="HS288" s="26">
        <v>0</v>
      </c>
      <c r="HT288" s="26">
        <v>0</v>
      </c>
    </row>
    <row r="289" spans="2:228" x14ac:dyDescent="0.2">
      <c r="B289" s="27" t="s">
        <v>3170</v>
      </c>
      <c r="C289" s="26">
        <v>21.092107800000001</v>
      </c>
      <c r="D289" s="26">
        <v>-3.6829531899999997E-2</v>
      </c>
      <c r="E289" s="26">
        <v>9.4649674000000008</v>
      </c>
      <c r="F289" s="26">
        <v>1.4325879699999999E-4</v>
      </c>
      <c r="G289" s="26">
        <v>1.59802285E-13</v>
      </c>
      <c r="H289" s="26">
        <v>3.5079459099999998E-13</v>
      </c>
      <c r="I289" s="26">
        <v>1.4718654200000001E-13</v>
      </c>
      <c r="J289" s="26">
        <v>1.5644451000000001E-11</v>
      </c>
      <c r="K289" s="26">
        <v>3.2419701400000006E-12</v>
      </c>
      <c r="L289" s="26">
        <v>3.7704521000000002E-11</v>
      </c>
      <c r="M289" s="26">
        <v>0</v>
      </c>
      <c r="N289" s="26">
        <v>3.4740092999999999E-13</v>
      </c>
      <c r="O289" s="26">
        <v>8.7671514300000002E-15</v>
      </c>
      <c r="P289" s="26">
        <v>3.6785250800000003E-15</v>
      </c>
      <c r="Q289" s="26">
        <v>5.7536535599999999E-12</v>
      </c>
      <c r="R289" s="26">
        <v>5.6525556499999998E-12</v>
      </c>
      <c r="S289" s="26">
        <v>3.7428308299999996E-12</v>
      </c>
      <c r="T289" s="26">
        <v>1.88915923E-6</v>
      </c>
      <c r="U289" s="26">
        <v>2.75094958E-7</v>
      </c>
      <c r="V289" s="26">
        <v>2.0068159799999999E-4</v>
      </c>
      <c r="W289" s="26">
        <v>2.24847298E-6</v>
      </c>
      <c r="X289" s="26">
        <v>3.0413247099999997E-7</v>
      </c>
      <c r="Y289" s="26">
        <v>3.3922139800000003E-12</v>
      </c>
      <c r="Z289" s="26">
        <v>7.9888198899999996E-10</v>
      </c>
      <c r="AA289" s="26">
        <v>6.6000491999999999E-10</v>
      </c>
      <c r="AB289" s="26">
        <v>5.9922193400000004E-3</v>
      </c>
      <c r="AC289" s="26">
        <v>4.2551359100000002E-10</v>
      </c>
      <c r="AD289" s="26">
        <v>0</v>
      </c>
      <c r="AE289" s="26">
        <v>0</v>
      </c>
      <c r="AF289" s="26">
        <v>0</v>
      </c>
      <c r="AG289" s="26">
        <v>0</v>
      </c>
      <c r="AH289" s="26">
        <v>3.22774015E-3</v>
      </c>
      <c r="AI289" s="26">
        <v>0</v>
      </c>
      <c r="AJ289" s="26">
        <v>0</v>
      </c>
      <c r="AK289" s="26">
        <v>0</v>
      </c>
      <c r="AL289" s="26">
        <v>0</v>
      </c>
      <c r="AM289" s="26">
        <v>1.3419890700000001E-10</v>
      </c>
      <c r="AN289" s="26">
        <v>2.6269071500000001</v>
      </c>
      <c r="AO289" s="26">
        <v>5.2271405800000004</v>
      </c>
      <c r="AP289" s="26">
        <v>0</v>
      </c>
      <c r="AQ289" s="26">
        <v>1.3674957499999999E-2</v>
      </c>
      <c r="AR289" s="26">
        <v>0</v>
      </c>
      <c r="AS289" s="26">
        <v>3.1951482200000001</v>
      </c>
      <c r="AT289" s="26">
        <v>2.1373519099999999E-4</v>
      </c>
      <c r="AU289" s="26">
        <v>0.55403606800000005</v>
      </c>
      <c r="AV289" s="26">
        <v>4.5108502299999996E-4</v>
      </c>
      <c r="AW289" s="26">
        <v>0</v>
      </c>
      <c r="AX289" s="26">
        <v>0</v>
      </c>
      <c r="AY289" s="26">
        <v>0</v>
      </c>
      <c r="AZ289" s="26">
        <v>0</v>
      </c>
      <c r="BA289" s="26">
        <v>0</v>
      </c>
      <c r="BB289" s="26">
        <v>0</v>
      </c>
      <c r="BC289" s="26">
        <v>0</v>
      </c>
      <c r="BD289" s="26">
        <v>0</v>
      </c>
      <c r="BE289" s="26">
        <v>0</v>
      </c>
      <c r="BF289" s="26">
        <v>0</v>
      </c>
      <c r="BG289" s="26">
        <v>0</v>
      </c>
      <c r="BH289" s="26">
        <v>0</v>
      </c>
      <c r="BI289" s="26">
        <v>0</v>
      </c>
      <c r="BJ289" s="26">
        <v>0</v>
      </c>
      <c r="BK289" s="26">
        <v>0</v>
      </c>
      <c r="BL289" s="26">
        <v>0</v>
      </c>
      <c r="BM289" s="26">
        <v>0</v>
      </c>
      <c r="BN289" s="26">
        <v>0</v>
      </c>
      <c r="BO289" s="26">
        <v>0.8836427710000001</v>
      </c>
      <c r="BP289" s="26">
        <v>21.092107800000001</v>
      </c>
      <c r="BQ289" s="26">
        <v>434.521367</v>
      </c>
      <c r="BR289" s="26">
        <v>86.413019500000019</v>
      </c>
      <c r="BS289" s="26">
        <v>1</v>
      </c>
      <c r="BT289" s="26">
        <v>1</v>
      </c>
      <c r="BU289" s="26">
        <v>0</v>
      </c>
      <c r="BV289" s="26">
        <v>0</v>
      </c>
      <c r="BW289" s="26">
        <v>-41679.208899999998</v>
      </c>
      <c r="BX289" s="26">
        <v>-1746.1285499999999</v>
      </c>
      <c r="BY289" s="26">
        <v>-3.6829531899999997E-2</v>
      </c>
      <c r="BZ289" s="26">
        <v>-2.3331167399999999</v>
      </c>
      <c r="CA289" s="26">
        <v>-9.7744699599999998E-2</v>
      </c>
      <c r="CB289" s="26">
        <v>3.3893337500000002E-5</v>
      </c>
      <c r="CC289" s="26">
        <v>8.0901689199999998E-4</v>
      </c>
      <c r="CD289" s="26">
        <v>23.869496300000002</v>
      </c>
      <c r="CE289" s="26">
        <v>0</v>
      </c>
      <c r="CF289" s="26">
        <v>0</v>
      </c>
      <c r="CG289" s="26">
        <v>0</v>
      </c>
      <c r="CH289" s="26">
        <v>0</v>
      </c>
      <c r="CI289" s="26">
        <v>0</v>
      </c>
      <c r="CJ289" s="26">
        <v>0</v>
      </c>
      <c r="CK289" s="26">
        <v>0</v>
      </c>
      <c r="CL289" s="26">
        <v>0</v>
      </c>
      <c r="CM289" s="26">
        <v>0</v>
      </c>
      <c r="CN289" s="26">
        <v>0</v>
      </c>
      <c r="CO289" s="26">
        <v>0</v>
      </c>
      <c r="CP289" s="26">
        <v>0</v>
      </c>
      <c r="CQ289" s="26">
        <v>0</v>
      </c>
      <c r="CR289" s="26">
        <v>0</v>
      </c>
      <c r="CS289" s="26">
        <v>0</v>
      </c>
      <c r="CT289" s="26">
        <v>0</v>
      </c>
      <c r="CU289" s="26">
        <v>0</v>
      </c>
      <c r="CV289" s="26">
        <v>0</v>
      </c>
      <c r="CW289" s="26">
        <v>0</v>
      </c>
      <c r="CX289" s="26">
        <v>0</v>
      </c>
      <c r="CY289" s="26">
        <v>0</v>
      </c>
      <c r="CZ289" s="26">
        <v>0</v>
      </c>
      <c r="DA289" s="26">
        <v>0</v>
      </c>
      <c r="DB289" s="26">
        <v>0</v>
      </c>
      <c r="DC289" s="26">
        <v>0</v>
      </c>
      <c r="DD289" s="26">
        <v>0</v>
      </c>
      <c r="DE289" s="26">
        <v>0</v>
      </c>
      <c r="DF289" s="26">
        <v>0</v>
      </c>
      <c r="DG289" s="26">
        <v>0</v>
      </c>
      <c r="DH289" s="26">
        <v>0</v>
      </c>
      <c r="DI289" s="26">
        <v>0</v>
      </c>
      <c r="DJ289" s="26">
        <v>0</v>
      </c>
      <c r="DK289" s="26">
        <v>0</v>
      </c>
      <c r="DL289" s="26">
        <v>0</v>
      </c>
      <c r="DM289" s="26">
        <v>0</v>
      </c>
      <c r="DN289" s="26">
        <v>0</v>
      </c>
      <c r="DO289" s="26">
        <v>0</v>
      </c>
      <c r="DP289" s="26">
        <v>0</v>
      </c>
      <c r="DQ289" s="26">
        <v>0</v>
      </c>
      <c r="DR289" s="26">
        <v>0</v>
      </c>
      <c r="DS289" s="26">
        <v>0</v>
      </c>
      <c r="DT289" s="26">
        <v>0</v>
      </c>
      <c r="DU289" s="26">
        <v>0</v>
      </c>
      <c r="DV289" s="26">
        <v>0</v>
      </c>
      <c r="DW289" s="26">
        <v>0</v>
      </c>
      <c r="DX289" s="26">
        <v>0</v>
      </c>
      <c r="DY289" s="26">
        <v>0</v>
      </c>
      <c r="DZ289" s="26">
        <v>0</v>
      </c>
      <c r="EA289" s="26">
        <v>0</v>
      </c>
      <c r="EB289" s="26">
        <v>0</v>
      </c>
      <c r="EC289" s="26">
        <v>0</v>
      </c>
      <c r="ED289" s="26">
        <v>0</v>
      </c>
      <c r="EE289" s="26">
        <v>0</v>
      </c>
      <c r="EF289" s="26">
        <v>0</v>
      </c>
      <c r="EG289" s="26">
        <v>0</v>
      </c>
      <c r="EH289" s="26">
        <v>0</v>
      </c>
      <c r="EI289" s="26">
        <v>0</v>
      </c>
      <c r="EJ289" s="26">
        <v>0</v>
      </c>
      <c r="EK289" s="26">
        <v>0</v>
      </c>
      <c r="EL289" s="26">
        <v>0</v>
      </c>
      <c r="EM289" s="26">
        <v>0</v>
      </c>
      <c r="EN289" s="26">
        <v>0</v>
      </c>
      <c r="EO289" s="26">
        <v>0</v>
      </c>
      <c r="EP289" s="26">
        <v>0</v>
      </c>
      <c r="EQ289" s="26">
        <v>0</v>
      </c>
      <c r="ER289" s="26">
        <v>0</v>
      </c>
      <c r="ES289" s="26">
        <v>0</v>
      </c>
      <c r="ET289" s="26">
        <v>1</v>
      </c>
      <c r="EU289" s="26">
        <v>0</v>
      </c>
      <c r="EV289" s="26">
        <v>0</v>
      </c>
      <c r="EW289" s="26">
        <v>0</v>
      </c>
      <c r="EX289" s="26">
        <v>0</v>
      </c>
      <c r="EY289" s="26">
        <v>0</v>
      </c>
      <c r="EZ289" s="26">
        <v>0</v>
      </c>
      <c r="FA289" s="26">
        <v>0</v>
      </c>
      <c r="FB289" s="26">
        <v>0</v>
      </c>
      <c r="FC289" s="26">
        <v>0</v>
      </c>
      <c r="FD289" s="26">
        <v>0</v>
      </c>
      <c r="FE289" s="26">
        <v>0</v>
      </c>
      <c r="FF289" s="26">
        <v>0</v>
      </c>
      <c r="FG289" s="26">
        <v>4.9401912499999999E-2</v>
      </c>
      <c r="FH289" s="26">
        <v>-43327.305534700005</v>
      </c>
      <c r="FI289" s="26">
        <v>2.0175282716957815E-5</v>
      </c>
      <c r="FJ289" s="26">
        <v>1.4594042561196787E-4</v>
      </c>
      <c r="FK289" s="26">
        <v>8.6379291802145455E-10</v>
      </c>
      <c r="FL289" s="26">
        <v>2.4639262724891878E-19</v>
      </c>
      <c r="FM289" s="26">
        <v>5.4087587377145139E-19</v>
      </c>
      <c r="FN289" s="26">
        <v>2.2694092653774963E-19</v>
      </c>
      <c r="FO289" s="26">
        <v>2.8945849120455684E-17</v>
      </c>
      <c r="FP289" s="26">
        <v>5.9983938535427069E-18</v>
      </c>
      <c r="FQ289" s="26">
        <v>3.0597358022556645E-17</v>
      </c>
      <c r="FR289" s="26">
        <v>0</v>
      </c>
      <c r="FS289" s="26">
        <v>5.9515746031681522E-19</v>
      </c>
      <c r="FT289" s="26">
        <v>1.5019636203490422E-20</v>
      </c>
      <c r="FU289" s="26">
        <v>6.3019452726377841E-21</v>
      </c>
      <c r="FV289" s="26">
        <v>1.2097215041222165E-17</v>
      </c>
      <c r="FW289" s="26">
        <v>1.1884653900632787E-17</v>
      </c>
      <c r="FX289" s="26">
        <v>5.7709182128340123E-18</v>
      </c>
      <c r="FY289" s="26">
        <v>3.44901363870322E-12</v>
      </c>
      <c r="FZ289" s="26">
        <v>6.0594137429197543E-13</v>
      </c>
      <c r="GA289" s="26">
        <v>5.8015886019682636E-10</v>
      </c>
      <c r="GB289" s="26">
        <v>1.0400486416537225E-11</v>
      </c>
      <c r="GC289" s="26">
        <v>9.3785890750287124E-13</v>
      </c>
      <c r="GD289" s="26">
        <v>6.1932206051013208E-18</v>
      </c>
      <c r="GE289" s="26">
        <v>2.4096024748323756E-15</v>
      </c>
      <c r="GF289" s="26">
        <v>1.5525097929756339E-15</v>
      </c>
      <c r="GG289" s="26">
        <v>9.7736386059668859E-8</v>
      </c>
      <c r="GH289" s="26">
        <v>1.2051269096410153E-15</v>
      </c>
      <c r="GI289" s="26">
        <v>0</v>
      </c>
      <c r="GJ289" s="26">
        <v>0</v>
      </c>
      <c r="GK289" s="26">
        <v>0</v>
      </c>
      <c r="GL289" s="26">
        <v>0</v>
      </c>
      <c r="GM289" s="26">
        <v>1.0548827001057283E-8</v>
      </c>
      <c r="GN289" s="26">
        <v>0</v>
      </c>
      <c r="GO289" s="26">
        <v>0</v>
      </c>
      <c r="GP289" s="26">
        <v>0</v>
      </c>
      <c r="GQ289" s="26">
        <v>0</v>
      </c>
      <c r="GR289" s="26">
        <v>1.3197118994465841E-16</v>
      </c>
      <c r="GS289" s="26">
        <v>2.2803868765764286E-5</v>
      </c>
      <c r="GT289" s="26">
        <v>5.1831600692430583E-5</v>
      </c>
      <c r="GU289" s="26">
        <v>0</v>
      </c>
      <c r="GV289" s="26">
        <v>8.2568302049435303E-8</v>
      </c>
      <c r="GW289" s="26">
        <v>0</v>
      </c>
      <c r="GX289" s="26">
        <v>2.0166898689112968E-5</v>
      </c>
      <c r="GY289" s="26">
        <v>3.7007900851618766E-9</v>
      </c>
      <c r="GZ289" s="26">
        <v>4.515563952791178E-6</v>
      </c>
      <c r="HA289" s="26">
        <v>1.9558540156468319E-9</v>
      </c>
      <c r="HB289" s="26">
        <v>0</v>
      </c>
      <c r="HC289" s="26">
        <v>0</v>
      </c>
      <c r="HD289" s="26">
        <v>0</v>
      </c>
      <c r="HE289" s="26">
        <v>0</v>
      </c>
      <c r="HF289" s="26">
        <v>0</v>
      </c>
      <c r="HG289" s="26">
        <v>0</v>
      </c>
      <c r="HH289" s="26">
        <v>0</v>
      </c>
      <c r="HI289" s="26">
        <v>0</v>
      </c>
      <c r="HJ289" s="26">
        <v>0</v>
      </c>
      <c r="HK289" s="26">
        <v>0</v>
      </c>
      <c r="HL289" s="26">
        <v>0</v>
      </c>
      <c r="HM289" s="26">
        <v>0</v>
      </c>
      <c r="HN289" s="26">
        <v>0</v>
      </c>
      <c r="HO289" s="26">
        <v>0</v>
      </c>
      <c r="HP289" s="26">
        <v>0</v>
      </c>
      <c r="HQ289" s="26">
        <v>0</v>
      </c>
      <c r="HR289" s="26">
        <v>0</v>
      </c>
      <c r="HS289" s="26">
        <v>0</v>
      </c>
      <c r="HT289" s="26">
        <v>0</v>
      </c>
    </row>
    <row r="290" spans="2:228" x14ac:dyDescent="0.2">
      <c r="B290" s="27" t="s">
        <v>3027</v>
      </c>
      <c r="C290" s="26">
        <v>71353.147700000001</v>
      </c>
      <c r="D290" s="26">
        <v>-264.96564799999999</v>
      </c>
      <c r="E290" s="26">
        <v>71353.147700000001</v>
      </c>
      <c r="F290" s="26">
        <v>0</v>
      </c>
      <c r="G290" s="26">
        <v>0</v>
      </c>
      <c r="H290" s="26">
        <v>0</v>
      </c>
      <c r="I290" s="26">
        <v>0</v>
      </c>
      <c r="J290" s="26">
        <v>0</v>
      </c>
      <c r="K290" s="26">
        <v>0</v>
      </c>
      <c r="L290" s="26">
        <v>0</v>
      </c>
      <c r="M290" s="26">
        <v>0</v>
      </c>
      <c r="N290" s="26">
        <v>0</v>
      </c>
      <c r="O290" s="26">
        <v>0</v>
      </c>
      <c r="P290" s="26">
        <v>0</v>
      </c>
      <c r="Q290" s="26">
        <v>0</v>
      </c>
      <c r="R290" s="26">
        <v>0</v>
      </c>
      <c r="S290" s="26">
        <v>0</v>
      </c>
      <c r="T290" s="26">
        <v>0</v>
      </c>
      <c r="U290" s="26">
        <v>0</v>
      </c>
      <c r="V290" s="26">
        <v>0</v>
      </c>
      <c r="W290" s="26">
        <v>0</v>
      </c>
      <c r="X290" s="26">
        <v>0</v>
      </c>
      <c r="Y290" s="26">
        <v>0</v>
      </c>
      <c r="Z290" s="26">
        <v>0</v>
      </c>
      <c r="AA290" s="26">
        <v>0</v>
      </c>
      <c r="AB290" s="26">
        <v>0</v>
      </c>
      <c r="AC290" s="26">
        <v>0</v>
      </c>
      <c r="AD290" s="26">
        <v>0</v>
      </c>
      <c r="AE290" s="26">
        <v>0</v>
      </c>
      <c r="AF290" s="26">
        <v>0</v>
      </c>
      <c r="AG290" s="26">
        <v>0</v>
      </c>
      <c r="AH290" s="26">
        <v>0</v>
      </c>
      <c r="AI290" s="26">
        <v>0</v>
      </c>
      <c r="AJ290" s="26">
        <v>0</v>
      </c>
      <c r="AK290" s="26">
        <v>0</v>
      </c>
      <c r="AL290" s="26">
        <v>0</v>
      </c>
      <c r="AM290" s="26">
        <v>0</v>
      </c>
      <c r="AN290" s="26">
        <v>0</v>
      </c>
      <c r="AO290" s="26">
        <v>0</v>
      </c>
      <c r="AP290" s="26">
        <v>0</v>
      </c>
      <c r="AQ290" s="26">
        <v>0</v>
      </c>
      <c r="AR290" s="26">
        <v>0</v>
      </c>
      <c r="AS290" s="26">
        <v>0</v>
      </c>
      <c r="AT290" s="26">
        <v>0</v>
      </c>
      <c r="AU290" s="26">
        <v>0</v>
      </c>
      <c r="AV290" s="26">
        <v>0</v>
      </c>
      <c r="AW290" s="26">
        <v>0</v>
      </c>
      <c r="AX290" s="26">
        <v>0</v>
      </c>
      <c r="AY290" s="26">
        <v>0</v>
      </c>
      <c r="AZ290" s="26">
        <v>0</v>
      </c>
      <c r="BA290" s="26">
        <v>0</v>
      </c>
      <c r="BB290" s="26">
        <v>0</v>
      </c>
      <c r="BC290" s="26">
        <v>0</v>
      </c>
      <c r="BD290" s="26">
        <v>0</v>
      </c>
      <c r="BE290" s="26">
        <v>0</v>
      </c>
      <c r="BF290" s="26">
        <v>0</v>
      </c>
      <c r="BG290" s="26">
        <v>0</v>
      </c>
      <c r="BH290" s="26">
        <v>0</v>
      </c>
      <c r="BI290" s="26">
        <v>0</v>
      </c>
      <c r="BJ290" s="26">
        <v>0</v>
      </c>
      <c r="BK290" s="26">
        <v>0</v>
      </c>
      <c r="BL290" s="26">
        <v>0</v>
      </c>
      <c r="BM290" s="26">
        <v>0</v>
      </c>
      <c r="BN290" s="26">
        <v>0</v>
      </c>
      <c r="BO290" s="26">
        <v>3960.7015600000004</v>
      </c>
      <c r="BP290" s="26">
        <v>71353.147700000001</v>
      </c>
      <c r="BQ290" s="26">
        <v>1295.0608299999999</v>
      </c>
      <c r="BR290" s="26">
        <v>100.01783899999998</v>
      </c>
      <c r="BS290" s="26">
        <v>1</v>
      </c>
      <c r="BT290" s="26">
        <v>0</v>
      </c>
      <c r="BU290" s="26">
        <v>1</v>
      </c>
      <c r="BV290" s="26">
        <v>0</v>
      </c>
      <c r="BW290" s="26">
        <v>-66898.664600000004</v>
      </c>
      <c r="BX290" s="26">
        <v>-3713.4401800000001</v>
      </c>
      <c r="BY290" s="26">
        <v>-264.96564799999999</v>
      </c>
      <c r="BZ290" s="26">
        <v>-34.904670899999999</v>
      </c>
      <c r="CA290" s="26">
        <v>-1.93750366</v>
      </c>
      <c r="CB290" s="26">
        <v>5.0971885100000003E-2</v>
      </c>
      <c r="CC290" s="26">
        <v>0.91827278199999995</v>
      </c>
      <c r="CD290" s="26">
        <v>18.015280000000001</v>
      </c>
      <c r="CE290" s="26">
        <v>1191.5110400000001</v>
      </c>
      <c r="CF290" s="26">
        <v>0</v>
      </c>
      <c r="CG290" s="26">
        <v>0</v>
      </c>
      <c r="CH290" s="26">
        <v>0</v>
      </c>
      <c r="CI290" s="26">
        <v>0</v>
      </c>
      <c r="CJ290" s="26">
        <v>0</v>
      </c>
      <c r="CK290" s="26">
        <v>0</v>
      </c>
      <c r="CL290" s="26">
        <v>0</v>
      </c>
      <c r="CM290" s="26">
        <v>0</v>
      </c>
      <c r="CN290" s="26">
        <v>0</v>
      </c>
      <c r="CO290" s="26">
        <v>0</v>
      </c>
      <c r="CP290" s="26">
        <v>0</v>
      </c>
      <c r="CQ290" s="26">
        <v>0</v>
      </c>
      <c r="CR290" s="26">
        <v>0</v>
      </c>
      <c r="CS290" s="26">
        <v>0</v>
      </c>
      <c r="CT290" s="26">
        <v>0</v>
      </c>
      <c r="CU290" s="26">
        <v>0</v>
      </c>
      <c r="CV290" s="26">
        <v>0</v>
      </c>
      <c r="CW290" s="26">
        <v>0</v>
      </c>
      <c r="CX290" s="26">
        <v>0</v>
      </c>
      <c r="CY290" s="26">
        <v>0</v>
      </c>
      <c r="CZ290" s="26">
        <v>0</v>
      </c>
      <c r="DA290" s="26">
        <v>0</v>
      </c>
      <c r="DB290" s="26">
        <v>0</v>
      </c>
      <c r="DC290" s="26">
        <v>0</v>
      </c>
      <c r="DD290" s="26">
        <v>0</v>
      </c>
      <c r="DE290" s="26">
        <v>0</v>
      </c>
      <c r="DF290" s="26">
        <v>0</v>
      </c>
      <c r="DG290" s="26">
        <v>0</v>
      </c>
      <c r="DH290" s="26">
        <v>0</v>
      </c>
      <c r="DI290" s="26">
        <v>0</v>
      </c>
      <c r="DJ290" s="26">
        <v>0</v>
      </c>
      <c r="DK290" s="26">
        <v>0</v>
      </c>
      <c r="DL290" s="26">
        <v>0</v>
      </c>
      <c r="DM290" s="26">
        <v>0</v>
      </c>
      <c r="DN290" s="26">
        <v>0</v>
      </c>
      <c r="DO290" s="26">
        <v>0</v>
      </c>
      <c r="DP290" s="26">
        <v>0</v>
      </c>
      <c r="DQ290" s="26">
        <v>0</v>
      </c>
      <c r="DR290" s="26">
        <v>0</v>
      </c>
      <c r="DS290" s="26">
        <v>0</v>
      </c>
      <c r="DT290" s="26">
        <v>0</v>
      </c>
      <c r="DU290" s="26">
        <v>0</v>
      </c>
      <c r="DV290" s="26">
        <v>0</v>
      </c>
      <c r="DW290" s="26">
        <v>0</v>
      </c>
      <c r="DX290" s="26">
        <v>0</v>
      </c>
      <c r="DY290" s="26">
        <v>0</v>
      </c>
      <c r="DZ290" s="26">
        <v>0</v>
      </c>
      <c r="EA290" s="26">
        <v>0</v>
      </c>
      <c r="EB290" s="26">
        <v>0</v>
      </c>
      <c r="EC290" s="26">
        <v>0</v>
      </c>
      <c r="ED290" s="26">
        <v>0</v>
      </c>
      <c r="EE290" s="26">
        <v>0</v>
      </c>
      <c r="EF290" s="26">
        <v>0</v>
      </c>
      <c r="EG290" s="26">
        <v>0</v>
      </c>
      <c r="EH290" s="26">
        <v>0</v>
      </c>
      <c r="EI290" s="26">
        <v>0</v>
      </c>
      <c r="EJ290" s="26">
        <v>0</v>
      </c>
      <c r="EK290" s="26">
        <v>0</v>
      </c>
      <c r="EL290" s="26">
        <v>0</v>
      </c>
      <c r="EM290" s="26">
        <v>0</v>
      </c>
      <c r="EN290" s="26">
        <v>0</v>
      </c>
      <c r="EO290" s="26">
        <v>0</v>
      </c>
      <c r="EP290" s="26">
        <v>0</v>
      </c>
      <c r="EQ290" s="26">
        <v>0</v>
      </c>
      <c r="ER290" s="26">
        <v>0</v>
      </c>
      <c r="ES290" s="26">
        <v>0</v>
      </c>
      <c r="ET290" s="26">
        <v>1</v>
      </c>
      <c r="EU290" s="26">
        <v>0</v>
      </c>
      <c r="EV290" s="26">
        <v>0</v>
      </c>
      <c r="EW290" s="26">
        <v>0</v>
      </c>
      <c r="EX290" s="26">
        <v>0</v>
      </c>
      <c r="EY290" s="26">
        <v>0</v>
      </c>
      <c r="EZ290" s="26">
        <v>0</v>
      </c>
      <c r="FA290" s="26">
        <v>0</v>
      </c>
      <c r="FB290" s="26">
        <v>0</v>
      </c>
      <c r="FC290" s="26">
        <v>0</v>
      </c>
      <c r="FD290" s="26">
        <v>0</v>
      </c>
      <c r="FE290" s="26">
        <v>0</v>
      </c>
      <c r="FF290" s="26">
        <v>0</v>
      </c>
      <c r="FG290" s="26">
        <v>0</v>
      </c>
      <c r="FH290" s="26">
        <v>-314297600.59600002</v>
      </c>
      <c r="FI290" s="26">
        <v>0</v>
      </c>
      <c r="FJ290" s="26">
        <v>0</v>
      </c>
      <c r="FK290" s="26">
        <v>0</v>
      </c>
      <c r="FL290" s="26">
        <v>0</v>
      </c>
      <c r="FM290" s="26">
        <v>0</v>
      </c>
      <c r="FN290" s="26">
        <v>0</v>
      </c>
      <c r="FO290" s="26">
        <v>0</v>
      </c>
      <c r="FP290" s="26">
        <v>0</v>
      </c>
      <c r="FQ290" s="26">
        <v>0</v>
      </c>
      <c r="FR290" s="26">
        <v>0</v>
      </c>
      <c r="FS290" s="26">
        <v>0</v>
      </c>
      <c r="FT290" s="26">
        <v>0</v>
      </c>
      <c r="FU290" s="26">
        <v>0</v>
      </c>
      <c r="FV290" s="26">
        <v>0</v>
      </c>
      <c r="FW290" s="26">
        <v>0</v>
      </c>
      <c r="FX290" s="26">
        <v>0</v>
      </c>
      <c r="FY290" s="26">
        <v>0</v>
      </c>
      <c r="FZ290" s="26">
        <v>0</v>
      </c>
      <c r="GA290" s="26">
        <v>0</v>
      </c>
      <c r="GB290" s="26">
        <v>0</v>
      </c>
      <c r="GC290" s="26">
        <v>0</v>
      </c>
      <c r="GD290" s="26">
        <v>0</v>
      </c>
      <c r="GE290" s="26">
        <v>0</v>
      </c>
      <c r="GF290" s="26">
        <v>0</v>
      </c>
      <c r="GG290" s="26">
        <v>0</v>
      </c>
      <c r="GH290" s="26">
        <v>0</v>
      </c>
      <c r="GI290" s="26">
        <v>0</v>
      </c>
      <c r="GJ290" s="26">
        <v>0</v>
      </c>
      <c r="GK290" s="26">
        <v>0</v>
      </c>
      <c r="GL290" s="26">
        <v>0</v>
      </c>
      <c r="GM290" s="26">
        <v>0</v>
      </c>
      <c r="GN290" s="26">
        <v>0</v>
      </c>
      <c r="GO290" s="26">
        <v>0</v>
      </c>
      <c r="GP290" s="26">
        <v>0</v>
      </c>
      <c r="GQ290" s="26">
        <v>0</v>
      </c>
      <c r="GR290" s="26">
        <v>0</v>
      </c>
      <c r="GS290" s="26">
        <v>0</v>
      </c>
      <c r="GT290" s="26">
        <v>0</v>
      </c>
      <c r="GU290" s="26">
        <v>0</v>
      </c>
      <c r="GV290" s="26">
        <v>0</v>
      </c>
      <c r="GW290" s="26">
        <v>0</v>
      </c>
      <c r="GX290" s="26">
        <v>0</v>
      </c>
      <c r="GY290" s="26">
        <v>0</v>
      </c>
      <c r="GZ290" s="26">
        <v>0</v>
      </c>
      <c r="HA290" s="26">
        <v>0</v>
      </c>
      <c r="HB290" s="26">
        <v>0</v>
      </c>
      <c r="HC290" s="26">
        <v>0</v>
      </c>
      <c r="HD290" s="26">
        <v>0</v>
      </c>
      <c r="HE290" s="26">
        <v>0</v>
      </c>
      <c r="HF290" s="26">
        <v>0</v>
      </c>
      <c r="HG290" s="26">
        <v>0</v>
      </c>
      <c r="HH290" s="26">
        <v>0</v>
      </c>
      <c r="HI290" s="26">
        <v>0</v>
      </c>
      <c r="HJ290" s="26">
        <v>0</v>
      </c>
      <c r="HK290" s="26">
        <v>0</v>
      </c>
      <c r="HL290" s="26">
        <v>0</v>
      </c>
      <c r="HM290" s="26">
        <v>0</v>
      </c>
      <c r="HN290" s="26">
        <v>0</v>
      </c>
      <c r="HO290" s="26">
        <v>0</v>
      </c>
      <c r="HP290" s="26">
        <v>0</v>
      </c>
      <c r="HQ290" s="26">
        <v>0</v>
      </c>
      <c r="HR290" s="26">
        <v>0</v>
      </c>
      <c r="HS290" s="26">
        <v>0</v>
      </c>
      <c r="HT290" s="26">
        <v>0</v>
      </c>
    </row>
    <row r="291" spans="2:228" x14ac:dyDescent="0.2">
      <c r="B291" s="27" t="s">
        <v>3028</v>
      </c>
      <c r="C291" s="26">
        <v>81295.915800000002</v>
      </c>
      <c r="D291" s="26">
        <v>-291.45725099999999</v>
      </c>
      <c r="E291" s="26">
        <v>76321.753400000001</v>
      </c>
      <c r="F291" s="26">
        <v>9.7021164100000001E-2</v>
      </c>
      <c r="G291" s="26">
        <v>0.27390152000000001</v>
      </c>
      <c r="H291" s="26">
        <v>0.60126281400000003</v>
      </c>
      <c r="I291" s="26">
        <v>0.252278104</v>
      </c>
      <c r="J291" s="26">
        <v>0.55802017699999995</v>
      </c>
      <c r="K291" s="26">
        <v>0.11563747200000002</v>
      </c>
      <c r="L291" s="26">
        <v>0.173978348</v>
      </c>
      <c r="M291" s="26">
        <v>0</v>
      </c>
      <c r="N291" s="26">
        <v>0.59544606899999997</v>
      </c>
      <c r="O291" s="26">
        <v>1.5026919699999999E-2</v>
      </c>
      <c r="P291" s="26">
        <v>6.3050012500000001E-3</v>
      </c>
      <c r="Q291" s="26">
        <v>0.20522642699999999</v>
      </c>
      <c r="R291" s="26">
        <v>0.20162037699999999</v>
      </c>
      <c r="S291" s="26">
        <v>6.4152214699999996</v>
      </c>
      <c r="T291" s="26">
        <v>55.7626499</v>
      </c>
      <c r="U291" s="26">
        <v>0.194333266</v>
      </c>
      <c r="V291" s="26">
        <v>0.25416173800000003</v>
      </c>
      <c r="W291" s="26">
        <v>3.1763930699999998E-2</v>
      </c>
      <c r="X291" s="26">
        <v>0.89018935099999996</v>
      </c>
      <c r="Y291" s="26">
        <v>0.39670935299999999</v>
      </c>
      <c r="Z291" s="26">
        <v>9.1625746100000002E-2</v>
      </c>
      <c r="AA291" s="26">
        <v>0.24052019899999996</v>
      </c>
      <c r="AB291" s="26">
        <v>2.8002136700000002</v>
      </c>
      <c r="AC291" s="26">
        <v>6.3604095200000002E-2</v>
      </c>
      <c r="AD291" s="26">
        <v>0</v>
      </c>
      <c r="AE291" s="26">
        <v>16.442953299999999</v>
      </c>
      <c r="AF291" s="26">
        <v>115.895771</v>
      </c>
      <c r="AG291" s="26">
        <v>0</v>
      </c>
      <c r="AH291" s="26">
        <v>4712.2267599999996</v>
      </c>
      <c r="AI291" s="26">
        <v>0</v>
      </c>
      <c r="AJ291" s="26">
        <v>0</v>
      </c>
      <c r="AK291" s="26">
        <v>0</v>
      </c>
      <c r="AL291" s="26">
        <v>0</v>
      </c>
      <c r="AM291" s="26">
        <v>0.39285781600000003</v>
      </c>
      <c r="AN291" s="26">
        <v>2.8174925499999999</v>
      </c>
      <c r="AO291" s="26">
        <v>5.4394494299999998</v>
      </c>
      <c r="AP291" s="26">
        <v>0</v>
      </c>
      <c r="AQ291" s="26">
        <v>5.21086604</v>
      </c>
      <c r="AR291" s="26">
        <v>0</v>
      </c>
      <c r="AS291" s="26">
        <v>6.4621852400000002</v>
      </c>
      <c r="AT291" s="26">
        <v>2.2872823100000001E-4</v>
      </c>
      <c r="AU291" s="26">
        <v>38.933442800000002</v>
      </c>
      <c r="AV291" s="26">
        <v>0.103593571</v>
      </c>
      <c r="AW291" s="26">
        <v>0</v>
      </c>
      <c r="AX291" s="26">
        <v>0</v>
      </c>
      <c r="AY291" s="26">
        <v>0</v>
      </c>
      <c r="AZ291" s="26">
        <v>0</v>
      </c>
      <c r="BA291" s="26">
        <v>0</v>
      </c>
      <c r="BB291" s="26">
        <v>0</v>
      </c>
      <c r="BC291" s="26">
        <v>0</v>
      </c>
      <c r="BD291" s="26">
        <v>0</v>
      </c>
      <c r="BE291" s="26">
        <v>0</v>
      </c>
      <c r="BF291" s="26">
        <v>0</v>
      </c>
      <c r="BG291" s="26">
        <v>0</v>
      </c>
      <c r="BH291" s="26">
        <v>0</v>
      </c>
      <c r="BI291" s="26">
        <v>0</v>
      </c>
      <c r="BJ291" s="26">
        <v>0</v>
      </c>
      <c r="BK291" s="26">
        <v>0</v>
      </c>
      <c r="BL291" s="26">
        <v>0</v>
      </c>
      <c r="BM291" s="26">
        <v>0</v>
      </c>
      <c r="BN291" s="26">
        <v>0</v>
      </c>
      <c r="BO291" s="26">
        <v>4295.3288000000002</v>
      </c>
      <c r="BP291" s="26">
        <v>81295.915800000002</v>
      </c>
      <c r="BQ291" s="26">
        <v>1959.52666</v>
      </c>
      <c r="BR291" s="26">
        <v>86.413019500000019</v>
      </c>
      <c r="BS291" s="26">
        <v>1</v>
      </c>
      <c r="BT291" s="26">
        <v>2.0572180099999999E-4</v>
      </c>
      <c r="BU291" s="26">
        <v>0.99979427799999998</v>
      </c>
      <c r="BV291" s="26">
        <v>0</v>
      </c>
      <c r="BW291" s="26">
        <v>-67854.467499999999</v>
      </c>
      <c r="BX291" s="26">
        <v>-3585.1401099999998</v>
      </c>
      <c r="BY291" s="26">
        <v>-291.45725099999999</v>
      </c>
      <c r="BZ291" s="26">
        <v>-36.250816200000003</v>
      </c>
      <c r="CA291" s="26">
        <v>-1.91533822</v>
      </c>
      <c r="CB291" s="26">
        <v>3.6533727299999999E-2</v>
      </c>
      <c r="CC291" s="26">
        <v>0.69145878000000005</v>
      </c>
      <c r="CD291" s="26">
        <v>18.926587399999999</v>
      </c>
      <c r="CE291" s="26">
        <v>0</v>
      </c>
      <c r="CF291" s="26">
        <v>0</v>
      </c>
      <c r="CG291" s="26">
        <v>0</v>
      </c>
      <c r="CH291" s="26">
        <v>0</v>
      </c>
      <c r="CI291" s="26">
        <v>0</v>
      </c>
      <c r="CJ291" s="26">
        <v>0</v>
      </c>
      <c r="CK291" s="26">
        <v>0</v>
      </c>
      <c r="CL291" s="26">
        <v>0</v>
      </c>
      <c r="CM291" s="26">
        <v>0</v>
      </c>
      <c r="CN291" s="26">
        <v>0</v>
      </c>
      <c r="CO291" s="26">
        <v>0</v>
      </c>
      <c r="CP291" s="26">
        <v>0</v>
      </c>
      <c r="CQ291" s="26">
        <v>0</v>
      </c>
      <c r="CR291" s="26">
        <v>0</v>
      </c>
      <c r="CS291" s="26">
        <v>0</v>
      </c>
      <c r="CT291" s="26">
        <v>0</v>
      </c>
      <c r="CU291" s="26">
        <v>0</v>
      </c>
      <c r="CV291" s="26">
        <v>0</v>
      </c>
      <c r="CW291" s="26">
        <v>0</v>
      </c>
      <c r="CX291" s="26">
        <v>0</v>
      </c>
      <c r="CY291" s="26">
        <v>0</v>
      </c>
      <c r="CZ291" s="26">
        <v>0</v>
      </c>
      <c r="DA291" s="26">
        <v>0</v>
      </c>
      <c r="DB291" s="26">
        <v>0</v>
      </c>
      <c r="DC291" s="26">
        <v>0</v>
      </c>
      <c r="DD291" s="26">
        <v>0</v>
      </c>
      <c r="DE291" s="26">
        <v>0</v>
      </c>
      <c r="DF291" s="26">
        <v>0</v>
      </c>
      <c r="DG291" s="26">
        <v>0</v>
      </c>
      <c r="DH291" s="26">
        <v>0</v>
      </c>
      <c r="DI291" s="26">
        <v>0</v>
      </c>
      <c r="DJ291" s="26">
        <v>0</v>
      </c>
      <c r="DK291" s="26">
        <v>0</v>
      </c>
      <c r="DL291" s="26">
        <v>0</v>
      </c>
      <c r="DM291" s="26">
        <v>0</v>
      </c>
      <c r="DN291" s="26">
        <v>0</v>
      </c>
      <c r="DO291" s="26">
        <v>0</v>
      </c>
      <c r="DP291" s="26">
        <v>0</v>
      </c>
      <c r="DQ291" s="26">
        <v>0</v>
      </c>
      <c r="DR291" s="26">
        <v>0</v>
      </c>
      <c r="DS291" s="26">
        <v>0</v>
      </c>
      <c r="DT291" s="26">
        <v>0</v>
      </c>
      <c r="DU291" s="26">
        <v>0</v>
      </c>
      <c r="DV291" s="26">
        <v>0</v>
      </c>
      <c r="DW291" s="26">
        <v>0</v>
      </c>
      <c r="DX291" s="26">
        <v>0</v>
      </c>
      <c r="DY291" s="26">
        <v>0</v>
      </c>
      <c r="DZ291" s="26">
        <v>0</v>
      </c>
      <c r="EA291" s="26">
        <v>0</v>
      </c>
      <c r="EB291" s="26">
        <v>0</v>
      </c>
      <c r="EC291" s="26">
        <v>0</v>
      </c>
      <c r="ED291" s="26">
        <v>0</v>
      </c>
      <c r="EE291" s="26">
        <v>0</v>
      </c>
      <c r="EF291" s="26">
        <v>0</v>
      </c>
      <c r="EG291" s="26">
        <v>0</v>
      </c>
      <c r="EH291" s="26">
        <v>0</v>
      </c>
      <c r="EI291" s="26">
        <v>0</v>
      </c>
      <c r="EJ291" s="26">
        <v>0</v>
      </c>
      <c r="EK291" s="26">
        <v>0</v>
      </c>
      <c r="EL291" s="26">
        <v>0</v>
      </c>
      <c r="EM291" s="26">
        <v>0</v>
      </c>
      <c r="EN291" s="26">
        <v>0</v>
      </c>
      <c r="EO291" s="26">
        <v>0</v>
      </c>
      <c r="EP291" s="26">
        <v>0</v>
      </c>
      <c r="EQ291" s="26">
        <v>0</v>
      </c>
      <c r="ER291" s="26">
        <v>0</v>
      </c>
      <c r="ES291" s="26">
        <v>0</v>
      </c>
      <c r="ET291" s="26">
        <v>1</v>
      </c>
      <c r="EU291" s="26">
        <v>0</v>
      </c>
      <c r="EV291" s="26">
        <v>0</v>
      </c>
      <c r="EW291" s="26">
        <v>0</v>
      </c>
      <c r="EX291" s="26">
        <v>0</v>
      </c>
      <c r="EY291" s="26">
        <v>0</v>
      </c>
      <c r="EZ291" s="26">
        <v>0</v>
      </c>
      <c r="FA291" s="26">
        <v>0</v>
      </c>
      <c r="FB291" s="26">
        <v>0</v>
      </c>
      <c r="FC291" s="26">
        <v>0</v>
      </c>
      <c r="FD291" s="26">
        <v>0</v>
      </c>
      <c r="FE291" s="26">
        <v>0</v>
      </c>
      <c r="FF291" s="26">
        <v>0</v>
      </c>
      <c r="FG291" s="26">
        <v>2.46616028E-3</v>
      </c>
      <c r="FH291" s="26">
        <v>-344356393.926</v>
      </c>
      <c r="FI291" s="26">
        <v>1.0916712698444812E-3</v>
      </c>
      <c r="FJ291" s="26">
        <v>1.4594042700085677E-4</v>
      </c>
      <c r="FK291" s="26">
        <v>8.6379292635478792E-10</v>
      </c>
      <c r="FL291" s="26">
        <v>2.4639263169336329E-19</v>
      </c>
      <c r="FM291" s="26">
        <v>5.4087588488256263E-19</v>
      </c>
      <c r="FN291" s="26">
        <v>2.2694093042663856E-19</v>
      </c>
      <c r="FO291" s="26">
        <v>2.8945849676011242E-17</v>
      </c>
      <c r="FP291" s="26">
        <v>5.9983939646538186E-18</v>
      </c>
      <c r="FQ291" s="26">
        <v>3.0597358578112202E-17</v>
      </c>
      <c r="FR291" s="26">
        <v>0</v>
      </c>
      <c r="FS291" s="26">
        <v>5.9515747142792646E-19</v>
      </c>
      <c r="FT291" s="26">
        <v>1.5019636453490425E-20</v>
      </c>
      <c r="FU291" s="26">
        <v>6.3019453559711177E-21</v>
      </c>
      <c r="FV291" s="26">
        <v>1.2097215207888833E-17</v>
      </c>
      <c r="FW291" s="26">
        <v>1.1884654067299455E-17</v>
      </c>
      <c r="FX291" s="26">
        <v>5.7709183239451248E-18</v>
      </c>
      <c r="FY291" s="26">
        <v>3.4490136664809979E-12</v>
      </c>
      <c r="FZ291" s="26">
        <v>6.0594137984753105E-13</v>
      </c>
      <c r="GA291" s="26">
        <v>5.8015886297460422E-10</v>
      </c>
      <c r="GB291" s="26">
        <v>1.0400486499870558E-11</v>
      </c>
      <c r="GC291" s="26">
        <v>9.3785891861398249E-13</v>
      </c>
      <c r="GD291" s="26">
        <v>6.1932206884346547E-18</v>
      </c>
      <c r="GE291" s="26">
        <v>2.4096025053879313E-15</v>
      </c>
      <c r="GF291" s="26">
        <v>1.5525098124200784E-15</v>
      </c>
      <c r="GG291" s="26">
        <v>9.7736386615224428E-8</v>
      </c>
      <c r="GH291" s="26">
        <v>1.2051269235299043E-15</v>
      </c>
      <c r="GI291" s="26">
        <v>0</v>
      </c>
      <c r="GJ291" s="26">
        <v>0</v>
      </c>
      <c r="GK291" s="26">
        <v>0</v>
      </c>
      <c r="GL291" s="26">
        <v>0</v>
      </c>
      <c r="GM291" s="26">
        <v>1.0548827112168396E-8</v>
      </c>
      <c r="GN291" s="26">
        <v>0</v>
      </c>
      <c r="GO291" s="26">
        <v>0</v>
      </c>
      <c r="GP291" s="26">
        <v>0</v>
      </c>
      <c r="GQ291" s="26">
        <v>0</v>
      </c>
      <c r="GR291" s="26">
        <v>1.3197119188910285E-16</v>
      </c>
      <c r="GS291" s="26">
        <v>2.2803868793542061E-5</v>
      </c>
      <c r="GT291" s="26">
        <v>5.1831600692430583E-5</v>
      </c>
      <c r="GU291" s="26">
        <v>0</v>
      </c>
      <c r="GV291" s="26">
        <v>8.2568302882768644E-8</v>
      </c>
      <c r="GW291" s="26">
        <v>0</v>
      </c>
      <c r="GX291" s="26">
        <v>2.0166898772446302E-5</v>
      </c>
      <c r="GY291" s="26">
        <v>3.7007900851618766E-9</v>
      </c>
      <c r="GZ291" s="26">
        <v>4.5155639805689561E-6</v>
      </c>
      <c r="HA291" s="26">
        <v>1.9558540323134988E-9</v>
      </c>
      <c r="HB291" s="26">
        <v>0</v>
      </c>
      <c r="HC291" s="26">
        <v>0</v>
      </c>
      <c r="HD291" s="26">
        <v>0</v>
      </c>
      <c r="HE291" s="26">
        <v>0</v>
      </c>
      <c r="HF291" s="26">
        <v>0</v>
      </c>
      <c r="HG291" s="26">
        <v>0</v>
      </c>
      <c r="HH291" s="26">
        <v>0</v>
      </c>
      <c r="HI291" s="26">
        <v>0</v>
      </c>
      <c r="HJ291" s="26">
        <v>0</v>
      </c>
      <c r="HK291" s="26">
        <v>0</v>
      </c>
      <c r="HL291" s="26">
        <v>0</v>
      </c>
      <c r="HM291" s="26">
        <v>0</v>
      </c>
      <c r="HN291" s="26">
        <v>0</v>
      </c>
      <c r="HO291" s="26">
        <v>0</v>
      </c>
      <c r="HP291" s="26">
        <v>0</v>
      </c>
      <c r="HQ291" s="26">
        <v>0</v>
      </c>
      <c r="HR291" s="26">
        <v>0</v>
      </c>
      <c r="HS291" s="26">
        <v>0</v>
      </c>
      <c r="HT291" s="26">
        <v>0</v>
      </c>
    </row>
    <row r="292" spans="2:228" x14ac:dyDescent="0.2">
      <c r="B292" s="27" t="s">
        <v>1418</v>
      </c>
      <c r="C292" s="26">
        <v>4682.04054</v>
      </c>
      <c r="D292" s="26">
        <v>-17.389780999999999</v>
      </c>
      <c r="E292" s="26">
        <v>4682.04054</v>
      </c>
      <c r="F292" s="26">
        <v>0</v>
      </c>
      <c r="G292" s="26">
        <v>0</v>
      </c>
      <c r="H292" s="26">
        <v>0</v>
      </c>
      <c r="I292" s="26">
        <v>0</v>
      </c>
      <c r="J292" s="26">
        <v>0</v>
      </c>
      <c r="K292" s="26">
        <v>0</v>
      </c>
      <c r="L292" s="26">
        <v>0</v>
      </c>
      <c r="M292" s="26">
        <v>0</v>
      </c>
      <c r="N292" s="26">
        <v>0</v>
      </c>
      <c r="O292" s="26">
        <v>0</v>
      </c>
      <c r="P292" s="26">
        <v>0</v>
      </c>
      <c r="Q292" s="26">
        <v>0</v>
      </c>
      <c r="R292" s="26">
        <v>0</v>
      </c>
      <c r="S292" s="26">
        <v>0</v>
      </c>
      <c r="T292" s="26">
        <v>0</v>
      </c>
      <c r="U292" s="26">
        <v>0</v>
      </c>
      <c r="V292" s="26">
        <v>0</v>
      </c>
      <c r="W292" s="26">
        <v>0</v>
      </c>
      <c r="X292" s="26">
        <v>0</v>
      </c>
      <c r="Y292" s="26">
        <v>0</v>
      </c>
      <c r="Z292" s="26">
        <v>0</v>
      </c>
      <c r="AA292" s="26">
        <v>0</v>
      </c>
      <c r="AB292" s="26">
        <v>0</v>
      </c>
      <c r="AC292" s="26">
        <v>0</v>
      </c>
      <c r="AD292" s="26">
        <v>0</v>
      </c>
      <c r="AE292" s="26">
        <v>0</v>
      </c>
      <c r="AF292" s="26">
        <v>0</v>
      </c>
      <c r="AG292" s="26">
        <v>0</v>
      </c>
      <c r="AH292" s="26">
        <v>0</v>
      </c>
      <c r="AI292" s="26">
        <v>0</v>
      </c>
      <c r="AJ292" s="26">
        <v>0</v>
      </c>
      <c r="AK292" s="26">
        <v>0</v>
      </c>
      <c r="AL292" s="26">
        <v>0</v>
      </c>
      <c r="AM292" s="26">
        <v>0</v>
      </c>
      <c r="AN292" s="26">
        <v>0</v>
      </c>
      <c r="AO292" s="26">
        <v>0</v>
      </c>
      <c r="AP292" s="26">
        <v>0</v>
      </c>
      <c r="AQ292" s="26">
        <v>0</v>
      </c>
      <c r="AR292" s="26">
        <v>0</v>
      </c>
      <c r="AS292" s="26">
        <v>0</v>
      </c>
      <c r="AT292" s="26">
        <v>0</v>
      </c>
      <c r="AU292" s="26">
        <v>0</v>
      </c>
      <c r="AV292" s="26">
        <v>0</v>
      </c>
      <c r="AW292" s="26">
        <v>0</v>
      </c>
      <c r="AX292" s="26">
        <v>0</v>
      </c>
      <c r="AY292" s="26">
        <v>0</v>
      </c>
      <c r="AZ292" s="26">
        <v>0</v>
      </c>
      <c r="BA292" s="26">
        <v>0</v>
      </c>
      <c r="BB292" s="26">
        <v>0</v>
      </c>
      <c r="BC292" s="26">
        <v>0</v>
      </c>
      <c r="BD292" s="26">
        <v>0</v>
      </c>
      <c r="BE292" s="26">
        <v>0</v>
      </c>
      <c r="BF292" s="26">
        <v>0</v>
      </c>
      <c r="BG292" s="26">
        <v>0</v>
      </c>
      <c r="BH292" s="26">
        <v>0</v>
      </c>
      <c r="BI292" s="26">
        <v>0</v>
      </c>
      <c r="BJ292" s="26">
        <v>0</v>
      </c>
      <c r="BK292" s="26">
        <v>0</v>
      </c>
      <c r="BL292" s="26">
        <v>0</v>
      </c>
      <c r="BM292" s="26">
        <v>0</v>
      </c>
      <c r="BN292" s="26">
        <v>0</v>
      </c>
      <c r="BO292" s="26">
        <v>259.89274399999999</v>
      </c>
      <c r="BP292" s="26">
        <v>4682.04054</v>
      </c>
      <c r="BQ292" s="26">
        <v>81.442415400000002</v>
      </c>
      <c r="BR292" s="26">
        <v>100.27182199999999</v>
      </c>
      <c r="BS292" s="26">
        <v>5.4229876600000013</v>
      </c>
      <c r="BT292" s="26">
        <v>0</v>
      </c>
      <c r="BU292" s="26">
        <v>1</v>
      </c>
      <c r="BV292" s="26">
        <v>0</v>
      </c>
      <c r="BW292" s="26">
        <v>-66911.375100000005</v>
      </c>
      <c r="BX292" s="26">
        <v>-3714.14572</v>
      </c>
      <c r="BY292" s="26">
        <v>-17.389780999999999</v>
      </c>
      <c r="BZ292" s="26">
        <v>-34.916910199999997</v>
      </c>
      <c r="CA292" s="26">
        <v>-1.93818304</v>
      </c>
      <c r="CB292" s="26">
        <v>5.3185378300000002E-2</v>
      </c>
      <c r="CC292" s="26">
        <v>0.95814948200000005</v>
      </c>
      <c r="CD292" s="26">
        <v>18.015280000000001</v>
      </c>
      <c r="CE292" s="26">
        <v>78.184399400000004</v>
      </c>
      <c r="CF292" s="26">
        <v>0</v>
      </c>
      <c r="CG292" s="26">
        <v>0</v>
      </c>
      <c r="CH292" s="26">
        <v>0</v>
      </c>
      <c r="CI292" s="26">
        <v>0</v>
      </c>
      <c r="CJ292" s="26">
        <v>0</v>
      </c>
      <c r="CK292" s="26">
        <v>0</v>
      </c>
      <c r="CL292" s="26">
        <v>0</v>
      </c>
      <c r="CM292" s="26">
        <v>0</v>
      </c>
      <c r="CN292" s="26">
        <v>0</v>
      </c>
      <c r="CO292" s="26">
        <v>0</v>
      </c>
      <c r="CP292" s="26">
        <v>0</v>
      </c>
      <c r="CQ292" s="26">
        <v>0</v>
      </c>
      <c r="CR292" s="26">
        <v>0</v>
      </c>
      <c r="CS292" s="26">
        <v>0</v>
      </c>
      <c r="CT292" s="26">
        <v>0</v>
      </c>
      <c r="CU292" s="26">
        <v>0</v>
      </c>
      <c r="CV292" s="26">
        <v>0</v>
      </c>
      <c r="CW292" s="26">
        <v>0</v>
      </c>
      <c r="CX292" s="26">
        <v>0</v>
      </c>
      <c r="CY292" s="26">
        <v>0</v>
      </c>
      <c r="CZ292" s="26">
        <v>0</v>
      </c>
      <c r="DA292" s="26">
        <v>0</v>
      </c>
      <c r="DB292" s="26">
        <v>0</v>
      </c>
      <c r="DC292" s="26">
        <v>0</v>
      </c>
      <c r="DD292" s="26">
        <v>0</v>
      </c>
      <c r="DE292" s="26">
        <v>0</v>
      </c>
      <c r="DF292" s="26">
        <v>0</v>
      </c>
      <c r="DG292" s="26">
        <v>0</v>
      </c>
      <c r="DH292" s="26">
        <v>0</v>
      </c>
      <c r="DI292" s="26">
        <v>0</v>
      </c>
      <c r="DJ292" s="26">
        <v>0</v>
      </c>
      <c r="DK292" s="26">
        <v>0</v>
      </c>
      <c r="DL292" s="26">
        <v>0</v>
      </c>
      <c r="DM292" s="26">
        <v>0</v>
      </c>
      <c r="DN292" s="26">
        <v>0</v>
      </c>
      <c r="DO292" s="26">
        <v>0</v>
      </c>
      <c r="DP292" s="26">
        <v>0</v>
      </c>
      <c r="DQ292" s="26">
        <v>0</v>
      </c>
      <c r="DR292" s="26">
        <v>0</v>
      </c>
      <c r="DS292" s="26">
        <v>0</v>
      </c>
      <c r="DT292" s="26">
        <v>0</v>
      </c>
      <c r="DU292" s="26">
        <v>0</v>
      </c>
      <c r="DV292" s="26">
        <v>0</v>
      </c>
      <c r="DW292" s="26">
        <v>0</v>
      </c>
      <c r="DX292" s="26">
        <v>0</v>
      </c>
      <c r="DY292" s="26">
        <v>0</v>
      </c>
      <c r="DZ292" s="26">
        <v>0</v>
      </c>
      <c r="EA292" s="26">
        <v>0</v>
      </c>
      <c r="EB292" s="26">
        <v>0</v>
      </c>
      <c r="EC292" s="26">
        <v>0</v>
      </c>
      <c r="ED292" s="26">
        <v>0</v>
      </c>
      <c r="EE292" s="26">
        <v>0</v>
      </c>
      <c r="EF292" s="26">
        <v>0</v>
      </c>
      <c r="EG292" s="26">
        <v>0</v>
      </c>
      <c r="EH292" s="26">
        <v>0</v>
      </c>
      <c r="EI292" s="26">
        <v>0</v>
      </c>
      <c r="EJ292" s="26">
        <v>0</v>
      </c>
      <c r="EK292" s="26">
        <v>0</v>
      </c>
      <c r="EL292" s="26">
        <v>0</v>
      </c>
      <c r="EM292" s="26">
        <v>0</v>
      </c>
      <c r="EN292" s="26">
        <v>0</v>
      </c>
      <c r="EO292" s="26">
        <v>0</v>
      </c>
      <c r="EP292" s="26">
        <v>0</v>
      </c>
      <c r="EQ292" s="26">
        <v>0</v>
      </c>
      <c r="ER292" s="26">
        <v>0</v>
      </c>
      <c r="ES292" s="26">
        <v>0</v>
      </c>
      <c r="ET292" s="26">
        <v>5.4229876600000013</v>
      </c>
      <c r="EU292" s="26">
        <v>0</v>
      </c>
      <c r="EV292" s="26">
        <v>0</v>
      </c>
      <c r="EW292" s="26">
        <v>0</v>
      </c>
      <c r="EX292" s="26">
        <v>0</v>
      </c>
      <c r="EY292" s="26">
        <v>0</v>
      </c>
      <c r="EZ292" s="26">
        <v>0</v>
      </c>
      <c r="FA292" s="26">
        <v>0</v>
      </c>
      <c r="FB292" s="26">
        <v>0</v>
      </c>
      <c r="FC292" s="26">
        <v>0</v>
      </c>
      <c r="FD292" s="26">
        <v>0</v>
      </c>
      <c r="FE292" s="26">
        <v>0</v>
      </c>
      <c r="FF292" s="26">
        <v>0</v>
      </c>
      <c r="FG292" s="26">
        <v>0</v>
      </c>
      <c r="FH292" s="26">
        <v>-20633698.746199999</v>
      </c>
      <c r="FI292" s="26">
        <v>0</v>
      </c>
      <c r="FJ292" s="26">
        <v>0</v>
      </c>
      <c r="FK292" s="26">
        <v>0</v>
      </c>
      <c r="FL292" s="26">
        <v>0</v>
      </c>
      <c r="FM292" s="26">
        <v>0</v>
      </c>
      <c r="FN292" s="26">
        <v>0</v>
      </c>
      <c r="FO292" s="26">
        <v>0</v>
      </c>
      <c r="FP292" s="26">
        <v>0</v>
      </c>
      <c r="FQ292" s="26">
        <v>0</v>
      </c>
      <c r="FR292" s="26">
        <v>0</v>
      </c>
      <c r="FS292" s="26">
        <v>0</v>
      </c>
      <c r="FT292" s="26">
        <v>0</v>
      </c>
      <c r="FU292" s="26">
        <v>0</v>
      </c>
      <c r="FV292" s="26">
        <v>0</v>
      </c>
      <c r="FW292" s="26">
        <v>0</v>
      </c>
      <c r="FX292" s="26">
        <v>0</v>
      </c>
      <c r="FY292" s="26">
        <v>0</v>
      </c>
      <c r="FZ292" s="26">
        <v>0</v>
      </c>
      <c r="GA292" s="26">
        <v>0</v>
      </c>
      <c r="GB292" s="26">
        <v>0</v>
      </c>
      <c r="GC292" s="26">
        <v>0</v>
      </c>
      <c r="GD292" s="26">
        <v>0</v>
      </c>
      <c r="GE292" s="26">
        <v>0</v>
      </c>
      <c r="GF292" s="26">
        <v>0</v>
      </c>
      <c r="GG292" s="26">
        <v>0</v>
      </c>
      <c r="GH292" s="26">
        <v>0</v>
      </c>
      <c r="GI292" s="26">
        <v>0</v>
      </c>
      <c r="GJ292" s="26">
        <v>0</v>
      </c>
      <c r="GK292" s="26">
        <v>0</v>
      </c>
      <c r="GL292" s="26">
        <v>0</v>
      </c>
      <c r="GM292" s="26">
        <v>0</v>
      </c>
      <c r="GN292" s="26">
        <v>0</v>
      </c>
      <c r="GO292" s="26">
        <v>0</v>
      </c>
      <c r="GP292" s="26">
        <v>0</v>
      </c>
      <c r="GQ292" s="26">
        <v>0</v>
      </c>
      <c r="GR292" s="26">
        <v>0</v>
      </c>
      <c r="GS292" s="26">
        <v>0</v>
      </c>
      <c r="GT292" s="26">
        <v>0</v>
      </c>
      <c r="GU292" s="26">
        <v>0</v>
      </c>
      <c r="GV292" s="26">
        <v>0</v>
      </c>
      <c r="GW292" s="26">
        <v>0</v>
      </c>
      <c r="GX292" s="26">
        <v>0</v>
      </c>
      <c r="GY292" s="26">
        <v>0</v>
      </c>
      <c r="GZ292" s="26">
        <v>0</v>
      </c>
      <c r="HA292" s="26">
        <v>0</v>
      </c>
      <c r="HB292" s="26">
        <v>0</v>
      </c>
      <c r="HC292" s="26">
        <v>0</v>
      </c>
      <c r="HD292" s="26">
        <v>0</v>
      </c>
      <c r="HE292" s="26">
        <v>0</v>
      </c>
      <c r="HF292" s="26">
        <v>0</v>
      </c>
      <c r="HG292" s="26">
        <v>0</v>
      </c>
      <c r="HH292" s="26">
        <v>0</v>
      </c>
      <c r="HI292" s="26">
        <v>0</v>
      </c>
      <c r="HJ292" s="26">
        <v>0</v>
      </c>
      <c r="HK292" s="26">
        <v>0</v>
      </c>
      <c r="HL292" s="26">
        <v>0</v>
      </c>
      <c r="HM292" s="26">
        <v>0</v>
      </c>
      <c r="HN292" s="26">
        <v>0</v>
      </c>
      <c r="HO292" s="26">
        <v>0</v>
      </c>
      <c r="HP292" s="26">
        <v>0</v>
      </c>
      <c r="HQ292" s="26">
        <v>0</v>
      </c>
      <c r="HR292" s="26">
        <v>0</v>
      </c>
      <c r="HS292" s="26">
        <v>0</v>
      </c>
      <c r="HT292" s="26">
        <v>0</v>
      </c>
    </row>
    <row r="293" spans="2:228" x14ac:dyDescent="0.2">
      <c r="B293" s="27" t="s">
        <v>3003</v>
      </c>
      <c r="C293" s="26">
        <v>21839.915099999998</v>
      </c>
      <c r="D293" s="26">
        <v>-38.806323800000001</v>
      </c>
      <c r="E293" s="26">
        <v>741.31794300000001</v>
      </c>
      <c r="F293" s="26">
        <v>0.56499503699999998</v>
      </c>
      <c r="G293" s="26">
        <v>8.2336980799999999E-13</v>
      </c>
      <c r="H293" s="26">
        <v>1.8074439600000002E-12</v>
      </c>
      <c r="I293" s="26">
        <v>7.5836809299999996E-13</v>
      </c>
      <c r="J293" s="26">
        <v>2.8700716099999998E-10</v>
      </c>
      <c r="K293" s="26">
        <v>5.9475954199999995E-11</v>
      </c>
      <c r="L293" s="26">
        <v>1.0621679199999999E-8</v>
      </c>
      <c r="M293" s="26">
        <v>0</v>
      </c>
      <c r="N293" s="26">
        <v>1.7899583599999999E-12</v>
      </c>
      <c r="O293" s="26">
        <v>4.5172118600000002E-14</v>
      </c>
      <c r="P293" s="26">
        <v>1.8953336499999999E-14</v>
      </c>
      <c r="Q293" s="26">
        <v>1.0555434499999999E-10</v>
      </c>
      <c r="R293" s="26">
        <v>1.2863253500000002E-11</v>
      </c>
      <c r="S293" s="26">
        <v>1.92846672E-11</v>
      </c>
      <c r="T293" s="26">
        <v>3.5671760000000001E-6</v>
      </c>
      <c r="U293" s="26">
        <v>3.1940302600000001E-4</v>
      </c>
      <c r="V293" s="26">
        <v>0.91065344400000015</v>
      </c>
      <c r="W293" s="26">
        <v>6.4717449099999996E-3</v>
      </c>
      <c r="X293" s="26">
        <v>7.67890459E-5</v>
      </c>
      <c r="Y293" s="26">
        <v>1.8968733899999999E-10</v>
      </c>
      <c r="Z293" s="26">
        <v>2.14690408E-7</v>
      </c>
      <c r="AA293" s="26">
        <v>1.3284376400000001E-7</v>
      </c>
      <c r="AB293" s="26">
        <v>27.151807999999999</v>
      </c>
      <c r="AC293" s="26">
        <v>5.5010404700000001E-10</v>
      </c>
      <c r="AD293" s="26">
        <v>0</v>
      </c>
      <c r="AE293" s="26">
        <v>0</v>
      </c>
      <c r="AF293" s="26">
        <v>0</v>
      </c>
      <c r="AG293" s="26">
        <v>0</v>
      </c>
      <c r="AH293" s="26">
        <v>0</v>
      </c>
      <c r="AI293" s="26">
        <v>0</v>
      </c>
      <c r="AJ293" s="26">
        <v>0</v>
      </c>
      <c r="AK293" s="26">
        <v>0</v>
      </c>
      <c r="AL293" s="26">
        <v>0</v>
      </c>
      <c r="AM293" s="26">
        <v>1.5619364399999999E-10</v>
      </c>
      <c r="AN293" s="26">
        <v>1140.5421899999999</v>
      </c>
      <c r="AO293" s="26">
        <v>0.19715743599999999</v>
      </c>
      <c r="AP293" s="26">
        <v>0</v>
      </c>
      <c r="AQ293" s="26">
        <v>0</v>
      </c>
      <c r="AR293" s="26">
        <v>0</v>
      </c>
      <c r="AS293" s="26">
        <v>14266.0335</v>
      </c>
      <c r="AT293" s="26">
        <v>5378.3970900000004</v>
      </c>
      <c r="AU293" s="26">
        <v>284.79288700000001</v>
      </c>
      <c r="AV293" s="26">
        <v>0</v>
      </c>
      <c r="AW293" s="26">
        <v>0</v>
      </c>
      <c r="AX293" s="26">
        <v>0</v>
      </c>
      <c r="AY293" s="26">
        <v>0</v>
      </c>
      <c r="AZ293" s="26">
        <v>0</v>
      </c>
      <c r="BA293" s="26">
        <v>0</v>
      </c>
      <c r="BB293" s="26">
        <v>0</v>
      </c>
      <c r="BC293" s="26">
        <v>0</v>
      </c>
      <c r="BD293" s="26">
        <v>0</v>
      </c>
      <c r="BE293" s="26">
        <v>0</v>
      </c>
      <c r="BF293" s="26">
        <v>0</v>
      </c>
      <c r="BG293" s="26">
        <v>0</v>
      </c>
      <c r="BH293" s="26">
        <v>0</v>
      </c>
      <c r="BI293" s="26">
        <v>0</v>
      </c>
      <c r="BJ293" s="26">
        <v>0</v>
      </c>
      <c r="BK293" s="26">
        <v>0</v>
      </c>
      <c r="BL293" s="26">
        <v>0</v>
      </c>
      <c r="BM293" s="26">
        <v>0</v>
      </c>
      <c r="BN293" s="26">
        <v>0</v>
      </c>
      <c r="BO293" s="26">
        <v>746.18169399999999</v>
      </c>
      <c r="BP293" s="26">
        <v>21839.915099999998</v>
      </c>
      <c r="BQ293" s="26">
        <v>314393.95400000003</v>
      </c>
      <c r="BR293" s="26">
        <v>34.934752199999991</v>
      </c>
      <c r="BS293" s="26">
        <v>1</v>
      </c>
      <c r="BT293" s="26">
        <v>1</v>
      </c>
      <c r="BU293" s="26">
        <v>0</v>
      </c>
      <c r="BV293" s="26">
        <v>0</v>
      </c>
      <c r="BW293" s="26">
        <v>-52006.533799999997</v>
      </c>
      <c r="BX293" s="26">
        <v>-1776.85322</v>
      </c>
      <c r="BY293" s="26">
        <v>-38.806323800000001</v>
      </c>
      <c r="BZ293" s="26">
        <v>-6.4222588399999996</v>
      </c>
      <c r="CA293" s="26">
        <v>-0.219422647</v>
      </c>
      <c r="CB293" s="26">
        <v>3.9556617699999994E-5</v>
      </c>
      <c r="CC293" s="26">
        <v>1.1577785600000001E-3</v>
      </c>
      <c r="CD293" s="26">
        <v>29.268896900000001</v>
      </c>
      <c r="CE293" s="26">
        <v>0</v>
      </c>
      <c r="CF293" s="26">
        <v>0</v>
      </c>
      <c r="CG293" s="26">
        <v>0</v>
      </c>
      <c r="CH293" s="26">
        <v>0</v>
      </c>
      <c r="CI293" s="26">
        <v>0</v>
      </c>
      <c r="CJ293" s="26">
        <v>0</v>
      </c>
      <c r="CK293" s="26">
        <v>0</v>
      </c>
      <c r="CL293" s="26">
        <v>0</v>
      </c>
      <c r="CM293" s="26">
        <v>0</v>
      </c>
      <c r="CN293" s="26">
        <v>0</v>
      </c>
      <c r="CO293" s="26">
        <v>0</v>
      </c>
      <c r="CP293" s="26">
        <v>0</v>
      </c>
      <c r="CQ293" s="26">
        <v>0</v>
      </c>
      <c r="CR293" s="26">
        <v>0</v>
      </c>
      <c r="CS293" s="26">
        <v>0</v>
      </c>
      <c r="CT293" s="26">
        <v>0</v>
      </c>
      <c r="CU293" s="26">
        <v>0</v>
      </c>
      <c r="CV293" s="26">
        <v>0</v>
      </c>
      <c r="CW293" s="26">
        <v>0</v>
      </c>
      <c r="CX293" s="26">
        <v>0</v>
      </c>
      <c r="CY293" s="26">
        <v>0</v>
      </c>
      <c r="CZ293" s="26">
        <v>0</v>
      </c>
      <c r="DA293" s="26">
        <v>0</v>
      </c>
      <c r="DB293" s="26">
        <v>0</v>
      </c>
      <c r="DC293" s="26">
        <v>0</v>
      </c>
      <c r="DD293" s="26">
        <v>0</v>
      </c>
      <c r="DE293" s="26">
        <v>0</v>
      </c>
      <c r="DF293" s="26">
        <v>0</v>
      </c>
      <c r="DG293" s="26">
        <v>0</v>
      </c>
      <c r="DH293" s="26">
        <v>0</v>
      </c>
      <c r="DI293" s="26">
        <v>0</v>
      </c>
      <c r="DJ293" s="26">
        <v>0</v>
      </c>
      <c r="DK293" s="26">
        <v>0</v>
      </c>
      <c r="DL293" s="26">
        <v>0</v>
      </c>
      <c r="DM293" s="26">
        <v>0</v>
      </c>
      <c r="DN293" s="26">
        <v>0</v>
      </c>
      <c r="DO293" s="26">
        <v>0</v>
      </c>
      <c r="DP293" s="26">
        <v>0</v>
      </c>
      <c r="DQ293" s="26">
        <v>0</v>
      </c>
      <c r="DR293" s="26">
        <v>0</v>
      </c>
      <c r="DS293" s="26">
        <v>0</v>
      </c>
      <c r="DT293" s="26">
        <v>0</v>
      </c>
      <c r="DU293" s="26">
        <v>0</v>
      </c>
      <c r="DV293" s="26">
        <v>0</v>
      </c>
      <c r="DW293" s="26">
        <v>0</v>
      </c>
      <c r="DX293" s="26">
        <v>0</v>
      </c>
      <c r="DY293" s="26">
        <v>0</v>
      </c>
      <c r="DZ293" s="26">
        <v>0</v>
      </c>
      <c r="EA293" s="26">
        <v>0</v>
      </c>
      <c r="EB293" s="26">
        <v>0</v>
      </c>
      <c r="EC293" s="26">
        <v>0</v>
      </c>
      <c r="ED293" s="26">
        <v>0</v>
      </c>
      <c r="EE293" s="26">
        <v>0</v>
      </c>
      <c r="EF293" s="26">
        <v>0</v>
      </c>
      <c r="EG293" s="26">
        <v>0</v>
      </c>
      <c r="EH293" s="26">
        <v>0</v>
      </c>
      <c r="EI293" s="26">
        <v>0</v>
      </c>
      <c r="EJ293" s="26">
        <v>0</v>
      </c>
      <c r="EK293" s="26">
        <v>0</v>
      </c>
      <c r="EL293" s="26">
        <v>0</v>
      </c>
      <c r="EM293" s="26">
        <v>0</v>
      </c>
      <c r="EN293" s="26">
        <v>0</v>
      </c>
      <c r="EO293" s="26">
        <v>0</v>
      </c>
      <c r="EP293" s="26">
        <v>0</v>
      </c>
      <c r="EQ293" s="26">
        <v>0</v>
      </c>
      <c r="ER293" s="26">
        <v>0</v>
      </c>
      <c r="ES293" s="26">
        <v>0</v>
      </c>
      <c r="ET293" s="26">
        <v>1</v>
      </c>
      <c r="EU293" s="26">
        <v>0</v>
      </c>
      <c r="EV293" s="26">
        <v>0</v>
      </c>
      <c r="EW293" s="26">
        <v>0</v>
      </c>
      <c r="EX293" s="26">
        <v>0</v>
      </c>
      <c r="EY293" s="26">
        <v>0</v>
      </c>
      <c r="EZ293" s="26">
        <v>0</v>
      </c>
      <c r="FA293" s="26">
        <v>0</v>
      </c>
      <c r="FB293" s="26">
        <v>0</v>
      </c>
      <c r="FC293" s="26">
        <v>0</v>
      </c>
      <c r="FD293" s="26">
        <v>0</v>
      </c>
      <c r="FE293" s="26">
        <v>0</v>
      </c>
      <c r="FF293" s="26">
        <v>0</v>
      </c>
      <c r="FG293" s="26">
        <v>1.00704332</v>
      </c>
      <c r="FH293" s="26">
        <v>-45206140.175699994</v>
      </c>
      <c r="FI293" s="26">
        <v>0.18318940063218189</v>
      </c>
      <c r="FJ293" s="26">
        <v>1.1430388674776443E-2</v>
      </c>
      <c r="FK293" s="26">
        <v>3.4066928050313203E-6</v>
      </c>
      <c r="FL293" s="26">
        <v>1.2695203296006073E-18</v>
      </c>
      <c r="FM293" s="26">
        <v>2.7868241334057039E-18</v>
      </c>
      <c r="FN293" s="26">
        <v>1.1692968371321524E-18</v>
      </c>
      <c r="FO293" s="26">
        <v>5.3102956535934759E-16</v>
      </c>
      <c r="FP293" s="26">
        <v>1.1004425782479851E-16</v>
      </c>
      <c r="FQ293" s="26">
        <v>8.6195319578451455E-15</v>
      </c>
      <c r="FR293" s="26">
        <v>0</v>
      </c>
      <c r="FS293" s="26">
        <v>3.066506107865382E-18</v>
      </c>
      <c r="FT293" s="26">
        <v>7.7387597563545229E-20</v>
      </c>
      <c r="FU293" s="26">
        <v>3.2470320815318123E-20</v>
      </c>
      <c r="FV293" s="26">
        <v>2.2193091705322512E-16</v>
      </c>
      <c r="FW293" s="26">
        <v>2.704534471636276E-17</v>
      </c>
      <c r="FX293" s="26">
        <v>2.9734241904540602E-17</v>
      </c>
      <c r="FY293" s="26">
        <v>6.5125471909892661E-12</v>
      </c>
      <c r="FZ293" s="26">
        <v>7.0353709729496351E-10</v>
      </c>
      <c r="GA293" s="26">
        <v>2.6326462793945037E-6</v>
      </c>
      <c r="GB293" s="26">
        <v>2.9935558572817805E-8</v>
      </c>
      <c r="GC293" s="26">
        <v>2.3679579689436637E-10</v>
      </c>
      <c r="GD293" s="26">
        <v>3.4631528054830003E-16</v>
      </c>
      <c r="GE293" s="26">
        <v>6.4755313573598069E-13</v>
      </c>
      <c r="GF293" s="26">
        <v>3.1248440527765304E-13</v>
      </c>
      <c r="GG293" s="26">
        <v>4.4286088965399826E-4</v>
      </c>
      <c r="GH293" s="26">
        <v>1.5579882846861284E-15</v>
      </c>
      <c r="GI293" s="26">
        <v>0</v>
      </c>
      <c r="GJ293" s="26">
        <v>0</v>
      </c>
      <c r="GK293" s="26">
        <v>0</v>
      </c>
      <c r="GL293" s="26">
        <v>0</v>
      </c>
      <c r="GM293" s="26">
        <v>0</v>
      </c>
      <c r="GN293" s="26">
        <v>0</v>
      </c>
      <c r="GO293" s="26">
        <v>0</v>
      </c>
      <c r="GP293" s="26">
        <v>0</v>
      </c>
      <c r="GQ293" s="26">
        <v>0</v>
      </c>
      <c r="GR293" s="26">
        <v>1.5360081150658428E-16</v>
      </c>
      <c r="GS293" s="26">
        <v>9.9009112458739567E-3</v>
      </c>
      <c r="GT293" s="26">
        <v>1.9549857684176639E-6</v>
      </c>
      <c r="GU293" s="26">
        <v>0</v>
      </c>
      <c r="GV293" s="26">
        <v>0</v>
      </c>
      <c r="GW293" s="26">
        <v>0</v>
      </c>
      <c r="GX293" s="26">
        <v>9.004328822034631E-2</v>
      </c>
      <c r="GY293" s="26">
        <v>9.312607074500856E-2</v>
      </c>
      <c r="GZ293" s="26">
        <v>2.3211494185691956E-3</v>
      </c>
      <c r="HA293" s="26">
        <v>0</v>
      </c>
      <c r="HB293" s="26">
        <v>0</v>
      </c>
      <c r="HC293" s="26">
        <v>0</v>
      </c>
      <c r="HD293" s="26">
        <v>0</v>
      </c>
      <c r="HE293" s="26">
        <v>0</v>
      </c>
      <c r="HF293" s="26">
        <v>0</v>
      </c>
      <c r="HG293" s="26">
        <v>0</v>
      </c>
      <c r="HH293" s="26">
        <v>0</v>
      </c>
      <c r="HI293" s="26">
        <v>0</v>
      </c>
      <c r="HJ293" s="26">
        <v>0</v>
      </c>
      <c r="HK293" s="26">
        <v>0</v>
      </c>
      <c r="HL293" s="26">
        <v>0</v>
      </c>
      <c r="HM293" s="26">
        <v>0</v>
      </c>
      <c r="HN293" s="26">
        <v>0</v>
      </c>
      <c r="HO293" s="26">
        <v>0</v>
      </c>
      <c r="HP293" s="26">
        <v>0</v>
      </c>
      <c r="HQ293" s="26">
        <v>0</v>
      </c>
      <c r="HR293" s="26">
        <v>0</v>
      </c>
      <c r="HS293" s="26">
        <v>0</v>
      </c>
      <c r="HT293" s="26">
        <v>0</v>
      </c>
    </row>
    <row r="294" spans="2:228" x14ac:dyDescent="0.2">
      <c r="B294" s="27" t="s">
        <v>1422</v>
      </c>
      <c r="C294" s="26">
        <v>17677.4961</v>
      </c>
      <c r="D294" s="26">
        <v>-66.900939800000003</v>
      </c>
      <c r="E294" s="26">
        <v>17677.1695</v>
      </c>
      <c r="F294" s="26">
        <v>0</v>
      </c>
      <c r="G294" s="26">
        <v>0</v>
      </c>
      <c r="H294" s="26">
        <v>0</v>
      </c>
      <c r="I294" s="26">
        <v>0</v>
      </c>
      <c r="J294" s="26">
        <v>0</v>
      </c>
      <c r="K294" s="26">
        <v>0</v>
      </c>
      <c r="L294" s="26">
        <v>0</v>
      </c>
      <c r="M294" s="26">
        <v>0</v>
      </c>
      <c r="N294" s="26">
        <v>0</v>
      </c>
      <c r="O294" s="26">
        <v>0</v>
      </c>
      <c r="P294" s="26">
        <v>0</v>
      </c>
      <c r="Q294" s="26">
        <v>0</v>
      </c>
      <c r="R294" s="26">
        <v>0</v>
      </c>
      <c r="S294" s="26">
        <v>0</v>
      </c>
      <c r="T294" s="26">
        <v>0</v>
      </c>
      <c r="U294" s="26">
        <v>0</v>
      </c>
      <c r="V294" s="26">
        <v>0</v>
      </c>
      <c r="W294" s="26">
        <v>0</v>
      </c>
      <c r="X294" s="26">
        <v>0</v>
      </c>
      <c r="Y294" s="26">
        <v>0</v>
      </c>
      <c r="Z294" s="26">
        <v>0</v>
      </c>
      <c r="AA294" s="26">
        <v>0</v>
      </c>
      <c r="AB294" s="26">
        <v>0</v>
      </c>
      <c r="AC294" s="26">
        <v>0</v>
      </c>
      <c r="AD294" s="26">
        <v>0</v>
      </c>
      <c r="AE294" s="26">
        <v>0</v>
      </c>
      <c r="AF294" s="26">
        <v>0</v>
      </c>
      <c r="AG294" s="26">
        <v>0</v>
      </c>
      <c r="AH294" s="26">
        <v>0</v>
      </c>
      <c r="AI294" s="26">
        <v>0</v>
      </c>
      <c r="AJ294" s="26">
        <v>0</v>
      </c>
      <c r="AK294" s="26">
        <v>0</v>
      </c>
      <c r="AL294" s="26">
        <v>0</v>
      </c>
      <c r="AM294" s="26">
        <v>0</v>
      </c>
      <c r="AN294" s="26">
        <v>0.11970423400000002</v>
      </c>
      <c r="AO294" s="26">
        <v>0.20687404600000001</v>
      </c>
      <c r="AP294" s="26">
        <v>0</v>
      </c>
      <c r="AQ294" s="26">
        <v>0</v>
      </c>
      <c r="AR294" s="26">
        <v>0</v>
      </c>
      <c r="AS294" s="26">
        <v>0</v>
      </c>
      <c r="AT294" s="26">
        <v>0</v>
      </c>
      <c r="AU294" s="26">
        <v>0</v>
      </c>
      <c r="AV294" s="26">
        <v>0</v>
      </c>
      <c r="AW294" s="26">
        <v>0</v>
      </c>
      <c r="AX294" s="26">
        <v>0</v>
      </c>
      <c r="AY294" s="26">
        <v>0</v>
      </c>
      <c r="AZ294" s="26">
        <v>0</v>
      </c>
      <c r="BA294" s="26">
        <v>0</v>
      </c>
      <c r="BB294" s="26">
        <v>0</v>
      </c>
      <c r="BC294" s="26">
        <v>0</v>
      </c>
      <c r="BD294" s="26">
        <v>0</v>
      </c>
      <c r="BE294" s="26">
        <v>0</v>
      </c>
      <c r="BF294" s="26">
        <v>0</v>
      </c>
      <c r="BG294" s="26">
        <v>0</v>
      </c>
      <c r="BH294" s="26">
        <v>0</v>
      </c>
      <c r="BI294" s="26">
        <v>0</v>
      </c>
      <c r="BJ294" s="26">
        <v>0</v>
      </c>
      <c r="BK294" s="26">
        <v>0</v>
      </c>
      <c r="BL294" s="26">
        <v>0</v>
      </c>
      <c r="BM294" s="26">
        <v>0</v>
      </c>
      <c r="BN294" s="26">
        <v>0</v>
      </c>
      <c r="BO294" s="26">
        <v>981.24313999999993</v>
      </c>
      <c r="BP294" s="26">
        <v>17677.4961</v>
      </c>
      <c r="BQ294" s="26">
        <v>297.32125600000001</v>
      </c>
      <c r="BR294" s="26">
        <v>28.126799099999971</v>
      </c>
      <c r="BS294" s="26">
        <v>5.0999999999999996</v>
      </c>
      <c r="BT294" s="26">
        <v>0</v>
      </c>
      <c r="BU294" s="26">
        <v>1</v>
      </c>
      <c r="BV294" s="26">
        <v>0</v>
      </c>
      <c r="BW294" s="26">
        <v>-68179.777799999996</v>
      </c>
      <c r="BX294" s="26">
        <v>-3784.52576</v>
      </c>
      <c r="BY294" s="26">
        <v>-66.900939800000003</v>
      </c>
      <c r="BZ294" s="26">
        <v>-38.679050400000001</v>
      </c>
      <c r="CA294" s="26">
        <v>-2.1469982399999998</v>
      </c>
      <c r="CB294" s="26">
        <v>5.5004651799999998E-2</v>
      </c>
      <c r="CC294" s="26">
        <v>0.99093127400000003</v>
      </c>
      <c r="CD294" s="26">
        <v>18.015408600000001</v>
      </c>
      <c r="CE294" s="26">
        <v>295.197225</v>
      </c>
      <c r="CF294" s="26">
        <v>0</v>
      </c>
      <c r="CG294" s="26">
        <v>0</v>
      </c>
      <c r="CH294" s="26">
        <v>0</v>
      </c>
      <c r="CI294" s="26">
        <v>0</v>
      </c>
      <c r="CJ294" s="26">
        <v>0</v>
      </c>
      <c r="CK294" s="26">
        <v>0</v>
      </c>
      <c r="CL294" s="26">
        <v>0</v>
      </c>
      <c r="CM294" s="26">
        <v>0</v>
      </c>
      <c r="CN294" s="26">
        <v>0</v>
      </c>
      <c r="CO294" s="26">
        <v>0</v>
      </c>
      <c r="CP294" s="26">
        <v>0</v>
      </c>
      <c r="CQ294" s="26">
        <v>0</v>
      </c>
      <c r="CR294" s="26">
        <v>0</v>
      </c>
      <c r="CS294" s="26">
        <v>0</v>
      </c>
      <c r="CT294" s="26">
        <v>0</v>
      </c>
      <c r="CU294" s="26">
        <v>0</v>
      </c>
      <c r="CV294" s="26">
        <v>0</v>
      </c>
      <c r="CW294" s="26">
        <v>0</v>
      </c>
      <c r="CX294" s="26">
        <v>0</v>
      </c>
      <c r="CY294" s="26">
        <v>0</v>
      </c>
      <c r="CZ294" s="26">
        <v>0</v>
      </c>
      <c r="DA294" s="26">
        <v>0</v>
      </c>
      <c r="DB294" s="26">
        <v>0</v>
      </c>
      <c r="DC294" s="26">
        <v>0</v>
      </c>
      <c r="DD294" s="26">
        <v>0</v>
      </c>
      <c r="DE294" s="26">
        <v>0</v>
      </c>
      <c r="DF294" s="26">
        <v>0</v>
      </c>
      <c r="DG294" s="26">
        <v>0</v>
      </c>
      <c r="DH294" s="26">
        <v>0</v>
      </c>
      <c r="DI294" s="26">
        <v>0</v>
      </c>
      <c r="DJ294" s="26">
        <v>0</v>
      </c>
      <c r="DK294" s="26">
        <v>0</v>
      </c>
      <c r="DL294" s="26">
        <v>0</v>
      </c>
      <c r="DM294" s="26">
        <v>0</v>
      </c>
      <c r="DN294" s="26">
        <v>0</v>
      </c>
      <c r="DO294" s="26">
        <v>0</v>
      </c>
      <c r="DP294" s="26">
        <v>0</v>
      </c>
      <c r="DQ294" s="26">
        <v>0</v>
      </c>
      <c r="DR294" s="26">
        <v>0</v>
      </c>
      <c r="DS294" s="26">
        <v>0</v>
      </c>
      <c r="DT294" s="26">
        <v>0</v>
      </c>
      <c r="DU294" s="26">
        <v>0</v>
      </c>
      <c r="DV294" s="26">
        <v>0</v>
      </c>
      <c r="DW294" s="26">
        <v>0</v>
      </c>
      <c r="DX294" s="26">
        <v>0</v>
      </c>
      <c r="DY294" s="26">
        <v>0</v>
      </c>
      <c r="DZ294" s="26">
        <v>0</v>
      </c>
      <c r="EA294" s="26">
        <v>0</v>
      </c>
      <c r="EB294" s="26">
        <v>0</v>
      </c>
      <c r="EC294" s="26">
        <v>0</v>
      </c>
      <c r="ED294" s="26">
        <v>0</v>
      </c>
      <c r="EE294" s="26">
        <v>0</v>
      </c>
      <c r="EF294" s="26">
        <v>0</v>
      </c>
      <c r="EG294" s="26">
        <v>0</v>
      </c>
      <c r="EH294" s="26">
        <v>0</v>
      </c>
      <c r="EI294" s="26">
        <v>0</v>
      </c>
      <c r="EJ294" s="26">
        <v>0</v>
      </c>
      <c r="EK294" s="26">
        <v>0</v>
      </c>
      <c r="EL294" s="26">
        <v>0</v>
      </c>
      <c r="EM294" s="26">
        <v>0</v>
      </c>
      <c r="EN294" s="26">
        <v>0</v>
      </c>
      <c r="EO294" s="26">
        <v>0</v>
      </c>
      <c r="EP294" s="26">
        <v>0</v>
      </c>
      <c r="EQ294" s="26">
        <v>0</v>
      </c>
      <c r="ER294" s="26">
        <v>0</v>
      </c>
      <c r="ES294" s="26">
        <v>0</v>
      </c>
      <c r="ET294" s="26">
        <v>5.0999999999999996</v>
      </c>
      <c r="EU294" s="26">
        <v>0</v>
      </c>
      <c r="EV294" s="26">
        <v>0</v>
      </c>
      <c r="EW294" s="26">
        <v>0</v>
      </c>
      <c r="EX294" s="26">
        <v>0</v>
      </c>
      <c r="EY294" s="26">
        <v>0</v>
      </c>
      <c r="EZ294" s="26">
        <v>0</v>
      </c>
      <c r="FA294" s="26">
        <v>0</v>
      </c>
      <c r="FB294" s="26">
        <v>0</v>
      </c>
      <c r="FC294" s="26">
        <v>0</v>
      </c>
      <c r="FD294" s="26">
        <v>0</v>
      </c>
      <c r="FE294" s="26">
        <v>0</v>
      </c>
      <c r="FF294" s="26">
        <v>0</v>
      </c>
      <c r="FG294" s="26">
        <v>0</v>
      </c>
      <c r="FH294" s="26">
        <v>-77864740.805399999</v>
      </c>
      <c r="FI294" s="26">
        <v>0</v>
      </c>
      <c r="FJ294" s="26">
        <v>0</v>
      </c>
      <c r="FK294" s="26">
        <v>0</v>
      </c>
      <c r="FL294" s="26">
        <v>0</v>
      </c>
      <c r="FM294" s="26">
        <v>0</v>
      </c>
      <c r="FN294" s="26">
        <v>0</v>
      </c>
      <c r="FO294" s="26">
        <v>0</v>
      </c>
      <c r="FP294" s="26">
        <v>0</v>
      </c>
      <c r="FQ294" s="26">
        <v>0</v>
      </c>
      <c r="FR294" s="26">
        <v>0</v>
      </c>
      <c r="FS294" s="26">
        <v>0</v>
      </c>
      <c r="FT294" s="26">
        <v>0</v>
      </c>
      <c r="FU294" s="26">
        <v>0</v>
      </c>
      <c r="FV294" s="26">
        <v>0</v>
      </c>
      <c r="FW294" s="26">
        <v>0</v>
      </c>
      <c r="FX294" s="26">
        <v>0</v>
      </c>
      <c r="FY294" s="26">
        <v>0</v>
      </c>
      <c r="FZ294" s="26">
        <v>0</v>
      </c>
      <c r="GA294" s="26">
        <v>0</v>
      </c>
      <c r="GB294" s="26">
        <v>0</v>
      </c>
      <c r="GC294" s="26">
        <v>0</v>
      </c>
      <c r="GD294" s="26">
        <v>0</v>
      </c>
      <c r="GE294" s="26">
        <v>0</v>
      </c>
      <c r="GF294" s="26">
        <v>0</v>
      </c>
      <c r="GG294" s="26">
        <v>0</v>
      </c>
      <c r="GH294" s="26">
        <v>0</v>
      </c>
      <c r="GI294" s="26">
        <v>0</v>
      </c>
      <c r="GJ294" s="26">
        <v>0</v>
      </c>
      <c r="GK294" s="26">
        <v>0</v>
      </c>
      <c r="GL294" s="26">
        <v>0</v>
      </c>
      <c r="GM294" s="26">
        <v>0</v>
      </c>
      <c r="GN294" s="26">
        <v>0</v>
      </c>
      <c r="GO294" s="26">
        <v>0</v>
      </c>
      <c r="GP294" s="26">
        <v>0</v>
      </c>
      <c r="GQ294" s="26">
        <v>0</v>
      </c>
      <c r="GR294" s="26">
        <v>0</v>
      </c>
      <c r="GS294" s="26">
        <v>0</v>
      </c>
      <c r="GT294" s="26">
        <v>0</v>
      </c>
      <c r="GU294" s="26">
        <v>0</v>
      </c>
      <c r="GV294" s="26">
        <v>0</v>
      </c>
      <c r="GW294" s="26">
        <v>0</v>
      </c>
      <c r="GX294" s="26">
        <v>0</v>
      </c>
      <c r="GY294" s="26">
        <v>0</v>
      </c>
      <c r="GZ294" s="26">
        <v>0</v>
      </c>
      <c r="HA294" s="26">
        <v>0</v>
      </c>
      <c r="HB294" s="26">
        <v>0</v>
      </c>
      <c r="HC294" s="26">
        <v>0</v>
      </c>
      <c r="HD294" s="26">
        <v>0</v>
      </c>
      <c r="HE294" s="26">
        <v>0</v>
      </c>
      <c r="HF294" s="26">
        <v>0</v>
      </c>
      <c r="HG294" s="26">
        <v>0</v>
      </c>
      <c r="HH294" s="26">
        <v>0</v>
      </c>
      <c r="HI294" s="26">
        <v>0</v>
      </c>
      <c r="HJ294" s="26">
        <v>0</v>
      </c>
      <c r="HK294" s="26">
        <v>0</v>
      </c>
      <c r="HL294" s="26">
        <v>0</v>
      </c>
      <c r="HM294" s="26">
        <v>0</v>
      </c>
      <c r="HN294" s="26">
        <v>0</v>
      </c>
      <c r="HO294" s="26">
        <v>0</v>
      </c>
      <c r="HP294" s="26">
        <v>0</v>
      </c>
      <c r="HQ294" s="26">
        <v>0</v>
      </c>
      <c r="HR294" s="26">
        <v>0</v>
      </c>
      <c r="HS294" s="26">
        <v>0</v>
      </c>
      <c r="HT294" s="26">
        <v>0</v>
      </c>
    </row>
    <row r="295" spans="2:228" x14ac:dyDescent="0.2">
      <c r="B295" s="27" t="s">
        <v>3070</v>
      </c>
      <c r="C295" s="26">
        <v>145</v>
      </c>
      <c r="D295" s="26">
        <v>-0.54811344799999995</v>
      </c>
      <c r="E295" s="26">
        <v>145</v>
      </c>
      <c r="F295" s="26">
        <v>0</v>
      </c>
      <c r="G295" s="26">
        <v>0</v>
      </c>
      <c r="H295" s="26">
        <v>0</v>
      </c>
      <c r="I295" s="26">
        <v>0</v>
      </c>
      <c r="J295" s="26">
        <v>0</v>
      </c>
      <c r="K295" s="26">
        <v>0</v>
      </c>
      <c r="L295" s="26">
        <v>0</v>
      </c>
      <c r="M295" s="26">
        <v>0</v>
      </c>
      <c r="N295" s="26">
        <v>0</v>
      </c>
      <c r="O295" s="26">
        <v>0</v>
      </c>
      <c r="P295" s="26">
        <v>0</v>
      </c>
      <c r="Q295" s="26">
        <v>0</v>
      </c>
      <c r="R295" s="26">
        <v>0</v>
      </c>
      <c r="S295" s="26">
        <v>0</v>
      </c>
      <c r="T295" s="26">
        <v>0</v>
      </c>
      <c r="U295" s="26">
        <v>0</v>
      </c>
      <c r="V295" s="26">
        <v>0</v>
      </c>
      <c r="W295" s="26">
        <v>0</v>
      </c>
      <c r="X295" s="26">
        <v>0</v>
      </c>
      <c r="Y295" s="26">
        <v>0</v>
      </c>
      <c r="Z295" s="26">
        <v>0</v>
      </c>
      <c r="AA295" s="26">
        <v>0</v>
      </c>
      <c r="AB295" s="26">
        <v>0</v>
      </c>
      <c r="AC295" s="26">
        <v>0</v>
      </c>
      <c r="AD295" s="26">
        <v>0</v>
      </c>
      <c r="AE295" s="26">
        <v>0</v>
      </c>
      <c r="AF295" s="26">
        <v>0</v>
      </c>
      <c r="AG295" s="26">
        <v>0</v>
      </c>
      <c r="AH295" s="26">
        <v>0</v>
      </c>
      <c r="AI295" s="26">
        <v>0</v>
      </c>
      <c r="AJ295" s="26">
        <v>0</v>
      </c>
      <c r="AK295" s="26">
        <v>0</v>
      </c>
      <c r="AL295" s="26">
        <v>0</v>
      </c>
      <c r="AM295" s="26">
        <v>0</v>
      </c>
      <c r="AN295" s="26">
        <v>0</v>
      </c>
      <c r="AO295" s="26">
        <v>0</v>
      </c>
      <c r="AP295" s="26">
        <v>0</v>
      </c>
      <c r="AQ295" s="26">
        <v>0</v>
      </c>
      <c r="AR295" s="26">
        <v>0</v>
      </c>
      <c r="AS295" s="26">
        <v>0</v>
      </c>
      <c r="AT295" s="26">
        <v>0</v>
      </c>
      <c r="AU295" s="26">
        <v>0</v>
      </c>
      <c r="AV295" s="26">
        <v>0</v>
      </c>
      <c r="AW295" s="26">
        <v>0</v>
      </c>
      <c r="AX295" s="26">
        <v>0</v>
      </c>
      <c r="AY295" s="26">
        <v>0</v>
      </c>
      <c r="AZ295" s="26">
        <v>0</v>
      </c>
      <c r="BA295" s="26">
        <v>0</v>
      </c>
      <c r="BB295" s="26">
        <v>0</v>
      </c>
      <c r="BC295" s="26">
        <v>0</v>
      </c>
      <c r="BD295" s="26">
        <v>0</v>
      </c>
      <c r="BE295" s="26">
        <v>0</v>
      </c>
      <c r="BF295" s="26">
        <v>0</v>
      </c>
      <c r="BG295" s="26">
        <v>0</v>
      </c>
      <c r="BH295" s="26">
        <v>0</v>
      </c>
      <c r="BI295" s="26">
        <v>0</v>
      </c>
      <c r="BJ295" s="26">
        <v>0</v>
      </c>
      <c r="BK295" s="26">
        <v>0</v>
      </c>
      <c r="BL295" s="26">
        <v>0</v>
      </c>
      <c r="BM295" s="26">
        <v>0</v>
      </c>
      <c r="BN295" s="26">
        <v>0</v>
      </c>
      <c r="BO295" s="26">
        <v>8.0487230800000003</v>
      </c>
      <c r="BP295" s="26">
        <v>145</v>
      </c>
      <c r="BQ295" s="26">
        <v>2.4504673700000001</v>
      </c>
      <c r="BR295" s="26">
        <v>33</v>
      </c>
      <c r="BS295" s="26">
        <v>1</v>
      </c>
      <c r="BT295" s="26">
        <v>0</v>
      </c>
      <c r="BU295" s="26">
        <v>1</v>
      </c>
      <c r="BV295" s="26">
        <v>0</v>
      </c>
      <c r="BW295" s="26">
        <v>-68099.428700000004</v>
      </c>
      <c r="BX295" s="26">
        <v>-3780.0927200000001</v>
      </c>
      <c r="BY295" s="26">
        <v>-0.54811344799999995</v>
      </c>
      <c r="BZ295" s="26">
        <v>-38.4147356</v>
      </c>
      <c r="CA295" s="26">
        <v>-2.1323418599999999</v>
      </c>
      <c r="CB295" s="26">
        <v>5.4742774600000002E-2</v>
      </c>
      <c r="CC295" s="26">
        <v>0.986206413</v>
      </c>
      <c r="CD295" s="26">
        <v>18.015280000000001</v>
      </c>
      <c r="CE295" s="26">
        <v>2.4213241700000001</v>
      </c>
      <c r="CF295" s="26">
        <v>0</v>
      </c>
      <c r="CG295" s="26">
        <v>0</v>
      </c>
      <c r="CH295" s="26">
        <v>0</v>
      </c>
      <c r="CI295" s="26">
        <v>0</v>
      </c>
      <c r="CJ295" s="26">
        <v>0</v>
      </c>
      <c r="CK295" s="26">
        <v>0</v>
      </c>
      <c r="CL295" s="26">
        <v>0</v>
      </c>
      <c r="CM295" s="26">
        <v>0</v>
      </c>
      <c r="CN295" s="26">
        <v>0</v>
      </c>
      <c r="CO295" s="26">
        <v>0</v>
      </c>
      <c r="CP295" s="26">
        <v>0</v>
      </c>
      <c r="CQ295" s="26">
        <v>0</v>
      </c>
      <c r="CR295" s="26">
        <v>0</v>
      </c>
      <c r="CS295" s="26">
        <v>0</v>
      </c>
      <c r="CT295" s="26">
        <v>0</v>
      </c>
      <c r="CU295" s="26">
        <v>0</v>
      </c>
      <c r="CV295" s="26">
        <v>0</v>
      </c>
      <c r="CW295" s="26">
        <v>0</v>
      </c>
      <c r="CX295" s="26">
        <v>0</v>
      </c>
      <c r="CY295" s="26">
        <v>0</v>
      </c>
      <c r="CZ295" s="26">
        <v>0</v>
      </c>
      <c r="DA295" s="26">
        <v>0</v>
      </c>
      <c r="DB295" s="26">
        <v>0</v>
      </c>
      <c r="DC295" s="26">
        <v>0</v>
      </c>
      <c r="DD295" s="26">
        <v>0</v>
      </c>
      <c r="DE295" s="26">
        <v>0</v>
      </c>
      <c r="DF295" s="26">
        <v>0</v>
      </c>
      <c r="DG295" s="26">
        <v>0</v>
      </c>
      <c r="DH295" s="26">
        <v>0</v>
      </c>
      <c r="DI295" s="26">
        <v>0</v>
      </c>
      <c r="DJ295" s="26">
        <v>0</v>
      </c>
      <c r="DK295" s="26">
        <v>0</v>
      </c>
      <c r="DL295" s="26">
        <v>0</v>
      </c>
      <c r="DM295" s="26">
        <v>0</v>
      </c>
      <c r="DN295" s="26">
        <v>0</v>
      </c>
      <c r="DO295" s="26">
        <v>0</v>
      </c>
      <c r="DP295" s="26">
        <v>0</v>
      </c>
      <c r="DQ295" s="26">
        <v>0</v>
      </c>
      <c r="DR295" s="26">
        <v>0</v>
      </c>
      <c r="DS295" s="26">
        <v>0</v>
      </c>
      <c r="DT295" s="26">
        <v>0</v>
      </c>
      <c r="DU295" s="26">
        <v>0</v>
      </c>
      <c r="DV295" s="26">
        <v>0</v>
      </c>
      <c r="DW295" s="26">
        <v>0</v>
      </c>
      <c r="DX295" s="26">
        <v>0</v>
      </c>
      <c r="DY295" s="26">
        <v>0</v>
      </c>
      <c r="DZ295" s="26">
        <v>0</v>
      </c>
      <c r="EA295" s="26">
        <v>0</v>
      </c>
      <c r="EB295" s="26">
        <v>0</v>
      </c>
      <c r="EC295" s="26">
        <v>0</v>
      </c>
      <c r="ED295" s="26">
        <v>0</v>
      </c>
      <c r="EE295" s="26">
        <v>0</v>
      </c>
      <c r="EF295" s="26">
        <v>0</v>
      </c>
      <c r="EG295" s="26">
        <v>0</v>
      </c>
      <c r="EH295" s="26">
        <v>0</v>
      </c>
      <c r="EI295" s="26">
        <v>0</v>
      </c>
      <c r="EJ295" s="26">
        <v>0</v>
      </c>
      <c r="EK295" s="26">
        <v>0</v>
      </c>
      <c r="EL295" s="26">
        <v>0</v>
      </c>
      <c r="EM295" s="26">
        <v>0</v>
      </c>
      <c r="EN295" s="26">
        <v>0</v>
      </c>
      <c r="EO295" s="26">
        <v>0</v>
      </c>
      <c r="EP295" s="26">
        <v>0</v>
      </c>
      <c r="EQ295" s="26">
        <v>0</v>
      </c>
      <c r="ER295" s="26">
        <v>0</v>
      </c>
      <c r="ES295" s="26">
        <v>0</v>
      </c>
      <c r="ET295" s="26">
        <v>1</v>
      </c>
      <c r="EU295" s="26">
        <v>0</v>
      </c>
      <c r="EV295" s="26">
        <v>0</v>
      </c>
      <c r="EW295" s="26">
        <v>0</v>
      </c>
      <c r="EX295" s="26">
        <v>0</v>
      </c>
      <c r="EY295" s="26">
        <v>0</v>
      </c>
      <c r="EZ295" s="26">
        <v>0</v>
      </c>
      <c r="FA295" s="26">
        <v>0</v>
      </c>
      <c r="FB295" s="26">
        <v>0</v>
      </c>
      <c r="FC295" s="26">
        <v>0</v>
      </c>
      <c r="FD295" s="26">
        <v>0</v>
      </c>
      <c r="FE295" s="26">
        <v>0</v>
      </c>
      <c r="FF295" s="26">
        <v>0</v>
      </c>
      <c r="FG295" s="26">
        <v>0</v>
      </c>
      <c r="FH295" s="26">
        <v>-638698.55202600011</v>
      </c>
      <c r="FI295" s="26">
        <v>0</v>
      </c>
      <c r="FJ295" s="26">
        <v>0</v>
      </c>
      <c r="FK295" s="26">
        <v>0</v>
      </c>
      <c r="FL295" s="26">
        <v>0</v>
      </c>
      <c r="FM295" s="26">
        <v>0</v>
      </c>
      <c r="FN295" s="26">
        <v>0</v>
      </c>
      <c r="FO295" s="26">
        <v>0</v>
      </c>
      <c r="FP295" s="26">
        <v>0</v>
      </c>
      <c r="FQ295" s="26">
        <v>0</v>
      </c>
      <c r="FR295" s="26">
        <v>0</v>
      </c>
      <c r="FS295" s="26">
        <v>0</v>
      </c>
      <c r="FT295" s="26">
        <v>0</v>
      </c>
      <c r="FU295" s="26">
        <v>0</v>
      </c>
      <c r="FV295" s="26">
        <v>0</v>
      </c>
      <c r="FW295" s="26">
        <v>0</v>
      </c>
      <c r="FX295" s="26">
        <v>0</v>
      </c>
      <c r="FY295" s="26">
        <v>0</v>
      </c>
      <c r="FZ295" s="26">
        <v>0</v>
      </c>
      <c r="GA295" s="26">
        <v>0</v>
      </c>
      <c r="GB295" s="26">
        <v>0</v>
      </c>
      <c r="GC295" s="26">
        <v>0</v>
      </c>
      <c r="GD295" s="26">
        <v>0</v>
      </c>
      <c r="GE295" s="26">
        <v>0</v>
      </c>
      <c r="GF295" s="26">
        <v>0</v>
      </c>
      <c r="GG295" s="26">
        <v>0</v>
      </c>
      <c r="GH295" s="26">
        <v>0</v>
      </c>
      <c r="GI295" s="26">
        <v>0</v>
      </c>
      <c r="GJ295" s="26">
        <v>0</v>
      </c>
      <c r="GK295" s="26">
        <v>0</v>
      </c>
      <c r="GL295" s="26">
        <v>0</v>
      </c>
      <c r="GM295" s="26">
        <v>0</v>
      </c>
      <c r="GN295" s="26">
        <v>0</v>
      </c>
      <c r="GO295" s="26">
        <v>0</v>
      </c>
      <c r="GP295" s="26">
        <v>0</v>
      </c>
      <c r="GQ295" s="26">
        <v>0</v>
      </c>
      <c r="GR295" s="26">
        <v>0</v>
      </c>
      <c r="GS295" s="26">
        <v>0</v>
      </c>
      <c r="GT295" s="26">
        <v>0</v>
      </c>
      <c r="GU295" s="26">
        <v>0</v>
      </c>
      <c r="GV295" s="26">
        <v>0</v>
      </c>
      <c r="GW295" s="26">
        <v>0</v>
      </c>
      <c r="GX295" s="26">
        <v>0</v>
      </c>
      <c r="GY295" s="26">
        <v>0</v>
      </c>
      <c r="GZ295" s="26">
        <v>0</v>
      </c>
      <c r="HA295" s="26">
        <v>0</v>
      </c>
      <c r="HB295" s="26">
        <v>0</v>
      </c>
      <c r="HC295" s="26">
        <v>0</v>
      </c>
      <c r="HD295" s="26">
        <v>0</v>
      </c>
      <c r="HE295" s="26">
        <v>0</v>
      </c>
      <c r="HF295" s="26">
        <v>0</v>
      </c>
      <c r="HG295" s="26">
        <v>0</v>
      </c>
      <c r="HH295" s="26">
        <v>0</v>
      </c>
      <c r="HI295" s="26">
        <v>0</v>
      </c>
      <c r="HJ295" s="26">
        <v>0</v>
      </c>
      <c r="HK295" s="26">
        <v>0</v>
      </c>
      <c r="HL295" s="26">
        <v>0</v>
      </c>
      <c r="HM295" s="26">
        <v>0</v>
      </c>
      <c r="HN295" s="26">
        <v>0</v>
      </c>
      <c r="HO295" s="26">
        <v>0</v>
      </c>
      <c r="HP295" s="26">
        <v>0</v>
      </c>
      <c r="HQ295" s="26">
        <v>0</v>
      </c>
      <c r="HR295" s="26">
        <v>0</v>
      </c>
      <c r="HS295" s="26">
        <v>0</v>
      </c>
      <c r="HT295" s="26">
        <v>0</v>
      </c>
    </row>
    <row r="296" spans="2:228" x14ac:dyDescent="0.2">
      <c r="B296" s="27" t="s">
        <v>3030</v>
      </c>
      <c r="C296" s="26">
        <v>71353.147700000001</v>
      </c>
      <c r="D296" s="26">
        <v>-269.58885400000003</v>
      </c>
      <c r="E296" s="26">
        <v>71353.147700000001</v>
      </c>
      <c r="F296" s="26">
        <v>0</v>
      </c>
      <c r="G296" s="26">
        <v>0</v>
      </c>
      <c r="H296" s="26">
        <v>0</v>
      </c>
      <c r="I296" s="26">
        <v>0</v>
      </c>
      <c r="J296" s="26">
        <v>0</v>
      </c>
      <c r="K296" s="26">
        <v>0</v>
      </c>
      <c r="L296" s="26">
        <v>0</v>
      </c>
      <c r="M296" s="26">
        <v>0</v>
      </c>
      <c r="N296" s="26">
        <v>0</v>
      </c>
      <c r="O296" s="26">
        <v>0</v>
      </c>
      <c r="P296" s="26">
        <v>0</v>
      </c>
      <c r="Q296" s="26">
        <v>0</v>
      </c>
      <c r="R296" s="26">
        <v>0</v>
      </c>
      <c r="S296" s="26">
        <v>0</v>
      </c>
      <c r="T296" s="26">
        <v>0</v>
      </c>
      <c r="U296" s="26">
        <v>0</v>
      </c>
      <c r="V296" s="26">
        <v>0</v>
      </c>
      <c r="W296" s="26">
        <v>0</v>
      </c>
      <c r="X296" s="26">
        <v>0</v>
      </c>
      <c r="Y296" s="26">
        <v>0</v>
      </c>
      <c r="Z296" s="26">
        <v>0</v>
      </c>
      <c r="AA296" s="26">
        <v>0</v>
      </c>
      <c r="AB296" s="26">
        <v>0</v>
      </c>
      <c r="AC296" s="26">
        <v>0</v>
      </c>
      <c r="AD296" s="26">
        <v>0</v>
      </c>
      <c r="AE296" s="26">
        <v>0</v>
      </c>
      <c r="AF296" s="26">
        <v>0</v>
      </c>
      <c r="AG296" s="26">
        <v>0</v>
      </c>
      <c r="AH296" s="26">
        <v>0</v>
      </c>
      <c r="AI296" s="26">
        <v>0</v>
      </c>
      <c r="AJ296" s="26">
        <v>0</v>
      </c>
      <c r="AK296" s="26">
        <v>0</v>
      </c>
      <c r="AL296" s="26">
        <v>0</v>
      </c>
      <c r="AM296" s="26">
        <v>0</v>
      </c>
      <c r="AN296" s="26">
        <v>0</v>
      </c>
      <c r="AO296" s="26">
        <v>0</v>
      </c>
      <c r="AP296" s="26">
        <v>0</v>
      </c>
      <c r="AQ296" s="26">
        <v>0</v>
      </c>
      <c r="AR296" s="26">
        <v>0</v>
      </c>
      <c r="AS296" s="26">
        <v>0</v>
      </c>
      <c r="AT296" s="26">
        <v>0</v>
      </c>
      <c r="AU296" s="26">
        <v>0</v>
      </c>
      <c r="AV296" s="26">
        <v>0</v>
      </c>
      <c r="AW296" s="26">
        <v>0</v>
      </c>
      <c r="AX296" s="26">
        <v>0</v>
      </c>
      <c r="AY296" s="26">
        <v>0</v>
      </c>
      <c r="AZ296" s="26">
        <v>0</v>
      </c>
      <c r="BA296" s="26">
        <v>0</v>
      </c>
      <c r="BB296" s="26">
        <v>0</v>
      </c>
      <c r="BC296" s="26">
        <v>0</v>
      </c>
      <c r="BD296" s="26">
        <v>0</v>
      </c>
      <c r="BE296" s="26">
        <v>0</v>
      </c>
      <c r="BF296" s="26">
        <v>0</v>
      </c>
      <c r="BG296" s="26">
        <v>0</v>
      </c>
      <c r="BH296" s="26">
        <v>0</v>
      </c>
      <c r="BI296" s="26">
        <v>0</v>
      </c>
      <c r="BJ296" s="26">
        <v>0</v>
      </c>
      <c r="BK296" s="26">
        <v>0</v>
      </c>
      <c r="BL296" s="26">
        <v>0</v>
      </c>
      <c r="BM296" s="26">
        <v>0</v>
      </c>
      <c r="BN296" s="26">
        <v>0</v>
      </c>
      <c r="BO296" s="26">
        <v>3960.7015600000004</v>
      </c>
      <c r="BP296" s="26">
        <v>71353.147700000001</v>
      </c>
      <c r="BQ296" s="26">
        <v>1208.23911</v>
      </c>
      <c r="BR296" s="26">
        <v>35</v>
      </c>
      <c r="BS296" s="26">
        <v>1</v>
      </c>
      <c r="BT296" s="26">
        <v>0</v>
      </c>
      <c r="BU296" s="26">
        <v>1</v>
      </c>
      <c r="BV296" s="26">
        <v>0</v>
      </c>
      <c r="BW296" s="26">
        <v>-68065.933999999994</v>
      </c>
      <c r="BX296" s="26">
        <v>-3778.2334799999999</v>
      </c>
      <c r="BY296" s="26">
        <v>-269.58885400000003</v>
      </c>
      <c r="BZ296" s="26">
        <v>-38.306522700000002</v>
      </c>
      <c r="CA296" s="26">
        <v>-2.1263351300000002</v>
      </c>
      <c r="CB296" s="26">
        <v>5.4634625899999997E-2</v>
      </c>
      <c r="CC296" s="26">
        <v>0.98425808299999995</v>
      </c>
      <c r="CD296" s="26">
        <v>18.015280000000001</v>
      </c>
      <c r="CE296" s="26">
        <v>1191.5110400000001</v>
      </c>
      <c r="CF296" s="26">
        <v>0</v>
      </c>
      <c r="CG296" s="26">
        <v>0</v>
      </c>
      <c r="CH296" s="26">
        <v>0</v>
      </c>
      <c r="CI296" s="26">
        <v>0</v>
      </c>
      <c r="CJ296" s="26">
        <v>0</v>
      </c>
      <c r="CK296" s="26">
        <v>0</v>
      </c>
      <c r="CL296" s="26">
        <v>0</v>
      </c>
      <c r="CM296" s="26">
        <v>0</v>
      </c>
      <c r="CN296" s="26">
        <v>0</v>
      </c>
      <c r="CO296" s="26">
        <v>0</v>
      </c>
      <c r="CP296" s="26">
        <v>0</v>
      </c>
      <c r="CQ296" s="26">
        <v>0</v>
      </c>
      <c r="CR296" s="26">
        <v>0</v>
      </c>
      <c r="CS296" s="26">
        <v>0</v>
      </c>
      <c r="CT296" s="26">
        <v>0</v>
      </c>
      <c r="CU296" s="26">
        <v>0</v>
      </c>
      <c r="CV296" s="26">
        <v>0</v>
      </c>
      <c r="CW296" s="26">
        <v>0</v>
      </c>
      <c r="CX296" s="26">
        <v>0</v>
      </c>
      <c r="CY296" s="26">
        <v>0</v>
      </c>
      <c r="CZ296" s="26">
        <v>0</v>
      </c>
      <c r="DA296" s="26">
        <v>0</v>
      </c>
      <c r="DB296" s="26">
        <v>0</v>
      </c>
      <c r="DC296" s="26">
        <v>0</v>
      </c>
      <c r="DD296" s="26">
        <v>0</v>
      </c>
      <c r="DE296" s="26">
        <v>0</v>
      </c>
      <c r="DF296" s="26">
        <v>0</v>
      </c>
      <c r="DG296" s="26">
        <v>0</v>
      </c>
      <c r="DH296" s="26">
        <v>0</v>
      </c>
      <c r="DI296" s="26">
        <v>0</v>
      </c>
      <c r="DJ296" s="26">
        <v>0</v>
      </c>
      <c r="DK296" s="26">
        <v>0</v>
      </c>
      <c r="DL296" s="26">
        <v>0</v>
      </c>
      <c r="DM296" s="26">
        <v>0</v>
      </c>
      <c r="DN296" s="26">
        <v>0</v>
      </c>
      <c r="DO296" s="26">
        <v>0</v>
      </c>
      <c r="DP296" s="26">
        <v>0</v>
      </c>
      <c r="DQ296" s="26">
        <v>0</v>
      </c>
      <c r="DR296" s="26">
        <v>0</v>
      </c>
      <c r="DS296" s="26">
        <v>0</v>
      </c>
      <c r="DT296" s="26">
        <v>0</v>
      </c>
      <c r="DU296" s="26">
        <v>0</v>
      </c>
      <c r="DV296" s="26">
        <v>0</v>
      </c>
      <c r="DW296" s="26">
        <v>0</v>
      </c>
      <c r="DX296" s="26">
        <v>0</v>
      </c>
      <c r="DY296" s="26">
        <v>0</v>
      </c>
      <c r="DZ296" s="26">
        <v>0</v>
      </c>
      <c r="EA296" s="26">
        <v>0</v>
      </c>
      <c r="EB296" s="26">
        <v>0</v>
      </c>
      <c r="EC296" s="26">
        <v>0</v>
      </c>
      <c r="ED296" s="26">
        <v>0</v>
      </c>
      <c r="EE296" s="26">
        <v>0</v>
      </c>
      <c r="EF296" s="26">
        <v>0</v>
      </c>
      <c r="EG296" s="26">
        <v>0</v>
      </c>
      <c r="EH296" s="26">
        <v>0</v>
      </c>
      <c r="EI296" s="26">
        <v>0</v>
      </c>
      <c r="EJ296" s="26">
        <v>0</v>
      </c>
      <c r="EK296" s="26">
        <v>0</v>
      </c>
      <c r="EL296" s="26">
        <v>0</v>
      </c>
      <c r="EM296" s="26">
        <v>0</v>
      </c>
      <c r="EN296" s="26">
        <v>0</v>
      </c>
      <c r="EO296" s="26">
        <v>0</v>
      </c>
      <c r="EP296" s="26">
        <v>0</v>
      </c>
      <c r="EQ296" s="26">
        <v>0</v>
      </c>
      <c r="ER296" s="26">
        <v>0</v>
      </c>
      <c r="ES296" s="26">
        <v>0</v>
      </c>
      <c r="ET296" s="26">
        <v>1</v>
      </c>
      <c r="EU296" s="26">
        <v>0</v>
      </c>
      <c r="EV296" s="26">
        <v>0</v>
      </c>
      <c r="EW296" s="26">
        <v>0</v>
      </c>
      <c r="EX296" s="26">
        <v>0</v>
      </c>
      <c r="EY296" s="26">
        <v>0</v>
      </c>
      <c r="EZ296" s="26">
        <v>0</v>
      </c>
      <c r="FA296" s="26">
        <v>0</v>
      </c>
      <c r="FB296" s="26">
        <v>0</v>
      </c>
      <c r="FC296" s="26">
        <v>0</v>
      </c>
      <c r="FD296" s="26">
        <v>0</v>
      </c>
      <c r="FE296" s="26">
        <v>0</v>
      </c>
      <c r="FF296" s="26">
        <v>0</v>
      </c>
      <c r="FG296" s="26">
        <v>0</v>
      </c>
      <c r="FH296" s="26">
        <v>-314297600.59600002</v>
      </c>
      <c r="FI296" s="26">
        <v>0</v>
      </c>
      <c r="FJ296" s="26">
        <v>0</v>
      </c>
      <c r="FK296" s="26">
        <v>0</v>
      </c>
      <c r="FL296" s="26">
        <v>0</v>
      </c>
      <c r="FM296" s="26">
        <v>0</v>
      </c>
      <c r="FN296" s="26">
        <v>0</v>
      </c>
      <c r="FO296" s="26">
        <v>0</v>
      </c>
      <c r="FP296" s="26">
        <v>0</v>
      </c>
      <c r="FQ296" s="26">
        <v>0</v>
      </c>
      <c r="FR296" s="26">
        <v>0</v>
      </c>
      <c r="FS296" s="26">
        <v>0</v>
      </c>
      <c r="FT296" s="26">
        <v>0</v>
      </c>
      <c r="FU296" s="26">
        <v>0</v>
      </c>
      <c r="FV296" s="26">
        <v>0</v>
      </c>
      <c r="FW296" s="26">
        <v>0</v>
      </c>
      <c r="FX296" s="26">
        <v>0</v>
      </c>
      <c r="FY296" s="26">
        <v>0</v>
      </c>
      <c r="FZ296" s="26">
        <v>0</v>
      </c>
      <c r="GA296" s="26">
        <v>0</v>
      </c>
      <c r="GB296" s="26">
        <v>0</v>
      </c>
      <c r="GC296" s="26">
        <v>0</v>
      </c>
      <c r="GD296" s="26">
        <v>0</v>
      </c>
      <c r="GE296" s="26">
        <v>0</v>
      </c>
      <c r="GF296" s="26">
        <v>0</v>
      </c>
      <c r="GG296" s="26">
        <v>0</v>
      </c>
      <c r="GH296" s="26">
        <v>0</v>
      </c>
      <c r="GI296" s="26">
        <v>0</v>
      </c>
      <c r="GJ296" s="26">
        <v>0</v>
      </c>
      <c r="GK296" s="26">
        <v>0</v>
      </c>
      <c r="GL296" s="26">
        <v>0</v>
      </c>
      <c r="GM296" s="26">
        <v>0</v>
      </c>
      <c r="GN296" s="26">
        <v>0</v>
      </c>
      <c r="GO296" s="26">
        <v>0</v>
      </c>
      <c r="GP296" s="26">
        <v>0</v>
      </c>
      <c r="GQ296" s="26">
        <v>0</v>
      </c>
      <c r="GR296" s="26">
        <v>0</v>
      </c>
      <c r="GS296" s="26">
        <v>0</v>
      </c>
      <c r="GT296" s="26">
        <v>0</v>
      </c>
      <c r="GU296" s="26">
        <v>0</v>
      </c>
      <c r="GV296" s="26">
        <v>0</v>
      </c>
      <c r="GW296" s="26">
        <v>0</v>
      </c>
      <c r="GX296" s="26">
        <v>0</v>
      </c>
      <c r="GY296" s="26">
        <v>0</v>
      </c>
      <c r="GZ296" s="26">
        <v>0</v>
      </c>
      <c r="HA296" s="26">
        <v>0</v>
      </c>
      <c r="HB296" s="26">
        <v>0</v>
      </c>
      <c r="HC296" s="26">
        <v>0</v>
      </c>
      <c r="HD296" s="26">
        <v>0</v>
      </c>
      <c r="HE296" s="26">
        <v>0</v>
      </c>
      <c r="HF296" s="26">
        <v>0</v>
      </c>
      <c r="HG296" s="26">
        <v>0</v>
      </c>
      <c r="HH296" s="26">
        <v>0</v>
      </c>
      <c r="HI296" s="26">
        <v>0</v>
      </c>
      <c r="HJ296" s="26">
        <v>0</v>
      </c>
      <c r="HK296" s="26">
        <v>0</v>
      </c>
      <c r="HL296" s="26">
        <v>0</v>
      </c>
      <c r="HM296" s="26">
        <v>0</v>
      </c>
      <c r="HN296" s="26">
        <v>0</v>
      </c>
      <c r="HO296" s="26">
        <v>0</v>
      </c>
      <c r="HP296" s="26">
        <v>0</v>
      </c>
      <c r="HQ296" s="26">
        <v>0</v>
      </c>
      <c r="HR296" s="26">
        <v>0</v>
      </c>
      <c r="HS296" s="26">
        <v>0</v>
      </c>
      <c r="HT296" s="26">
        <v>0</v>
      </c>
    </row>
    <row r="297" spans="2:228" x14ac:dyDescent="0.2">
      <c r="B297" s="27" t="s">
        <v>3031</v>
      </c>
      <c r="C297" s="26">
        <v>71353.147700000001</v>
      </c>
      <c r="D297" s="26">
        <v>-226.35802200000001</v>
      </c>
      <c r="E297" s="26">
        <v>71353.147700000001</v>
      </c>
      <c r="F297" s="26">
        <v>0</v>
      </c>
      <c r="G297" s="26">
        <v>0</v>
      </c>
      <c r="H297" s="26">
        <v>0</v>
      </c>
      <c r="I297" s="26">
        <v>0</v>
      </c>
      <c r="J297" s="26">
        <v>0</v>
      </c>
      <c r="K297" s="26">
        <v>0</v>
      </c>
      <c r="L297" s="26">
        <v>0</v>
      </c>
      <c r="M297" s="26">
        <v>0</v>
      </c>
      <c r="N297" s="26">
        <v>0</v>
      </c>
      <c r="O297" s="26">
        <v>0</v>
      </c>
      <c r="P297" s="26">
        <v>0</v>
      </c>
      <c r="Q297" s="26">
        <v>0</v>
      </c>
      <c r="R297" s="26">
        <v>0</v>
      </c>
      <c r="S297" s="26">
        <v>0</v>
      </c>
      <c r="T297" s="26">
        <v>0</v>
      </c>
      <c r="U297" s="26">
        <v>0</v>
      </c>
      <c r="V297" s="26">
        <v>0</v>
      </c>
      <c r="W297" s="26">
        <v>0</v>
      </c>
      <c r="X297" s="26">
        <v>0</v>
      </c>
      <c r="Y297" s="26">
        <v>0</v>
      </c>
      <c r="Z297" s="26">
        <v>0</v>
      </c>
      <c r="AA297" s="26">
        <v>0</v>
      </c>
      <c r="AB297" s="26">
        <v>0</v>
      </c>
      <c r="AC297" s="26">
        <v>0</v>
      </c>
      <c r="AD297" s="26">
        <v>0</v>
      </c>
      <c r="AE297" s="26">
        <v>0</v>
      </c>
      <c r="AF297" s="26">
        <v>0</v>
      </c>
      <c r="AG297" s="26">
        <v>0</v>
      </c>
      <c r="AH297" s="26">
        <v>0</v>
      </c>
      <c r="AI297" s="26">
        <v>0</v>
      </c>
      <c r="AJ297" s="26">
        <v>0</v>
      </c>
      <c r="AK297" s="26">
        <v>0</v>
      </c>
      <c r="AL297" s="26">
        <v>0</v>
      </c>
      <c r="AM297" s="26">
        <v>0</v>
      </c>
      <c r="AN297" s="26">
        <v>0</v>
      </c>
      <c r="AO297" s="26">
        <v>0</v>
      </c>
      <c r="AP297" s="26">
        <v>0</v>
      </c>
      <c r="AQ297" s="26">
        <v>0</v>
      </c>
      <c r="AR297" s="26">
        <v>0</v>
      </c>
      <c r="AS297" s="26">
        <v>0</v>
      </c>
      <c r="AT297" s="26">
        <v>0</v>
      </c>
      <c r="AU297" s="26">
        <v>0</v>
      </c>
      <c r="AV297" s="26">
        <v>0</v>
      </c>
      <c r="AW297" s="26">
        <v>0</v>
      </c>
      <c r="AX297" s="26">
        <v>0</v>
      </c>
      <c r="AY297" s="26">
        <v>0</v>
      </c>
      <c r="AZ297" s="26">
        <v>0</v>
      </c>
      <c r="BA297" s="26">
        <v>0</v>
      </c>
      <c r="BB297" s="26">
        <v>0</v>
      </c>
      <c r="BC297" s="26">
        <v>0</v>
      </c>
      <c r="BD297" s="26">
        <v>0</v>
      </c>
      <c r="BE297" s="26">
        <v>0</v>
      </c>
      <c r="BF297" s="26">
        <v>0</v>
      </c>
      <c r="BG297" s="26">
        <v>0</v>
      </c>
      <c r="BH297" s="26">
        <v>0</v>
      </c>
      <c r="BI297" s="26">
        <v>0</v>
      </c>
      <c r="BJ297" s="26">
        <v>0</v>
      </c>
      <c r="BK297" s="26">
        <v>0</v>
      </c>
      <c r="BL297" s="26">
        <v>0</v>
      </c>
      <c r="BM297" s="26">
        <v>0</v>
      </c>
      <c r="BN297" s="26">
        <v>0</v>
      </c>
      <c r="BO297" s="26">
        <v>3960.7015600000004</v>
      </c>
      <c r="BP297" s="26">
        <v>71353.147700000001</v>
      </c>
      <c r="BQ297" s="26">
        <v>2021323</v>
      </c>
      <c r="BR297" s="26">
        <v>100.01783899999998</v>
      </c>
      <c r="BS297" s="26">
        <v>1</v>
      </c>
      <c r="BT297" s="26">
        <v>1</v>
      </c>
      <c r="BU297" s="26">
        <v>0</v>
      </c>
      <c r="BV297" s="26">
        <v>0</v>
      </c>
      <c r="BW297" s="26">
        <v>-57150.991099999999</v>
      </c>
      <c r="BX297" s="26">
        <v>-3172.3620799999999</v>
      </c>
      <c r="BY297" s="26">
        <v>-226.35802200000001</v>
      </c>
      <c r="BZ297" s="26">
        <v>-8.7832517699999997</v>
      </c>
      <c r="CA297" s="26">
        <v>-0.48754456000000002</v>
      </c>
      <c r="CB297" s="26">
        <v>3.2657666299999999E-5</v>
      </c>
      <c r="CC297" s="26">
        <v>5.8833700199999997E-4</v>
      </c>
      <c r="CD297" s="26">
        <v>18.015280000000001</v>
      </c>
      <c r="CE297" s="26">
        <v>1191.5110400000001</v>
      </c>
      <c r="CF297" s="26">
        <v>0</v>
      </c>
      <c r="CG297" s="26">
        <v>0</v>
      </c>
      <c r="CH297" s="26">
        <v>0</v>
      </c>
      <c r="CI297" s="26">
        <v>0</v>
      </c>
      <c r="CJ297" s="26">
        <v>0</v>
      </c>
      <c r="CK297" s="26">
        <v>0</v>
      </c>
      <c r="CL297" s="26">
        <v>0</v>
      </c>
      <c r="CM297" s="26">
        <v>0</v>
      </c>
      <c r="CN297" s="26">
        <v>0</v>
      </c>
      <c r="CO297" s="26">
        <v>0</v>
      </c>
      <c r="CP297" s="26">
        <v>0</v>
      </c>
      <c r="CQ297" s="26">
        <v>0</v>
      </c>
      <c r="CR297" s="26">
        <v>0</v>
      </c>
      <c r="CS297" s="26">
        <v>0</v>
      </c>
      <c r="CT297" s="26">
        <v>0</v>
      </c>
      <c r="CU297" s="26">
        <v>0</v>
      </c>
      <c r="CV297" s="26">
        <v>0</v>
      </c>
      <c r="CW297" s="26">
        <v>0</v>
      </c>
      <c r="CX297" s="26">
        <v>0</v>
      </c>
      <c r="CY297" s="26">
        <v>0</v>
      </c>
      <c r="CZ297" s="26">
        <v>0</v>
      </c>
      <c r="DA297" s="26">
        <v>0</v>
      </c>
      <c r="DB297" s="26">
        <v>0</v>
      </c>
      <c r="DC297" s="26">
        <v>0</v>
      </c>
      <c r="DD297" s="26">
        <v>0</v>
      </c>
      <c r="DE297" s="26">
        <v>0</v>
      </c>
      <c r="DF297" s="26">
        <v>0</v>
      </c>
      <c r="DG297" s="26">
        <v>0</v>
      </c>
      <c r="DH297" s="26">
        <v>0</v>
      </c>
      <c r="DI297" s="26">
        <v>0</v>
      </c>
      <c r="DJ297" s="26">
        <v>0</v>
      </c>
      <c r="DK297" s="26">
        <v>0</v>
      </c>
      <c r="DL297" s="26">
        <v>0</v>
      </c>
      <c r="DM297" s="26">
        <v>0</v>
      </c>
      <c r="DN297" s="26">
        <v>0</v>
      </c>
      <c r="DO297" s="26">
        <v>0</v>
      </c>
      <c r="DP297" s="26">
        <v>0</v>
      </c>
      <c r="DQ297" s="26">
        <v>0</v>
      </c>
      <c r="DR297" s="26">
        <v>0</v>
      </c>
      <c r="DS297" s="26">
        <v>0</v>
      </c>
      <c r="DT297" s="26">
        <v>0</v>
      </c>
      <c r="DU297" s="26">
        <v>0</v>
      </c>
      <c r="DV297" s="26">
        <v>0</v>
      </c>
      <c r="DW297" s="26">
        <v>0</v>
      </c>
      <c r="DX297" s="26">
        <v>0</v>
      </c>
      <c r="DY297" s="26">
        <v>0</v>
      </c>
      <c r="DZ297" s="26">
        <v>0</v>
      </c>
      <c r="EA297" s="26">
        <v>0</v>
      </c>
      <c r="EB297" s="26">
        <v>0</v>
      </c>
      <c r="EC297" s="26">
        <v>0</v>
      </c>
      <c r="ED297" s="26">
        <v>0</v>
      </c>
      <c r="EE297" s="26">
        <v>0</v>
      </c>
      <c r="EF297" s="26">
        <v>0</v>
      </c>
      <c r="EG297" s="26">
        <v>0</v>
      </c>
      <c r="EH297" s="26">
        <v>0</v>
      </c>
      <c r="EI297" s="26">
        <v>0</v>
      </c>
      <c r="EJ297" s="26">
        <v>0</v>
      </c>
      <c r="EK297" s="26">
        <v>0</v>
      </c>
      <c r="EL297" s="26">
        <v>0</v>
      </c>
      <c r="EM297" s="26">
        <v>0</v>
      </c>
      <c r="EN297" s="26">
        <v>0</v>
      </c>
      <c r="EO297" s="26">
        <v>0</v>
      </c>
      <c r="EP297" s="26">
        <v>0</v>
      </c>
      <c r="EQ297" s="26">
        <v>0</v>
      </c>
      <c r="ER297" s="26">
        <v>0</v>
      </c>
      <c r="ES297" s="26">
        <v>0</v>
      </c>
      <c r="ET297" s="26">
        <v>1</v>
      </c>
      <c r="EU297" s="26">
        <v>0</v>
      </c>
      <c r="EV297" s="26">
        <v>0</v>
      </c>
      <c r="EW297" s="26">
        <v>0</v>
      </c>
      <c r="EX297" s="26">
        <v>0</v>
      </c>
      <c r="EY297" s="26">
        <v>0</v>
      </c>
      <c r="EZ297" s="26">
        <v>0</v>
      </c>
      <c r="FA297" s="26">
        <v>0</v>
      </c>
      <c r="FB297" s="26">
        <v>0</v>
      </c>
      <c r="FC297" s="26">
        <v>0</v>
      </c>
      <c r="FD297" s="26">
        <v>0</v>
      </c>
      <c r="FE297" s="26">
        <v>0</v>
      </c>
      <c r="FF297" s="26">
        <v>0</v>
      </c>
      <c r="FG297" s="26">
        <v>0</v>
      </c>
      <c r="FH297" s="26">
        <v>-266042526.711</v>
      </c>
      <c r="FI297" s="26">
        <v>0</v>
      </c>
      <c r="FJ297" s="26">
        <v>1.100194886579337</v>
      </c>
      <c r="FK297" s="26">
        <v>0</v>
      </c>
      <c r="FL297" s="26">
        <v>0</v>
      </c>
      <c r="FM297" s="26">
        <v>0</v>
      </c>
      <c r="FN297" s="26">
        <v>0</v>
      </c>
      <c r="FO297" s="26">
        <v>0</v>
      </c>
      <c r="FP297" s="26">
        <v>0</v>
      </c>
      <c r="FQ297" s="26">
        <v>0</v>
      </c>
      <c r="FR297" s="26">
        <v>0</v>
      </c>
      <c r="FS297" s="26">
        <v>0</v>
      </c>
      <c r="FT297" s="26">
        <v>0</v>
      </c>
      <c r="FU297" s="26">
        <v>0</v>
      </c>
      <c r="FV297" s="26">
        <v>0</v>
      </c>
      <c r="FW297" s="26">
        <v>0</v>
      </c>
      <c r="FX297" s="26">
        <v>0</v>
      </c>
      <c r="FY297" s="26">
        <v>0</v>
      </c>
      <c r="FZ297" s="26">
        <v>0</v>
      </c>
      <c r="GA297" s="26">
        <v>0</v>
      </c>
      <c r="GB297" s="26">
        <v>0</v>
      </c>
      <c r="GC297" s="26">
        <v>0</v>
      </c>
      <c r="GD297" s="26">
        <v>0</v>
      </c>
      <c r="GE297" s="26">
        <v>0</v>
      </c>
      <c r="GF297" s="26">
        <v>0</v>
      </c>
      <c r="GG297" s="26">
        <v>0</v>
      </c>
      <c r="GH297" s="26">
        <v>0</v>
      </c>
      <c r="GI297" s="26">
        <v>0</v>
      </c>
      <c r="GJ297" s="26">
        <v>0</v>
      </c>
      <c r="GK297" s="26">
        <v>0</v>
      </c>
      <c r="GL297" s="26">
        <v>0</v>
      </c>
      <c r="GM297" s="26">
        <v>0</v>
      </c>
      <c r="GN297" s="26">
        <v>0</v>
      </c>
      <c r="GO297" s="26">
        <v>0</v>
      </c>
      <c r="GP297" s="26">
        <v>0</v>
      </c>
      <c r="GQ297" s="26">
        <v>0</v>
      </c>
      <c r="GR297" s="26">
        <v>0</v>
      </c>
      <c r="GS297" s="26">
        <v>0</v>
      </c>
      <c r="GT297" s="26">
        <v>0</v>
      </c>
      <c r="GU297" s="26">
        <v>0</v>
      </c>
      <c r="GV297" s="26">
        <v>0</v>
      </c>
      <c r="GW297" s="26">
        <v>0</v>
      </c>
      <c r="GX297" s="26">
        <v>0</v>
      </c>
      <c r="GY297" s="26">
        <v>0</v>
      </c>
      <c r="GZ297" s="26">
        <v>0</v>
      </c>
      <c r="HA297" s="26">
        <v>0</v>
      </c>
      <c r="HB297" s="26">
        <v>0</v>
      </c>
      <c r="HC297" s="26">
        <v>0</v>
      </c>
      <c r="HD297" s="26">
        <v>0</v>
      </c>
      <c r="HE297" s="26">
        <v>0</v>
      </c>
      <c r="HF297" s="26">
        <v>0</v>
      </c>
      <c r="HG297" s="26">
        <v>0</v>
      </c>
      <c r="HH297" s="26">
        <v>0</v>
      </c>
      <c r="HI297" s="26">
        <v>0</v>
      </c>
      <c r="HJ297" s="26">
        <v>0</v>
      </c>
      <c r="HK297" s="26">
        <v>0</v>
      </c>
      <c r="HL297" s="26">
        <v>0</v>
      </c>
      <c r="HM297" s="26">
        <v>0</v>
      </c>
      <c r="HN297" s="26">
        <v>0</v>
      </c>
      <c r="HO297" s="26">
        <v>0</v>
      </c>
      <c r="HP297" s="26">
        <v>0</v>
      </c>
      <c r="HQ297" s="26">
        <v>0</v>
      </c>
      <c r="HR297" s="26">
        <v>0</v>
      </c>
      <c r="HS297" s="26">
        <v>0</v>
      </c>
      <c r="HT297" s="26">
        <v>0</v>
      </c>
    </row>
    <row r="298" spans="2:228" x14ac:dyDescent="0.2">
      <c r="B298" s="27" t="s">
        <v>2905</v>
      </c>
      <c r="C298" s="26">
        <v>1323.8092200000001</v>
      </c>
      <c r="D298" s="26">
        <v>-3.3722107000000001</v>
      </c>
      <c r="E298" s="26">
        <v>665.21413099999995</v>
      </c>
      <c r="F298" s="26">
        <v>0</v>
      </c>
      <c r="G298" s="26">
        <v>0</v>
      </c>
      <c r="H298" s="26">
        <v>0</v>
      </c>
      <c r="I298" s="26">
        <v>0</v>
      </c>
      <c r="J298" s="26">
        <v>0</v>
      </c>
      <c r="K298" s="26">
        <v>0</v>
      </c>
      <c r="L298" s="26">
        <v>0</v>
      </c>
      <c r="M298" s="26">
        <v>0</v>
      </c>
      <c r="N298" s="26">
        <v>0</v>
      </c>
      <c r="O298" s="26">
        <v>0</v>
      </c>
      <c r="P298" s="26">
        <v>0</v>
      </c>
      <c r="Q298" s="26">
        <v>0</v>
      </c>
      <c r="R298" s="26">
        <v>0</v>
      </c>
      <c r="S298" s="26">
        <v>0</v>
      </c>
      <c r="T298" s="26">
        <v>0</v>
      </c>
      <c r="U298" s="26">
        <v>0</v>
      </c>
      <c r="V298" s="26">
        <v>0</v>
      </c>
      <c r="W298" s="26">
        <v>0</v>
      </c>
      <c r="X298" s="26">
        <v>327.64278100000001</v>
      </c>
      <c r="Y298" s="26">
        <v>0</v>
      </c>
      <c r="Z298" s="26">
        <v>0</v>
      </c>
      <c r="AA298" s="26">
        <v>0</v>
      </c>
      <c r="AB298" s="26">
        <v>0</v>
      </c>
      <c r="AC298" s="26">
        <v>0</v>
      </c>
      <c r="AD298" s="26">
        <v>0</v>
      </c>
      <c r="AE298" s="26">
        <v>0</v>
      </c>
      <c r="AF298" s="26">
        <v>0</v>
      </c>
      <c r="AG298" s="26">
        <v>0</v>
      </c>
      <c r="AH298" s="26">
        <v>0</v>
      </c>
      <c r="AI298" s="26">
        <v>0</v>
      </c>
      <c r="AJ298" s="26">
        <v>0</v>
      </c>
      <c r="AK298" s="26">
        <v>0</v>
      </c>
      <c r="AL298" s="26">
        <v>0</v>
      </c>
      <c r="AM298" s="26">
        <v>0</v>
      </c>
      <c r="AN298" s="26">
        <v>0</v>
      </c>
      <c r="AO298" s="26">
        <v>0</v>
      </c>
      <c r="AP298" s="26">
        <v>0</v>
      </c>
      <c r="AQ298" s="26">
        <v>0</v>
      </c>
      <c r="AR298" s="26">
        <v>0</v>
      </c>
      <c r="AS298" s="26">
        <v>0</v>
      </c>
      <c r="AT298" s="26">
        <v>0</v>
      </c>
      <c r="AU298" s="26">
        <v>0</v>
      </c>
      <c r="AV298" s="26">
        <v>0</v>
      </c>
      <c r="AW298" s="26">
        <v>0</v>
      </c>
      <c r="AX298" s="26">
        <v>0</v>
      </c>
      <c r="AY298" s="26">
        <v>0</v>
      </c>
      <c r="AZ298" s="26">
        <v>0</v>
      </c>
      <c r="BA298" s="26">
        <v>0</v>
      </c>
      <c r="BB298" s="26">
        <v>0</v>
      </c>
      <c r="BC298" s="26">
        <v>0</v>
      </c>
      <c r="BD298" s="26">
        <v>0</v>
      </c>
      <c r="BE298" s="26">
        <v>0</v>
      </c>
      <c r="BF298" s="26">
        <v>0</v>
      </c>
      <c r="BG298" s="26">
        <v>0</v>
      </c>
      <c r="BH298" s="26">
        <v>0</v>
      </c>
      <c r="BI298" s="26">
        <v>0</v>
      </c>
      <c r="BJ298" s="26">
        <v>0</v>
      </c>
      <c r="BK298" s="26">
        <v>0</v>
      </c>
      <c r="BL298" s="26">
        <v>0</v>
      </c>
      <c r="BM298" s="26">
        <v>0</v>
      </c>
      <c r="BN298" s="26">
        <v>0</v>
      </c>
      <c r="BO298" s="26">
        <v>40.562284400000003</v>
      </c>
      <c r="BP298" s="26">
        <v>992.85691100000008</v>
      </c>
      <c r="BQ298" s="26">
        <v>15.529260799999998</v>
      </c>
      <c r="BR298" s="26">
        <v>20.379153500000029</v>
      </c>
      <c r="BS298" s="26">
        <v>5.4229876600000013</v>
      </c>
      <c r="BT298" s="26">
        <v>0</v>
      </c>
      <c r="BU298" s="26">
        <v>1</v>
      </c>
      <c r="BV298" s="26">
        <v>0</v>
      </c>
      <c r="BW298" s="26">
        <v>-76828.823099999994</v>
      </c>
      <c r="BX298" s="26">
        <v>-3138.7731100000001</v>
      </c>
      <c r="BY298" s="26">
        <v>-3.1163525999999999</v>
      </c>
      <c r="BZ298" s="26">
        <v>-46.2974192</v>
      </c>
      <c r="CA298" s="26">
        <v>-1.8914398100000001</v>
      </c>
      <c r="CB298" s="26">
        <v>4.3533177300000003E-2</v>
      </c>
      <c r="CC298" s="26">
        <v>1.0655764700000001</v>
      </c>
      <c r="CD298" s="26">
        <v>24.477342100000001</v>
      </c>
      <c r="CE298" s="26">
        <v>15.580928500000001</v>
      </c>
      <c r="CF298" s="26">
        <v>0</v>
      </c>
      <c r="CG298" s="26">
        <v>0</v>
      </c>
      <c r="CH298" s="26">
        <v>0</v>
      </c>
      <c r="CI298" s="26">
        <v>0</v>
      </c>
      <c r="CJ298" s="26">
        <v>0</v>
      </c>
      <c r="CK298" s="26">
        <v>0</v>
      </c>
      <c r="CL298" s="26">
        <v>0</v>
      </c>
      <c r="CM298" s="26">
        <v>0</v>
      </c>
      <c r="CN298" s="26">
        <v>0</v>
      </c>
      <c r="CO298" s="26">
        <v>0</v>
      </c>
      <c r="CP298" s="26">
        <v>0</v>
      </c>
      <c r="CQ298" s="26">
        <v>0</v>
      </c>
      <c r="CR298" s="26">
        <v>0</v>
      </c>
      <c r="CS298" s="26">
        <v>0</v>
      </c>
      <c r="CT298" s="26">
        <v>0</v>
      </c>
      <c r="CU298" s="26">
        <v>0</v>
      </c>
      <c r="CV298" s="26">
        <v>0</v>
      </c>
      <c r="CW298" s="26">
        <v>0</v>
      </c>
      <c r="CX298" s="26">
        <v>0</v>
      </c>
      <c r="CY298" s="26">
        <v>0</v>
      </c>
      <c r="CZ298" s="26">
        <v>0</v>
      </c>
      <c r="DA298" s="26">
        <v>0</v>
      </c>
      <c r="DB298" s="26">
        <v>0</v>
      </c>
      <c r="DC298" s="26">
        <v>0</v>
      </c>
      <c r="DD298" s="26">
        <v>0</v>
      </c>
      <c r="DE298" s="26">
        <v>0</v>
      </c>
      <c r="DF298" s="26">
        <v>0</v>
      </c>
      <c r="DG298" s="26">
        <v>0</v>
      </c>
      <c r="DH298" s="26">
        <v>0</v>
      </c>
      <c r="DI298" s="26">
        <v>0</v>
      </c>
      <c r="DJ298" s="26">
        <v>0</v>
      </c>
      <c r="DK298" s="26">
        <v>0</v>
      </c>
      <c r="DL298" s="26">
        <v>0</v>
      </c>
      <c r="DM298" s="26">
        <v>0</v>
      </c>
      <c r="DN298" s="26">
        <v>0</v>
      </c>
      <c r="DO298" s="26">
        <v>0</v>
      </c>
      <c r="DP298" s="26">
        <v>0</v>
      </c>
      <c r="DQ298" s="26">
        <v>0</v>
      </c>
      <c r="DR298" s="26">
        <v>0</v>
      </c>
      <c r="DS298" s="26">
        <v>0</v>
      </c>
      <c r="DT298" s="26">
        <v>0</v>
      </c>
      <c r="DU298" s="26">
        <v>0</v>
      </c>
      <c r="DV298" s="26">
        <v>0</v>
      </c>
      <c r="DW298" s="26">
        <v>0</v>
      </c>
      <c r="DX298" s="26">
        <v>0</v>
      </c>
      <c r="DY298" s="26">
        <v>0</v>
      </c>
      <c r="DZ298" s="26">
        <v>0</v>
      </c>
      <c r="EA298" s="26">
        <v>0</v>
      </c>
      <c r="EB298" s="26">
        <v>0</v>
      </c>
      <c r="EC298" s="26">
        <v>0</v>
      </c>
      <c r="ED298" s="26">
        <v>0</v>
      </c>
      <c r="EE298" s="26">
        <v>330.95230400000003</v>
      </c>
      <c r="EF298" s="26">
        <v>0</v>
      </c>
      <c r="EG298" s="26">
        <v>0</v>
      </c>
      <c r="EH298" s="26">
        <v>0</v>
      </c>
      <c r="EI298" s="26">
        <v>0</v>
      </c>
      <c r="EJ298" s="26">
        <v>0</v>
      </c>
      <c r="EK298" s="26">
        <v>0</v>
      </c>
      <c r="EL298" s="26">
        <v>0</v>
      </c>
      <c r="EM298" s="26">
        <v>0</v>
      </c>
      <c r="EN298" s="26">
        <v>0</v>
      </c>
      <c r="EO298" s="26">
        <v>0</v>
      </c>
      <c r="EP298" s="26">
        <v>14.490284600000001</v>
      </c>
      <c r="EQ298" s="26">
        <v>330.95230400000003</v>
      </c>
      <c r="ER298" s="26">
        <v>3.6708720499999994</v>
      </c>
      <c r="ES298" s="26">
        <v>20.379153500000029</v>
      </c>
      <c r="ET298" s="26">
        <v>5.4229876600000013</v>
      </c>
      <c r="EU298" s="26">
        <v>0</v>
      </c>
      <c r="EV298" s="26">
        <v>0</v>
      </c>
      <c r="EW298" s="26">
        <v>1</v>
      </c>
      <c r="EX298" s="26">
        <v>-17657.216700000001</v>
      </c>
      <c r="EY298" s="26">
        <v>-773.09658300000001</v>
      </c>
      <c r="EZ298" s="26">
        <v>-0.25585809700000001</v>
      </c>
      <c r="FA298" s="26">
        <v>-59.223624999999998</v>
      </c>
      <c r="FB298" s="26">
        <v>-2.59302374</v>
      </c>
      <c r="FC298" s="26">
        <v>6.5789473700000003E-2</v>
      </c>
      <c r="FD298" s="26">
        <v>1.5026052599999999</v>
      </c>
      <c r="FE298" s="26">
        <v>22.839600000000001</v>
      </c>
      <c r="FF298" s="26">
        <v>0</v>
      </c>
      <c r="FG298" s="26">
        <v>0.62472096899999996</v>
      </c>
      <c r="FH298" s="26">
        <v>-3917082.7154399999</v>
      </c>
      <c r="FI298" s="26">
        <v>3.0310742464708163E-3</v>
      </c>
      <c r="FJ298" s="26">
        <v>0</v>
      </c>
      <c r="FK298" s="26">
        <v>0</v>
      </c>
      <c r="FL298" s="26">
        <v>0</v>
      </c>
      <c r="FM298" s="26">
        <v>0</v>
      </c>
      <c r="FN298" s="26">
        <v>0</v>
      </c>
      <c r="FO298" s="26">
        <v>0</v>
      </c>
      <c r="FP298" s="26">
        <v>0</v>
      </c>
      <c r="FQ298" s="26">
        <v>0</v>
      </c>
      <c r="FR298" s="26">
        <v>0</v>
      </c>
      <c r="FS298" s="26">
        <v>0</v>
      </c>
      <c r="FT298" s="26">
        <v>0</v>
      </c>
      <c r="FU298" s="26">
        <v>0</v>
      </c>
      <c r="FV298" s="26">
        <v>0</v>
      </c>
      <c r="FW298" s="26">
        <v>0</v>
      </c>
      <c r="FX298" s="26">
        <v>0</v>
      </c>
      <c r="FY298" s="26">
        <v>0</v>
      </c>
      <c r="FZ298" s="26">
        <v>0</v>
      </c>
      <c r="GA298" s="26">
        <v>0</v>
      </c>
      <c r="GB298" s="26">
        <v>0</v>
      </c>
      <c r="GC298" s="26">
        <v>0</v>
      </c>
      <c r="GD298" s="26">
        <v>0</v>
      </c>
      <c r="GE298" s="26">
        <v>0</v>
      </c>
      <c r="GF298" s="26">
        <v>0</v>
      </c>
      <c r="GG298" s="26">
        <v>0</v>
      </c>
      <c r="GH298" s="26">
        <v>0</v>
      </c>
      <c r="GI298" s="26">
        <v>0</v>
      </c>
      <c r="GJ298" s="26">
        <v>0</v>
      </c>
      <c r="GK298" s="26">
        <v>0</v>
      </c>
      <c r="GL298" s="26">
        <v>0</v>
      </c>
      <c r="GM298" s="26">
        <v>0</v>
      </c>
      <c r="GN298" s="26">
        <v>0</v>
      </c>
      <c r="GO298" s="26">
        <v>0</v>
      </c>
      <c r="GP298" s="26">
        <v>0</v>
      </c>
      <c r="GQ298" s="26">
        <v>0</v>
      </c>
      <c r="GR298" s="26">
        <v>0</v>
      </c>
      <c r="GS298" s="26">
        <v>0</v>
      </c>
      <c r="GT298" s="26">
        <v>0</v>
      </c>
      <c r="GU298" s="26">
        <v>0</v>
      </c>
      <c r="GV298" s="26">
        <v>0</v>
      </c>
      <c r="GW298" s="26">
        <v>0</v>
      </c>
      <c r="GX298" s="26">
        <v>0</v>
      </c>
      <c r="GY298" s="26">
        <v>0</v>
      </c>
      <c r="GZ298" s="26">
        <v>0</v>
      </c>
      <c r="HA298" s="26">
        <v>0</v>
      </c>
      <c r="HB298" s="26">
        <v>0</v>
      </c>
      <c r="HC298" s="26">
        <v>0</v>
      </c>
      <c r="HD298" s="26">
        <v>0</v>
      </c>
      <c r="HE298" s="26">
        <v>0</v>
      </c>
      <c r="HF298" s="26">
        <v>0</v>
      </c>
      <c r="HG298" s="26">
        <v>0</v>
      </c>
      <c r="HH298" s="26">
        <v>0</v>
      </c>
      <c r="HI298" s="26">
        <v>0</v>
      </c>
      <c r="HJ298" s="26">
        <v>0</v>
      </c>
      <c r="HK298" s="26">
        <v>0</v>
      </c>
      <c r="HL298" s="26">
        <v>0</v>
      </c>
      <c r="HM298" s="26">
        <v>0</v>
      </c>
      <c r="HN298" s="26">
        <v>0</v>
      </c>
      <c r="HO298" s="26">
        <v>0</v>
      </c>
      <c r="HP298" s="26">
        <v>0</v>
      </c>
      <c r="HQ298" s="26">
        <v>0</v>
      </c>
      <c r="HR298" s="26">
        <v>0</v>
      </c>
      <c r="HS298" s="26">
        <v>0</v>
      </c>
      <c r="HT298" s="26">
        <v>4.0250790877561886E-3</v>
      </c>
    </row>
    <row r="299" spans="2:228" x14ac:dyDescent="0.2">
      <c r="B299" s="27" t="s">
        <v>2430</v>
      </c>
      <c r="C299" s="26">
        <v>1980.28674</v>
      </c>
      <c r="D299" s="26">
        <v>-4.0851927999999997</v>
      </c>
      <c r="E299" s="26">
        <v>138.62007199999999</v>
      </c>
      <c r="F299" s="26">
        <v>0</v>
      </c>
      <c r="G299" s="26">
        <v>0</v>
      </c>
      <c r="H299" s="26">
        <v>0</v>
      </c>
      <c r="I299" s="26">
        <v>0</v>
      </c>
      <c r="J299" s="26">
        <v>0</v>
      </c>
      <c r="K299" s="26">
        <v>0</v>
      </c>
      <c r="L299" s="26">
        <v>0</v>
      </c>
      <c r="M299" s="26">
        <v>0</v>
      </c>
      <c r="N299" s="26">
        <v>0</v>
      </c>
      <c r="O299" s="26">
        <v>0</v>
      </c>
      <c r="P299" s="26">
        <v>0</v>
      </c>
      <c r="Q299" s="26">
        <v>0</v>
      </c>
      <c r="R299" s="26">
        <v>0</v>
      </c>
      <c r="S299" s="26">
        <v>0</v>
      </c>
      <c r="T299" s="26">
        <v>0</v>
      </c>
      <c r="U299" s="26">
        <v>0</v>
      </c>
      <c r="V299" s="26">
        <v>0</v>
      </c>
      <c r="W299" s="26">
        <v>0</v>
      </c>
      <c r="X299" s="26">
        <v>0</v>
      </c>
      <c r="Y299" s="26">
        <v>0</v>
      </c>
      <c r="Z299" s="26">
        <v>0</v>
      </c>
      <c r="AA299" s="26">
        <v>0</v>
      </c>
      <c r="AB299" s="26">
        <v>0</v>
      </c>
      <c r="AC299" s="26">
        <v>1841.6666700000001</v>
      </c>
      <c r="AD299" s="26">
        <v>0</v>
      </c>
      <c r="AE299" s="26">
        <v>0</v>
      </c>
      <c r="AF299" s="26">
        <v>0</v>
      </c>
      <c r="AG299" s="26">
        <v>0</v>
      </c>
      <c r="AH299" s="26">
        <v>0</v>
      </c>
      <c r="AI299" s="26">
        <v>0</v>
      </c>
      <c r="AJ299" s="26">
        <v>0</v>
      </c>
      <c r="AK299" s="26">
        <v>0</v>
      </c>
      <c r="AL299" s="26">
        <v>0</v>
      </c>
      <c r="AM299" s="26">
        <v>0</v>
      </c>
      <c r="AN299" s="26">
        <v>0</v>
      </c>
      <c r="AO299" s="26">
        <v>0</v>
      </c>
      <c r="AP299" s="26">
        <v>0</v>
      </c>
      <c r="AQ299" s="26">
        <v>0</v>
      </c>
      <c r="AR299" s="26">
        <v>0</v>
      </c>
      <c r="AS299" s="26">
        <v>0</v>
      </c>
      <c r="AT299" s="26">
        <v>0</v>
      </c>
      <c r="AU299" s="26">
        <v>0</v>
      </c>
      <c r="AV299" s="26">
        <v>0</v>
      </c>
      <c r="AW299" s="26">
        <v>0</v>
      </c>
      <c r="AX299" s="26">
        <v>0</v>
      </c>
      <c r="AY299" s="26">
        <v>0</v>
      </c>
      <c r="AZ299" s="26">
        <v>0</v>
      </c>
      <c r="BA299" s="26">
        <v>0</v>
      </c>
      <c r="BB299" s="26">
        <v>0</v>
      </c>
      <c r="BC299" s="26">
        <v>0</v>
      </c>
      <c r="BD299" s="26">
        <v>0</v>
      </c>
      <c r="BE299" s="26">
        <v>0</v>
      </c>
      <c r="BF299" s="26">
        <v>0</v>
      </c>
      <c r="BG299" s="26">
        <v>0</v>
      </c>
      <c r="BH299" s="26">
        <v>0</v>
      </c>
      <c r="BI299" s="26">
        <v>0</v>
      </c>
      <c r="BJ299" s="26">
        <v>0</v>
      </c>
      <c r="BK299" s="26">
        <v>0</v>
      </c>
      <c r="BL299" s="26">
        <v>0</v>
      </c>
      <c r="BM299" s="26">
        <v>0</v>
      </c>
      <c r="BN299" s="26">
        <v>0</v>
      </c>
      <c r="BO299" s="26">
        <v>26.471871499999999</v>
      </c>
      <c r="BP299" s="26">
        <v>1980.28674</v>
      </c>
      <c r="BQ299" s="26">
        <v>20.907835800000001</v>
      </c>
      <c r="BR299" s="26">
        <v>20.905907300000024</v>
      </c>
      <c r="BS299" s="26">
        <v>5.4229876600000013</v>
      </c>
      <c r="BT299" s="26">
        <v>0</v>
      </c>
      <c r="BU299" s="26">
        <v>1</v>
      </c>
      <c r="BV299" s="26">
        <v>0</v>
      </c>
      <c r="BW299" s="26">
        <v>-154322.02299999999</v>
      </c>
      <c r="BX299" s="26">
        <v>-2062.92992</v>
      </c>
      <c r="BY299" s="26">
        <v>-4.0851927999999997</v>
      </c>
      <c r="BZ299" s="26">
        <v>-66.548181200000002</v>
      </c>
      <c r="CA299" s="26">
        <v>-0.88959586800000001</v>
      </c>
      <c r="CB299" s="26">
        <v>2.11020336E-2</v>
      </c>
      <c r="CC299" s="26">
        <v>1.5785841700000001</v>
      </c>
      <c r="CD299" s="26">
        <v>74.807205800000006</v>
      </c>
      <c r="CE299" s="26">
        <v>19.100806299999999</v>
      </c>
      <c r="CF299" s="26">
        <v>0</v>
      </c>
      <c r="CG299" s="26">
        <v>0</v>
      </c>
      <c r="CH299" s="26">
        <v>0</v>
      </c>
      <c r="CI299" s="26">
        <v>0</v>
      </c>
      <c r="CJ299" s="26">
        <v>0</v>
      </c>
      <c r="CK299" s="26">
        <v>0</v>
      </c>
      <c r="CL299" s="26">
        <v>0</v>
      </c>
      <c r="CM299" s="26">
        <v>0</v>
      </c>
      <c r="CN299" s="26">
        <v>0</v>
      </c>
      <c r="CO299" s="26">
        <v>0</v>
      </c>
      <c r="CP299" s="26">
        <v>0</v>
      </c>
      <c r="CQ299" s="26">
        <v>0</v>
      </c>
      <c r="CR299" s="26">
        <v>0</v>
      </c>
      <c r="CS299" s="26">
        <v>0</v>
      </c>
      <c r="CT299" s="26">
        <v>0</v>
      </c>
      <c r="CU299" s="26">
        <v>0</v>
      </c>
      <c r="CV299" s="26">
        <v>0</v>
      </c>
      <c r="CW299" s="26">
        <v>0</v>
      </c>
      <c r="CX299" s="26">
        <v>0</v>
      </c>
      <c r="CY299" s="26">
        <v>0</v>
      </c>
      <c r="CZ299" s="26">
        <v>0</v>
      </c>
      <c r="DA299" s="26">
        <v>0</v>
      </c>
      <c r="DB299" s="26">
        <v>0</v>
      </c>
      <c r="DC299" s="26">
        <v>0</v>
      </c>
      <c r="DD299" s="26">
        <v>0</v>
      </c>
      <c r="DE299" s="26">
        <v>0</v>
      </c>
      <c r="DF299" s="26">
        <v>0</v>
      </c>
      <c r="DG299" s="26">
        <v>0</v>
      </c>
      <c r="DH299" s="26">
        <v>0</v>
      </c>
      <c r="DI299" s="26">
        <v>0</v>
      </c>
      <c r="DJ299" s="26">
        <v>0</v>
      </c>
      <c r="DK299" s="26">
        <v>0</v>
      </c>
      <c r="DL299" s="26">
        <v>0</v>
      </c>
      <c r="DM299" s="26">
        <v>0</v>
      </c>
      <c r="DN299" s="26">
        <v>0</v>
      </c>
      <c r="DO299" s="26">
        <v>0</v>
      </c>
      <c r="DP299" s="26">
        <v>0</v>
      </c>
      <c r="DQ299" s="26">
        <v>0</v>
      </c>
      <c r="DR299" s="26">
        <v>0</v>
      </c>
      <c r="DS299" s="26">
        <v>0</v>
      </c>
      <c r="DT299" s="26">
        <v>0</v>
      </c>
      <c r="DU299" s="26">
        <v>0</v>
      </c>
      <c r="DV299" s="26">
        <v>0</v>
      </c>
      <c r="DW299" s="26">
        <v>0</v>
      </c>
      <c r="DX299" s="26">
        <v>0</v>
      </c>
      <c r="DY299" s="26">
        <v>0</v>
      </c>
      <c r="DZ299" s="26">
        <v>0</v>
      </c>
      <c r="EA299" s="26">
        <v>0</v>
      </c>
      <c r="EB299" s="26">
        <v>0</v>
      </c>
      <c r="EC299" s="26">
        <v>0</v>
      </c>
      <c r="ED299" s="26">
        <v>0</v>
      </c>
      <c r="EE299" s="26">
        <v>0</v>
      </c>
      <c r="EF299" s="26">
        <v>0</v>
      </c>
      <c r="EG299" s="26">
        <v>0</v>
      </c>
      <c r="EH299" s="26">
        <v>0</v>
      </c>
      <c r="EI299" s="26">
        <v>0</v>
      </c>
      <c r="EJ299" s="26">
        <v>0</v>
      </c>
      <c r="EK299" s="26">
        <v>0</v>
      </c>
      <c r="EL299" s="26">
        <v>0</v>
      </c>
      <c r="EM299" s="26">
        <v>0</v>
      </c>
      <c r="EN299" s="26">
        <v>0</v>
      </c>
      <c r="EO299" s="26">
        <v>0</v>
      </c>
      <c r="EP299" s="26">
        <v>0</v>
      </c>
      <c r="EQ299" s="26">
        <v>0</v>
      </c>
      <c r="ER299" s="26">
        <v>0</v>
      </c>
      <c r="ES299" s="26">
        <v>0</v>
      </c>
      <c r="ET299" s="26">
        <v>5.4229876600000013</v>
      </c>
      <c r="EU299" s="26">
        <v>0</v>
      </c>
      <c r="EV299" s="26">
        <v>0</v>
      </c>
      <c r="EW299" s="26">
        <v>0</v>
      </c>
      <c r="EX299" s="26">
        <v>0</v>
      </c>
      <c r="EY299" s="26">
        <v>0</v>
      </c>
      <c r="EZ299" s="26">
        <v>0</v>
      </c>
      <c r="FA299" s="26">
        <v>0</v>
      </c>
      <c r="FB299" s="26">
        <v>0</v>
      </c>
      <c r="FC299" s="26">
        <v>0</v>
      </c>
      <c r="FD299" s="26">
        <v>0</v>
      </c>
      <c r="FE299" s="26">
        <v>0</v>
      </c>
      <c r="FF299" s="26">
        <v>0</v>
      </c>
      <c r="FG299" s="26">
        <v>0</v>
      </c>
      <c r="FH299" s="26">
        <v>-4748682.7834900003</v>
      </c>
      <c r="FI299" s="26">
        <v>0</v>
      </c>
      <c r="FJ299" s="26">
        <v>0</v>
      </c>
      <c r="FK299" s="26">
        <v>0</v>
      </c>
      <c r="FL299" s="26">
        <v>0</v>
      </c>
      <c r="FM299" s="26">
        <v>0</v>
      </c>
      <c r="FN299" s="26">
        <v>0</v>
      </c>
      <c r="FO299" s="26">
        <v>0</v>
      </c>
      <c r="FP299" s="26">
        <v>0</v>
      </c>
      <c r="FQ299" s="26">
        <v>0</v>
      </c>
      <c r="FR299" s="26">
        <v>0</v>
      </c>
      <c r="FS299" s="26">
        <v>0</v>
      </c>
      <c r="FT299" s="26">
        <v>0</v>
      </c>
      <c r="FU299" s="26">
        <v>0</v>
      </c>
      <c r="FV299" s="26">
        <v>0</v>
      </c>
      <c r="FW299" s="26">
        <v>0</v>
      </c>
      <c r="FX299" s="26">
        <v>0</v>
      </c>
      <c r="FY299" s="26">
        <v>0</v>
      </c>
      <c r="FZ299" s="26">
        <v>0</v>
      </c>
      <c r="GA299" s="26">
        <v>0</v>
      </c>
      <c r="GB299" s="26">
        <v>0</v>
      </c>
      <c r="GC299" s="26">
        <v>0</v>
      </c>
      <c r="GD299" s="26">
        <v>0</v>
      </c>
      <c r="GE299" s="26">
        <v>0</v>
      </c>
      <c r="GF299" s="26">
        <v>0</v>
      </c>
      <c r="GG299" s="26">
        <v>0</v>
      </c>
      <c r="GH299" s="26">
        <v>0</v>
      </c>
      <c r="GI299" s="26">
        <v>0</v>
      </c>
      <c r="GJ299" s="26">
        <v>0</v>
      </c>
      <c r="GK299" s="26">
        <v>0</v>
      </c>
      <c r="GL299" s="26">
        <v>0</v>
      </c>
      <c r="GM299" s="26">
        <v>0</v>
      </c>
      <c r="GN299" s="26">
        <v>0</v>
      </c>
      <c r="GO299" s="26">
        <v>0</v>
      </c>
      <c r="GP299" s="26">
        <v>0</v>
      </c>
      <c r="GQ299" s="26">
        <v>0</v>
      </c>
      <c r="GR299" s="26">
        <v>0</v>
      </c>
      <c r="GS299" s="26">
        <v>0</v>
      </c>
      <c r="GT299" s="26">
        <v>0</v>
      </c>
      <c r="GU299" s="26">
        <v>0</v>
      </c>
      <c r="GV299" s="26">
        <v>0</v>
      </c>
      <c r="GW299" s="26">
        <v>0</v>
      </c>
      <c r="GX299" s="26">
        <v>0</v>
      </c>
      <c r="GY299" s="26">
        <v>0</v>
      </c>
      <c r="GZ299" s="26">
        <v>0</v>
      </c>
      <c r="HA299" s="26">
        <v>0</v>
      </c>
      <c r="HB299" s="26">
        <v>0</v>
      </c>
      <c r="HC299" s="26">
        <v>0</v>
      </c>
      <c r="HD299" s="26">
        <v>0</v>
      </c>
      <c r="HE299" s="26">
        <v>0</v>
      </c>
      <c r="HF299" s="26">
        <v>0</v>
      </c>
      <c r="HG299" s="26">
        <v>0</v>
      </c>
      <c r="HH299" s="26">
        <v>0</v>
      </c>
      <c r="HI299" s="26">
        <v>0</v>
      </c>
      <c r="HJ299" s="26">
        <v>0</v>
      </c>
      <c r="HK299" s="26">
        <v>0</v>
      </c>
      <c r="HL299" s="26">
        <v>0</v>
      </c>
      <c r="HM299" s="26">
        <v>0</v>
      </c>
      <c r="HN299" s="26">
        <v>0</v>
      </c>
      <c r="HO299" s="26">
        <v>0</v>
      </c>
      <c r="HP299" s="26">
        <v>0</v>
      </c>
      <c r="HQ299" s="26">
        <v>0</v>
      </c>
      <c r="HR299" s="26">
        <v>0</v>
      </c>
      <c r="HS299" s="26">
        <v>0</v>
      </c>
      <c r="HT299" s="26">
        <v>0</v>
      </c>
    </row>
    <row r="300" spans="2:228" x14ac:dyDescent="0.2">
      <c r="B300" s="27" t="s">
        <v>2431</v>
      </c>
      <c r="C300" s="26">
        <v>0.32532704899999998</v>
      </c>
      <c r="D300" s="26">
        <v>-6.7112690800000003E-4</v>
      </c>
      <c r="E300" s="26">
        <v>2.2772893400000001E-2</v>
      </c>
      <c r="F300" s="26">
        <v>0</v>
      </c>
      <c r="G300" s="26">
        <v>0</v>
      </c>
      <c r="H300" s="26">
        <v>0</v>
      </c>
      <c r="I300" s="26">
        <v>0</v>
      </c>
      <c r="J300" s="26">
        <v>0</v>
      </c>
      <c r="K300" s="26">
        <v>0</v>
      </c>
      <c r="L300" s="26">
        <v>0</v>
      </c>
      <c r="M300" s="26">
        <v>0</v>
      </c>
      <c r="N300" s="26">
        <v>0</v>
      </c>
      <c r="O300" s="26">
        <v>0</v>
      </c>
      <c r="P300" s="26">
        <v>0</v>
      </c>
      <c r="Q300" s="26">
        <v>0</v>
      </c>
      <c r="R300" s="26">
        <v>0</v>
      </c>
      <c r="S300" s="26">
        <v>0</v>
      </c>
      <c r="T300" s="26">
        <v>0</v>
      </c>
      <c r="U300" s="26">
        <v>0</v>
      </c>
      <c r="V300" s="26">
        <v>0</v>
      </c>
      <c r="W300" s="26">
        <v>0</v>
      </c>
      <c r="X300" s="26">
        <v>0</v>
      </c>
      <c r="Y300" s="26">
        <v>0</v>
      </c>
      <c r="Z300" s="26">
        <v>0</v>
      </c>
      <c r="AA300" s="26">
        <v>0</v>
      </c>
      <c r="AB300" s="26">
        <v>0</v>
      </c>
      <c r="AC300" s="26">
        <v>0.30255415499999999</v>
      </c>
      <c r="AD300" s="26">
        <v>0</v>
      </c>
      <c r="AE300" s="26">
        <v>0</v>
      </c>
      <c r="AF300" s="26">
        <v>0</v>
      </c>
      <c r="AG300" s="26">
        <v>0</v>
      </c>
      <c r="AH300" s="26">
        <v>0</v>
      </c>
      <c r="AI300" s="26">
        <v>0</v>
      </c>
      <c r="AJ300" s="26">
        <v>0</v>
      </c>
      <c r="AK300" s="26">
        <v>0</v>
      </c>
      <c r="AL300" s="26">
        <v>0</v>
      </c>
      <c r="AM300" s="26">
        <v>0</v>
      </c>
      <c r="AN300" s="26">
        <v>0</v>
      </c>
      <c r="AO300" s="26">
        <v>0</v>
      </c>
      <c r="AP300" s="26">
        <v>0</v>
      </c>
      <c r="AQ300" s="26">
        <v>0</v>
      </c>
      <c r="AR300" s="26">
        <v>0</v>
      </c>
      <c r="AS300" s="26">
        <v>0</v>
      </c>
      <c r="AT300" s="26">
        <v>0</v>
      </c>
      <c r="AU300" s="26">
        <v>0</v>
      </c>
      <c r="AV300" s="26">
        <v>0</v>
      </c>
      <c r="AW300" s="26">
        <v>0</v>
      </c>
      <c r="AX300" s="26">
        <v>0</v>
      </c>
      <c r="AY300" s="26">
        <v>0</v>
      </c>
      <c r="AZ300" s="26">
        <v>0</v>
      </c>
      <c r="BA300" s="26">
        <v>0</v>
      </c>
      <c r="BB300" s="26">
        <v>0</v>
      </c>
      <c r="BC300" s="26">
        <v>0</v>
      </c>
      <c r="BD300" s="26">
        <v>0</v>
      </c>
      <c r="BE300" s="26">
        <v>0</v>
      </c>
      <c r="BF300" s="26">
        <v>0</v>
      </c>
      <c r="BG300" s="26">
        <v>0</v>
      </c>
      <c r="BH300" s="26">
        <v>0</v>
      </c>
      <c r="BI300" s="26">
        <v>0</v>
      </c>
      <c r="BJ300" s="26">
        <v>0</v>
      </c>
      <c r="BK300" s="26">
        <v>0</v>
      </c>
      <c r="BL300" s="26">
        <v>0</v>
      </c>
      <c r="BM300" s="26">
        <v>0</v>
      </c>
      <c r="BN300" s="26">
        <v>0</v>
      </c>
      <c r="BO300" s="26">
        <v>4.3488731499999999E-3</v>
      </c>
      <c r="BP300" s="26">
        <v>0.32532704899999998</v>
      </c>
      <c r="BQ300" s="26">
        <v>3.4347977900000002E-3</v>
      </c>
      <c r="BR300" s="26">
        <v>20.905907300000024</v>
      </c>
      <c r="BS300" s="26">
        <v>5.4229876600000013</v>
      </c>
      <c r="BT300" s="26">
        <v>0</v>
      </c>
      <c r="BU300" s="26">
        <v>1</v>
      </c>
      <c r="BV300" s="26">
        <v>0</v>
      </c>
      <c r="BW300" s="26">
        <v>-154322.02299999999</v>
      </c>
      <c r="BX300" s="26">
        <v>-2062.92992</v>
      </c>
      <c r="BY300" s="26">
        <v>-6.7112690800000003E-4</v>
      </c>
      <c r="BZ300" s="26">
        <v>-66.548181200000002</v>
      </c>
      <c r="CA300" s="26">
        <v>-0.88959586800000001</v>
      </c>
      <c r="CB300" s="26">
        <v>2.11020336E-2</v>
      </c>
      <c r="CC300" s="26">
        <v>1.5785841700000001</v>
      </c>
      <c r="CD300" s="26">
        <v>74.807205800000006</v>
      </c>
      <c r="CE300" s="26">
        <v>3.1379339300000001E-3</v>
      </c>
      <c r="CF300" s="26">
        <v>0</v>
      </c>
      <c r="CG300" s="26">
        <v>0</v>
      </c>
      <c r="CH300" s="26">
        <v>0</v>
      </c>
      <c r="CI300" s="26">
        <v>0</v>
      </c>
      <c r="CJ300" s="26">
        <v>0</v>
      </c>
      <c r="CK300" s="26">
        <v>0</v>
      </c>
      <c r="CL300" s="26">
        <v>0</v>
      </c>
      <c r="CM300" s="26">
        <v>0</v>
      </c>
      <c r="CN300" s="26">
        <v>0</v>
      </c>
      <c r="CO300" s="26">
        <v>0</v>
      </c>
      <c r="CP300" s="26">
        <v>0</v>
      </c>
      <c r="CQ300" s="26">
        <v>0</v>
      </c>
      <c r="CR300" s="26">
        <v>0</v>
      </c>
      <c r="CS300" s="26">
        <v>0</v>
      </c>
      <c r="CT300" s="26">
        <v>0</v>
      </c>
      <c r="CU300" s="26">
        <v>0</v>
      </c>
      <c r="CV300" s="26">
        <v>0</v>
      </c>
      <c r="CW300" s="26">
        <v>0</v>
      </c>
      <c r="CX300" s="26">
        <v>0</v>
      </c>
      <c r="CY300" s="26">
        <v>0</v>
      </c>
      <c r="CZ300" s="26">
        <v>0</v>
      </c>
      <c r="DA300" s="26">
        <v>0</v>
      </c>
      <c r="DB300" s="26">
        <v>0</v>
      </c>
      <c r="DC300" s="26">
        <v>0</v>
      </c>
      <c r="DD300" s="26">
        <v>0</v>
      </c>
      <c r="DE300" s="26">
        <v>0</v>
      </c>
      <c r="DF300" s="26">
        <v>0</v>
      </c>
      <c r="DG300" s="26">
        <v>0</v>
      </c>
      <c r="DH300" s="26">
        <v>0</v>
      </c>
      <c r="DI300" s="26">
        <v>0</v>
      </c>
      <c r="DJ300" s="26">
        <v>0</v>
      </c>
      <c r="DK300" s="26">
        <v>0</v>
      </c>
      <c r="DL300" s="26">
        <v>0</v>
      </c>
      <c r="DM300" s="26">
        <v>0</v>
      </c>
      <c r="DN300" s="26">
        <v>0</v>
      </c>
      <c r="DO300" s="26">
        <v>0</v>
      </c>
      <c r="DP300" s="26">
        <v>0</v>
      </c>
      <c r="DQ300" s="26">
        <v>0</v>
      </c>
      <c r="DR300" s="26">
        <v>0</v>
      </c>
      <c r="DS300" s="26">
        <v>0</v>
      </c>
      <c r="DT300" s="26">
        <v>0</v>
      </c>
      <c r="DU300" s="26">
        <v>0</v>
      </c>
      <c r="DV300" s="26">
        <v>0</v>
      </c>
      <c r="DW300" s="26">
        <v>0</v>
      </c>
      <c r="DX300" s="26">
        <v>0</v>
      </c>
      <c r="DY300" s="26">
        <v>0</v>
      </c>
      <c r="DZ300" s="26">
        <v>0</v>
      </c>
      <c r="EA300" s="26">
        <v>0</v>
      </c>
      <c r="EB300" s="26">
        <v>0</v>
      </c>
      <c r="EC300" s="26">
        <v>0</v>
      </c>
      <c r="ED300" s="26">
        <v>0</v>
      </c>
      <c r="EE300" s="26">
        <v>0</v>
      </c>
      <c r="EF300" s="26">
        <v>0</v>
      </c>
      <c r="EG300" s="26">
        <v>0</v>
      </c>
      <c r="EH300" s="26">
        <v>0</v>
      </c>
      <c r="EI300" s="26">
        <v>0</v>
      </c>
      <c r="EJ300" s="26">
        <v>0</v>
      </c>
      <c r="EK300" s="26">
        <v>0</v>
      </c>
      <c r="EL300" s="26">
        <v>0</v>
      </c>
      <c r="EM300" s="26">
        <v>0</v>
      </c>
      <c r="EN300" s="26">
        <v>0</v>
      </c>
      <c r="EO300" s="26">
        <v>0</v>
      </c>
      <c r="EP300" s="26">
        <v>0</v>
      </c>
      <c r="EQ300" s="26">
        <v>0</v>
      </c>
      <c r="ER300" s="26">
        <v>0</v>
      </c>
      <c r="ES300" s="26">
        <v>0</v>
      </c>
      <c r="ET300" s="26">
        <v>5.4229876600000013</v>
      </c>
      <c r="EU300" s="26">
        <v>0</v>
      </c>
      <c r="EV300" s="26">
        <v>0</v>
      </c>
      <c r="EW300" s="26">
        <v>0</v>
      </c>
      <c r="EX300" s="26">
        <v>0</v>
      </c>
      <c r="EY300" s="26">
        <v>0</v>
      </c>
      <c r="EZ300" s="26">
        <v>0</v>
      </c>
      <c r="FA300" s="26">
        <v>0</v>
      </c>
      <c r="FB300" s="26">
        <v>0</v>
      </c>
      <c r="FC300" s="26">
        <v>0</v>
      </c>
      <c r="FD300" s="26">
        <v>0</v>
      </c>
      <c r="FE300" s="26">
        <v>0</v>
      </c>
      <c r="FF300" s="26">
        <v>0</v>
      </c>
      <c r="FG300" s="26">
        <v>0</v>
      </c>
      <c r="FH300" s="26">
        <v>-780.12690105900003</v>
      </c>
      <c r="FI300" s="26">
        <v>0</v>
      </c>
      <c r="FJ300" s="26">
        <v>0</v>
      </c>
      <c r="FK300" s="26">
        <v>0</v>
      </c>
      <c r="FL300" s="26">
        <v>0</v>
      </c>
      <c r="FM300" s="26">
        <v>0</v>
      </c>
      <c r="FN300" s="26">
        <v>0</v>
      </c>
      <c r="FO300" s="26">
        <v>0</v>
      </c>
      <c r="FP300" s="26">
        <v>0</v>
      </c>
      <c r="FQ300" s="26">
        <v>0</v>
      </c>
      <c r="FR300" s="26">
        <v>0</v>
      </c>
      <c r="FS300" s="26">
        <v>0</v>
      </c>
      <c r="FT300" s="26">
        <v>0</v>
      </c>
      <c r="FU300" s="26">
        <v>0</v>
      </c>
      <c r="FV300" s="26">
        <v>0</v>
      </c>
      <c r="FW300" s="26">
        <v>0</v>
      </c>
      <c r="FX300" s="26">
        <v>0</v>
      </c>
      <c r="FY300" s="26">
        <v>0</v>
      </c>
      <c r="FZ300" s="26">
        <v>0</v>
      </c>
      <c r="GA300" s="26">
        <v>0</v>
      </c>
      <c r="GB300" s="26">
        <v>0</v>
      </c>
      <c r="GC300" s="26">
        <v>0</v>
      </c>
      <c r="GD300" s="26">
        <v>0</v>
      </c>
      <c r="GE300" s="26">
        <v>0</v>
      </c>
      <c r="GF300" s="26">
        <v>0</v>
      </c>
      <c r="GG300" s="26">
        <v>0</v>
      </c>
      <c r="GH300" s="26">
        <v>0</v>
      </c>
      <c r="GI300" s="26">
        <v>0</v>
      </c>
      <c r="GJ300" s="26">
        <v>0</v>
      </c>
      <c r="GK300" s="26">
        <v>0</v>
      </c>
      <c r="GL300" s="26">
        <v>0</v>
      </c>
      <c r="GM300" s="26">
        <v>0</v>
      </c>
      <c r="GN300" s="26">
        <v>0</v>
      </c>
      <c r="GO300" s="26">
        <v>0</v>
      </c>
      <c r="GP300" s="26">
        <v>0</v>
      </c>
      <c r="GQ300" s="26">
        <v>0</v>
      </c>
      <c r="GR300" s="26">
        <v>0</v>
      </c>
      <c r="GS300" s="26">
        <v>0</v>
      </c>
      <c r="GT300" s="26">
        <v>0</v>
      </c>
      <c r="GU300" s="26">
        <v>0</v>
      </c>
      <c r="GV300" s="26">
        <v>0</v>
      </c>
      <c r="GW300" s="26">
        <v>0</v>
      </c>
      <c r="GX300" s="26">
        <v>0</v>
      </c>
      <c r="GY300" s="26">
        <v>0</v>
      </c>
      <c r="GZ300" s="26">
        <v>0</v>
      </c>
      <c r="HA300" s="26">
        <v>0</v>
      </c>
      <c r="HB300" s="26">
        <v>0</v>
      </c>
      <c r="HC300" s="26">
        <v>0</v>
      </c>
      <c r="HD300" s="26">
        <v>0</v>
      </c>
      <c r="HE300" s="26">
        <v>0</v>
      </c>
      <c r="HF300" s="26">
        <v>0</v>
      </c>
      <c r="HG300" s="26">
        <v>0</v>
      </c>
      <c r="HH300" s="26">
        <v>0</v>
      </c>
      <c r="HI300" s="26">
        <v>0</v>
      </c>
      <c r="HJ300" s="26">
        <v>0</v>
      </c>
      <c r="HK300" s="26">
        <v>0</v>
      </c>
      <c r="HL300" s="26">
        <v>0</v>
      </c>
      <c r="HM300" s="26">
        <v>0</v>
      </c>
      <c r="HN300" s="26">
        <v>0</v>
      </c>
      <c r="HO300" s="26">
        <v>0</v>
      </c>
      <c r="HP300" s="26">
        <v>0</v>
      </c>
      <c r="HQ300" s="26">
        <v>0</v>
      </c>
      <c r="HR300" s="26">
        <v>0</v>
      </c>
      <c r="HS300" s="26">
        <v>0</v>
      </c>
      <c r="HT300" s="26">
        <v>0</v>
      </c>
    </row>
    <row r="301" spans="2:228" x14ac:dyDescent="0.2">
      <c r="B301" s="27" t="s">
        <v>1434</v>
      </c>
      <c r="C301" s="26">
        <v>1050.8174799999999</v>
      </c>
      <c r="D301" s="26">
        <v>-0.97687990700000016</v>
      </c>
      <c r="E301" s="26">
        <v>0</v>
      </c>
      <c r="F301" s="26">
        <v>0</v>
      </c>
      <c r="G301" s="26">
        <v>0</v>
      </c>
      <c r="H301" s="26">
        <v>0</v>
      </c>
      <c r="I301" s="26">
        <v>0</v>
      </c>
      <c r="J301" s="26">
        <v>0</v>
      </c>
      <c r="K301" s="26">
        <v>0</v>
      </c>
      <c r="L301" s="26">
        <v>0</v>
      </c>
      <c r="M301" s="26">
        <v>0</v>
      </c>
      <c r="N301" s="26">
        <v>0</v>
      </c>
      <c r="O301" s="26">
        <v>0</v>
      </c>
      <c r="P301" s="26">
        <v>0</v>
      </c>
      <c r="Q301" s="26">
        <v>0</v>
      </c>
      <c r="R301" s="26">
        <v>0</v>
      </c>
      <c r="S301" s="26">
        <v>0</v>
      </c>
      <c r="T301" s="26">
        <v>0</v>
      </c>
      <c r="U301" s="26">
        <v>0</v>
      </c>
      <c r="V301" s="26">
        <v>0</v>
      </c>
      <c r="W301" s="26">
        <v>0</v>
      </c>
      <c r="X301" s="26">
        <v>0</v>
      </c>
      <c r="Y301" s="26">
        <v>0</v>
      </c>
      <c r="Z301" s="26">
        <v>0</v>
      </c>
      <c r="AA301" s="26">
        <v>0</v>
      </c>
      <c r="AB301" s="26">
        <v>1050.8174799999999</v>
      </c>
      <c r="AC301" s="26">
        <v>0</v>
      </c>
      <c r="AD301" s="26">
        <v>0</v>
      </c>
      <c r="AE301" s="26">
        <v>0</v>
      </c>
      <c r="AF301" s="26">
        <v>0</v>
      </c>
      <c r="AG301" s="26">
        <v>0</v>
      </c>
      <c r="AH301" s="26">
        <v>0</v>
      </c>
      <c r="AI301" s="26">
        <v>0</v>
      </c>
      <c r="AJ301" s="26">
        <v>0</v>
      </c>
      <c r="AK301" s="26">
        <v>0</v>
      </c>
      <c r="AL301" s="26">
        <v>0</v>
      </c>
      <c r="AM301" s="26">
        <v>0</v>
      </c>
      <c r="AN301" s="26">
        <v>0</v>
      </c>
      <c r="AO301" s="26">
        <v>0</v>
      </c>
      <c r="AP301" s="26">
        <v>0</v>
      </c>
      <c r="AQ301" s="26">
        <v>0</v>
      </c>
      <c r="AR301" s="26">
        <v>0</v>
      </c>
      <c r="AS301" s="26">
        <v>0</v>
      </c>
      <c r="AT301" s="26">
        <v>0</v>
      </c>
      <c r="AU301" s="26">
        <v>0</v>
      </c>
      <c r="AV301" s="26">
        <v>0</v>
      </c>
      <c r="AW301" s="26">
        <v>0</v>
      </c>
      <c r="AX301" s="26">
        <v>0</v>
      </c>
      <c r="AY301" s="26">
        <v>0</v>
      </c>
      <c r="AZ301" s="26">
        <v>0</v>
      </c>
      <c r="BA301" s="26">
        <v>0</v>
      </c>
      <c r="BB301" s="26">
        <v>0</v>
      </c>
      <c r="BC301" s="26">
        <v>0</v>
      </c>
      <c r="BD301" s="26">
        <v>0</v>
      </c>
      <c r="BE301" s="26">
        <v>0</v>
      </c>
      <c r="BF301" s="26">
        <v>0</v>
      </c>
      <c r="BG301" s="26">
        <v>0</v>
      </c>
      <c r="BH301" s="26">
        <v>0</v>
      </c>
      <c r="BI301" s="26">
        <v>0</v>
      </c>
      <c r="BJ301" s="26">
        <v>0</v>
      </c>
      <c r="BK301" s="26">
        <v>0</v>
      </c>
      <c r="BL301" s="26">
        <v>0</v>
      </c>
      <c r="BM301" s="26">
        <v>0</v>
      </c>
      <c r="BN301" s="26">
        <v>0</v>
      </c>
      <c r="BO301" s="26">
        <v>61.701874799999999</v>
      </c>
      <c r="BP301" s="26">
        <v>1050.8174799999999</v>
      </c>
      <c r="BQ301" s="26">
        <v>28.7480783</v>
      </c>
      <c r="BR301" s="26">
        <v>20</v>
      </c>
      <c r="BS301" s="26">
        <v>17</v>
      </c>
      <c r="BT301" s="26">
        <v>0</v>
      </c>
      <c r="BU301" s="26">
        <v>1</v>
      </c>
      <c r="BV301" s="26">
        <v>0</v>
      </c>
      <c r="BW301" s="26">
        <v>-15832.2564</v>
      </c>
      <c r="BX301" s="26">
        <v>-929.63803600000006</v>
      </c>
      <c r="BY301" s="26">
        <v>-0.97687990700000016</v>
      </c>
      <c r="BZ301" s="26">
        <v>-44.475377799999997</v>
      </c>
      <c r="CA301" s="26">
        <v>-2.6115041300000001</v>
      </c>
      <c r="CB301" s="26">
        <v>3.5771593400000003E-2</v>
      </c>
      <c r="CC301" s="26">
        <v>0.60921026700000003</v>
      </c>
      <c r="CD301" s="26">
        <v>17.030560000000001</v>
      </c>
      <c r="CE301" s="26">
        <v>55.076943800000002</v>
      </c>
      <c r="CF301" s="26">
        <v>0</v>
      </c>
      <c r="CG301" s="26">
        <v>0</v>
      </c>
      <c r="CH301" s="26">
        <v>0</v>
      </c>
      <c r="CI301" s="26">
        <v>0</v>
      </c>
      <c r="CJ301" s="26">
        <v>0</v>
      </c>
      <c r="CK301" s="26">
        <v>0</v>
      </c>
      <c r="CL301" s="26">
        <v>0</v>
      </c>
      <c r="CM301" s="26">
        <v>0</v>
      </c>
      <c r="CN301" s="26">
        <v>0</v>
      </c>
      <c r="CO301" s="26">
        <v>0</v>
      </c>
      <c r="CP301" s="26">
        <v>0</v>
      </c>
      <c r="CQ301" s="26">
        <v>0</v>
      </c>
      <c r="CR301" s="26">
        <v>0</v>
      </c>
      <c r="CS301" s="26">
        <v>0</v>
      </c>
      <c r="CT301" s="26">
        <v>0</v>
      </c>
      <c r="CU301" s="26">
        <v>0</v>
      </c>
      <c r="CV301" s="26">
        <v>0</v>
      </c>
      <c r="CW301" s="26">
        <v>0</v>
      </c>
      <c r="CX301" s="26">
        <v>0</v>
      </c>
      <c r="CY301" s="26">
        <v>0</v>
      </c>
      <c r="CZ301" s="26">
        <v>0</v>
      </c>
      <c r="DA301" s="26">
        <v>0</v>
      </c>
      <c r="DB301" s="26">
        <v>0</v>
      </c>
      <c r="DC301" s="26">
        <v>0</v>
      </c>
      <c r="DD301" s="26">
        <v>0</v>
      </c>
      <c r="DE301" s="26">
        <v>0</v>
      </c>
      <c r="DF301" s="26">
        <v>0</v>
      </c>
      <c r="DG301" s="26">
        <v>0</v>
      </c>
      <c r="DH301" s="26">
        <v>0</v>
      </c>
      <c r="DI301" s="26">
        <v>0</v>
      </c>
      <c r="DJ301" s="26">
        <v>0</v>
      </c>
      <c r="DK301" s="26">
        <v>0</v>
      </c>
      <c r="DL301" s="26">
        <v>0</v>
      </c>
      <c r="DM301" s="26">
        <v>0</v>
      </c>
      <c r="DN301" s="26">
        <v>0</v>
      </c>
      <c r="DO301" s="26">
        <v>0</v>
      </c>
      <c r="DP301" s="26">
        <v>0</v>
      </c>
      <c r="DQ301" s="26">
        <v>0</v>
      </c>
      <c r="DR301" s="26">
        <v>0</v>
      </c>
      <c r="DS301" s="26">
        <v>0</v>
      </c>
      <c r="DT301" s="26">
        <v>0</v>
      </c>
      <c r="DU301" s="26">
        <v>0</v>
      </c>
      <c r="DV301" s="26">
        <v>0</v>
      </c>
      <c r="DW301" s="26">
        <v>0</v>
      </c>
      <c r="DX301" s="26">
        <v>0</v>
      </c>
      <c r="DY301" s="26">
        <v>0</v>
      </c>
      <c r="DZ301" s="26">
        <v>0</v>
      </c>
      <c r="EA301" s="26">
        <v>0</v>
      </c>
      <c r="EB301" s="26">
        <v>0</v>
      </c>
      <c r="EC301" s="26">
        <v>0</v>
      </c>
      <c r="ED301" s="26">
        <v>0</v>
      </c>
      <c r="EE301" s="26">
        <v>0</v>
      </c>
      <c r="EF301" s="26">
        <v>0</v>
      </c>
      <c r="EG301" s="26">
        <v>0</v>
      </c>
      <c r="EH301" s="26">
        <v>0</v>
      </c>
      <c r="EI301" s="26">
        <v>0</v>
      </c>
      <c r="EJ301" s="26">
        <v>0</v>
      </c>
      <c r="EK301" s="26">
        <v>0</v>
      </c>
      <c r="EL301" s="26">
        <v>0</v>
      </c>
      <c r="EM301" s="26">
        <v>0</v>
      </c>
      <c r="EN301" s="26">
        <v>0</v>
      </c>
      <c r="EO301" s="26">
        <v>0</v>
      </c>
      <c r="EP301" s="26">
        <v>0</v>
      </c>
      <c r="EQ301" s="26">
        <v>0</v>
      </c>
      <c r="ER301" s="26">
        <v>0</v>
      </c>
      <c r="ES301" s="26">
        <v>0</v>
      </c>
      <c r="ET301" s="26">
        <v>17</v>
      </c>
      <c r="EU301" s="26">
        <v>0</v>
      </c>
      <c r="EV301" s="26">
        <v>0</v>
      </c>
      <c r="EW301" s="26">
        <v>0</v>
      </c>
      <c r="EX301" s="26">
        <v>0</v>
      </c>
      <c r="EY301" s="26">
        <v>0</v>
      </c>
      <c r="EZ301" s="26">
        <v>0</v>
      </c>
      <c r="FA301" s="26">
        <v>0</v>
      </c>
      <c r="FB301" s="26">
        <v>0</v>
      </c>
      <c r="FC301" s="26">
        <v>0</v>
      </c>
      <c r="FD301" s="26">
        <v>0</v>
      </c>
      <c r="FE301" s="26">
        <v>0</v>
      </c>
      <c r="FF301" s="26">
        <v>0</v>
      </c>
      <c r="FG301" s="26">
        <v>0</v>
      </c>
      <c r="FH301" s="26">
        <v>-1127054.7833509999</v>
      </c>
      <c r="FI301" s="26">
        <v>0</v>
      </c>
      <c r="FJ301" s="26">
        <v>0</v>
      </c>
      <c r="FK301" s="26">
        <v>0</v>
      </c>
      <c r="FL301" s="26">
        <v>0</v>
      </c>
      <c r="FM301" s="26">
        <v>0</v>
      </c>
      <c r="FN301" s="26">
        <v>0</v>
      </c>
      <c r="FO301" s="26">
        <v>0</v>
      </c>
      <c r="FP301" s="26">
        <v>0</v>
      </c>
      <c r="FQ301" s="26">
        <v>0</v>
      </c>
      <c r="FR301" s="26">
        <v>0</v>
      </c>
      <c r="FS301" s="26">
        <v>0</v>
      </c>
      <c r="FT301" s="26">
        <v>0</v>
      </c>
      <c r="FU301" s="26">
        <v>0</v>
      </c>
      <c r="FV301" s="26">
        <v>0</v>
      </c>
      <c r="FW301" s="26">
        <v>0</v>
      </c>
      <c r="FX301" s="26">
        <v>0</v>
      </c>
      <c r="FY301" s="26">
        <v>0</v>
      </c>
      <c r="FZ301" s="26">
        <v>0</v>
      </c>
      <c r="GA301" s="26">
        <v>0</v>
      </c>
      <c r="GB301" s="26">
        <v>0</v>
      </c>
      <c r="GC301" s="26">
        <v>0</v>
      </c>
      <c r="GD301" s="26">
        <v>0</v>
      </c>
      <c r="GE301" s="26">
        <v>0</v>
      </c>
      <c r="GF301" s="26">
        <v>0</v>
      </c>
      <c r="GG301" s="26">
        <v>0</v>
      </c>
      <c r="GH301" s="26">
        <v>0</v>
      </c>
      <c r="GI301" s="26">
        <v>0</v>
      </c>
      <c r="GJ301" s="26">
        <v>0</v>
      </c>
      <c r="GK301" s="26">
        <v>0</v>
      </c>
      <c r="GL301" s="26">
        <v>0</v>
      </c>
      <c r="GM301" s="26">
        <v>0</v>
      </c>
      <c r="GN301" s="26">
        <v>0</v>
      </c>
      <c r="GO301" s="26">
        <v>0</v>
      </c>
      <c r="GP301" s="26">
        <v>0</v>
      </c>
      <c r="GQ301" s="26">
        <v>0</v>
      </c>
      <c r="GR301" s="26">
        <v>0</v>
      </c>
      <c r="GS301" s="26">
        <v>0</v>
      </c>
      <c r="GT301" s="26">
        <v>0</v>
      </c>
      <c r="GU301" s="26">
        <v>0</v>
      </c>
      <c r="GV301" s="26">
        <v>0</v>
      </c>
      <c r="GW301" s="26">
        <v>0</v>
      </c>
      <c r="GX301" s="26">
        <v>0</v>
      </c>
      <c r="GY301" s="26">
        <v>0</v>
      </c>
      <c r="GZ301" s="26">
        <v>0</v>
      </c>
      <c r="HA301" s="26">
        <v>0</v>
      </c>
      <c r="HB301" s="26">
        <v>0</v>
      </c>
      <c r="HC301" s="26">
        <v>0</v>
      </c>
      <c r="HD301" s="26">
        <v>0</v>
      </c>
      <c r="HE301" s="26">
        <v>0</v>
      </c>
      <c r="HF301" s="26">
        <v>0</v>
      </c>
      <c r="HG301" s="26">
        <v>0</v>
      </c>
      <c r="HH301" s="26">
        <v>0</v>
      </c>
      <c r="HI301" s="26">
        <v>0</v>
      </c>
      <c r="HJ301" s="26">
        <v>0</v>
      </c>
      <c r="HK301" s="26">
        <v>0</v>
      </c>
      <c r="HL301" s="26">
        <v>0</v>
      </c>
      <c r="HM301" s="26">
        <v>0</v>
      </c>
      <c r="HN301" s="26">
        <v>0</v>
      </c>
      <c r="HO301" s="26">
        <v>0</v>
      </c>
      <c r="HP301" s="26">
        <v>0</v>
      </c>
      <c r="HQ301" s="26">
        <v>0</v>
      </c>
      <c r="HR301" s="26">
        <v>0</v>
      </c>
      <c r="HS301" s="26">
        <v>0</v>
      </c>
      <c r="HT301" s="26">
        <v>0</v>
      </c>
    </row>
    <row r="302" spans="2:228" x14ac:dyDescent="0.2">
      <c r="B302" s="27" t="s">
        <v>3173</v>
      </c>
      <c r="C302" s="26">
        <v>210.78478899999999</v>
      </c>
      <c r="D302" s="26">
        <v>-0.53694347499999995</v>
      </c>
      <c r="E302" s="26">
        <v>105.91935599999999</v>
      </c>
      <c r="F302" s="26">
        <v>0</v>
      </c>
      <c r="G302" s="26">
        <v>0</v>
      </c>
      <c r="H302" s="26">
        <v>0</v>
      </c>
      <c r="I302" s="26">
        <v>0</v>
      </c>
      <c r="J302" s="26">
        <v>0</v>
      </c>
      <c r="K302" s="26">
        <v>0</v>
      </c>
      <c r="L302" s="26">
        <v>0</v>
      </c>
      <c r="M302" s="26">
        <v>0</v>
      </c>
      <c r="N302" s="26">
        <v>0</v>
      </c>
      <c r="O302" s="26">
        <v>0</v>
      </c>
      <c r="P302" s="26">
        <v>0</v>
      </c>
      <c r="Q302" s="26">
        <v>0</v>
      </c>
      <c r="R302" s="26">
        <v>0</v>
      </c>
      <c r="S302" s="26">
        <v>0</v>
      </c>
      <c r="T302" s="26">
        <v>0</v>
      </c>
      <c r="U302" s="26">
        <v>0</v>
      </c>
      <c r="V302" s="26">
        <v>0</v>
      </c>
      <c r="W302" s="26">
        <v>0</v>
      </c>
      <c r="X302" s="26">
        <v>52.169235200000003</v>
      </c>
      <c r="Y302" s="26">
        <v>0</v>
      </c>
      <c r="Z302" s="26">
        <v>0</v>
      </c>
      <c r="AA302" s="26">
        <v>0</v>
      </c>
      <c r="AB302" s="26">
        <v>0</v>
      </c>
      <c r="AC302" s="26">
        <v>0</v>
      </c>
      <c r="AD302" s="26">
        <v>0</v>
      </c>
      <c r="AE302" s="26">
        <v>0</v>
      </c>
      <c r="AF302" s="26">
        <v>0</v>
      </c>
      <c r="AG302" s="26">
        <v>0</v>
      </c>
      <c r="AH302" s="26">
        <v>0</v>
      </c>
      <c r="AI302" s="26">
        <v>0</v>
      </c>
      <c r="AJ302" s="26">
        <v>0</v>
      </c>
      <c r="AK302" s="26">
        <v>0</v>
      </c>
      <c r="AL302" s="26">
        <v>0</v>
      </c>
      <c r="AM302" s="26">
        <v>0</v>
      </c>
      <c r="AN302" s="26">
        <v>0</v>
      </c>
      <c r="AO302" s="26">
        <v>0</v>
      </c>
      <c r="AP302" s="26">
        <v>0</v>
      </c>
      <c r="AQ302" s="26">
        <v>0</v>
      </c>
      <c r="AR302" s="26">
        <v>0</v>
      </c>
      <c r="AS302" s="26">
        <v>0</v>
      </c>
      <c r="AT302" s="26">
        <v>0</v>
      </c>
      <c r="AU302" s="26">
        <v>0</v>
      </c>
      <c r="AV302" s="26">
        <v>0</v>
      </c>
      <c r="AW302" s="26">
        <v>0</v>
      </c>
      <c r="AX302" s="26">
        <v>0</v>
      </c>
      <c r="AY302" s="26">
        <v>0</v>
      </c>
      <c r="AZ302" s="26">
        <v>0</v>
      </c>
      <c r="BA302" s="26">
        <v>0</v>
      </c>
      <c r="BB302" s="26">
        <v>0</v>
      </c>
      <c r="BC302" s="26">
        <v>0</v>
      </c>
      <c r="BD302" s="26">
        <v>0</v>
      </c>
      <c r="BE302" s="26">
        <v>0</v>
      </c>
      <c r="BF302" s="26">
        <v>0</v>
      </c>
      <c r="BG302" s="26">
        <v>0</v>
      </c>
      <c r="BH302" s="26">
        <v>0</v>
      </c>
      <c r="BI302" s="26">
        <v>0</v>
      </c>
      <c r="BJ302" s="26">
        <v>0</v>
      </c>
      <c r="BK302" s="26">
        <v>0</v>
      </c>
      <c r="BL302" s="26">
        <v>0</v>
      </c>
      <c r="BM302" s="26">
        <v>0</v>
      </c>
      <c r="BN302" s="26">
        <v>0</v>
      </c>
      <c r="BO302" s="26">
        <v>6.4585685499999999</v>
      </c>
      <c r="BP302" s="26">
        <v>158.08859200000001</v>
      </c>
      <c r="BQ302" s="26">
        <v>2.4726614200000001</v>
      </c>
      <c r="BR302" s="26">
        <v>20.379153500000029</v>
      </c>
      <c r="BS302" s="26">
        <v>5.4229876600000013</v>
      </c>
      <c r="BT302" s="26">
        <v>0</v>
      </c>
      <c r="BU302" s="26">
        <v>1</v>
      </c>
      <c r="BV302" s="26">
        <v>0</v>
      </c>
      <c r="BW302" s="26">
        <v>-76828.823099999994</v>
      </c>
      <c r="BX302" s="26">
        <v>-3138.7731100000001</v>
      </c>
      <c r="BY302" s="26">
        <v>-0.49620422500000005</v>
      </c>
      <c r="BZ302" s="26">
        <v>-46.2974192</v>
      </c>
      <c r="CA302" s="26">
        <v>-1.8914398100000001</v>
      </c>
      <c r="CB302" s="26">
        <v>4.3533177300000003E-2</v>
      </c>
      <c r="CC302" s="26">
        <v>1.0655764700000001</v>
      </c>
      <c r="CD302" s="26">
        <v>24.477342100000001</v>
      </c>
      <c r="CE302" s="26">
        <v>2.4808882400000001</v>
      </c>
      <c r="CF302" s="26">
        <v>0</v>
      </c>
      <c r="CG302" s="26">
        <v>0</v>
      </c>
      <c r="CH302" s="26">
        <v>0</v>
      </c>
      <c r="CI302" s="26">
        <v>0</v>
      </c>
      <c r="CJ302" s="26">
        <v>0</v>
      </c>
      <c r="CK302" s="26">
        <v>0</v>
      </c>
      <c r="CL302" s="26">
        <v>0</v>
      </c>
      <c r="CM302" s="26">
        <v>0</v>
      </c>
      <c r="CN302" s="26">
        <v>0</v>
      </c>
      <c r="CO302" s="26">
        <v>0</v>
      </c>
      <c r="CP302" s="26">
        <v>0</v>
      </c>
      <c r="CQ302" s="26">
        <v>0</v>
      </c>
      <c r="CR302" s="26">
        <v>0</v>
      </c>
      <c r="CS302" s="26">
        <v>0</v>
      </c>
      <c r="CT302" s="26">
        <v>0</v>
      </c>
      <c r="CU302" s="26">
        <v>0</v>
      </c>
      <c r="CV302" s="26">
        <v>0</v>
      </c>
      <c r="CW302" s="26">
        <v>0</v>
      </c>
      <c r="CX302" s="26">
        <v>0</v>
      </c>
      <c r="CY302" s="26">
        <v>0</v>
      </c>
      <c r="CZ302" s="26">
        <v>0</v>
      </c>
      <c r="DA302" s="26">
        <v>0</v>
      </c>
      <c r="DB302" s="26">
        <v>0</v>
      </c>
      <c r="DC302" s="26">
        <v>0</v>
      </c>
      <c r="DD302" s="26">
        <v>0</v>
      </c>
      <c r="DE302" s="26">
        <v>0</v>
      </c>
      <c r="DF302" s="26">
        <v>0</v>
      </c>
      <c r="DG302" s="26">
        <v>0</v>
      </c>
      <c r="DH302" s="26">
        <v>0</v>
      </c>
      <c r="DI302" s="26">
        <v>0</v>
      </c>
      <c r="DJ302" s="26">
        <v>0</v>
      </c>
      <c r="DK302" s="26">
        <v>0</v>
      </c>
      <c r="DL302" s="26">
        <v>0</v>
      </c>
      <c r="DM302" s="26">
        <v>0</v>
      </c>
      <c r="DN302" s="26">
        <v>0</v>
      </c>
      <c r="DO302" s="26">
        <v>0</v>
      </c>
      <c r="DP302" s="26">
        <v>0</v>
      </c>
      <c r="DQ302" s="26">
        <v>0</v>
      </c>
      <c r="DR302" s="26">
        <v>0</v>
      </c>
      <c r="DS302" s="26">
        <v>0</v>
      </c>
      <c r="DT302" s="26">
        <v>0</v>
      </c>
      <c r="DU302" s="26">
        <v>0</v>
      </c>
      <c r="DV302" s="26">
        <v>0</v>
      </c>
      <c r="DW302" s="26">
        <v>0</v>
      </c>
      <c r="DX302" s="26">
        <v>0</v>
      </c>
      <c r="DY302" s="26">
        <v>0</v>
      </c>
      <c r="DZ302" s="26">
        <v>0</v>
      </c>
      <c r="EA302" s="26">
        <v>0</v>
      </c>
      <c r="EB302" s="26">
        <v>0</v>
      </c>
      <c r="EC302" s="26">
        <v>0</v>
      </c>
      <c r="ED302" s="26">
        <v>0</v>
      </c>
      <c r="EE302" s="26">
        <v>52.6961972</v>
      </c>
      <c r="EF302" s="26">
        <v>0</v>
      </c>
      <c r="EG302" s="26">
        <v>0</v>
      </c>
      <c r="EH302" s="26">
        <v>0</v>
      </c>
      <c r="EI302" s="26">
        <v>0</v>
      </c>
      <c r="EJ302" s="26">
        <v>0</v>
      </c>
      <c r="EK302" s="26">
        <v>0</v>
      </c>
      <c r="EL302" s="26">
        <v>0</v>
      </c>
      <c r="EM302" s="26">
        <v>0</v>
      </c>
      <c r="EN302" s="26">
        <v>0</v>
      </c>
      <c r="EO302" s="26">
        <v>0</v>
      </c>
      <c r="EP302" s="26">
        <v>2.30722943</v>
      </c>
      <c r="EQ302" s="26">
        <v>52.6961972</v>
      </c>
      <c r="ER302" s="26">
        <v>0.58449811399999996</v>
      </c>
      <c r="ES302" s="26">
        <v>20.379153500000029</v>
      </c>
      <c r="ET302" s="26">
        <v>5.4229876600000013</v>
      </c>
      <c r="EU302" s="26">
        <v>0</v>
      </c>
      <c r="EV302" s="26">
        <v>0</v>
      </c>
      <c r="EW302" s="26">
        <v>1</v>
      </c>
      <c r="EX302" s="26">
        <v>-17657.216700000001</v>
      </c>
      <c r="EY302" s="26">
        <v>-773.09658300000001</v>
      </c>
      <c r="EZ302" s="26">
        <v>-4.0739250300000002E-2</v>
      </c>
      <c r="FA302" s="26">
        <v>-59.223624999999998</v>
      </c>
      <c r="FB302" s="26">
        <v>-2.59302374</v>
      </c>
      <c r="FC302" s="26">
        <v>6.5789473700000003E-2</v>
      </c>
      <c r="FD302" s="26">
        <v>1.5026052599999999</v>
      </c>
      <c r="FE302" s="26">
        <v>22.839600000000001</v>
      </c>
      <c r="FF302" s="26">
        <v>0</v>
      </c>
      <c r="FG302" s="26">
        <v>0.62472096899999996</v>
      </c>
      <c r="FH302" s="26">
        <v>-623701.24369400006</v>
      </c>
      <c r="FI302" s="26">
        <v>4.8262569830545007E-4</v>
      </c>
      <c r="FJ302" s="26">
        <v>0</v>
      </c>
      <c r="FK302" s="26">
        <v>0</v>
      </c>
      <c r="FL302" s="26">
        <v>0</v>
      </c>
      <c r="FM302" s="26">
        <v>0</v>
      </c>
      <c r="FN302" s="26">
        <v>0</v>
      </c>
      <c r="FO302" s="26">
        <v>0</v>
      </c>
      <c r="FP302" s="26">
        <v>0</v>
      </c>
      <c r="FQ302" s="26">
        <v>0</v>
      </c>
      <c r="FR302" s="26">
        <v>0</v>
      </c>
      <c r="FS302" s="26">
        <v>0</v>
      </c>
      <c r="FT302" s="26">
        <v>0</v>
      </c>
      <c r="FU302" s="26">
        <v>0</v>
      </c>
      <c r="FV302" s="26">
        <v>0</v>
      </c>
      <c r="FW302" s="26">
        <v>0</v>
      </c>
      <c r="FX302" s="26">
        <v>0</v>
      </c>
      <c r="FY302" s="26">
        <v>0</v>
      </c>
      <c r="FZ302" s="26">
        <v>0</v>
      </c>
      <c r="GA302" s="26">
        <v>0</v>
      </c>
      <c r="GB302" s="26">
        <v>0</v>
      </c>
      <c r="GC302" s="26">
        <v>0</v>
      </c>
      <c r="GD302" s="26">
        <v>0</v>
      </c>
      <c r="GE302" s="26">
        <v>0</v>
      </c>
      <c r="GF302" s="26">
        <v>0</v>
      </c>
      <c r="GG302" s="26">
        <v>0</v>
      </c>
      <c r="GH302" s="26">
        <v>0</v>
      </c>
      <c r="GI302" s="26">
        <v>0</v>
      </c>
      <c r="GJ302" s="26">
        <v>0</v>
      </c>
      <c r="GK302" s="26">
        <v>0</v>
      </c>
      <c r="GL302" s="26">
        <v>0</v>
      </c>
      <c r="GM302" s="26">
        <v>0</v>
      </c>
      <c r="GN302" s="26">
        <v>0</v>
      </c>
      <c r="GO302" s="26">
        <v>0</v>
      </c>
      <c r="GP302" s="26">
        <v>0</v>
      </c>
      <c r="GQ302" s="26">
        <v>0</v>
      </c>
      <c r="GR302" s="26">
        <v>0</v>
      </c>
      <c r="GS302" s="26">
        <v>0</v>
      </c>
      <c r="GT302" s="26">
        <v>0</v>
      </c>
      <c r="GU302" s="26">
        <v>0</v>
      </c>
      <c r="GV302" s="26">
        <v>0</v>
      </c>
      <c r="GW302" s="26">
        <v>0</v>
      </c>
      <c r="GX302" s="26">
        <v>0</v>
      </c>
      <c r="GY302" s="26">
        <v>0</v>
      </c>
      <c r="GZ302" s="26">
        <v>0</v>
      </c>
      <c r="HA302" s="26">
        <v>0</v>
      </c>
      <c r="HB302" s="26">
        <v>0</v>
      </c>
      <c r="HC302" s="26">
        <v>0</v>
      </c>
      <c r="HD302" s="26">
        <v>0</v>
      </c>
      <c r="HE302" s="26">
        <v>0</v>
      </c>
      <c r="HF302" s="26">
        <v>0</v>
      </c>
      <c r="HG302" s="26">
        <v>0</v>
      </c>
      <c r="HH302" s="26">
        <v>0</v>
      </c>
      <c r="HI302" s="26">
        <v>0</v>
      </c>
      <c r="HJ302" s="26">
        <v>0</v>
      </c>
      <c r="HK302" s="26">
        <v>0</v>
      </c>
      <c r="HL302" s="26">
        <v>0</v>
      </c>
      <c r="HM302" s="26">
        <v>0</v>
      </c>
      <c r="HN302" s="26">
        <v>0</v>
      </c>
      <c r="HO302" s="26">
        <v>0</v>
      </c>
      <c r="HP302" s="26">
        <v>0</v>
      </c>
      <c r="HQ302" s="26">
        <v>0</v>
      </c>
      <c r="HR302" s="26">
        <v>0</v>
      </c>
      <c r="HS302" s="26">
        <v>0</v>
      </c>
      <c r="HT302" s="26">
        <v>6.408970690160654E-4</v>
      </c>
    </row>
    <row r="303" spans="2:228" x14ac:dyDescent="0.2">
      <c r="B303" s="27" t="s">
        <v>1428</v>
      </c>
      <c r="C303" s="26">
        <v>26.1890933</v>
      </c>
      <c r="D303" s="26">
        <v>-5.6333817000000001E-2</v>
      </c>
      <c r="E303" s="26">
        <v>0</v>
      </c>
      <c r="F303" s="26">
        <v>0</v>
      </c>
      <c r="G303" s="26">
        <v>0</v>
      </c>
      <c r="H303" s="26">
        <v>0</v>
      </c>
      <c r="I303" s="26">
        <v>0</v>
      </c>
      <c r="J303" s="26">
        <v>0</v>
      </c>
      <c r="K303" s="26">
        <v>0</v>
      </c>
      <c r="L303" s="26">
        <v>0</v>
      </c>
      <c r="M303" s="26">
        <v>0</v>
      </c>
      <c r="N303" s="26">
        <v>0</v>
      </c>
      <c r="O303" s="26">
        <v>0</v>
      </c>
      <c r="P303" s="26">
        <v>0</v>
      </c>
      <c r="Q303" s="26">
        <v>0</v>
      </c>
      <c r="R303" s="26">
        <v>0</v>
      </c>
      <c r="S303" s="26">
        <v>0</v>
      </c>
      <c r="T303" s="26">
        <v>0</v>
      </c>
      <c r="U303" s="26">
        <v>0</v>
      </c>
      <c r="V303" s="26">
        <v>0</v>
      </c>
      <c r="W303" s="26">
        <v>0</v>
      </c>
      <c r="X303" s="26">
        <v>0</v>
      </c>
      <c r="Y303" s="26">
        <v>0</v>
      </c>
      <c r="Z303" s="26">
        <v>0</v>
      </c>
      <c r="AA303" s="26">
        <v>0</v>
      </c>
      <c r="AB303" s="26">
        <v>0</v>
      </c>
      <c r="AC303" s="26">
        <v>0</v>
      </c>
      <c r="AD303" s="26">
        <v>0</v>
      </c>
      <c r="AE303" s="26">
        <v>0</v>
      </c>
      <c r="AF303" s="26">
        <v>26.1890933</v>
      </c>
      <c r="AG303" s="26">
        <v>0</v>
      </c>
      <c r="AH303" s="26">
        <v>0</v>
      </c>
      <c r="AI303" s="26">
        <v>0</v>
      </c>
      <c r="AJ303" s="26">
        <v>0</v>
      </c>
      <c r="AK303" s="26">
        <v>0</v>
      </c>
      <c r="AL303" s="26">
        <v>0</v>
      </c>
      <c r="AM303" s="26">
        <v>0</v>
      </c>
      <c r="AN303" s="26">
        <v>0</v>
      </c>
      <c r="AO303" s="26">
        <v>0</v>
      </c>
      <c r="AP303" s="26">
        <v>0</v>
      </c>
      <c r="AQ303" s="26">
        <v>0</v>
      </c>
      <c r="AR303" s="26">
        <v>0</v>
      </c>
      <c r="AS303" s="26">
        <v>0</v>
      </c>
      <c r="AT303" s="26">
        <v>0</v>
      </c>
      <c r="AU303" s="26">
        <v>0</v>
      </c>
      <c r="AV303" s="26">
        <v>0</v>
      </c>
      <c r="AW303" s="26">
        <v>0</v>
      </c>
      <c r="AX303" s="26">
        <v>0</v>
      </c>
      <c r="AY303" s="26">
        <v>0</v>
      </c>
      <c r="AZ303" s="26">
        <v>0</v>
      </c>
      <c r="BA303" s="26">
        <v>0</v>
      </c>
      <c r="BB303" s="26">
        <v>0</v>
      </c>
      <c r="BC303" s="26">
        <v>0</v>
      </c>
      <c r="BD303" s="26">
        <v>0</v>
      </c>
      <c r="BE303" s="26">
        <v>0</v>
      </c>
      <c r="BF303" s="26">
        <v>0</v>
      </c>
      <c r="BG303" s="26">
        <v>0</v>
      </c>
      <c r="BH303" s="26">
        <v>0</v>
      </c>
      <c r="BI303" s="26">
        <v>0</v>
      </c>
      <c r="BJ303" s="26">
        <v>0</v>
      </c>
      <c r="BK303" s="26">
        <v>0</v>
      </c>
      <c r="BL303" s="26">
        <v>0</v>
      </c>
      <c r="BM303" s="26">
        <v>0</v>
      </c>
      <c r="BN303" s="26">
        <v>0</v>
      </c>
      <c r="BO303" s="26">
        <v>0.19831763699999999</v>
      </c>
      <c r="BP303" s="26">
        <v>26.1890933</v>
      </c>
      <c r="BQ303" s="26">
        <v>0.432343166</v>
      </c>
      <c r="BR303" s="26">
        <v>20</v>
      </c>
      <c r="BS303" s="26">
        <v>1</v>
      </c>
      <c r="BT303" s="26">
        <v>0</v>
      </c>
      <c r="BU303" s="26">
        <v>1</v>
      </c>
      <c r="BV303" s="26">
        <v>0</v>
      </c>
      <c r="BW303" s="26">
        <v>-284058.53100000002</v>
      </c>
      <c r="BX303" s="26">
        <v>-2151.0411199999999</v>
      </c>
      <c r="BY303" s="26">
        <v>-5.6333817000000001E-2</v>
      </c>
      <c r="BZ303" s="26">
        <v>-592.68957</v>
      </c>
      <c r="CA303" s="26">
        <v>-4.4881582399999997</v>
      </c>
      <c r="CB303" s="26">
        <v>7.64507031E-3</v>
      </c>
      <c r="CC303" s="26">
        <v>1.0095797</v>
      </c>
      <c r="CD303" s="26">
        <v>132.05629999999999</v>
      </c>
      <c r="CE303" s="26">
        <v>0</v>
      </c>
      <c r="CF303" s="26">
        <v>0</v>
      </c>
      <c r="CG303" s="26">
        <v>0</v>
      </c>
      <c r="CH303" s="26">
        <v>0</v>
      </c>
      <c r="CI303" s="26">
        <v>0</v>
      </c>
      <c r="CJ303" s="26">
        <v>0</v>
      </c>
      <c r="CK303" s="26">
        <v>0</v>
      </c>
      <c r="CL303" s="26">
        <v>0</v>
      </c>
      <c r="CM303" s="26">
        <v>0</v>
      </c>
      <c r="CN303" s="26">
        <v>0</v>
      </c>
      <c r="CO303" s="26">
        <v>0</v>
      </c>
      <c r="CP303" s="26">
        <v>0</v>
      </c>
      <c r="CQ303" s="26">
        <v>0</v>
      </c>
      <c r="CR303" s="26">
        <v>0</v>
      </c>
      <c r="CS303" s="26">
        <v>0</v>
      </c>
      <c r="CT303" s="26">
        <v>0</v>
      </c>
      <c r="CU303" s="26">
        <v>0</v>
      </c>
      <c r="CV303" s="26">
        <v>0</v>
      </c>
      <c r="CW303" s="26">
        <v>0</v>
      </c>
      <c r="CX303" s="26">
        <v>0</v>
      </c>
      <c r="CY303" s="26">
        <v>0</v>
      </c>
      <c r="CZ303" s="26">
        <v>0</v>
      </c>
      <c r="DA303" s="26">
        <v>0</v>
      </c>
      <c r="DB303" s="26">
        <v>0</v>
      </c>
      <c r="DC303" s="26">
        <v>0</v>
      </c>
      <c r="DD303" s="26">
        <v>0</v>
      </c>
      <c r="DE303" s="26">
        <v>0</v>
      </c>
      <c r="DF303" s="26">
        <v>0</v>
      </c>
      <c r="DG303" s="26">
        <v>0</v>
      </c>
      <c r="DH303" s="26">
        <v>0</v>
      </c>
      <c r="DI303" s="26">
        <v>0</v>
      </c>
      <c r="DJ303" s="26">
        <v>0</v>
      </c>
      <c r="DK303" s="26">
        <v>0</v>
      </c>
      <c r="DL303" s="26">
        <v>0</v>
      </c>
      <c r="DM303" s="26">
        <v>0</v>
      </c>
      <c r="DN303" s="26">
        <v>0</v>
      </c>
      <c r="DO303" s="26">
        <v>0</v>
      </c>
      <c r="DP303" s="26">
        <v>0</v>
      </c>
      <c r="DQ303" s="26">
        <v>0</v>
      </c>
      <c r="DR303" s="26">
        <v>0</v>
      </c>
      <c r="DS303" s="26">
        <v>0</v>
      </c>
      <c r="DT303" s="26">
        <v>0</v>
      </c>
      <c r="DU303" s="26">
        <v>0</v>
      </c>
      <c r="DV303" s="26">
        <v>0</v>
      </c>
      <c r="DW303" s="26">
        <v>0</v>
      </c>
      <c r="DX303" s="26">
        <v>0</v>
      </c>
      <c r="DY303" s="26">
        <v>0</v>
      </c>
      <c r="DZ303" s="26">
        <v>0</v>
      </c>
      <c r="EA303" s="26">
        <v>0</v>
      </c>
      <c r="EB303" s="26">
        <v>0</v>
      </c>
      <c r="EC303" s="26">
        <v>0</v>
      </c>
      <c r="ED303" s="26">
        <v>0</v>
      </c>
      <c r="EE303" s="26">
        <v>0</v>
      </c>
      <c r="EF303" s="26">
        <v>0</v>
      </c>
      <c r="EG303" s="26">
        <v>0</v>
      </c>
      <c r="EH303" s="26">
        <v>0</v>
      </c>
      <c r="EI303" s="26">
        <v>0</v>
      </c>
      <c r="EJ303" s="26">
        <v>0</v>
      </c>
      <c r="EK303" s="26">
        <v>0</v>
      </c>
      <c r="EL303" s="26">
        <v>0</v>
      </c>
      <c r="EM303" s="26">
        <v>0</v>
      </c>
      <c r="EN303" s="26">
        <v>0</v>
      </c>
      <c r="EO303" s="26">
        <v>0</v>
      </c>
      <c r="EP303" s="26">
        <v>0</v>
      </c>
      <c r="EQ303" s="26">
        <v>0</v>
      </c>
      <c r="ER303" s="26">
        <v>0</v>
      </c>
      <c r="ES303" s="26">
        <v>0</v>
      </c>
      <c r="ET303" s="26">
        <v>1</v>
      </c>
      <c r="EU303" s="26">
        <v>0</v>
      </c>
      <c r="EV303" s="26">
        <v>0</v>
      </c>
      <c r="EW303" s="26">
        <v>0</v>
      </c>
      <c r="EX303" s="26">
        <v>0</v>
      </c>
      <c r="EY303" s="26">
        <v>0</v>
      </c>
      <c r="EZ303" s="26">
        <v>0</v>
      </c>
      <c r="FA303" s="26">
        <v>0</v>
      </c>
      <c r="FB303" s="26">
        <v>0</v>
      </c>
      <c r="FC303" s="26">
        <v>0</v>
      </c>
      <c r="FD303" s="26">
        <v>0</v>
      </c>
      <c r="FE303" s="26">
        <v>0</v>
      </c>
      <c r="FF303" s="26">
        <v>0</v>
      </c>
      <c r="FG303" s="26">
        <v>0</v>
      </c>
      <c r="FH303" s="26">
        <v>-65501.771801700001</v>
      </c>
      <c r="FI303" s="26">
        <v>0</v>
      </c>
      <c r="FJ303" s="26">
        <v>0</v>
      </c>
      <c r="FK303" s="26">
        <v>0</v>
      </c>
      <c r="FL303" s="26">
        <v>0</v>
      </c>
      <c r="FM303" s="26">
        <v>0</v>
      </c>
      <c r="FN303" s="26">
        <v>0</v>
      </c>
      <c r="FO303" s="26">
        <v>0</v>
      </c>
      <c r="FP303" s="26">
        <v>0</v>
      </c>
      <c r="FQ303" s="26">
        <v>0</v>
      </c>
      <c r="FR303" s="26">
        <v>0</v>
      </c>
      <c r="FS303" s="26">
        <v>0</v>
      </c>
      <c r="FT303" s="26">
        <v>0</v>
      </c>
      <c r="FU303" s="26">
        <v>0</v>
      </c>
      <c r="FV303" s="26">
        <v>0</v>
      </c>
      <c r="FW303" s="26">
        <v>0</v>
      </c>
      <c r="FX303" s="26">
        <v>0</v>
      </c>
      <c r="FY303" s="26">
        <v>0</v>
      </c>
      <c r="FZ303" s="26">
        <v>0</v>
      </c>
      <c r="GA303" s="26">
        <v>0</v>
      </c>
      <c r="GB303" s="26">
        <v>0</v>
      </c>
      <c r="GC303" s="26">
        <v>0</v>
      </c>
      <c r="GD303" s="26">
        <v>0</v>
      </c>
      <c r="GE303" s="26">
        <v>0</v>
      </c>
      <c r="GF303" s="26">
        <v>0</v>
      </c>
      <c r="GG303" s="26">
        <v>0</v>
      </c>
      <c r="GH303" s="26">
        <v>0</v>
      </c>
      <c r="GI303" s="26">
        <v>0</v>
      </c>
      <c r="GJ303" s="26">
        <v>0</v>
      </c>
      <c r="GK303" s="26">
        <v>0</v>
      </c>
      <c r="GL303" s="26">
        <v>0</v>
      </c>
      <c r="GM303" s="26">
        <v>0</v>
      </c>
      <c r="GN303" s="26">
        <v>0</v>
      </c>
      <c r="GO303" s="26">
        <v>0</v>
      </c>
      <c r="GP303" s="26">
        <v>0</v>
      </c>
      <c r="GQ303" s="26">
        <v>0</v>
      </c>
      <c r="GR303" s="26">
        <v>0</v>
      </c>
      <c r="GS303" s="26">
        <v>0</v>
      </c>
      <c r="GT303" s="26">
        <v>0</v>
      </c>
      <c r="GU303" s="26">
        <v>0</v>
      </c>
      <c r="GV303" s="26">
        <v>0</v>
      </c>
      <c r="GW303" s="26">
        <v>0</v>
      </c>
      <c r="GX303" s="26">
        <v>0</v>
      </c>
      <c r="GY303" s="26">
        <v>0</v>
      </c>
      <c r="GZ303" s="26">
        <v>0</v>
      </c>
      <c r="HA303" s="26">
        <v>0</v>
      </c>
      <c r="HB303" s="26">
        <v>0</v>
      </c>
      <c r="HC303" s="26">
        <v>0</v>
      </c>
      <c r="HD303" s="26">
        <v>0</v>
      </c>
      <c r="HE303" s="26">
        <v>0</v>
      </c>
      <c r="HF303" s="26">
        <v>0</v>
      </c>
      <c r="HG303" s="26">
        <v>0</v>
      </c>
      <c r="HH303" s="26">
        <v>0</v>
      </c>
      <c r="HI303" s="26">
        <v>0</v>
      </c>
      <c r="HJ303" s="26">
        <v>0</v>
      </c>
      <c r="HK303" s="26">
        <v>0</v>
      </c>
      <c r="HL303" s="26">
        <v>0</v>
      </c>
      <c r="HM303" s="26">
        <v>0</v>
      </c>
      <c r="HN303" s="26">
        <v>0</v>
      </c>
      <c r="HO303" s="26">
        <v>0</v>
      </c>
      <c r="HP303" s="26">
        <v>0</v>
      </c>
      <c r="HQ303" s="26">
        <v>0</v>
      </c>
      <c r="HR303" s="26">
        <v>0</v>
      </c>
      <c r="HS303" s="26">
        <v>0</v>
      </c>
      <c r="HT303" s="26">
        <v>0</v>
      </c>
    </row>
    <row r="304" spans="2:228" x14ac:dyDescent="0.2">
      <c r="B304" s="27" t="s">
        <v>1431</v>
      </c>
      <c r="C304" s="26">
        <v>948.53155000000004</v>
      </c>
      <c r="D304" s="26">
        <v>-2.4162456400000001</v>
      </c>
      <c r="E304" s="26">
        <v>476.63710400000002</v>
      </c>
      <c r="F304" s="26">
        <v>0</v>
      </c>
      <c r="G304" s="26">
        <v>0</v>
      </c>
      <c r="H304" s="26">
        <v>0</v>
      </c>
      <c r="I304" s="26">
        <v>0</v>
      </c>
      <c r="J304" s="26">
        <v>0</v>
      </c>
      <c r="K304" s="26">
        <v>0</v>
      </c>
      <c r="L304" s="26">
        <v>0</v>
      </c>
      <c r="M304" s="26">
        <v>0</v>
      </c>
      <c r="N304" s="26">
        <v>0</v>
      </c>
      <c r="O304" s="26">
        <v>0</v>
      </c>
      <c r="P304" s="26">
        <v>0</v>
      </c>
      <c r="Q304" s="26">
        <v>0</v>
      </c>
      <c r="R304" s="26">
        <v>0</v>
      </c>
      <c r="S304" s="26">
        <v>0</v>
      </c>
      <c r="T304" s="26">
        <v>0</v>
      </c>
      <c r="U304" s="26">
        <v>0</v>
      </c>
      <c r="V304" s="26">
        <v>0</v>
      </c>
      <c r="W304" s="26">
        <v>0</v>
      </c>
      <c r="X304" s="26">
        <v>234.76155900000003</v>
      </c>
      <c r="Y304" s="26">
        <v>0</v>
      </c>
      <c r="Z304" s="26">
        <v>0</v>
      </c>
      <c r="AA304" s="26">
        <v>0</v>
      </c>
      <c r="AB304" s="26">
        <v>0</v>
      </c>
      <c r="AC304" s="26">
        <v>0</v>
      </c>
      <c r="AD304" s="26">
        <v>0</v>
      </c>
      <c r="AE304" s="26">
        <v>0</v>
      </c>
      <c r="AF304" s="26">
        <v>0</v>
      </c>
      <c r="AG304" s="26">
        <v>0</v>
      </c>
      <c r="AH304" s="26">
        <v>0</v>
      </c>
      <c r="AI304" s="26">
        <v>0</v>
      </c>
      <c r="AJ304" s="26">
        <v>0</v>
      </c>
      <c r="AK304" s="26">
        <v>0</v>
      </c>
      <c r="AL304" s="26">
        <v>0</v>
      </c>
      <c r="AM304" s="26">
        <v>0</v>
      </c>
      <c r="AN304" s="26">
        <v>0</v>
      </c>
      <c r="AO304" s="26">
        <v>0</v>
      </c>
      <c r="AP304" s="26">
        <v>0</v>
      </c>
      <c r="AQ304" s="26">
        <v>0</v>
      </c>
      <c r="AR304" s="26">
        <v>0</v>
      </c>
      <c r="AS304" s="26">
        <v>0</v>
      </c>
      <c r="AT304" s="26">
        <v>0</v>
      </c>
      <c r="AU304" s="26">
        <v>0</v>
      </c>
      <c r="AV304" s="26">
        <v>0</v>
      </c>
      <c r="AW304" s="26">
        <v>0</v>
      </c>
      <c r="AX304" s="26">
        <v>0</v>
      </c>
      <c r="AY304" s="26">
        <v>0</v>
      </c>
      <c r="AZ304" s="26">
        <v>0</v>
      </c>
      <c r="BA304" s="26">
        <v>0</v>
      </c>
      <c r="BB304" s="26">
        <v>0</v>
      </c>
      <c r="BC304" s="26">
        <v>0</v>
      </c>
      <c r="BD304" s="26">
        <v>0</v>
      </c>
      <c r="BE304" s="26">
        <v>0</v>
      </c>
      <c r="BF304" s="26">
        <v>0</v>
      </c>
      <c r="BG304" s="26">
        <v>0</v>
      </c>
      <c r="BH304" s="26">
        <v>0</v>
      </c>
      <c r="BI304" s="26">
        <v>0</v>
      </c>
      <c r="BJ304" s="26">
        <v>0</v>
      </c>
      <c r="BK304" s="26">
        <v>0</v>
      </c>
      <c r="BL304" s="26">
        <v>0</v>
      </c>
      <c r="BM304" s="26">
        <v>0</v>
      </c>
      <c r="BN304" s="26">
        <v>0</v>
      </c>
      <c r="BO304" s="26">
        <v>29.063558500000003</v>
      </c>
      <c r="BP304" s="26">
        <v>711.39866199999994</v>
      </c>
      <c r="BQ304" s="26">
        <v>11.1269764</v>
      </c>
      <c r="BR304" s="26">
        <v>20.379153500000029</v>
      </c>
      <c r="BS304" s="26">
        <v>5.4229876600000013</v>
      </c>
      <c r="BT304" s="26">
        <v>0</v>
      </c>
      <c r="BU304" s="26">
        <v>1</v>
      </c>
      <c r="BV304" s="26">
        <v>0</v>
      </c>
      <c r="BW304" s="26">
        <v>-76828.823099999994</v>
      </c>
      <c r="BX304" s="26">
        <v>-3138.7731100000001</v>
      </c>
      <c r="BY304" s="26">
        <v>-2.2329190099999998</v>
      </c>
      <c r="BZ304" s="26">
        <v>-46.2974192</v>
      </c>
      <c r="CA304" s="26">
        <v>-1.8914398100000001</v>
      </c>
      <c r="CB304" s="26">
        <v>4.3533177300000003E-2</v>
      </c>
      <c r="CC304" s="26">
        <v>1.0655764700000001</v>
      </c>
      <c r="CD304" s="26">
        <v>24.477342100000001</v>
      </c>
      <c r="CE304" s="26">
        <v>11.1639971</v>
      </c>
      <c r="CF304" s="26">
        <v>0</v>
      </c>
      <c r="CG304" s="26">
        <v>0</v>
      </c>
      <c r="CH304" s="26">
        <v>0</v>
      </c>
      <c r="CI304" s="26">
        <v>0</v>
      </c>
      <c r="CJ304" s="26">
        <v>0</v>
      </c>
      <c r="CK304" s="26">
        <v>0</v>
      </c>
      <c r="CL304" s="26">
        <v>0</v>
      </c>
      <c r="CM304" s="26">
        <v>0</v>
      </c>
      <c r="CN304" s="26">
        <v>0</v>
      </c>
      <c r="CO304" s="26">
        <v>0</v>
      </c>
      <c r="CP304" s="26">
        <v>0</v>
      </c>
      <c r="CQ304" s="26">
        <v>0</v>
      </c>
      <c r="CR304" s="26">
        <v>0</v>
      </c>
      <c r="CS304" s="26">
        <v>0</v>
      </c>
      <c r="CT304" s="26">
        <v>0</v>
      </c>
      <c r="CU304" s="26">
        <v>0</v>
      </c>
      <c r="CV304" s="26">
        <v>0</v>
      </c>
      <c r="CW304" s="26">
        <v>0</v>
      </c>
      <c r="CX304" s="26">
        <v>0</v>
      </c>
      <c r="CY304" s="26">
        <v>0</v>
      </c>
      <c r="CZ304" s="26">
        <v>0</v>
      </c>
      <c r="DA304" s="26">
        <v>0</v>
      </c>
      <c r="DB304" s="26">
        <v>0</v>
      </c>
      <c r="DC304" s="26">
        <v>0</v>
      </c>
      <c r="DD304" s="26">
        <v>0</v>
      </c>
      <c r="DE304" s="26">
        <v>0</v>
      </c>
      <c r="DF304" s="26">
        <v>0</v>
      </c>
      <c r="DG304" s="26">
        <v>0</v>
      </c>
      <c r="DH304" s="26">
        <v>0</v>
      </c>
      <c r="DI304" s="26">
        <v>0</v>
      </c>
      <c r="DJ304" s="26">
        <v>0</v>
      </c>
      <c r="DK304" s="26">
        <v>0</v>
      </c>
      <c r="DL304" s="26">
        <v>0</v>
      </c>
      <c r="DM304" s="26">
        <v>0</v>
      </c>
      <c r="DN304" s="26">
        <v>0</v>
      </c>
      <c r="DO304" s="26">
        <v>0</v>
      </c>
      <c r="DP304" s="26">
        <v>0</v>
      </c>
      <c r="DQ304" s="26">
        <v>0</v>
      </c>
      <c r="DR304" s="26">
        <v>0</v>
      </c>
      <c r="DS304" s="26">
        <v>0</v>
      </c>
      <c r="DT304" s="26">
        <v>0</v>
      </c>
      <c r="DU304" s="26">
        <v>0</v>
      </c>
      <c r="DV304" s="26">
        <v>0</v>
      </c>
      <c r="DW304" s="26">
        <v>0</v>
      </c>
      <c r="DX304" s="26">
        <v>0</v>
      </c>
      <c r="DY304" s="26">
        <v>0</v>
      </c>
      <c r="DZ304" s="26">
        <v>0</v>
      </c>
      <c r="EA304" s="26">
        <v>0</v>
      </c>
      <c r="EB304" s="26">
        <v>0</v>
      </c>
      <c r="EC304" s="26">
        <v>0</v>
      </c>
      <c r="ED304" s="26">
        <v>0</v>
      </c>
      <c r="EE304" s="26">
        <v>237.13288700000004</v>
      </c>
      <c r="EF304" s="26">
        <v>0</v>
      </c>
      <c r="EG304" s="26">
        <v>0</v>
      </c>
      <c r="EH304" s="26">
        <v>0</v>
      </c>
      <c r="EI304" s="26">
        <v>0</v>
      </c>
      <c r="EJ304" s="26">
        <v>0</v>
      </c>
      <c r="EK304" s="26">
        <v>0</v>
      </c>
      <c r="EL304" s="26">
        <v>0</v>
      </c>
      <c r="EM304" s="26">
        <v>0</v>
      </c>
      <c r="EN304" s="26">
        <v>0</v>
      </c>
      <c r="EO304" s="26">
        <v>0</v>
      </c>
      <c r="EP304" s="26">
        <v>10.382532400000001</v>
      </c>
      <c r="EQ304" s="26">
        <v>237.13288700000004</v>
      </c>
      <c r="ER304" s="26">
        <v>2.6302415200000002</v>
      </c>
      <c r="ES304" s="26">
        <v>20.379153500000029</v>
      </c>
      <c r="ET304" s="26">
        <v>5.4229876600000013</v>
      </c>
      <c r="EU304" s="26">
        <v>0</v>
      </c>
      <c r="EV304" s="26">
        <v>0</v>
      </c>
      <c r="EW304" s="26">
        <v>1</v>
      </c>
      <c r="EX304" s="26">
        <v>-17657.216700000001</v>
      </c>
      <c r="EY304" s="26">
        <v>-773.09658300000001</v>
      </c>
      <c r="EZ304" s="26">
        <v>-0.18332662599999999</v>
      </c>
      <c r="FA304" s="26">
        <v>-59.223624999999998</v>
      </c>
      <c r="FB304" s="26">
        <v>-2.59302374</v>
      </c>
      <c r="FC304" s="26">
        <v>6.5789473700000003E-2</v>
      </c>
      <c r="FD304" s="26">
        <v>1.5026052599999999</v>
      </c>
      <c r="FE304" s="26">
        <v>22.839600000000001</v>
      </c>
      <c r="FF304" s="26">
        <v>0</v>
      </c>
      <c r="FG304" s="26">
        <v>0.62472096899999996</v>
      </c>
      <c r="FH304" s="26">
        <v>-2806655.59546</v>
      </c>
      <c r="FI304" s="26">
        <v>2.1718156423745252E-3</v>
      </c>
      <c r="FJ304" s="26">
        <v>0</v>
      </c>
      <c r="FK304" s="26">
        <v>0</v>
      </c>
      <c r="FL304" s="26">
        <v>0</v>
      </c>
      <c r="FM304" s="26">
        <v>0</v>
      </c>
      <c r="FN304" s="26">
        <v>0</v>
      </c>
      <c r="FO304" s="26">
        <v>0</v>
      </c>
      <c r="FP304" s="26">
        <v>0</v>
      </c>
      <c r="FQ304" s="26">
        <v>0</v>
      </c>
      <c r="FR304" s="26">
        <v>0</v>
      </c>
      <c r="FS304" s="26">
        <v>0</v>
      </c>
      <c r="FT304" s="26">
        <v>0</v>
      </c>
      <c r="FU304" s="26">
        <v>0</v>
      </c>
      <c r="FV304" s="26">
        <v>0</v>
      </c>
      <c r="FW304" s="26">
        <v>0</v>
      </c>
      <c r="FX304" s="26">
        <v>0</v>
      </c>
      <c r="FY304" s="26">
        <v>0</v>
      </c>
      <c r="FZ304" s="26">
        <v>0</v>
      </c>
      <c r="GA304" s="26">
        <v>0</v>
      </c>
      <c r="GB304" s="26">
        <v>0</v>
      </c>
      <c r="GC304" s="26">
        <v>0</v>
      </c>
      <c r="GD304" s="26">
        <v>0</v>
      </c>
      <c r="GE304" s="26">
        <v>0</v>
      </c>
      <c r="GF304" s="26">
        <v>0</v>
      </c>
      <c r="GG304" s="26">
        <v>0</v>
      </c>
      <c r="GH304" s="26">
        <v>0</v>
      </c>
      <c r="GI304" s="26">
        <v>0</v>
      </c>
      <c r="GJ304" s="26">
        <v>0</v>
      </c>
      <c r="GK304" s="26">
        <v>0</v>
      </c>
      <c r="GL304" s="26">
        <v>0</v>
      </c>
      <c r="GM304" s="26">
        <v>0</v>
      </c>
      <c r="GN304" s="26">
        <v>0</v>
      </c>
      <c r="GO304" s="26">
        <v>0</v>
      </c>
      <c r="GP304" s="26">
        <v>0</v>
      </c>
      <c r="GQ304" s="26">
        <v>0</v>
      </c>
      <c r="GR304" s="26">
        <v>0</v>
      </c>
      <c r="GS304" s="26">
        <v>0</v>
      </c>
      <c r="GT304" s="26">
        <v>0</v>
      </c>
      <c r="GU304" s="26">
        <v>0</v>
      </c>
      <c r="GV304" s="26">
        <v>0</v>
      </c>
      <c r="GW304" s="26">
        <v>0</v>
      </c>
      <c r="GX304" s="26">
        <v>0</v>
      </c>
      <c r="GY304" s="26">
        <v>0</v>
      </c>
      <c r="GZ304" s="26">
        <v>0</v>
      </c>
      <c r="HA304" s="26">
        <v>0</v>
      </c>
      <c r="HB304" s="26">
        <v>0</v>
      </c>
      <c r="HC304" s="26">
        <v>0</v>
      </c>
      <c r="HD304" s="26">
        <v>0</v>
      </c>
      <c r="HE304" s="26">
        <v>0</v>
      </c>
      <c r="HF304" s="26">
        <v>0</v>
      </c>
      <c r="HG304" s="26">
        <v>0</v>
      </c>
      <c r="HH304" s="26">
        <v>0</v>
      </c>
      <c r="HI304" s="26">
        <v>0</v>
      </c>
      <c r="HJ304" s="26">
        <v>0</v>
      </c>
      <c r="HK304" s="26">
        <v>0</v>
      </c>
      <c r="HL304" s="26">
        <v>0</v>
      </c>
      <c r="HM304" s="26">
        <v>0</v>
      </c>
      <c r="HN304" s="26">
        <v>0</v>
      </c>
      <c r="HO304" s="26">
        <v>0</v>
      </c>
      <c r="HP304" s="26">
        <v>0</v>
      </c>
      <c r="HQ304" s="26">
        <v>0</v>
      </c>
      <c r="HR304" s="26">
        <v>0</v>
      </c>
      <c r="HS304" s="26">
        <v>0</v>
      </c>
      <c r="HT304" s="26">
        <v>2.8840368008500724E-3</v>
      </c>
    </row>
    <row r="305" spans="2:228" x14ac:dyDescent="0.2">
      <c r="B305" s="27" t="s">
        <v>3172</v>
      </c>
      <c r="C305" s="26">
        <v>116.09195099999999</v>
      </c>
      <c r="D305" s="26">
        <v>-0.24971856200000001</v>
      </c>
      <c r="E305" s="26">
        <v>0</v>
      </c>
      <c r="F305" s="26">
        <v>0</v>
      </c>
      <c r="G305" s="26">
        <v>0</v>
      </c>
      <c r="H305" s="26">
        <v>0</v>
      </c>
      <c r="I305" s="26">
        <v>0</v>
      </c>
      <c r="J305" s="26">
        <v>0</v>
      </c>
      <c r="K305" s="26">
        <v>0</v>
      </c>
      <c r="L305" s="26">
        <v>0</v>
      </c>
      <c r="M305" s="26">
        <v>0</v>
      </c>
      <c r="N305" s="26">
        <v>0</v>
      </c>
      <c r="O305" s="26">
        <v>0</v>
      </c>
      <c r="P305" s="26">
        <v>0</v>
      </c>
      <c r="Q305" s="26">
        <v>0</v>
      </c>
      <c r="R305" s="26">
        <v>0</v>
      </c>
      <c r="S305" s="26">
        <v>0</v>
      </c>
      <c r="T305" s="26">
        <v>0</v>
      </c>
      <c r="U305" s="26">
        <v>0</v>
      </c>
      <c r="V305" s="26">
        <v>0</v>
      </c>
      <c r="W305" s="26">
        <v>0</v>
      </c>
      <c r="X305" s="26">
        <v>0</v>
      </c>
      <c r="Y305" s="26">
        <v>0</v>
      </c>
      <c r="Z305" s="26">
        <v>0</v>
      </c>
      <c r="AA305" s="26">
        <v>0</v>
      </c>
      <c r="AB305" s="26">
        <v>0</v>
      </c>
      <c r="AC305" s="26">
        <v>0</v>
      </c>
      <c r="AD305" s="26">
        <v>0</v>
      </c>
      <c r="AE305" s="26">
        <v>0</v>
      </c>
      <c r="AF305" s="26">
        <v>116.09195099999999</v>
      </c>
      <c r="AG305" s="26">
        <v>0</v>
      </c>
      <c r="AH305" s="26">
        <v>0</v>
      </c>
      <c r="AI305" s="26">
        <v>0</v>
      </c>
      <c r="AJ305" s="26">
        <v>0</v>
      </c>
      <c r="AK305" s="26">
        <v>0</v>
      </c>
      <c r="AL305" s="26">
        <v>0</v>
      </c>
      <c r="AM305" s="26">
        <v>0</v>
      </c>
      <c r="AN305" s="26">
        <v>0</v>
      </c>
      <c r="AO305" s="26">
        <v>0</v>
      </c>
      <c r="AP305" s="26">
        <v>0</v>
      </c>
      <c r="AQ305" s="26">
        <v>0</v>
      </c>
      <c r="AR305" s="26">
        <v>0</v>
      </c>
      <c r="AS305" s="26">
        <v>0</v>
      </c>
      <c r="AT305" s="26">
        <v>0</v>
      </c>
      <c r="AU305" s="26">
        <v>0</v>
      </c>
      <c r="AV305" s="26">
        <v>0</v>
      </c>
      <c r="AW305" s="26">
        <v>0</v>
      </c>
      <c r="AX305" s="26">
        <v>0</v>
      </c>
      <c r="AY305" s="26">
        <v>0</v>
      </c>
      <c r="AZ305" s="26">
        <v>0</v>
      </c>
      <c r="BA305" s="26">
        <v>0</v>
      </c>
      <c r="BB305" s="26">
        <v>0</v>
      </c>
      <c r="BC305" s="26">
        <v>0</v>
      </c>
      <c r="BD305" s="26">
        <v>0</v>
      </c>
      <c r="BE305" s="26">
        <v>0</v>
      </c>
      <c r="BF305" s="26">
        <v>0</v>
      </c>
      <c r="BG305" s="26">
        <v>0</v>
      </c>
      <c r="BH305" s="26">
        <v>0</v>
      </c>
      <c r="BI305" s="26">
        <v>0</v>
      </c>
      <c r="BJ305" s="26">
        <v>0</v>
      </c>
      <c r="BK305" s="26">
        <v>0</v>
      </c>
      <c r="BL305" s="26">
        <v>0</v>
      </c>
      <c r="BM305" s="26">
        <v>0</v>
      </c>
      <c r="BN305" s="26">
        <v>0</v>
      </c>
      <c r="BO305" s="26">
        <v>0.87910952399999998</v>
      </c>
      <c r="BP305" s="26">
        <v>116.09195099999999</v>
      </c>
      <c r="BQ305" s="26">
        <v>1.91650627</v>
      </c>
      <c r="BR305" s="26">
        <v>20</v>
      </c>
      <c r="BS305" s="26">
        <v>1</v>
      </c>
      <c r="BT305" s="26">
        <v>0</v>
      </c>
      <c r="BU305" s="26">
        <v>1</v>
      </c>
      <c r="BV305" s="26">
        <v>0</v>
      </c>
      <c r="BW305" s="26">
        <v>-284058.53100000002</v>
      </c>
      <c r="BX305" s="26">
        <v>-2151.0411199999999</v>
      </c>
      <c r="BY305" s="26">
        <v>-0.24971856200000001</v>
      </c>
      <c r="BZ305" s="26">
        <v>-592.68957</v>
      </c>
      <c r="CA305" s="26">
        <v>-4.4881582399999997</v>
      </c>
      <c r="CB305" s="26">
        <v>7.64507031E-3</v>
      </c>
      <c r="CC305" s="26">
        <v>1.0095797</v>
      </c>
      <c r="CD305" s="26">
        <v>132.05629999999999</v>
      </c>
      <c r="CE305" s="26">
        <v>0</v>
      </c>
      <c r="CF305" s="26">
        <v>0</v>
      </c>
      <c r="CG305" s="26">
        <v>0</v>
      </c>
      <c r="CH305" s="26">
        <v>0</v>
      </c>
      <c r="CI305" s="26">
        <v>0</v>
      </c>
      <c r="CJ305" s="26">
        <v>0</v>
      </c>
      <c r="CK305" s="26">
        <v>0</v>
      </c>
      <c r="CL305" s="26">
        <v>0</v>
      </c>
      <c r="CM305" s="26">
        <v>0</v>
      </c>
      <c r="CN305" s="26">
        <v>0</v>
      </c>
      <c r="CO305" s="26">
        <v>0</v>
      </c>
      <c r="CP305" s="26">
        <v>0</v>
      </c>
      <c r="CQ305" s="26">
        <v>0</v>
      </c>
      <c r="CR305" s="26">
        <v>0</v>
      </c>
      <c r="CS305" s="26">
        <v>0</v>
      </c>
      <c r="CT305" s="26">
        <v>0</v>
      </c>
      <c r="CU305" s="26">
        <v>0</v>
      </c>
      <c r="CV305" s="26">
        <v>0</v>
      </c>
      <c r="CW305" s="26">
        <v>0</v>
      </c>
      <c r="CX305" s="26">
        <v>0</v>
      </c>
      <c r="CY305" s="26">
        <v>0</v>
      </c>
      <c r="CZ305" s="26">
        <v>0</v>
      </c>
      <c r="DA305" s="26">
        <v>0</v>
      </c>
      <c r="DB305" s="26">
        <v>0</v>
      </c>
      <c r="DC305" s="26">
        <v>0</v>
      </c>
      <c r="DD305" s="26">
        <v>0</v>
      </c>
      <c r="DE305" s="26">
        <v>0</v>
      </c>
      <c r="DF305" s="26">
        <v>0</v>
      </c>
      <c r="DG305" s="26">
        <v>0</v>
      </c>
      <c r="DH305" s="26">
        <v>0</v>
      </c>
      <c r="DI305" s="26">
        <v>0</v>
      </c>
      <c r="DJ305" s="26">
        <v>0</v>
      </c>
      <c r="DK305" s="26">
        <v>0</v>
      </c>
      <c r="DL305" s="26">
        <v>0</v>
      </c>
      <c r="DM305" s="26">
        <v>0</v>
      </c>
      <c r="DN305" s="26">
        <v>0</v>
      </c>
      <c r="DO305" s="26">
        <v>0</v>
      </c>
      <c r="DP305" s="26">
        <v>0</v>
      </c>
      <c r="DQ305" s="26">
        <v>0</v>
      </c>
      <c r="DR305" s="26">
        <v>0</v>
      </c>
      <c r="DS305" s="26">
        <v>0</v>
      </c>
      <c r="DT305" s="26">
        <v>0</v>
      </c>
      <c r="DU305" s="26">
        <v>0</v>
      </c>
      <c r="DV305" s="26">
        <v>0</v>
      </c>
      <c r="DW305" s="26">
        <v>0</v>
      </c>
      <c r="DX305" s="26">
        <v>0</v>
      </c>
      <c r="DY305" s="26">
        <v>0</v>
      </c>
      <c r="DZ305" s="26">
        <v>0</v>
      </c>
      <c r="EA305" s="26">
        <v>0</v>
      </c>
      <c r="EB305" s="26">
        <v>0</v>
      </c>
      <c r="EC305" s="26">
        <v>0</v>
      </c>
      <c r="ED305" s="26">
        <v>0</v>
      </c>
      <c r="EE305" s="26">
        <v>0</v>
      </c>
      <c r="EF305" s="26">
        <v>0</v>
      </c>
      <c r="EG305" s="26">
        <v>0</v>
      </c>
      <c r="EH305" s="26">
        <v>0</v>
      </c>
      <c r="EI305" s="26">
        <v>0</v>
      </c>
      <c r="EJ305" s="26">
        <v>0</v>
      </c>
      <c r="EK305" s="26">
        <v>0</v>
      </c>
      <c r="EL305" s="26">
        <v>0</v>
      </c>
      <c r="EM305" s="26">
        <v>0</v>
      </c>
      <c r="EN305" s="26">
        <v>0</v>
      </c>
      <c r="EO305" s="26">
        <v>0</v>
      </c>
      <c r="EP305" s="26">
        <v>0</v>
      </c>
      <c r="EQ305" s="26">
        <v>0</v>
      </c>
      <c r="ER305" s="26">
        <v>0</v>
      </c>
      <c r="ES305" s="26">
        <v>0</v>
      </c>
      <c r="ET305" s="26">
        <v>1</v>
      </c>
      <c r="EU305" s="26">
        <v>0</v>
      </c>
      <c r="EV305" s="26">
        <v>0</v>
      </c>
      <c r="EW305" s="26">
        <v>0</v>
      </c>
      <c r="EX305" s="26">
        <v>0</v>
      </c>
      <c r="EY305" s="26">
        <v>0</v>
      </c>
      <c r="EZ305" s="26">
        <v>0</v>
      </c>
      <c r="FA305" s="26">
        <v>0</v>
      </c>
      <c r="FB305" s="26">
        <v>0</v>
      </c>
      <c r="FC305" s="26">
        <v>0</v>
      </c>
      <c r="FD305" s="26">
        <v>0</v>
      </c>
      <c r="FE305" s="26">
        <v>0</v>
      </c>
      <c r="FF305" s="26">
        <v>0</v>
      </c>
      <c r="FG305" s="26">
        <v>0</v>
      </c>
      <c r="FH305" s="26">
        <v>-290358.60049099999</v>
      </c>
      <c r="FI305" s="26">
        <v>0</v>
      </c>
      <c r="FJ305" s="26">
        <v>0</v>
      </c>
      <c r="FK305" s="26">
        <v>0</v>
      </c>
      <c r="FL305" s="26">
        <v>0</v>
      </c>
      <c r="FM305" s="26">
        <v>0</v>
      </c>
      <c r="FN305" s="26">
        <v>0</v>
      </c>
      <c r="FO305" s="26">
        <v>0</v>
      </c>
      <c r="FP305" s="26">
        <v>0</v>
      </c>
      <c r="FQ305" s="26">
        <v>0</v>
      </c>
      <c r="FR305" s="26">
        <v>0</v>
      </c>
      <c r="FS305" s="26">
        <v>0</v>
      </c>
      <c r="FT305" s="26">
        <v>0</v>
      </c>
      <c r="FU305" s="26">
        <v>0</v>
      </c>
      <c r="FV305" s="26">
        <v>0</v>
      </c>
      <c r="FW305" s="26">
        <v>0</v>
      </c>
      <c r="FX305" s="26">
        <v>0</v>
      </c>
      <c r="FY305" s="26">
        <v>0</v>
      </c>
      <c r="FZ305" s="26">
        <v>0</v>
      </c>
      <c r="GA305" s="26">
        <v>0</v>
      </c>
      <c r="GB305" s="26">
        <v>0</v>
      </c>
      <c r="GC305" s="26">
        <v>0</v>
      </c>
      <c r="GD305" s="26">
        <v>0</v>
      </c>
      <c r="GE305" s="26">
        <v>0</v>
      </c>
      <c r="GF305" s="26">
        <v>0</v>
      </c>
      <c r="GG305" s="26">
        <v>0</v>
      </c>
      <c r="GH305" s="26">
        <v>0</v>
      </c>
      <c r="GI305" s="26">
        <v>0</v>
      </c>
      <c r="GJ305" s="26">
        <v>0</v>
      </c>
      <c r="GK305" s="26">
        <v>0</v>
      </c>
      <c r="GL305" s="26">
        <v>0</v>
      </c>
      <c r="GM305" s="26">
        <v>0</v>
      </c>
      <c r="GN305" s="26">
        <v>0</v>
      </c>
      <c r="GO305" s="26">
        <v>0</v>
      </c>
      <c r="GP305" s="26">
        <v>0</v>
      </c>
      <c r="GQ305" s="26">
        <v>0</v>
      </c>
      <c r="GR305" s="26">
        <v>0</v>
      </c>
      <c r="GS305" s="26">
        <v>0</v>
      </c>
      <c r="GT305" s="26">
        <v>0</v>
      </c>
      <c r="GU305" s="26">
        <v>0</v>
      </c>
      <c r="GV305" s="26">
        <v>0</v>
      </c>
      <c r="GW305" s="26">
        <v>0</v>
      </c>
      <c r="GX305" s="26">
        <v>0</v>
      </c>
      <c r="GY305" s="26">
        <v>0</v>
      </c>
      <c r="GZ305" s="26">
        <v>0</v>
      </c>
      <c r="HA305" s="26">
        <v>0</v>
      </c>
      <c r="HB305" s="26">
        <v>0</v>
      </c>
      <c r="HC305" s="26">
        <v>0</v>
      </c>
      <c r="HD305" s="26">
        <v>0</v>
      </c>
      <c r="HE305" s="26">
        <v>0</v>
      </c>
      <c r="HF305" s="26">
        <v>0</v>
      </c>
      <c r="HG305" s="26">
        <v>0</v>
      </c>
      <c r="HH305" s="26">
        <v>0</v>
      </c>
      <c r="HI305" s="26">
        <v>0</v>
      </c>
      <c r="HJ305" s="26">
        <v>0</v>
      </c>
      <c r="HK305" s="26">
        <v>0</v>
      </c>
      <c r="HL305" s="26">
        <v>0</v>
      </c>
      <c r="HM305" s="26">
        <v>0</v>
      </c>
      <c r="HN305" s="26">
        <v>0</v>
      </c>
      <c r="HO305" s="26">
        <v>0</v>
      </c>
      <c r="HP305" s="26">
        <v>0</v>
      </c>
      <c r="HQ305" s="26">
        <v>0</v>
      </c>
      <c r="HR305" s="26">
        <v>0</v>
      </c>
      <c r="HS305" s="26">
        <v>0</v>
      </c>
      <c r="HT305" s="26">
        <v>0</v>
      </c>
    </row>
    <row r="306" spans="2:228" x14ac:dyDescent="0.2">
      <c r="B306" s="27" t="s">
        <v>2906</v>
      </c>
      <c r="C306" s="26">
        <v>21809.986700000001</v>
      </c>
      <c r="D306" s="26">
        <v>-31.723926800000001</v>
      </c>
      <c r="E306" s="26">
        <v>110.51614600000001</v>
      </c>
      <c r="F306" s="26">
        <v>21672.409500000002</v>
      </c>
      <c r="G306" s="26">
        <v>0</v>
      </c>
      <c r="H306" s="26">
        <v>0</v>
      </c>
      <c r="I306" s="26">
        <v>0</v>
      </c>
      <c r="J306" s="26">
        <v>0</v>
      </c>
      <c r="K306" s="26">
        <v>0</v>
      </c>
      <c r="L306" s="26">
        <v>0</v>
      </c>
      <c r="M306" s="26">
        <v>0</v>
      </c>
      <c r="N306" s="26">
        <v>0</v>
      </c>
      <c r="O306" s="26">
        <v>0</v>
      </c>
      <c r="P306" s="26">
        <v>0</v>
      </c>
      <c r="Q306" s="26">
        <v>0</v>
      </c>
      <c r="R306" s="26">
        <v>0</v>
      </c>
      <c r="S306" s="26">
        <v>0</v>
      </c>
      <c r="T306" s="26">
        <v>0</v>
      </c>
      <c r="U306" s="26">
        <v>0</v>
      </c>
      <c r="V306" s="26">
        <v>4.9639969599999997E-5</v>
      </c>
      <c r="W306" s="26">
        <v>0</v>
      </c>
      <c r="X306" s="26">
        <v>0</v>
      </c>
      <c r="Y306" s="26">
        <v>0</v>
      </c>
      <c r="Z306" s="26">
        <v>0</v>
      </c>
      <c r="AA306" s="26">
        <v>0</v>
      </c>
      <c r="AB306" s="26">
        <v>0.200425619</v>
      </c>
      <c r="AC306" s="26">
        <v>0</v>
      </c>
      <c r="AD306" s="26">
        <v>0</v>
      </c>
      <c r="AE306" s="26">
        <v>0</v>
      </c>
      <c r="AF306" s="26">
        <v>0</v>
      </c>
      <c r="AG306" s="26">
        <v>0</v>
      </c>
      <c r="AH306" s="26">
        <v>0</v>
      </c>
      <c r="AI306" s="26">
        <v>0</v>
      </c>
      <c r="AJ306" s="26">
        <v>0</v>
      </c>
      <c r="AK306" s="26">
        <v>0</v>
      </c>
      <c r="AL306" s="26">
        <v>0</v>
      </c>
      <c r="AM306" s="26">
        <v>0</v>
      </c>
      <c r="AN306" s="26">
        <v>1.43783719E-4</v>
      </c>
      <c r="AO306" s="26">
        <v>2.40057055E-8</v>
      </c>
      <c r="AP306" s="26">
        <v>0</v>
      </c>
      <c r="AQ306" s="26">
        <v>0</v>
      </c>
      <c r="AR306" s="26">
        <v>0</v>
      </c>
      <c r="AS306" s="26">
        <v>26.858380199999999</v>
      </c>
      <c r="AT306" s="26">
        <v>0</v>
      </c>
      <c r="AU306" s="26">
        <v>0</v>
      </c>
      <c r="AV306" s="26">
        <v>2.0271457700000001E-3</v>
      </c>
      <c r="AW306" s="26">
        <v>0</v>
      </c>
      <c r="AX306" s="26">
        <v>0</v>
      </c>
      <c r="AY306" s="26">
        <v>0</v>
      </c>
      <c r="AZ306" s="26">
        <v>0</v>
      </c>
      <c r="BA306" s="26">
        <v>0</v>
      </c>
      <c r="BB306" s="26">
        <v>0</v>
      </c>
      <c r="BC306" s="26">
        <v>0</v>
      </c>
      <c r="BD306" s="26">
        <v>0</v>
      </c>
      <c r="BE306" s="26">
        <v>0</v>
      </c>
      <c r="BF306" s="26">
        <v>0</v>
      </c>
      <c r="BG306" s="26">
        <v>0</v>
      </c>
      <c r="BH306" s="26">
        <v>0</v>
      </c>
      <c r="BI306" s="26">
        <v>0</v>
      </c>
      <c r="BJ306" s="26">
        <v>0</v>
      </c>
      <c r="BK306" s="26">
        <v>0</v>
      </c>
      <c r="BL306" s="26">
        <v>0</v>
      </c>
      <c r="BM306" s="26">
        <v>0</v>
      </c>
      <c r="BN306" s="26">
        <v>0</v>
      </c>
      <c r="BO306" s="26">
        <v>477.18994400000003</v>
      </c>
      <c r="BP306" s="26">
        <v>21809.986700000001</v>
      </c>
      <c r="BQ306" s="26">
        <v>451.54956199999998</v>
      </c>
      <c r="BR306" s="26">
        <v>20.276352700000018</v>
      </c>
      <c r="BS306" s="26">
        <v>4.3342522299999997</v>
      </c>
      <c r="BT306" s="26">
        <v>0</v>
      </c>
      <c r="BU306" s="26">
        <v>1</v>
      </c>
      <c r="BV306" s="26">
        <v>0</v>
      </c>
      <c r="BW306" s="26">
        <v>-66480.710600000006</v>
      </c>
      <c r="BX306" s="26">
        <v>-1454.5596499999999</v>
      </c>
      <c r="BY306" s="26">
        <v>-31.723926800000001</v>
      </c>
      <c r="BZ306" s="26">
        <v>-82.463290499999999</v>
      </c>
      <c r="CA306" s="26">
        <v>-1.80424929</v>
      </c>
      <c r="CB306" s="26">
        <v>1.7613051399999999E-2</v>
      </c>
      <c r="CC306" s="26">
        <v>0.80500526299999997</v>
      </c>
      <c r="CD306" s="26">
        <v>45.705042599999999</v>
      </c>
      <c r="CE306" s="26">
        <v>458.50700399999999</v>
      </c>
      <c r="CF306" s="26">
        <v>0</v>
      </c>
      <c r="CG306" s="26">
        <v>0</v>
      </c>
      <c r="CH306" s="26">
        <v>0</v>
      </c>
      <c r="CI306" s="26">
        <v>0</v>
      </c>
      <c r="CJ306" s="26">
        <v>0</v>
      </c>
      <c r="CK306" s="26">
        <v>0</v>
      </c>
      <c r="CL306" s="26">
        <v>0</v>
      </c>
      <c r="CM306" s="26">
        <v>0</v>
      </c>
      <c r="CN306" s="26">
        <v>0</v>
      </c>
      <c r="CO306" s="26">
        <v>0</v>
      </c>
      <c r="CP306" s="26">
        <v>0</v>
      </c>
      <c r="CQ306" s="26">
        <v>0</v>
      </c>
      <c r="CR306" s="26">
        <v>0</v>
      </c>
      <c r="CS306" s="26">
        <v>0</v>
      </c>
      <c r="CT306" s="26">
        <v>0</v>
      </c>
      <c r="CU306" s="26">
        <v>0</v>
      </c>
      <c r="CV306" s="26">
        <v>0</v>
      </c>
      <c r="CW306" s="26">
        <v>0</v>
      </c>
      <c r="CX306" s="26">
        <v>0</v>
      </c>
      <c r="CY306" s="26">
        <v>0</v>
      </c>
      <c r="CZ306" s="26">
        <v>0</v>
      </c>
      <c r="DA306" s="26">
        <v>0</v>
      </c>
      <c r="DB306" s="26">
        <v>0</v>
      </c>
      <c r="DC306" s="26">
        <v>0</v>
      </c>
      <c r="DD306" s="26">
        <v>0</v>
      </c>
      <c r="DE306" s="26">
        <v>0</v>
      </c>
      <c r="DF306" s="26">
        <v>0</v>
      </c>
      <c r="DG306" s="26">
        <v>0</v>
      </c>
      <c r="DH306" s="26">
        <v>0</v>
      </c>
      <c r="DI306" s="26">
        <v>0</v>
      </c>
      <c r="DJ306" s="26">
        <v>0</v>
      </c>
      <c r="DK306" s="26">
        <v>0</v>
      </c>
      <c r="DL306" s="26">
        <v>0</v>
      </c>
      <c r="DM306" s="26">
        <v>0</v>
      </c>
      <c r="DN306" s="26">
        <v>0</v>
      </c>
      <c r="DO306" s="26">
        <v>0</v>
      </c>
      <c r="DP306" s="26">
        <v>0</v>
      </c>
      <c r="DQ306" s="26">
        <v>0</v>
      </c>
      <c r="DR306" s="26">
        <v>0</v>
      </c>
      <c r="DS306" s="26">
        <v>0</v>
      </c>
      <c r="DT306" s="26">
        <v>0</v>
      </c>
      <c r="DU306" s="26">
        <v>0</v>
      </c>
      <c r="DV306" s="26">
        <v>0</v>
      </c>
      <c r="DW306" s="26">
        <v>0</v>
      </c>
      <c r="DX306" s="26">
        <v>0</v>
      </c>
      <c r="DY306" s="26">
        <v>0</v>
      </c>
      <c r="DZ306" s="26">
        <v>0</v>
      </c>
      <c r="EA306" s="26">
        <v>0</v>
      </c>
      <c r="EB306" s="26">
        <v>0</v>
      </c>
      <c r="EC306" s="26">
        <v>0</v>
      </c>
      <c r="ED306" s="26">
        <v>0</v>
      </c>
      <c r="EE306" s="26">
        <v>0</v>
      </c>
      <c r="EF306" s="26">
        <v>0</v>
      </c>
      <c r="EG306" s="26">
        <v>0</v>
      </c>
      <c r="EH306" s="26">
        <v>0</v>
      </c>
      <c r="EI306" s="26">
        <v>0</v>
      </c>
      <c r="EJ306" s="26">
        <v>0</v>
      </c>
      <c r="EK306" s="26">
        <v>0</v>
      </c>
      <c r="EL306" s="26">
        <v>0</v>
      </c>
      <c r="EM306" s="26">
        <v>0</v>
      </c>
      <c r="EN306" s="26">
        <v>0</v>
      </c>
      <c r="EO306" s="26">
        <v>0</v>
      </c>
      <c r="EP306" s="26">
        <v>0</v>
      </c>
      <c r="EQ306" s="26">
        <v>0</v>
      </c>
      <c r="ER306" s="26">
        <v>0</v>
      </c>
      <c r="ES306" s="26">
        <v>0</v>
      </c>
      <c r="ET306" s="26">
        <v>4.3342522299999997</v>
      </c>
      <c r="EU306" s="26">
        <v>0</v>
      </c>
      <c r="EV306" s="26">
        <v>0</v>
      </c>
      <c r="EW306" s="26">
        <v>0</v>
      </c>
      <c r="EX306" s="26">
        <v>0</v>
      </c>
      <c r="EY306" s="26">
        <v>0</v>
      </c>
      <c r="EZ306" s="26">
        <v>0</v>
      </c>
      <c r="FA306" s="26">
        <v>0</v>
      </c>
      <c r="FB306" s="26">
        <v>0</v>
      </c>
      <c r="FC306" s="26">
        <v>0</v>
      </c>
      <c r="FD306" s="26">
        <v>0</v>
      </c>
      <c r="FE306" s="26">
        <v>0</v>
      </c>
      <c r="FF306" s="26">
        <v>0</v>
      </c>
      <c r="FG306" s="26">
        <v>2.07068422</v>
      </c>
      <c r="FH306" s="26">
        <v>-36816512.291200005</v>
      </c>
      <c r="FI306" s="26">
        <v>0.26152134709217079</v>
      </c>
      <c r="FJ306" s="26">
        <v>0</v>
      </c>
      <c r="FK306" s="26">
        <v>0</v>
      </c>
      <c r="FL306" s="26">
        <v>0</v>
      </c>
      <c r="FM306" s="26">
        <v>0</v>
      </c>
      <c r="FN306" s="26">
        <v>0</v>
      </c>
      <c r="FO306" s="26">
        <v>0</v>
      </c>
      <c r="FP306" s="26">
        <v>0</v>
      </c>
      <c r="FQ306" s="26">
        <v>0</v>
      </c>
      <c r="FR306" s="26">
        <v>0</v>
      </c>
      <c r="FS306" s="26">
        <v>0</v>
      </c>
      <c r="FT306" s="26">
        <v>0</v>
      </c>
      <c r="FU306" s="26">
        <v>0</v>
      </c>
      <c r="FV306" s="26">
        <v>0</v>
      </c>
      <c r="FW306" s="26">
        <v>0</v>
      </c>
      <c r="FX306" s="26">
        <v>0</v>
      </c>
      <c r="FY306" s="26">
        <v>0</v>
      </c>
      <c r="FZ306" s="26">
        <v>0</v>
      </c>
      <c r="GA306" s="26">
        <v>0</v>
      </c>
      <c r="GB306" s="26">
        <v>0</v>
      </c>
      <c r="GC306" s="26">
        <v>0</v>
      </c>
      <c r="GD306" s="26">
        <v>0</v>
      </c>
      <c r="GE306" s="26">
        <v>0</v>
      </c>
      <c r="GF306" s="26">
        <v>0</v>
      </c>
      <c r="GG306" s="26">
        <v>0</v>
      </c>
      <c r="GH306" s="26">
        <v>0</v>
      </c>
      <c r="GI306" s="26">
        <v>0</v>
      </c>
      <c r="GJ306" s="26">
        <v>0</v>
      </c>
      <c r="GK306" s="26">
        <v>0</v>
      </c>
      <c r="GL306" s="26">
        <v>0</v>
      </c>
      <c r="GM306" s="26">
        <v>0</v>
      </c>
      <c r="GN306" s="26">
        <v>0</v>
      </c>
      <c r="GO306" s="26">
        <v>0</v>
      </c>
      <c r="GP306" s="26">
        <v>0</v>
      </c>
      <c r="GQ306" s="26">
        <v>0</v>
      </c>
      <c r="GR306" s="26">
        <v>0</v>
      </c>
      <c r="GS306" s="26">
        <v>0</v>
      </c>
      <c r="GT306" s="26">
        <v>0</v>
      </c>
      <c r="GU306" s="26">
        <v>0</v>
      </c>
      <c r="GV306" s="26">
        <v>0</v>
      </c>
      <c r="GW306" s="26">
        <v>0</v>
      </c>
      <c r="GX306" s="26">
        <v>0</v>
      </c>
      <c r="GY306" s="26">
        <v>0</v>
      </c>
      <c r="GZ306" s="26">
        <v>0</v>
      </c>
      <c r="HA306" s="26">
        <v>0</v>
      </c>
      <c r="HB306" s="26">
        <v>0</v>
      </c>
      <c r="HC306" s="26">
        <v>0</v>
      </c>
      <c r="HD306" s="26">
        <v>0</v>
      </c>
      <c r="HE306" s="26">
        <v>0</v>
      </c>
      <c r="HF306" s="26">
        <v>0</v>
      </c>
      <c r="HG306" s="26">
        <v>0</v>
      </c>
      <c r="HH306" s="26">
        <v>0</v>
      </c>
      <c r="HI306" s="26">
        <v>0</v>
      </c>
      <c r="HJ306" s="26">
        <v>0</v>
      </c>
      <c r="HK306" s="26">
        <v>0</v>
      </c>
      <c r="HL306" s="26">
        <v>0</v>
      </c>
      <c r="HM306" s="26">
        <v>0</v>
      </c>
      <c r="HN306" s="26">
        <v>0</v>
      </c>
      <c r="HO306" s="26">
        <v>0</v>
      </c>
      <c r="HP306" s="26">
        <v>0</v>
      </c>
      <c r="HQ306" s="26">
        <v>0</v>
      </c>
      <c r="HR306" s="26">
        <v>0</v>
      </c>
      <c r="HS306" s="26">
        <v>0</v>
      </c>
      <c r="HT306" s="26">
        <v>0</v>
      </c>
    </row>
    <row r="307" spans="2:228" x14ac:dyDescent="0.2">
      <c r="B307" s="27" t="s">
        <v>2434</v>
      </c>
      <c r="C307" s="26">
        <v>7.86021591</v>
      </c>
      <c r="D307" s="26">
        <v>-2.00227524E-2</v>
      </c>
      <c r="E307" s="26">
        <v>3.9497584899999998</v>
      </c>
      <c r="F307" s="26">
        <v>0</v>
      </c>
      <c r="G307" s="26">
        <v>0</v>
      </c>
      <c r="H307" s="26">
        <v>0</v>
      </c>
      <c r="I307" s="26">
        <v>0</v>
      </c>
      <c r="J307" s="26">
        <v>0</v>
      </c>
      <c r="K307" s="26">
        <v>0</v>
      </c>
      <c r="L307" s="26">
        <v>0</v>
      </c>
      <c r="M307" s="26">
        <v>0</v>
      </c>
      <c r="N307" s="26">
        <v>0</v>
      </c>
      <c r="O307" s="26">
        <v>0</v>
      </c>
      <c r="P307" s="26">
        <v>0</v>
      </c>
      <c r="Q307" s="26">
        <v>0</v>
      </c>
      <c r="R307" s="26">
        <v>0</v>
      </c>
      <c r="S307" s="26">
        <v>0</v>
      </c>
      <c r="T307" s="26">
        <v>0</v>
      </c>
      <c r="U307" s="26">
        <v>0</v>
      </c>
      <c r="V307" s="26">
        <v>0</v>
      </c>
      <c r="W307" s="26">
        <v>0</v>
      </c>
      <c r="X307" s="26">
        <v>1.94540344</v>
      </c>
      <c r="Y307" s="26">
        <v>0</v>
      </c>
      <c r="Z307" s="26">
        <v>0</v>
      </c>
      <c r="AA307" s="26">
        <v>0</v>
      </c>
      <c r="AB307" s="26">
        <v>0</v>
      </c>
      <c r="AC307" s="26">
        <v>0</v>
      </c>
      <c r="AD307" s="26">
        <v>0</v>
      </c>
      <c r="AE307" s="26">
        <v>0</v>
      </c>
      <c r="AF307" s="26">
        <v>0</v>
      </c>
      <c r="AG307" s="26">
        <v>0</v>
      </c>
      <c r="AH307" s="26">
        <v>0</v>
      </c>
      <c r="AI307" s="26">
        <v>0</v>
      </c>
      <c r="AJ307" s="26">
        <v>0</v>
      </c>
      <c r="AK307" s="26">
        <v>0</v>
      </c>
      <c r="AL307" s="26">
        <v>0</v>
      </c>
      <c r="AM307" s="26">
        <v>0</v>
      </c>
      <c r="AN307" s="26">
        <v>0</v>
      </c>
      <c r="AO307" s="26">
        <v>0</v>
      </c>
      <c r="AP307" s="26">
        <v>0</v>
      </c>
      <c r="AQ307" s="26">
        <v>0</v>
      </c>
      <c r="AR307" s="26">
        <v>0</v>
      </c>
      <c r="AS307" s="26">
        <v>0</v>
      </c>
      <c r="AT307" s="26">
        <v>0</v>
      </c>
      <c r="AU307" s="26">
        <v>0</v>
      </c>
      <c r="AV307" s="26">
        <v>0</v>
      </c>
      <c r="AW307" s="26">
        <v>0</v>
      </c>
      <c r="AX307" s="26">
        <v>0</v>
      </c>
      <c r="AY307" s="26">
        <v>0</v>
      </c>
      <c r="AZ307" s="26">
        <v>0</v>
      </c>
      <c r="BA307" s="26">
        <v>0</v>
      </c>
      <c r="BB307" s="26">
        <v>0</v>
      </c>
      <c r="BC307" s="26">
        <v>0</v>
      </c>
      <c r="BD307" s="26">
        <v>0</v>
      </c>
      <c r="BE307" s="26">
        <v>0</v>
      </c>
      <c r="BF307" s="26">
        <v>0</v>
      </c>
      <c r="BG307" s="26">
        <v>0</v>
      </c>
      <c r="BH307" s="26">
        <v>0</v>
      </c>
      <c r="BI307" s="26">
        <v>0</v>
      </c>
      <c r="BJ307" s="26">
        <v>0</v>
      </c>
      <c r="BK307" s="26">
        <v>0</v>
      </c>
      <c r="BL307" s="26">
        <v>0</v>
      </c>
      <c r="BM307" s="26">
        <v>0</v>
      </c>
      <c r="BN307" s="26">
        <v>0</v>
      </c>
      <c r="BO307" s="26">
        <v>0.24084158799999997</v>
      </c>
      <c r="BP307" s="26">
        <v>5.8951619300000004</v>
      </c>
      <c r="BQ307" s="26">
        <v>9.2206144000000004E-2</v>
      </c>
      <c r="BR307" s="26">
        <v>20.379153500000029</v>
      </c>
      <c r="BS307" s="26">
        <v>5.4229876600000013</v>
      </c>
      <c r="BT307" s="26">
        <v>0</v>
      </c>
      <c r="BU307" s="26">
        <v>1</v>
      </c>
      <c r="BV307" s="26">
        <v>0</v>
      </c>
      <c r="BW307" s="26">
        <v>-76828.823099999994</v>
      </c>
      <c r="BX307" s="26">
        <v>-3138.7731100000001</v>
      </c>
      <c r="BY307" s="26">
        <v>-1.8503575899999999E-2</v>
      </c>
      <c r="BZ307" s="26">
        <v>-46.2974192</v>
      </c>
      <c r="CA307" s="26">
        <v>-1.8914398100000001</v>
      </c>
      <c r="CB307" s="26">
        <v>4.3533177300000003E-2</v>
      </c>
      <c r="CC307" s="26">
        <v>1.0655764700000001</v>
      </c>
      <c r="CD307" s="26">
        <v>24.477342100000001</v>
      </c>
      <c r="CE307" s="26">
        <v>9.2512924299999993E-2</v>
      </c>
      <c r="CF307" s="26">
        <v>0</v>
      </c>
      <c r="CG307" s="26">
        <v>0</v>
      </c>
      <c r="CH307" s="26">
        <v>0</v>
      </c>
      <c r="CI307" s="26">
        <v>0</v>
      </c>
      <c r="CJ307" s="26">
        <v>0</v>
      </c>
      <c r="CK307" s="26">
        <v>0</v>
      </c>
      <c r="CL307" s="26">
        <v>0</v>
      </c>
      <c r="CM307" s="26">
        <v>0</v>
      </c>
      <c r="CN307" s="26">
        <v>0</v>
      </c>
      <c r="CO307" s="26">
        <v>0</v>
      </c>
      <c r="CP307" s="26">
        <v>0</v>
      </c>
      <c r="CQ307" s="26">
        <v>0</v>
      </c>
      <c r="CR307" s="26">
        <v>0</v>
      </c>
      <c r="CS307" s="26">
        <v>0</v>
      </c>
      <c r="CT307" s="26">
        <v>0</v>
      </c>
      <c r="CU307" s="26">
        <v>0</v>
      </c>
      <c r="CV307" s="26">
        <v>0</v>
      </c>
      <c r="CW307" s="26">
        <v>0</v>
      </c>
      <c r="CX307" s="26">
        <v>0</v>
      </c>
      <c r="CY307" s="26">
        <v>0</v>
      </c>
      <c r="CZ307" s="26">
        <v>0</v>
      </c>
      <c r="DA307" s="26">
        <v>0</v>
      </c>
      <c r="DB307" s="26">
        <v>0</v>
      </c>
      <c r="DC307" s="26">
        <v>0</v>
      </c>
      <c r="DD307" s="26">
        <v>0</v>
      </c>
      <c r="DE307" s="26">
        <v>0</v>
      </c>
      <c r="DF307" s="26">
        <v>0</v>
      </c>
      <c r="DG307" s="26">
        <v>0</v>
      </c>
      <c r="DH307" s="26">
        <v>0</v>
      </c>
      <c r="DI307" s="26">
        <v>0</v>
      </c>
      <c r="DJ307" s="26">
        <v>0</v>
      </c>
      <c r="DK307" s="26">
        <v>0</v>
      </c>
      <c r="DL307" s="26">
        <v>0</v>
      </c>
      <c r="DM307" s="26">
        <v>0</v>
      </c>
      <c r="DN307" s="26">
        <v>0</v>
      </c>
      <c r="DO307" s="26">
        <v>0</v>
      </c>
      <c r="DP307" s="26">
        <v>0</v>
      </c>
      <c r="DQ307" s="26">
        <v>0</v>
      </c>
      <c r="DR307" s="26">
        <v>0</v>
      </c>
      <c r="DS307" s="26">
        <v>0</v>
      </c>
      <c r="DT307" s="26">
        <v>0</v>
      </c>
      <c r="DU307" s="26">
        <v>0</v>
      </c>
      <c r="DV307" s="26">
        <v>0</v>
      </c>
      <c r="DW307" s="26">
        <v>0</v>
      </c>
      <c r="DX307" s="26">
        <v>0</v>
      </c>
      <c r="DY307" s="26">
        <v>0</v>
      </c>
      <c r="DZ307" s="26">
        <v>0</v>
      </c>
      <c r="EA307" s="26">
        <v>0</v>
      </c>
      <c r="EB307" s="26">
        <v>0</v>
      </c>
      <c r="EC307" s="26">
        <v>0</v>
      </c>
      <c r="ED307" s="26">
        <v>0</v>
      </c>
      <c r="EE307" s="26">
        <v>1.9650539799999998</v>
      </c>
      <c r="EF307" s="26">
        <v>0</v>
      </c>
      <c r="EG307" s="26">
        <v>0</v>
      </c>
      <c r="EH307" s="26">
        <v>0</v>
      </c>
      <c r="EI307" s="26">
        <v>0</v>
      </c>
      <c r="EJ307" s="26">
        <v>0</v>
      </c>
      <c r="EK307" s="26">
        <v>0</v>
      </c>
      <c r="EL307" s="26">
        <v>0</v>
      </c>
      <c r="EM307" s="26">
        <v>0</v>
      </c>
      <c r="EN307" s="26">
        <v>0</v>
      </c>
      <c r="EO307" s="26">
        <v>0</v>
      </c>
      <c r="EP307" s="26">
        <v>8.6037144999999995E-2</v>
      </c>
      <c r="EQ307" s="26">
        <v>1.9650539799999998</v>
      </c>
      <c r="ER307" s="26">
        <v>2.1796076500000001E-2</v>
      </c>
      <c r="ES307" s="26">
        <v>20.379153500000029</v>
      </c>
      <c r="ET307" s="26">
        <v>5.4229876600000013</v>
      </c>
      <c r="EU307" s="26">
        <v>0</v>
      </c>
      <c r="EV307" s="26">
        <v>0</v>
      </c>
      <c r="EW307" s="26">
        <v>1</v>
      </c>
      <c r="EX307" s="26">
        <v>-17657.216700000001</v>
      </c>
      <c r="EY307" s="26">
        <v>-773.09658300000001</v>
      </c>
      <c r="EZ307" s="26">
        <v>-1.51917653E-3</v>
      </c>
      <c r="FA307" s="26">
        <v>-59.223624999999998</v>
      </c>
      <c r="FB307" s="26">
        <v>-2.59302374</v>
      </c>
      <c r="FC307" s="26">
        <v>6.5789473700000003E-2</v>
      </c>
      <c r="FD307" s="26">
        <v>1.5026052599999999</v>
      </c>
      <c r="FE307" s="26">
        <v>22.839600000000001</v>
      </c>
      <c r="FF307" s="26">
        <v>0</v>
      </c>
      <c r="FG307" s="26">
        <v>0.62472096899999996</v>
      </c>
      <c r="FH307" s="26">
        <v>-23257.970681300001</v>
      </c>
      <c r="FI307" s="26">
        <v>1.7997229366200058E-5</v>
      </c>
      <c r="FJ307" s="26">
        <v>0</v>
      </c>
      <c r="FK307" s="26">
        <v>0</v>
      </c>
      <c r="FL307" s="26">
        <v>0</v>
      </c>
      <c r="FM307" s="26">
        <v>0</v>
      </c>
      <c r="FN307" s="26">
        <v>0</v>
      </c>
      <c r="FO307" s="26">
        <v>0</v>
      </c>
      <c r="FP307" s="26">
        <v>0</v>
      </c>
      <c r="FQ307" s="26">
        <v>0</v>
      </c>
      <c r="FR307" s="26">
        <v>0</v>
      </c>
      <c r="FS307" s="26">
        <v>0</v>
      </c>
      <c r="FT307" s="26">
        <v>0</v>
      </c>
      <c r="FU307" s="26">
        <v>0</v>
      </c>
      <c r="FV307" s="26">
        <v>0</v>
      </c>
      <c r="FW307" s="26">
        <v>0</v>
      </c>
      <c r="FX307" s="26">
        <v>0</v>
      </c>
      <c r="FY307" s="26">
        <v>0</v>
      </c>
      <c r="FZ307" s="26">
        <v>0</v>
      </c>
      <c r="GA307" s="26">
        <v>0</v>
      </c>
      <c r="GB307" s="26">
        <v>0</v>
      </c>
      <c r="GC307" s="26">
        <v>0</v>
      </c>
      <c r="GD307" s="26">
        <v>0</v>
      </c>
      <c r="GE307" s="26">
        <v>0</v>
      </c>
      <c r="GF307" s="26">
        <v>0</v>
      </c>
      <c r="GG307" s="26">
        <v>0</v>
      </c>
      <c r="GH307" s="26">
        <v>0</v>
      </c>
      <c r="GI307" s="26">
        <v>0</v>
      </c>
      <c r="GJ307" s="26">
        <v>0</v>
      </c>
      <c r="GK307" s="26">
        <v>0</v>
      </c>
      <c r="GL307" s="26">
        <v>0</v>
      </c>
      <c r="GM307" s="26">
        <v>0</v>
      </c>
      <c r="GN307" s="26">
        <v>0</v>
      </c>
      <c r="GO307" s="26">
        <v>0</v>
      </c>
      <c r="GP307" s="26">
        <v>0</v>
      </c>
      <c r="GQ307" s="26">
        <v>0</v>
      </c>
      <c r="GR307" s="26">
        <v>0</v>
      </c>
      <c r="GS307" s="26">
        <v>0</v>
      </c>
      <c r="GT307" s="26">
        <v>0</v>
      </c>
      <c r="GU307" s="26">
        <v>0</v>
      </c>
      <c r="GV307" s="26">
        <v>0</v>
      </c>
      <c r="GW307" s="26">
        <v>0</v>
      </c>
      <c r="GX307" s="26">
        <v>0</v>
      </c>
      <c r="GY307" s="26">
        <v>0</v>
      </c>
      <c r="GZ307" s="26">
        <v>0</v>
      </c>
      <c r="HA307" s="26">
        <v>0</v>
      </c>
      <c r="HB307" s="26">
        <v>0</v>
      </c>
      <c r="HC307" s="26">
        <v>0</v>
      </c>
      <c r="HD307" s="26">
        <v>0</v>
      </c>
      <c r="HE307" s="26">
        <v>0</v>
      </c>
      <c r="HF307" s="26">
        <v>0</v>
      </c>
      <c r="HG307" s="26">
        <v>0</v>
      </c>
      <c r="HH307" s="26">
        <v>0</v>
      </c>
      <c r="HI307" s="26">
        <v>0</v>
      </c>
      <c r="HJ307" s="26">
        <v>0</v>
      </c>
      <c r="HK307" s="26">
        <v>0</v>
      </c>
      <c r="HL307" s="26">
        <v>0</v>
      </c>
      <c r="HM307" s="26">
        <v>0</v>
      </c>
      <c r="HN307" s="26">
        <v>0</v>
      </c>
      <c r="HO307" s="26">
        <v>0</v>
      </c>
      <c r="HP307" s="26">
        <v>0</v>
      </c>
      <c r="HQ307" s="26">
        <v>0</v>
      </c>
      <c r="HR307" s="26">
        <v>0</v>
      </c>
      <c r="HS307" s="26">
        <v>0</v>
      </c>
      <c r="HT307" s="26">
        <v>2.3899207135638102E-5</v>
      </c>
    </row>
    <row r="308" spans="2:228" x14ac:dyDescent="0.2">
      <c r="B308" s="27" t="s">
        <v>2428</v>
      </c>
      <c r="C308" s="26">
        <v>2.0000000000000002E-5</v>
      </c>
      <c r="D308" s="26">
        <v>-4.53913175E-8</v>
      </c>
      <c r="E308" s="26">
        <v>1.0000000000000001E-5</v>
      </c>
      <c r="F308" s="26">
        <v>0</v>
      </c>
      <c r="G308" s="26">
        <v>0</v>
      </c>
      <c r="H308" s="26">
        <v>0</v>
      </c>
      <c r="I308" s="26">
        <v>0</v>
      </c>
      <c r="J308" s="26">
        <v>0</v>
      </c>
      <c r="K308" s="26">
        <v>0</v>
      </c>
      <c r="L308" s="26">
        <v>0</v>
      </c>
      <c r="M308" s="26">
        <v>0</v>
      </c>
      <c r="N308" s="26">
        <v>0</v>
      </c>
      <c r="O308" s="26">
        <v>0</v>
      </c>
      <c r="P308" s="26">
        <v>0</v>
      </c>
      <c r="Q308" s="26">
        <v>0</v>
      </c>
      <c r="R308" s="26">
        <v>0</v>
      </c>
      <c r="S308" s="26">
        <v>0</v>
      </c>
      <c r="T308" s="26">
        <v>0</v>
      </c>
      <c r="U308" s="26">
        <v>0</v>
      </c>
      <c r="V308" s="26">
        <v>0</v>
      </c>
      <c r="W308" s="26">
        <v>0</v>
      </c>
      <c r="X308" s="26">
        <v>0</v>
      </c>
      <c r="Y308" s="26">
        <v>0</v>
      </c>
      <c r="Z308" s="26">
        <v>0</v>
      </c>
      <c r="AA308" s="26">
        <v>0</v>
      </c>
      <c r="AB308" s="26">
        <v>0</v>
      </c>
      <c r="AC308" s="26">
        <v>0</v>
      </c>
      <c r="AD308" s="26">
        <v>0</v>
      </c>
      <c r="AE308" s="26">
        <v>0</v>
      </c>
      <c r="AF308" s="26">
        <v>0</v>
      </c>
      <c r="AG308" s="26">
        <v>0</v>
      </c>
      <c r="AH308" s="26">
        <v>0</v>
      </c>
      <c r="AI308" s="26">
        <v>0</v>
      </c>
      <c r="AJ308" s="26">
        <v>0</v>
      </c>
      <c r="AK308" s="26">
        <v>0</v>
      </c>
      <c r="AL308" s="26">
        <v>0</v>
      </c>
      <c r="AM308" s="26">
        <v>0</v>
      </c>
      <c r="AN308" s="26">
        <v>0</v>
      </c>
      <c r="AO308" s="26">
        <v>0</v>
      </c>
      <c r="AP308" s="26">
        <v>0</v>
      </c>
      <c r="AQ308" s="26">
        <v>0</v>
      </c>
      <c r="AR308" s="26">
        <v>0</v>
      </c>
      <c r="AS308" s="26">
        <v>0</v>
      </c>
      <c r="AT308" s="26">
        <v>0</v>
      </c>
      <c r="AU308" s="26">
        <v>0</v>
      </c>
      <c r="AV308" s="26">
        <v>0</v>
      </c>
      <c r="AW308" s="26">
        <v>0</v>
      </c>
      <c r="AX308" s="26">
        <v>0</v>
      </c>
      <c r="AY308" s="26">
        <v>0</v>
      </c>
      <c r="AZ308" s="26">
        <v>0</v>
      </c>
      <c r="BA308" s="26">
        <v>0</v>
      </c>
      <c r="BB308" s="26">
        <v>0</v>
      </c>
      <c r="BC308" s="26">
        <v>0</v>
      </c>
      <c r="BD308" s="26">
        <v>0</v>
      </c>
      <c r="BE308" s="26">
        <v>0</v>
      </c>
      <c r="BF308" s="26">
        <v>0</v>
      </c>
      <c r="BG308" s="26">
        <v>0</v>
      </c>
      <c r="BH308" s="26">
        <v>0</v>
      </c>
      <c r="BI308" s="26">
        <v>0</v>
      </c>
      <c r="BJ308" s="26">
        <v>0</v>
      </c>
      <c r="BK308" s="26">
        <v>0</v>
      </c>
      <c r="BL308" s="26">
        <v>0</v>
      </c>
      <c r="BM308" s="26">
        <v>0</v>
      </c>
      <c r="BN308" s="26">
        <v>0</v>
      </c>
      <c r="BO308" s="26">
        <v>5.5508435099999997E-7</v>
      </c>
      <c r="BP308" s="26">
        <v>1.0000000000000001E-5</v>
      </c>
      <c r="BQ308" s="26">
        <v>1.66872384E-7</v>
      </c>
      <c r="BR308" s="26">
        <v>20</v>
      </c>
      <c r="BS308" s="26">
        <v>1</v>
      </c>
      <c r="BT308" s="26">
        <v>0</v>
      </c>
      <c r="BU308" s="26">
        <v>1</v>
      </c>
      <c r="BV308" s="26">
        <v>0</v>
      </c>
      <c r="BW308" s="26">
        <v>-68314.175600000002</v>
      </c>
      <c r="BX308" s="26">
        <v>-3792.01298</v>
      </c>
      <c r="BY308" s="26">
        <v>-3.7920130100000002E-8</v>
      </c>
      <c r="BZ308" s="26">
        <v>-39.124202799999999</v>
      </c>
      <c r="CA308" s="26">
        <v>-2.1717232700000002</v>
      </c>
      <c r="CB308" s="26">
        <v>5.5440004600000002E-2</v>
      </c>
      <c r="CC308" s="26">
        <v>0.99876720600000002</v>
      </c>
      <c r="CD308" s="26">
        <v>18.015280000000001</v>
      </c>
      <c r="CE308" s="26">
        <v>1.66987873E-7</v>
      </c>
      <c r="CF308" s="26">
        <v>0</v>
      </c>
      <c r="CG308" s="26">
        <v>0</v>
      </c>
      <c r="CH308" s="26">
        <v>0</v>
      </c>
      <c r="CI308" s="26">
        <v>0</v>
      </c>
      <c r="CJ308" s="26">
        <v>0</v>
      </c>
      <c r="CK308" s="26">
        <v>0</v>
      </c>
      <c r="CL308" s="26">
        <v>0</v>
      </c>
      <c r="CM308" s="26">
        <v>0</v>
      </c>
      <c r="CN308" s="26">
        <v>0</v>
      </c>
      <c r="CO308" s="26">
        <v>0</v>
      </c>
      <c r="CP308" s="26">
        <v>0</v>
      </c>
      <c r="CQ308" s="26">
        <v>0</v>
      </c>
      <c r="CR308" s="26">
        <v>0</v>
      </c>
      <c r="CS308" s="26">
        <v>0</v>
      </c>
      <c r="CT308" s="26">
        <v>0</v>
      </c>
      <c r="CU308" s="26">
        <v>0</v>
      </c>
      <c r="CV308" s="26">
        <v>0</v>
      </c>
      <c r="CW308" s="26">
        <v>0</v>
      </c>
      <c r="CX308" s="26">
        <v>0</v>
      </c>
      <c r="CY308" s="26">
        <v>0</v>
      </c>
      <c r="CZ308" s="26">
        <v>0</v>
      </c>
      <c r="DA308" s="26">
        <v>0</v>
      </c>
      <c r="DB308" s="26">
        <v>0</v>
      </c>
      <c r="DC308" s="26">
        <v>0</v>
      </c>
      <c r="DD308" s="26">
        <v>0</v>
      </c>
      <c r="DE308" s="26">
        <v>0</v>
      </c>
      <c r="DF308" s="26">
        <v>0</v>
      </c>
      <c r="DG308" s="26">
        <v>0</v>
      </c>
      <c r="DH308" s="26">
        <v>0</v>
      </c>
      <c r="DI308" s="26">
        <v>0</v>
      </c>
      <c r="DJ308" s="26">
        <v>0</v>
      </c>
      <c r="DK308" s="26">
        <v>0</v>
      </c>
      <c r="DL308" s="26">
        <v>0</v>
      </c>
      <c r="DM308" s="26">
        <v>0</v>
      </c>
      <c r="DN308" s="26">
        <v>0</v>
      </c>
      <c r="DO308" s="26">
        <v>0</v>
      </c>
      <c r="DP308" s="26">
        <v>0</v>
      </c>
      <c r="DQ308" s="26">
        <v>0</v>
      </c>
      <c r="DR308" s="26">
        <v>0</v>
      </c>
      <c r="DS308" s="26">
        <v>0</v>
      </c>
      <c r="DT308" s="26">
        <v>0</v>
      </c>
      <c r="DU308" s="26">
        <v>0</v>
      </c>
      <c r="DV308" s="26">
        <v>0</v>
      </c>
      <c r="DW308" s="26">
        <v>0</v>
      </c>
      <c r="DX308" s="26">
        <v>0</v>
      </c>
      <c r="DY308" s="26">
        <v>0</v>
      </c>
      <c r="DZ308" s="26">
        <v>0</v>
      </c>
      <c r="EA308" s="26">
        <v>0</v>
      </c>
      <c r="EB308" s="26">
        <v>0</v>
      </c>
      <c r="EC308" s="26">
        <v>0</v>
      </c>
      <c r="ED308" s="26">
        <v>0</v>
      </c>
      <c r="EE308" s="26">
        <v>0</v>
      </c>
      <c r="EF308" s="26">
        <v>0</v>
      </c>
      <c r="EG308" s="26">
        <v>1.0000000000000001E-5</v>
      </c>
      <c r="EH308" s="26">
        <v>0</v>
      </c>
      <c r="EI308" s="26">
        <v>0</v>
      </c>
      <c r="EJ308" s="26">
        <v>0</v>
      </c>
      <c r="EK308" s="26">
        <v>0</v>
      </c>
      <c r="EL308" s="26">
        <v>0</v>
      </c>
      <c r="EM308" s="26">
        <v>0</v>
      </c>
      <c r="EN308" s="26">
        <v>0</v>
      </c>
      <c r="EO308" s="26">
        <v>0</v>
      </c>
      <c r="EP308" s="26">
        <v>4.1639600900000002E-7</v>
      </c>
      <c r="EQ308" s="26">
        <v>1.0000000000000001E-5</v>
      </c>
      <c r="ER308" s="26">
        <v>1.0548698800000001E-7</v>
      </c>
      <c r="ES308" s="26">
        <v>20</v>
      </c>
      <c r="ET308" s="26">
        <v>1</v>
      </c>
      <c r="EU308" s="26">
        <v>0</v>
      </c>
      <c r="EV308" s="26">
        <v>0</v>
      </c>
      <c r="EW308" s="26">
        <v>1</v>
      </c>
      <c r="EX308" s="26">
        <v>-17942.5046</v>
      </c>
      <c r="EY308" s="26">
        <v>-747.11872900000003</v>
      </c>
      <c r="EZ308" s="26">
        <v>-7.4711873500000005E-9</v>
      </c>
      <c r="FA308" s="26">
        <v>-60.180662099999999</v>
      </c>
      <c r="FB308" s="26">
        <v>-2.5058987500000001</v>
      </c>
      <c r="FC308" s="26">
        <v>6.5789473700000003E-2</v>
      </c>
      <c r="FD308" s="26">
        <v>1.5799736799999999</v>
      </c>
      <c r="FE308" s="26">
        <v>24.015599999999999</v>
      </c>
      <c r="FF308" s="26">
        <v>0</v>
      </c>
      <c r="FG308" s="26">
        <v>0.68122387100000004</v>
      </c>
      <c r="FH308" s="26">
        <v>-5.2716617167100001E-2</v>
      </c>
      <c r="FI308" s="26">
        <v>0</v>
      </c>
      <c r="FJ308" s="26">
        <v>0</v>
      </c>
      <c r="FK308" s="26">
        <v>0</v>
      </c>
      <c r="FL308" s="26">
        <v>0</v>
      </c>
      <c r="FM308" s="26">
        <v>0</v>
      </c>
      <c r="FN308" s="26">
        <v>0</v>
      </c>
      <c r="FO308" s="26">
        <v>0</v>
      </c>
      <c r="FP308" s="26">
        <v>0</v>
      </c>
      <c r="FQ308" s="26">
        <v>0</v>
      </c>
      <c r="FR308" s="26">
        <v>0</v>
      </c>
      <c r="FS308" s="26">
        <v>0</v>
      </c>
      <c r="FT308" s="26">
        <v>0</v>
      </c>
      <c r="FU308" s="26">
        <v>0</v>
      </c>
      <c r="FV308" s="26">
        <v>0</v>
      </c>
      <c r="FW308" s="26">
        <v>0</v>
      </c>
      <c r="FX308" s="26">
        <v>0</v>
      </c>
      <c r="FY308" s="26">
        <v>0</v>
      </c>
      <c r="FZ308" s="26">
        <v>0</v>
      </c>
      <c r="GA308" s="26">
        <v>0</v>
      </c>
      <c r="GB308" s="26">
        <v>0</v>
      </c>
      <c r="GC308" s="26">
        <v>0</v>
      </c>
      <c r="GD308" s="26">
        <v>0</v>
      </c>
      <c r="GE308" s="26">
        <v>0</v>
      </c>
      <c r="GF308" s="26">
        <v>0</v>
      </c>
      <c r="GG308" s="26">
        <v>0</v>
      </c>
      <c r="GH308" s="26">
        <v>0</v>
      </c>
      <c r="GI308" s="26">
        <v>0</v>
      </c>
      <c r="GJ308" s="26">
        <v>0</v>
      </c>
      <c r="GK308" s="26">
        <v>0</v>
      </c>
      <c r="GL308" s="26">
        <v>0</v>
      </c>
      <c r="GM308" s="26">
        <v>0</v>
      </c>
      <c r="GN308" s="26">
        <v>0</v>
      </c>
      <c r="GO308" s="26">
        <v>0</v>
      </c>
      <c r="GP308" s="26">
        <v>0</v>
      </c>
      <c r="GQ308" s="26">
        <v>0</v>
      </c>
      <c r="GR308" s="26">
        <v>0</v>
      </c>
      <c r="GS308" s="26">
        <v>0</v>
      </c>
      <c r="GT308" s="26">
        <v>0</v>
      </c>
      <c r="GU308" s="26">
        <v>0</v>
      </c>
      <c r="GV308" s="26">
        <v>0</v>
      </c>
      <c r="GW308" s="26">
        <v>0</v>
      </c>
      <c r="GX308" s="26">
        <v>0</v>
      </c>
      <c r="GY308" s="26">
        <v>0</v>
      </c>
      <c r="GZ308" s="26">
        <v>0</v>
      </c>
      <c r="HA308" s="26">
        <v>0</v>
      </c>
      <c r="HB308" s="26">
        <v>0</v>
      </c>
      <c r="HC308" s="26">
        <v>0</v>
      </c>
      <c r="HD308" s="26">
        <v>0</v>
      </c>
      <c r="HE308" s="26">
        <v>0</v>
      </c>
      <c r="HF308" s="26">
        <v>0</v>
      </c>
      <c r="HG308" s="26">
        <v>0</v>
      </c>
      <c r="HH308" s="26">
        <v>0</v>
      </c>
      <c r="HI308" s="26">
        <v>0</v>
      </c>
      <c r="HJ308" s="26">
        <v>0</v>
      </c>
      <c r="HK308" s="26">
        <v>0</v>
      </c>
      <c r="HL308" s="26">
        <v>0</v>
      </c>
      <c r="HM308" s="26">
        <v>0</v>
      </c>
      <c r="HN308" s="26">
        <v>0</v>
      </c>
      <c r="HO308" s="26">
        <v>0</v>
      </c>
      <c r="HP308" s="26">
        <v>0</v>
      </c>
      <c r="HQ308" s="26">
        <v>0</v>
      </c>
      <c r="HR308" s="26">
        <v>0</v>
      </c>
      <c r="HS308" s="26">
        <v>0</v>
      </c>
      <c r="HT308" s="26">
        <v>1.1566555898088003E-10</v>
      </c>
    </row>
    <row r="309" spans="2:228" x14ac:dyDescent="0.2">
      <c r="B309" s="27" t="s">
        <v>2436</v>
      </c>
      <c r="C309" s="26">
        <v>109.253077</v>
      </c>
      <c r="D309" s="26">
        <v>-0.101565817</v>
      </c>
      <c r="E309" s="26">
        <v>0</v>
      </c>
      <c r="F309" s="26">
        <v>0</v>
      </c>
      <c r="G309" s="26">
        <v>0</v>
      </c>
      <c r="H309" s="26">
        <v>0</v>
      </c>
      <c r="I309" s="26">
        <v>0</v>
      </c>
      <c r="J309" s="26">
        <v>0</v>
      </c>
      <c r="K309" s="26">
        <v>0</v>
      </c>
      <c r="L309" s="26">
        <v>0</v>
      </c>
      <c r="M309" s="26">
        <v>0</v>
      </c>
      <c r="N309" s="26">
        <v>0</v>
      </c>
      <c r="O309" s="26">
        <v>0</v>
      </c>
      <c r="P309" s="26">
        <v>0</v>
      </c>
      <c r="Q309" s="26">
        <v>0</v>
      </c>
      <c r="R309" s="26">
        <v>0</v>
      </c>
      <c r="S309" s="26">
        <v>0</v>
      </c>
      <c r="T309" s="26">
        <v>0</v>
      </c>
      <c r="U309" s="26">
        <v>0</v>
      </c>
      <c r="V309" s="26">
        <v>0</v>
      </c>
      <c r="W309" s="26">
        <v>0</v>
      </c>
      <c r="X309" s="26">
        <v>0</v>
      </c>
      <c r="Y309" s="26">
        <v>0</v>
      </c>
      <c r="Z309" s="26">
        <v>0</v>
      </c>
      <c r="AA309" s="26">
        <v>0</v>
      </c>
      <c r="AB309" s="26">
        <v>109.253077</v>
      </c>
      <c r="AC309" s="26">
        <v>0</v>
      </c>
      <c r="AD309" s="26">
        <v>0</v>
      </c>
      <c r="AE309" s="26">
        <v>0</v>
      </c>
      <c r="AF309" s="26">
        <v>0</v>
      </c>
      <c r="AG309" s="26">
        <v>0</v>
      </c>
      <c r="AH309" s="26">
        <v>0</v>
      </c>
      <c r="AI309" s="26">
        <v>0</v>
      </c>
      <c r="AJ309" s="26">
        <v>0</v>
      </c>
      <c r="AK309" s="26">
        <v>0</v>
      </c>
      <c r="AL309" s="26">
        <v>0</v>
      </c>
      <c r="AM309" s="26">
        <v>0</v>
      </c>
      <c r="AN309" s="26">
        <v>0</v>
      </c>
      <c r="AO309" s="26">
        <v>0</v>
      </c>
      <c r="AP309" s="26">
        <v>0</v>
      </c>
      <c r="AQ309" s="26">
        <v>0</v>
      </c>
      <c r="AR309" s="26">
        <v>0</v>
      </c>
      <c r="AS309" s="26">
        <v>0</v>
      </c>
      <c r="AT309" s="26">
        <v>0</v>
      </c>
      <c r="AU309" s="26">
        <v>0</v>
      </c>
      <c r="AV309" s="26">
        <v>0</v>
      </c>
      <c r="AW309" s="26">
        <v>0</v>
      </c>
      <c r="AX309" s="26">
        <v>0</v>
      </c>
      <c r="AY309" s="26">
        <v>0</v>
      </c>
      <c r="AZ309" s="26">
        <v>0</v>
      </c>
      <c r="BA309" s="26">
        <v>0</v>
      </c>
      <c r="BB309" s="26">
        <v>0</v>
      </c>
      <c r="BC309" s="26">
        <v>0</v>
      </c>
      <c r="BD309" s="26">
        <v>0</v>
      </c>
      <c r="BE309" s="26">
        <v>0</v>
      </c>
      <c r="BF309" s="26">
        <v>0</v>
      </c>
      <c r="BG309" s="26">
        <v>0</v>
      </c>
      <c r="BH309" s="26">
        <v>0</v>
      </c>
      <c r="BI309" s="26">
        <v>0</v>
      </c>
      <c r="BJ309" s="26">
        <v>0</v>
      </c>
      <c r="BK309" s="26">
        <v>0</v>
      </c>
      <c r="BL309" s="26">
        <v>0</v>
      </c>
      <c r="BM309" s="26">
        <v>0</v>
      </c>
      <c r="BN309" s="26">
        <v>0</v>
      </c>
      <c r="BO309" s="26">
        <v>6.4151194599999997</v>
      </c>
      <c r="BP309" s="26">
        <v>109.253077</v>
      </c>
      <c r="BQ309" s="26">
        <v>2.9889263100000001</v>
      </c>
      <c r="BR309" s="26">
        <v>20</v>
      </c>
      <c r="BS309" s="26">
        <v>17</v>
      </c>
      <c r="BT309" s="26">
        <v>0</v>
      </c>
      <c r="BU309" s="26">
        <v>1</v>
      </c>
      <c r="BV309" s="26">
        <v>0</v>
      </c>
      <c r="BW309" s="26">
        <v>-15832.2564</v>
      </c>
      <c r="BX309" s="26">
        <v>-929.63803600000006</v>
      </c>
      <c r="BY309" s="26">
        <v>-0.101565817</v>
      </c>
      <c r="BZ309" s="26">
        <v>-44.475377799999997</v>
      </c>
      <c r="CA309" s="26">
        <v>-2.6115041300000001</v>
      </c>
      <c r="CB309" s="26">
        <v>3.5771593400000003E-2</v>
      </c>
      <c r="CC309" s="26">
        <v>0.60921026700000003</v>
      </c>
      <c r="CD309" s="26">
        <v>17.030560000000001</v>
      </c>
      <c r="CE309" s="26">
        <v>5.7263280200000004</v>
      </c>
      <c r="CF309" s="26">
        <v>0</v>
      </c>
      <c r="CG309" s="26">
        <v>0</v>
      </c>
      <c r="CH309" s="26">
        <v>0</v>
      </c>
      <c r="CI309" s="26">
        <v>0</v>
      </c>
      <c r="CJ309" s="26">
        <v>0</v>
      </c>
      <c r="CK309" s="26">
        <v>0</v>
      </c>
      <c r="CL309" s="26">
        <v>0</v>
      </c>
      <c r="CM309" s="26">
        <v>0</v>
      </c>
      <c r="CN309" s="26">
        <v>0</v>
      </c>
      <c r="CO309" s="26">
        <v>0</v>
      </c>
      <c r="CP309" s="26">
        <v>0</v>
      </c>
      <c r="CQ309" s="26">
        <v>0</v>
      </c>
      <c r="CR309" s="26">
        <v>0</v>
      </c>
      <c r="CS309" s="26">
        <v>0</v>
      </c>
      <c r="CT309" s="26">
        <v>0</v>
      </c>
      <c r="CU309" s="26">
        <v>0</v>
      </c>
      <c r="CV309" s="26">
        <v>0</v>
      </c>
      <c r="CW309" s="26">
        <v>0</v>
      </c>
      <c r="CX309" s="26">
        <v>0</v>
      </c>
      <c r="CY309" s="26">
        <v>0</v>
      </c>
      <c r="CZ309" s="26">
        <v>0</v>
      </c>
      <c r="DA309" s="26">
        <v>0</v>
      </c>
      <c r="DB309" s="26">
        <v>0</v>
      </c>
      <c r="DC309" s="26">
        <v>0</v>
      </c>
      <c r="DD309" s="26">
        <v>0</v>
      </c>
      <c r="DE309" s="26">
        <v>0</v>
      </c>
      <c r="DF309" s="26">
        <v>0</v>
      </c>
      <c r="DG309" s="26">
        <v>0</v>
      </c>
      <c r="DH309" s="26">
        <v>0</v>
      </c>
      <c r="DI309" s="26">
        <v>0</v>
      </c>
      <c r="DJ309" s="26">
        <v>0</v>
      </c>
      <c r="DK309" s="26">
        <v>0</v>
      </c>
      <c r="DL309" s="26">
        <v>0</v>
      </c>
      <c r="DM309" s="26">
        <v>0</v>
      </c>
      <c r="DN309" s="26">
        <v>0</v>
      </c>
      <c r="DO309" s="26">
        <v>0</v>
      </c>
      <c r="DP309" s="26">
        <v>0</v>
      </c>
      <c r="DQ309" s="26">
        <v>0</v>
      </c>
      <c r="DR309" s="26">
        <v>0</v>
      </c>
      <c r="DS309" s="26">
        <v>0</v>
      </c>
      <c r="DT309" s="26">
        <v>0</v>
      </c>
      <c r="DU309" s="26">
        <v>0</v>
      </c>
      <c r="DV309" s="26">
        <v>0</v>
      </c>
      <c r="DW309" s="26">
        <v>0</v>
      </c>
      <c r="DX309" s="26">
        <v>0</v>
      </c>
      <c r="DY309" s="26">
        <v>0</v>
      </c>
      <c r="DZ309" s="26">
        <v>0</v>
      </c>
      <c r="EA309" s="26">
        <v>0</v>
      </c>
      <c r="EB309" s="26">
        <v>0</v>
      </c>
      <c r="EC309" s="26">
        <v>0</v>
      </c>
      <c r="ED309" s="26">
        <v>0</v>
      </c>
      <c r="EE309" s="26">
        <v>0</v>
      </c>
      <c r="EF309" s="26">
        <v>0</v>
      </c>
      <c r="EG309" s="26">
        <v>0</v>
      </c>
      <c r="EH309" s="26">
        <v>0</v>
      </c>
      <c r="EI309" s="26">
        <v>0</v>
      </c>
      <c r="EJ309" s="26">
        <v>0</v>
      </c>
      <c r="EK309" s="26">
        <v>0</v>
      </c>
      <c r="EL309" s="26">
        <v>0</v>
      </c>
      <c r="EM309" s="26">
        <v>0</v>
      </c>
      <c r="EN309" s="26">
        <v>0</v>
      </c>
      <c r="EO309" s="26">
        <v>0</v>
      </c>
      <c r="EP309" s="26">
        <v>0</v>
      </c>
      <c r="EQ309" s="26">
        <v>0</v>
      </c>
      <c r="ER309" s="26">
        <v>0</v>
      </c>
      <c r="ES309" s="26">
        <v>0</v>
      </c>
      <c r="ET309" s="26">
        <v>17</v>
      </c>
      <c r="EU309" s="26">
        <v>0</v>
      </c>
      <c r="EV309" s="26">
        <v>0</v>
      </c>
      <c r="EW309" s="26">
        <v>0</v>
      </c>
      <c r="EX309" s="26">
        <v>0</v>
      </c>
      <c r="EY309" s="26">
        <v>0</v>
      </c>
      <c r="EZ309" s="26">
        <v>0</v>
      </c>
      <c r="FA309" s="26">
        <v>0</v>
      </c>
      <c r="FB309" s="26">
        <v>0</v>
      </c>
      <c r="FC309" s="26">
        <v>0</v>
      </c>
      <c r="FD309" s="26">
        <v>0</v>
      </c>
      <c r="FE309" s="26">
        <v>0</v>
      </c>
      <c r="FF309" s="26">
        <v>0</v>
      </c>
      <c r="FG309" s="26">
        <v>0</v>
      </c>
      <c r="FH309" s="26">
        <v>-117179.438503</v>
      </c>
      <c r="FI309" s="26">
        <v>0</v>
      </c>
      <c r="FJ309" s="26">
        <v>0</v>
      </c>
      <c r="FK309" s="26">
        <v>0</v>
      </c>
      <c r="FL309" s="26">
        <v>0</v>
      </c>
      <c r="FM309" s="26">
        <v>0</v>
      </c>
      <c r="FN309" s="26">
        <v>0</v>
      </c>
      <c r="FO309" s="26">
        <v>0</v>
      </c>
      <c r="FP309" s="26">
        <v>0</v>
      </c>
      <c r="FQ309" s="26">
        <v>0</v>
      </c>
      <c r="FR309" s="26">
        <v>0</v>
      </c>
      <c r="FS309" s="26">
        <v>0</v>
      </c>
      <c r="FT309" s="26">
        <v>0</v>
      </c>
      <c r="FU309" s="26">
        <v>0</v>
      </c>
      <c r="FV309" s="26">
        <v>0</v>
      </c>
      <c r="FW309" s="26">
        <v>0</v>
      </c>
      <c r="FX309" s="26">
        <v>0</v>
      </c>
      <c r="FY309" s="26">
        <v>0</v>
      </c>
      <c r="FZ309" s="26">
        <v>0</v>
      </c>
      <c r="GA309" s="26">
        <v>0</v>
      </c>
      <c r="GB309" s="26">
        <v>0</v>
      </c>
      <c r="GC309" s="26">
        <v>0</v>
      </c>
      <c r="GD309" s="26">
        <v>0</v>
      </c>
      <c r="GE309" s="26">
        <v>0</v>
      </c>
      <c r="GF309" s="26">
        <v>0</v>
      </c>
      <c r="GG309" s="26">
        <v>0</v>
      </c>
      <c r="GH309" s="26">
        <v>0</v>
      </c>
      <c r="GI309" s="26">
        <v>0</v>
      </c>
      <c r="GJ309" s="26">
        <v>0</v>
      </c>
      <c r="GK309" s="26">
        <v>0</v>
      </c>
      <c r="GL309" s="26">
        <v>0</v>
      </c>
      <c r="GM309" s="26">
        <v>0</v>
      </c>
      <c r="GN309" s="26">
        <v>0</v>
      </c>
      <c r="GO309" s="26">
        <v>0</v>
      </c>
      <c r="GP309" s="26">
        <v>0</v>
      </c>
      <c r="GQ309" s="26">
        <v>0</v>
      </c>
      <c r="GR309" s="26">
        <v>0</v>
      </c>
      <c r="GS309" s="26">
        <v>0</v>
      </c>
      <c r="GT309" s="26">
        <v>0</v>
      </c>
      <c r="GU309" s="26">
        <v>0</v>
      </c>
      <c r="GV309" s="26">
        <v>0</v>
      </c>
      <c r="GW309" s="26">
        <v>0</v>
      </c>
      <c r="GX309" s="26">
        <v>0</v>
      </c>
      <c r="GY309" s="26">
        <v>0</v>
      </c>
      <c r="GZ309" s="26">
        <v>0</v>
      </c>
      <c r="HA309" s="26">
        <v>0</v>
      </c>
      <c r="HB309" s="26">
        <v>0</v>
      </c>
      <c r="HC309" s="26">
        <v>0</v>
      </c>
      <c r="HD309" s="26">
        <v>0</v>
      </c>
      <c r="HE309" s="26">
        <v>0</v>
      </c>
      <c r="HF309" s="26">
        <v>0</v>
      </c>
      <c r="HG309" s="26">
        <v>0</v>
      </c>
      <c r="HH309" s="26">
        <v>0</v>
      </c>
      <c r="HI309" s="26">
        <v>0</v>
      </c>
      <c r="HJ309" s="26">
        <v>0</v>
      </c>
      <c r="HK309" s="26">
        <v>0</v>
      </c>
      <c r="HL309" s="26">
        <v>0</v>
      </c>
      <c r="HM309" s="26">
        <v>0</v>
      </c>
      <c r="HN309" s="26">
        <v>0</v>
      </c>
      <c r="HO309" s="26">
        <v>0</v>
      </c>
      <c r="HP309" s="26">
        <v>0</v>
      </c>
      <c r="HQ309" s="26">
        <v>0</v>
      </c>
      <c r="HR309" s="26">
        <v>0</v>
      </c>
      <c r="HS309" s="26">
        <v>0</v>
      </c>
      <c r="HT309" s="26">
        <v>0</v>
      </c>
    </row>
    <row r="310" spans="2:228" x14ac:dyDescent="0.2">
      <c r="B310" s="27" t="s">
        <v>2437</v>
      </c>
      <c r="C310" s="26">
        <v>5.7200563799999999</v>
      </c>
      <c r="D310" s="26">
        <v>-5.3175820200000003E-3</v>
      </c>
      <c r="E310" s="26">
        <v>0</v>
      </c>
      <c r="F310" s="26">
        <v>0</v>
      </c>
      <c r="G310" s="26">
        <v>0</v>
      </c>
      <c r="H310" s="26">
        <v>0</v>
      </c>
      <c r="I310" s="26">
        <v>0</v>
      </c>
      <c r="J310" s="26">
        <v>0</v>
      </c>
      <c r="K310" s="26">
        <v>0</v>
      </c>
      <c r="L310" s="26">
        <v>0</v>
      </c>
      <c r="M310" s="26">
        <v>0</v>
      </c>
      <c r="N310" s="26">
        <v>0</v>
      </c>
      <c r="O310" s="26">
        <v>0</v>
      </c>
      <c r="P310" s="26">
        <v>0</v>
      </c>
      <c r="Q310" s="26">
        <v>0</v>
      </c>
      <c r="R310" s="26">
        <v>0</v>
      </c>
      <c r="S310" s="26">
        <v>0</v>
      </c>
      <c r="T310" s="26">
        <v>0</v>
      </c>
      <c r="U310" s="26">
        <v>0</v>
      </c>
      <c r="V310" s="26">
        <v>0</v>
      </c>
      <c r="W310" s="26">
        <v>0</v>
      </c>
      <c r="X310" s="26">
        <v>0</v>
      </c>
      <c r="Y310" s="26">
        <v>0</v>
      </c>
      <c r="Z310" s="26">
        <v>0</v>
      </c>
      <c r="AA310" s="26">
        <v>0</v>
      </c>
      <c r="AB310" s="26">
        <v>5.7200563799999999</v>
      </c>
      <c r="AC310" s="26">
        <v>0</v>
      </c>
      <c r="AD310" s="26">
        <v>0</v>
      </c>
      <c r="AE310" s="26">
        <v>0</v>
      </c>
      <c r="AF310" s="26">
        <v>0</v>
      </c>
      <c r="AG310" s="26">
        <v>0</v>
      </c>
      <c r="AH310" s="26">
        <v>0</v>
      </c>
      <c r="AI310" s="26">
        <v>0</v>
      </c>
      <c r="AJ310" s="26">
        <v>0</v>
      </c>
      <c r="AK310" s="26">
        <v>0</v>
      </c>
      <c r="AL310" s="26">
        <v>0</v>
      </c>
      <c r="AM310" s="26">
        <v>0</v>
      </c>
      <c r="AN310" s="26">
        <v>0</v>
      </c>
      <c r="AO310" s="26">
        <v>0</v>
      </c>
      <c r="AP310" s="26">
        <v>0</v>
      </c>
      <c r="AQ310" s="26">
        <v>0</v>
      </c>
      <c r="AR310" s="26">
        <v>0</v>
      </c>
      <c r="AS310" s="26">
        <v>0</v>
      </c>
      <c r="AT310" s="26">
        <v>0</v>
      </c>
      <c r="AU310" s="26">
        <v>0</v>
      </c>
      <c r="AV310" s="26">
        <v>0</v>
      </c>
      <c r="AW310" s="26">
        <v>0</v>
      </c>
      <c r="AX310" s="26">
        <v>0</v>
      </c>
      <c r="AY310" s="26">
        <v>0</v>
      </c>
      <c r="AZ310" s="26">
        <v>0</v>
      </c>
      <c r="BA310" s="26">
        <v>0</v>
      </c>
      <c r="BB310" s="26">
        <v>0</v>
      </c>
      <c r="BC310" s="26">
        <v>0</v>
      </c>
      <c r="BD310" s="26">
        <v>0</v>
      </c>
      <c r="BE310" s="26">
        <v>0</v>
      </c>
      <c r="BF310" s="26">
        <v>0</v>
      </c>
      <c r="BG310" s="26">
        <v>0</v>
      </c>
      <c r="BH310" s="26">
        <v>0</v>
      </c>
      <c r="BI310" s="26">
        <v>0</v>
      </c>
      <c r="BJ310" s="26">
        <v>0</v>
      </c>
      <c r="BK310" s="26">
        <v>0</v>
      </c>
      <c r="BL310" s="26">
        <v>0</v>
      </c>
      <c r="BM310" s="26">
        <v>0</v>
      </c>
      <c r="BN310" s="26">
        <v>0</v>
      </c>
      <c r="BO310" s="26">
        <v>0.33587012900000002</v>
      </c>
      <c r="BP310" s="26">
        <v>5.7200563799999999</v>
      </c>
      <c r="BQ310" s="26">
        <v>0.156488288</v>
      </c>
      <c r="BR310" s="26">
        <v>20</v>
      </c>
      <c r="BS310" s="26">
        <v>17</v>
      </c>
      <c r="BT310" s="26">
        <v>0</v>
      </c>
      <c r="BU310" s="26">
        <v>1</v>
      </c>
      <c r="BV310" s="26">
        <v>0</v>
      </c>
      <c r="BW310" s="26">
        <v>-15832.2564</v>
      </c>
      <c r="BX310" s="26">
        <v>-929.63803600000006</v>
      </c>
      <c r="BY310" s="26">
        <v>-5.3175820200000003E-3</v>
      </c>
      <c r="BZ310" s="26">
        <v>-44.475377799999997</v>
      </c>
      <c r="CA310" s="26">
        <v>-2.6115041300000001</v>
      </c>
      <c r="CB310" s="26">
        <v>3.5771593400000003E-2</v>
      </c>
      <c r="CC310" s="26">
        <v>0.60921026700000003</v>
      </c>
      <c r="CD310" s="26">
        <v>17.030560000000001</v>
      </c>
      <c r="CE310" s="26">
        <v>0.29980774900000001</v>
      </c>
      <c r="CF310" s="26">
        <v>0</v>
      </c>
      <c r="CG310" s="26">
        <v>0</v>
      </c>
      <c r="CH310" s="26">
        <v>0</v>
      </c>
      <c r="CI310" s="26">
        <v>0</v>
      </c>
      <c r="CJ310" s="26">
        <v>0</v>
      </c>
      <c r="CK310" s="26">
        <v>0</v>
      </c>
      <c r="CL310" s="26">
        <v>0</v>
      </c>
      <c r="CM310" s="26">
        <v>0</v>
      </c>
      <c r="CN310" s="26">
        <v>0</v>
      </c>
      <c r="CO310" s="26">
        <v>0</v>
      </c>
      <c r="CP310" s="26">
        <v>0</v>
      </c>
      <c r="CQ310" s="26">
        <v>0</v>
      </c>
      <c r="CR310" s="26">
        <v>0</v>
      </c>
      <c r="CS310" s="26">
        <v>0</v>
      </c>
      <c r="CT310" s="26">
        <v>0</v>
      </c>
      <c r="CU310" s="26">
        <v>0</v>
      </c>
      <c r="CV310" s="26">
        <v>0</v>
      </c>
      <c r="CW310" s="26">
        <v>0</v>
      </c>
      <c r="CX310" s="26">
        <v>0</v>
      </c>
      <c r="CY310" s="26">
        <v>0</v>
      </c>
      <c r="CZ310" s="26">
        <v>0</v>
      </c>
      <c r="DA310" s="26">
        <v>0</v>
      </c>
      <c r="DB310" s="26">
        <v>0</v>
      </c>
      <c r="DC310" s="26">
        <v>0</v>
      </c>
      <c r="DD310" s="26">
        <v>0</v>
      </c>
      <c r="DE310" s="26">
        <v>0</v>
      </c>
      <c r="DF310" s="26">
        <v>0</v>
      </c>
      <c r="DG310" s="26">
        <v>0</v>
      </c>
      <c r="DH310" s="26">
        <v>0</v>
      </c>
      <c r="DI310" s="26">
        <v>0</v>
      </c>
      <c r="DJ310" s="26">
        <v>0</v>
      </c>
      <c r="DK310" s="26">
        <v>0</v>
      </c>
      <c r="DL310" s="26">
        <v>0</v>
      </c>
      <c r="DM310" s="26">
        <v>0</v>
      </c>
      <c r="DN310" s="26">
        <v>0</v>
      </c>
      <c r="DO310" s="26">
        <v>0</v>
      </c>
      <c r="DP310" s="26">
        <v>0</v>
      </c>
      <c r="DQ310" s="26">
        <v>0</v>
      </c>
      <c r="DR310" s="26">
        <v>0</v>
      </c>
      <c r="DS310" s="26">
        <v>0</v>
      </c>
      <c r="DT310" s="26">
        <v>0</v>
      </c>
      <c r="DU310" s="26">
        <v>0</v>
      </c>
      <c r="DV310" s="26">
        <v>0</v>
      </c>
      <c r="DW310" s="26">
        <v>0</v>
      </c>
      <c r="DX310" s="26">
        <v>0</v>
      </c>
      <c r="DY310" s="26">
        <v>0</v>
      </c>
      <c r="DZ310" s="26">
        <v>0</v>
      </c>
      <c r="EA310" s="26">
        <v>0</v>
      </c>
      <c r="EB310" s="26">
        <v>0</v>
      </c>
      <c r="EC310" s="26">
        <v>0</v>
      </c>
      <c r="ED310" s="26">
        <v>0</v>
      </c>
      <c r="EE310" s="26">
        <v>0</v>
      </c>
      <c r="EF310" s="26">
        <v>0</v>
      </c>
      <c r="EG310" s="26">
        <v>0</v>
      </c>
      <c r="EH310" s="26">
        <v>0</v>
      </c>
      <c r="EI310" s="26">
        <v>0</v>
      </c>
      <c r="EJ310" s="26">
        <v>0</v>
      </c>
      <c r="EK310" s="26">
        <v>0</v>
      </c>
      <c r="EL310" s="26">
        <v>0</v>
      </c>
      <c r="EM310" s="26">
        <v>0</v>
      </c>
      <c r="EN310" s="26">
        <v>0</v>
      </c>
      <c r="EO310" s="26">
        <v>0</v>
      </c>
      <c r="EP310" s="26">
        <v>0</v>
      </c>
      <c r="EQ310" s="26">
        <v>0</v>
      </c>
      <c r="ER310" s="26">
        <v>0</v>
      </c>
      <c r="ES310" s="26">
        <v>0</v>
      </c>
      <c r="ET310" s="26">
        <v>17</v>
      </c>
      <c r="EU310" s="26">
        <v>0</v>
      </c>
      <c r="EV310" s="26">
        <v>0</v>
      </c>
      <c r="EW310" s="26">
        <v>0</v>
      </c>
      <c r="EX310" s="26">
        <v>0</v>
      </c>
      <c r="EY310" s="26">
        <v>0</v>
      </c>
      <c r="EZ310" s="26">
        <v>0</v>
      </c>
      <c r="FA310" s="26">
        <v>0</v>
      </c>
      <c r="FB310" s="26">
        <v>0</v>
      </c>
      <c r="FC310" s="26">
        <v>0</v>
      </c>
      <c r="FD310" s="26">
        <v>0</v>
      </c>
      <c r="FE310" s="26">
        <v>0</v>
      </c>
      <c r="FF310" s="26">
        <v>0</v>
      </c>
      <c r="FG310" s="26">
        <v>0</v>
      </c>
      <c r="FH310" s="26">
        <v>-6135.0491682500005</v>
      </c>
      <c r="FI310" s="26">
        <v>0</v>
      </c>
      <c r="FJ310" s="26">
        <v>0</v>
      </c>
      <c r="FK310" s="26">
        <v>0</v>
      </c>
      <c r="FL310" s="26">
        <v>0</v>
      </c>
      <c r="FM310" s="26">
        <v>0</v>
      </c>
      <c r="FN310" s="26">
        <v>0</v>
      </c>
      <c r="FO310" s="26">
        <v>0</v>
      </c>
      <c r="FP310" s="26">
        <v>0</v>
      </c>
      <c r="FQ310" s="26">
        <v>0</v>
      </c>
      <c r="FR310" s="26">
        <v>0</v>
      </c>
      <c r="FS310" s="26">
        <v>0</v>
      </c>
      <c r="FT310" s="26">
        <v>0</v>
      </c>
      <c r="FU310" s="26">
        <v>0</v>
      </c>
      <c r="FV310" s="26">
        <v>0</v>
      </c>
      <c r="FW310" s="26">
        <v>0</v>
      </c>
      <c r="FX310" s="26">
        <v>0</v>
      </c>
      <c r="FY310" s="26">
        <v>0</v>
      </c>
      <c r="FZ310" s="26">
        <v>0</v>
      </c>
      <c r="GA310" s="26">
        <v>0</v>
      </c>
      <c r="GB310" s="26">
        <v>0</v>
      </c>
      <c r="GC310" s="26">
        <v>0</v>
      </c>
      <c r="GD310" s="26">
        <v>0</v>
      </c>
      <c r="GE310" s="26">
        <v>0</v>
      </c>
      <c r="GF310" s="26">
        <v>0</v>
      </c>
      <c r="GG310" s="26">
        <v>0</v>
      </c>
      <c r="GH310" s="26">
        <v>0</v>
      </c>
      <c r="GI310" s="26">
        <v>0</v>
      </c>
      <c r="GJ310" s="26">
        <v>0</v>
      </c>
      <c r="GK310" s="26">
        <v>0</v>
      </c>
      <c r="GL310" s="26">
        <v>0</v>
      </c>
      <c r="GM310" s="26">
        <v>0</v>
      </c>
      <c r="GN310" s="26">
        <v>0</v>
      </c>
      <c r="GO310" s="26">
        <v>0</v>
      </c>
      <c r="GP310" s="26">
        <v>0</v>
      </c>
      <c r="GQ310" s="26">
        <v>0</v>
      </c>
      <c r="GR310" s="26">
        <v>0</v>
      </c>
      <c r="GS310" s="26">
        <v>0</v>
      </c>
      <c r="GT310" s="26">
        <v>0</v>
      </c>
      <c r="GU310" s="26">
        <v>0</v>
      </c>
      <c r="GV310" s="26">
        <v>0</v>
      </c>
      <c r="GW310" s="26">
        <v>0</v>
      </c>
      <c r="GX310" s="26">
        <v>0</v>
      </c>
      <c r="GY310" s="26">
        <v>0</v>
      </c>
      <c r="GZ310" s="26">
        <v>0</v>
      </c>
      <c r="HA310" s="26">
        <v>0</v>
      </c>
      <c r="HB310" s="26">
        <v>0</v>
      </c>
      <c r="HC310" s="26">
        <v>0</v>
      </c>
      <c r="HD310" s="26">
        <v>0</v>
      </c>
      <c r="HE310" s="26">
        <v>0</v>
      </c>
      <c r="HF310" s="26">
        <v>0</v>
      </c>
      <c r="HG310" s="26">
        <v>0</v>
      </c>
      <c r="HH310" s="26">
        <v>0</v>
      </c>
      <c r="HI310" s="26">
        <v>0</v>
      </c>
      <c r="HJ310" s="26">
        <v>0</v>
      </c>
      <c r="HK310" s="26">
        <v>0</v>
      </c>
      <c r="HL310" s="26">
        <v>0</v>
      </c>
      <c r="HM310" s="26">
        <v>0</v>
      </c>
      <c r="HN310" s="26">
        <v>0</v>
      </c>
      <c r="HO310" s="26">
        <v>0</v>
      </c>
      <c r="HP310" s="26">
        <v>0</v>
      </c>
      <c r="HQ310" s="26">
        <v>0</v>
      </c>
      <c r="HR310" s="26">
        <v>0</v>
      </c>
      <c r="HS310" s="26">
        <v>0</v>
      </c>
      <c r="HT310" s="26">
        <v>0</v>
      </c>
    </row>
    <row r="311" spans="2:228" x14ac:dyDescent="0.2">
      <c r="B311" s="27" t="s">
        <v>2432</v>
      </c>
      <c r="C311" s="26">
        <v>156.63265999999999</v>
      </c>
      <c r="D311" s="26">
        <v>-0.39899883400000002</v>
      </c>
      <c r="E311" s="26">
        <v>78.707911800000005</v>
      </c>
      <c r="F311" s="26">
        <v>0</v>
      </c>
      <c r="G311" s="26">
        <v>0</v>
      </c>
      <c r="H311" s="26">
        <v>0</v>
      </c>
      <c r="I311" s="26">
        <v>0</v>
      </c>
      <c r="J311" s="26">
        <v>0</v>
      </c>
      <c r="K311" s="26">
        <v>0</v>
      </c>
      <c r="L311" s="26">
        <v>0</v>
      </c>
      <c r="M311" s="26">
        <v>0</v>
      </c>
      <c r="N311" s="26">
        <v>0</v>
      </c>
      <c r="O311" s="26">
        <v>0</v>
      </c>
      <c r="P311" s="26">
        <v>0</v>
      </c>
      <c r="Q311" s="26">
        <v>0</v>
      </c>
      <c r="R311" s="26">
        <v>0</v>
      </c>
      <c r="S311" s="26">
        <v>0</v>
      </c>
      <c r="T311" s="26">
        <v>0</v>
      </c>
      <c r="U311" s="26">
        <v>0</v>
      </c>
      <c r="V311" s="26">
        <v>0</v>
      </c>
      <c r="W311" s="26">
        <v>0</v>
      </c>
      <c r="X311" s="26">
        <v>38.766583400000002</v>
      </c>
      <c r="Y311" s="26">
        <v>0</v>
      </c>
      <c r="Z311" s="26">
        <v>0</v>
      </c>
      <c r="AA311" s="26">
        <v>0</v>
      </c>
      <c r="AB311" s="26">
        <v>0</v>
      </c>
      <c r="AC311" s="26">
        <v>0</v>
      </c>
      <c r="AD311" s="26">
        <v>0</v>
      </c>
      <c r="AE311" s="26">
        <v>0</v>
      </c>
      <c r="AF311" s="26">
        <v>0</v>
      </c>
      <c r="AG311" s="26">
        <v>0</v>
      </c>
      <c r="AH311" s="26">
        <v>0</v>
      </c>
      <c r="AI311" s="26">
        <v>0</v>
      </c>
      <c r="AJ311" s="26">
        <v>0</v>
      </c>
      <c r="AK311" s="26">
        <v>0</v>
      </c>
      <c r="AL311" s="26">
        <v>0</v>
      </c>
      <c r="AM311" s="26">
        <v>0</v>
      </c>
      <c r="AN311" s="26">
        <v>0</v>
      </c>
      <c r="AO311" s="26">
        <v>0</v>
      </c>
      <c r="AP311" s="26">
        <v>0</v>
      </c>
      <c r="AQ311" s="26">
        <v>0</v>
      </c>
      <c r="AR311" s="26">
        <v>0</v>
      </c>
      <c r="AS311" s="26">
        <v>0</v>
      </c>
      <c r="AT311" s="26">
        <v>0</v>
      </c>
      <c r="AU311" s="26">
        <v>0</v>
      </c>
      <c r="AV311" s="26">
        <v>0</v>
      </c>
      <c r="AW311" s="26">
        <v>0</v>
      </c>
      <c r="AX311" s="26">
        <v>0</v>
      </c>
      <c r="AY311" s="26">
        <v>0</v>
      </c>
      <c r="AZ311" s="26">
        <v>0</v>
      </c>
      <c r="BA311" s="26">
        <v>0</v>
      </c>
      <c r="BB311" s="26">
        <v>0</v>
      </c>
      <c r="BC311" s="26">
        <v>0</v>
      </c>
      <c r="BD311" s="26">
        <v>0</v>
      </c>
      <c r="BE311" s="26">
        <v>0</v>
      </c>
      <c r="BF311" s="26">
        <v>0</v>
      </c>
      <c r="BG311" s="26">
        <v>0</v>
      </c>
      <c r="BH311" s="26">
        <v>0</v>
      </c>
      <c r="BI311" s="26">
        <v>0</v>
      </c>
      <c r="BJ311" s="26">
        <v>0</v>
      </c>
      <c r="BK311" s="26">
        <v>0</v>
      </c>
      <c r="BL311" s="26">
        <v>0</v>
      </c>
      <c r="BM311" s="26">
        <v>0</v>
      </c>
      <c r="BN311" s="26">
        <v>0</v>
      </c>
      <c r="BO311" s="26">
        <v>4.7993158300000003</v>
      </c>
      <c r="BP311" s="26">
        <v>117.474495</v>
      </c>
      <c r="BQ311" s="26">
        <v>1.83741691</v>
      </c>
      <c r="BR311" s="26">
        <v>20.379153500000029</v>
      </c>
      <c r="BS311" s="26">
        <v>5.4229876600000013</v>
      </c>
      <c r="BT311" s="26">
        <v>0</v>
      </c>
      <c r="BU311" s="26">
        <v>1</v>
      </c>
      <c r="BV311" s="26">
        <v>0</v>
      </c>
      <c r="BW311" s="26">
        <v>-76828.823099999994</v>
      </c>
      <c r="BX311" s="26">
        <v>-3138.7731100000001</v>
      </c>
      <c r="BY311" s="26">
        <v>-0.36872579</v>
      </c>
      <c r="BZ311" s="26">
        <v>-46.2974192</v>
      </c>
      <c r="CA311" s="26">
        <v>-1.8914398100000001</v>
      </c>
      <c r="CB311" s="26">
        <v>4.3533177300000003E-2</v>
      </c>
      <c r="CC311" s="26">
        <v>1.0655764700000001</v>
      </c>
      <c r="CD311" s="26">
        <v>24.477342100000001</v>
      </c>
      <c r="CE311" s="26">
        <v>1.8435302100000002</v>
      </c>
      <c r="CF311" s="26">
        <v>0</v>
      </c>
      <c r="CG311" s="26">
        <v>0</v>
      </c>
      <c r="CH311" s="26">
        <v>0</v>
      </c>
      <c r="CI311" s="26">
        <v>0</v>
      </c>
      <c r="CJ311" s="26">
        <v>0</v>
      </c>
      <c r="CK311" s="26">
        <v>0</v>
      </c>
      <c r="CL311" s="26">
        <v>0</v>
      </c>
      <c r="CM311" s="26">
        <v>0</v>
      </c>
      <c r="CN311" s="26">
        <v>0</v>
      </c>
      <c r="CO311" s="26">
        <v>0</v>
      </c>
      <c r="CP311" s="26">
        <v>0</v>
      </c>
      <c r="CQ311" s="26">
        <v>0</v>
      </c>
      <c r="CR311" s="26">
        <v>0</v>
      </c>
      <c r="CS311" s="26">
        <v>0</v>
      </c>
      <c r="CT311" s="26">
        <v>0</v>
      </c>
      <c r="CU311" s="26">
        <v>0</v>
      </c>
      <c r="CV311" s="26">
        <v>0</v>
      </c>
      <c r="CW311" s="26">
        <v>0</v>
      </c>
      <c r="CX311" s="26">
        <v>0</v>
      </c>
      <c r="CY311" s="26">
        <v>0</v>
      </c>
      <c r="CZ311" s="26">
        <v>0</v>
      </c>
      <c r="DA311" s="26">
        <v>0</v>
      </c>
      <c r="DB311" s="26">
        <v>0</v>
      </c>
      <c r="DC311" s="26">
        <v>0</v>
      </c>
      <c r="DD311" s="26">
        <v>0</v>
      </c>
      <c r="DE311" s="26">
        <v>0</v>
      </c>
      <c r="DF311" s="26">
        <v>0</v>
      </c>
      <c r="DG311" s="26">
        <v>0</v>
      </c>
      <c r="DH311" s="26">
        <v>0</v>
      </c>
      <c r="DI311" s="26">
        <v>0</v>
      </c>
      <c r="DJ311" s="26">
        <v>0</v>
      </c>
      <c r="DK311" s="26">
        <v>0</v>
      </c>
      <c r="DL311" s="26">
        <v>0</v>
      </c>
      <c r="DM311" s="26">
        <v>0</v>
      </c>
      <c r="DN311" s="26">
        <v>0</v>
      </c>
      <c r="DO311" s="26">
        <v>0</v>
      </c>
      <c r="DP311" s="26">
        <v>0</v>
      </c>
      <c r="DQ311" s="26">
        <v>0</v>
      </c>
      <c r="DR311" s="26">
        <v>0</v>
      </c>
      <c r="DS311" s="26">
        <v>0</v>
      </c>
      <c r="DT311" s="26">
        <v>0</v>
      </c>
      <c r="DU311" s="26">
        <v>0</v>
      </c>
      <c r="DV311" s="26">
        <v>0</v>
      </c>
      <c r="DW311" s="26">
        <v>0</v>
      </c>
      <c r="DX311" s="26">
        <v>0</v>
      </c>
      <c r="DY311" s="26">
        <v>0</v>
      </c>
      <c r="DZ311" s="26">
        <v>0</v>
      </c>
      <c r="EA311" s="26">
        <v>0</v>
      </c>
      <c r="EB311" s="26">
        <v>0</v>
      </c>
      <c r="EC311" s="26">
        <v>0</v>
      </c>
      <c r="ED311" s="26">
        <v>0</v>
      </c>
      <c r="EE311" s="26">
        <v>39.158165099999998</v>
      </c>
      <c r="EF311" s="26">
        <v>0</v>
      </c>
      <c r="EG311" s="26">
        <v>0</v>
      </c>
      <c r="EH311" s="26">
        <v>0</v>
      </c>
      <c r="EI311" s="26">
        <v>0</v>
      </c>
      <c r="EJ311" s="26">
        <v>0</v>
      </c>
      <c r="EK311" s="26">
        <v>0</v>
      </c>
      <c r="EL311" s="26">
        <v>0</v>
      </c>
      <c r="EM311" s="26">
        <v>0</v>
      </c>
      <c r="EN311" s="26">
        <v>0</v>
      </c>
      <c r="EO311" s="26">
        <v>0</v>
      </c>
      <c r="EP311" s="26">
        <v>1.71448559</v>
      </c>
      <c r="EQ311" s="26">
        <v>39.158165099999998</v>
      </c>
      <c r="ER311" s="26">
        <v>0.43433634399999999</v>
      </c>
      <c r="ES311" s="26">
        <v>20.379153500000029</v>
      </c>
      <c r="ET311" s="26">
        <v>5.4229876600000013</v>
      </c>
      <c r="EU311" s="26">
        <v>0</v>
      </c>
      <c r="EV311" s="26">
        <v>0</v>
      </c>
      <c r="EW311" s="26">
        <v>1</v>
      </c>
      <c r="EX311" s="26">
        <v>-17657.216700000001</v>
      </c>
      <c r="EY311" s="26">
        <v>-773.09658300000001</v>
      </c>
      <c r="EZ311" s="26">
        <v>-3.0273043899999998E-2</v>
      </c>
      <c r="FA311" s="26">
        <v>-59.223624999999998</v>
      </c>
      <c r="FB311" s="26">
        <v>-2.59302374</v>
      </c>
      <c r="FC311" s="26">
        <v>6.5789473700000003E-2</v>
      </c>
      <c r="FD311" s="26">
        <v>1.5026052599999999</v>
      </c>
      <c r="FE311" s="26">
        <v>22.839600000000001</v>
      </c>
      <c r="FF311" s="26">
        <v>0</v>
      </c>
      <c r="FG311" s="26">
        <v>0.62472096899999996</v>
      </c>
      <c r="FH311" s="26">
        <v>-463467.908047</v>
      </c>
      <c r="FI311" s="26">
        <v>3.5863568342464099E-4</v>
      </c>
      <c r="FJ311" s="26">
        <v>0</v>
      </c>
      <c r="FK311" s="26">
        <v>0</v>
      </c>
      <c r="FL311" s="26">
        <v>0</v>
      </c>
      <c r="FM311" s="26">
        <v>0</v>
      </c>
      <c r="FN311" s="26">
        <v>0</v>
      </c>
      <c r="FO311" s="26">
        <v>0</v>
      </c>
      <c r="FP311" s="26">
        <v>0</v>
      </c>
      <c r="FQ311" s="26">
        <v>0</v>
      </c>
      <c r="FR311" s="26">
        <v>0</v>
      </c>
      <c r="FS311" s="26">
        <v>0</v>
      </c>
      <c r="FT311" s="26">
        <v>0</v>
      </c>
      <c r="FU311" s="26">
        <v>0</v>
      </c>
      <c r="FV311" s="26">
        <v>0</v>
      </c>
      <c r="FW311" s="26">
        <v>0</v>
      </c>
      <c r="FX311" s="26">
        <v>0</v>
      </c>
      <c r="FY311" s="26">
        <v>0</v>
      </c>
      <c r="FZ311" s="26">
        <v>0</v>
      </c>
      <c r="GA311" s="26">
        <v>0</v>
      </c>
      <c r="GB311" s="26">
        <v>0</v>
      </c>
      <c r="GC311" s="26">
        <v>0</v>
      </c>
      <c r="GD311" s="26">
        <v>0</v>
      </c>
      <c r="GE311" s="26">
        <v>0</v>
      </c>
      <c r="GF311" s="26">
        <v>0</v>
      </c>
      <c r="GG311" s="26">
        <v>0</v>
      </c>
      <c r="GH311" s="26">
        <v>0</v>
      </c>
      <c r="GI311" s="26">
        <v>0</v>
      </c>
      <c r="GJ311" s="26">
        <v>0</v>
      </c>
      <c r="GK311" s="26">
        <v>0</v>
      </c>
      <c r="GL311" s="26">
        <v>0</v>
      </c>
      <c r="GM311" s="26">
        <v>0</v>
      </c>
      <c r="GN311" s="26">
        <v>0</v>
      </c>
      <c r="GO311" s="26">
        <v>0</v>
      </c>
      <c r="GP311" s="26">
        <v>0</v>
      </c>
      <c r="GQ311" s="26">
        <v>0</v>
      </c>
      <c r="GR311" s="26">
        <v>0</v>
      </c>
      <c r="GS311" s="26">
        <v>0</v>
      </c>
      <c r="GT311" s="26">
        <v>0</v>
      </c>
      <c r="GU311" s="26">
        <v>0</v>
      </c>
      <c r="GV311" s="26">
        <v>0</v>
      </c>
      <c r="GW311" s="26">
        <v>0</v>
      </c>
      <c r="GX311" s="26">
        <v>0</v>
      </c>
      <c r="GY311" s="26">
        <v>0</v>
      </c>
      <c r="GZ311" s="26">
        <v>0</v>
      </c>
      <c r="HA311" s="26">
        <v>0</v>
      </c>
      <c r="HB311" s="26">
        <v>0</v>
      </c>
      <c r="HC311" s="26">
        <v>0</v>
      </c>
      <c r="HD311" s="26">
        <v>0</v>
      </c>
      <c r="HE311" s="26">
        <v>0</v>
      </c>
      <c r="HF311" s="26">
        <v>0</v>
      </c>
      <c r="HG311" s="26">
        <v>0</v>
      </c>
      <c r="HH311" s="26">
        <v>0</v>
      </c>
      <c r="HI311" s="26">
        <v>0</v>
      </c>
      <c r="HJ311" s="26">
        <v>0</v>
      </c>
      <c r="HK311" s="26">
        <v>0</v>
      </c>
      <c r="HL311" s="26">
        <v>0</v>
      </c>
      <c r="HM311" s="26">
        <v>0</v>
      </c>
      <c r="HN311" s="26">
        <v>0</v>
      </c>
      <c r="HO311" s="26">
        <v>0</v>
      </c>
      <c r="HP311" s="26">
        <v>0</v>
      </c>
      <c r="HQ311" s="26">
        <v>0</v>
      </c>
      <c r="HR311" s="26">
        <v>0</v>
      </c>
      <c r="HS311" s="26">
        <v>0</v>
      </c>
      <c r="HT311" s="26">
        <v>4.7624600103219022E-4</v>
      </c>
    </row>
    <row r="312" spans="2:228" x14ac:dyDescent="0.2">
      <c r="B312" s="27" t="s">
        <v>1435</v>
      </c>
      <c r="C312" s="26">
        <v>21809.986700000001</v>
      </c>
      <c r="D312" s="26">
        <v>-31.466227000000003</v>
      </c>
      <c r="E312" s="26">
        <v>110.51614600000001</v>
      </c>
      <c r="F312" s="26">
        <v>21672.409500000002</v>
      </c>
      <c r="G312" s="26">
        <v>0</v>
      </c>
      <c r="H312" s="26">
        <v>0</v>
      </c>
      <c r="I312" s="26">
        <v>0</v>
      </c>
      <c r="J312" s="26">
        <v>0</v>
      </c>
      <c r="K312" s="26">
        <v>0</v>
      </c>
      <c r="L312" s="26">
        <v>0</v>
      </c>
      <c r="M312" s="26">
        <v>0</v>
      </c>
      <c r="N312" s="26">
        <v>0</v>
      </c>
      <c r="O312" s="26">
        <v>0</v>
      </c>
      <c r="P312" s="26">
        <v>0</v>
      </c>
      <c r="Q312" s="26">
        <v>0</v>
      </c>
      <c r="R312" s="26">
        <v>0</v>
      </c>
      <c r="S312" s="26">
        <v>0</v>
      </c>
      <c r="T312" s="26">
        <v>0</v>
      </c>
      <c r="U312" s="26">
        <v>0</v>
      </c>
      <c r="V312" s="26">
        <v>4.9639969599999997E-5</v>
      </c>
      <c r="W312" s="26">
        <v>0</v>
      </c>
      <c r="X312" s="26">
        <v>0</v>
      </c>
      <c r="Y312" s="26">
        <v>0</v>
      </c>
      <c r="Z312" s="26">
        <v>0</v>
      </c>
      <c r="AA312" s="26">
        <v>0</v>
      </c>
      <c r="AB312" s="26">
        <v>0.200425619</v>
      </c>
      <c r="AC312" s="26">
        <v>0</v>
      </c>
      <c r="AD312" s="26">
        <v>0</v>
      </c>
      <c r="AE312" s="26">
        <v>0</v>
      </c>
      <c r="AF312" s="26">
        <v>0</v>
      </c>
      <c r="AG312" s="26">
        <v>0</v>
      </c>
      <c r="AH312" s="26">
        <v>0</v>
      </c>
      <c r="AI312" s="26">
        <v>0</v>
      </c>
      <c r="AJ312" s="26">
        <v>0</v>
      </c>
      <c r="AK312" s="26">
        <v>0</v>
      </c>
      <c r="AL312" s="26">
        <v>0</v>
      </c>
      <c r="AM312" s="26">
        <v>0</v>
      </c>
      <c r="AN312" s="26">
        <v>1.43783719E-4</v>
      </c>
      <c r="AO312" s="26">
        <v>2.40057055E-8</v>
      </c>
      <c r="AP312" s="26">
        <v>0</v>
      </c>
      <c r="AQ312" s="26">
        <v>0</v>
      </c>
      <c r="AR312" s="26">
        <v>0</v>
      </c>
      <c r="AS312" s="26">
        <v>26.858380199999999</v>
      </c>
      <c r="AT312" s="26">
        <v>0</v>
      </c>
      <c r="AU312" s="26">
        <v>0</v>
      </c>
      <c r="AV312" s="26">
        <v>2.0271457700000001E-3</v>
      </c>
      <c r="AW312" s="26">
        <v>0</v>
      </c>
      <c r="AX312" s="26">
        <v>0</v>
      </c>
      <c r="AY312" s="26">
        <v>0</v>
      </c>
      <c r="AZ312" s="26">
        <v>0</v>
      </c>
      <c r="BA312" s="26">
        <v>0</v>
      </c>
      <c r="BB312" s="26">
        <v>0</v>
      </c>
      <c r="BC312" s="26">
        <v>0</v>
      </c>
      <c r="BD312" s="26">
        <v>0</v>
      </c>
      <c r="BE312" s="26">
        <v>0</v>
      </c>
      <c r="BF312" s="26">
        <v>0</v>
      </c>
      <c r="BG312" s="26">
        <v>0</v>
      </c>
      <c r="BH312" s="26">
        <v>0</v>
      </c>
      <c r="BI312" s="26">
        <v>0</v>
      </c>
      <c r="BJ312" s="26">
        <v>0</v>
      </c>
      <c r="BK312" s="26">
        <v>0</v>
      </c>
      <c r="BL312" s="26">
        <v>0</v>
      </c>
      <c r="BM312" s="26">
        <v>0</v>
      </c>
      <c r="BN312" s="26">
        <v>0</v>
      </c>
      <c r="BO312" s="26">
        <v>477.18994400000003</v>
      </c>
      <c r="BP312" s="26">
        <v>21809.986700000001</v>
      </c>
      <c r="BQ312" s="26">
        <v>463.42916200000002</v>
      </c>
      <c r="BR312" s="26">
        <v>38</v>
      </c>
      <c r="BS312" s="26">
        <v>1</v>
      </c>
      <c r="BT312" s="26">
        <v>0</v>
      </c>
      <c r="BU312" s="26">
        <v>1</v>
      </c>
      <c r="BV312" s="26">
        <v>0</v>
      </c>
      <c r="BW312" s="26">
        <v>-65940.674499999994</v>
      </c>
      <c r="BX312" s="26">
        <v>-1442.74397</v>
      </c>
      <c r="BY312" s="26">
        <v>-31.466227000000003</v>
      </c>
      <c r="BZ312" s="26">
        <v>-80.690886199999994</v>
      </c>
      <c r="CA312" s="26">
        <v>-1.7654700999999999</v>
      </c>
      <c r="CB312" s="26">
        <v>1.7161556299999998E-2</v>
      </c>
      <c r="CC312" s="26">
        <v>0.784369659</v>
      </c>
      <c r="CD312" s="26">
        <v>45.705042599999999</v>
      </c>
      <c r="CE312" s="26">
        <v>458.50700399999999</v>
      </c>
      <c r="CF312" s="26">
        <v>0</v>
      </c>
      <c r="CG312" s="26">
        <v>0</v>
      </c>
      <c r="CH312" s="26">
        <v>0</v>
      </c>
      <c r="CI312" s="26">
        <v>0</v>
      </c>
      <c r="CJ312" s="26">
        <v>0</v>
      </c>
      <c r="CK312" s="26">
        <v>0</v>
      </c>
      <c r="CL312" s="26">
        <v>0</v>
      </c>
      <c r="CM312" s="26">
        <v>0</v>
      </c>
      <c r="CN312" s="26">
        <v>0</v>
      </c>
      <c r="CO312" s="26">
        <v>0</v>
      </c>
      <c r="CP312" s="26">
        <v>0</v>
      </c>
      <c r="CQ312" s="26">
        <v>0</v>
      </c>
      <c r="CR312" s="26">
        <v>0</v>
      </c>
      <c r="CS312" s="26">
        <v>0</v>
      </c>
      <c r="CT312" s="26">
        <v>0</v>
      </c>
      <c r="CU312" s="26">
        <v>0</v>
      </c>
      <c r="CV312" s="26">
        <v>0</v>
      </c>
      <c r="CW312" s="26">
        <v>0</v>
      </c>
      <c r="CX312" s="26">
        <v>0</v>
      </c>
      <c r="CY312" s="26">
        <v>0</v>
      </c>
      <c r="CZ312" s="26">
        <v>0</v>
      </c>
      <c r="DA312" s="26">
        <v>0</v>
      </c>
      <c r="DB312" s="26">
        <v>0</v>
      </c>
      <c r="DC312" s="26">
        <v>0</v>
      </c>
      <c r="DD312" s="26">
        <v>0</v>
      </c>
      <c r="DE312" s="26">
        <v>0</v>
      </c>
      <c r="DF312" s="26">
        <v>0</v>
      </c>
      <c r="DG312" s="26">
        <v>0</v>
      </c>
      <c r="DH312" s="26">
        <v>0</v>
      </c>
      <c r="DI312" s="26">
        <v>0</v>
      </c>
      <c r="DJ312" s="26">
        <v>0</v>
      </c>
      <c r="DK312" s="26">
        <v>0</v>
      </c>
      <c r="DL312" s="26">
        <v>0</v>
      </c>
      <c r="DM312" s="26">
        <v>0</v>
      </c>
      <c r="DN312" s="26">
        <v>0</v>
      </c>
      <c r="DO312" s="26">
        <v>0</v>
      </c>
      <c r="DP312" s="26">
        <v>0</v>
      </c>
      <c r="DQ312" s="26">
        <v>0</v>
      </c>
      <c r="DR312" s="26">
        <v>0</v>
      </c>
      <c r="DS312" s="26">
        <v>0</v>
      </c>
      <c r="DT312" s="26">
        <v>0</v>
      </c>
      <c r="DU312" s="26">
        <v>0</v>
      </c>
      <c r="DV312" s="26">
        <v>0</v>
      </c>
      <c r="DW312" s="26">
        <v>0</v>
      </c>
      <c r="DX312" s="26">
        <v>0</v>
      </c>
      <c r="DY312" s="26">
        <v>0</v>
      </c>
      <c r="DZ312" s="26">
        <v>0</v>
      </c>
      <c r="EA312" s="26">
        <v>0</v>
      </c>
      <c r="EB312" s="26">
        <v>0</v>
      </c>
      <c r="EC312" s="26">
        <v>0</v>
      </c>
      <c r="ED312" s="26">
        <v>0</v>
      </c>
      <c r="EE312" s="26">
        <v>0</v>
      </c>
      <c r="EF312" s="26">
        <v>0</v>
      </c>
      <c r="EG312" s="26">
        <v>0</v>
      </c>
      <c r="EH312" s="26">
        <v>0</v>
      </c>
      <c r="EI312" s="26">
        <v>0</v>
      </c>
      <c r="EJ312" s="26">
        <v>0</v>
      </c>
      <c r="EK312" s="26">
        <v>0</v>
      </c>
      <c r="EL312" s="26">
        <v>0</v>
      </c>
      <c r="EM312" s="26">
        <v>0</v>
      </c>
      <c r="EN312" s="26">
        <v>0</v>
      </c>
      <c r="EO312" s="26">
        <v>0</v>
      </c>
      <c r="EP312" s="26">
        <v>0</v>
      </c>
      <c r="EQ312" s="26">
        <v>0</v>
      </c>
      <c r="ER312" s="26">
        <v>0</v>
      </c>
      <c r="ES312" s="26">
        <v>0</v>
      </c>
      <c r="ET312" s="26">
        <v>1</v>
      </c>
      <c r="EU312" s="26">
        <v>0</v>
      </c>
      <c r="EV312" s="26">
        <v>0</v>
      </c>
      <c r="EW312" s="26">
        <v>0</v>
      </c>
      <c r="EX312" s="26">
        <v>0</v>
      </c>
      <c r="EY312" s="26">
        <v>0</v>
      </c>
      <c r="EZ312" s="26">
        <v>0</v>
      </c>
      <c r="FA312" s="26">
        <v>0</v>
      </c>
      <c r="FB312" s="26">
        <v>0</v>
      </c>
      <c r="FC312" s="26">
        <v>0</v>
      </c>
      <c r="FD312" s="26">
        <v>0</v>
      </c>
      <c r="FE312" s="26">
        <v>0</v>
      </c>
      <c r="FF312" s="26">
        <v>0</v>
      </c>
      <c r="FG312" s="26">
        <v>2.07068422</v>
      </c>
      <c r="FH312" s="26">
        <v>-36816511.942299999</v>
      </c>
      <c r="FI312" s="26">
        <v>0.26152134709217079</v>
      </c>
      <c r="FJ312" s="26">
        <v>0</v>
      </c>
      <c r="FK312" s="26">
        <v>0</v>
      </c>
      <c r="FL312" s="26">
        <v>0</v>
      </c>
      <c r="FM312" s="26">
        <v>0</v>
      </c>
      <c r="FN312" s="26">
        <v>0</v>
      </c>
      <c r="FO312" s="26">
        <v>0</v>
      </c>
      <c r="FP312" s="26">
        <v>0</v>
      </c>
      <c r="FQ312" s="26">
        <v>0</v>
      </c>
      <c r="FR312" s="26">
        <v>0</v>
      </c>
      <c r="FS312" s="26">
        <v>0</v>
      </c>
      <c r="FT312" s="26">
        <v>0</v>
      </c>
      <c r="FU312" s="26">
        <v>0</v>
      </c>
      <c r="FV312" s="26">
        <v>0</v>
      </c>
      <c r="FW312" s="26">
        <v>0</v>
      </c>
      <c r="FX312" s="26">
        <v>0</v>
      </c>
      <c r="FY312" s="26">
        <v>0</v>
      </c>
      <c r="FZ312" s="26">
        <v>0</v>
      </c>
      <c r="GA312" s="26">
        <v>0</v>
      </c>
      <c r="GB312" s="26">
        <v>0</v>
      </c>
      <c r="GC312" s="26">
        <v>0</v>
      </c>
      <c r="GD312" s="26">
        <v>0</v>
      </c>
      <c r="GE312" s="26">
        <v>0</v>
      </c>
      <c r="GF312" s="26">
        <v>0</v>
      </c>
      <c r="GG312" s="26">
        <v>0</v>
      </c>
      <c r="GH312" s="26">
        <v>0</v>
      </c>
      <c r="GI312" s="26">
        <v>0</v>
      </c>
      <c r="GJ312" s="26">
        <v>0</v>
      </c>
      <c r="GK312" s="26">
        <v>0</v>
      </c>
      <c r="GL312" s="26">
        <v>0</v>
      </c>
      <c r="GM312" s="26">
        <v>0</v>
      </c>
      <c r="GN312" s="26">
        <v>0</v>
      </c>
      <c r="GO312" s="26">
        <v>0</v>
      </c>
      <c r="GP312" s="26">
        <v>0</v>
      </c>
      <c r="GQ312" s="26">
        <v>0</v>
      </c>
      <c r="GR312" s="26">
        <v>0</v>
      </c>
      <c r="GS312" s="26">
        <v>0</v>
      </c>
      <c r="GT312" s="26">
        <v>0</v>
      </c>
      <c r="GU312" s="26">
        <v>0</v>
      </c>
      <c r="GV312" s="26">
        <v>0</v>
      </c>
      <c r="GW312" s="26">
        <v>0</v>
      </c>
      <c r="GX312" s="26">
        <v>0</v>
      </c>
      <c r="GY312" s="26">
        <v>0</v>
      </c>
      <c r="GZ312" s="26">
        <v>0</v>
      </c>
      <c r="HA312" s="26">
        <v>0</v>
      </c>
      <c r="HB312" s="26">
        <v>0</v>
      </c>
      <c r="HC312" s="26">
        <v>0</v>
      </c>
      <c r="HD312" s="26">
        <v>0</v>
      </c>
      <c r="HE312" s="26">
        <v>0</v>
      </c>
      <c r="HF312" s="26">
        <v>0</v>
      </c>
      <c r="HG312" s="26">
        <v>0</v>
      </c>
      <c r="HH312" s="26">
        <v>0</v>
      </c>
      <c r="HI312" s="26">
        <v>0</v>
      </c>
      <c r="HJ312" s="26">
        <v>0</v>
      </c>
      <c r="HK312" s="26">
        <v>0</v>
      </c>
      <c r="HL312" s="26">
        <v>0</v>
      </c>
      <c r="HM312" s="26">
        <v>0</v>
      </c>
      <c r="HN312" s="26">
        <v>0</v>
      </c>
      <c r="HO312" s="26">
        <v>0</v>
      </c>
      <c r="HP312" s="26">
        <v>0</v>
      </c>
      <c r="HQ312" s="26">
        <v>0</v>
      </c>
      <c r="HR312" s="26">
        <v>0</v>
      </c>
      <c r="HS312" s="26">
        <v>0</v>
      </c>
      <c r="HT312" s="26">
        <v>0</v>
      </c>
    </row>
    <row r="313" spans="2:228" x14ac:dyDescent="0.2">
      <c r="B313" s="27" t="s">
        <v>2435</v>
      </c>
      <c r="C313" s="26">
        <v>21809.986700000001</v>
      </c>
      <c r="D313" s="26">
        <v>-31.727843800000002</v>
      </c>
      <c r="E313" s="26">
        <v>110.51614600000001</v>
      </c>
      <c r="F313" s="26">
        <v>21672.409500000002</v>
      </c>
      <c r="G313" s="26">
        <v>0</v>
      </c>
      <c r="H313" s="26">
        <v>0</v>
      </c>
      <c r="I313" s="26">
        <v>0</v>
      </c>
      <c r="J313" s="26">
        <v>0</v>
      </c>
      <c r="K313" s="26">
        <v>0</v>
      </c>
      <c r="L313" s="26">
        <v>0</v>
      </c>
      <c r="M313" s="26">
        <v>0</v>
      </c>
      <c r="N313" s="26">
        <v>0</v>
      </c>
      <c r="O313" s="26">
        <v>0</v>
      </c>
      <c r="P313" s="26">
        <v>0</v>
      </c>
      <c r="Q313" s="26">
        <v>0</v>
      </c>
      <c r="R313" s="26">
        <v>0</v>
      </c>
      <c r="S313" s="26">
        <v>0</v>
      </c>
      <c r="T313" s="26">
        <v>0</v>
      </c>
      <c r="U313" s="26">
        <v>0</v>
      </c>
      <c r="V313" s="26">
        <v>4.9639969599999997E-5</v>
      </c>
      <c r="W313" s="26">
        <v>0</v>
      </c>
      <c r="X313" s="26">
        <v>0</v>
      </c>
      <c r="Y313" s="26">
        <v>0</v>
      </c>
      <c r="Z313" s="26">
        <v>0</v>
      </c>
      <c r="AA313" s="26">
        <v>0</v>
      </c>
      <c r="AB313" s="26">
        <v>0.200425619</v>
      </c>
      <c r="AC313" s="26">
        <v>0</v>
      </c>
      <c r="AD313" s="26">
        <v>0</v>
      </c>
      <c r="AE313" s="26">
        <v>0</v>
      </c>
      <c r="AF313" s="26">
        <v>0</v>
      </c>
      <c r="AG313" s="26">
        <v>0</v>
      </c>
      <c r="AH313" s="26">
        <v>0</v>
      </c>
      <c r="AI313" s="26">
        <v>0</v>
      </c>
      <c r="AJ313" s="26">
        <v>0</v>
      </c>
      <c r="AK313" s="26">
        <v>0</v>
      </c>
      <c r="AL313" s="26">
        <v>0</v>
      </c>
      <c r="AM313" s="26">
        <v>0</v>
      </c>
      <c r="AN313" s="26">
        <v>1.43783719E-4</v>
      </c>
      <c r="AO313" s="26">
        <v>2.40057055E-8</v>
      </c>
      <c r="AP313" s="26">
        <v>0</v>
      </c>
      <c r="AQ313" s="26">
        <v>0</v>
      </c>
      <c r="AR313" s="26">
        <v>0</v>
      </c>
      <c r="AS313" s="26">
        <v>26.858380199999999</v>
      </c>
      <c r="AT313" s="26">
        <v>0</v>
      </c>
      <c r="AU313" s="26">
        <v>0</v>
      </c>
      <c r="AV313" s="26">
        <v>2.0271457700000001E-3</v>
      </c>
      <c r="AW313" s="26">
        <v>0</v>
      </c>
      <c r="AX313" s="26">
        <v>0</v>
      </c>
      <c r="AY313" s="26">
        <v>0</v>
      </c>
      <c r="AZ313" s="26">
        <v>0</v>
      </c>
      <c r="BA313" s="26">
        <v>0</v>
      </c>
      <c r="BB313" s="26">
        <v>0</v>
      </c>
      <c r="BC313" s="26">
        <v>0</v>
      </c>
      <c r="BD313" s="26">
        <v>0</v>
      </c>
      <c r="BE313" s="26">
        <v>0</v>
      </c>
      <c r="BF313" s="26">
        <v>0</v>
      </c>
      <c r="BG313" s="26">
        <v>0</v>
      </c>
      <c r="BH313" s="26">
        <v>0</v>
      </c>
      <c r="BI313" s="26">
        <v>0</v>
      </c>
      <c r="BJ313" s="26">
        <v>0</v>
      </c>
      <c r="BK313" s="26">
        <v>0</v>
      </c>
      <c r="BL313" s="26">
        <v>0</v>
      </c>
      <c r="BM313" s="26">
        <v>0</v>
      </c>
      <c r="BN313" s="26">
        <v>0</v>
      </c>
      <c r="BO313" s="26">
        <v>477.18994400000003</v>
      </c>
      <c r="BP313" s="26">
        <v>21809.986700000001</v>
      </c>
      <c r="BQ313" s="26">
        <v>451.37217800000002</v>
      </c>
      <c r="BR313" s="26">
        <v>20</v>
      </c>
      <c r="BS313" s="26">
        <v>1</v>
      </c>
      <c r="BT313" s="26">
        <v>0</v>
      </c>
      <c r="BU313" s="26">
        <v>1</v>
      </c>
      <c r="BV313" s="26">
        <v>0</v>
      </c>
      <c r="BW313" s="26">
        <v>-66488.919099999999</v>
      </c>
      <c r="BX313" s="26">
        <v>-1454.7392500000001</v>
      </c>
      <c r="BY313" s="26">
        <v>-31.727843800000002</v>
      </c>
      <c r="BZ313" s="26">
        <v>-82.491145500000002</v>
      </c>
      <c r="CA313" s="26">
        <v>-1.80485874</v>
      </c>
      <c r="CB313" s="26">
        <v>1.7619973099999998E-2</v>
      </c>
      <c r="CC313" s="26">
        <v>0.80532161999999996</v>
      </c>
      <c r="CD313" s="26">
        <v>45.705042599999999</v>
      </c>
      <c r="CE313" s="26">
        <v>458.50700399999999</v>
      </c>
      <c r="CF313" s="26">
        <v>0</v>
      </c>
      <c r="CG313" s="26">
        <v>0</v>
      </c>
      <c r="CH313" s="26">
        <v>0</v>
      </c>
      <c r="CI313" s="26">
        <v>0</v>
      </c>
      <c r="CJ313" s="26">
        <v>0</v>
      </c>
      <c r="CK313" s="26">
        <v>0</v>
      </c>
      <c r="CL313" s="26">
        <v>0</v>
      </c>
      <c r="CM313" s="26">
        <v>0</v>
      </c>
      <c r="CN313" s="26">
        <v>0</v>
      </c>
      <c r="CO313" s="26">
        <v>0</v>
      </c>
      <c r="CP313" s="26">
        <v>0</v>
      </c>
      <c r="CQ313" s="26">
        <v>0</v>
      </c>
      <c r="CR313" s="26">
        <v>0</v>
      </c>
      <c r="CS313" s="26">
        <v>0</v>
      </c>
      <c r="CT313" s="26">
        <v>0</v>
      </c>
      <c r="CU313" s="26">
        <v>0</v>
      </c>
      <c r="CV313" s="26">
        <v>0</v>
      </c>
      <c r="CW313" s="26">
        <v>0</v>
      </c>
      <c r="CX313" s="26">
        <v>0</v>
      </c>
      <c r="CY313" s="26">
        <v>0</v>
      </c>
      <c r="CZ313" s="26">
        <v>0</v>
      </c>
      <c r="DA313" s="26">
        <v>0</v>
      </c>
      <c r="DB313" s="26">
        <v>0</v>
      </c>
      <c r="DC313" s="26">
        <v>0</v>
      </c>
      <c r="DD313" s="26">
        <v>0</v>
      </c>
      <c r="DE313" s="26">
        <v>0</v>
      </c>
      <c r="DF313" s="26">
        <v>0</v>
      </c>
      <c r="DG313" s="26">
        <v>0</v>
      </c>
      <c r="DH313" s="26">
        <v>0</v>
      </c>
      <c r="DI313" s="26">
        <v>0</v>
      </c>
      <c r="DJ313" s="26">
        <v>0</v>
      </c>
      <c r="DK313" s="26">
        <v>0</v>
      </c>
      <c r="DL313" s="26">
        <v>0</v>
      </c>
      <c r="DM313" s="26">
        <v>0</v>
      </c>
      <c r="DN313" s="26">
        <v>0</v>
      </c>
      <c r="DO313" s="26">
        <v>0</v>
      </c>
      <c r="DP313" s="26">
        <v>0</v>
      </c>
      <c r="DQ313" s="26">
        <v>0</v>
      </c>
      <c r="DR313" s="26">
        <v>0</v>
      </c>
      <c r="DS313" s="26">
        <v>0</v>
      </c>
      <c r="DT313" s="26">
        <v>0</v>
      </c>
      <c r="DU313" s="26">
        <v>0</v>
      </c>
      <c r="DV313" s="26">
        <v>0</v>
      </c>
      <c r="DW313" s="26">
        <v>0</v>
      </c>
      <c r="DX313" s="26">
        <v>0</v>
      </c>
      <c r="DY313" s="26">
        <v>0</v>
      </c>
      <c r="DZ313" s="26">
        <v>0</v>
      </c>
      <c r="EA313" s="26">
        <v>0</v>
      </c>
      <c r="EB313" s="26">
        <v>0</v>
      </c>
      <c r="EC313" s="26">
        <v>0</v>
      </c>
      <c r="ED313" s="26">
        <v>0</v>
      </c>
      <c r="EE313" s="26">
        <v>0</v>
      </c>
      <c r="EF313" s="26">
        <v>0</v>
      </c>
      <c r="EG313" s="26">
        <v>0</v>
      </c>
      <c r="EH313" s="26">
        <v>0</v>
      </c>
      <c r="EI313" s="26">
        <v>0</v>
      </c>
      <c r="EJ313" s="26">
        <v>0</v>
      </c>
      <c r="EK313" s="26">
        <v>0</v>
      </c>
      <c r="EL313" s="26">
        <v>0</v>
      </c>
      <c r="EM313" s="26">
        <v>0</v>
      </c>
      <c r="EN313" s="26">
        <v>0</v>
      </c>
      <c r="EO313" s="26">
        <v>0</v>
      </c>
      <c r="EP313" s="26">
        <v>0</v>
      </c>
      <c r="EQ313" s="26">
        <v>0</v>
      </c>
      <c r="ER313" s="26">
        <v>0</v>
      </c>
      <c r="ES313" s="26">
        <v>0</v>
      </c>
      <c r="ET313" s="26">
        <v>1</v>
      </c>
      <c r="EU313" s="26">
        <v>0</v>
      </c>
      <c r="EV313" s="26">
        <v>0</v>
      </c>
      <c r="EW313" s="26">
        <v>0</v>
      </c>
      <c r="EX313" s="26">
        <v>0</v>
      </c>
      <c r="EY313" s="26">
        <v>0</v>
      </c>
      <c r="EZ313" s="26">
        <v>0</v>
      </c>
      <c r="FA313" s="26">
        <v>0</v>
      </c>
      <c r="FB313" s="26">
        <v>0</v>
      </c>
      <c r="FC313" s="26">
        <v>0</v>
      </c>
      <c r="FD313" s="26">
        <v>0</v>
      </c>
      <c r="FE313" s="26">
        <v>0</v>
      </c>
      <c r="FF313" s="26">
        <v>0</v>
      </c>
      <c r="FG313" s="26">
        <v>2.07068422</v>
      </c>
      <c r="FH313" s="26">
        <v>-36816511.942299999</v>
      </c>
      <c r="FI313" s="26">
        <v>0.26152134709217079</v>
      </c>
      <c r="FJ313" s="26">
        <v>0</v>
      </c>
      <c r="FK313" s="26">
        <v>0</v>
      </c>
      <c r="FL313" s="26">
        <v>0</v>
      </c>
      <c r="FM313" s="26">
        <v>0</v>
      </c>
      <c r="FN313" s="26">
        <v>0</v>
      </c>
      <c r="FO313" s="26">
        <v>0</v>
      </c>
      <c r="FP313" s="26">
        <v>0</v>
      </c>
      <c r="FQ313" s="26">
        <v>0</v>
      </c>
      <c r="FR313" s="26">
        <v>0</v>
      </c>
      <c r="FS313" s="26">
        <v>0</v>
      </c>
      <c r="FT313" s="26">
        <v>0</v>
      </c>
      <c r="FU313" s="26">
        <v>0</v>
      </c>
      <c r="FV313" s="26">
        <v>0</v>
      </c>
      <c r="FW313" s="26">
        <v>0</v>
      </c>
      <c r="FX313" s="26">
        <v>0</v>
      </c>
      <c r="FY313" s="26">
        <v>0</v>
      </c>
      <c r="FZ313" s="26">
        <v>0</v>
      </c>
      <c r="GA313" s="26">
        <v>0</v>
      </c>
      <c r="GB313" s="26">
        <v>0</v>
      </c>
      <c r="GC313" s="26">
        <v>0</v>
      </c>
      <c r="GD313" s="26">
        <v>0</v>
      </c>
      <c r="GE313" s="26">
        <v>0</v>
      </c>
      <c r="GF313" s="26">
        <v>0</v>
      </c>
      <c r="GG313" s="26">
        <v>0</v>
      </c>
      <c r="GH313" s="26">
        <v>0</v>
      </c>
      <c r="GI313" s="26">
        <v>0</v>
      </c>
      <c r="GJ313" s="26">
        <v>0</v>
      </c>
      <c r="GK313" s="26">
        <v>0</v>
      </c>
      <c r="GL313" s="26">
        <v>0</v>
      </c>
      <c r="GM313" s="26">
        <v>0</v>
      </c>
      <c r="GN313" s="26">
        <v>0</v>
      </c>
      <c r="GO313" s="26">
        <v>0</v>
      </c>
      <c r="GP313" s="26">
        <v>0</v>
      </c>
      <c r="GQ313" s="26">
        <v>0</v>
      </c>
      <c r="GR313" s="26">
        <v>0</v>
      </c>
      <c r="GS313" s="26">
        <v>0</v>
      </c>
      <c r="GT313" s="26">
        <v>0</v>
      </c>
      <c r="GU313" s="26">
        <v>0</v>
      </c>
      <c r="GV313" s="26">
        <v>0</v>
      </c>
      <c r="GW313" s="26">
        <v>0</v>
      </c>
      <c r="GX313" s="26">
        <v>0</v>
      </c>
      <c r="GY313" s="26">
        <v>0</v>
      </c>
      <c r="GZ313" s="26">
        <v>0</v>
      </c>
      <c r="HA313" s="26">
        <v>0</v>
      </c>
      <c r="HB313" s="26">
        <v>0</v>
      </c>
      <c r="HC313" s="26">
        <v>0</v>
      </c>
      <c r="HD313" s="26">
        <v>0</v>
      </c>
      <c r="HE313" s="26">
        <v>0</v>
      </c>
      <c r="HF313" s="26">
        <v>0</v>
      </c>
      <c r="HG313" s="26">
        <v>0</v>
      </c>
      <c r="HH313" s="26">
        <v>0</v>
      </c>
      <c r="HI313" s="26">
        <v>0</v>
      </c>
      <c r="HJ313" s="26">
        <v>0</v>
      </c>
      <c r="HK313" s="26">
        <v>0</v>
      </c>
      <c r="HL313" s="26">
        <v>0</v>
      </c>
      <c r="HM313" s="26">
        <v>0</v>
      </c>
      <c r="HN313" s="26">
        <v>0</v>
      </c>
      <c r="HO313" s="26">
        <v>0</v>
      </c>
      <c r="HP313" s="26">
        <v>0</v>
      </c>
      <c r="HQ313" s="26">
        <v>0</v>
      </c>
      <c r="HR313" s="26">
        <v>0</v>
      </c>
      <c r="HS313" s="26">
        <v>0</v>
      </c>
      <c r="HT313" s="26">
        <v>0</v>
      </c>
    </row>
    <row r="314" spans="2:228" x14ac:dyDescent="0.2">
      <c r="B314" s="27" t="s">
        <v>1430</v>
      </c>
      <c r="C314" s="26">
        <v>464.95049399999994</v>
      </c>
      <c r="D314" s="26">
        <v>-0.24945980200000001</v>
      </c>
      <c r="E314" s="26">
        <v>0</v>
      </c>
      <c r="F314" s="26">
        <v>0</v>
      </c>
      <c r="G314" s="26">
        <v>0</v>
      </c>
      <c r="H314" s="26">
        <v>0</v>
      </c>
      <c r="I314" s="26">
        <v>0</v>
      </c>
      <c r="J314" s="26">
        <v>0</v>
      </c>
      <c r="K314" s="26">
        <v>0</v>
      </c>
      <c r="L314" s="26">
        <v>0</v>
      </c>
      <c r="M314" s="26">
        <v>0</v>
      </c>
      <c r="N314" s="26">
        <v>0</v>
      </c>
      <c r="O314" s="26">
        <v>0</v>
      </c>
      <c r="P314" s="26">
        <v>0</v>
      </c>
      <c r="Q314" s="26">
        <v>0</v>
      </c>
      <c r="R314" s="26">
        <v>0</v>
      </c>
      <c r="S314" s="26">
        <v>0</v>
      </c>
      <c r="T314" s="26">
        <v>0</v>
      </c>
      <c r="U314" s="26">
        <v>0</v>
      </c>
      <c r="V314" s="26">
        <v>0</v>
      </c>
      <c r="W314" s="26">
        <v>0</v>
      </c>
      <c r="X314" s="26">
        <v>0</v>
      </c>
      <c r="Y314" s="26">
        <v>0</v>
      </c>
      <c r="Z314" s="26">
        <v>0</v>
      </c>
      <c r="AA314" s="26">
        <v>0</v>
      </c>
      <c r="AB314" s="26">
        <v>0</v>
      </c>
      <c r="AC314" s="26">
        <v>0</v>
      </c>
      <c r="AD314" s="26">
        <v>0</v>
      </c>
      <c r="AE314" s="26">
        <v>0</v>
      </c>
      <c r="AF314" s="26">
        <v>0</v>
      </c>
      <c r="AG314" s="26">
        <v>0</v>
      </c>
      <c r="AH314" s="26">
        <v>0</v>
      </c>
      <c r="AI314" s="26">
        <v>0</v>
      </c>
      <c r="AJ314" s="26">
        <v>0</v>
      </c>
      <c r="AK314" s="26">
        <v>0</v>
      </c>
      <c r="AL314" s="26">
        <v>464.95049399999994</v>
      </c>
      <c r="AM314" s="26">
        <v>0</v>
      </c>
      <c r="AN314" s="26">
        <v>0</v>
      </c>
      <c r="AO314" s="26">
        <v>0</v>
      </c>
      <c r="AP314" s="26">
        <v>0</v>
      </c>
      <c r="AQ314" s="26">
        <v>0</v>
      </c>
      <c r="AR314" s="26">
        <v>0</v>
      </c>
      <c r="AS314" s="26">
        <v>0</v>
      </c>
      <c r="AT314" s="26">
        <v>0</v>
      </c>
      <c r="AU314" s="26">
        <v>0</v>
      </c>
      <c r="AV314" s="26">
        <v>0</v>
      </c>
      <c r="AW314" s="26">
        <v>0</v>
      </c>
      <c r="AX314" s="26">
        <v>0</v>
      </c>
      <c r="AY314" s="26">
        <v>0</v>
      </c>
      <c r="AZ314" s="26">
        <v>0</v>
      </c>
      <c r="BA314" s="26">
        <v>0</v>
      </c>
      <c r="BB314" s="26">
        <v>0</v>
      </c>
      <c r="BC314" s="26">
        <v>0</v>
      </c>
      <c r="BD314" s="26">
        <v>0</v>
      </c>
      <c r="BE314" s="26">
        <v>0</v>
      </c>
      <c r="BF314" s="26">
        <v>0</v>
      </c>
      <c r="BG314" s="26">
        <v>0</v>
      </c>
      <c r="BH314" s="26">
        <v>0</v>
      </c>
      <c r="BI314" s="26">
        <v>0</v>
      </c>
      <c r="BJ314" s="26">
        <v>0</v>
      </c>
      <c r="BK314" s="26">
        <v>0</v>
      </c>
      <c r="BL314" s="26">
        <v>0</v>
      </c>
      <c r="BM314" s="26">
        <v>0</v>
      </c>
      <c r="BN314" s="26">
        <v>0</v>
      </c>
      <c r="BO314" s="26">
        <v>4.6400374099999997</v>
      </c>
      <c r="BP314" s="26">
        <v>464.95049399999994</v>
      </c>
      <c r="BQ314" s="26">
        <v>11.303125</v>
      </c>
      <c r="BR314" s="26">
        <v>21.338006199999995</v>
      </c>
      <c r="BS314" s="26">
        <v>6.8995850799999996</v>
      </c>
      <c r="BT314" s="26">
        <v>0</v>
      </c>
      <c r="BU314" s="26">
        <v>1</v>
      </c>
      <c r="BV314" s="26">
        <v>0</v>
      </c>
      <c r="BW314" s="26">
        <v>-53762.454400000002</v>
      </c>
      <c r="BX314" s="26">
        <v>-536.529809</v>
      </c>
      <c r="BY314" s="26">
        <v>-0.24945980200000001</v>
      </c>
      <c r="BZ314" s="26">
        <v>-181.27163899999999</v>
      </c>
      <c r="CA314" s="26">
        <v>-1.8090252499999999</v>
      </c>
      <c r="CB314" s="26">
        <v>6.8418208300000003E-3</v>
      </c>
      <c r="CC314" s="26">
        <v>0.68557808799999997</v>
      </c>
      <c r="CD314" s="26">
        <v>100.20404000000001</v>
      </c>
      <c r="CE314" s="26">
        <v>11.2898295</v>
      </c>
      <c r="CF314" s="26">
        <v>0</v>
      </c>
      <c r="CG314" s="26">
        <v>0</v>
      </c>
      <c r="CH314" s="26">
        <v>0</v>
      </c>
      <c r="CI314" s="26">
        <v>0</v>
      </c>
      <c r="CJ314" s="26">
        <v>0</v>
      </c>
      <c r="CK314" s="26">
        <v>0</v>
      </c>
      <c r="CL314" s="26">
        <v>0</v>
      </c>
      <c r="CM314" s="26">
        <v>0</v>
      </c>
      <c r="CN314" s="26">
        <v>0</v>
      </c>
      <c r="CO314" s="26">
        <v>0</v>
      </c>
      <c r="CP314" s="26">
        <v>0</v>
      </c>
      <c r="CQ314" s="26">
        <v>0</v>
      </c>
      <c r="CR314" s="26">
        <v>0</v>
      </c>
      <c r="CS314" s="26">
        <v>0</v>
      </c>
      <c r="CT314" s="26">
        <v>0</v>
      </c>
      <c r="CU314" s="26">
        <v>0</v>
      </c>
      <c r="CV314" s="26">
        <v>0</v>
      </c>
      <c r="CW314" s="26">
        <v>0</v>
      </c>
      <c r="CX314" s="26">
        <v>0</v>
      </c>
      <c r="CY314" s="26">
        <v>0</v>
      </c>
      <c r="CZ314" s="26">
        <v>0</v>
      </c>
      <c r="DA314" s="26">
        <v>0</v>
      </c>
      <c r="DB314" s="26">
        <v>0</v>
      </c>
      <c r="DC314" s="26">
        <v>0</v>
      </c>
      <c r="DD314" s="26">
        <v>0</v>
      </c>
      <c r="DE314" s="26">
        <v>0</v>
      </c>
      <c r="DF314" s="26">
        <v>0</v>
      </c>
      <c r="DG314" s="26">
        <v>0</v>
      </c>
      <c r="DH314" s="26">
        <v>0</v>
      </c>
      <c r="DI314" s="26">
        <v>0</v>
      </c>
      <c r="DJ314" s="26">
        <v>0</v>
      </c>
      <c r="DK314" s="26">
        <v>0</v>
      </c>
      <c r="DL314" s="26">
        <v>0</v>
      </c>
      <c r="DM314" s="26">
        <v>0</v>
      </c>
      <c r="DN314" s="26">
        <v>0</v>
      </c>
      <c r="DO314" s="26">
        <v>0</v>
      </c>
      <c r="DP314" s="26">
        <v>0</v>
      </c>
      <c r="DQ314" s="26">
        <v>0</v>
      </c>
      <c r="DR314" s="26">
        <v>0</v>
      </c>
      <c r="DS314" s="26">
        <v>0</v>
      </c>
      <c r="DT314" s="26">
        <v>0</v>
      </c>
      <c r="DU314" s="26">
        <v>0</v>
      </c>
      <c r="DV314" s="26">
        <v>0</v>
      </c>
      <c r="DW314" s="26">
        <v>0</v>
      </c>
      <c r="DX314" s="26">
        <v>0</v>
      </c>
      <c r="DY314" s="26">
        <v>0</v>
      </c>
      <c r="DZ314" s="26">
        <v>0</v>
      </c>
      <c r="EA314" s="26">
        <v>0</v>
      </c>
      <c r="EB314" s="26">
        <v>0</v>
      </c>
      <c r="EC314" s="26">
        <v>0</v>
      </c>
      <c r="ED314" s="26">
        <v>0</v>
      </c>
      <c r="EE314" s="26">
        <v>0</v>
      </c>
      <c r="EF314" s="26">
        <v>0</v>
      </c>
      <c r="EG314" s="26">
        <v>0</v>
      </c>
      <c r="EH314" s="26">
        <v>0</v>
      </c>
      <c r="EI314" s="26">
        <v>0</v>
      </c>
      <c r="EJ314" s="26">
        <v>0</v>
      </c>
      <c r="EK314" s="26">
        <v>0</v>
      </c>
      <c r="EL314" s="26">
        <v>0</v>
      </c>
      <c r="EM314" s="26">
        <v>0</v>
      </c>
      <c r="EN314" s="26">
        <v>0</v>
      </c>
      <c r="EO314" s="26">
        <v>0</v>
      </c>
      <c r="EP314" s="26">
        <v>0</v>
      </c>
      <c r="EQ314" s="26">
        <v>0</v>
      </c>
      <c r="ER314" s="26">
        <v>0</v>
      </c>
      <c r="ES314" s="26">
        <v>0</v>
      </c>
      <c r="ET314" s="26">
        <v>6.8995850799999996</v>
      </c>
      <c r="EU314" s="26">
        <v>0</v>
      </c>
      <c r="EV314" s="26">
        <v>0</v>
      </c>
      <c r="EW314" s="26">
        <v>0</v>
      </c>
      <c r="EX314" s="26">
        <v>0</v>
      </c>
      <c r="EY314" s="26">
        <v>0</v>
      </c>
      <c r="EZ314" s="26">
        <v>0</v>
      </c>
      <c r="FA314" s="26">
        <v>0</v>
      </c>
      <c r="FB314" s="26">
        <v>0</v>
      </c>
      <c r="FC314" s="26">
        <v>0</v>
      </c>
      <c r="FD314" s="26">
        <v>0</v>
      </c>
      <c r="FE314" s="26">
        <v>0</v>
      </c>
      <c r="FF314" s="26">
        <v>0</v>
      </c>
      <c r="FG314" s="26">
        <v>3.5128324200000001</v>
      </c>
      <c r="FH314" s="26">
        <v>-289073.90882300003</v>
      </c>
      <c r="FI314" s="26">
        <v>9.0222950166228052E-3</v>
      </c>
      <c r="FJ314" s="26">
        <v>0</v>
      </c>
      <c r="FK314" s="26">
        <v>0</v>
      </c>
      <c r="FL314" s="26">
        <v>0</v>
      </c>
      <c r="FM314" s="26">
        <v>0</v>
      </c>
      <c r="FN314" s="26">
        <v>0</v>
      </c>
      <c r="FO314" s="26">
        <v>0</v>
      </c>
      <c r="FP314" s="26">
        <v>0</v>
      </c>
      <c r="FQ314" s="26">
        <v>0</v>
      </c>
      <c r="FR314" s="26">
        <v>0</v>
      </c>
      <c r="FS314" s="26">
        <v>0</v>
      </c>
      <c r="FT314" s="26">
        <v>0</v>
      </c>
      <c r="FU314" s="26">
        <v>0</v>
      </c>
      <c r="FV314" s="26">
        <v>0</v>
      </c>
      <c r="FW314" s="26">
        <v>0</v>
      </c>
      <c r="FX314" s="26">
        <v>0</v>
      </c>
      <c r="FY314" s="26">
        <v>0</v>
      </c>
      <c r="FZ314" s="26">
        <v>0</v>
      </c>
      <c r="GA314" s="26">
        <v>0</v>
      </c>
      <c r="GB314" s="26">
        <v>0</v>
      </c>
      <c r="GC314" s="26">
        <v>0</v>
      </c>
      <c r="GD314" s="26">
        <v>0</v>
      </c>
      <c r="GE314" s="26">
        <v>0</v>
      </c>
      <c r="GF314" s="26">
        <v>0</v>
      </c>
      <c r="GG314" s="26">
        <v>0</v>
      </c>
      <c r="GH314" s="26">
        <v>0</v>
      </c>
      <c r="GI314" s="26">
        <v>0</v>
      </c>
      <c r="GJ314" s="26">
        <v>0</v>
      </c>
      <c r="GK314" s="26">
        <v>0</v>
      </c>
      <c r="GL314" s="26">
        <v>0</v>
      </c>
      <c r="GM314" s="26">
        <v>0</v>
      </c>
      <c r="GN314" s="26">
        <v>0</v>
      </c>
      <c r="GO314" s="26">
        <v>0</v>
      </c>
      <c r="GP314" s="26">
        <v>0</v>
      </c>
      <c r="GQ314" s="26">
        <v>0</v>
      </c>
      <c r="GR314" s="26">
        <v>0</v>
      </c>
      <c r="GS314" s="26">
        <v>0</v>
      </c>
      <c r="GT314" s="26">
        <v>0</v>
      </c>
      <c r="GU314" s="26">
        <v>0</v>
      </c>
      <c r="GV314" s="26">
        <v>0</v>
      </c>
      <c r="GW314" s="26">
        <v>0</v>
      </c>
      <c r="GX314" s="26">
        <v>0</v>
      </c>
      <c r="GY314" s="26">
        <v>0</v>
      </c>
      <c r="GZ314" s="26">
        <v>0</v>
      </c>
      <c r="HA314" s="26">
        <v>0</v>
      </c>
      <c r="HB314" s="26">
        <v>0</v>
      </c>
      <c r="HC314" s="26">
        <v>0</v>
      </c>
      <c r="HD314" s="26">
        <v>0</v>
      </c>
      <c r="HE314" s="26">
        <v>0</v>
      </c>
      <c r="HF314" s="26">
        <v>0</v>
      </c>
      <c r="HG314" s="26">
        <v>0</v>
      </c>
      <c r="HH314" s="26">
        <v>0</v>
      </c>
      <c r="HI314" s="26">
        <v>0</v>
      </c>
      <c r="HJ314" s="26">
        <v>0</v>
      </c>
      <c r="HK314" s="26">
        <v>0</v>
      </c>
      <c r="HL314" s="26">
        <v>0</v>
      </c>
      <c r="HM314" s="26">
        <v>0</v>
      </c>
      <c r="HN314" s="26">
        <v>0</v>
      </c>
      <c r="HO314" s="26">
        <v>0</v>
      </c>
      <c r="HP314" s="26">
        <v>0</v>
      </c>
      <c r="HQ314" s="26">
        <v>0</v>
      </c>
      <c r="HR314" s="26">
        <v>0</v>
      </c>
      <c r="HS314" s="26">
        <v>0</v>
      </c>
      <c r="HT314" s="26">
        <v>0</v>
      </c>
    </row>
    <row r="315" spans="2:228" x14ac:dyDescent="0.2">
      <c r="B315" s="27" t="s">
        <v>2908</v>
      </c>
      <c r="C315" s="26">
        <v>464.95049399999994</v>
      </c>
      <c r="D315" s="26">
        <v>-0.24978676</v>
      </c>
      <c r="E315" s="26">
        <v>0</v>
      </c>
      <c r="F315" s="26">
        <v>0</v>
      </c>
      <c r="G315" s="26">
        <v>0</v>
      </c>
      <c r="H315" s="26">
        <v>0</v>
      </c>
      <c r="I315" s="26">
        <v>0</v>
      </c>
      <c r="J315" s="26">
        <v>0</v>
      </c>
      <c r="K315" s="26">
        <v>0</v>
      </c>
      <c r="L315" s="26">
        <v>0</v>
      </c>
      <c r="M315" s="26">
        <v>0</v>
      </c>
      <c r="N315" s="26">
        <v>0</v>
      </c>
      <c r="O315" s="26">
        <v>0</v>
      </c>
      <c r="P315" s="26">
        <v>0</v>
      </c>
      <c r="Q315" s="26">
        <v>0</v>
      </c>
      <c r="R315" s="26">
        <v>0</v>
      </c>
      <c r="S315" s="26">
        <v>0</v>
      </c>
      <c r="T315" s="26">
        <v>0</v>
      </c>
      <c r="U315" s="26">
        <v>0</v>
      </c>
      <c r="V315" s="26">
        <v>0</v>
      </c>
      <c r="W315" s="26">
        <v>0</v>
      </c>
      <c r="X315" s="26">
        <v>0</v>
      </c>
      <c r="Y315" s="26">
        <v>0</v>
      </c>
      <c r="Z315" s="26">
        <v>0</v>
      </c>
      <c r="AA315" s="26">
        <v>0</v>
      </c>
      <c r="AB315" s="26">
        <v>0</v>
      </c>
      <c r="AC315" s="26">
        <v>0</v>
      </c>
      <c r="AD315" s="26">
        <v>0</v>
      </c>
      <c r="AE315" s="26">
        <v>0</v>
      </c>
      <c r="AF315" s="26">
        <v>0</v>
      </c>
      <c r="AG315" s="26">
        <v>0</v>
      </c>
      <c r="AH315" s="26">
        <v>0</v>
      </c>
      <c r="AI315" s="26">
        <v>0</v>
      </c>
      <c r="AJ315" s="26">
        <v>0</v>
      </c>
      <c r="AK315" s="26">
        <v>0</v>
      </c>
      <c r="AL315" s="26">
        <v>464.95049399999994</v>
      </c>
      <c r="AM315" s="26">
        <v>0</v>
      </c>
      <c r="AN315" s="26">
        <v>0</v>
      </c>
      <c r="AO315" s="26">
        <v>0</v>
      </c>
      <c r="AP315" s="26">
        <v>0</v>
      </c>
      <c r="AQ315" s="26">
        <v>0</v>
      </c>
      <c r="AR315" s="26">
        <v>0</v>
      </c>
      <c r="AS315" s="26">
        <v>0</v>
      </c>
      <c r="AT315" s="26">
        <v>0</v>
      </c>
      <c r="AU315" s="26">
        <v>0</v>
      </c>
      <c r="AV315" s="26">
        <v>0</v>
      </c>
      <c r="AW315" s="26">
        <v>0</v>
      </c>
      <c r="AX315" s="26">
        <v>0</v>
      </c>
      <c r="AY315" s="26">
        <v>0</v>
      </c>
      <c r="AZ315" s="26">
        <v>0</v>
      </c>
      <c r="BA315" s="26">
        <v>0</v>
      </c>
      <c r="BB315" s="26">
        <v>0</v>
      </c>
      <c r="BC315" s="26">
        <v>0</v>
      </c>
      <c r="BD315" s="26">
        <v>0</v>
      </c>
      <c r="BE315" s="26">
        <v>0</v>
      </c>
      <c r="BF315" s="26">
        <v>0</v>
      </c>
      <c r="BG315" s="26">
        <v>0</v>
      </c>
      <c r="BH315" s="26">
        <v>0</v>
      </c>
      <c r="BI315" s="26">
        <v>0</v>
      </c>
      <c r="BJ315" s="26">
        <v>0</v>
      </c>
      <c r="BK315" s="26">
        <v>0</v>
      </c>
      <c r="BL315" s="26">
        <v>0</v>
      </c>
      <c r="BM315" s="26">
        <v>0</v>
      </c>
      <c r="BN315" s="26">
        <v>0</v>
      </c>
      <c r="BO315" s="26">
        <v>4.6400374099999997</v>
      </c>
      <c r="BP315" s="26">
        <v>464.95049399999994</v>
      </c>
      <c r="BQ315" s="26">
        <v>11.284304499999999</v>
      </c>
      <c r="BR315" s="26">
        <v>20</v>
      </c>
      <c r="BS315" s="26">
        <v>1</v>
      </c>
      <c r="BT315" s="26">
        <v>0</v>
      </c>
      <c r="BU315" s="26">
        <v>1</v>
      </c>
      <c r="BV315" s="26">
        <v>0</v>
      </c>
      <c r="BW315" s="26">
        <v>-53832.919099999999</v>
      </c>
      <c r="BX315" s="26">
        <v>-537.23302000000001</v>
      </c>
      <c r="BY315" s="26">
        <v>-0.24978676</v>
      </c>
      <c r="BZ315" s="26">
        <v>-181.51075</v>
      </c>
      <c r="CA315" s="26">
        <v>-1.81141149</v>
      </c>
      <c r="CB315" s="26">
        <v>6.8532319500000001E-3</v>
      </c>
      <c r="CC315" s="26">
        <v>0.68672152799999997</v>
      </c>
      <c r="CD315" s="26">
        <v>100.20404000000001</v>
      </c>
      <c r="CE315" s="26">
        <v>11.2898295</v>
      </c>
      <c r="CF315" s="26">
        <v>0</v>
      </c>
      <c r="CG315" s="26">
        <v>0</v>
      </c>
      <c r="CH315" s="26">
        <v>0</v>
      </c>
      <c r="CI315" s="26">
        <v>0</v>
      </c>
      <c r="CJ315" s="26">
        <v>0</v>
      </c>
      <c r="CK315" s="26">
        <v>0</v>
      </c>
      <c r="CL315" s="26">
        <v>0</v>
      </c>
      <c r="CM315" s="26">
        <v>0</v>
      </c>
      <c r="CN315" s="26">
        <v>0</v>
      </c>
      <c r="CO315" s="26">
        <v>0</v>
      </c>
      <c r="CP315" s="26">
        <v>0</v>
      </c>
      <c r="CQ315" s="26">
        <v>0</v>
      </c>
      <c r="CR315" s="26">
        <v>0</v>
      </c>
      <c r="CS315" s="26">
        <v>0</v>
      </c>
      <c r="CT315" s="26">
        <v>0</v>
      </c>
      <c r="CU315" s="26">
        <v>0</v>
      </c>
      <c r="CV315" s="26">
        <v>0</v>
      </c>
      <c r="CW315" s="26">
        <v>0</v>
      </c>
      <c r="CX315" s="26">
        <v>0</v>
      </c>
      <c r="CY315" s="26">
        <v>0</v>
      </c>
      <c r="CZ315" s="26">
        <v>0</v>
      </c>
      <c r="DA315" s="26">
        <v>0</v>
      </c>
      <c r="DB315" s="26">
        <v>0</v>
      </c>
      <c r="DC315" s="26">
        <v>0</v>
      </c>
      <c r="DD315" s="26">
        <v>0</v>
      </c>
      <c r="DE315" s="26">
        <v>0</v>
      </c>
      <c r="DF315" s="26">
        <v>0</v>
      </c>
      <c r="DG315" s="26">
        <v>0</v>
      </c>
      <c r="DH315" s="26">
        <v>0</v>
      </c>
      <c r="DI315" s="26">
        <v>0</v>
      </c>
      <c r="DJ315" s="26">
        <v>0</v>
      </c>
      <c r="DK315" s="26">
        <v>0</v>
      </c>
      <c r="DL315" s="26">
        <v>0</v>
      </c>
      <c r="DM315" s="26">
        <v>0</v>
      </c>
      <c r="DN315" s="26">
        <v>0</v>
      </c>
      <c r="DO315" s="26">
        <v>0</v>
      </c>
      <c r="DP315" s="26">
        <v>0</v>
      </c>
      <c r="DQ315" s="26">
        <v>0</v>
      </c>
      <c r="DR315" s="26">
        <v>0</v>
      </c>
      <c r="DS315" s="26">
        <v>0</v>
      </c>
      <c r="DT315" s="26">
        <v>0</v>
      </c>
      <c r="DU315" s="26">
        <v>0</v>
      </c>
      <c r="DV315" s="26">
        <v>0</v>
      </c>
      <c r="DW315" s="26">
        <v>0</v>
      </c>
      <c r="DX315" s="26">
        <v>0</v>
      </c>
      <c r="DY315" s="26">
        <v>0</v>
      </c>
      <c r="DZ315" s="26">
        <v>0</v>
      </c>
      <c r="EA315" s="26">
        <v>0</v>
      </c>
      <c r="EB315" s="26">
        <v>0</v>
      </c>
      <c r="EC315" s="26">
        <v>0</v>
      </c>
      <c r="ED315" s="26">
        <v>0</v>
      </c>
      <c r="EE315" s="26">
        <v>0</v>
      </c>
      <c r="EF315" s="26">
        <v>0</v>
      </c>
      <c r="EG315" s="26">
        <v>0</v>
      </c>
      <c r="EH315" s="26">
        <v>0</v>
      </c>
      <c r="EI315" s="26">
        <v>0</v>
      </c>
      <c r="EJ315" s="26">
        <v>0</v>
      </c>
      <c r="EK315" s="26">
        <v>0</v>
      </c>
      <c r="EL315" s="26">
        <v>0</v>
      </c>
      <c r="EM315" s="26">
        <v>0</v>
      </c>
      <c r="EN315" s="26">
        <v>0</v>
      </c>
      <c r="EO315" s="26">
        <v>0</v>
      </c>
      <c r="EP315" s="26">
        <v>0</v>
      </c>
      <c r="EQ315" s="26">
        <v>0</v>
      </c>
      <c r="ER315" s="26">
        <v>0</v>
      </c>
      <c r="ES315" s="26">
        <v>0</v>
      </c>
      <c r="ET315" s="26">
        <v>1</v>
      </c>
      <c r="EU315" s="26">
        <v>0</v>
      </c>
      <c r="EV315" s="26">
        <v>0</v>
      </c>
      <c r="EW315" s="26">
        <v>0</v>
      </c>
      <c r="EX315" s="26">
        <v>0</v>
      </c>
      <c r="EY315" s="26">
        <v>0</v>
      </c>
      <c r="EZ315" s="26">
        <v>0</v>
      </c>
      <c r="FA315" s="26">
        <v>0</v>
      </c>
      <c r="FB315" s="26">
        <v>0</v>
      </c>
      <c r="FC315" s="26">
        <v>0</v>
      </c>
      <c r="FD315" s="26">
        <v>0</v>
      </c>
      <c r="FE315" s="26">
        <v>0</v>
      </c>
      <c r="FF315" s="26">
        <v>0</v>
      </c>
      <c r="FG315" s="26">
        <v>3.5128324200000001</v>
      </c>
      <c r="FH315" s="26">
        <v>-289073.90882300003</v>
      </c>
      <c r="FI315" s="26">
        <v>9.0222950166228052E-3</v>
      </c>
      <c r="FJ315" s="26">
        <v>0</v>
      </c>
      <c r="FK315" s="26">
        <v>0</v>
      </c>
      <c r="FL315" s="26">
        <v>0</v>
      </c>
      <c r="FM315" s="26">
        <v>0</v>
      </c>
      <c r="FN315" s="26">
        <v>0</v>
      </c>
      <c r="FO315" s="26">
        <v>0</v>
      </c>
      <c r="FP315" s="26">
        <v>0</v>
      </c>
      <c r="FQ315" s="26">
        <v>0</v>
      </c>
      <c r="FR315" s="26">
        <v>0</v>
      </c>
      <c r="FS315" s="26">
        <v>0</v>
      </c>
      <c r="FT315" s="26">
        <v>0</v>
      </c>
      <c r="FU315" s="26">
        <v>0</v>
      </c>
      <c r="FV315" s="26">
        <v>0</v>
      </c>
      <c r="FW315" s="26">
        <v>0</v>
      </c>
      <c r="FX315" s="26">
        <v>0</v>
      </c>
      <c r="FY315" s="26">
        <v>0</v>
      </c>
      <c r="FZ315" s="26">
        <v>0</v>
      </c>
      <c r="GA315" s="26">
        <v>0</v>
      </c>
      <c r="GB315" s="26">
        <v>0</v>
      </c>
      <c r="GC315" s="26">
        <v>0</v>
      </c>
      <c r="GD315" s="26">
        <v>0</v>
      </c>
      <c r="GE315" s="26">
        <v>0</v>
      </c>
      <c r="GF315" s="26">
        <v>0</v>
      </c>
      <c r="GG315" s="26">
        <v>0</v>
      </c>
      <c r="GH315" s="26">
        <v>0</v>
      </c>
      <c r="GI315" s="26">
        <v>0</v>
      </c>
      <c r="GJ315" s="26">
        <v>0</v>
      </c>
      <c r="GK315" s="26">
        <v>0</v>
      </c>
      <c r="GL315" s="26">
        <v>0</v>
      </c>
      <c r="GM315" s="26">
        <v>0</v>
      </c>
      <c r="GN315" s="26">
        <v>0</v>
      </c>
      <c r="GO315" s="26">
        <v>0</v>
      </c>
      <c r="GP315" s="26">
        <v>0</v>
      </c>
      <c r="GQ315" s="26">
        <v>0</v>
      </c>
      <c r="GR315" s="26">
        <v>0</v>
      </c>
      <c r="GS315" s="26">
        <v>0</v>
      </c>
      <c r="GT315" s="26">
        <v>0</v>
      </c>
      <c r="GU315" s="26">
        <v>0</v>
      </c>
      <c r="GV315" s="26">
        <v>0</v>
      </c>
      <c r="GW315" s="26">
        <v>0</v>
      </c>
      <c r="GX315" s="26">
        <v>0</v>
      </c>
      <c r="GY315" s="26">
        <v>0</v>
      </c>
      <c r="GZ315" s="26">
        <v>0</v>
      </c>
      <c r="HA315" s="26">
        <v>0</v>
      </c>
      <c r="HB315" s="26">
        <v>0</v>
      </c>
      <c r="HC315" s="26">
        <v>0</v>
      </c>
      <c r="HD315" s="26">
        <v>0</v>
      </c>
      <c r="HE315" s="26">
        <v>0</v>
      </c>
      <c r="HF315" s="26">
        <v>0</v>
      </c>
      <c r="HG315" s="26">
        <v>0</v>
      </c>
      <c r="HH315" s="26">
        <v>0</v>
      </c>
      <c r="HI315" s="26">
        <v>0</v>
      </c>
      <c r="HJ315" s="26">
        <v>0</v>
      </c>
      <c r="HK315" s="26">
        <v>0</v>
      </c>
      <c r="HL315" s="26">
        <v>0</v>
      </c>
      <c r="HM315" s="26">
        <v>0</v>
      </c>
      <c r="HN315" s="26">
        <v>0</v>
      </c>
      <c r="HO315" s="26">
        <v>0</v>
      </c>
      <c r="HP315" s="26">
        <v>0</v>
      </c>
      <c r="HQ315" s="26">
        <v>0</v>
      </c>
      <c r="HR315" s="26">
        <v>0</v>
      </c>
      <c r="HS315" s="26">
        <v>0</v>
      </c>
      <c r="HT315" s="26">
        <v>0</v>
      </c>
    </row>
    <row r="316" spans="2:228" x14ac:dyDescent="0.2">
      <c r="B316" s="27" t="s">
        <v>1432</v>
      </c>
      <c r="C316" s="26">
        <v>22274.9372</v>
      </c>
      <c r="D316" s="26">
        <v>-31.973386600000001</v>
      </c>
      <c r="E316" s="26">
        <v>110.51614600000001</v>
      </c>
      <c r="F316" s="26">
        <v>21672.409500000002</v>
      </c>
      <c r="G316" s="26">
        <v>0</v>
      </c>
      <c r="H316" s="26">
        <v>0</v>
      </c>
      <c r="I316" s="26">
        <v>0</v>
      </c>
      <c r="J316" s="26">
        <v>0</v>
      </c>
      <c r="K316" s="26">
        <v>0</v>
      </c>
      <c r="L316" s="26">
        <v>0</v>
      </c>
      <c r="M316" s="26">
        <v>0</v>
      </c>
      <c r="N316" s="26">
        <v>0</v>
      </c>
      <c r="O316" s="26">
        <v>0</v>
      </c>
      <c r="P316" s="26">
        <v>0</v>
      </c>
      <c r="Q316" s="26">
        <v>0</v>
      </c>
      <c r="R316" s="26">
        <v>0</v>
      </c>
      <c r="S316" s="26">
        <v>0</v>
      </c>
      <c r="T316" s="26">
        <v>0</v>
      </c>
      <c r="U316" s="26">
        <v>0</v>
      </c>
      <c r="V316" s="26">
        <v>4.9639969599999997E-5</v>
      </c>
      <c r="W316" s="26">
        <v>0</v>
      </c>
      <c r="X316" s="26">
        <v>0</v>
      </c>
      <c r="Y316" s="26">
        <v>0</v>
      </c>
      <c r="Z316" s="26">
        <v>0</v>
      </c>
      <c r="AA316" s="26">
        <v>0</v>
      </c>
      <c r="AB316" s="26">
        <v>0.200425619</v>
      </c>
      <c r="AC316" s="26">
        <v>0</v>
      </c>
      <c r="AD316" s="26">
        <v>0</v>
      </c>
      <c r="AE316" s="26">
        <v>0</v>
      </c>
      <c r="AF316" s="26">
        <v>0</v>
      </c>
      <c r="AG316" s="26">
        <v>0</v>
      </c>
      <c r="AH316" s="26">
        <v>0</v>
      </c>
      <c r="AI316" s="26">
        <v>0</v>
      </c>
      <c r="AJ316" s="26">
        <v>0</v>
      </c>
      <c r="AK316" s="26">
        <v>0</v>
      </c>
      <c r="AL316" s="26">
        <v>464.95049399999994</v>
      </c>
      <c r="AM316" s="26">
        <v>0</v>
      </c>
      <c r="AN316" s="26">
        <v>1.43783719E-4</v>
      </c>
      <c r="AO316" s="26">
        <v>2.40057055E-8</v>
      </c>
      <c r="AP316" s="26">
        <v>0</v>
      </c>
      <c r="AQ316" s="26">
        <v>0</v>
      </c>
      <c r="AR316" s="26">
        <v>0</v>
      </c>
      <c r="AS316" s="26">
        <v>26.858380199999999</v>
      </c>
      <c r="AT316" s="26">
        <v>0</v>
      </c>
      <c r="AU316" s="26">
        <v>0</v>
      </c>
      <c r="AV316" s="26">
        <v>2.0271457700000001E-3</v>
      </c>
      <c r="AW316" s="26">
        <v>0</v>
      </c>
      <c r="AX316" s="26">
        <v>0</v>
      </c>
      <c r="AY316" s="26">
        <v>0</v>
      </c>
      <c r="AZ316" s="26">
        <v>0</v>
      </c>
      <c r="BA316" s="26">
        <v>0</v>
      </c>
      <c r="BB316" s="26">
        <v>0</v>
      </c>
      <c r="BC316" s="26">
        <v>0</v>
      </c>
      <c r="BD316" s="26">
        <v>0</v>
      </c>
      <c r="BE316" s="26">
        <v>0</v>
      </c>
      <c r="BF316" s="26">
        <v>0</v>
      </c>
      <c r="BG316" s="26">
        <v>0</v>
      </c>
      <c r="BH316" s="26">
        <v>0</v>
      </c>
      <c r="BI316" s="26">
        <v>0</v>
      </c>
      <c r="BJ316" s="26">
        <v>0</v>
      </c>
      <c r="BK316" s="26">
        <v>0</v>
      </c>
      <c r="BL316" s="26">
        <v>0</v>
      </c>
      <c r="BM316" s="26">
        <v>0</v>
      </c>
      <c r="BN316" s="26">
        <v>0</v>
      </c>
      <c r="BO316" s="26">
        <v>481.82998099999992</v>
      </c>
      <c r="BP316" s="26">
        <v>22274.9372</v>
      </c>
      <c r="BQ316" s="26">
        <v>462.54512199999999</v>
      </c>
      <c r="BR316" s="26">
        <v>20.297981199999981</v>
      </c>
      <c r="BS316" s="26">
        <v>1</v>
      </c>
      <c r="BT316" s="26">
        <v>0</v>
      </c>
      <c r="BU316" s="26">
        <v>1</v>
      </c>
      <c r="BV316" s="26">
        <v>0</v>
      </c>
      <c r="BW316" s="26">
        <v>-66358.233399999997</v>
      </c>
      <c r="BX316" s="26">
        <v>-1435.3973800000001</v>
      </c>
      <c r="BY316" s="26">
        <v>-31.973386600000001</v>
      </c>
      <c r="BZ316" s="26">
        <v>-83.307387300000002</v>
      </c>
      <c r="CA316" s="26">
        <v>-1.80202514</v>
      </c>
      <c r="CB316" s="26">
        <v>1.7361548500000001E-2</v>
      </c>
      <c r="CC316" s="26">
        <v>0.80262212499999996</v>
      </c>
      <c r="CD316" s="26">
        <v>46.229869600000001</v>
      </c>
      <c r="CE316" s="26">
        <v>469.79683299999999</v>
      </c>
      <c r="CF316" s="26">
        <v>0</v>
      </c>
      <c r="CG316" s="26">
        <v>0</v>
      </c>
      <c r="CH316" s="26">
        <v>0</v>
      </c>
      <c r="CI316" s="26">
        <v>0</v>
      </c>
      <c r="CJ316" s="26">
        <v>0</v>
      </c>
      <c r="CK316" s="26">
        <v>0</v>
      </c>
      <c r="CL316" s="26">
        <v>0</v>
      </c>
      <c r="CM316" s="26">
        <v>0</v>
      </c>
      <c r="CN316" s="26">
        <v>0</v>
      </c>
      <c r="CO316" s="26">
        <v>0</v>
      </c>
      <c r="CP316" s="26">
        <v>0</v>
      </c>
      <c r="CQ316" s="26">
        <v>0</v>
      </c>
      <c r="CR316" s="26">
        <v>0</v>
      </c>
      <c r="CS316" s="26">
        <v>0</v>
      </c>
      <c r="CT316" s="26">
        <v>0</v>
      </c>
      <c r="CU316" s="26">
        <v>0</v>
      </c>
      <c r="CV316" s="26">
        <v>0</v>
      </c>
      <c r="CW316" s="26">
        <v>0</v>
      </c>
      <c r="CX316" s="26">
        <v>0</v>
      </c>
      <c r="CY316" s="26">
        <v>0</v>
      </c>
      <c r="CZ316" s="26">
        <v>0</v>
      </c>
      <c r="DA316" s="26">
        <v>0</v>
      </c>
      <c r="DB316" s="26">
        <v>0</v>
      </c>
      <c r="DC316" s="26">
        <v>0</v>
      </c>
      <c r="DD316" s="26">
        <v>0</v>
      </c>
      <c r="DE316" s="26">
        <v>0</v>
      </c>
      <c r="DF316" s="26">
        <v>0</v>
      </c>
      <c r="DG316" s="26">
        <v>0</v>
      </c>
      <c r="DH316" s="26">
        <v>0</v>
      </c>
      <c r="DI316" s="26">
        <v>0</v>
      </c>
      <c r="DJ316" s="26">
        <v>0</v>
      </c>
      <c r="DK316" s="26">
        <v>0</v>
      </c>
      <c r="DL316" s="26">
        <v>0</v>
      </c>
      <c r="DM316" s="26">
        <v>0</v>
      </c>
      <c r="DN316" s="26">
        <v>0</v>
      </c>
      <c r="DO316" s="26">
        <v>0</v>
      </c>
      <c r="DP316" s="26">
        <v>0</v>
      </c>
      <c r="DQ316" s="26">
        <v>0</v>
      </c>
      <c r="DR316" s="26">
        <v>0</v>
      </c>
      <c r="DS316" s="26">
        <v>0</v>
      </c>
      <c r="DT316" s="26">
        <v>0</v>
      </c>
      <c r="DU316" s="26">
        <v>0</v>
      </c>
      <c r="DV316" s="26">
        <v>0</v>
      </c>
      <c r="DW316" s="26">
        <v>0</v>
      </c>
      <c r="DX316" s="26">
        <v>0</v>
      </c>
      <c r="DY316" s="26">
        <v>0</v>
      </c>
      <c r="DZ316" s="26">
        <v>0</v>
      </c>
      <c r="EA316" s="26">
        <v>0</v>
      </c>
      <c r="EB316" s="26">
        <v>0</v>
      </c>
      <c r="EC316" s="26">
        <v>0</v>
      </c>
      <c r="ED316" s="26">
        <v>0</v>
      </c>
      <c r="EE316" s="26">
        <v>0</v>
      </c>
      <c r="EF316" s="26">
        <v>0</v>
      </c>
      <c r="EG316" s="26">
        <v>0</v>
      </c>
      <c r="EH316" s="26">
        <v>0</v>
      </c>
      <c r="EI316" s="26">
        <v>0</v>
      </c>
      <c r="EJ316" s="26">
        <v>0</v>
      </c>
      <c r="EK316" s="26">
        <v>0</v>
      </c>
      <c r="EL316" s="26">
        <v>0</v>
      </c>
      <c r="EM316" s="26">
        <v>0</v>
      </c>
      <c r="EN316" s="26">
        <v>0</v>
      </c>
      <c r="EO316" s="26">
        <v>0</v>
      </c>
      <c r="EP316" s="26">
        <v>0</v>
      </c>
      <c r="EQ316" s="26">
        <v>0</v>
      </c>
      <c r="ER316" s="26">
        <v>0</v>
      </c>
      <c r="ES316" s="26">
        <v>0</v>
      </c>
      <c r="ET316" s="26">
        <v>1</v>
      </c>
      <c r="EU316" s="26">
        <v>0</v>
      </c>
      <c r="EV316" s="26">
        <v>0</v>
      </c>
      <c r="EW316" s="26">
        <v>0</v>
      </c>
      <c r="EX316" s="26">
        <v>0</v>
      </c>
      <c r="EY316" s="26">
        <v>0</v>
      </c>
      <c r="EZ316" s="26">
        <v>0</v>
      </c>
      <c r="FA316" s="26">
        <v>0</v>
      </c>
      <c r="FB316" s="26">
        <v>0</v>
      </c>
      <c r="FC316" s="26">
        <v>0</v>
      </c>
      <c r="FD316" s="26">
        <v>0</v>
      </c>
      <c r="FE316" s="26">
        <v>0</v>
      </c>
      <c r="FF316" s="26">
        <v>0</v>
      </c>
      <c r="FG316" s="26">
        <v>2.10078655</v>
      </c>
      <c r="FH316" s="26">
        <v>-37105642.115900002</v>
      </c>
      <c r="FI316" s="26">
        <v>0.27054364216434912</v>
      </c>
      <c r="FJ316" s="26">
        <v>0</v>
      </c>
      <c r="FK316" s="26">
        <v>0</v>
      </c>
      <c r="FL316" s="26">
        <v>0</v>
      </c>
      <c r="FM316" s="26">
        <v>0</v>
      </c>
      <c r="FN316" s="26">
        <v>0</v>
      </c>
      <c r="FO316" s="26">
        <v>0</v>
      </c>
      <c r="FP316" s="26">
        <v>0</v>
      </c>
      <c r="FQ316" s="26">
        <v>0</v>
      </c>
      <c r="FR316" s="26">
        <v>0</v>
      </c>
      <c r="FS316" s="26">
        <v>0</v>
      </c>
      <c r="FT316" s="26">
        <v>0</v>
      </c>
      <c r="FU316" s="26">
        <v>0</v>
      </c>
      <c r="FV316" s="26">
        <v>0</v>
      </c>
      <c r="FW316" s="26">
        <v>0</v>
      </c>
      <c r="FX316" s="26">
        <v>0</v>
      </c>
      <c r="FY316" s="26">
        <v>0</v>
      </c>
      <c r="FZ316" s="26">
        <v>0</v>
      </c>
      <c r="GA316" s="26">
        <v>0</v>
      </c>
      <c r="GB316" s="26">
        <v>0</v>
      </c>
      <c r="GC316" s="26">
        <v>0</v>
      </c>
      <c r="GD316" s="26">
        <v>0</v>
      </c>
      <c r="GE316" s="26">
        <v>0</v>
      </c>
      <c r="GF316" s="26">
        <v>0</v>
      </c>
      <c r="GG316" s="26">
        <v>0</v>
      </c>
      <c r="GH316" s="26">
        <v>0</v>
      </c>
      <c r="GI316" s="26">
        <v>0</v>
      </c>
      <c r="GJ316" s="26">
        <v>0</v>
      </c>
      <c r="GK316" s="26">
        <v>0</v>
      </c>
      <c r="GL316" s="26">
        <v>0</v>
      </c>
      <c r="GM316" s="26">
        <v>0</v>
      </c>
      <c r="GN316" s="26">
        <v>0</v>
      </c>
      <c r="GO316" s="26">
        <v>0</v>
      </c>
      <c r="GP316" s="26">
        <v>0</v>
      </c>
      <c r="GQ316" s="26">
        <v>0</v>
      </c>
      <c r="GR316" s="26">
        <v>0</v>
      </c>
      <c r="GS316" s="26">
        <v>0</v>
      </c>
      <c r="GT316" s="26">
        <v>0</v>
      </c>
      <c r="GU316" s="26">
        <v>0</v>
      </c>
      <c r="GV316" s="26">
        <v>0</v>
      </c>
      <c r="GW316" s="26">
        <v>0</v>
      </c>
      <c r="GX316" s="26">
        <v>0</v>
      </c>
      <c r="GY316" s="26">
        <v>0</v>
      </c>
      <c r="GZ316" s="26">
        <v>0</v>
      </c>
      <c r="HA316" s="26">
        <v>0</v>
      </c>
      <c r="HB316" s="26">
        <v>0</v>
      </c>
      <c r="HC316" s="26">
        <v>0</v>
      </c>
      <c r="HD316" s="26">
        <v>0</v>
      </c>
      <c r="HE316" s="26">
        <v>0</v>
      </c>
      <c r="HF316" s="26">
        <v>0</v>
      </c>
      <c r="HG316" s="26">
        <v>0</v>
      </c>
      <c r="HH316" s="26">
        <v>0</v>
      </c>
      <c r="HI316" s="26">
        <v>0</v>
      </c>
      <c r="HJ316" s="26">
        <v>0</v>
      </c>
      <c r="HK316" s="26">
        <v>0</v>
      </c>
      <c r="HL316" s="26">
        <v>0</v>
      </c>
      <c r="HM316" s="26">
        <v>0</v>
      </c>
      <c r="HN316" s="26">
        <v>0</v>
      </c>
      <c r="HO316" s="26">
        <v>0</v>
      </c>
      <c r="HP316" s="26">
        <v>0</v>
      </c>
      <c r="HQ316" s="26">
        <v>0</v>
      </c>
      <c r="HR316" s="26">
        <v>0</v>
      </c>
      <c r="HS316" s="26">
        <v>0</v>
      </c>
      <c r="HT316" s="26">
        <v>0</v>
      </c>
    </row>
    <row r="317" spans="2:228" x14ac:dyDescent="0.2">
      <c r="B317" s="27" t="s">
        <v>1429</v>
      </c>
      <c r="C317" s="26">
        <v>1980.6120699999999</v>
      </c>
      <c r="D317" s="26">
        <v>-4.0858639200000004</v>
      </c>
      <c r="E317" s="26">
        <v>138.64284499999999</v>
      </c>
      <c r="F317" s="26">
        <v>0</v>
      </c>
      <c r="G317" s="26">
        <v>0</v>
      </c>
      <c r="H317" s="26">
        <v>0</v>
      </c>
      <c r="I317" s="26">
        <v>0</v>
      </c>
      <c r="J317" s="26">
        <v>0</v>
      </c>
      <c r="K317" s="26">
        <v>0</v>
      </c>
      <c r="L317" s="26">
        <v>0</v>
      </c>
      <c r="M317" s="26">
        <v>0</v>
      </c>
      <c r="N317" s="26">
        <v>0</v>
      </c>
      <c r="O317" s="26">
        <v>0</v>
      </c>
      <c r="P317" s="26">
        <v>0</v>
      </c>
      <c r="Q317" s="26">
        <v>0</v>
      </c>
      <c r="R317" s="26">
        <v>0</v>
      </c>
      <c r="S317" s="26">
        <v>0</v>
      </c>
      <c r="T317" s="26">
        <v>0</v>
      </c>
      <c r="U317" s="26">
        <v>0</v>
      </c>
      <c r="V317" s="26">
        <v>0</v>
      </c>
      <c r="W317" s="26">
        <v>0</v>
      </c>
      <c r="X317" s="26">
        <v>0</v>
      </c>
      <c r="Y317" s="26">
        <v>0</v>
      </c>
      <c r="Z317" s="26">
        <v>0</v>
      </c>
      <c r="AA317" s="26">
        <v>0</v>
      </c>
      <c r="AB317" s="26">
        <v>0</v>
      </c>
      <c r="AC317" s="26">
        <v>1841.9692200000002</v>
      </c>
      <c r="AD317" s="26">
        <v>0</v>
      </c>
      <c r="AE317" s="26">
        <v>0</v>
      </c>
      <c r="AF317" s="26">
        <v>0</v>
      </c>
      <c r="AG317" s="26">
        <v>0</v>
      </c>
      <c r="AH317" s="26">
        <v>0</v>
      </c>
      <c r="AI317" s="26">
        <v>0</v>
      </c>
      <c r="AJ317" s="26">
        <v>0</v>
      </c>
      <c r="AK317" s="26">
        <v>0</v>
      </c>
      <c r="AL317" s="26">
        <v>0</v>
      </c>
      <c r="AM317" s="26">
        <v>0</v>
      </c>
      <c r="AN317" s="26">
        <v>0</v>
      </c>
      <c r="AO317" s="26">
        <v>0</v>
      </c>
      <c r="AP317" s="26">
        <v>0</v>
      </c>
      <c r="AQ317" s="26">
        <v>0</v>
      </c>
      <c r="AR317" s="26">
        <v>0</v>
      </c>
      <c r="AS317" s="26">
        <v>0</v>
      </c>
      <c r="AT317" s="26">
        <v>0</v>
      </c>
      <c r="AU317" s="26">
        <v>0</v>
      </c>
      <c r="AV317" s="26">
        <v>0</v>
      </c>
      <c r="AW317" s="26">
        <v>0</v>
      </c>
      <c r="AX317" s="26">
        <v>0</v>
      </c>
      <c r="AY317" s="26">
        <v>0</v>
      </c>
      <c r="AZ317" s="26">
        <v>0</v>
      </c>
      <c r="BA317" s="26">
        <v>0</v>
      </c>
      <c r="BB317" s="26">
        <v>0</v>
      </c>
      <c r="BC317" s="26">
        <v>0</v>
      </c>
      <c r="BD317" s="26">
        <v>0</v>
      </c>
      <c r="BE317" s="26">
        <v>0</v>
      </c>
      <c r="BF317" s="26">
        <v>0</v>
      </c>
      <c r="BG317" s="26">
        <v>0</v>
      </c>
      <c r="BH317" s="26">
        <v>0</v>
      </c>
      <c r="BI317" s="26">
        <v>0</v>
      </c>
      <c r="BJ317" s="26">
        <v>0</v>
      </c>
      <c r="BK317" s="26">
        <v>0</v>
      </c>
      <c r="BL317" s="26">
        <v>0</v>
      </c>
      <c r="BM317" s="26">
        <v>0</v>
      </c>
      <c r="BN317" s="26">
        <v>0</v>
      </c>
      <c r="BO317" s="26">
        <v>26.476220399999999</v>
      </c>
      <c r="BP317" s="26">
        <v>1980.6120699999999</v>
      </c>
      <c r="BQ317" s="26">
        <v>20.911270600000002</v>
      </c>
      <c r="BR317" s="26">
        <v>20.905907300000024</v>
      </c>
      <c r="BS317" s="26">
        <v>5.4229876600000013</v>
      </c>
      <c r="BT317" s="26">
        <v>0</v>
      </c>
      <c r="BU317" s="26">
        <v>1</v>
      </c>
      <c r="BV317" s="26">
        <v>0</v>
      </c>
      <c r="BW317" s="26">
        <v>-154322.02299999999</v>
      </c>
      <c r="BX317" s="26">
        <v>-2062.92992</v>
      </c>
      <c r="BY317" s="26">
        <v>-4.0858639200000004</v>
      </c>
      <c r="BZ317" s="26">
        <v>-66.548181200000002</v>
      </c>
      <c r="CA317" s="26">
        <v>-0.88959586800000001</v>
      </c>
      <c r="CB317" s="26">
        <v>2.11020336E-2</v>
      </c>
      <c r="CC317" s="26">
        <v>1.5785841700000001</v>
      </c>
      <c r="CD317" s="26">
        <v>74.807205800000006</v>
      </c>
      <c r="CE317" s="26">
        <v>19.103944200000001</v>
      </c>
      <c r="CF317" s="26">
        <v>0</v>
      </c>
      <c r="CG317" s="26">
        <v>0</v>
      </c>
      <c r="CH317" s="26">
        <v>0</v>
      </c>
      <c r="CI317" s="26">
        <v>0</v>
      </c>
      <c r="CJ317" s="26">
        <v>0</v>
      </c>
      <c r="CK317" s="26">
        <v>0</v>
      </c>
      <c r="CL317" s="26">
        <v>0</v>
      </c>
      <c r="CM317" s="26">
        <v>0</v>
      </c>
      <c r="CN317" s="26">
        <v>0</v>
      </c>
      <c r="CO317" s="26">
        <v>0</v>
      </c>
      <c r="CP317" s="26">
        <v>0</v>
      </c>
      <c r="CQ317" s="26">
        <v>0</v>
      </c>
      <c r="CR317" s="26">
        <v>0</v>
      </c>
      <c r="CS317" s="26">
        <v>0</v>
      </c>
      <c r="CT317" s="26">
        <v>0</v>
      </c>
      <c r="CU317" s="26">
        <v>0</v>
      </c>
      <c r="CV317" s="26">
        <v>0</v>
      </c>
      <c r="CW317" s="26">
        <v>0</v>
      </c>
      <c r="CX317" s="26">
        <v>0</v>
      </c>
      <c r="CY317" s="26">
        <v>0</v>
      </c>
      <c r="CZ317" s="26">
        <v>0</v>
      </c>
      <c r="DA317" s="26">
        <v>0</v>
      </c>
      <c r="DB317" s="26">
        <v>0</v>
      </c>
      <c r="DC317" s="26">
        <v>0</v>
      </c>
      <c r="DD317" s="26">
        <v>0</v>
      </c>
      <c r="DE317" s="26">
        <v>0</v>
      </c>
      <c r="DF317" s="26">
        <v>0</v>
      </c>
      <c r="DG317" s="26">
        <v>0</v>
      </c>
      <c r="DH317" s="26">
        <v>0</v>
      </c>
      <c r="DI317" s="26">
        <v>0</v>
      </c>
      <c r="DJ317" s="26">
        <v>0</v>
      </c>
      <c r="DK317" s="26">
        <v>0</v>
      </c>
      <c r="DL317" s="26">
        <v>0</v>
      </c>
      <c r="DM317" s="26">
        <v>0</v>
      </c>
      <c r="DN317" s="26">
        <v>0</v>
      </c>
      <c r="DO317" s="26">
        <v>0</v>
      </c>
      <c r="DP317" s="26">
        <v>0</v>
      </c>
      <c r="DQ317" s="26">
        <v>0</v>
      </c>
      <c r="DR317" s="26">
        <v>0</v>
      </c>
      <c r="DS317" s="26">
        <v>0</v>
      </c>
      <c r="DT317" s="26">
        <v>0</v>
      </c>
      <c r="DU317" s="26">
        <v>0</v>
      </c>
      <c r="DV317" s="26">
        <v>0</v>
      </c>
      <c r="DW317" s="26">
        <v>0</v>
      </c>
      <c r="DX317" s="26">
        <v>0</v>
      </c>
      <c r="DY317" s="26">
        <v>0</v>
      </c>
      <c r="DZ317" s="26">
        <v>0</v>
      </c>
      <c r="EA317" s="26">
        <v>0</v>
      </c>
      <c r="EB317" s="26">
        <v>0</v>
      </c>
      <c r="EC317" s="26">
        <v>0</v>
      </c>
      <c r="ED317" s="26">
        <v>0</v>
      </c>
      <c r="EE317" s="26">
        <v>0</v>
      </c>
      <c r="EF317" s="26">
        <v>0</v>
      </c>
      <c r="EG317" s="26">
        <v>0</v>
      </c>
      <c r="EH317" s="26">
        <v>0</v>
      </c>
      <c r="EI317" s="26">
        <v>0</v>
      </c>
      <c r="EJ317" s="26">
        <v>0</v>
      </c>
      <c r="EK317" s="26">
        <v>0</v>
      </c>
      <c r="EL317" s="26">
        <v>0</v>
      </c>
      <c r="EM317" s="26">
        <v>0</v>
      </c>
      <c r="EN317" s="26">
        <v>0</v>
      </c>
      <c r="EO317" s="26">
        <v>0</v>
      </c>
      <c r="EP317" s="26">
        <v>0</v>
      </c>
      <c r="EQ317" s="26">
        <v>0</v>
      </c>
      <c r="ER317" s="26">
        <v>0</v>
      </c>
      <c r="ES317" s="26">
        <v>0</v>
      </c>
      <c r="ET317" s="26">
        <v>5.4229876600000013</v>
      </c>
      <c r="EU317" s="26">
        <v>0</v>
      </c>
      <c r="EV317" s="26">
        <v>0</v>
      </c>
      <c r="EW317" s="26">
        <v>0</v>
      </c>
      <c r="EX317" s="26">
        <v>0</v>
      </c>
      <c r="EY317" s="26">
        <v>0</v>
      </c>
      <c r="EZ317" s="26">
        <v>0</v>
      </c>
      <c r="FA317" s="26">
        <v>0</v>
      </c>
      <c r="FB317" s="26">
        <v>0</v>
      </c>
      <c r="FC317" s="26">
        <v>0</v>
      </c>
      <c r="FD317" s="26">
        <v>0</v>
      </c>
      <c r="FE317" s="26">
        <v>0</v>
      </c>
      <c r="FF317" s="26">
        <v>0</v>
      </c>
      <c r="FG317" s="26">
        <v>0</v>
      </c>
      <c r="FH317" s="26">
        <v>-4749462.9122600006</v>
      </c>
      <c r="FI317" s="26">
        <v>0</v>
      </c>
      <c r="FJ317" s="26">
        <v>0</v>
      </c>
      <c r="FK317" s="26">
        <v>0</v>
      </c>
      <c r="FL317" s="26">
        <v>0</v>
      </c>
      <c r="FM317" s="26">
        <v>0</v>
      </c>
      <c r="FN317" s="26">
        <v>0</v>
      </c>
      <c r="FO317" s="26">
        <v>0</v>
      </c>
      <c r="FP317" s="26">
        <v>0</v>
      </c>
      <c r="FQ317" s="26">
        <v>0</v>
      </c>
      <c r="FR317" s="26">
        <v>0</v>
      </c>
      <c r="FS317" s="26">
        <v>0</v>
      </c>
      <c r="FT317" s="26">
        <v>0</v>
      </c>
      <c r="FU317" s="26">
        <v>0</v>
      </c>
      <c r="FV317" s="26">
        <v>0</v>
      </c>
      <c r="FW317" s="26">
        <v>0</v>
      </c>
      <c r="FX317" s="26">
        <v>0</v>
      </c>
      <c r="FY317" s="26">
        <v>0</v>
      </c>
      <c r="FZ317" s="26">
        <v>0</v>
      </c>
      <c r="GA317" s="26">
        <v>0</v>
      </c>
      <c r="GB317" s="26">
        <v>0</v>
      </c>
      <c r="GC317" s="26">
        <v>0</v>
      </c>
      <c r="GD317" s="26">
        <v>0</v>
      </c>
      <c r="GE317" s="26">
        <v>0</v>
      </c>
      <c r="GF317" s="26">
        <v>0</v>
      </c>
      <c r="GG317" s="26">
        <v>0</v>
      </c>
      <c r="GH317" s="26">
        <v>0</v>
      </c>
      <c r="GI317" s="26">
        <v>0</v>
      </c>
      <c r="GJ317" s="26">
        <v>0</v>
      </c>
      <c r="GK317" s="26">
        <v>0</v>
      </c>
      <c r="GL317" s="26">
        <v>0</v>
      </c>
      <c r="GM317" s="26">
        <v>0</v>
      </c>
      <c r="GN317" s="26">
        <v>0</v>
      </c>
      <c r="GO317" s="26">
        <v>0</v>
      </c>
      <c r="GP317" s="26">
        <v>0</v>
      </c>
      <c r="GQ317" s="26">
        <v>0</v>
      </c>
      <c r="GR317" s="26">
        <v>0</v>
      </c>
      <c r="GS317" s="26">
        <v>0</v>
      </c>
      <c r="GT317" s="26">
        <v>0</v>
      </c>
      <c r="GU317" s="26">
        <v>0</v>
      </c>
      <c r="GV317" s="26">
        <v>0</v>
      </c>
      <c r="GW317" s="26">
        <v>0</v>
      </c>
      <c r="GX317" s="26">
        <v>0</v>
      </c>
      <c r="GY317" s="26">
        <v>0</v>
      </c>
      <c r="GZ317" s="26">
        <v>0</v>
      </c>
      <c r="HA317" s="26">
        <v>0</v>
      </c>
      <c r="HB317" s="26">
        <v>0</v>
      </c>
      <c r="HC317" s="26">
        <v>0</v>
      </c>
      <c r="HD317" s="26">
        <v>0</v>
      </c>
      <c r="HE317" s="26">
        <v>0</v>
      </c>
      <c r="HF317" s="26">
        <v>0</v>
      </c>
      <c r="HG317" s="26">
        <v>0</v>
      </c>
      <c r="HH317" s="26">
        <v>0</v>
      </c>
      <c r="HI317" s="26">
        <v>0</v>
      </c>
      <c r="HJ317" s="26">
        <v>0</v>
      </c>
      <c r="HK317" s="26">
        <v>0</v>
      </c>
      <c r="HL317" s="26">
        <v>0</v>
      </c>
      <c r="HM317" s="26">
        <v>0</v>
      </c>
      <c r="HN317" s="26">
        <v>0</v>
      </c>
      <c r="HO317" s="26">
        <v>0</v>
      </c>
      <c r="HP317" s="26">
        <v>0</v>
      </c>
      <c r="HQ317" s="26">
        <v>0</v>
      </c>
      <c r="HR317" s="26">
        <v>0</v>
      </c>
      <c r="HS317" s="26">
        <v>0</v>
      </c>
      <c r="HT317" s="26">
        <v>0</v>
      </c>
    </row>
    <row r="318" spans="2:228" x14ac:dyDescent="0.2">
      <c r="B318" s="27" t="s">
        <v>2907</v>
      </c>
      <c r="C318" s="26">
        <v>1980.6120699999999</v>
      </c>
      <c r="D318" s="26">
        <v>-4.0863178900000001</v>
      </c>
      <c r="E318" s="26">
        <v>138.64284499999999</v>
      </c>
      <c r="F318" s="26">
        <v>0</v>
      </c>
      <c r="G318" s="26">
        <v>0</v>
      </c>
      <c r="H318" s="26">
        <v>0</v>
      </c>
      <c r="I318" s="26">
        <v>0</v>
      </c>
      <c r="J318" s="26">
        <v>0</v>
      </c>
      <c r="K318" s="26">
        <v>0</v>
      </c>
      <c r="L318" s="26">
        <v>0</v>
      </c>
      <c r="M318" s="26">
        <v>0</v>
      </c>
      <c r="N318" s="26">
        <v>0</v>
      </c>
      <c r="O318" s="26">
        <v>0</v>
      </c>
      <c r="P318" s="26">
        <v>0</v>
      </c>
      <c r="Q318" s="26">
        <v>0</v>
      </c>
      <c r="R318" s="26">
        <v>0</v>
      </c>
      <c r="S318" s="26">
        <v>0</v>
      </c>
      <c r="T318" s="26">
        <v>0</v>
      </c>
      <c r="U318" s="26">
        <v>0</v>
      </c>
      <c r="V318" s="26">
        <v>0</v>
      </c>
      <c r="W318" s="26">
        <v>0</v>
      </c>
      <c r="X318" s="26">
        <v>0</v>
      </c>
      <c r="Y318" s="26">
        <v>0</v>
      </c>
      <c r="Z318" s="26">
        <v>0</v>
      </c>
      <c r="AA318" s="26">
        <v>0</v>
      </c>
      <c r="AB318" s="26">
        <v>0</v>
      </c>
      <c r="AC318" s="26">
        <v>1841.9692200000002</v>
      </c>
      <c r="AD318" s="26">
        <v>0</v>
      </c>
      <c r="AE318" s="26">
        <v>0</v>
      </c>
      <c r="AF318" s="26">
        <v>0</v>
      </c>
      <c r="AG318" s="26">
        <v>0</v>
      </c>
      <c r="AH318" s="26">
        <v>0</v>
      </c>
      <c r="AI318" s="26">
        <v>0</v>
      </c>
      <c r="AJ318" s="26">
        <v>0</v>
      </c>
      <c r="AK318" s="26">
        <v>0</v>
      </c>
      <c r="AL318" s="26">
        <v>0</v>
      </c>
      <c r="AM318" s="26">
        <v>0</v>
      </c>
      <c r="AN318" s="26">
        <v>0</v>
      </c>
      <c r="AO318" s="26">
        <v>0</v>
      </c>
      <c r="AP318" s="26">
        <v>0</v>
      </c>
      <c r="AQ318" s="26">
        <v>0</v>
      </c>
      <c r="AR318" s="26">
        <v>0</v>
      </c>
      <c r="AS318" s="26">
        <v>0</v>
      </c>
      <c r="AT318" s="26">
        <v>0</v>
      </c>
      <c r="AU318" s="26">
        <v>0</v>
      </c>
      <c r="AV318" s="26">
        <v>0</v>
      </c>
      <c r="AW318" s="26">
        <v>0</v>
      </c>
      <c r="AX318" s="26">
        <v>0</v>
      </c>
      <c r="AY318" s="26">
        <v>0</v>
      </c>
      <c r="AZ318" s="26">
        <v>0</v>
      </c>
      <c r="BA318" s="26">
        <v>0</v>
      </c>
      <c r="BB318" s="26">
        <v>0</v>
      </c>
      <c r="BC318" s="26">
        <v>0</v>
      </c>
      <c r="BD318" s="26">
        <v>0</v>
      </c>
      <c r="BE318" s="26">
        <v>0</v>
      </c>
      <c r="BF318" s="26">
        <v>0</v>
      </c>
      <c r="BG318" s="26">
        <v>0</v>
      </c>
      <c r="BH318" s="26">
        <v>0</v>
      </c>
      <c r="BI318" s="26">
        <v>0</v>
      </c>
      <c r="BJ318" s="26">
        <v>0</v>
      </c>
      <c r="BK318" s="26">
        <v>0</v>
      </c>
      <c r="BL318" s="26">
        <v>0</v>
      </c>
      <c r="BM318" s="26">
        <v>0</v>
      </c>
      <c r="BN318" s="26">
        <v>0</v>
      </c>
      <c r="BO318" s="26">
        <v>26.476220399999999</v>
      </c>
      <c r="BP318" s="26">
        <v>1980.6120699999999</v>
      </c>
      <c r="BQ318" s="26">
        <v>20.8983952</v>
      </c>
      <c r="BR318" s="26">
        <v>20</v>
      </c>
      <c r="BS318" s="26">
        <v>1</v>
      </c>
      <c r="BT318" s="26">
        <v>0</v>
      </c>
      <c r="BU318" s="26">
        <v>1</v>
      </c>
      <c r="BV318" s="26">
        <v>0</v>
      </c>
      <c r="BW318" s="26">
        <v>-154339.16899999999</v>
      </c>
      <c r="BX318" s="26">
        <v>-2063.15913</v>
      </c>
      <c r="BY318" s="26">
        <v>-4.0863178900000001</v>
      </c>
      <c r="BZ318" s="26">
        <v>-66.555222900000004</v>
      </c>
      <c r="CA318" s="26">
        <v>-0.88968999999999998</v>
      </c>
      <c r="CB318" s="26">
        <v>2.11150344E-2</v>
      </c>
      <c r="CC318" s="26">
        <v>1.57955672</v>
      </c>
      <c r="CD318" s="26">
        <v>74.807205800000006</v>
      </c>
      <c r="CE318" s="26">
        <v>19.103944200000001</v>
      </c>
      <c r="CF318" s="26">
        <v>0</v>
      </c>
      <c r="CG318" s="26">
        <v>0</v>
      </c>
      <c r="CH318" s="26">
        <v>0</v>
      </c>
      <c r="CI318" s="26">
        <v>0</v>
      </c>
      <c r="CJ318" s="26">
        <v>0</v>
      </c>
      <c r="CK318" s="26">
        <v>0</v>
      </c>
      <c r="CL318" s="26">
        <v>0</v>
      </c>
      <c r="CM318" s="26">
        <v>0</v>
      </c>
      <c r="CN318" s="26">
        <v>0</v>
      </c>
      <c r="CO318" s="26">
        <v>0</v>
      </c>
      <c r="CP318" s="26">
        <v>0</v>
      </c>
      <c r="CQ318" s="26">
        <v>0</v>
      </c>
      <c r="CR318" s="26">
        <v>0</v>
      </c>
      <c r="CS318" s="26">
        <v>0</v>
      </c>
      <c r="CT318" s="26">
        <v>0</v>
      </c>
      <c r="CU318" s="26">
        <v>0</v>
      </c>
      <c r="CV318" s="26">
        <v>0</v>
      </c>
      <c r="CW318" s="26">
        <v>0</v>
      </c>
      <c r="CX318" s="26">
        <v>0</v>
      </c>
      <c r="CY318" s="26">
        <v>0</v>
      </c>
      <c r="CZ318" s="26">
        <v>0</v>
      </c>
      <c r="DA318" s="26">
        <v>0</v>
      </c>
      <c r="DB318" s="26">
        <v>0</v>
      </c>
      <c r="DC318" s="26">
        <v>0</v>
      </c>
      <c r="DD318" s="26">
        <v>0</v>
      </c>
      <c r="DE318" s="26">
        <v>0</v>
      </c>
      <c r="DF318" s="26">
        <v>0</v>
      </c>
      <c r="DG318" s="26">
        <v>0</v>
      </c>
      <c r="DH318" s="26">
        <v>0</v>
      </c>
      <c r="DI318" s="26">
        <v>0</v>
      </c>
      <c r="DJ318" s="26">
        <v>0</v>
      </c>
      <c r="DK318" s="26">
        <v>0</v>
      </c>
      <c r="DL318" s="26">
        <v>0</v>
      </c>
      <c r="DM318" s="26">
        <v>0</v>
      </c>
      <c r="DN318" s="26">
        <v>0</v>
      </c>
      <c r="DO318" s="26">
        <v>0</v>
      </c>
      <c r="DP318" s="26">
        <v>0</v>
      </c>
      <c r="DQ318" s="26">
        <v>0</v>
      </c>
      <c r="DR318" s="26">
        <v>0</v>
      </c>
      <c r="DS318" s="26">
        <v>0</v>
      </c>
      <c r="DT318" s="26">
        <v>0</v>
      </c>
      <c r="DU318" s="26">
        <v>0</v>
      </c>
      <c r="DV318" s="26">
        <v>0</v>
      </c>
      <c r="DW318" s="26">
        <v>0</v>
      </c>
      <c r="DX318" s="26">
        <v>0</v>
      </c>
      <c r="DY318" s="26">
        <v>0</v>
      </c>
      <c r="DZ318" s="26">
        <v>0</v>
      </c>
      <c r="EA318" s="26">
        <v>0</v>
      </c>
      <c r="EB318" s="26">
        <v>0</v>
      </c>
      <c r="EC318" s="26">
        <v>0</v>
      </c>
      <c r="ED318" s="26">
        <v>0</v>
      </c>
      <c r="EE318" s="26">
        <v>0</v>
      </c>
      <c r="EF318" s="26">
        <v>0</v>
      </c>
      <c r="EG318" s="26">
        <v>0</v>
      </c>
      <c r="EH318" s="26">
        <v>0</v>
      </c>
      <c r="EI318" s="26">
        <v>0</v>
      </c>
      <c r="EJ318" s="26">
        <v>0</v>
      </c>
      <c r="EK318" s="26">
        <v>0</v>
      </c>
      <c r="EL318" s="26">
        <v>0</v>
      </c>
      <c r="EM318" s="26">
        <v>0</v>
      </c>
      <c r="EN318" s="26">
        <v>0</v>
      </c>
      <c r="EO318" s="26">
        <v>0</v>
      </c>
      <c r="EP318" s="26">
        <v>0</v>
      </c>
      <c r="EQ318" s="26">
        <v>0</v>
      </c>
      <c r="ER318" s="26">
        <v>0</v>
      </c>
      <c r="ES318" s="26">
        <v>0</v>
      </c>
      <c r="ET318" s="26">
        <v>1</v>
      </c>
      <c r="EU318" s="26">
        <v>0</v>
      </c>
      <c r="EV318" s="26">
        <v>0</v>
      </c>
      <c r="EW318" s="26">
        <v>0</v>
      </c>
      <c r="EX318" s="26">
        <v>0</v>
      </c>
      <c r="EY318" s="26">
        <v>0</v>
      </c>
      <c r="EZ318" s="26">
        <v>0</v>
      </c>
      <c r="FA318" s="26">
        <v>0</v>
      </c>
      <c r="FB318" s="26">
        <v>0</v>
      </c>
      <c r="FC318" s="26">
        <v>0</v>
      </c>
      <c r="FD318" s="26">
        <v>0</v>
      </c>
      <c r="FE318" s="26">
        <v>0</v>
      </c>
      <c r="FF318" s="26">
        <v>0</v>
      </c>
      <c r="FG318" s="26">
        <v>0</v>
      </c>
      <c r="FH318" s="26">
        <v>-4749462.9122600006</v>
      </c>
      <c r="FI318" s="26">
        <v>0</v>
      </c>
      <c r="FJ318" s="26">
        <v>0</v>
      </c>
      <c r="FK318" s="26">
        <v>0</v>
      </c>
      <c r="FL318" s="26">
        <v>0</v>
      </c>
      <c r="FM318" s="26">
        <v>0</v>
      </c>
      <c r="FN318" s="26">
        <v>0</v>
      </c>
      <c r="FO318" s="26">
        <v>0</v>
      </c>
      <c r="FP318" s="26">
        <v>0</v>
      </c>
      <c r="FQ318" s="26">
        <v>0</v>
      </c>
      <c r="FR318" s="26">
        <v>0</v>
      </c>
      <c r="FS318" s="26">
        <v>0</v>
      </c>
      <c r="FT318" s="26">
        <v>0</v>
      </c>
      <c r="FU318" s="26">
        <v>0</v>
      </c>
      <c r="FV318" s="26">
        <v>0</v>
      </c>
      <c r="FW318" s="26">
        <v>0</v>
      </c>
      <c r="FX318" s="26">
        <v>0</v>
      </c>
      <c r="FY318" s="26">
        <v>0</v>
      </c>
      <c r="FZ318" s="26">
        <v>0</v>
      </c>
      <c r="GA318" s="26">
        <v>0</v>
      </c>
      <c r="GB318" s="26">
        <v>0</v>
      </c>
      <c r="GC318" s="26">
        <v>0</v>
      </c>
      <c r="GD318" s="26">
        <v>0</v>
      </c>
      <c r="GE318" s="26">
        <v>0</v>
      </c>
      <c r="GF318" s="26">
        <v>0</v>
      </c>
      <c r="GG318" s="26">
        <v>0</v>
      </c>
      <c r="GH318" s="26">
        <v>0</v>
      </c>
      <c r="GI318" s="26">
        <v>0</v>
      </c>
      <c r="GJ318" s="26">
        <v>0</v>
      </c>
      <c r="GK318" s="26">
        <v>0</v>
      </c>
      <c r="GL318" s="26">
        <v>0</v>
      </c>
      <c r="GM318" s="26">
        <v>0</v>
      </c>
      <c r="GN318" s="26">
        <v>0</v>
      </c>
      <c r="GO318" s="26">
        <v>0</v>
      </c>
      <c r="GP318" s="26">
        <v>0</v>
      </c>
      <c r="GQ318" s="26">
        <v>0</v>
      </c>
      <c r="GR318" s="26">
        <v>0</v>
      </c>
      <c r="GS318" s="26">
        <v>0</v>
      </c>
      <c r="GT318" s="26">
        <v>0</v>
      </c>
      <c r="GU318" s="26">
        <v>0</v>
      </c>
      <c r="GV318" s="26">
        <v>0</v>
      </c>
      <c r="GW318" s="26">
        <v>0</v>
      </c>
      <c r="GX318" s="26">
        <v>0</v>
      </c>
      <c r="GY318" s="26">
        <v>0</v>
      </c>
      <c r="GZ318" s="26">
        <v>0</v>
      </c>
      <c r="HA318" s="26">
        <v>0</v>
      </c>
      <c r="HB318" s="26">
        <v>0</v>
      </c>
      <c r="HC318" s="26">
        <v>0</v>
      </c>
      <c r="HD318" s="26">
        <v>0</v>
      </c>
      <c r="HE318" s="26">
        <v>0</v>
      </c>
      <c r="HF318" s="26">
        <v>0</v>
      </c>
      <c r="HG318" s="26">
        <v>0</v>
      </c>
      <c r="HH318" s="26">
        <v>0</v>
      </c>
      <c r="HI318" s="26">
        <v>0</v>
      </c>
      <c r="HJ318" s="26">
        <v>0</v>
      </c>
      <c r="HK318" s="26">
        <v>0</v>
      </c>
      <c r="HL318" s="26">
        <v>0</v>
      </c>
      <c r="HM318" s="26">
        <v>0</v>
      </c>
      <c r="HN318" s="26">
        <v>0</v>
      </c>
      <c r="HO318" s="26">
        <v>0</v>
      </c>
      <c r="HP318" s="26">
        <v>0</v>
      </c>
      <c r="HQ318" s="26">
        <v>0</v>
      </c>
      <c r="HR318" s="26">
        <v>0</v>
      </c>
      <c r="HS318" s="26">
        <v>0</v>
      </c>
      <c r="HT318" s="26">
        <v>0</v>
      </c>
    </row>
    <row r="319" spans="2:228" x14ac:dyDescent="0.2">
      <c r="B319" s="27" t="s">
        <v>1433</v>
      </c>
      <c r="C319" s="26">
        <v>8022.0755900000004</v>
      </c>
      <c r="D319" s="26">
        <v>-30.419815</v>
      </c>
      <c r="E319" s="26">
        <v>8022.0755900000004</v>
      </c>
      <c r="F319" s="26">
        <v>0</v>
      </c>
      <c r="G319" s="26">
        <v>0</v>
      </c>
      <c r="H319" s="26">
        <v>0</v>
      </c>
      <c r="I319" s="26">
        <v>0</v>
      </c>
      <c r="J319" s="26">
        <v>0</v>
      </c>
      <c r="K319" s="26">
        <v>0</v>
      </c>
      <c r="L319" s="26">
        <v>0</v>
      </c>
      <c r="M319" s="26">
        <v>0</v>
      </c>
      <c r="N319" s="26">
        <v>0</v>
      </c>
      <c r="O319" s="26">
        <v>0</v>
      </c>
      <c r="P319" s="26">
        <v>0</v>
      </c>
      <c r="Q319" s="26">
        <v>0</v>
      </c>
      <c r="R319" s="26">
        <v>0</v>
      </c>
      <c r="S319" s="26">
        <v>0</v>
      </c>
      <c r="T319" s="26">
        <v>0</v>
      </c>
      <c r="U319" s="26">
        <v>0</v>
      </c>
      <c r="V319" s="26">
        <v>0</v>
      </c>
      <c r="W319" s="26">
        <v>0</v>
      </c>
      <c r="X319" s="26">
        <v>0</v>
      </c>
      <c r="Y319" s="26">
        <v>0</v>
      </c>
      <c r="Z319" s="26">
        <v>0</v>
      </c>
      <c r="AA319" s="26">
        <v>0</v>
      </c>
      <c r="AB319" s="26">
        <v>0</v>
      </c>
      <c r="AC319" s="26">
        <v>0</v>
      </c>
      <c r="AD319" s="26">
        <v>0</v>
      </c>
      <c r="AE319" s="26">
        <v>0</v>
      </c>
      <c r="AF319" s="26">
        <v>0</v>
      </c>
      <c r="AG319" s="26">
        <v>0</v>
      </c>
      <c r="AH319" s="26">
        <v>0</v>
      </c>
      <c r="AI319" s="26">
        <v>0</v>
      </c>
      <c r="AJ319" s="26">
        <v>0</v>
      </c>
      <c r="AK319" s="26">
        <v>0</v>
      </c>
      <c r="AL319" s="26">
        <v>0</v>
      </c>
      <c r="AM319" s="26">
        <v>0</v>
      </c>
      <c r="AN319" s="26">
        <v>0</v>
      </c>
      <c r="AO319" s="26">
        <v>0</v>
      </c>
      <c r="AP319" s="26">
        <v>0</v>
      </c>
      <c r="AQ319" s="26">
        <v>0</v>
      </c>
      <c r="AR319" s="26">
        <v>0</v>
      </c>
      <c r="AS319" s="26">
        <v>0</v>
      </c>
      <c r="AT319" s="26">
        <v>0</v>
      </c>
      <c r="AU319" s="26">
        <v>0</v>
      </c>
      <c r="AV319" s="26">
        <v>0</v>
      </c>
      <c r="AW319" s="26">
        <v>0</v>
      </c>
      <c r="AX319" s="26">
        <v>0</v>
      </c>
      <c r="AY319" s="26">
        <v>0</v>
      </c>
      <c r="AZ319" s="26">
        <v>0</v>
      </c>
      <c r="BA319" s="26">
        <v>0</v>
      </c>
      <c r="BB319" s="26">
        <v>0</v>
      </c>
      <c r="BC319" s="26">
        <v>0</v>
      </c>
      <c r="BD319" s="26">
        <v>0</v>
      </c>
      <c r="BE319" s="26">
        <v>0</v>
      </c>
      <c r="BF319" s="26">
        <v>0</v>
      </c>
      <c r="BG319" s="26">
        <v>0</v>
      </c>
      <c r="BH319" s="26">
        <v>0</v>
      </c>
      <c r="BI319" s="26">
        <v>0</v>
      </c>
      <c r="BJ319" s="26">
        <v>0</v>
      </c>
      <c r="BK319" s="26">
        <v>0</v>
      </c>
      <c r="BL319" s="26">
        <v>0</v>
      </c>
      <c r="BM319" s="26">
        <v>0</v>
      </c>
      <c r="BN319" s="26">
        <v>0</v>
      </c>
      <c r="BO319" s="26">
        <v>445.29286200000001</v>
      </c>
      <c r="BP319" s="26">
        <v>8022.0755900000004</v>
      </c>
      <c r="BQ319" s="26">
        <v>133.866288</v>
      </c>
      <c r="BR319" s="26">
        <v>20</v>
      </c>
      <c r="BS319" s="26">
        <v>1</v>
      </c>
      <c r="BT319" s="26">
        <v>0</v>
      </c>
      <c r="BU319" s="26">
        <v>1</v>
      </c>
      <c r="BV319" s="26">
        <v>0</v>
      </c>
      <c r="BW319" s="26">
        <v>-68314.175600000002</v>
      </c>
      <c r="BX319" s="26">
        <v>-3792.01298</v>
      </c>
      <c r="BY319" s="26">
        <v>-30.419815</v>
      </c>
      <c r="BZ319" s="26">
        <v>-39.124202799999999</v>
      </c>
      <c r="CA319" s="26">
        <v>-2.1717232700000002</v>
      </c>
      <c r="CB319" s="26">
        <v>5.5440004600000002E-2</v>
      </c>
      <c r="CC319" s="26">
        <v>0.99876720600000002</v>
      </c>
      <c r="CD319" s="26">
        <v>18.015280000000001</v>
      </c>
      <c r="CE319" s="26">
        <v>133.958934</v>
      </c>
      <c r="CF319" s="26">
        <v>0</v>
      </c>
      <c r="CG319" s="26">
        <v>0</v>
      </c>
      <c r="CH319" s="26">
        <v>0</v>
      </c>
      <c r="CI319" s="26">
        <v>0</v>
      </c>
      <c r="CJ319" s="26">
        <v>0</v>
      </c>
      <c r="CK319" s="26">
        <v>0</v>
      </c>
      <c r="CL319" s="26">
        <v>0</v>
      </c>
      <c r="CM319" s="26">
        <v>0</v>
      </c>
      <c r="CN319" s="26">
        <v>0</v>
      </c>
      <c r="CO319" s="26">
        <v>0</v>
      </c>
      <c r="CP319" s="26">
        <v>0</v>
      </c>
      <c r="CQ319" s="26">
        <v>0</v>
      </c>
      <c r="CR319" s="26">
        <v>0</v>
      </c>
      <c r="CS319" s="26">
        <v>0</v>
      </c>
      <c r="CT319" s="26">
        <v>0</v>
      </c>
      <c r="CU319" s="26">
        <v>0</v>
      </c>
      <c r="CV319" s="26">
        <v>0</v>
      </c>
      <c r="CW319" s="26">
        <v>0</v>
      </c>
      <c r="CX319" s="26">
        <v>0</v>
      </c>
      <c r="CY319" s="26">
        <v>0</v>
      </c>
      <c r="CZ319" s="26">
        <v>0</v>
      </c>
      <c r="DA319" s="26">
        <v>0</v>
      </c>
      <c r="DB319" s="26">
        <v>0</v>
      </c>
      <c r="DC319" s="26">
        <v>0</v>
      </c>
      <c r="DD319" s="26">
        <v>0</v>
      </c>
      <c r="DE319" s="26">
        <v>0</v>
      </c>
      <c r="DF319" s="26">
        <v>0</v>
      </c>
      <c r="DG319" s="26">
        <v>0</v>
      </c>
      <c r="DH319" s="26">
        <v>0</v>
      </c>
      <c r="DI319" s="26">
        <v>0</v>
      </c>
      <c r="DJ319" s="26">
        <v>0</v>
      </c>
      <c r="DK319" s="26">
        <v>0</v>
      </c>
      <c r="DL319" s="26">
        <v>0</v>
      </c>
      <c r="DM319" s="26">
        <v>0</v>
      </c>
      <c r="DN319" s="26">
        <v>0</v>
      </c>
      <c r="DO319" s="26">
        <v>0</v>
      </c>
      <c r="DP319" s="26">
        <v>0</v>
      </c>
      <c r="DQ319" s="26">
        <v>0</v>
      </c>
      <c r="DR319" s="26">
        <v>0</v>
      </c>
      <c r="DS319" s="26">
        <v>0</v>
      </c>
      <c r="DT319" s="26">
        <v>0</v>
      </c>
      <c r="DU319" s="26">
        <v>0</v>
      </c>
      <c r="DV319" s="26">
        <v>0</v>
      </c>
      <c r="DW319" s="26">
        <v>0</v>
      </c>
      <c r="DX319" s="26">
        <v>0</v>
      </c>
      <c r="DY319" s="26">
        <v>0</v>
      </c>
      <c r="DZ319" s="26">
        <v>0</v>
      </c>
      <c r="EA319" s="26">
        <v>0</v>
      </c>
      <c r="EB319" s="26">
        <v>0</v>
      </c>
      <c r="EC319" s="26">
        <v>0</v>
      </c>
      <c r="ED319" s="26">
        <v>0</v>
      </c>
      <c r="EE319" s="26">
        <v>0</v>
      </c>
      <c r="EF319" s="26">
        <v>0</v>
      </c>
      <c r="EG319" s="26">
        <v>0</v>
      </c>
      <c r="EH319" s="26">
        <v>0</v>
      </c>
      <c r="EI319" s="26">
        <v>0</v>
      </c>
      <c r="EJ319" s="26">
        <v>0</v>
      </c>
      <c r="EK319" s="26">
        <v>0</v>
      </c>
      <c r="EL319" s="26">
        <v>0</v>
      </c>
      <c r="EM319" s="26">
        <v>0</v>
      </c>
      <c r="EN319" s="26">
        <v>0</v>
      </c>
      <c r="EO319" s="26">
        <v>0</v>
      </c>
      <c r="EP319" s="26">
        <v>0</v>
      </c>
      <c r="EQ319" s="26">
        <v>0</v>
      </c>
      <c r="ER319" s="26">
        <v>0</v>
      </c>
      <c r="ES319" s="26">
        <v>0</v>
      </c>
      <c r="ET319" s="26">
        <v>1</v>
      </c>
      <c r="EU319" s="26">
        <v>0</v>
      </c>
      <c r="EV319" s="26">
        <v>0</v>
      </c>
      <c r="EW319" s="26">
        <v>0</v>
      </c>
      <c r="EX319" s="26">
        <v>0</v>
      </c>
      <c r="EY319" s="26">
        <v>0</v>
      </c>
      <c r="EZ319" s="26">
        <v>0</v>
      </c>
      <c r="FA319" s="26">
        <v>0</v>
      </c>
      <c r="FB319" s="26">
        <v>0</v>
      </c>
      <c r="FC319" s="26">
        <v>0</v>
      </c>
      <c r="FD319" s="26">
        <v>0</v>
      </c>
      <c r="FE319" s="26">
        <v>0</v>
      </c>
      <c r="FF319" s="26">
        <v>0</v>
      </c>
      <c r="FG319" s="26">
        <v>0</v>
      </c>
      <c r="FH319" s="26">
        <v>-35335779.760799997</v>
      </c>
      <c r="FI319" s="26">
        <v>0</v>
      </c>
      <c r="FJ319" s="26">
        <v>0</v>
      </c>
      <c r="FK319" s="26">
        <v>0</v>
      </c>
      <c r="FL319" s="26">
        <v>0</v>
      </c>
      <c r="FM319" s="26">
        <v>0</v>
      </c>
      <c r="FN319" s="26">
        <v>0</v>
      </c>
      <c r="FO319" s="26">
        <v>0</v>
      </c>
      <c r="FP319" s="26">
        <v>0</v>
      </c>
      <c r="FQ319" s="26">
        <v>0</v>
      </c>
      <c r="FR319" s="26">
        <v>0</v>
      </c>
      <c r="FS319" s="26">
        <v>0</v>
      </c>
      <c r="FT319" s="26">
        <v>0</v>
      </c>
      <c r="FU319" s="26">
        <v>0</v>
      </c>
      <c r="FV319" s="26">
        <v>0</v>
      </c>
      <c r="FW319" s="26">
        <v>0</v>
      </c>
      <c r="FX319" s="26">
        <v>0</v>
      </c>
      <c r="FY319" s="26">
        <v>0</v>
      </c>
      <c r="FZ319" s="26">
        <v>0</v>
      </c>
      <c r="GA319" s="26">
        <v>0</v>
      </c>
      <c r="GB319" s="26">
        <v>0</v>
      </c>
      <c r="GC319" s="26">
        <v>0</v>
      </c>
      <c r="GD319" s="26">
        <v>0</v>
      </c>
      <c r="GE319" s="26">
        <v>0</v>
      </c>
      <c r="GF319" s="26">
        <v>0</v>
      </c>
      <c r="GG319" s="26">
        <v>0</v>
      </c>
      <c r="GH319" s="26">
        <v>0</v>
      </c>
      <c r="GI319" s="26">
        <v>0</v>
      </c>
      <c r="GJ319" s="26">
        <v>0</v>
      </c>
      <c r="GK319" s="26">
        <v>0</v>
      </c>
      <c r="GL319" s="26">
        <v>0</v>
      </c>
      <c r="GM319" s="26">
        <v>0</v>
      </c>
      <c r="GN319" s="26">
        <v>0</v>
      </c>
      <c r="GO319" s="26">
        <v>0</v>
      </c>
      <c r="GP319" s="26">
        <v>0</v>
      </c>
      <c r="GQ319" s="26">
        <v>0</v>
      </c>
      <c r="GR319" s="26">
        <v>0</v>
      </c>
      <c r="GS319" s="26">
        <v>0</v>
      </c>
      <c r="GT319" s="26">
        <v>0</v>
      </c>
      <c r="GU319" s="26">
        <v>0</v>
      </c>
      <c r="GV319" s="26">
        <v>0</v>
      </c>
      <c r="GW319" s="26">
        <v>0</v>
      </c>
      <c r="GX319" s="26">
        <v>0</v>
      </c>
      <c r="GY319" s="26">
        <v>0</v>
      </c>
      <c r="GZ319" s="26">
        <v>0</v>
      </c>
      <c r="HA319" s="26">
        <v>0</v>
      </c>
      <c r="HB319" s="26">
        <v>0</v>
      </c>
      <c r="HC319" s="26">
        <v>0</v>
      </c>
      <c r="HD319" s="26">
        <v>0</v>
      </c>
      <c r="HE319" s="26">
        <v>0</v>
      </c>
      <c r="HF319" s="26">
        <v>0</v>
      </c>
      <c r="HG319" s="26">
        <v>0</v>
      </c>
      <c r="HH319" s="26">
        <v>0</v>
      </c>
      <c r="HI319" s="26">
        <v>0</v>
      </c>
      <c r="HJ319" s="26">
        <v>0</v>
      </c>
      <c r="HK319" s="26">
        <v>0</v>
      </c>
      <c r="HL319" s="26">
        <v>0</v>
      </c>
      <c r="HM319" s="26">
        <v>0</v>
      </c>
      <c r="HN319" s="26">
        <v>0</v>
      </c>
      <c r="HO319" s="26">
        <v>0</v>
      </c>
      <c r="HP319" s="26">
        <v>0</v>
      </c>
      <c r="HQ319" s="26">
        <v>0</v>
      </c>
      <c r="HR319" s="26">
        <v>0</v>
      </c>
      <c r="HS319" s="26">
        <v>0</v>
      </c>
      <c r="HT319" s="26">
        <v>0</v>
      </c>
    </row>
    <row r="320" spans="2:228" x14ac:dyDescent="0.2">
      <c r="B320" s="27" t="s">
        <v>1438</v>
      </c>
      <c r="C320" s="26">
        <v>1165.79061</v>
      </c>
      <c r="D320" s="26">
        <v>-1.0837633099999999</v>
      </c>
      <c r="E320" s="26">
        <v>0</v>
      </c>
      <c r="F320" s="26">
        <v>0</v>
      </c>
      <c r="G320" s="26">
        <v>0</v>
      </c>
      <c r="H320" s="26">
        <v>0</v>
      </c>
      <c r="I320" s="26">
        <v>0</v>
      </c>
      <c r="J320" s="26">
        <v>0</v>
      </c>
      <c r="K320" s="26">
        <v>0</v>
      </c>
      <c r="L320" s="26">
        <v>0</v>
      </c>
      <c r="M320" s="26">
        <v>0</v>
      </c>
      <c r="N320" s="26">
        <v>0</v>
      </c>
      <c r="O320" s="26">
        <v>0</v>
      </c>
      <c r="P320" s="26">
        <v>0</v>
      </c>
      <c r="Q320" s="26">
        <v>0</v>
      </c>
      <c r="R320" s="26">
        <v>0</v>
      </c>
      <c r="S320" s="26">
        <v>0</v>
      </c>
      <c r="T320" s="26">
        <v>0</v>
      </c>
      <c r="U320" s="26">
        <v>0</v>
      </c>
      <c r="V320" s="26">
        <v>0</v>
      </c>
      <c r="W320" s="26">
        <v>0</v>
      </c>
      <c r="X320" s="26">
        <v>0</v>
      </c>
      <c r="Y320" s="26">
        <v>0</v>
      </c>
      <c r="Z320" s="26">
        <v>0</v>
      </c>
      <c r="AA320" s="26">
        <v>0</v>
      </c>
      <c r="AB320" s="26">
        <v>1165.79061</v>
      </c>
      <c r="AC320" s="26">
        <v>0</v>
      </c>
      <c r="AD320" s="26">
        <v>0</v>
      </c>
      <c r="AE320" s="26">
        <v>0</v>
      </c>
      <c r="AF320" s="26">
        <v>0</v>
      </c>
      <c r="AG320" s="26">
        <v>0</v>
      </c>
      <c r="AH320" s="26">
        <v>0</v>
      </c>
      <c r="AI320" s="26">
        <v>0</v>
      </c>
      <c r="AJ320" s="26">
        <v>0</v>
      </c>
      <c r="AK320" s="26">
        <v>0</v>
      </c>
      <c r="AL320" s="26">
        <v>0</v>
      </c>
      <c r="AM320" s="26">
        <v>0</v>
      </c>
      <c r="AN320" s="26">
        <v>0</v>
      </c>
      <c r="AO320" s="26">
        <v>0</v>
      </c>
      <c r="AP320" s="26">
        <v>0</v>
      </c>
      <c r="AQ320" s="26">
        <v>0</v>
      </c>
      <c r="AR320" s="26">
        <v>0</v>
      </c>
      <c r="AS320" s="26">
        <v>0</v>
      </c>
      <c r="AT320" s="26">
        <v>0</v>
      </c>
      <c r="AU320" s="26">
        <v>0</v>
      </c>
      <c r="AV320" s="26">
        <v>0</v>
      </c>
      <c r="AW320" s="26">
        <v>0</v>
      </c>
      <c r="AX320" s="26">
        <v>0</v>
      </c>
      <c r="AY320" s="26">
        <v>0</v>
      </c>
      <c r="AZ320" s="26">
        <v>0</v>
      </c>
      <c r="BA320" s="26">
        <v>0</v>
      </c>
      <c r="BB320" s="26">
        <v>0</v>
      </c>
      <c r="BC320" s="26">
        <v>0</v>
      </c>
      <c r="BD320" s="26">
        <v>0</v>
      </c>
      <c r="BE320" s="26">
        <v>0</v>
      </c>
      <c r="BF320" s="26">
        <v>0</v>
      </c>
      <c r="BG320" s="26">
        <v>0</v>
      </c>
      <c r="BH320" s="26">
        <v>0</v>
      </c>
      <c r="BI320" s="26">
        <v>0</v>
      </c>
      <c r="BJ320" s="26">
        <v>0</v>
      </c>
      <c r="BK320" s="26">
        <v>0</v>
      </c>
      <c r="BL320" s="26">
        <v>0</v>
      </c>
      <c r="BM320" s="26">
        <v>0</v>
      </c>
      <c r="BN320" s="26">
        <v>0</v>
      </c>
      <c r="BO320" s="26">
        <v>68.452864399999996</v>
      </c>
      <c r="BP320" s="26">
        <v>1165.79061</v>
      </c>
      <c r="BQ320" s="26">
        <v>31.893492899999995</v>
      </c>
      <c r="BR320" s="26">
        <v>20</v>
      </c>
      <c r="BS320" s="26">
        <v>17</v>
      </c>
      <c r="BT320" s="26">
        <v>0</v>
      </c>
      <c r="BU320" s="26">
        <v>1</v>
      </c>
      <c r="BV320" s="26">
        <v>0</v>
      </c>
      <c r="BW320" s="26">
        <v>-15832.2564</v>
      </c>
      <c r="BX320" s="26">
        <v>-929.63803600000006</v>
      </c>
      <c r="BY320" s="26">
        <v>-1.0837633099999999</v>
      </c>
      <c r="BZ320" s="26">
        <v>-44.475377799999997</v>
      </c>
      <c r="CA320" s="26">
        <v>-2.6115041300000001</v>
      </c>
      <c r="CB320" s="26">
        <v>3.5771593400000003E-2</v>
      </c>
      <c r="CC320" s="26">
        <v>0.60921026700000003</v>
      </c>
      <c r="CD320" s="26">
        <v>17.030560000000001</v>
      </c>
      <c r="CE320" s="26">
        <v>61.103079599999994</v>
      </c>
      <c r="CF320" s="26">
        <v>0</v>
      </c>
      <c r="CG320" s="26">
        <v>0</v>
      </c>
      <c r="CH320" s="26">
        <v>0</v>
      </c>
      <c r="CI320" s="26">
        <v>0</v>
      </c>
      <c r="CJ320" s="26">
        <v>0</v>
      </c>
      <c r="CK320" s="26">
        <v>0</v>
      </c>
      <c r="CL320" s="26">
        <v>0</v>
      </c>
      <c r="CM320" s="26">
        <v>0</v>
      </c>
      <c r="CN320" s="26">
        <v>0</v>
      </c>
      <c r="CO320" s="26">
        <v>0</v>
      </c>
      <c r="CP320" s="26">
        <v>0</v>
      </c>
      <c r="CQ320" s="26">
        <v>0</v>
      </c>
      <c r="CR320" s="26">
        <v>0</v>
      </c>
      <c r="CS320" s="26">
        <v>0</v>
      </c>
      <c r="CT320" s="26">
        <v>0</v>
      </c>
      <c r="CU320" s="26">
        <v>0</v>
      </c>
      <c r="CV320" s="26">
        <v>0</v>
      </c>
      <c r="CW320" s="26">
        <v>0</v>
      </c>
      <c r="CX320" s="26">
        <v>0</v>
      </c>
      <c r="CY320" s="26">
        <v>0</v>
      </c>
      <c r="CZ320" s="26">
        <v>0</v>
      </c>
      <c r="DA320" s="26">
        <v>0</v>
      </c>
      <c r="DB320" s="26">
        <v>0</v>
      </c>
      <c r="DC320" s="26">
        <v>0</v>
      </c>
      <c r="DD320" s="26">
        <v>0</v>
      </c>
      <c r="DE320" s="26">
        <v>0</v>
      </c>
      <c r="DF320" s="26">
        <v>0</v>
      </c>
      <c r="DG320" s="26">
        <v>0</v>
      </c>
      <c r="DH320" s="26">
        <v>0</v>
      </c>
      <c r="DI320" s="26">
        <v>0</v>
      </c>
      <c r="DJ320" s="26">
        <v>0</v>
      </c>
      <c r="DK320" s="26">
        <v>0</v>
      </c>
      <c r="DL320" s="26">
        <v>0</v>
      </c>
      <c r="DM320" s="26">
        <v>0</v>
      </c>
      <c r="DN320" s="26">
        <v>0</v>
      </c>
      <c r="DO320" s="26">
        <v>0</v>
      </c>
      <c r="DP320" s="26">
        <v>0</v>
      </c>
      <c r="DQ320" s="26">
        <v>0</v>
      </c>
      <c r="DR320" s="26">
        <v>0</v>
      </c>
      <c r="DS320" s="26">
        <v>0</v>
      </c>
      <c r="DT320" s="26">
        <v>0</v>
      </c>
      <c r="DU320" s="26">
        <v>0</v>
      </c>
      <c r="DV320" s="26">
        <v>0</v>
      </c>
      <c r="DW320" s="26">
        <v>0</v>
      </c>
      <c r="DX320" s="26">
        <v>0</v>
      </c>
      <c r="DY320" s="26">
        <v>0</v>
      </c>
      <c r="DZ320" s="26">
        <v>0</v>
      </c>
      <c r="EA320" s="26">
        <v>0</v>
      </c>
      <c r="EB320" s="26">
        <v>0</v>
      </c>
      <c r="EC320" s="26">
        <v>0</v>
      </c>
      <c r="ED320" s="26">
        <v>0</v>
      </c>
      <c r="EE320" s="26">
        <v>0</v>
      </c>
      <c r="EF320" s="26">
        <v>0</v>
      </c>
      <c r="EG320" s="26">
        <v>0</v>
      </c>
      <c r="EH320" s="26">
        <v>0</v>
      </c>
      <c r="EI320" s="26">
        <v>0</v>
      </c>
      <c r="EJ320" s="26">
        <v>0</v>
      </c>
      <c r="EK320" s="26">
        <v>0</v>
      </c>
      <c r="EL320" s="26">
        <v>0</v>
      </c>
      <c r="EM320" s="26">
        <v>0</v>
      </c>
      <c r="EN320" s="26">
        <v>0</v>
      </c>
      <c r="EO320" s="26">
        <v>0</v>
      </c>
      <c r="EP320" s="26">
        <v>0</v>
      </c>
      <c r="EQ320" s="26">
        <v>0</v>
      </c>
      <c r="ER320" s="26">
        <v>0</v>
      </c>
      <c r="ES320" s="26">
        <v>0</v>
      </c>
      <c r="ET320" s="26">
        <v>17</v>
      </c>
      <c r="EU320" s="26">
        <v>0</v>
      </c>
      <c r="EV320" s="26">
        <v>0</v>
      </c>
      <c r="EW320" s="26">
        <v>0</v>
      </c>
      <c r="EX320" s="26">
        <v>0</v>
      </c>
      <c r="EY320" s="26">
        <v>0</v>
      </c>
      <c r="EZ320" s="26">
        <v>0</v>
      </c>
      <c r="FA320" s="26">
        <v>0</v>
      </c>
      <c r="FB320" s="26">
        <v>0</v>
      </c>
      <c r="FC320" s="26">
        <v>0</v>
      </c>
      <c r="FD320" s="26">
        <v>0</v>
      </c>
      <c r="FE320" s="26">
        <v>0</v>
      </c>
      <c r="FF320" s="26">
        <v>0</v>
      </c>
      <c r="FG320" s="26">
        <v>0</v>
      </c>
      <c r="FH320" s="26">
        <v>-1250369.2701500002</v>
      </c>
      <c r="FI320" s="26">
        <v>0</v>
      </c>
      <c r="FJ320" s="26">
        <v>0</v>
      </c>
      <c r="FK320" s="26">
        <v>0</v>
      </c>
      <c r="FL320" s="26">
        <v>0</v>
      </c>
      <c r="FM320" s="26">
        <v>0</v>
      </c>
      <c r="FN320" s="26">
        <v>0</v>
      </c>
      <c r="FO320" s="26">
        <v>0</v>
      </c>
      <c r="FP320" s="26">
        <v>0</v>
      </c>
      <c r="FQ320" s="26">
        <v>0</v>
      </c>
      <c r="FR320" s="26">
        <v>0</v>
      </c>
      <c r="FS320" s="26">
        <v>0</v>
      </c>
      <c r="FT320" s="26">
        <v>0</v>
      </c>
      <c r="FU320" s="26">
        <v>0</v>
      </c>
      <c r="FV320" s="26">
        <v>0</v>
      </c>
      <c r="FW320" s="26">
        <v>0</v>
      </c>
      <c r="FX320" s="26">
        <v>0</v>
      </c>
      <c r="FY320" s="26">
        <v>0</v>
      </c>
      <c r="FZ320" s="26">
        <v>0</v>
      </c>
      <c r="GA320" s="26">
        <v>0</v>
      </c>
      <c r="GB320" s="26">
        <v>0</v>
      </c>
      <c r="GC320" s="26">
        <v>0</v>
      </c>
      <c r="GD320" s="26">
        <v>0</v>
      </c>
      <c r="GE320" s="26">
        <v>0</v>
      </c>
      <c r="GF320" s="26">
        <v>0</v>
      </c>
      <c r="GG320" s="26">
        <v>0</v>
      </c>
      <c r="GH320" s="26">
        <v>0</v>
      </c>
      <c r="GI320" s="26">
        <v>0</v>
      </c>
      <c r="GJ320" s="26">
        <v>0</v>
      </c>
      <c r="GK320" s="26">
        <v>0</v>
      </c>
      <c r="GL320" s="26">
        <v>0</v>
      </c>
      <c r="GM320" s="26">
        <v>0</v>
      </c>
      <c r="GN320" s="26">
        <v>0</v>
      </c>
      <c r="GO320" s="26">
        <v>0</v>
      </c>
      <c r="GP320" s="26">
        <v>0</v>
      </c>
      <c r="GQ320" s="26">
        <v>0</v>
      </c>
      <c r="GR320" s="26">
        <v>0</v>
      </c>
      <c r="GS320" s="26">
        <v>0</v>
      </c>
      <c r="GT320" s="26">
        <v>0</v>
      </c>
      <c r="GU320" s="26">
        <v>0</v>
      </c>
      <c r="GV320" s="26">
        <v>0</v>
      </c>
      <c r="GW320" s="26">
        <v>0</v>
      </c>
      <c r="GX320" s="26">
        <v>0</v>
      </c>
      <c r="GY320" s="26">
        <v>0</v>
      </c>
      <c r="GZ320" s="26">
        <v>0</v>
      </c>
      <c r="HA320" s="26">
        <v>0</v>
      </c>
      <c r="HB320" s="26">
        <v>0</v>
      </c>
      <c r="HC320" s="26">
        <v>0</v>
      </c>
      <c r="HD320" s="26">
        <v>0</v>
      </c>
      <c r="HE320" s="26">
        <v>0</v>
      </c>
      <c r="HF320" s="26">
        <v>0</v>
      </c>
      <c r="HG320" s="26">
        <v>0</v>
      </c>
      <c r="HH320" s="26">
        <v>0</v>
      </c>
      <c r="HI320" s="26">
        <v>0</v>
      </c>
      <c r="HJ320" s="26">
        <v>0</v>
      </c>
      <c r="HK320" s="26">
        <v>0</v>
      </c>
      <c r="HL320" s="26">
        <v>0</v>
      </c>
      <c r="HM320" s="26">
        <v>0</v>
      </c>
      <c r="HN320" s="26">
        <v>0</v>
      </c>
      <c r="HO320" s="26">
        <v>0</v>
      </c>
      <c r="HP320" s="26">
        <v>0</v>
      </c>
      <c r="HQ320" s="26">
        <v>0</v>
      </c>
      <c r="HR320" s="26">
        <v>0</v>
      </c>
      <c r="HS320" s="26">
        <v>0</v>
      </c>
      <c r="HT320" s="26">
        <v>0</v>
      </c>
    </row>
    <row r="321" spans="2:228" x14ac:dyDescent="0.2">
      <c r="B321" s="27" t="s">
        <v>1436</v>
      </c>
      <c r="C321" s="26">
        <v>1323.8092200000001</v>
      </c>
      <c r="D321" s="26">
        <v>-3.3725479100000002</v>
      </c>
      <c r="E321" s="26">
        <v>665.21413099999995</v>
      </c>
      <c r="F321" s="26">
        <v>0</v>
      </c>
      <c r="G321" s="26">
        <v>0</v>
      </c>
      <c r="H321" s="26">
        <v>0</v>
      </c>
      <c r="I321" s="26">
        <v>0</v>
      </c>
      <c r="J321" s="26">
        <v>0</v>
      </c>
      <c r="K321" s="26">
        <v>0</v>
      </c>
      <c r="L321" s="26">
        <v>0</v>
      </c>
      <c r="M321" s="26">
        <v>0</v>
      </c>
      <c r="N321" s="26">
        <v>0</v>
      </c>
      <c r="O321" s="26">
        <v>0</v>
      </c>
      <c r="P321" s="26">
        <v>0</v>
      </c>
      <c r="Q321" s="26">
        <v>0</v>
      </c>
      <c r="R321" s="26">
        <v>0</v>
      </c>
      <c r="S321" s="26">
        <v>0</v>
      </c>
      <c r="T321" s="26">
        <v>0</v>
      </c>
      <c r="U321" s="26">
        <v>0</v>
      </c>
      <c r="V321" s="26">
        <v>0</v>
      </c>
      <c r="W321" s="26">
        <v>0</v>
      </c>
      <c r="X321" s="26">
        <v>327.64278100000001</v>
      </c>
      <c r="Y321" s="26">
        <v>0</v>
      </c>
      <c r="Z321" s="26">
        <v>0</v>
      </c>
      <c r="AA321" s="26">
        <v>0</v>
      </c>
      <c r="AB321" s="26">
        <v>0</v>
      </c>
      <c r="AC321" s="26">
        <v>0</v>
      </c>
      <c r="AD321" s="26">
        <v>0</v>
      </c>
      <c r="AE321" s="26">
        <v>0</v>
      </c>
      <c r="AF321" s="26">
        <v>0</v>
      </c>
      <c r="AG321" s="26">
        <v>0</v>
      </c>
      <c r="AH321" s="26">
        <v>0</v>
      </c>
      <c r="AI321" s="26">
        <v>0</v>
      </c>
      <c r="AJ321" s="26">
        <v>0</v>
      </c>
      <c r="AK321" s="26">
        <v>0</v>
      </c>
      <c r="AL321" s="26">
        <v>0</v>
      </c>
      <c r="AM321" s="26">
        <v>0</v>
      </c>
      <c r="AN321" s="26">
        <v>0</v>
      </c>
      <c r="AO321" s="26">
        <v>0</v>
      </c>
      <c r="AP321" s="26">
        <v>0</v>
      </c>
      <c r="AQ321" s="26">
        <v>0</v>
      </c>
      <c r="AR321" s="26">
        <v>0</v>
      </c>
      <c r="AS321" s="26">
        <v>0</v>
      </c>
      <c r="AT321" s="26">
        <v>0</v>
      </c>
      <c r="AU321" s="26">
        <v>0</v>
      </c>
      <c r="AV321" s="26">
        <v>0</v>
      </c>
      <c r="AW321" s="26">
        <v>0</v>
      </c>
      <c r="AX321" s="26">
        <v>0</v>
      </c>
      <c r="AY321" s="26">
        <v>0</v>
      </c>
      <c r="AZ321" s="26">
        <v>0</v>
      </c>
      <c r="BA321" s="26">
        <v>0</v>
      </c>
      <c r="BB321" s="26">
        <v>0</v>
      </c>
      <c r="BC321" s="26">
        <v>0</v>
      </c>
      <c r="BD321" s="26">
        <v>0</v>
      </c>
      <c r="BE321" s="26">
        <v>0</v>
      </c>
      <c r="BF321" s="26">
        <v>0</v>
      </c>
      <c r="BG321" s="26">
        <v>0</v>
      </c>
      <c r="BH321" s="26">
        <v>0</v>
      </c>
      <c r="BI321" s="26">
        <v>0</v>
      </c>
      <c r="BJ321" s="26">
        <v>0</v>
      </c>
      <c r="BK321" s="26">
        <v>0</v>
      </c>
      <c r="BL321" s="26">
        <v>0</v>
      </c>
      <c r="BM321" s="26">
        <v>0</v>
      </c>
      <c r="BN321" s="26">
        <v>0</v>
      </c>
      <c r="BO321" s="26">
        <v>40.562284400000003</v>
      </c>
      <c r="BP321" s="26">
        <v>992.85691100000008</v>
      </c>
      <c r="BQ321" s="26">
        <v>15.523377200000001</v>
      </c>
      <c r="BR321" s="26">
        <v>20</v>
      </c>
      <c r="BS321" s="26">
        <v>1</v>
      </c>
      <c r="BT321" s="26">
        <v>0</v>
      </c>
      <c r="BU321" s="26">
        <v>1</v>
      </c>
      <c r="BV321" s="26">
        <v>0</v>
      </c>
      <c r="BW321" s="26">
        <v>-76835.986900000004</v>
      </c>
      <c r="BX321" s="26">
        <v>-3139.0657799999999</v>
      </c>
      <c r="BY321" s="26">
        <v>-3.1166431800000001</v>
      </c>
      <c r="BZ321" s="26">
        <v>-46.320903999999999</v>
      </c>
      <c r="CA321" s="26">
        <v>-1.8923992599999999</v>
      </c>
      <c r="CB321" s="26">
        <v>4.3549677100000003E-2</v>
      </c>
      <c r="CC321" s="26">
        <v>1.0659803400000001</v>
      </c>
      <c r="CD321" s="26">
        <v>24.477342100000001</v>
      </c>
      <c r="CE321" s="26">
        <v>15.580928500000001</v>
      </c>
      <c r="CF321" s="26">
        <v>0</v>
      </c>
      <c r="CG321" s="26">
        <v>0</v>
      </c>
      <c r="CH321" s="26">
        <v>0</v>
      </c>
      <c r="CI321" s="26">
        <v>0</v>
      </c>
      <c r="CJ321" s="26">
        <v>0</v>
      </c>
      <c r="CK321" s="26">
        <v>0</v>
      </c>
      <c r="CL321" s="26">
        <v>0</v>
      </c>
      <c r="CM321" s="26">
        <v>0</v>
      </c>
      <c r="CN321" s="26">
        <v>0</v>
      </c>
      <c r="CO321" s="26">
        <v>0</v>
      </c>
      <c r="CP321" s="26">
        <v>0</v>
      </c>
      <c r="CQ321" s="26">
        <v>0</v>
      </c>
      <c r="CR321" s="26">
        <v>0</v>
      </c>
      <c r="CS321" s="26">
        <v>0</v>
      </c>
      <c r="CT321" s="26">
        <v>0</v>
      </c>
      <c r="CU321" s="26">
        <v>0</v>
      </c>
      <c r="CV321" s="26">
        <v>0</v>
      </c>
      <c r="CW321" s="26">
        <v>0</v>
      </c>
      <c r="CX321" s="26">
        <v>0</v>
      </c>
      <c r="CY321" s="26">
        <v>0</v>
      </c>
      <c r="CZ321" s="26">
        <v>0</v>
      </c>
      <c r="DA321" s="26">
        <v>0</v>
      </c>
      <c r="DB321" s="26">
        <v>0</v>
      </c>
      <c r="DC321" s="26">
        <v>0</v>
      </c>
      <c r="DD321" s="26">
        <v>0</v>
      </c>
      <c r="DE321" s="26">
        <v>0</v>
      </c>
      <c r="DF321" s="26">
        <v>0</v>
      </c>
      <c r="DG321" s="26">
        <v>0</v>
      </c>
      <c r="DH321" s="26">
        <v>0</v>
      </c>
      <c r="DI321" s="26">
        <v>0</v>
      </c>
      <c r="DJ321" s="26">
        <v>0</v>
      </c>
      <c r="DK321" s="26">
        <v>0</v>
      </c>
      <c r="DL321" s="26">
        <v>0</v>
      </c>
      <c r="DM321" s="26">
        <v>0</v>
      </c>
      <c r="DN321" s="26">
        <v>0</v>
      </c>
      <c r="DO321" s="26">
        <v>0</v>
      </c>
      <c r="DP321" s="26">
        <v>0</v>
      </c>
      <c r="DQ321" s="26">
        <v>0</v>
      </c>
      <c r="DR321" s="26">
        <v>0</v>
      </c>
      <c r="DS321" s="26">
        <v>0</v>
      </c>
      <c r="DT321" s="26">
        <v>0</v>
      </c>
      <c r="DU321" s="26">
        <v>0</v>
      </c>
      <c r="DV321" s="26">
        <v>0</v>
      </c>
      <c r="DW321" s="26">
        <v>0</v>
      </c>
      <c r="DX321" s="26">
        <v>0</v>
      </c>
      <c r="DY321" s="26">
        <v>0</v>
      </c>
      <c r="DZ321" s="26">
        <v>0</v>
      </c>
      <c r="EA321" s="26">
        <v>0</v>
      </c>
      <c r="EB321" s="26">
        <v>0</v>
      </c>
      <c r="EC321" s="26">
        <v>0</v>
      </c>
      <c r="ED321" s="26">
        <v>0</v>
      </c>
      <c r="EE321" s="26">
        <v>330.95230400000003</v>
      </c>
      <c r="EF321" s="26">
        <v>0</v>
      </c>
      <c r="EG321" s="26">
        <v>0</v>
      </c>
      <c r="EH321" s="26">
        <v>0</v>
      </c>
      <c r="EI321" s="26">
        <v>0</v>
      </c>
      <c r="EJ321" s="26">
        <v>0</v>
      </c>
      <c r="EK321" s="26">
        <v>0</v>
      </c>
      <c r="EL321" s="26">
        <v>0</v>
      </c>
      <c r="EM321" s="26">
        <v>0</v>
      </c>
      <c r="EN321" s="26">
        <v>0</v>
      </c>
      <c r="EO321" s="26">
        <v>0</v>
      </c>
      <c r="EP321" s="26">
        <v>14.490284600000001</v>
      </c>
      <c r="EQ321" s="26">
        <v>330.95230400000003</v>
      </c>
      <c r="ER321" s="26">
        <v>3.6708720499999994</v>
      </c>
      <c r="ES321" s="26">
        <v>20</v>
      </c>
      <c r="ET321" s="26">
        <v>1</v>
      </c>
      <c r="EU321" s="26">
        <v>0</v>
      </c>
      <c r="EV321" s="26">
        <v>0</v>
      </c>
      <c r="EW321" s="26">
        <v>1</v>
      </c>
      <c r="EX321" s="26">
        <v>-17660.434600000001</v>
      </c>
      <c r="EY321" s="26">
        <v>-773.23747200000003</v>
      </c>
      <c r="EZ321" s="26">
        <v>-0.255904725</v>
      </c>
      <c r="FA321" s="26">
        <v>-59.234594700000002</v>
      </c>
      <c r="FB321" s="26">
        <v>-2.5935040300000001</v>
      </c>
      <c r="FC321" s="26">
        <v>6.5789473700000003E-2</v>
      </c>
      <c r="FD321" s="26">
        <v>1.5026052599999999</v>
      </c>
      <c r="FE321" s="26">
        <v>22.839600000000001</v>
      </c>
      <c r="FF321" s="26">
        <v>0</v>
      </c>
      <c r="FG321" s="26">
        <v>0.62472096899999996</v>
      </c>
      <c r="FH321" s="26">
        <v>-3917082.7154399999</v>
      </c>
      <c r="FI321" s="26">
        <v>3.0310742464708163E-3</v>
      </c>
      <c r="FJ321" s="26">
        <v>0</v>
      </c>
      <c r="FK321" s="26">
        <v>0</v>
      </c>
      <c r="FL321" s="26">
        <v>0</v>
      </c>
      <c r="FM321" s="26">
        <v>0</v>
      </c>
      <c r="FN321" s="26">
        <v>0</v>
      </c>
      <c r="FO321" s="26">
        <v>0</v>
      </c>
      <c r="FP321" s="26">
        <v>0</v>
      </c>
      <c r="FQ321" s="26">
        <v>0</v>
      </c>
      <c r="FR321" s="26">
        <v>0</v>
      </c>
      <c r="FS321" s="26">
        <v>0</v>
      </c>
      <c r="FT321" s="26">
        <v>0</v>
      </c>
      <c r="FU321" s="26">
        <v>0</v>
      </c>
      <c r="FV321" s="26">
        <v>0</v>
      </c>
      <c r="FW321" s="26">
        <v>0</v>
      </c>
      <c r="FX321" s="26">
        <v>0</v>
      </c>
      <c r="FY321" s="26">
        <v>0</v>
      </c>
      <c r="FZ321" s="26">
        <v>0</v>
      </c>
      <c r="GA321" s="26">
        <v>0</v>
      </c>
      <c r="GB321" s="26">
        <v>0</v>
      </c>
      <c r="GC321" s="26">
        <v>0</v>
      </c>
      <c r="GD321" s="26">
        <v>0</v>
      </c>
      <c r="GE321" s="26">
        <v>0</v>
      </c>
      <c r="GF321" s="26">
        <v>0</v>
      </c>
      <c r="GG321" s="26">
        <v>0</v>
      </c>
      <c r="GH321" s="26">
        <v>0</v>
      </c>
      <c r="GI321" s="26">
        <v>0</v>
      </c>
      <c r="GJ321" s="26">
        <v>0</v>
      </c>
      <c r="GK321" s="26">
        <v>0</v>
      </c>
      <c r="GL321" s="26">
        <v>0</v>
      </c>
      <c r="GM321" s="26">
        <v>0</v>
      </c>
      <c r="GN321" s="26">
        <v>0</v>
      </c>
      <c r="GO321" s="26">
        <v>0</v>
      </c>
      <c r="GP321" s="26">
        <v>0</v>
      </c>
      <c r="GQ321" s="26">
        <v>0</v>
      </c>
      <c r="GR321" s="26">
        <v>0</v>
      </c>
      <c r="GS321" s="26">
        <v>0</v>
      </c>
      <c r="GT321" s="26">
        <v>0</v>
      </c>
      <c r="GU321" s="26">
        <v>0</v>
      </c>
      <c r="GV321" s="26">
        <v>0</v>
      </c>
      <c r="GW321" s="26">
        <v>0</v>
      </c>
      <c r="GX321" s="26">
        <v>0</v>
      </c>
      <c r="GY321" s="26">
        <v>0</v>
      </c>
      <c r="GZ321" s="26">
        <v>0</v>
      </c>
      <c r="HA321" s="26">
        <v>0</v>
      </c>
      <c r="HB321" s="26">
        <v>0</v>
      </c>
      <c r="HC321" s="26">
        <v>0</v>
      </c>
      <c r="HD321" s="26">
        <v>0</v>
      </c>
      <c r="HE321" s="26">
        <v>0</v>
      </c>
      <c r="HF321" s="26">
        <v>0</v>
      </c>
      <c r="HG321" s="26">
        <v>0</v>
      </c>
      <c r="HH321" s="26">
        <v>0</v>
      </c>
      <c r="HI321" s="26">
        <v>0</v>
      </c>
      <c r="HJ321" s="26">
        <v>0</v>
      </c>
      <c r="HK321" s="26">
        <v>0</v>
      </c>
      <c r="HL321" s="26">
        <v>0</v>
      </c>
      <c r="HM321" s="26">
        <v>0</v>
      </c>
      <c r="HN321" s="26">
        <v>0</v>
      </c>
      <c r="HO321" s="26">
        <v>0</v>
      </c>
      <c r="HP321" s="26">
        <v>0</v>
      </c>
      <c r="HQ321" s="26">
        <v>0</v>
      </c>
      <c r="HR321" s="26">
        <v>0</v>
      </c>
      <c r="HS321" s="26">
        <v>0</v>
      </c>
      <c r="HT321" s="26">
        <v>4.0250790877561886E-3</v>
      </c>
    </row>
    <row r="322" spans="2:228" x14ac:dyDescent="0.2">
      <c r="B322" s="27" t="s">
        <v>2429</v>
      </c>
      <c r="C322" s="26">
        <v>2.0000000000000002E-5</v>
      </c>
      <c r="D322" s="26">
        <v>-4.53913175E-8</v>
      </c>
      <c r="E322" s="26">
        <v>1.0000000000000001E-5</v>
      </c>
      <c r="F322" s="26">
        <v>0</v>
      </c>
      <c r="G322" s="26">
        <v>0</v>
      </c>
      <c r="H322" s="26">
        <v>0</v>
      </c>
      <c r="I322" s="26">
        <v>0</v>
      </c>
      <c r="J322" s="26">
        <v>0</v>
      </c>
      <c r="K322" s="26">
        <v>0</v>
      </c>
      <c r="L322" s="26">
        <v>0</v>
      </c>
      <c r="M322" s="26">
        <v>0</v>
      </c>
      <c r="N322" s="26">
        <v>0</v>
      </c>
      <c r="O322" s="26">
        <v>0</v>
      </c>
      <c r="P322" s="26">
        <v>0</v>
      </c>
      <c r="Q322" s="26">
        <v>0</v>
      </c>
      <c r="R322" s="26">
        <v>0</v>
      </c>
      <c r="S322" s="26">
        <v>0</v>
      </c>
      <c r="T322" s="26">
        <v>0</v>
      </c>
      <c r="U322" s="26">
        <v>0</v>
      </c>
      <c r="V322" s="26">
        <v>0</v>
      </c>
      <c r="W322" s="26">
        <v>0</v>
      </c>
      <c r="X322" s="26">
        <v>0</v>
      </c>
      <c r="Y322" s="26">
        <v>0</v>
      </c>
      <c r="Z322" s="26">
        <v>0</v>
      </c>
      <c r="AA322" s="26">
        <v>0</v>
      </c>
      <c r="AB322" s="26">
        <v>0</v>
      </c>
      <c r="AC322" s="26">
        <v>0</v>
      </c>
      <c r="AD322" s="26">
        <v>0</v>
      </c>
      <c r="AE322" s="26">
        <v>0</v>
      </c>
      <c r="AF322" s="26">
        <v>0</v>
      </c>
      <c r="AG322" s="26">
        <v>0</v>
      </c>
      <c r="AH322" s="26">
        <v>0</v>
      </c>
      <c r="AI322" s="26">
        <v>0</v>
      </c>
      <c r="AJ322" s="26">
        <v>0</v>
      </c>
      <c r="AK322" s="26">
        <v>0</v>
      </c>
      <c r="AL322" s="26">
        <v>0</v>
      </c>
      <c r="AM322" s="26">
        <v>0</v>
      </c>
      <c r="AN322" s="26">
        <v>0</v>
      </c>
      <c r="AO322" s="26">
        <v>0</v>
      </c>
      <c r="AP322" s="26">
        <v>0</v>
      </c>
      <c r="AQ322" s="26">
        <v>0</v>
      </c>
      <c r="AR322" s="26">
        <v>0</v>
      </c>
      <c r="AS322" s="26">
        <v>0</v>
      </c>
      <c r="AT322" s="26">
        <v>0</v>
      </c>
      <c r="AU322" s="26">
        <v>0</v>
      </c>
      <c r="AV322" s="26">
        <v>0</v>
      </c>
      <c r="AW322" s="26">
        <v>0</v>
      </c>
      <c r="AX322" s="26">
        <v>0</v>
      </c>
      <c r="AY322" s="26">
        <v>0</v>
      </c>
      <c r="AZ322" s="26">
        <v>0</v>
      </c>
      <c r="BA322" s="26">
        <v>0</v>
      </c>
      <c r="BB322" s="26">
        <v>0</v>
      </c>
      <c r="BC322" s="26">
        <v>0</v>
      </c>
      <c r="BD322" s="26">
        <v>0</v>
      </c>
      <c r="BE322" s="26">
        <v>0</v>
      </c>
      <c r="BF322" s="26">
        <v>0</v>
      </c>
      <c r="BG322" s="26">
        <v>0</v>
      </c>
      <c r="BH322" s="26">
        <v>0</v>
      </c>
      <c r="BI322" s="26">
        <v>0</v>
      </c>
      <c r="BJ322" s="26">
        <v>0</v>
      </c>
      <c r="BK322" s="26">
        <v>0</v>
      </c>
      <c r="BL322" s="26">
        <v>0</v>
      </c>
      <c r="BM322" s="26">
        <v>0</v>
      </c>
      <c r="BN322" s="26">
        <v>0</v>
      </c>
      <c r="BO322" s="26">
        <v>5.5508435099999997E-7</v>
      </c>
      <c r="BP322" s="26">
        <v>1.0000000000000001E-5</v>
      </c>
      <c r="BQ322" s="26">
        <v>1.66872384E-7</v>
      </c>
      <c r="BR322" s="26">
        <v>20</v>
      </c>
      <c r="BS322" s="26">
        <v>1</v>
      </c>
      <c r="BT322" s="26">
        <v>0</v>
      </c>
      <c r="BU322" s="26">
        <v>1</v>
      </c>
      <c r="BV322" s="26">
        <v>0</v>
      </c>
      <c r="BW322" s="26">
        <v>-68314.175600000002</v>
      </c>
      <c r="BX322" s="26">
        <v>-3792.01298</v>
      </c>
      <c r="BY322" s="26">
        <v>-3.7920130100000002E-8</v>
      </c>
      <c r="BZ322" s="26">
        <v>-39.124202799999999</v>
      </c>
      <c r="CA322" s="26">
        <v>-2.1717232700000002</v>
      </c>
      <c r="CB322" s="26">
        <v>5.5440004600000002E-2</v>
      </c>
      <c r="CC322" s="26">
        <v>0.99876720600000002</v>
      </c>
      <c r="CD322" s="26">
        <v>18.015280000000001</v>
      </c>
      <c r="CE322" s="26">
        <v>1.66987873E-7</v>
      </c>
      <c r="CF322" s="26">
        <v>0</v>
      </c>
      <c r="CG322" s="26">
        <v>0</v>
      </c>
      <c r="CH322" s="26">
        <v>0</v>
      </c>
      <c r="CI322" s="26">
        <v>0</v>
      </c>
      <c r="CJ322" s="26">
        <v>0</v>
      </c>
      <c r="CK322" s="26">
        <v>0</v>
      </c>
      <c r="CL322" s="26">
        <v>0</v>
      </c>
      <c r="CM322" s="26">
        <v>0</v>
      </c>
      <c r="CN322" s="26">
        <v>0</v>
      </c>
      <c r="CO322" s="26">
        <v>0</v>
      </c>
      <c r="CP322" s="26">
        <v>0</v>
      </c>
      <c r="CQ322" s="26">
        <v>0</v>
      </c>
      <c r="CR322" s="26">
        <v>0</v>
      </c>
      <c r="CS322" s="26">
        <v>0</v>
      </c>
      <c r="CT322" s="26">
        <v>0</v>
      </c>
      <c r="CU322" s="26">
        <v>0</v>
      </c>
      <c r="CV322" s="26">
        <v>0</v>
      </c>
      <c r="CW322" s="26">
        <v>0</v>
      </c>
      <c r="CX322" s="26">
        <v>0</v>
      </c>
      <c r="CY322" s="26">
        <v>0</v>
      </c>
      <c r="CZ322" s="26">
        <v>0</v>
      </c>
      <c r="DA322" s="26">
        <v>0</v>
      </c>
      <c r="DB322" s="26">
        <v>0</v>
      </c>
      <c r="DC322" s="26">
        <v>0</v>
      </c>
      <c r="DD322" s="26">
        <v>0</v>
      </c>
      <c r="DE322" s="26">
        <v>0</v>
      </c>
      <c r="DF322" s="26">
        <v>0</v>
      </c>
      <c r="DG322" s="26">
        <v>0</v>
      </c>
      <c r="DH322" s="26">
        <v>0</v>
      </c>
      <c r="DI322" s="26">
        <v>0</v>
      </c>
      <c r="DJ322" s="26">
        <v>0</v>
      </c>
      <c r="DK322" s="26">
        <v>0</v>
      </c>
      <c r="DL322" s="26">
        <v>0</v>
      </c>
      <c r="DM322" s="26">
        <v>0</v>
      </c>
      <c r="DN322" s="26">
        <v>0</v>
      </c>
      <c r="DO322" s="26">
        <v>0</v>
      </c>
      <c r="DP322" s="26">
        <v>0</v>
      </c>
      <c r="DQ322" s="26">
        <v>0</v>
      </c>
      <c r="DR322" s="26">
        <v>0</v>
      </c>
      <c r="DS322" s="26">
        <v>0</v>
      </c>
      <c r="DT322" s="26">
        <v>0</v>
      </c>
      <c r="DU322" s="26">
        <v>0</v>
      </c>
      <c r="DV322" s="26">
        <v>0</v>
      </c>
      <c r="DW322" s="26">
        <v>0</v>
      </c>
      <c r="DX322" s="26">
        <v>0</v>
      </c>
      <c r="DY322" s="26">
        <v>0</v>
      </c>
      <c r="DZ322" s="26">
        <v>0</v>
      </c>
      <c r="EA322" s="26">
        <v>0</v>
      </c>
      <c r="EB322" s="26">
        <v>0</v>
      </c>
      <c r="EC322" s="26">
        <v>0</v>
      </c>
      <c r="ED322" s="26">
        <v>0</v>
      </c>
      <c r="EE322" s="26">
        <v>0</v>
      </c>
      <c r="EF322" s="26">
        <v>0</v>
      </c>
      <c r="EG322" s="26">
        <v>1.0000000000000001E-5</v>
      </c>
      <c r="EH322" s="26">
        <v>0</v>
      </c>
      <c r="EI322" s="26">
        <v>0</v>
      </c>
      <c r="EJ322" s="26">
        <v>0</v>
      </c>
      <c r="EK322" s="26">
        <v>0</v>
      </c>
      <c r="EL322" s="26">
        <v>0</v>
      </c>
      <c r="EM322" s="26">
        <v>0</v>
      </c>
      <c r="EN322" s="26">
        <v>0</v>
      </c>
      <c r="EO322" s="26">
        <v>0</v>
      </c>
      <c r="EP322" s="26">
        <v>4.1639600900000002E-7</v>
      </c>
      <c r="EQ322" s="26">
        <v>1.0000000000000001E-5</v>
      </c>
      <c r="ER322" s="26">
        <v>1.0548698800000001E-7</v>
      </c>
      <c r="ES322" s="26">
        <v>20</v>
      </c>
      <c r="ET322" s="26">
        <v>1</v>
      </c>
      <c r="EU322" s="26">
        <v>0</v>
      </c>
      <c r="EV322" s="26">
        <v>0</v>
      </c>
      <c r="EW322" s="26">
        <v>1</v>
      </c>
      <c r="EX322" s="26">
        <v>-17942.5046</v>
      </c>
      <c r="EY322" s="26">
        <v>-747.11872900000003</v>
      </c>
      <c r="EZ322" s="26">
        <v>-7.4711873500000005E-9</v>
      </c>
      <c r="FA322" s="26">
        <v>-60.180662099999999</v>
      </c>
      <c r="FB322" s="26">
        <v>-2.5058987500000001</v>
      </c>
      <c r="FC322" s="26">
        <v>6.5789473700000003E-2</v>
      </c>
      <c r="FD322" s="26">
        <v>1.5799736799999999</v>
      </c>
      <c r="FE322" s="26">
        <v>24.015599999999999</v>
      </c>
      <c r="FF322" s="26">
        <v>0</v>
      </c>
      <c r="FG322" s="26">
        <v>0.68122387100000004</v>
      </c>
      <c r="FH322" s="26">
        <v>-5.2716617167100001E-2</v>
      </c>
      <c r="FI322" s="26">
        <v>0</v>
      </c>
      <c r="FJ322" s="26">
        <v>0</v>
      </c>
      <c r="FK322" s="26">
        <v>0</v>
      </c>
      <c r="FL322" s="26">
        <v>0</v>
      </c>
      <c r="FM322" s="26">
        <v>0</v>
      </c>
      <c r="FN322" s="26">
        <v>0</v>
      </c>
      <c r="FO322" s="26">
        <v>0</v>
      </c>
      <c r="FP322" s="26">
        <v>0</v>
      </c>
      <c r="FQ322" s="26">
        <v>0</v>
      </c>
      <c r="FR322" s="26">
        <v>0</v>
      </c>
      <c r="FS322" s="26">
        <v>0</v>
      </c>
      <c r="FT322" s="26">
        <v>0</v>
      </c>
      <c r="FU322" s="26">
        <v>0</v>
      </c>
      <c r="FV322" s="26">
        <v>0</v>
      </c>
      <c r="FW322" s="26">
        <v>0</v>
      </c>
      <c r="FX322" s="26">
        <v>0</v>
      </c>
      <c r="FY322" s="26">
        <v>0</v>
      </c>
      <c r="FZ322" s="26">
        <v>0</v>
      </c>
      <c r="GA322" s="26">
        <v>0</v>
      </c>
      <c r="GB322" s="26">
        <v>0</v>
      </c>
      <c r="GC322" s="26">
        <v>0</v>
      </c>
      <c r="GD322" s="26">
        <v>0</v>
      </c>
      <c r="GE322" s="26">
        <v>0</v>
      </c>
      <c r="GF322" s="26">
        <v>0</v>
      </c>
      <c r="GG322" s="26">
        <v>0</v>
      </c>
      <c r="GH322" s="26">
        <v>0</v>
      </c>
      <c r="GI322" s="26">
        <v>0</v>
      </c>
      <c r="GJ322" s="26">
        <v>0</v>
      </c>
      <c r="GK322" s="26">
        <v>0</v>
      </c>
      <c r="GL322" s="26">
        <v>0</v>
      </c>
      <c r="GM322" s="26">
        <v>0</v>
      </c>
      <c r="GN322" s="26">
        <v>0</v>
      </c>
      <c r="GO322" s="26">
        <v>0</v>
      </c>
      <c r="GP322" s="26">
        <v>0</v>
      </c>
      <c r="GQ322" s="26">
        <v>0</v>
      </c>
      <c r="GR322" s="26">
        <v>0</v>
      </c>
      <c r="GS322" s="26">
        <v>0</v>
      </c>
      <c r="GT322" s="26">
        <v>0</v>
      </c>
      <c r="GU322" s="26">
        <v>0</v>
      </c>
      <c r="GV322" s="26">
        <v>0</v>
      </c>
      <c r="GW322" s="26">
        <v>0</v>
      </c>
      <c r="GX322" s="26">
        <v>0</v>
      </c>
      <c r="GY322" s="26">
        <v>0</v>
      </c>
      <c r="GZ322" s="26">
        <v>0</v>
      </c>
      <c r="HA322" s="26">
        <v>0</v>
      </c>
      <c r="HB322" s="26">
        <v>0</v>
      </c>
      <c r="HC322" s="26">
        <v>0</v>
      </c>
      <c r="HD322" s="26">
        <v>0</v>
      </c>
      <c r="HE322" s="26">
        <v>0</v>
      </c>
      <c r="HF322" s="26">
        <v>0</v>
      </c>
      <c r="HG322" s="26">
        <v>0</v>
      </c>
      <c r="HH322" s="26">
        <v>0</v>
      </c>
      <c r="HI322" s="26">
        <v>0</v>
      </c>
      <c r="HJ322" s="26">
        <v>0</v>
      </c>
      <c r="HK322" s="26">
        <v>0</v>
      </c>
      <c r="HL322" s="26">
        <v>0</v>
      </c>
      <c r="HM322" s="26">
        <v>0</v>
      </c>
      <c r="HN322" s="26">
        <v>0</v>
      </c>
      <c r="HO322" s="26">
        <v>0</v>
      </c>
      <c r="HP322" s="26">
        <v>0</v>
      </c>
      <c r="HQ322" s="26">
        <v>0</v>
      </c>
      <c r="HR322" s="26">
        <v>0</v>
      </c>
      <c r="HS322" s="26">
        <v>0</v>
      </c>
      <c r="HT322" s="26">
        <v>1.1566555898088003E-10</v>
      </c>
    </row>
    <row r="323" spans="2:228" x14ac:dyDescent="0.2">
      <c r="B323" s="27" t="s">
        <v>1437</v>
      </c>
      <c r="C323" s="26">
        <v>142.28104400000001</v>
      </c>
      <c r="D323" s="26">
        <v>-0.30605237899999999</v>
      </c>
      <c r="E323" s="26">
        <v>0</v>
      </c>
      <c r="F323" s="26">
        <v>0</v>
      </c>
      <c r="G323" s="26">
        <v>0</v>
      </c>
      <c r="H323" s="26">
        <v>0</v>
      </c>
      <c r="I323" s="26">
        <v>0</v>
      </c>
      <c r="J323" s="26">
        <v>0</v>
      </c>
      <c r="K323" s="26">
        <v>0</v>
      </c>
      <c r="L323" s="26">
        <v>0</v>
      </c>
      <c r="M323" s="26">
        <v>0</v>
      </c>
      <c r="N323" s="26">
        <v>0</v>
      </c>
      <c r="O323" s="26">
        <v>0</v>
      </c>
      <c r="P323" s="26">
        <v>0</v>
      </c>
      <c r="Q323" s="26">
        <v>0</v>
      </c>
      <c r="R323" s="26">
        <v>0</v>
      </c>
      <c r="S323" s="26">
        <v>0</v>
      </c>
      <c r="T323" s="26">
        <v>0</v>
      </c>
      <c r="U323" s="26">
        <v>0</v>
      </c>
      <c r="V323" s="26">
        <v>0</v>
      </c>
      <c r="W323" s="26">
        <v>0</v>
      </c>
      <c r="X323" s="26">
        <v>0</v>
      </c>
      <c r="Y323" s="26">
        <v>0</v>
      </c>
      <c r="Z323" s="26">
        <v>0</v>
      </c>
      <c r="AA323" s="26">
        <v>0</v>
      </c>
      <c r="AB323" s="26">
        <v>0</v>
      </c>
      <c r="AC323" s="26">
        <v>0</v>
      </c>
      <c r="AD323" s="26">
        <v>0</v>
      </c>
      <c r="AE323" s="26">
        <v>0</v>
      </c>
      <c r="AF323" s="26">
        <v>142.28104400000001</v>
      </c>
      <c r="AG323" s="26">
        <v>0</v>
      </c>
      <c r="AH323" s="26">
        <v>0</v>
      </c>
      <c r="AI323" s="26">
        <v>0</v>
      </c>
      <c r="AJ323" s="26">
        <v>0</v>
      </c>
      <c r="AK323" s="26">
        <v>0</v>
      </c>
      <c r="AL323" s="26">
        <v>0</v>
      </c>
      <c r="AM323" s="26">
        <v>0</v>
      </c>
      <c r="AN323" s="26">
        <v>0</v>
      </c>
      <c r="AO323" s="26">
        <v>0</v>
      </c>
      <c r="AP323" s="26">
        <v>0</v>
      </c>
      <c r="AQ323" s="26">
        <v>0</v>
      </c>
      <c r="AR323" s="26">
        <v>0</v>
      </c>
      <c r="AS323" s="26">
        <v>0</v>
      </c>
      <c r="AT323" s="26">
        <v>0</v>
      </c>
      <c r="AU323" s="26">
        <v>0</v>
      </c>
      <c r="AV323" s="26">
        <v>0</v>
      </c>
      <c r="AW323" s="26">
        <v>0</v>
      </c>
      <c r="AX323" s="26">
        <v>0</v>
      </c>
      <c r="AY323" s="26">
        <v>0</v>
      </c>
      <c r="AZ323" s="26">
        <v>0</v>
      </c>
      <c r="BA323" s="26">
        <v>0</v>
      </c>
      <c r="BB323" s="26">
        <v>0</v>
      </c>
      <c r="BC323" s="26">
        <v>0</v>
      </c>
      <c r="BD323" s="26">
        <v>0</v>
      </c>
      <c r="BE323" s="26">
        <v>0</v>
      </c>
      <c r="BF323" s="26">
        <v>0</v>
      </c>
      <c r="BG323" s="26">
        <v>0</v>
      </c>
      <c r="BH323" s="26">
        <v>0</v>
      </c>
      <c r="BI323" s="26">
        <v>0</v>
      </c>
      <c r="BJ323" s="26">
        <v>0</v>
      </c>
      <c r="BK323" s="26">
        <v>0</v>
      </c>
      <c r="BL323" s="26">
        <v>0</v>
      </c>
      <c r="BM323" s="26">
        <v>0</v>
      </c>
      <c r="BN323" s="26">
        <v>0</v>
      </c>
      <c r="BO323" s="26">
        <v>1.0774271600000001</v>
      </c>
      <c r="BP323" s="26">
        <v>142.28104400000001</v>
      </c>
      <c r="BQ323" s="26">
        <v>2.34884944</v>
      </c>
      <c r="BR323" s="26">
        <v>20</v>
      </c>
      <c r="BS323" s="26">
        <v>1</v>
      </c>
      <c r="BT323" s="26">
        <v>0</v>
      </c>
      <c r="BU323" s="26">
        <v>1</v>
      </c>
      <c r="BV323" s="26">
        <v>0</v>
      </c>
      <c r="BW323" s="26">
        <v>-284058.53100000002</v>
      </c>
      <c r="BX323" s="26">
        <v>-2151.0411199999999</v>
      </c>
      <c r="BY323" s="26">
        <v>-0.30605237899999999</v>
      </c>
      <c r="BZ323" s="26">
        <v>-592.68957</v>
      </c>
      <c r="CA323" s="26">
        <v>-4.4881582399999997</v>
      </c>
      <c r="CB323" s="26">
        <v>7.64507031E-3</v>
      </c>
      <c r="CC323" s="26">
        <v>1.0095797</v>
      </c>
      <c r="CD323" s="26">
        <v>132.05629999999999</v>
      </c>
      <c r="CE323" s="26">
        <v>0</v>
      </c>
      <c r="CF323" s="26">
        <v>0</v>
      </c>
      <c r="CG323" s="26">
        <v>0</v>
      </c>
      <c r="CH323" s="26">
        <v>0</v>
      </c>
      <c r="CI323" s="26">
        <v>0</v>
      </c>
      <c r="CJ323" s="26">
        <v>0</v>
      </c>
      <c r="CK323" s="26">
        <v>0</v>
      </c>
      <c r="CL323" s="26">
        <v>0</v>
      </c>
      <c r="CM323" s="26">
        <v>0</v>
      </c>
      <c r="CN323" s="26">
        <v>0</v>
      </c>
      <c r="CO323" s="26">
        <v>0</v>
      </c>
      <c r="CP323" s="26">
        <v>0</v>
      </c>
      <c r="CQ323" s="26">
        <v>0</v>
      </c>
      <c r="CR323" s="26">
        <v>0</v>
      </c>
      <c r="CS323" s="26">
        <v>0</v>
      </c>
      <c r="CT323" s="26">
        <v>0</v>
      </c>
      <c r="CU323" s="26">
        <v>0</v>
      </c>
      <c r="CV323" s="26">
        <v>0</v>
      </c>
      <c r="CW323" s="26">
        <v>0</v>
      </c>
      <c r="CX323" s="26">
        <v>0</v>
      </c>
      <c r="CY323" s="26">
        <v>0</v>
      </c>
      <c r="CZ323" s="26">
        <v>0</v>
      </c>
      <c r="DA323" s="26">
        <v>0</v>
      </c>
      <c r="DB323" s="26">
        <v>0</v>
      </c>
      <c r="DC323" s="26">
        <v>0</v>
      </c>
      <c r="DD323" s="26">
        <v>0</v>
      </c>
      <c r="DE323" s="26">
        <v>0</v>
      </c>
      <c r="DF323" s="26">
        <v>0</v>
      </c>
      <c r="DG323" s="26">
        <v>0</v>
      </c>
      <c r="DH323" s="26">
        <v>0</v>
      </c>
      <c r="DI323" s="26">
        <v>0</v>
      </c>
      <c r="DJ323" s="26">
        <v>0</v>
      </c>
      <c r="DK323" s="26">
        <v>0</v>
      </c>
      <c r="DL323" s="26">
        <v>0</v>
      </c>
      <c r="DM323" s="26">
        <v>0</v>
      </c>
      <c r="DN323" s="26">
        <v>0</v>
      </c>
      <c r="DO323" s="26">
        <v>0</v>
      </c>
      <c r="DP323" s="26">
        <v>0</v>
      </c>
      <c r="DQ323" s="26">
        <v>0</v>
      </c>
      <c r="DR323" s="26">
        <v>0</v>
      </c>
      <c r="DS323" s="26">
        <v>0</v>
      </c>
      <c r="DT323" s="26">
        <v>0</v>
      </c>
      <c r="DU323" s="26">
        <v>0</v>
      </c>
      <c r="DV323" s="26">
        <v>0</v>
      </c>
      <c r="DW323" s="26">
        <v>0</v>
      </c>
      <c r="DX323" s="26">
        <v>0</v>
      </c>
      <c r="DY323" s="26">
        <v>0</v>
      </c>
      <c r="DZ323" s="26">
        <v>0</v>
      </c>
      <c r="EA323" s="26">
        <v>0</v>
      </c>
      <c r="EB323" s="26">
        <v>0</v>
      </c>
      <c r="EC323" s="26">
        <v>0</v>
      </c>
      <c r="ED323" s="26">
        <v>0</v>
      </c>
      <c r="EE323" s="26">
        <v>0</v>
      </c>
      <c r="EF323" s="26">
        <v>0</v>
      </c>
      <c r="EG323" s="26">
        <v>0</v>
      </c>
      <c r="EH323" s="26">
        <v>0</v>
      </c>
      <c r="EI323" s="26">
        <v>0</v>
      </c>
      <c r="EJ323" s="26">
        <v>0</v>
      </c>
      <c r="EK323" s="26">
        <v>0</v>
      </c>
      <c r="EL323" s="26">
        <v>0</v>
      </c>
      <c r="EM323" s="26">
        <v>0</v>
      </c>
      <c r="EN323" s="26">
        <v>0</v>
      </c>
      <c r="EO323" s="26">
        <v>0</v>
      </c>
      <c r="EP323" s="26">
        <v>0</v>
      </c>
      <c r="EQ323" s="26">
        <v>0</v>
      </c>
      <c r="ER323" s="26">
        <v>0</v>
      </c>
      <c r="ES323" s="26">
        <v>0</v>
      </c>
      <c r="ET323" s="26">
        <v>1</v>
      </c>
      <c r="EU323" s="26">
        <v>0</v>
      </c>
      <c r="EV323" s="26">
        <v>0</v>
      </c>
      <c r="EW323" s="26">
        <v>0</v>
      </c>
      <c r="EX323" s="26">
        <v>0</v>
      </c>
      <c r="EY323" s="26">
        <v>0</v>
      </c>
      <c r="EZ323" s="26">
        <v>0</v>
      </c>
      <c r="FA323" s="26">
        <v>0</v>
      </c>
      <c r="FB323" s="26">
        <v>0</v>
      </c>
      <c r="FC323" s="26">
        <v>0</v>
      </c>
      <c r="FD323" s="26">
        <v>0</v>
      </c>
      <c r="FE323" s="26">
        <v>0</v>
      </c>
      <c r="FF323" s="26">
        <v>0</v>
      </c>
      <c r="FG323" s="26">
        <v>0</v>
      </c>
      <c r="FH323" s="26">
        <v>-355860.372409</v>
      </c>
      <c r="FI323" s="26">
        <v>0</v>
      </c>
      <c r="FJ323" s="26">
        <v>0</v>
      </c>
      <c r="FK323" s="26">
        <v>0</v>
      </c>
      <c r="FL323" s="26">
        <v>0</v>
      </c>
      <c r="FM323" s="26">
        <v>0</v>
      </c>
      <c r="FN323" s="26">
        <v>0</v>
      </c>
      <c r="FO323" s="26">
        <v>0</v>
      </c>
      <c r="FP323" s="26">
        <v>0</v>
      </c>
      <c r="FQ323" s="26">
        <v>0</v>
      </c>
      <c r="FR323" s="26">
        <v>0</v>
      </c>
      <c r="FS323" s="26">
        <v>0</v>
      </c>
      <c r="FT323" s="26">
        <v>0</v>
      </c>
      <c r="FU323" s="26">
        <v>0</v>
      </c>
      <c r="FV323" s="26">
        <v>0</v>
      </c>
      <c r="FW323" s="26">
        <v>0</v>
      </c>
      <c r="FX323" s="26">
        <v>0</v>
      </c>
      <c r="FY323" s="26">
        <v>0</v>
      </c>
      <c r="FZ323" s="26">
        <v>0</v>
      </c>
      <c r="GA323" s="26">
        <v>0</v>
      </c>
      <c r="GB323" s="26">
        <v>0</v>
      </c>
      <c r="GC323" s="26">
        <v>0</v>
      </c>
      <c r="GD323" s="26">
        <v>0</v>
      </c>
      <c r="GE323" s="26">
        <v>0</v>
      </c>
      <c r="GF323" s="26">
        <v>0</v>
      </c>
      <c r="GG323" s="26">
        <v>0</v>
      </c>
      <c r="GH323" s="26">
        <v>0</v>
      </c>
      <c r="GI323" s="26">
        <v>0</v>
      </c>
      <c r="GJ323" s="26">
        <v>0</v>
      </c>
      <c r="GK323" s="26">
        <v>0</v>
      </c>
      <c r="GL323" s="26">
        <v>0</v>
      </c>
      <c r="GM323" s="26">
        <v>0</v>
      </c>
      <c r="GN323" s="26">
        <v>0</v>
      </c>
      <c r="GO323" s="26">
        <v>0</v>
      </c>
      <c r="GP323" s="26">
        <v>0</v>
      </c>
      <c r="GQ323" s="26">
        <v>0</v>
      </c>
      <c r="GR323" s="26">
        <v>0</v>
      </c>
      <c r="GS323" s="26">
        <v>0</v>
      </c>
      <c r="GT323" s="26">
        <v>0</v>
      </c>
      <c r="GU323" s="26">
        <v>0</v>
      </c>
      <c r="GV323" s="26">
        <v>0</v>
      </c>
      <c r="GW323" s="26">
        <v>0</v>
      </c>
      <c r="GX323" s="26">
        <v>0</v>
      </c>
      <c r="GY323" s="26">
        <v>0</v>
      </c>
      <c r="GZ323" s="26">
        <v>0</v>
      </c>
      <c r="HA323" s="26">
        <v>0</v>
      </c>
      <c r="HB323" s="26">
        <v>0</v>
      </c>
      <c r="HC323" s="26">
        <v>0</v>
      </c>
      <c r="HD323" s="26">
        <v>0</v>
      </c>
      <c r="HE323" s="26">
        <v>0</v>
      </c>
      <c r="HF323" s="26">
        <v>0</v>
      </c>
      <c r="HG323" s="26">
        <v>0</v>
      </c>
      <c r="HH323" s="26">
        <v>0</v>
      </c>
      <c r="HI323" s="26">
        <v>0</v>
      </c>
      <c r="HJ323" s="26">
        <v>0</v>
      </c>
      <c r="HK323" s="26">
        <v>0</v>
      </c>
      <c r="HL323" s="26">
        <v>0</v>
      </c>
      <c r="HM323" s="26">
        <v>0</v>
      </c>
      <c r="HN323" s="26">
        <v>0</v>
      </c>
      <c r="HO323" s="26">
        <v>0</v>
      </c>
      <c r="HP323" s="26">
        <v>0</v>
      </c>
      <c r="HQ323" s="26">
        <v>0</v>
      </c>
      <c r="HR323" s="26">
        <v>0</v>
      </c>
      <c r="HS323" s="26">
        <v>0</v>
      </c>
      <c r="HT323" s="26">
        <v>0</v>
      </c>
    </row>
    <row r="324" spans="2:228" x14ac:dyDescent="0.2">
      <c r="B324" s="27" t="s">
        <v>2438</v>
      </c>
      <c r="C324" s="26">
        <v>1159.3163400000001</v>
      </c>
      <c r="D324" s="26">
        <v>-2.9531891099999998</v>
      </c>
      <c r="E324" s="26">
        <v>582.55646000000002</v>
      </c>
      <c r="F324" s="26">
        <v>0</v>
      </c>
      <c r="G324" s="26">
        <v>0</v>
      </c>
      <c r="H324" s="26">
        <v>0</v>
      </c>
      <c r="I324" s="26">
        <v>0</v>
      </c>
      <c r="J324" s="26">
        <v>0</v>
      </c>
      <c r="K324" s="26">
        <v>0</v>
      </c>
      <c r="L324" s="26">
        <v>0</v>
      </c>
      <c r="M324" s="26">
        <v>0</v>
      </c>
      <c r="N324" s="26">
        <v>0</v>
      </c>
      <c r="O324" s="26">
        <v>0</v>
      </c>
      <c r="P324" s="26">
        <v>0</v>
      </c>
      <c r="Q324" s="26">
        <v>0</v>
      </c>
      <c r="R324" s="26">
        <v>0</v>
      </c>
      <c r="S324" s="26">
        <v>0</v>
      </c>
      <c r="T324" s="26">
        <v>0</v>
      </c>
      <c r="U324" s="26">
        <v>0</v>
      </c>
      <c r="V324" s="26">
        <v>0</v>
      </c>
      <c r="W324" s="26">
        <v>0</v>
      </c>
      <c r="X324" s="26">
        <v>286.93079399999999</v>
      </c>
      <c r="Y324" s="26">
        <v>0</v>
      </c>
      <c r="Z324" s="26">
        <v>0</v>
      </c>
      <c r="AA324" s="26">
        <v>0</v>
      </c>
      <c r="AB324" s="26">
        <v>0</v>
      </c>
      <c r="AC324" s="26">
        <v>0</v>
      </c>
      <c r="AD324" s="26">
        <v>0</v>
      </c>
      <c r="AE324" s="26">
        <v>0</v>
      </c>
      <c r="AF324" s="26">
        <v>0</v>
      </c>
      <c r="AG324" s="26">
        <v>0</v>
      </c>
      <c r="AH324" s="26">
        <v>0</v>
      </c>
      <c r="AI324" s="26">
        <v>0</v>
      </c>
      <c r="AJ324" s="26">
        <v>0</v>
      </c>
      <c r="AK324" s="26">
        <v>0</v>
      </c>
      <c r="AL324" s="26">
        <v>0</v>
      </c>
      <c r="AM324" s="26">
        <v>0</v>
      </c>
      <c r="AN324" s="26">
        <v>0</v>
      </c>
      <c r="AO324" s="26">
        <v>0</v>
      </c>
      <c r="AP324" s="26">
        <v>0</v>
      </c>
      <c r="AQ324" s="26">
        <v>0</v>
      </c>
      <c r="AR324" s="26">
        <v>0</v>
      </c>
      <c r="AS324" s="26">
        <v>0</v>
      </c>
      <c r="AT324" s="26">
        <v>0</v>
      </c>
      <c r="AU324" s="26">
        <v>0</v>
      </c>
      <c r="AV324" s="26">
        <v>0</v>
      </c>
      <c r="AW324" s="26">
        <v>0</v>
      </c>
      <c r="AX324" s="26">
        <v>0</v>
      </c>
      <c r="AY324" s="26">
        <v>0</v>
      </c>
      <c r="AZ324" s="26">
        <v>0</v>
      </c>
      <c r="BA324" s="26">
        <v>0</v>
      </c>
      <c r="BB324" s="26">
        <v>0</v>
      </c>
      <c r="BC324" s="26">
        <v>0</v>
      </c>
      <c r="BD324" s="26">
        <v>0</v>
      </c>
      <c r="BE324" s="26">
        <v>0</v>
      </c>
      <c r="BF324" s="26">
        <v>0</v>
      </c>
      <c r="BG324" s="26">
        <v>0</v>
      </c>
      <c r="BH324" s="26">
        <v>0</v>
      </c>
      <c r="BI324" s="26">
        <v>0</v>
      </c>
      <c r="BJ324" s="26">
        <v>0</v>
      </c>
      <c r="BK324" s="26">
        <v>0</v>
      </c>
      <c r="BL324" s="26">
        <v>0</v>
      </c>
      <c r="BM324" s="26">
        <v>0</v>
      </c>
      <c r="BN324" s="26">
        <v>0</v>
      </c>
      <c r="BO324" s="26">
        <v>35.522126999999998</v>
      </c>
      <c r="BP324" s="26">
        <v>869.48725400000001</v>
      </c>
      <c r="BQ324" s="26">
        <v>13.5996378</v>
      </c>
      <c r="BR324" s="26">
        <v>20.379153599999995</v>
      </c>
      <c r="BS324" s="26">
        <v>5.4229876600000013</v>
      </c>
      <c r="BT324" s="26">
        <v>0</v>
      </c>
      <c r="BU324" s="26">
        <v>1</v>
      </c>
      <c r="BV324" s="26">
        <v>0</v>
      </c>
      <c r="BW324" s="26">
        <v>-76828.823099999994</v>
      </c>
      <c r="BX324" s="26">
        <v>-3138.7731100000001</v>
      </c>
      <c r="BY324" s="26">
        <v>-2.7291232399999998</v>
      </c>
      <c r="BZ324" s="26">
        <v>-46.2974192</v>
      </c>
      <c r="CA324" s="26">
        <v>-1.8914398100000001</v>
      </c>
      <c r="CB324" s="26">
        <v>4.3533177300000003E-2</v>
      </c>
      <c r="CC324" s="26">
        <v>1.0655764700000001</v>
      </c>
      <c r="CD324" s="26">
        <v>24.477342100000001</v>
      </c>
      <c r="CE324" s="26">
        <v>13.6448853</v>
      </c>
      <c r="CF324" s="26">
        <v>0</v>
      </c>
      <c r="CG324" s="26">
        <v>0</v>
      </c>
      <c r="CH324" s="26">
        <v>0</v>
      </c>
      <c r="CI324" s="26">
        <v>0</v>
      </c>
      <c r="CJ324" s="26">
        <v>0</v>
      </c>
      <c r="CK324" s="26">
        <v>0</v>
      </c>
      <c r="CL324" s="26">
        <v>0</v>
      </c>
      <c r="CM324" s="26">
        <v>0</v>
      </c>
      <c r="CN324" s="26">
        <v>0</v>
      </c>
      <c r="CO324" s="26">
        <v>0</v>
      </c>
      <c r="CP324" s="26">
        <v>0</v>
      </c>
      <c r="CQ324" s="26">
        <v>0</v>
      </c>
      <c r="CR324" s="26">
        <v>0</v>
      </c>
      <c r="CS324" s="26">
        <v>0</v>
      </c>
      <c r="CT324" s="26">
        <v>0</v>
      </c>
      <c r="CU324" s="26">
        <v>0</v>
      </c>
      <c r="CV324" s="26">
        <v>0</v>
      </c>
      <c r="CW324" s="26">
        <v>0</v>
      </c>
      <c r="CX324" s="26">
        <v>0</v>
      </c>
      <c r="CY324" s="26">
        <v>0</v>
      </c>
      <c r="CZ324" s="26">
        <v>0</v>
      </c>
      <c r="DA324" s="26">
        <v>0</v>
      </c>
      <c r="DB324" s="26">
        <v>0</v>
      </c>
      <c r="DC324" s="26">
        <v>0</v>
      </c>
      <c r="DD324" s="26">
        <v>0</v>
      </c>
      <c r="DE324" s="26">
        <v>0</v>
      </c>
      <c r="DF324" s="26">
        <v>0</v>
      </c>
      <c r="DG324" s="26">
        <v>0</v>
      </c>
      <c r="DH324" s="26">
        <v>0</v>
      </c>
      <c r="DI324" s="26">
        <v>0</v>
      </c>
      <c r="DJ324" s="26">
        <v>0</v>
      </c>
      <c r="DK324" s="26">
        <v>0</v>
      </c>
      <c r="DL324" s="26">
        <v>0</v>
      </c>
      <c r="DM324" s="26">
        <v>0</v>
      </c>
      <c r="DN324" s="26">
        <v>0</v>
      </c>
      <c r="DO324" s="26">
        <v>0</v>
      </c>
      <c r="DP324" s="26">
        <v>0</v>
      </c>
      <c r="DQ324" s="26">
        <v>0</v>
      </c>
      <c r="DR324" s="26">
        <v>0</v>
      </c>
      <c r="DS324" s="26">
        <v>0</v>
      </c>
      <c r="DT324" s="26">
        <v>0</v>
      </c>
      <c r="DU324" s="26">
        <v>0</v>
      </c>
      <c r="DV324" s="26">
        <v>0</v>
      </c>
      <c r="DW324" s="26">
        <v>0</v>
      </c>
      <c r="DX324" s="26">
        <v>0</v>
      </c>
      <c r="DY324" s="26">
        <v>0</v>
      </c>
      <c r="DZ324" s="26">
        <v>0</v>
      </c>
      <c r="EA324" s="26">
        <v>0</v>
      </c>
      <c r="EB324" s="26">
        <v>0</v>
      </c>
      <c r="EC324" s="26">
        <v>0</v>
      </c>
      <c r="ED324" s="26">
        <v>0</v>
      </c>
      <c r="EE324" s="26">
        <v>289.82908500000002</v>
      </c>
      <c r="EF324" s="26">
        <v>0</v>
      </c>
      <c r="EG324" s="26">
        <v>0</v>
      </c>
      <c r="EH324" s="26">
        <v>0</v>
      </c>
      <c r="EI324" s="26">
        <v>0</v>
      </c>
      <c r="EJ324" s="26">
        <v>0</v>
      </c>
      <c r="EK324" s="26">
        <v>0</v>
      </c>
      <c r="EL324" s="26">
        <v>0</v>
      </c>
      <c r="EM324" s="26">
        <v>0</v>
      </c>
      <c r="EN324" s="26">
        <v>0</v>
      </c>
      <c r="EO324" s="26">
        <v>0</v>
      </c>
      <c r="EP324" s="26">
        <v>12.689761799999999</v>
      </c>
      <c r="EQ324" s="26">
        <v>289.82908500000002</v>
      </c>
      <c r="ER324" s="26">
        <v>3.21473963</v>
      </c>
      <c r="ES324" s="26">
        <v>20.379153599999995</v>
      </c>
      <c r="ET324" s="26">
        <v>5.4229876600000013</v>
      </c>
      <c r="EU324" s="26">
        <v>0</v>
      </c>
      <c r="EV324" s="26">
        <v>0</v>
      </c>
      <c r="EW324" s="26">
        <v>1</v>
      </c>
      <c r="EX324" s="26">
        <v>-17657.216700000001</v>
      </c>
      <c r="EY324" s="26">
        <v>-773.09658300000001</v>
      </c>
      <c r="EZ324" s="26">
        <v>-0.224065877</v>
      </c>
      <c r="FA324" s="26">
        <v>-59.223624999999998</v>
      </c>
      <c r="FB324" s="26">
        <v>-2.59302374</v>
      </c>
      <c r="FC324" s="26">
        <v>6.5789473700000003E-2</v>
      </c>
      <c r="FD324" s="26">
        <v>1.5026052599999999</v>
      </c>
      <c r="FE324" s="26">
        <v>22.839600000000001</v>
      </c>
      <c r="FF324" s="26">
        <v>0</v>
      </c>
      <c r="FG324" s="26">
        <v>0.62472096899999996</v>
      </c>
      <c r="FH324" s="26">
        <v>-3430356.8414800004</v>
      </c>
      <c r="FI324" s="26">
        <v>2.6544413406799751E-3</v>
      </c>
      <c r="FJ324" s="26">
        <v>0</v>
      </c>
      <c r="FK324" s="26">
        <v>0</v>
      </c>
      <c r="FL324" s="26">
        <v>0</v>
      </c>
      <c r="FM324" s="26">
        <v>0</v>
      </c>
      <c r="FN324" s="26">
        <v>0</v>
      </c>
      <c r="FO324" s="26">
        <v>0</v>
      </c>
      <c r="FP324" s="26">
        <v>0</v>
      </c>
      <c r="FQ324" s="26">
        <v>0</v>
      </c>
      <c r="FR324" s="26">
        <v>0</v>
      </c>
      <c r="FS324" s="26">
        <v>0</v>
      </c>
      <c r="FT324" s="26">
        <v>0</v>
      </c>
      <c r="FU324" s="26">
        <v>0</v>
      </c>
      <c r="FV324" s="26">
        <v>0</v>
      </c>
      <c r="FW324" s="26">
        <v>0</v>
      </c>
      <c r="FX324" s="26">
        <v>0</v>
      </c>
      <c r="FY324" s="26">
        <v>0</v>
      </c>
      <c r="FZ324" s="26">
        <v>0</v>
      </c>
      <c r="GA324" s="26">
        <v>0</v>
      </c>
      <c r="GB324" s="26">
        <v>0</v>
      </c>
      <c r="GC324" s="26">
        <v>0</v>
      </c>
      <c r="GD324" s="26">
        <v>0</v>
      </c>
      <c r="GE324" s="26">
        <v>0</v>
      </c>
      <c r="GF324" s="26">
        <v>0</v>
      </c>
      <c r="GG324" s="26">
        <v>0</v>
      </c>
      <c r="GH324" s="26">
        <v>0</v>
      </c>
      <c r="GI324" s="26">
        <v>0</v>
      </c>
      <c r="GJ324" s="26">
        <v>0</v>
      </c>
      <c r="GK324" s="26">
        <v>0</v>
      </c>
      <c r="GL324" s="26">
        <v>0</v>
      </c>
      <c r="GM324" s="26">
        <v>0</v>
      </c>
      <c r="GN324" s="26">
        <v>0</v>
      </c>
      <c r="GO324" s="26">
        <v>0</v>
      </c>
      <c r="GP324" s="26">
        <v>0</v>
      </c>
      <c r="GQ324" s="26">
        <v>0</v>
      </c>
      <c r="GR324" s="26">
        <v>0</v>
      </c>
      <c r="GS324" s="26">
        <v>0</v>
      </c>
      <c r="GT324" s="26">
        <v>0</v>
      </c>
      <c r="GU324" s="26">
        <v>0</v>
      </c>
      <c r="GV324" s="26">
        <v>0</v>
      </c>
      <c r="GW324" s="26">
        <v>0</v>
      </c>
      <c r="GX324" s="26">
        <v>0</v>
      </c>
      <c r="GY324" s="26">
        <v>0</v>
      </c>
      <c r="GZ324" s="26">
        <v>0</v>
      </c>
      <c r="HA324" s="26">
        <v>0</v>
      </c>
      <c r="HB324" s="26">
        <v>0</v>
      </c>
      <c r="HC324" s="26">
        <v>0</v>
      </c>
      <c r="HD324" s="26">
        <v>0</v>
      </c>
      <c r="HE324" s="26">
        <v>0</v>
      </c>
      <c r="HF324" s="26">
        <v>0</v>
      </c>
      <c r="HG324" s="26">
        <v>0</v>
      </c>
      <c r="HH324" s="26">
        <v>0</v>
      </c>
      <c r="HI324" s="26">
        <v>0</v>
      </c>
      <c r="HJ324" s="26">
        <v>0</v>
      </c>
      <c r="HK324" s="26">
        <v>0</v>
      </c>
      <c r="HL324" s="26">
        <v>0</v>
      </c>
      <c r="HM324" s="26">
        <v>0</v>
      </c>
      <c r="HN324" s="26">
        <v>0</v>
      </c>
      <c r="HO324" s="26">
        <v>0</v>
      </c>
      <c r="HP324" s="26">
        <v>0</v>
      </c>
      <c r="HQ324" s="26">
        <v>0</v>
      </c>
      <c r="HR324" s="26">
        <v>0</v>
      </c>
      <c r="HS324" s="26">
        <v>0</v>
      </c>
      <c r="HT324" s="26">
        <v>3.5249338615328039E-3</v>
      </c>
    </row>
    <row r="325" spans="2:228" x14ac:dyDescent="0.2">
      <c r="B325" s="27" t="s">
        <v>2439</v>
      </c>
      <c r="C325" s="26">
        <v>164.492876</v>
      </c>
      <c r="D325" s="26">
        <v>-0.419021586</v>
      </c>
      <c r="E325" s="26">
        <v>82.657670300000007</v>
      </c>
      <c r="F325" s="26">
        <v>0</v>
      </c>
      <c r="G325" s="26">
        <v>0</v>
      </c>
      <c r="H325" s="26">
        <v>0</v>
      </c>
      <c r="I325" s="26">
        <v>0</v>
      </c>
      <c r="J325" s="26">
        <v>0</v>
      </c>
      <c r="K325" s="26">
        <v>0</v>
      </c>
      <c r="L325" s="26">
        <v>0</v>
      </c>
      <c r="M325" s="26">
        <v>0</v>
      </c>
      <c r="N325" s="26">
        <v>0</v>
      </c>
      <c r="O325" s="26">
        <v>0</v>
      </c>
      <c r="P325" s="26">
        <v>0</v>
      </c>
      <c r="Q325" s="26">
        <v>0</v>
      </c>
      <c r="R325" s="26">
        <v>0</v>
      </c>
      <c r="S325" s="26">
        <v>0</v>
      </c>
      <c r="T325" s="26">
        <v>0</v>
      </c>
      <c r="U325" s="26">
        <v>0</v>
      </c>
      <c r="V325" s="26">
        <v>0</v>
      </c>
      <c r="W325" s="26">
        <v>0</v>
      </c>
      <c r="X325" s="26">
        <v>40.711986899999999</v>
      </c>
      <c r="Y325" s="26">
        <v>0</v>
      </c>
      <c r="Z325" s="26">
        <v>0</v>
      </c>
      <c r="AA325" s="26">
        <v>0</v>
      </c>
      <c r="AB325" s="26">
        <v>0</v>
      </c>
      <c r="AC325" s="26">
        <v>0</v>
      </c>
      <c r="AD325" s="26">
        <v>0</v>
      </c>
      <c r="AE325" s="26">
        <v>0</v>
      </c>
      <c r="AF325" s="26">
        <v>0</v>
      </c>
      <c r="AG325" s="26">
        <v>0</v>
      </c>
      <c r="AH325" s="26">
        <v>0</v>
      </c>
      <c r="AI325" s="26">
        <v>0</v>
      </c>
      <c r="AJ325" s="26">
        <v>0</v>
      </c>
      <c r="AK325" s="26">
        <v>0</v>
      </c>
      <c r="AL325" s="26">
        <v>0</v>
      </c>
      <c r="AM325" s="26">
        <v>0</v>
      </c>
      <c r="AN325" s="26">
        <v>0</v>
      </c>
      <c r="AO325" s="26">
        <v>0</v>
      </c>
      <c r="AP325" s="26">
        <v>0</v>
      </c>
      <c r="AQ325" s="26">
        <v>0</v>
      </c>
      <c r="AR325" s="26">
        <v>0</v>
      </c>
      <c r="AS325" s="26">
        <v>0</v>
      </c>
      <c r="AT325" s="26">
        <v>0</v>
      </c>
      <c r="AU325" s="26">
        <v>0</v>
      </c>
      <c r="AV325" s="26">
        <v>0</v>
      </c>
      <c r="AW325" s="26">
        <v>0</v>
      </c>
      <c r="AX325" s="26">
        <v>0</v>
      </c>
      <c r="AY325" s="26">
        <v>0</v>
      </c>
      <c r="AZ325" s="26">
        <v>0</v>
      </c>
      <c r="BA325" s="26">
        <v>0</v>
      </c>
      <c r="BB325" s="26">
        <v>0</v>
      </c>
      <c r="BC325" s="26">
        <v>0</v>
      </c>
      <c r="BD325" s="26">
        <v>0</v>
      </c>
      <c r="BE325" s="26">
        <v>0</v>
      </c>
      <c r="BF325" s="26">
        <v>0</v>
      </c>
      <c r="BG325" s="26">
        <v>0</v>
      </c>
      <c r="BH325" s="26">
        <v>0</v>
      </c>
      <c r="BI325" s="26">
        <v>0</v>
      </c>
      <c r="BJ325" s="26">
        <v>0</v>
      </c>
      <c r="BK325" s="26">
        <v>0</v>
      </c>
      <c r="BL325" s="26">
        <v>0</v>
      </c>
      <c r="BM325" s="26">
        <v>0</v>
      </c>
      <c r="BN325" s="26">
        <v>0</v>
      </c>
      <c r="BO325" s="26">
        <v>5.0401574199999999</v>
      </c>
      <c r="BP325" s="26">
        <v>123.36965699999999</v>
      </c>
      <c r="BQ325" s="26">
        <v>1.9296230599999999</v>
      </c>
      <c r="BR325" s="26">
        <v>20.379153599999995</v>
      </c>
      <c r="BS325" s="26">
        <v>5.4229876600000013</v>
      </c>
      <c r="BT325" s="26">
        <v>0</v>
      </c>
      <c r="BU325" s="26">
        <v>1</v>
      </c>
      <c r="BV325" s="26">
        <v>0</v>
      </c>
      <c r="BW325" s="26">
        <v>-76828.823099999994</v>
      </c>
      <c r="BX325" s="26">
        <v>-3138.7731100000001</v>
      </c>
      <c r="BY325" s="26">
        <v>-0.38722936600000002</v>
      </c>
      <c r="BZ325" s="26">
        <v>-46.2974192</v>
      </c>
      <c r="CA325" s="26">
        <v>-1.8914398100000001</v>
      </c>
      <c r="CB325" s="26">
        <v>4.3533177300000003E-2</v>
      </c>
      <c r="CC325" s="26">
        <v>1.0655764700000001</v>
      </c>
      <c r="CD325" s="26">
        <v>24.477342100000001</v>
      </c>
      <c r="CE325" s="26">
        <v>1.9360431300000001</v>
      </c>
      <c r="CF325" s="26">
        <v>0</v>
      </c>
      <c r="CG325" s="26">
        <v>0</v>
      </c>
      <c r="CH325" s="26">
        <v>0</v>
      </c>
      <c r="CI325" s="26">
        <v>0</v>
      </c>
      <c r="CJ325" s="26">
        <v>0</v>
      </c>
      <c r="CK325" s="26">
        <v>0</v>
      </c>
      <c r="CL325" s="26">
        <v>0</v>
      </c>
      <c r="CM325" s="26">
        <v>0</v>
      </c>
      <c r="CN325" s="26">
        <v>0</v>
      </c>
      <c r="CO325" s="26">
        <v>0</v>
      </c>
      <c r="CP325" s="26">
        <v>0</v>
      </c>
      <c r="CQ325" s="26">
        <v>0</v>
      </c>
      <c r="CR325" s="26">
        <v>0</v>
      </c>
      <c r="CS325" s="26">
        <v>0</v>
      </c>
      <c r="CT325" s="26">
        <v>0</v>
      </c>
      <c r="CU325" s="26">
        <v>0</v>
      </c>
      <c r="CV325" s="26">
        <v>0</v>
      </c>
      <c r="CW325" s="26">
        <v>0</v>
      </c>
      <c r="CX325" s="26">
        <v>0</v>
      </c>
      <c r="CY325" s="26">
        <v>0</v>
      </c>
      <c r="CZ325" s="26">
        <v>0</v>
      </c>
      <c r="DA325" s="26">
        <v>0</v>
      </c>
      <c r="DB325" s="26">
        <v>0</v>
      </c>
      <c r="DC325" s="26">
        <v>0</v>
      </c>
      <c r="DD325" s="26">
        <v>0</v>
      </c>
      <c r="DE325" s="26">
        <v>0</v>
      </c>
      <c r="DF325" s="26">
        <v>0</v>
      </c>
      <c r="DG325" s="26">
        <v>0</v>
      </c>
      <c r="DH325" s="26">
        <v>0</v>
      </c>
      <c r="DI325" s="26">
        <v>0</v>
      </c>
      <c r="DJ325" s="26">
        <v>0</v>
      </c>
      <c r="DK325" s="26">
        <v>0</v>
      </c>
      <c r="DL325" s="26">
        <v>0</v>
      </c>
      <c r="DM325" s="26">
        <v>0</v>
      </c>
      <c r="DN325" s="26">
        <v>0</v>
      </c>
      <c r="DO325" s="26">
        <v>0</v>
      </c>
      <c r="DP325" s="26">
        <v>0</v>
      </c>
      <c r="DQ325" s="26">
        <v>0</v>
      </c>
      <c r="DR325" s="26">
        <v>0</v>
      </c>
      <c r="DS325" s="26">
        <v>0</v>
      </c>
      <c r="DT325" s="26">
        <v>0</v>
      </c>
      <c r="DU325" s="26">
        <v>0</v>
      </c>
      <c r="DV325" s="26">
        <v>0</v>
      </c>
      <c r="DW325" s="26">
        <v>0</v>
      </c>
      <c r="DX325" s="26">
        <v>0</v>
      </c>
      <c r="DY325" s="26">
        <v>0</v>
      </c>
      <c r="DZ325" s="26">
        <v>0</v>
      </c>
      <c r="EA325" s="26">
        <v>0</v>
      </c>
      <c r="EB325" s="26">
        <v>0</v>
      </c>
      <c r="EC325" s="26">
        <v>0</v>
      </c>
      <c r="ED325" s="26">
        <v>0</v>
      </c>
      <c r="EE325" s="26">
        <v>41.1232191</v>
      </c>
      <c r="EF325" s="26">
        <v>0</v>
      </c>
      <c r="EG325" s="26">
        <v>0</v>
      </c>
      <c r="EH325" s="26">
        <v>0</v>
      </c>
      <c r="EI325" s="26">
        <v>0</v>
      </c>
      <c r="EJ325" s="26">
        <v>0</v>
      </c>
      <c r="EK325" s="26">
        <v>0</v>
      </c>
      <c r="EL325" s="26">
        <v>0</v>
      </c>
      <c r="EM325" s="26">
        <v>0</v>
      </c>
      <c r="EN325" s="26">
        <v>0</v>
      </c>
      <c r="EO325" s="26">
        <v>0</v>
      </c>
      <c r="EP325" s="26">
        <v>1.8005227399999997</v>
      </c>
      <c r="EQ325" s="26">
        <v>41.1232191</v>
      </c>
      <c r="ER325" s="26">
        <v>0.45613242100000001</v>
      </c>
      <c r="ES325" s="26">
        <v>20.379153599999995</v>
      </c>
      <c r="ET325" s="26">
        <v>5.4229876600000013</v>
      </c>
      <c r="EU325" s="26">
        <v>0</v>
      </c>
      <c r="EV325" s="26">
        <v>0</v>
      </c>
      <c r="EW325" s="26">
        <v>1</v>
      </c>
      <c r="EX325" s="26">
        <v>-17657.216700000001</v>
      </c>
      <c r="EY325" s="26">
        <v>-773.09658300000001</v>
      </c>
      <c r="EZ325" s="26">
        <v>-3.1792220400000001E-2</v>
      </c>
      <c r="FA325" s="26">
        <v>-59.223624999999998</v>
      </c>
      <c r="FB325" s="26">
        <v>-2.59302374</v>
      </c>
      <c r="FC325" s="26">
        <v>6.5789473700000003E-2</v>
      </c>
      <c r="FD325" s="26">
        <v>1.5026052599999999</v>
      </c>
      <c r="FE325" s="26">
        <v>22.839600000000001</v>
      </c>
      <c r="FF325" s="26">
        <v>0</v>
      </c>
      <c r="FG325" s="26">
        <v>0.62472096899999996</v>
      </c>
      <c r="FH325" s="26">
        <v>-486725.87861200003</v>
      </c>
      <c r="FI325" s="26">
        <v>3.7663291412417448E-4</v>
      </c>
      <c r="FJ325" s="26">
        <v>0</v>
      </c>
      <c r="FK325" s="26">
        <v>0</v>
      </c>
      <c r="FL325" s="26">
        <v>0</v>
      </c>
      <c r="FM325" s="26">
        <v>0</v>
      </c>
      <c r="FN325" s="26">
        <v>0</v>
      </c>
      <c r="FO325" s="26">
        <v>0</v>
      </c>
      <c r="FP325" s="26">
        <v>0</v>
      </c>
      <c r="FQ325" s="26">
        <v>0</v>
      </c>
      <c r="FR325" s="26">
        <v>0</v>
      </c>
      <c r="FS325" s="26">
        <v>0</v>
      </c>
      <c r="FT325" s="26">
        <v>0</v>
      </c>
      <c r="FU325" s="26">
        <v>0</v>
      </c>
      <c r="FV325" s="26">
        <v>0</v>
      </c>
      <c r="FW325" s="26">
        <v>0</v>
      </c>
      <c r="FX325" s="26">
        <v>0</v>
      </c>
      <c r="FY325" s="26">
        <v>0</v>
      </c>
      <c r="FZ325" s="26">
        <v>0</v>
      </c>
      <c r="GA325" s="26">
        <v>0</v>
      </c>
      <c r="GB325" s="26">
        <v>0</v>
      </c>
      <c r="GC325" s="26">
        <v>0</v>
      </c>
      <c r="GD325" s="26">
        <v>0</v>
      </c>
      <c r="GE325" s="26">
        <v>0</v>
      </c>
      <c r="GF325" s="26">
        <v>0</v>
      </c>
      <c r="GG325" s="26">
        <v>0</v>
      </c>
      <c r="GH325" s="26">
        <v>0</v>
      </c>
      <c r="GI325" s="26">
        <v>0</v>
      </c>
      <c r="GJ325" s="26">
        <v>0</v>
      </c>
      <c r="GK325" s="26">
        <v>0</v>
      </c>
      <c r="GL325" s="26">
        <v>0</v>
      </c>
      <c r="GM325" s="26">
        <v>0</v>
      </c>
      <c r="GN325" s="26">
        <v>0</v>
      </c>
      <c r="GO325" s="26">
        <v>0</v>
      </c>
      <c r="GP325" s="26">
        <v>0</v>
      </c>
      <c r="GQ325" s="26">
        <v>0</v>
      </c>
      <c r="GR325" s="26">
        <v>0</v>
      </c>
      <c r="GS325" s="26">
        <v>0</v>
      </c>
      <c r="GT325" s="26">
        <v>0</v>
      </c>
      <c r="GU325" s="26">
        <v>0</v>
      </c>
      <c r="GV325" s="26">
        <v>0</v>
      </c>
      <c r="GW325" s="26">
        <v>0</v>
      </c>
      <c r="GX325" s="26">
        <v>0</v>
      </c>
      <c r="GY325" s="26">
        <v>0</v>
      </c>
      <c r="GZ325" s="26">
        <v>0</v>
      </c>
      <c r="HA325" s="26">
        <v>0</v>
      </c>
      <c r="HB325" s="26">
        <v>0</v>
      </c>
      <c r="HC325" s="26">
        <v>0</v>
      </c>
      <c r="HD325" s="26">
        <v>0</v>
      </c>
      <c r="HE325" s="26">
        <v>0</v>
      </c>
      <c r="HF325" s="26">
        <v>0</v>
      </c>
      <c r="HG325" s="26">
        <v>0</v>
      </c>
      <c r="HH325" s="26">
        <v>0</v>
      </c>
      <c r="HI325" s="26">
        <v>0</v>
      </c>
      <c r="HJ325" s="26">
        <v>0</v>
      </c>
      <c r="HK325" s="26">
        <v>0</v>
      </c>
      <c r="HL325" s="26">
        <v>0</v>
      </c>
      <c r="HM325" s="26">
        <v>0</v>
      </c>
      <c r="HN325" s="26">
        <v>0</v>
      </c>
      <c r="HO325" s="26">
        <v>0</v>
      </c>
      <c r="HP325" s="26">
        <v>0</v>
      </c>
      <c r="HQ325" s="26">
        <v>0</v>
      </c>
      <c r="HR325" s="26">
        <v>0</v>
      </c>
      <c r="HS325" s="26">
        <v>0</v>
      </c>
      <c r="HT325" s="26">
        <v>5.0014520955671716E-4</v>
      </c>
    </row>
    <row r="326" spans="2:228" x14ac:dyDescent="0.2">
      <c r="B326" s="27" t="s">
        <v>2440</v>
      </c>
      <c r="C326" s="26">
        <v>8022.0755900000004</v>
      </c>
      <c r="D326" s="26">
        <v>-30.419815</v>
      </c>
      <c r="E326" s="26">
        <v>8022.0755900000004</v>
      </c>
      <c r="F326" s="26">
        <v>0</v>
      </c>
      <c r="G326" s="26">
        <v>0</v>
      </c>
      <c r="H326" s="26">
        <v>0</v>
      </c>
      <c r="I326" s="26">
        <v>0</v>
      </c>
      <c r="J326" s="26">
        <v>0</v>
      </c>
      <c r="K326" s="26">
        <v>0</v>
      </c>
      <c r="L326" s="26">
        <v>0</v>
      </c>
      <c r="M326" s="26">
        <v>0</v>
      </c>
      <c r="N326" s="26">
        <v>0</v>
      </c>
      <c r="O326" s="26">
        <v>0</v>
      </c>
      <c r="P326" s="26">
        <v>0</v>
      </c>
      <c r="Q326" s="26">
        <v>0</v>
      </c>
      <c r="R326" s="26">
        <v>0</v>
      </c>
      <c r="S326" s="26">
        <v>0</v>
      </c>
      <c r="T326" s="26">
        <v>0</v>
      </c>
      <c r="U326" s="26">
        <v>0</v>
      </c>
      <c r="V326" s="26">
        <v>0</v>
      </c>
      <c r="W326" s="26">
        <v>0</v>
      </c>
      <c r="X326" s="26">
        <v>0</v>
      </c>
      <c r="Y326" s="26">
        <v>0</v>
      </c>
      <c r="Z326" s="26">
        <v>0</v>
      </c>
      <c r="AA326" s="26">
        <v>0</v>
      </c>
      <c r="AB326" s="26">
        <v>0</v>
      </c>
      <c r="AC326" s="26">
        <v>0</v>
      </c>
      <c r="AD326" s="26">
        <v>0</v>
      </c>
      <c r="AE326" s="26">
        <v>0</v>
      </c>
      <c r="AF326" s="26">
        <v>0</v>
      </c>
      <c r="AG326" s="26">
        <v>0</v>
      </c>
      <c r="AH326" s="26">
        <v>0</v>
      </c>
      <c r="AI326" s="26">
        <v>0</v>
      </c>
      <c r="AJ326" s="26">
        <v>0</v>
      </c>
      <c r="AK326" s="26">
        <v>0</v>
      </c>
      <c r="AL326" s="26">
        <v>0</v>
      </c>
      <c r="AM326" s="26">
        <v>0</v>
      </c>
      <c r="AN326" s="26">
        <v>0</v>
      </c>
      <c r="AO326" s="26">
        <v>0</v>
      </c>
      <c r="AP326" s="26">
        <v>0</v>
      </c>
      <c r="AQ326" s="26">
        <v>0</v>
      </c>
      <c r="AR326" s="26">
        <v>0</v>
      </c>
      <c r="AS326" s="26">
        <v>0</v>
      </c>
      <c r="AT326" s="26">
        <v>0</v>
      </c>
      <c r="AU326" s="26">
        <v>0</v>
      </c>
      <c r="AV326" s="26">
        <v>0</v>
      </c>
      <c r="AW326" s="26">
        <v>0</v>
      </c>
      <c r="AX326" s="26">
        <v>0</v>
      </c>
      <c r="AY326" s="26">
        <v>0</v>
      </c>
      <c r="AZ326" s="26">
        <v>0</v>
      </c>
      <c r="BA326" s="26">
        <v>0</v>
      </c>
      <c r="BB326" s="26">
        <v>0</v>
      </c>
      <c r="BC326" s="26">
        <v>0</v>
      </c>
      <c r="BD326" s="26">
        <v>0</v>
      </c>
      <c r="BE326" s="26">
        <v>0</v>
      </c>
      <c r="BF326" s="26">
        <v>0</v>
      </c>
      <c r="BG326" s="26">
        <v>0</v>
      </c>
      <c r="BH326" s="26">
        <v>0</v>
      </c>
      <c r="BI326" s="26">
        <v>0</v>
      </c>
      <c r="BJ326" s="26">
        <v>0</v>
      </c>
      <c r="BK326" s="26">
        <v>0</v>
      </c>
      <c r="BL326" s="26">
        <v>0</v>
      </c>
      <c r="BM326" s="26">
        <v>0</v>
      </c>
      <c r="BN326" s="26">
        <v>0</v>
      </c>
      <c r="BO326" s="26">
        <v>445.29286200000001</v>
      </c>
      <c r="BP326" s="26">
        <v>8022.0755900000004</v>
      </c>
      <c r="BQ326" s="26">
        <v>133.866288</v>
      </c>
      <c r="BR326" s="26">
        <v>20</v>
      </c>
      <c r="BS326" s="26">
        <v>1</v>
      </c>
      <c r="BT326" s="26">
        <v>0</v>
      </c>
      <c r="BU326" s="26">
        <v>1</v>
      </c>
      <c r="BV326" s="26">
        <v>0</v>
      </c>
      <c r="BW326" s="26">
        <v>-68314.175600000002</v>
      </c>
      <c r="BX326" s="26">
        <v>-3792.01298</v>
      </c>
      <c r="BY326" s="26">
        <v>-30.419815</v>
      </c>
      <c r="BZ326" s="26">
        <v>-39.124202799999999</v>
      </c>
      <c r="CA326" s="26">
        <v>-2.1717232700000002</v>
      </c>
      <c r="CB326" s="26">
        <v>5.5440004600000002E-2</v>
      </c>
      <c r="CC326" s="26">
        <v>0.99876720600000002</v>
      </c>
      <c r="CD326" s="26">
        <v>18.015280000000001</v>
      </c>
      <c r="CE326" s="26">
        <v>133.958934</v>
      </c>
      <c r="CF326" s="26">
        <v>0</v>
      </c>
      <c r="CG326" s="26">
        <v>0</v>
      </c>
      <c r="CH326" s="26">
        <v>0</v>
      </c>
      <c r="CI326" s="26">
        <v>0</v>
      </c>
      <c r="CJ326" s="26">
        <v>0</v>
      </c>
      <c r="CK326" s="26">
        <v>0</v>
      </c>
      <c r="CL326" s="26">
        <v>0</v>
      </c>
      <c r="CM326" s="26">
        <v>0</v>
      </c>
      <c r="CN326" s="26">
        <v>0</v>
      </c>
      <c r="CO326" s="26">
        <v>0</v>
      </c>
      <c r="CP326" s="26">
        <v>0</v>
      </c>
      <c r="CQ326" s="26">
        <v>0</v>
      </c>
      <c r="CR326" s="26">
        <v>0</v>
      </c>
      <c r="CS326" s="26">
        <v>0</v>
      </c>
      <c r="CT326" s="26">
        <v>0</v>
      </c>
      <c r="CU326" s="26">
        <v>0</v>
      </c>
      <c r="CV326" s="26">
        <v>0</v>
      </c>
      <c r="CW326" s="26">
        <v>0</v>
      </c>
      <c r="CX326" s="26">
        <v>0</v>
      </c>
      <c r="CY326" s="26">
        <v>0</v>
      </c>
      <c r="CZ326" s="26">
        <v>0</v>
      </c>
      <c r="DA326" s="26">
        <v>0</v>
      </c>
      <c r="DB326" s="26">
        <v>0</v>
      </c>
      <c r="DC326" s="26">
        <v>0</v>
      </c>
      <c r="DD326" s="26">
        <v>0</v>
      </c>
      <c r="DE326" s="26">
        <v>0</v>
      </c>
      <c r="DF326" s="26">
        <v>0</v>
      </c>
      <c r="DG326" s="26">
        <v>0</v>
      </c>
      <c r="DH326" s="26">
        <v>0</v>
      </c>
      <c r="DI326" s="26">
        <v>0</v>
      </c>
      <c r="DJ326" s="26">
        <v>0</v>
      </c>
      <c r="DK326" s="26">
        <v>0</v>
      </c>
      <c r="DL326" s="26">
        <v>0</v>
      </c>
      <c r="DM326" s="26">
        <v>0</v>
      </c>
      <c r="DN326" s="26">
        <v>0</v>
      </c>
      <c r="DO326" s="26">
        <v>0</v>
      </c>
      <c r="DP326" s="26">
        <v>0</v>
      </c>
      <c r="DQ326" s="26">
        <v>0</v>
      </c>
      <c r="DR326" s="26">
        <v>0</v>
      </c>
      <c r="DS326" s="26">
        <v>0</v>
      </c>
      <c r="DT326" s="26">
        <v>0</v>
      </c>
      <c r="DU326" s="26">
        <v>0</v>
      </c>
      <c r="DV326" s="26">
        <v>0</v>
      </c>
      <c r="DW326" s="26">
        <v>0</v>
      </c>
      <c r="DX326" s="26">
        <v>0</v>
      </c>
      <c r="DY326" s="26">
        <v>0</v>
      </c>
      <c r="DZ326" s="26">
        <v>0</v>
      </c>
      <c r="EA326" s="26">
        <v>0</v>
      </c>
      <c r="EB326" s="26">
        <v>0</v>
      </c>
      <c r="EC326" s="26">
        <v>0</v>
      </c>
      <c r="ED326" s="26">
        <v>0</v>
      </c>
      <c r="EE326" s="26">
        <v>0</v>
      </c>
      <c r="EF326" s="26">
        <v>0</v>
      </c>
      <c r="EG326" s="26">
        <v>0</v>
      </c>
      <c r="EH326" s="26">
        <v>0</v>
      </c>
      <c r="EI326" s="26">
        <v>0</v>
      </c>
      <c r="EJ326" s="26">
        <v>0</v>
      </c>
      <c r="EK326" s="26">
        <v>0</v>
      </c>
      <c r="EL326" s="26">
        <v>0</v>
      </c>
      <c r="EM326" s="26">
        <v>0</v>
      </c>
      <c r="EN326" s="26">
        <v>0</v>
      </c>
      <c r="EO326" s="26">
        <v>0</v>
      </c>
      <c r="EP326" s="26">
        <v>0</v>
      </c>
      <c r="EQ326" s="26">
        <v>0</v>
      </c>
      <c r="ER326" s="26">
        <v>0</v>
      </c>
      <c r="ES326" s="26">
        <v>0</v>
      </c>
      <c r="ET326" s="26">
        <v>1</v>
      </c>
      <c r="EU326" s="26">
        <v>0</v>
      </c>
      <c r="EV326" s="26">
        <v>0</v>
      </c>
      <c r="EW326" s="26">
        <v>0</v>
      </c>
      <c r="EX326" s="26">
        <v>0</v>
      </c>
      <c r="EY326" s="26">
        <v>0</v>
      </c>
      <c r="EZ326" s="26">
        <v>0</v>
      </c>
      <c r="FA326" s="26">
        <v>0</v>
      </c>
      <c r="FB326" s="26">
        <v>0</v>
      </c>
      <c r="FC326" s="26">
        <v>0</v>
      </c>
      <c r="FD326" s="26">
        <v>0</v>
      </c>
      <c r="FE326" s="26">
        <v>0</v>
      </c>
      <c r="FF326" s="26">
        <v>0</v>
      </c>
      <c r="FG326" s="26">
        <v>0</v>
      </c>
      <c r="FH326" s="26">
        <v>-35335779.760799997</v>
      </c>
      <c r="FI326" s="26">
        <v>0</v>
      </c>
      <c r="FJ326" s="26">
        <v>0</v>
      </c>
      <c r="FK326" s="26">
        <v>0</v>
      </c>
      <c r="FL326" s="26">
        <v>0</v>
      </c>
      <c r="FM326" s="26">
        <v>0</v>
      </c>
      <c r="FN326" s="26">
        <v>0</v>
      </c>
      <c r="FO326" s="26">
        <v>0</v>
      </c>
      <c r="FP326" s="26">
        <v>0</v>
      </c>
      <c r="FQ326" s="26">
        <v>0</v>
      </c>
      <c r="FR326" s="26">
        <v>0</v>
      </c>
      <c r="FS326" s="26">
        <v>0</v>
      </c>
      <c r="FT326" s="26">
        <v>0</v>
      </c>
      <c r="FU326" s="26">
        <v>0</v>
      </c>
      <c r="FV326" s="26">
        <v>0</v>
      </c>
      <c r="FW326" s="26">
        <v>0</v>
      </c>
      <c r="FX326" s="26">
        <v>0</v>
      </c>
      <c r="FY326" s="26">
        <v>0</v>
      </c>
      <c r="FZ326" s="26">
        <v>0</v>
      </c>
      <c r="GA326" s="26">
        <v>0</v>
      </c>
      <c r="GB326" s="26">
        <v>0</v>
      </c>
      <c r="GC326" s="26">
        <v>0</v>
      </c>
      <c r="GD326" s="26">
        <v>0</v>
      </c>
      <c r="GE326" s="26">
        <v>0</v>
      </c>
      <c r="GF326" s="26">
        <v>0</v>
      </c>
      <c r="GG326" s="26">
        <v>0</v>
      </c>
      <c r="GH326" s="26">
        <v>0</v>
      </c>
      <c r="GI326" s="26">
        <v>0</v>
      </c>
      <c r="GJ326" s="26">
        <v>0</v>
      </c>
      <c r="GK326" s="26">
        <v>0</v>
      </c>
      <c r="GL326" s="26">
        <v>0</v>
      </c>
      <c r="GM326" s="26">
        <v>0</v>
      </c>
      <c r="GN326" s="26">
        <v>0</v>
      </c>
      <c r="GO326" s="26">
        <v>0</v>
      </c>
      <c r="GP326" s="26">
        <v>0</v>
      </c>
      <c r="GQ326" s="26">
        <v>0</v>
      </c>
      <c r="GR326" s="26">
        <v>0</v>
      </c>
      <c r="GS326" s="26">
        <v>0</v>
      </c>
      <c r="GT326" s="26">
        <v>0</v>
      </c>
      <c r="GU326" s="26">
        <v>0</v>
      </c>
      <c r="GV326" s="26">
        <v>0</v>
      </c>
      <c r="GW326" s="26">
        <v>0</v>
      </c>
      <c r="GX326" s="26">
        <v>0</v>
      </c>
      <c r="GY326" s="26">
        <v>0</v>
      </c>
      <c r="GZ326" s="26">
        <v>0</v>
      </c>
      <c r="HA326" s="26">
        <v>0</v>
      </c>
      <c r="HB326" s="26">
        <v>0</v>
      </c>
      <c r="HC326" s="26">
        <v>0</v>
      </c>
      <c r="HD326" s="26">
        <v>0</v>
      </c>
      <c r="HE326" s="26">
        <v>0</v>
      </c>
      <c r="HF326" s="26">
        <v>0</v>
      </c>
      <c r="HG326" s="26">
        <v>0</v>
      </c>
      <c r="HH326" s="26">
        <v>0</v>
      </c>
      <c r="HI326" s="26">
        <v>0</v>
      </c>
      <c r="HJ326" s="26">
        <v>0</v>
      </c>
      <c r="HK326" s="26">
        <v>0</v>
      </c>
      <c r="HL326" s="26">
        <v>0</v>
      </c>
      <c r="HM326" s="26">
        <v>0</v>
      </c>
      <c r="HN326" s="26">
        <v>0</v>
      </c>
      <c r="HO326" s="26">
        <v>0</v>
      </c>
      <c r="HP326" s="26">
        <v>0</v>
      </c>
      <c r="HQ326" s="26">
        <v>0</v>
      </c>
      <c r="HR326" s="26">
        <v>0</v>
      </c>
      <c r="HS326" s="26">
        <v>0</v>
      </c>
      <c r="HT326" s="26">
        <v>0</v>
      </c>
    </row>
    <row r="327" spans="2:228" x14ac:dyDescent="0.2">
      <c r="B327" s="27" t="s">
        <v>2433</v>
      </c>
      <c r="C327" s="26">
        <v>114.973133</v>
      </c>
      <c r="D327" s="26">
        <v>-0.106883399</v>
      </c>
      <c r="E327" s="26">
        <v>0</v>
      </c>
      <c r="F327" s="26">
        <v>0</v>
      </c>
      <c r="G327" s="26">
        <v>0</v>
      </c>
      <c r="H327" s="26">
        <v>0</v>
      </c>
      <c r="I327" s="26">
        <v>0</v>
      </c>
      <c r="J327" s="26">
        <v>0</v>
      </c>
      <c r="K327" s="26">
        <v>0</v>
      </c>
      <c r="L327" s="26">
        <v>0</v>
      </c>
      <c r="M327" s="26">
        <v>0</v>
      </c>
      <c r="N327" s="26">
        <v>0</v>
      </c>
      <c r="O327" s="26">
        <v>0</v>
      </c>
      <c r="P327" s="26">
        <v>0</v>
      </c>
      <c r="Q327" s="26">
        <v>0</v>
      </c>
      <c r="R327" s="26">
        <v>0</v>
      </c>
      <c r="S327" s="26">
        <v>0</v>
      </c>
      <c r="T327" s="26">
        <v>0</v>
      </c>
      <c r="U327" s="26">
        <v>0</v>
      </c>
      <c r="V327" s="26">
        <v>0</v>
      </c>
      <c r="W327" s="26">
        <v>0</v>
      </c>
      <c r="X327" s="26">
        <v>0</v>
      </c>
      <c r="Y327" s="26">
        <v>0</v>
      </c>
      <c r="Z327" s="26">
        <v>0</v>
      </c>
      <c r="AA327" s="26">
        <v>0</v>
      </c>
      <c r="AB327" s="26">
        <v>114.973133</v>
      </c>
      <c r="AC327" s="26">
        <v>0</v>
      </c>
      <c r="AD327" s="26">
        <v>0</v>
      </c>
      <c r="AE327" s="26">
        <v>0</v>
      </c>
      <c r="AF327" s="26">
        <v>0</v>
      </c>
      <c r="AG327" s="26">
        <v>0</v>
      </c>
      <c r="AH327" s="26">
        <v>0</v>
      </c>
      <c r="AI327" s="26">
        <v>0</v>
      </c>
      <c r="AJ327" s="26">
        <v>0</v>
      </c>
      <c r="AK327" s="26">
        <v>0</v>
      </c>
      <c r="AL327" s="26">
        <v>0</v>
      </c>
      <c r="AM327" s="26">
        <v>0</v>
      </c>
      <c r="AN327" s="26">
        <v>0</v>
      </c>
      <c r="AO327" s="26">
        <v>0</v>
      </c>
      <c r="AP327" s="26">
        <v>0</v>
      </c>
      <c r="AQ327" s="26">
        <v>0</v>
      </c>
      <c r="AR327" s="26">
        <v>0</v>
      </c>
      <c r="AS327" s="26">
        <v>0</v>
      </c>
      <c r="AT327" s="26">
        <v>0</v>
      </c>
      <c r="AU327" s="26">
        <v>0</v>
      </c>
      <c r="AV327" s="26">
        <v>0</v>
      </c>
      <c r="AW327" s="26">
        <v>0</v>
      </c>
      <c r="AX327" s="26">
        <v>0</v>
      </c>
      <c r="AY327" s="26">
        <v>0</v>
      </c>
      <c r="AZ327" s="26">
        <v>0</v>
      </c>
      <c r="BA327" s="26">
        <v>0</v>
      </c>
      <c r="BB327" s="26">
        <v>0</v>
      </c>
      <c r="BC327" s="26">
        <v>0</v>
      </c>
      <c r="BD327" s="26">
        <v>0</v>
      </c>
      <c r="BE327" s="26">
        <v>0</v>
      </c>
      <c r="BF327" s="26">
        <v>0</v>
      </c>
      <c r="BG327" s="26">
        <v>0</v>
      </c>
      <c r="BH327" s="26">
        <v>0</v>
      </c>
      <c r="BI327" s="26">
        <v>0</v>
      </c>
      <c r="BJ327" s="26">
        <v>0</v>
      </c>
      <c r="BK327" s="26">
        <v>0</v>
      </c>
      <c r="BL327" s="26">
        <v>0</v>
      </c>
      <c r="BM327" s="26">
        <v>0</v>
      </c>
      <c r="BN327" s="26">
        <v>0</v>
      </c>
      <c r="BO327" s="26">
        <v>6.7509895899999997</v>
      </c>
      <c r="BP327" s="26">
        <v>114.973133</v>
      </c>
      <c r="BQ327" s="26">
        <v>3.1454145900000001</v>
      </c>
      <c r="BR327" s="26">
        <v>20</v>
      </c>
      <c r="BS327" s="26">
        <v>17</v>
      </c>
      <c r="BT327" s="26">
        <v>0</v>
      </c>
      <c r="BU327" s="26">
        <v>1</v>
      </c>
      <c r="BV327" s="26">
        <v>0</v>
      </c>
      <c r="BW327" s="26">
        <v>-15832.2564</v>
      </c>
      <c r="BX327" s="26">
        <v>-929.63803600000006</v>
      </c>
      <c r="BY327" s="26">
        <v>-0.106883399</v>
      </c>
      <c r="BZ327" s="26">
        <v>-44.475377799999997</v>
      </c>
      <c r="CA327" s="26">
        <v>-2.6115041300000001</v>
      </c>
      <c r="CB327" s="26">
        <v>3.5771593400000003E-2</v>
      </c>
      <c r="CC327" s="26">
        <v>0.60921026700000003</v>
      </c>
      <c r="CD327" s="26">
        <v>17.030560000000001</v>
      </c>
      <c r="CE327" s="26">
        <v>6.0261357599999998</v>
      </c>
      <c r="CF327" s="26">
        <v>0</v>
      </c>
      <c r="CG327" s="26">
        <v>0</v>
      </c>
      <c r="CH327" s="26">
        <v>0</v>
      </c>
      <c r="CI327" s="26">
        <v>0</v>
      </c>
      <c r="CJ327" s="26">
        <v>0</v>
      </c>
      <c r="CK327" s="26">
        <v>0</v>
      </c>
      <c r="CL327" s="26">
        <v>0</v>
      </c>
      <c r="CM327" s="26">
        <v>0</v>
      </c>
      <c r="CN327" s="26">
        <v>0</v>
      </c>
      <c r="CO327" s="26">
        <v>0</v>
      </c>
      <c r="CP327" s="26">
        <v>0</v>
      </c>
      <c r="CQ327" s="26">
        <v>0</v>
      </c>
      <c r="CR327" s="26">
        <v>0</v>
      </c>
      <c r="CS327" s="26">
        <v>0</v>
      </c>
      <c r="CT327" s="26">
        <v>0</v>
      </c>
      <c r="CU327" s="26">
        <v>0</v>
      </c>
      <c r="CV327" s="26">
        <v>0</v>
      </c>
      <c r="CW327" s="26">
        <v>0</v>
      </c>
      <c r="CX327" s="26">
        <v>0</v>
      </c>
      <c r="CY327" s="26">
        <v>0</v>
      </c>
      <c r="CZ327" s="26">
        <v>0</v>
      </c>
      <c r="DA327" s="26">
        <v>0</v>
      </c>
      <c r="DB327" s="26">
        <v>0</v>
      </c>
      <c r="DC327" s="26">
        <v>0</v>
      </c>
      <c r="DD327" s="26">
        <v>0</v>
      </c>
      <c r="DE327" s="26">
        <v>0</v>
      </c>
      <c r="DF327" s="26">
        <v>0</v>
      </c>
      <c r="DG327" s="26">
        <v>0</v>
      </c>
      <c r="DH327" s="26">
        <v>0</v>
      </c>
      <c r="DI327" s="26">
        <v>0</v>
      </c>
      <c r="DJ327" s="26">
        <v>0</v>
      </c>
      <c r="DK327" s="26">
        <v>0</v>
      </c>
      <c r="DL327" s="26">
        <v>0</v>
      </c>
      <c r="DM327" s="26">
        <v>0</v>
      </c>
      <c r="DN327" s="26">
        <v>0</v>
      </c>
      <c r="DO327" s="26">
        <v>0</v>
      </c>
      <c r="DP327" s="26">
        <v>0</v>
      </c>
      <c r="DQ327" s="26">
        <v>0</v>
      </c>
      <c r="DR327" s="26">
        <v>0</v>
      </c>
      <c r="DS327" s="26">
        <v>0</v>
      </c>
      <c r="DT327" s="26">
        <v>0</v>
      </c>
      <c r="DU327" s="26">
        <v>0</v>
      </c>
      <c r="DV327" s="26">
        <v>0</v>
      </c>
      <c r="DW327" s="26">
        <v>0</v>
      </c>
      <c r="DX327" s="26">
        <v>0</v>
      </c>
      <c r="DY327" s="26">
        <v>0</v>
      </c>
      <c r="DZ327" s="26">
        <v>0</v>
      </c>
      <c r="EA327" s="26">
        <v>0</v>
      </c>
      <c r="EB327" s="26">
        <v>0</v>
      </c>
      <c r="EC327" s="26">
        <v>0</v>
      </c>
      <c r="ED327" s="26">
        <v>0</v>
      </c>
      <c r="EE327" s="26">
        <v>0</v>
      </c>
      <c r="EF327" s="26">
        <v>0</v>
      </c>
      <c r="EG327" s="26">
        <v>0</v>
      </c>
      <c r="EH327" s="26">
        <v>0</v>
      </c>
      <c r="EI327" s="26">
        <v>0</v>
      </c>
      <c r="EJ327" s="26">
        <v>0</v>
      </c>
      <c r="EK327" s="26">
        <v>0</v>
      </c>
      <c r="EL327" s="26">
        <v>0</v>
      </c>
      <c r="EM327" s="26">
        <v>0</v>
      </c>
      <c r="EN327" s="26">
        <v>0</v>
      </c>
      <c r="EO327" s="26">
        <v>0</v>
      </c>
      <c r="EP327" s="26">
        <v>0</v>
      </c>
      <c r="EQ327" s="26">
        <v>0</v>
      </c>
      <c r="ER327" s="26">
        <v>0</v>
      </c>
      <c r="ES327" s="26">
        <v>0</v>
      </c>
      <c r="ET327" s="26">
        <v>17</v>
      </c>
      <c r="EU327" s="26">
        <v>0</v>
      </c>
      <c r="EV327" s="26">
        <v>0</v>
      </c>
      <c r="EW327" s="26">
        <v>0</v>
      </c>
      <c r="EX327" s="26">
        <v>0</v>
      </c>
      <c r="EY327" s="26">
        <v>0</v>
      </c>
      <c r="EZ327" s="26">
        <v>0</v>
      </c>
      <c r="FA327" s="26">
        <v>0</v>
      </c>
      <c r="FB327" s="26">
        <v>0</v>
      </c>
      <c r="FC327" s="26">
        <v>0</v>
      </c>
      <c r="FD327" s="26">
        <v>0</v>
      </c>
      <c r="FE327" s="26">
        <v>0</v>
      </c>
      <c r="FF327" s="26">
        <v>0</v>
      </c>
      <c r="FG327" s="26">
        <v>0</v>
      </c>
      <c r="FH327" s="26">
        <v>-123314.487962</v>
      </c>
      <c r="FI327" s="26">
        <v>0</v>
      </c>
      <c r="FJ327" s="26">
        <v>0</v>
      </c>
      <c r="FK327" s="26">
        <v>0</v>
      </c>
      <c r="FL327" s="26">
        <v>0</v>
      </c>
      <c r="FM327" s="26">
        <v>0</v>
      </c>
      <c r="FN327" s="26">
        <v>0</v>
      </c>
      <c r="FO327" s="26">
        <v>0</v>
      </c>
      <c r="FP327" s="26">
        <v>0</v>
      </c>
      <c r="FQ327" s="26">
        <v>0</v>
      </c>
      <c r="FR327" s="26">
        <v>0</v>
      </c>
      <c r="FS327" s="26">
        <v>0</v>
      </c>
      <c r="FT327" s="26">
        <v>0</v>
      </c>
      <c r="FU327" s="26">
        <v>0</v>
      </c>
      <c r="FV327" s="26">
        <v>0</v>
      </c>
      <c r="FW327" s="26">
        <v>0</v>
      </c>
      <c r="FX327" s="26">
        <v>0</v>
      </c>
      <c r="FY327" s="26">
        <v>0</v>
      </c>
      <c r="FZ327" s="26">
        <v>0</v>
      </c>
      <c r="GA327" s="26">
        <v>0</v>
      </c>
      <c r="GB327" s="26">
        <v>0</v>
      </c>
      <c r="GC327" s="26">
        <v>0</v>
      </c>
      <c r="GD327" s="26">
        <v>0</v>
      </c>
      <c r="GE327" s="26">
        <v>0</v>
      </c>
      <c r="GF327" s="26">
        <v>0</v>
      </c>
      <c r="GG327" s="26">
        <v>0</v>
      </c>
      <c r="GH327" s="26">
        <v>0</v>
      </c>
      <c r="GI327" s="26">
        <v>0</v>
      </c>
      <c r="GJ327" s="26">
        <v>0</v>
      </c>
      <c r="GK327" s="26">
        <v>0</v>
      </c>
      <c r="GL327" s="26">
        <v>0</v>
      </c>
      <c r="GM327" s="26">
        <v>0</v>
      </c>
      <c r="GN327" s="26">
        <v>0</v>
      </c>
      <c r="GO327" s="26">
        <v>0</v>
      </c>
      <c r="GP327" s="26">
        <v>0</v>
      </c>
      <c r="GQ327" s="26">
        <v>0</v>
      </c>
      <c r="GR327" s="26">
        <v>0</v>
      </c>
      <c r="GS327" s="26">
        <v>0</v>
      </c>
      <c r="GT327" s="26">
        <v>0</v>
      </c>
      <c r="GU327" s="26">
        <v>0</v>
      </c>
      <c r="GV327" s="26">
        <v>0</v>
      </c>
      <c r="GW327" s="26">
        <v>0</v>
      </c>
      <c r="GX327" s="26">
        <v>0</v>
      </c>
      <c r="GY327" s="26">
        <v>0</v>
      </c>
      <c r="GZ327" s="26">
        <v>0</v>
      </c>
      <c r="HA327" s="26">
        <v>0</v>
      </c>
      <c r="HB327" s="26">
        <v>0</v>
      </c>
      <c r="HC327" s="26">
        <v>0</v>
      </c>
      <c r="HD327" s="26">
        <v>0</v>
      </c>
      <c r="HE327" s="26">
        <v>0</v>
      </c>
      <c r="HF327" s="26">
        <v>0</v>
      </c>
      <c r="HG327" s="26">
        <v>0</v>
      </c>
      <c r="HH327" s="26">
        <v>0</v>
      </c>
      <c r="HI327" s="26">
        <v>0</v>
      </c>
      <c r="HJ327" s="26">
        <v>0</v>
      </c>
      <c r="HK327" s="26">
        <v>0</v>
      </c>
      <c r="HL327" s="26">
        <v>0</v>
      </c>
      <c r="HM327" s="26">
        <v>0</v>
      </c>
      <c r="HN327" s="26">
        <v>0</v>
      </c>
      <c r="HO327" s="26">
        <v>0</v>
      </c>
      <c r="HP327" s="26">
        <v>0</v>
      </c>
      <c r="HQ327" s="26">
        <v>0</v>
      </c>
      <c r="HR327" s="26">
        <v>0</v>
      </c>
      <c r="HS327" s="26">
        <v>0</v>
      </c>
      <c r="HT327" s="26">
        <v>0</v>
      </c>
    </row>
    <row r="328" spans="2:228" x14ac:dyDescent="0.2">
      <c r="B328" s="27" t="s">
        <v>3041</v>
      </c>
      <c r="C328" s="26">
        <v>363454.174</v>
      </c>
      <c r="D328" s="26">
        <v>-320.16415799999999</v>
      </c>
      <c r="E328" s="26">
        <v>54451.631999999998</v>
      </c>
      <c r="F328" s="26">
        <v>0</v>
      </c>
      <c r="G328" s="26">
        <v>0</v>
      </c>
      <c r="H328" s="26">
        <v>0</v>
      </c>
      <c r="I328" s="26">
        <v>0</v>
      </c>
      <c r="J328" s="26">
        <v>0</v>
      </c>
      <c r="K328" s="26">
        <v>0</v>
      </c>
      <c r="L328" s="26">
        <v>0</v>
      </c>
      <c r="M328" s="26">
        <v>0</v>
      </c>
      <c r="N328" s="26">
        <v>0</v>
      </c>
      <c r="O328" s="26">
        <v>0</v>
      </c>
      <c r="P328" s="26">
        <v>0</v>
      </c>
      <c r="Q328" s="26">
        <v>0</v>
      </c>
      <c r="R328" s="26">
        <v>0</v>
      </c>
      <c r="S328" s="26">
        <v>0</v>
      </c>
      <c r="T328" s="26">
        <v>0</v>
      </c>
      <c r="U328" s="26">
        <v>0</v>
      </c>
      <c r="V328" s="26">
        <v>0</v>
      </c>
      <c r="W328" s="26">
        <v>0</v>
      </c>
      <c r="X328" s="26">
        <v>0</v>
      </c>
      <c r="Y328" s="26">
        <v>0</v>
      </c>
      <c r="Z328" s="26">
        <v>0</v>
      </c>
      <c r="AA328" s="26">
        <v>0</v>
      </c>
      <c r="AB328" s="26">
        <v>30.413956800000001</v>
      </c>
      <c r="AC328" s="26">
        <v>3.1431767000000003E-5</v>
      </c>
      <c r="AD328" s="26">
        <v>0</v>
      </c>
      <c r="AE328" s="26">
        <v>0</v>
      </c>
      <c r="AF328" s="26">
        <v>7.1462960299999994</v>
      </c>
      <c r="AG328" s="26">
        <v>0</v>
      </c>
      <c r="AH328" s="26">
        <v>72.875005299999998</v>
      </c>
      <c r="AI328" s="26">
        <v>0</v>
      </c>
      <c r="AJ328" s="26">
        <v>0</v>
      </c>
      <c r="AK328" s="26">
        <v>0</v>
      </c>
      <c r="AL328" s="26">
        <v>0</v>
      </c>
      <c r="AM328" s="26">
        <v>0</v>
      </c>
      <c r="AN328" s="26">
        <v>11325.401</v>
      </c>
      <c r="AO328" s="26">
        <v>223991.829</v>
      </c>
      <c r="AP328" s="26">
        <v>0</v>
      </c>
      <c r="AQ328" s="26">
        <v>62.056292200000001</v>
      </c>
      <c r="AR328" s="26">
        <v>61.962034299999999</v>
      </c>
      <c r="AS328" s="26">
        <v>73397.056899999996</v>
      </c>
      <c r="AT328" s="26">
        <v>0</v>
      </c>
      <c r="AU328" s="26">
        <v>0</v>
      </c>
      <c r="AV328" s="26">
        <v>53.801330399999998</v>
      </c>
      <c r="AW328" s="26">
        <v>0</v>
      </c>
      <c r="AX328" s="26">
        <v>0</v>
      </c>
      <c r="AY328" s="26">
        <v>0</v>
      </c>
      <c r="AZ328" s="26">
        <v>0</v>
      </c>
      <c r="BA328" s="26">
        <v>0</v>
      </c>
      <c r="BB328" s="26">
        <v>0</v>
      </c>
      <c r="BC328" s="26">
        <v>0</v>
      </c>
      <c r="BD328" s="26">
        <v>0</v>
      </c>
      <c r="BE328" s="26">
        <v>0</v>
      </c>
      <c r="BF328" s="26">
        <v>0</v>
      </c>
      <c r="BG328" s="26">
        <v>0</v>
      </c>
      <c r="BH328" s="26">
        <v>0</v>
      </c>
      <c r="BI328" s="26">
        <v>0</v>
      </c>
      <c r="BJ328" s="26">
        <v>0</v>
      </c>
      <c r="BK328" s="26">
        <v>0</v>
      </c>
      <c r="BL328" s="26">
        <v>0</v>
      </c>
      <c r="BM328" s="26">
        <v>0</v>
      </c>
      <c r="BN328" s="26">
        <v>0</v>
      </c>
      <c r="BO328" s="26">
        <v>13047.157300000001</v>
      </c>
      <c r="BP328" s="26">
        <v>363454.174</v>
      </c>
      <c r="BQ328" s="26">
        <v>7398883.1699999999</v>
      </c>
      <c r="BR328" s="26">
        <v>145.31992700000001</v>
      </c>
      <c r="BS328" s="26">
        <v>1</v>
      </c>
      <c r="BT328" s="26">
        <v>0.99997615100000004</v>
      </c>
      <c r="BU328" s="26">
        <v>2.38489132E-5</v>
      </c>
      <c r="BV328" s="26">
        <v>0</v>
      </c>
      <c r="BW328" s="26">
        <v>-24538.997100000001</v>
      </c>
      <c r="BX328" s="26">
        <v>-880.89277400000003</v>
      </c>
      <c r="BY328" s="26">
        <v>-320.16415799999999</v>
      </c>
      <c r="BZ328" s="26">
        <v>2.1088349000000002</v>
      </c>
      <c r="CA328" s="26">
        <v>7.5702255400000001E-2</v>
      </c>
      <c r="CB328" s="26">
        <v>2.9389924700000002E-5</v>
      </c>
      <c r="CC328" s="26">
        <v>8.1871403599999997E-4</v>
      </c>
      <c r="CD328" s="26">
        <v>27.856962599999999</v>
      </c>
      <c r="CE328" s="26">
        <v>0</v>
      </c>
      <c r="CF328" s="26">
        <v>0</v>
      </c>
      <c r="CG328" s="26">
        <v>0</v>
      </c>
      <c r="CH328" s="26">
        <v>0</v>
      </c>
      <c r="CI328" s="26">
        <v>0</v>
      </c>
      <c r="CJ328" s="26">
        <v>0</v>
      </c>
      <c r="CK328" s="26">
        <v>0</v>
      </c>
      <c r="CL328" s="26">
        <v>0</v>
      </c>
      <c r="CM328" s="26">
        <v>0</v>
      </c>
      <c r="CN328" s="26">
        <v>0</v>
      </c>
      <c r="CO328" s="26">
        <v>0</v>
      </c>
      <c r="CP328" s="26">
        <v>0</v>
      </c>
      <c r="CQ328" s="26">
        <v>0</v>
      </c>
      <c r="CR328" s="26">
        <v>0</v>
      </c>
      <c r="CS328" s="26">
        <v>0</v>
      </c>
      <c r="CT328" s="26">
        <v>0</v>
      </c>
      <c r="CU328" s="26">
        <v>0</v>
      </c>
      <c r="CV328" s="26">
        <v>0</v>
      </c>
      <c r="CW328" s="26">
        <v>0</v>
      </c>
      <c r="CX328" s="26">
        <v>0</v>
      </c>
      <c r="CY328" s="26">
        <v>0</v>
      </c>
      <c r="CZ328" s="26">
        <v>0</v>
      </c>
      <c r="DA328" s="26">
        <v>0</v>
      </c>
      <c r="DB328" s="26">
        <v>0</v>
      </c>
      <c r="DC328" s="26">
        <v>0</v>
      </c>
      <c r="DD328" s="26">
        <v>0</v>
      </c>
      <c r="DE328" s="26">
        <v>0</v>
      </c>
      <c r="DF328" s="26">
        <v>0</v>
      </c>
      <c r="DG328" s="26">
        <v>0</v>
      </c>
      <c r="DH328" s="26">
        <v>0</v>
      </c>
      <c r="DI328" s="26">
        <v>0</v>
      </c>
      <c r="DJ328" s="26">
        <v>0</v>
      </c>
      <c r="DK328" s="26">
        <v>0</v>
      </c>
      <c r="DL328" s="26">
        <v>0</v>
      </c>
      <c r="DM328" s="26">
        <v>0</v>
      </c>
      <c r="DN328" s="26">
        <v>0</v>
      </c>
      <c r="DO328" s="26">
        <v>0</v>
      </c>
      <c r="DP328" s="26">
        <v>0</v>
      </c>
      <c r="DQ328" s="26">
        <v>0</v>
      </c>
      <c r="DR328" s="26">
        <v>0</v>
      </c>
      <c r="DS328" s="26">
        <v>0</v>
      </c>
      <c r="DT328" s="26">
        <v>0</v>
      </c>
      <c r="DU328" s="26">
        <v>0</v>
      </c>
      <c r="DV328" s="26">
        <v>0</v>
      </c>
      <c r="DW328" s="26">
        <v>0</v>
      </c>
      <c r="DX328" s="26">
        <v>0</v>
      </c>
      <c r="DY328" s="26">
        <v>0</v>
      </c>
      <c r="DZ328" s="26">
        <v>0</v>
      </c>
      <c r="EA328" s="26">
        <v>0</v>
      </c>
      <c r="EB328" s="26">
        <v>0</v>
      </c>
      <c r="EC328" s="26">
        <v>0</v>
      </c>
      <c r="ED328" s="26">
        <v>0</v>
      </c>
      <c r="EE328" s="26">
        <v>0</v>
      </c>
      <c r="EF328" s="26">
        <v>0</v>
      </c>
      <c r="EG328" s="26">
        <v>0</v>
      </c>
      <c r="EH328" s="26">
        <v>0</v>
      </c>
      <c r="EI328" s="26">
        <v>0</v>
      </c>
      <c r="EJ328" s="26">
        <v>0</v>
      </c>
      <c r="EK328" s="26">
        <v>0</v>
      </c>
      <c r="EL328" s="26">
        <v>0</v>
      </c>
      <c r="EM328" s="26">
        <v>0</v>
      </c>
      <c r="EN328" s="26">
        <v>0</v>
      </c>
      <c r="EO328" s="26">
        <v>0</v>
      </c>
      <c r="EP328" s="26">
        <v>0</v>
      </c>
      <c r="EQ328" s="26">
        <v>0</v>
      </c>
      <c r="ER328" s="26">
        <v>0</v>
      </c>
      <c r="ES328" s="26">
        <v>0</v>
      </c>
      <c r="ET328" s="26">
        <v>1</v>
      </c>
      <c r="EU328" s="26">
        <v>0</v>
      </c>
      <c r="EV328" s="26">
        <v>0</v>
      </c>
      <c r="EW328" s="26">
        <v>0</v>
      </c>
      <c r="EX328" s="26">
        <v>0</v>
      </c>
      <c r="EY328" s="26">
        <v>0</v>
      </c>
      <c r="EZ328" s="26">
        <v>0</v>
      </c>
      <c r="FA328" s="26">
        <v>0</v>
      </c>
      <c r="FB328" s="26">
        <v>0</v>
      </c>
      <c r="FC328" s="26">
        <v>0</v>
      </c>
      <c r="FD328" s="26">
        <v>0</v>
      </c>
      <c r="FE328" s="26">
        <v>0</v>
      </c>
      <c r="FF328" s="26">
        <v>0</v>
      </c>
      <c r="FG328" s="26">
        <v>1.3435107300000001E-4</v>
      </c>
      <c r="FH328" s="26">
        <v>-385660998.347</v>
      </c>
      <c r="FI328" s="26">
        <v>0.46387655648879023</v>
      </c>
      <c r="FJ328" s="26">
        <v>0.83958525949445983</v>
      </c>
      <c r="FK328" s="26">
        <v>0</v>
      </c>
      <c r="FL328" s="26">
        <v>0</v>
      </c>
      <c r="FM328" s="26">
        <v>0</v>
      </c>
      <c r="FN328" s="26">
        <v>0</v>
      </c>
      <c r="FO328" s="26">
        <v>0</v>
      </c>
      <c r="FP328" s="26">
        <v>0</v>
      </c>
      <c r="FQ328" s="26">
        <v>0</v>
      </c>
      <c r="FR328" s="26">
        <v>0</v>
      </c>
      <c r="FS328" s="26">
        <v>0</v>
      </c>
      <c r="FT328" s="26">
        <v>0</v>
      </c>
      <c r="FU328" s="26">
        <v>0</v>
      </c>
      <c r="FV328" s="26">
        <v>0</v>
      </c>
      <c r="FW328" s="26">
        <v>0</v>
      </c>
      <c r="FX328" s="26">
        <v>0</v>
      </c>
      <c r="FY328" s="26">
        <v>0</v>
      </c>
      <c r="FZ328" s="26">
        <v>0</v>
      </c>
      <c r="GA328" s="26">
        <v>0</v>
      </c>
      <c r="GB328" s="26">
        <v>0</v>
      </c>
      <c r="GC328" s="26">
        <v>0</v>
      </c>
      <c r="GD328" s="26">
        <v>0</v>
      </c>
      <c r="GE328" s="26">
        <v>0</v>
      </c>
      <c r="GF328" s="26">
        <v>0</v>
      </c>
      <c r="GG328" s="26">
        <v>4.9605649563511859E-4</v>
      </c>
      <c r="GH328" s="26">
        <v>8.9017990712143929E-11</v>
      </c>
      <c r="GI328" s="26">
        <v>0</v>
      </c>
      <c r="GJ328" s="26">
        <v>0</v>
      </c>
      <c r="GK328" s="26">
        <v>6.3029000226454221E-16</v>
      </c>
      <c r="GL328" s="26">
        <v>0</v>
      </c>
      <c r="GM328" s="26">
        <v>2.3816275662752427E-4</v>
      </c>
      <c r="GN328" s="26">
        <v>0</v>
      </c>
      <c r="GO328" s="26">
        <v>0</v>
      </c>
      <c r="GP328" s="26">
        <v>0</v>
      </c>
      <c r="GQ328" s="26">
        <v>0</v>
      </c>
      <c r="GR328" s="26">
        <v>0</v>
      </c>
      <c r="GS328" s="26">
        <v>9.8312115508719142E-2</v>
      </c>
      <c r="GT328" s="26">
        <v>2.2210189261014848</v>
      </c>
      <c r="GU328" s="26">
        <v>0</v>
      </c>
      <c r="GV328" s="26">
        <v>3.7468200577523379E-4</v>
      </c>
      <c r="GW328" s="26">
        <v>6.1445983824901212E-4</v>
      </c>
      <c r="GX328" s="26">
        <v>0.46325103148378605</v>
      </c>
      <c r="GY328" s="26">
        <v>0</v>
      </c>
      <c r="GZ328" s="26">
        <v>0</v>
      </c>
      <c r="HA328" s="26">
        <v>2.332709649217233E-4</v>
      </c>
      <c r="HB328" s="26">
        <v>0</v>
      </c>
      <c r="HC328" s="26">
        <v>0</v>
      </c>
      <c r="HD328" s="26">
        <v>0</v>
      </c>
      <c r="HE328" s="26">
        <v>0</v>
      </c>
      <c r="HF328" s="26">
        <v>0</v>
      </c>
      <c r="HG328" s="26">
        <v>0</v>
      </c>
      <c r="HH328" s="26">
        <v>0</v>
      </c>
      <c r="HI328" s="26">
        <v>0</v>
      </c>
      <c r="HJ328" s="26">
        <v>0</v>
      </c>
      <c r="HK328" s="26">
        <v>0</v>
      </c>
      <c r="HL328" s="26">
        <v>0</v>
      </c>
      <c r="HM328" s="26">
        <v>0</v>
      </c>
      <c r="HN328" s="26">
        <v>0</v>
      </c>
      <c r="HO328" s="26">
        <v>0</v>
      </c>
      <c r="HP328" s="26">
        <v>0</v>
      </c>
      <c r="HQ328" s="26">
        <v>0</v>
      </c>
      <c r="HR328" s="26">
        <v>0</v>
      </c>
      <c r="HS328" s="26">
        <v>0</v>
      </c>
      <c r="HT328" s="26">
        <v>0</v>
      </c>
    </row>
    <row r="329" spans="2:228" x14ac:dyDescent="0.2">
      <c r="B329" s="27" t="s">
        <v>2909</v>
      </c>
      <c r="C329" s="26">
        <v>369178.24</v>
      </c>
      <c r="D329" s="26">
        <v>-335.52764200000001</v>
      </c>
      <c r="E329" s="26">
        <v>54451.631999999998</v>
      </c>
      <c r="F329" s="26">
        <v>0</v>
      </c>
      <c r="G329" s="26">
        <v>0</v>
      </c>
      <c r="H329" s="26">
        <v>0</v>
      </c>
      <c r="I329" s="26">
        <v>0</v>
      </c>
      <c r="J329" s="26">
        <v>0</v>
      </c>
      <c r="K329" s="26">
        <v>0</v>
      </c>
      <c r="L329" s="26">
        <v>0</v>
      </c>
      <c r="M329" s="26">
        <v>0</v>
      </c>
      <c r="N329" s="26">
        <v>0</v>
      </c>
      <c r="O329" s="26">
        <v>0</v>
      </c>
      <c r="P329" s="26">
        <v>0</v>
      </c>
      <c r="Q329" s="26">
        <v>0</v>
      </c>
      <c r="R329" s="26">
        <v>0</v>
      </c>
      <c r="S329" s="26">
        <v>0</v>
      </c>
      <c r="T329" s="26">
        <v>0</v>
      </c>
      <c r="U329" s="26">
        <v>0</v>
      </c>
      <c r="V329" s="26">
        <v>0</v>
      </c>
      <c r="W329" s="26">
        <v>0</v>
      </c>
      <c r="X329" s="26">
        <v>0</v>
      </c>
      <c r="Y329" s="26">
        <v>0</v>
      </c>
      <c r="Z329" s="26">
        <v>0</v>
      </c>
      <c r="AA329" s="26">
        <v>0</v>
      </c>
      <c r="AB329" s="26">
        <v>30.413956800000001</v>
      </c>
      <c r="AC329" s="26">
        <v>3.1431767000000003E-5</v>
      </c>
      <c r="AD329" s="26">
        <v>0</v>
      </c>
      <c r="AE329" s="26">
        <v>0</v>
      </c>
      <c r="AF329" s="26">
        <v>7.1462960299999994</v>
      </c>
      <c r="AG329" s="26">
        <v>0</v>
      </c>
      <c r="AH329" s="26">
        <v>72.875005299999998</v>
      </c>
      <c r="AI329" s="26">
        <v>0</v>
      </c>
      <c r="AJ329" s="26">
        <v>0</v>
      </c>
      <c r="AK329" s="26">
        <v>0</v>
      </c>
      <c r="AL329" s="26">
        <v>0</v>
      </c>
      <c r="AM329" s="26">
        <v>0</v>
      </c>
      <c r="AN329" s="26">
        <v>11325.401</v>
      </c>
      <c r="AO329" s="26">
        <v>223991.829</v>
      </c>
      <c r="AP329" s="26">
        <v>0</v>
      </c>
      <c r="AQ329" s="26">
        <v>62.056292200000001</v>
      </c>
      <c r="AR329" s="26">
        <v>61.962034299999999</v>
      </c>
      <c r="AS329" s="26">
        <v>73397.056899999996</v>
      </c>
      <c r="AT329" s="26">
        <v>0</v>
      </c>
      <c r="AU329" s="26">
        <v>0</v>
      </c>
      <c r="AV329" s="26">
        <v>53.801330399999998</v>
      </c>
      <c r="AW329" s="26">
        <v>0</v>
      </c>
      <c r="AX329" s="26">
        <v>0</v>
      </c>
      <c r="AY329" s="26">
        <v>0</v>
      </c>
      <c r="AZ329" s="26">
        <v>0</v>
      </c>
      <c r="BA329" s="26">
        <v>0</v>
      </c>
      <c r="BB329" s="26">
        <v>0</v>
      </c>
      <c r="BC329" s="26">
        <v>0</v>
      </c>
      <c r="BD329" s="26">
        <v>0</v>
      </c>
      <c r="BE329" s="26">
        <v>0</v>
      </c>
      <c r="BF329" s="26">
        <v>0</v>
      </c>
      <c r="BG329" s="26">
        <v>0</v>
      </c>
      <c r="BH329" s="26">
        <v>0</v>
      </c>
      <c r="BI329" s="26">
        <v>0</v>
      </c>
      <c r="BJ329" s="26">
        <v>0</v>
      </c>
      <c r="BK329" s="26">
        <v>0</v>
      </c>
      <c r="BL329" s="26">
        <v>0</v>
      </c>
      <c r="BM329" s="26">
        <v>0</v>
      </c>
      <c r="BN329" s="26">
        <v>0</v>
      </c>
      <c r="BO329" s="26">
        <v>13047.157300000001</v>
      </c>
      <c r="BP329" s="26">
        <v>363454.174</v>
      </c>
      <c r="BQ329" s="26">
        <v>7565432.2599999998</v>
      </c>
      <c r="BR329" s="26">
        <v>140.26315099999999</v>
      </c>
      <c r="BS329" s="26">
        <v>0.96597701999999996</v>
      </c>
      <c r="BT329" s="26">
        <v>0.99997526400000003</v>
      </c>
      <c r="BU329" s="26">
        <v>2.47364009E-5</v>
      </c>
      <c r="BV329" s="26">
        <v>0</v>
      </c>
      <c r="BW329" s="26">
        <v>-24578.2749</v>
      </c>
      <c r="BX329" s="26">
        <v>-882.30275600000004</v>
      </c>
      <c r="BY329" s="26">
        <v>-320.67662200000001</v>
      </c>
      <c r="BZ329" s="26">
        <v>2.0825101199999998</v>
      </c>
      <c r="CA329" s="26">
        <v>7.4757257100000002E-2</v>
      </c>
      <c r="CB329" s="26">
        <v>2.8742920700000002E-5</v>
      </c>
      <c r="CC329" s="26">
        <v>8.0069046800000003E-4</v>
      </c>
      <c r="CD329" s="26">
        <v>27.856962599999999</v>
      </c>
      <c r="CE329" s="26">
        <v>0</v>
      </c>
      <c r="CF329" s="26">
        <v>0</v>
      </c>
      <c r="CG329" s="26">
        <v>0</v>
      </c>
      <c r="CH329" s="26">
        <v>0</v>
      </c>
      <c r="CI329" s="26">
        <v>0</v>
      </c>
      <c r="CJ329" s="26">
        <v>0</v>
      </c>
      <c r="CK329" s="26">
        <v>0</v>
      </c>
      <c r="CL329" s="26">
        <v>0</v>
      </c>
      <c r="CM329" s="26">
        <v>0</v>
      </c>
      <c r="CN329" s="26">
        <v>0</v>
      </c>
      <c r="CO329" s="26">
        <v>0</v>
      </c>
      <c r="CP329" s="26">
        <v>0</v>
      </c>
      <c r="CQ329" s="26">
        <v>0</v>
      </c>
      <c r="CR329" s="26">
        <v>0</v>
      </c>
      <c r="CS329" s="26">
        <v>0</v>
      </c>
      <c r="CT329" s="26">
        <v>0</v>
      </c>
      <c r="CU329" s="26">
        <v>0</v>
      </c>
      <c r="CV329" s="26">
        <v>0</v>
      </c>
      <c r="CW329" s="26">
        <v>0</v>
      </c>
      <c r="CX329" s="26">
        <v>0</v>
      </c>
      <c r="CY329" s="26">
        <v>0</v>
      </c>
      <c r="CZ329" s="26">
        <v>0</v>
      </c>
      <c r="DA329" s="26">
        <v>0</v>
      </c>
      <c r="DB329" s="26">
        <v>0</v>
      </c>
      <c r="DC329" s="26">
        <v>0</v>
      </c>
      <c r="DD329" s="26">
        <v>0</v>
      </c>
      <c r="DE329" s="26">
        <v>0</v>
      </c>
      <c r="DF329" s="26">
        <v>0</v>
      </c>
      <c r="DG329" s="26">
        <v>0</v>
      </c>
      <c r="DH329" s="26">
        <v>0</v>
      </c>
      <c r="DI329" s="26">
        <v>0</v>
      </c>
      <c r="DJ329" s="26">
        <v>0</v>
      </c>
      <c r="DK329" s="26">
        <v>0</v>
      </c>
      <c r="DL329" s="26">
        <v>0</v>
      </c>
      <c r="DM329" s="26">
        <v>0</v>
      </c>
      <c r="DN329" s="26">
        <v>0</v>
      </c>
      <c r="DO329" s="26">
        <v>0</v>
      </c>
      <c r="DP329" s="26">
        <v>0</v>
      </c>
      <c r="DQ329" s="26">
        <v>0</v>
      </c>
      <c r="DR329" s="26">
        <v>0</v>
      </c>
      <c r="DS329" s="26">
        <v>0</v>
      </c>
      <c r="DT329" s="26">
        <v>0</v>
      </c>
      <c r="DU329" s="26">
        <v>0</v>
      </c>
      <c r="DV329" s="26">
        <v>0</v>
      </c>
      <c r="DW329" s="26">
        <v>0</v>
      </c>
      <c r="DX329" s="26">
        <v>0</v>
      </c>
      <c r="DY329" s="26">
        <v>0</v>
      </c>
      <c r="DZ329" s="26">
        <v>0</v>
      </c>
      <c r="EA329" s="26">
        <v>0</v>
      </c>
      <c r="EB329" s="26">
        <v>0</v>
      </c>
      <c r="EC329" s="26">
        <v>0</v>
      </c>
      <c r="ED329" s="26">
        <v>0</v>
      </c>
      <c r="EE329" s="26">
        <v>0</v>
      </c>
      <c r="EF329" s="26">
        <v>4107.8476600000004</v>
      </c>
      <c r="EG329" s="26">
        <v>0</v>
      </c>
      <c r="EH329" s="26">
        <v>0</v>
      </c>
      <c r="EI329" s="26">
        <v>0</v>
      </c>
      <c r="EJ329" s="26">
        <v>0</v>
      </c>
      <c r="EK329" s="26">
        <v>0</v>
      </c>
      <c r="EL329" s="26">
        <v>0</v>
      </c>
      <c r="EM329" s="26">
        <v>178.89025899999999</v>
      </c>
      <c r="EN329" s="26">
        <v>1314.8076799999999</v>
      </c>
      <c r="EO329" s="26">
        <v>122.52014800000001</v>
      </c>
      <c r="EP329" s="26">
        <v>95.525898100000006</v>
      </c>
      <c r="EQ329" s="26">
        <v>5724.06574</v>
      </c>
      <c r="ER329" s="26">
        <v>30.546050600000001</v>
      </c>
      <c r="ES329" s="26">
        <v>140.26315099999999</v>
      </c>
      <c r="ET329" s="26">
        <v>0.96597701999999996</v>
      </c>
      <c r="EU329" s="26">
        <v>0</v>
      </c>
      <c r="EV329" s="26">
        <v>0</v>
      </c>
      <c r="EW329" s="26">
        <v>1</v>
      </c>
      <c r="EX329" s="26">
        <v>-155465.90100000001</v>
      </c>
      <c r="EY329" s="26">
        <v>-2594.4879900000001</v>
      </c>
      <c r="EZ329" s="26">
        <v>-14.851019900000001</v>
      </c>
      <c r="FA329" s="26">
        <v>-24.698195299999998</v>
      </c>
      <c r="FB329" s="26">
        <v>-0.412175085</v>
      </c>
      <c r="FC329" s="26">
        <v>5.2121248100000003E-2</v>
      </c>
      <c r="FD329" s="26">
        <v>3.1231891699999998</v>
      </c>
      <c r="FE329" s="26">
        <v>59.921611400000003</v>
      </c>
      <c r="FF329" s="26">
        <v>0</v>
      </c>
      <c r="FG329" s="26">
        <v>1.01645112E-3</v>
      </c>
      <c r="FH329" s="26">
        <v>-403092593.60899997</v>
      </c>
      <c r="FI329" s="26">
        <v>0.46387655648879023</v>
      </c>
      <c r="FJ329" s="26">
        <v>0.83958451505000942</v>
      </c>
      <c r="FK329" s="26">
        <v>0</v>
      </c>
      <c r="FL329" s="26">
        <v>0</v>
      </c>
      <c r="FM329" s="26">
        <v>0</v>
      </c>
      <c r="FN329" s="26">
        <v>0</v>
      </c>
      <c r="FO329" s="26">
        <v>0</v>
      </c>
      <c r="FP329" s="26">
        <v>0</v>
      </c>
      <c r="FQ329" s="26">
        <v>0</v>
      </c>
      <c r="FR329" s="26">
        <v>0</v>
      </c>
      <c r="FS329" s="26">
        <v>0</v>
      </c>
      <c r="FT329" s="26">
        <v>0</v>
      </c>
      <c r="FU329" s="26">
        <v>0</v>
      </c>
      <c r="FV329" s="26">
        <v>0</v>
      </c>
      <c r="FW329" s="26">
        <v>0</v>
      </c>
      <c r="FX329" s="26">
        <v>0</v>
      </c>
      <c r="FY329" s="26">
        <v>0</v>
      </c>
      <c r="FZ329" s="26">
        <v>0</v>
      </c>
      <c r="GA329" s="26">
        <v>0</v>
      </c>
      <c r="GB329" s="26">
        <v>0</v>
      </c>
      <c r="GC329" s="26">
        <v>0</v>
      </c>
      <c r="GD329" s="26">
        <v>0</v>
      </c>
      <c r="GE329" s="26">
        <v>0</v>
      </c>
      <c r="GF329" s="26">
        <v>0</v>
      </c>
      <c r="GG329" s="26">
        <v>4.9605605396844845E-4</v>
      </c>
      <c r="GH329" s="26">
        <v>8.9017911823254409E-11</v>
      </c>
      <c r="GI329" s="26">
        <v>0</v>
      </c>
      <c r="GJ329" s="26">
        <v>0</v>
      </c>
      <c r="GK329" s="26">
        <v>6.0767605763918629E-16</v>
      </c>
      <c r="GL329" s="26">
        <v>0</v>
      </c>
      <c r="GM329" s="26">
        <v>2.3816254523863369E-4</v>
      </c>
      <c r="GN329" s="26">
        <v>0</v>
      </c>
      <c r="GO329" s="26">
        <v>0</v>
      </c>
      <c r="GP329" s="26">
        <v>0</v>
      </c>
      <c r="GQ329" s="26">
        <v>0</v>
      </c>
      <c r="GR329" s="26">
        <v>0</v>
      </c>
      <c r="GS329" s="26">
        <v>9.8312028286496225E-2</v>
      </c>
      <c r="GT329" s="26">
        <v>2.2210169538792468</v>
      </c>
      <c r="GU329" s="26">
        <v>0</v>
      </c>
      <c r="GV329" s="26">
        <v>3.7468167244189782E-4</v>
      </c>
      <c r="GW329" s="26">
        <v>6.1445929380456329E-4</v>
      </c>
      <c r="GX329" s="26">
        <v>0.46325062037267162</v>
      </c>
      <c r="GY329" s="26">
        <v>0</v>
      </c>
      <c r="GZ329" s="26">
        <v>0</v>
      </c>
      <c r="HA329" s="26">
        <v>2.3327075769949938E-4</v>
      </c>
      <c r="HB329" s="26">
        <v>0</v>
      </c>
      <c r="HC329" s="26">
        <v>0</v>
      </c>
      <c r="HD329" s="26">
        <v>0</v>
      </c>
      <c r="HE329" s="26">
        <v>0</v>
      </c>
      <c r="HF329" s="26">
        <v>0</v>
      </c>
      <c r="HG329" s="26">
        <v>0</v>
      </c>
      <c r="HH329" s="26">
        <v>0</v>
      </c>
      <c r="HI329" s="26">
        <v>0</v>
      </c>
      <c r="HJ329" s="26">
        <v>0</v>
      </c>
      <c r="HK329" s="26">
        <v>0</v>
      </c>
      <c r="HL329" s="26">
        <v>0</v>
      </c>
      <c r="HM329" s="26">
        <v>0</v>
      </c>
      <c r="HN329" s="26">
        <v>0</v>
      </c>
      <c r="HO329" s="26">
        <v>0</v>
      </c>
      <c r="HP329" s="26">
        <v>0</v>
      </c>
      <c r="HQ329" s="26">
        <v>0</v>
      </c>
      <c r="HR329" s="26">
        <v>0</v>
      </c>
      <c r="HS329" s="26">
        <v>0</v>
      </c>
      <c r="HT329" s="26">
        <v>2.8335171615570262E-3</v>
      </c>
    </row>
    <row r="330" spans="2:228" x14ac:dyDescent="0.2">
      <c r="B330" s="27" t="s">
        <v>2926</v>
      </c>
      <c r="C330" s="26">
        <v>4472.25648</v>
      </c>
      <c r="D330" s="26">
        <v>-16.372231800000002</v>
      </c>
      <c r="E330" s="26">
        <v>3577.80519</v>
      </c>
      <c r="F330" s="26">
        <v>0</v>
      </c>
      <c r="G330" s="26">
        <v>0</v>
      </c>
      <c r="H330" s="26">
        <v>0</v>
      </c>
      <c r="I330" s="26">
        <v>0</v>
      </c>
      <c r="J330" s="26">
        <v>0</v>
      </c>
      <c r="K330" s="26">
        <v>0</v>
      </c>
      <c r="L330" s="26">
        <v>0</v>
      </c>
      <c r="M330" s="26">
        <v>0</v>
      </c>
      <c r="N330" s="26">
        <v>0</v>
      </c>
      <c r="O330" s="26">
        <v>0</v>
      </c>
      <c r="P330" s="26">
        <v>0</v>
      </c>
      <c r="Q330" s="26">
        <v>0</v>
      </c>
      <c r="R330" s="26">
        <v>0</v>
      </c>
      <c r="S330" s="26">
        <v>0</v>
      </c>
      <c r="T330" s="26">
        <v>0</v>
      </c>
      <c r="U330" s="26">
        <v>0</v>
      </c>
      <c r="V330" s="26">
        <v>0</v>
      </c>
      <c r="W330" s="26">
        <v>0</v>
      </c>
      <c r="X330" s="26">
        <v>0</v>
      </c>
      <c r="Y330" s="26">
        <v>0</v>
      </c>
      <c r="Z330" s="26">
        <v>0</v>
      </c>
      <c r="AA330" s="26">
        <v>0</v>
      </c>
      <c r="AB330" s="26">
        <v>0</v>
      </c>
      <c r="AC330" s="26">
        <v>0</v>
      </c>
      <c r="AD330" s="26">
        <v>0</v>
      </c>
      <c r="AE330" s="26">
        <v>0</v>
      </c>
      <c r="AF330" s="26">
        <v>0</v>
      </c>
      <c r="AG330" s="26">
        <v>0</v>
      </c>
      <c r="AH330" s="26">
        <v>0</v>
      </c>
      <c r="AI330" s="26">
        <v>0</v>
      </c>
      <c r="AJ330" s="26">
        <v>0</v>
      </c>
      <c r="AK330" s="26">
        <v>0</v>
      </c>
      <c r="AL330" s="26">
        <v>0</v>
      </c>
      <c r="AM330" s="26">
        <v>0</v>
      </c>
      <c r="AN330" s="26">
        <v>0</v>
      </c>
      <c r="AO330" s="26">
        <v>0</v>
      </c>
      <c r="AP330" s="26">
        <v>0</v>
      </c>
      <c r="AQ330" s="26">
        <v>0</v>
      </c>
      <c r="AR330" s="26">
        <v>0</v>
      </c>
      <c r="AS330" s="26">
        <v>0</v>
      </c>
      <c r="AT330" s="26">
        <v>0</v>
      </c>
      <c r="AU330" s="26">
        <v>0</v>
      </c>
      <c r="AV330" s="26">
        <v>0</v>
      </c>
      <c r="AW330" s="26">
        <v>0</v>
      </c>
      <c r="AX330" s="26">
        <v>0</v>
      </c>
      <c r="AY330" s="26">
        <v>0</v>
      </c>
      <c r="AZ330" s="26">
        <v>0</v>
      </c>
      <c r="BA330" s="26">
        <v>0</v>
      </c>
      <c r="BB330" s="26">
        <v>0</v>
      </c>
      <c r="BC330" s="26">
        <v>0</v>
      </c>
      <c r="BD330" s="26">
        <v>0</v>
      </c>
      <c r="BE330" s="26">
        <v>0</v>
      </c>
      <c r="BF330" s="26">
        <v>0</v>
      </c>
      <c r="BG330" s="26">
        <v>0</v>
      </c>
      <c r="BH330" s="26">
        <v>0</v>
      </c>
      <c r="BI330" s="26">
        <v>0</v>
      </c>
      <c r="BJ330" s="26">
        <v>0</v>
      </c>
      <c r="BK330" s="26">
        <v>0</v>
      </c>
      <c r="BL330" s="26">
        <v>0</v>
      </c>
      <c r="BM330" s="26">
        <v>0</v>
      </c>
      <c r="BN330" s="26">
        <v>0</v>
      </c>
      <c r="BO330" s="26">
        <v>198.598367</v>
      </c>
      <c r="BP330" s="26">
        <v>3577.80519</v>
      </c>
      <c r="BQ330" s="26">
        <v>59.932290100000003</v>
      </c>
      <c r="BR330" s="26">
        <v>32.54557269999998</v>
      </c>
      <c r="BS330" s="26">
        <v>1</v>
      </c>
      <c r="BT330" s="26">
        <v>0</v>
      </c>
      <c r="BU330" s="26">
        <v>1</v>
      </c>
      <c r="BV330" s="26">
        <v>0</v>
      </c>
      <c r="BW330" s="26">
        <v>-68132.103600000002</v>
      </c>
      <c r="BX330" s="26">
        <v>-3781.9064499999999</v>
      </c>
      <c r="BY330" s="26">
        <v>-13.530924600000001</v>
      </c>
      <c r="BZ330" s="26">
        <v>-38.516970999999998</v>
      </c>
      <c r="CA330" s="26">
        <v>-2.1380167800000001</v>
      </c>
      <c r="CB330" s="26">
        <v>5.5228537699999997E-2</v>
      </c>
      <c r="CC330" s="26">
        <v>0.99495756999999996</v>
      </c>
      <c r="CD330" s="26">
        <v>18.015280000000001</v>
      </c>
      <c r="CE330" s="26">
        <v>59.745007999999999</v>
      </c>
      <c r="CF330" s="26">
        <v>0</v>
      </c>
      <c r="CG330" s="26">
        <v>0</v>
      </c>
      <c r="CH330" s="26">
        <v>0</v>
      </c>
      <c r="CI330" s="26">
        <v>0</v>
      </c>
      <c r="CJ330" s="26">
        <v>0</v>
      </c>
      <c r="CK330" s="26">
        <v>0</v>
      </c>
      <c r="CL330" s="26">
        <v>0</v>
      </c>
      <c r="CM330" s="26">
        <v>0</v>
      </c>
      <c r="CN330" s="26">
        <v>0</v>
      </c>
      <c r="CO330" s="26">
        <v>0</v>
      </c>
      <c r="CP330" s="26">
        <v>0</v>
      </c>
      <c r="CQ330" s="26">
        <v>0</v>
      </c>
      <c r="CR330" s="26">
        <v>0</v>
      </c>
      <c r="CS330" s="26">
        <v>0</v>
      </c>
      <c r="CT330" s="26">
        <v>0</v>
      </c>
      <c r="CU330" s="26">
        <v>0</v>
      </c>
      <c r="CV330" s="26">
        <v>0</v>
      </c>
      <c r="CW330" s="26">
        <v>0</v>
      </c>
      <c r="CX330" s="26">
        <v>0</v>
      </c>
      <c r="CY330" s="26">
        <v>0</v>
      </c>
      <c r="CZ330" s="26">
        <v>0</v>
      </c>
      <c r="DA330" s="26">
        <v>0</v>
      </c>
      <c r="DB330" s="26">
        <v>0</v>
      </c>
      <c r="DC330" s="26">
        <v>0</v>
      </c>
      <c r="DD330" s="26">
        <v>0</v>
      </c>
      <c r="DE330" s="26">
        <v>0</v>
      </c>
      <c r="DF330" s="26">
        <v>0</v>
      </c>
      <c r="DG330" s="26">
        <v>0</v>
      </c>
      <c r="DH330" s="26">
        <v>0</v>
      </c>
      <c r="DI330" s="26">
        <v>0</v>
      </c>
      <c r="DJ330" s="26">
        <v>0</v>
      </c>
      <c r="DK330" s="26">
        <v>0</v>
      </c>
      <c r="DL330" s="26">
        <v>0</v>
      </c>
      <c r="DM330" s="26">
        <v>0</v>
      </c>
      <c r="DN330" s="26">
        <v>0</v>
      </c>
      <c r="DO330" s="26">
        <v>0</v>
      </c>
      <c r="DP330" s="26">
        <v>0</v>
      </c>
      <c r="DQ330" s="26">
        <v>0</v>
      </c>
      <c r="DR330" s="26">
        <v>0</v>
      </c>
      <c r="DS330" s="26">
        <v>0</v>
      </c>
      <c r="DT330" s="26">
        <v>0</v>
      </c>
      <c r="DU330" s="26">
        <v>0</v>
      </c>
      <c r="DV330" s="26">
        <v>0</v>
      </c>
      <c r="DW330" s="26">
        <v>0</v>
      </c>
      <c r="DX330" s="26">
        <v>0</v>
      </c>
      <c r="DY330" s="26">
        <v>0</v>
      </c>
      <c r="DZ330" s="26">
        <v>0</v>
      </c>
      <c r="EA330" s="26">
        <v>0</v>
      </c>
      <c r="EB330" s="26">
        <v>0</v>
      </c>
      <c r="EC330" s="26">
        <v>0</v>
      </c>
      <c r="ED330" s="26">
        <v>0</v>
      </c>
      <c r="EE330" s="26">
        <v>0</v>
      </c>
      <c r="EF330" s="26">
        <v>0</v>
      </c>
      <c r="EG330" s="26">
        <v>0</v>
      </c>
      <c r="EH330" s="26">
        <v>0</v>
      </c>
      <c r="EI330" s="26">
        <v>0</v>
      </c>
      <c r="EJ330" s="26">
        <v>0</v>
      </c>
      <c r="EK330" s="26">
        <v>0</v>
      </c>
      <c r="EL330" s="26">
        <v>0</v>
      </c>
      <c r="EM330" s="26">
        <v>894.45129599999996</v>
      </c>
      <c r="EN330" s="26">
        <v>0</v>
      </c>
      <c r="EO330" s="26">
        <v>0</v>
      </c>
      <c r="EP330" s="26">
        <v>12.072060199999999</v>
      </c>
      <c r="EQ330" s="26">
        <v>894.45129599999996</v>
      </c>
      <c r="ER330" s="26">
        <v>6.4550831000000004</v>
      </c>
      <c r="ES330" s="26">
        <v>32.54557269999998</v>
      </c>
      <c r="ET330" s="26">
        <v>1</v>
      </c>
      <c r="EU330" s="26">
        <v>0</v>
      </c>
      <c r="EV330" s="26">
        <v>0</v>
      </c>
      <c r="EW330" s="26">
        <v>1</v>
      </c>
      <c r="EX330" s="26">
        <v>-235362.24400000001</v>
      </c>
      <c r="EY330" s="26">
        <v>-3176.5924</v>
      </c>
      <c r="EZ330" s="26">
        <v>-2.8413072100000001</v>
      </c>
      <c r="FA330" s="26">
        <v>-69.707114500000003</v>
      </c>
      <c r="FB330" s="26">
        <v>-0.94080973300000004</v>
      </c>
      <c r="FC330" s="26">
        <v>3.1169389799999999E-2</v>
      </c>
      <c r="FD330" s="26">
        <v>2.3094236299999999</v>
      </c>
      <c r="FE330" s="26">
        <v>74.092680000000001</v>
      </c>
      <c r="FF330" s="26">
        <v>0</v>
      </c>
      <c r="FG330" s="26">
        <v>0</v>
      </c>
      <c r="FH330" s="26">
        <v>-19074446.619700003</v>
      </c>
      <c r="FI330" s="26">
        <v>0</v>
      </c>
      <c r="FJ330" s="26">
        <v>0</v>
      </c>
      <c r="FK330" s="26">
        <v>0</v>
      </c>
      <c r="FL330" s="26">
        <v>0</v>
      </c>
      <c r="FM330" s="26">
        <v>0</v>
      </c>
      <c r="FN330" s="26">
        <v>0</v>
      </c>
      <c r="FO330" s="26">
        <v>0</v>
      </c>
      <c r="FP330" s="26">
        <v>0</v>
      </c>
      <c r="FQ330" s="26">
        <v>0</v>
      </c>
      <c r="FR330" s="26">
        <v>0</v>
      </c>
      <c r="FS330" s="26">
        <v>0</v>
      </c>
      <c r="FT330" s="26">
        <v>0</v>
      </c>
      <c r="FU330" s="26">
        <v>0</v>
      </c>
      <c r="FV330" s="26">
        <v>0</v>
      </c>
      <c r="FW330" s="26">
        <v>0</v>
      </c>
      <c r="FX330" s="26">
        <v>0</v>
      </c>
      <c r="FY330" s="26">
        <v>0</v>
      </c>
      <c r="FZ330" s="26">
        <v>0</v>
      </c>
      <c r="GA330" s="26">
        <v>0</v>
      </c>
      <c r="GB330" s="26">
        <v>0</v>
      </c>
      <c r="GC330" s="26">
        <v>0</v>
      </c>
      <c r="GD330" s="26">
        <v>0</v>
      </c>
      <c r="GE330" s="26">
        <v>0</v>
      </c>
      <c r="GF330" s="26">
        <v>0</v>
      </c>
      <c r="GG330" s="26">
        <v>0</v>
      </c>
      <c r="GH330" s="26">
        <v>0</v>
      </c>
      <c r="GI330" s="26">
        <v>0</v>
      </c>
      <c r="GJ330" s="26">
        <v>0</v>
      </c>
      <c r="GK330" s="26">
        <v>0</v>
      </c>
      <c r="GL330" s="26">
        <v>0</v>
      </c>
      <c r="GM330" s="26">
        <v>0</v>
      </c>
      <c r="GN330" s="26">
        <v>0</v>
      </c>
      <c r="GO330" s="26">
        <v>0</v>
      </c>
      <c r="GP330" s="26">
        <v>0</v>
      </c>
      <c r="GQ330" s="26">
        <v>0</v>
      </c>
      <c r="GR330" s="26">
        <v>0</v>
      </c>
      <c r="GS330" s="26">
        <v>0</v>
      </c>
      <c r="GT330" s="26">
        <v>0</v>
      </c>
      <c r="GU330" s="26">
        <v>0</v>
      </c>
      <c r="GV330" s="26">
        <v>0</v>
      </c>
      <c r="GW330" s="26">
        <v>0</v>
      </c>
      <c r="GX330" s="26">
        <v>0</v>
      </c>
      <c r="GY330" s="26">
        <v>0</v>
      </c>
      <c r="GZ330" s="26">
        <v>0</v>
      </c>
      <c r="HA330" s="26">
        <v>0</v>
      </c>
      <c r="HB330" s="26">
        <v>0</v>
      </c>
      <c r="HC330" s="26">
        <v>0</v>
      </c>
      <c r="HD330" s="26">
        <v>0</v>
      </c>
      <c r="HE330" s="26">
        <v>0</v>
      </c>
      <c r="HF330" s="26">
        <v>0</v>
      </c>
      <c r="HG330" s="26">
        <v>0</v>
      </c>
      <c r="HH330" s="26">
        <v>0</v>
      </c>
      <c r="HI330" s="26">
        <v>0</v>
      </c>
      <c r="HJ330" s="26">
        <v>0</v>
      </c>
      <c r="HK330" s="26">
        <v>0</v>
      </c>
      <c r="HL330" s="26">
        <v>0</v>
      </c>
      <c r="HM330" s="26">
        <v>0</v>
      </c>
      <c r="HN330" s="26">
        <v>0</v>
      </c>
      <c r="HO330" s="26">
        <v>0</v>
      </c>
      <c r="HP330" s="26">
        <v>0</v>
      </c>
      <c r="HQ330" s="26">
        <v>0</v>
      </c>
      <c r="HR330" s="26">
        <v>0</v>
      </c>
      <c r="HS330" s="26">
        <v>0</v>
      </c>
      <c r="HT330" s="26">
        <v>0</v>
      </c>
    </row>
    <row r="331" spans="2:228" x14ac:dyDescent="0.2">
      <c r="B331" s="27" t="s">
        <v>2927</v>
      </c>
      <c r="C331" s="26">
        <v>363454.174</v>
      </c>
      <c r="D331" s="26">
        <v>-320.67662200000001</v>
      </c>
      <c r="E331" s="26">
        <v>54451.631999999998</v>
      </c>
      <c r="F331" s="26">
        <v>0</v>
      </c>
      <c r="G331" s="26">
        <v>0</v>
      </c>
      <c r="H331" s="26">
        <v>0</v>
      </c>
      <c r="I331" s="26">
        <v>0</v>
      </c>
      <c r="J331" s="26">
        <v>0</v>
      </c>
      <c r="K331" s="26">
        <v>0</v>
      </c>
      <c r="L331" s="26">
        <v>0</v>
      </c>
      <c r="M331" s="26">
        <v>0</v>
      </c>
      <c r="N331" s="26">
        <v>0</v>
      </c>
      <c r="O331" s="26">
        <v>0</v>
      </c>
      <c r="P331" s="26">
        <v>0</v>
      </c>
      <c r="Q331" s="26">
        <v>0</v>
      </c>
      <c r="R331" s="26">
        <v>0</v>
      </c>
      <c r="S331" s="26">
        <v>0</v>
      </c>
      <c r="T331" s="26">
        <v>0</v>
      </c>
      <c r="U331" s="26">
        <v>0</v>
      </c>
      <c r="V331" s="26">
        <v>0</v>
      </c>
      <c r="W331" s="26">
        <v>0</v>
      </c>
      <c r="X331" s="26">
        <v>0</v>
      </c>
      <c r="Y331" s="26">
        <v>0</v>
      </c>
      <c r="Z331" s="26">
        <v>0</v>
      </c>
      <c r="AA331" s="26">
        <v>0</v>
      </c>
      <c r="AB331" s="26">
        <v>30.413956800000001</v>
      </c>
      <c r="AC331" s="26">
        <v>3.1431767000000003E-5</v>
      </c>
      <c r="AD331" s="26">
        <v>0</v>
      </c>
      <c r="AE331" s="26">
        <v>0</v>
      </c>
      <c r="AF331" s="26">
        <v>7.1462960299999994</v>
      </c>
      <c r="AG331" s="26">
        <v>0</v>
      </c>
      <c r="AH331" s="26">
        <v>72.875005299999998</v>
      </c>
      <c r="AI331" s="26">
        <v>0</v>
      </c>
      <c r="AJ331" s="26">
        <v>0</v>
      </c>
      <c r="AK331" s="26">
        <v>0</v>
      </c>
      <c r="AL331" s="26">
        <v>0</v>
      </c>
      <c r="AM331" s="26">
        <v>0</v>
      </c>
      <c r="AN331" s="26">
        <v>11325.401</v>
      </c>
      <c r="AO331" s="26">
        <v>223991.829</v>
      </c>
      <c r="AP331" s="26">
        <v>0</v>
      </c>
      <c r="AQ331" s="26">
        <v>62.056292200000001</v>
      </c>
      <c r="AR331" s="26">
        <v>61.962034299999999</v>
      </c>
      <c r="AS331" s="26">
        <v>73397.056899999996</v>
      </c>
      <c r="AT331" s="26">
        <v>0</v>
      </c>
      <c r="AU331" s="26">
        <v>0</v>
      </c>
      <c r="AV331" s="26">
        <v>53.801330399999998</v>
      </c>
      <c r="AW331" s="26">
        <v>0</v>
      </c>
      <c r="AX331" s="26">
        <v>0</v>
      </c>
      <c r="AY331" s="26">
        <v>0</v>
      </c>
      <c r="AZ331" s="26">
        <v>0</v>
      </c>
      <c r="BA331" s="26">
        <v>0</v>
      </c>
      <c r="BB331" s="26">
        <v>0</v>
      </c>
      <c r="BC331" s="26">
        <v>0</v>
      </c>
      <c r="BD331" s="26">
        <v>0</v>
      </c>
      <c r="BE331" s="26">
        <v>0</v>
      </c>
      <c r="BF331" s="26">
        <v>0</v>
      </c>
      <c r="BG331" s="26">
        <v>0</v>
      </c>
      <c r="BH331" s="26">
        <v>0</v>
      </c>
      <c r="BI331" s="26">
        <v>0</v>
      </c>
      <c r="BJ331" s="26">
        <v>0</v>
      </c>
      <c r="BK331" s="26">
        <v>0</v>
      </c>
      <c r="BL331" s="26">
        <v>0</v>
      </c>
      <c r="BM331" s="26">
        <v>0</v>
      </c>
      <c r="BN331" s="26">
        <v>0</v>
      </c>
      <c r="BO331" s="26">
        <v>13047.157300000001</v>
      </c>
      <c r="BP331" s="26">
        <v>363454.174</v>
      </c>
      <c r="BQ331" s="26">
        <v>7565432.2599999998</v>
      </c>
      <c r="BR331" s="26">
        <v>140.26315099999999</v>
      </c>
      <c r="BS331" s="26">
        <v>0.96597701999999996</v>
      </c>
      <c r="BT331" s="26">
        <v>0.99997526400000003</v>
      </c>
      <c r="BU331" s="26">
        <v>2.47364009E-5</v>
      </c>
      <c r="BV331" s="26">
        <v>0</v>
      </c>
      <c r="BW331" s="26">
        <v>-24578.2749</v>
      </c>
      <c r="BX331" s="26">
        <v>-882.30275600000004</v>
      </c>
      <c r="BY331" s="26">
        <v>-320.67662200000001</v>
      </c>
      <c r="BZ331" s="26">
        <v>2.0825101199999998</v>
      </c>
      <c r="CA331" s="26">
        <v>7.4757257100000002E-2</v>
      </c>
      <c r="CB331" s="26">
        <v>2.8742920700000002E-5</v>
      </c>
      <c r="CC331" s="26">
        <v>8.0069046800000003E-4</v>
      </c>
      <c r="CD331" s="26">
        <v>27.856962599999999</v>
      </c>
      <c r="CE331" s="26">
        <v>0</v>
      </c>
      <c r="CF331" s="26">
        <v>0</v>
      </c>
      <c r="CG331" s="26">
        <v>0</v>
      </c>
      <c r="CH331" s="26">
        <v>0</v>
      </c>
      <c r="CI331" s="26">
        <v>0</v>
      </c>
      <c r="CJ331" s="26">
        <v>0</v>
      </c>
      <c r="CK331" s="26">
        <v>0</v>
      </c>
      <c r="CL331" s="26">
        <v>0</v>
      </c>
      <c r="CM331" s="26">
        <v>0</v>
      </c>
      <c r="CN331" s="26">
        <v>0</v>
      </c>
      <c r="CO331" s="26">
        <v>0</v>
      </c>
      <c r="CP331" s="26">
        <v>0</v>
      </c>
      <c r="CQ331" s="26">
        <v>0</v>
      </c>
      <c r="CR331" s="26">
        <v>0</v>
      </c>
      <c r="CS331" s="26">
        <v>0</v>
      </c>
      <c r="CT331" s="26">
        <v>0</v>
      </c>
      <c r="CU331" s="26">
        <v>0</v>
      </c>
      <c r="CV331" s="26">
        <v>0</v>
      </c>
      <c r="CW331" s="26">
        <v>0</v>
      </c>
      <c r="CX331" s="26">
        <v>0</v>
      </c>
      <c r="CY331" s="26">
        <v>0</v>
      </c>
      <c r="CZ331" s="26">
        <v>0</v>
      </c>
      <c r="DA331" s="26">
        <v>0</v>
      </c>
      <c r="DB331" s="26">
        <v>0</v>
      </c>
      <c r="DC331" s="26">
        <v>0</v>
      </c>
      <c r="DD331" s="26">
        <v>0</v>
      </c>
      <c r="DE331" s="26">
        <v>0</v>
      </c>
      <c r="DF331" s="26">
        <v>0</v>
      </c>
      <c r="DG331" s="26">
        <v>0</v>
      </c>
      <c r="DH331" s="26">
        <v>0</v>
      </c>
      <c r="DI331" s="26">
        <v>0</v>
      </c>
      <c r="DJ331" s="26">
        <v>0</v>
      </c>
      <c r="DK331" s="26">
        <v>0</v>
      </c>
      <c r="DL331" s="26">
        <v>0</v>
      </c>
      <c r="DM331" s="26">
        <v>0</v>
      </c>
      <c r="DN331" s="26">
        <v>0</v>
      </c>
      <c r="DO331" s="26">
        <v>0</v>
      </c>
      <c r="DP331" s="26">
        <v>0</v>
      </c>
      <c r="DQ331" s="26">
        <v>0</v>
      </c>
      <c r="DR331" s="26">
        <v>0</v>
      </c>
      <c r="DS331" s="26">
        <v>0</v>
      </c>
      <c r="DT331" s="26">
        <v>0</v>
      </c>
      <c r="DU331" s="26">
        <v>0</v>
      </c>
      <c r="DV331" s="26">
        <v>0</v>
      </c>
      <c r="DW331" s="26">
        <v>0</v>
      </c>
      <c r="DX331" s="26">
        <v>0</v>
      </c>
      <c r="DY331" s="26">
        <v>0</v>
      </c>
      <c r="DZ331" s="26">
        <v>0</v>
      </c>
      <c r="EA331" s="26">
        <v>0</v>
      </c>
      <c r="EB331" s="26">
        <v>0</v>
      </c>
      <c r="EC331" s="26">
        <v>0</v>
      </c>
      <c r="ED331" s="26">
        <v>0</v>
      </c>
      <c r="EE331" s="26">
        <v>0</v>
      </c>
      <c r="EF331" s="26">
        <v>0</v>
      </c>
      <c r="EG331" s="26">
        <v>0</v>
      </c>
      <c r="EH331" s="26">
        <v>0</v>
      </c>
      <c r="EI331" s="26">
        <v>0</v>
      </c>
      <c r="EJ331" s="26">
        <v>0</v>
      </c>
      <c r="EK331" s="26">
        <v>0</v>
      </c>
      <c r="EL331" s="26">
        <v>0</v>
      </c>
      <c r="EM331" s="26">
        <v>0</v>
      </c>
      <c r="EN331" s="26">
        <v>0</v>
      </c>
      <c r="EO331" s="26">
        <v>0</v>
      </c>
      <c r="EP331" s="26">
        <v>0</v>
      </c>
      <c r="EQ331" s="26">
        <v>0</v>
      </c>
      <c r="ER331" s="26">
        <v>0</v>
      </c>
      <c r="ES331" s="26">
        <v>0</v>
      </c>
      <c r="ET331" s="26">
        <v>0</v>
      </c>
      <c r="EU331" s="26">
        <v>0</v>
      </c>
      <c r="EV331" s="26">
        <v>0</v>
      </c>
      <c r="EW331" s="26">
        <v>0</v>
      </c>
      <c r="EX331" s="26">
        <v>0</v>
      </c>
      <c r="EY331" s="26">
        <v>0</v>
      </c>
      <c r="EZ331" s="26">
        <v>0</v>
      </c>
      <c r="FA331" s="26">
        <v>0</v>
      </c>
      <c r="FB331" s="26">
        <v>0</v>
      </c>
      <c r="FC331" s="26">
        <v>0</v>
      </c>
      <c r="FD331" s="26">
        <v>0</v>
      </c>
      <c r="FE331" s="26">
        <v>0</v>
      </c>
      <c r="FF331" s="26">
        <v>0</v>
      </c>
      <c r="FG331" s="26">
        <v>1.3435107300000001E-4</v>
      </c>
      <c r="FH331" s="26">
        <v>-385661140.23300004</v>
      </c>
      <c r="FI331" s="26">
        <v>0.46387655648879023</v>
      </c>
      <c r="FJ331" s="26">
        <v>0.83958451505000942</v>
      </c>
      <c r="FK331" s="26">
        <v>0</v>
      </c>
      <c r="FL331" s="26">
        <v>0</v>
      </c>
      <c r="FM331" s="26">
        <v>0</v>
      </c>
      <c r="FN331" s="26">
        <v>0</v>
      </c>
      <c r="FO331" s="26">
        <v>0</v>
      </c>
      <c r="FP331" s="26">
        <v>0</v>
      </c>
      <c r="FQ331" s="26">
        <v>0</v>
      </c>
      <c r="FR331" s="26">
        <v>0</v>
      </c>
      <c r="FS331" s="26">
        <v>0</v>
      </c>
      <c r="FT331" s="26">
        <v>0</v>
      </c>
      <c r="FU331" s="26">
        <v>0</v>
      </c>
      <c r="FV331" s="26">
        <v>0</v>
      </c>
      <c r="FW331" s="26">
        <v>0</v>
      </c>
      <c r="FX331" s="26">
        <v>0</v>
      </c>
      <c r="FY331" s="26">
        <v>0</v>
      </c>
      <c r="FZ331" s="26">
        <v>0</v>
      </c>
      <c r="GA331" s="26">
        <v>0</v>
      </c>
      <c r="GB331" s="26">
        <v>0</v>
      </c>
      <c r="GC331" s="26">
        <v>0</v>
      </c>
      <c r="GD331" s="26">
        <v>0</v>
      </c>
      <c r="GE331" s="26">
        <v>0</v>
      </c>
      <c r="GF331" s="26">
        <v>0</v>
      </c>
      <c r="GG331" s="26">
        <v>4.9605605396844845E-4</v>
      </c>
      <c r="GH331" s="26">
        <v>8.9017911823254409E-11</v>
      </c>
      <c r="GI331" s="26">
        <v>0</v>
      </c>
      <c r="GJ331" s="26">
        <v>0</v>
      </c>
      <c r="GK331" s="26">
        <v>6.0767605763918629E-16</v>
      </c>
      <c r="GL331" s="26">
        <v>0</v>
      </c>
      <c r="GM331" s="26">
        <v>2.3816254523863369E-4</v>
      </c>
      <c r="GN331" s="26">
        <v>0</v>
      </c>
      <c r="GO331" s="26">
        <v>0</v>
      </c>
      <c r="GP331" s="26">
        <v>0</v>
      </c>
      <c r="GQ331" s="26">
        <v>0</v>
      </c>
      <c r="GR331" s="26">
        <v>0</v>
      </c>
      <c r="GS331" s="26">
        <v>9.8312028286496225E-2</v>
      </c>
      <c r="GT331" s="26">
        <v>2.2210169538792468</v>
      </c>
      <c r="GU331" s="26">
        <v>0</v>
      </c>
      <c r="GV331" s="26">
        <v>3.7468167244189782E-4</v>
      </c>
      <c r="GW331" s="26">
        <v>6.1445929380456329E-4</v>
      </c>
      <c r="GX331" s="26">
        <v>0.46325062037267162</v>
      </c>
      <c r="GY331" s="26">
        <v>0</v>
      </c>
      <c r="GZ331" s="26">
        <v>0</v>
      </c>
      <c r="HA331" s="26">
        <v>2.3327075769949938E-4</v>
      </c>
      <c r="HB331" s="26">
        <v>0</v>
      </c>
      <c r="HC331" s="26">
        <v>0</v>
      </c>
      <c r="HD331" s="26">
        <v>0</v>
      </c>
      <c r="HE331" s="26">
        <v>0</v>
      </c>
      <c r="HF331" s="26">
        <v>0</v>
      </c>
      <c r="HG331" s="26">
        <v>0</v>
      </c>
      <c r="HH331" s="26">
        <v>0</v>
      </c>
      <c r="HI331" s="26">
        <v>0</v>
      </c>
      <c r="HJ331" s="26">
        <v>0</v>
      </c>
      <c r="HK331" s="26">
        <v>0</v>
      </c>
      <c r="HL331" s="26">
        <v>0</v>
      </c>
      <c r="HM331" s="26">
        <v>0</v>
      </c>
      <c r="HN331" s="26">
        <v>0</v>
      </c>
      <c r="HO331" s="26">
        <v>0</v>
      </c>
      <c r="HP331" s="26">
        <v>0</v>
      </c>
      <c r="HQ331" s="26">
        <v>0</v>
      </c>
      <c r="HR331" s="26">
        <v>0</v>
      </c>
      <c r="HS331" s="26">
        <v>0</v>
      </c>
      <c r="HT331" s="26">
        <v>0</v>
      </c>
    </row>
    <row r="332" spans="2:228" x14ac:dyDescent="0.2">
      <c r="B332" s="27" t="s">
        <v>2910</v>
      </c>
      <c r="C332" s="26">
        <v>0</v>
      </c>
      <c r="D332" s="26">
        <v>0</v>
      </c>
      <c r="E332" s="26">
        <v>0</v>
      </c>
      <c r="F332" s="26">
        <v>0</v>
      </c>
      <c r="G332" s="26">
        <v>0</v>
      </c>
      <c r="H332" s="26">
        <v>0</v>
      </c>
      <c r="I332" s="26">
        <v>0</v>
      </c>
      <c r="J332" s="26">
        <v>0</v>
      </c>
      <c r="K332" s="26">
        <v>0</v>
      </c>
      <c r="L332" s="26">
        <v>0</v>
      </c>
      <c r="M332" s="26">
        <v>0</v>
      </c>
      <c r="N332" s="26">
        <v>0</v>
      </c>
      <c r="O332" s="26">
        <v>0</v>
      </c>
      <c r="P332" s="26">
        <v>0</v>
      </c>
      <c r="Q332" s="26">
        <v>0</v>
      </c>
      <c r="R332" s="26">
        <v>0</v>
      </c>
      <c r="S332" s="26">
        <v>0</v>
      </c>
      <c r="T332" s="26">
        <v>0</v>
      </c>
      <c r="U332" s="26">
        <v>0</v>
      </c>
      <c r="V332" s="26">
        <v>0</v>
      </c>
      <c r="W332" s="26">
        <v>0</v>
      </c>
      <c r="X332" s="26">
        <v>0</v>
      </c>
      <c r="Y332" s="26">
        <v>0</v>
      </c>
      <c r="Z332" s="26">
        <v>0</v>
      </c>
      <c r="AA332" s="26">
        <v>0</v>
      </c>
      <c r="AB332" s="26">
        <v>0</v>
      </c>
      <c r="AC332" s="26">
        <v>0</v>
      </c>
      <c r="AD332" s="26">
        <v>0</v>
      </c>
      <c r="AE332" s="26">
        <v>0</v>
      </c>
      <c r="AF332" s="26">
        <v>0</v>
      </c>
      <c r="AG332" s="26">
        <v>0</v>
      </c>
      <c r="AH332" s="26">
        <v>0</v>
      </c>
      <c r="AI332" s="26">
        <v>0</v>
      </c>
      <c r="AJ332" s="26">
        <v>0</v>
      </c>
      <c r="AK332" s="26">
        <v>0</v>
      </c>
      <c r="AL332" s="26">
        <v>0</v>
      </c>
      <c r="AM332" s="26">
        <v>0</v>
      </c>
      <c r="AN332" s="26">
        <v>0</v>
      </c>
      <c r="AO332" s="26">
        <v>0</v>
      </c>
      <c r="AP332" s="26">
        <v>0</v>
      </c>
      <c r="AQ332" s="26">
        <v>0</v>
      </c>
      <c r="AR332" s="26">
        <v>0</v>
      </c>
      <c r="AS332" s="26">
        <v>0</v>
      </c>
      <c r="AT332" s="26">
        <v>0</v>
      </c>
      <c r="AU332" s="26">
        <v>0</v>
      </c>
      <c r="AV332" s="26">
        <v>0</v>
      </c>
      <c r="AW332" s="26">
        <v>0</v>
      </c>
      <c r="AX332" s="26">
        <v>0</v>
      </c>
      <c r="AY332" s="26">
        <v>0</v>
      </c>
      <c r="AZ332" s="26">
        <v>0</v>
      </c>
      <c r="BA332" s="26">
        <v>0</v>
      </c>
      <c r="BB332" s="26">
        <v>0</v>
      </c>
      <c r="BC332" s="26">
        <v>0</v>
      </c>
      <c r="BD332" s="26">
        <v>0</v>
      </c>
      <c r="BE332" s="26">
        <v>0</v>
      </c>
      <c r="BF332" s="26">
        <v>0</v>
      </c>
      <c r="BG332" s="26">
        <v>0</v>
      </c>
      <c r="BH332" s="26">
        <v>0</v>
      </c>
      <c r="BI332" s="26">
        <v>0</v>
      </c>
      <c r="BJ332" s="26">
        <v>0</v>
      </c>
      <c r="BK332" s="26">
        <v>0</v>
      </c>
      <c r="BL332" s="26">
        <v>0</v>
      </c>
      <c r="BM332" s="26">
        <v>0</v>
      </c>
      <c r="BN332" s="26">
        <v>0</v>
      </c>
      <c r="BO332" s="26">
        <v>0</v>
      </c>
      <c r="BP332" s="26">
        <v>0</v>
      </c>
      <c r="BQ332" s="26">
        <v>0</v>
      </c>
      <c r="BR332" s="26">
        <v>0</v>
      </c>
      <c r="BS332" s="26">
        <v>0</v>
      </c>
      <c r="BT332" s="26">
        <v>0</v>
      </c>
      <c r="BU332" s="26">
        <v>0</v>
      </c>
      <c r="BV332" s="26">
        <v>0</v>
      </c>
      <c r="BW332" s="26">
        <v>0</v>
      </c>
      <c r="BX332" s="26">
        <v>0</v>
      </c>
      <c r="BY332" s="26">
        <v>0</v>
      </c>
      <c r="BZ332" s="26">
        <v>0</v>
      </c>
      <c r="CA332" s="26">
        <v>0</v>
      </c>
      <c r="CB332" s="26">
        <v>0</v>
      </c>
      <c r="CC332" s="26">
        <v>0</v>
      </c>
      <c r="CD332" s="26">
        <v>0</v>
      </c>
      <c r="CE332" s="26">
        <v>0</v>
      </c>
      <c r="CF332" s="26">
        <v>0</v>
      </c>
      <c r="CG332" s="26">
        <v>0</v>
      </c>
      <c r="CH332" s="26">
        <v>0</v>
      </c>
      <c r="CI332" s="26">
        <v>0</v>
      </c>
      <c r="CJ332" s="26">
        <v>0</v>
      </c>
      <c r="CK332" s="26">
        <v>0</v>
      </c>
      <c r="CL332" s="26">
        <v>0</v>
      </c>
      <c r="CM332" s="26">
        <v>0</v>
      </c>
      <c r="CN332" s="26">
        <v>0</v>
      </c>
      <c r="CO332" s="26">
        <v>0</v>
      </c>
      <c r="CP332" s="26">
        <v>0</v>
      </c>
      <c r="CQ332" s="26">
        <v>0</v>
      </c>
      <c r="CR332" s="26">
        <v>0</v>
      </c>
      <c r="CS332" s="26">
        <v>0</v>
      </c>
      <c r="CT332" s="26">
        <v>0</v>
      </c>
      <c r="CU332" s="26">
        <v>0</v>
      </c>
      <c r="CV332" s="26">
        <v>0</v>
      </c>
      <c r="CW332" s="26">
        <v>0</v>
      </c>
      <c r="CX332" s="26">
        <v>0</v>
      </c>
      <c r="CY332" s="26">
        <v>0</v>
      </c>
      <c r="CZ332" s="26">
        <v>0</v>
      </c>
      <c r="DA332" s="26">
        <v>0</v>
      </c>
      <c r="DB332" s="26">
        <v>0</v>
      </c>
      <c r="DC332" s="26">
        <v>0</v>
      </c>
      <c r="DD332" s="26">
        <v>0</v>
      </c>
      <c r="DE332" s="26">
        <v>0</v>
      </c>
      <c r="DF332" s="26">
        <v>0</v>
      </c>
      <c r="DG332" s="26">
        <v>0</v>
      </c>
      <c r="DH332" s="26">
        <v>0</v>
      </c>
      <c r="DI332" s="26">
        <v>0</v>
      </c>
      <c r="DJ332" s="26">
        <v>0</v>
      </c>
      <c r="DK332" s="26">
        <v>0</v>
      </c>
      <c r="DL332" s="26">
        <v>0</v>
      </c>
      <c r="DM332" s="26">
        <v>0</v>
      </c>
      <c r="DN332" s="26">
        <v>0</v>
      </c>
      <c r="DO332" s="26">
        <v>0</v>
      </c>
      <c r="DP332" s="26">
        <v>0</v>
      </c>
      <c r="DQ332" s="26">
        <v>0</v>
      </c>
      <c r="DR332" s="26">
        <v>0</v>
      </c>
      <c r="DS332" s="26">
        <v>0</v>
      </c>
      <c r="DT332" s="26">
        <v>0</v>
      </c>
      <c r="DU332" s="26">
        <v>0</v>
      </c>
      <c r="DV332" s="26">
        <v>0</v>
      </c>
      <c r="DW332" s="26">
        <v>0</v>
      </c>
      <c r="DX332" s="26">
        <v>0</v>
      </c>
      <c r="DY332" s="26">
        <v>0</v>
      </c>
      <c r="DZ332" s="26">
        <v>0</v>
      </c>
      <c r="EA332" s="26">
        <v>0</v>
      </c>
      <c r="EB332" s="26">
        <v>0</v>
      </c>
      <c r="EC332" s="26">
        <v>0</v>
      </c>
      <c r="ED332" s="26">
        <v>0</v>
      </c>
      <c r="EE332" s="26">
        <v>0</v>
      </c>
      <c r="EF332" s="26">
        <v>0</v>
      </c>
      <c r="EG332" s="26">
        <v>0</v>
      </c>
      <c r="EH332" s="26">
        <v>0</v>
      </c>
      <c r="EI332" s="26">
        <v>0</v>
      </c>
      <c r="EJ332" s="26">
        <v>0</v>
      </c>
      <c r="EK332" s="26">
        <v>0</v>
      </c>
      <c r="EL332" s="26">
        <v>0</v>
      </c>
      <c r="EM332" s="26">
        <v>0</v>
      </c>
      <c r="EN332" s="26">
        <v>0</v>
      </c>
      <c r="EO332" s="26">
        <v>0</v>
      </c>
      <c r="EP332" s="26">
        <v>0</v>
      </c>
      <c r="EQ332" s="26">
        <v>0</v>
      </c>
      <c r="ER332" s="26">
        <v>0</v>
      </c>
      <c r="ES332" s="26">
        <v>0</v>
      </c>
      <c r="ET332" s="26">
        <v>0</v>
      </c>
      <c r="EU332" s="26">
        <v>0</v>
      </c>
      <c r="EV332" s="26">
        <v>0</v>
      </c>
      <c r="EW332" s="26">
        <v>0</v>
      </c>
      <c r="EX332" s="26">
        <v>0</v>
      </c>
      <c r="EY332" s="26">
        <v>0</v>
      </c>
      <c r="EZ332" s="26">
        <v>0</v>
      </c>
      <c r="FA332" s="26">
        <v>0</v>
      </c>
      <c r="FB332" s="26">
        <v>0</v>
      </c>
      <c r="FC332" s="26">
        <v>0</v>
      </c>
      <c r="FD332" s="26">
        <v>0</v>
      </c>
      <c r="FE332" s="26">
        <v>0</v>
      </c>
      <c r="FF332" s="26">
        <v>0</v>
      </c>
      <c r="FG332" s="26">
        <v>0</v>
      </c>
      <c r="FH332" s="26">
        <v>0</v>
      </c>
      <c r="FI332" s="26">
        <v>0</v>
      </c>
      <c r="FJ332" s="26">
        <v>0</v>
      </c>
      <c r="FK332" s="26">
        <v>0</v>
      </c>
      <c r="FL332" s="26">
        <v>0</v>
      </c>
      <c r="FM332" s="26">
        <v>0</v>
      </c>
      <c r="FN332" s="26">
        <v>0</v>
      </c>
      <c r="FO332" s="26">
        <v>0</v>
      </c>
      <c r="FP332" s="26">
        <v>0</v>
      </c>
      <c r="FQ332" s="26">
        <v>0</v>
      </c>
      <c r="FR332" s="26">
        <v>0</v>
      </c>
      <c r="FS332" s="26">
        <v>0</v>
      </c>
      <c r="FT332" s="26">
        <v>0</v>
      </c>
      <c r="FU332" s="26">
        <v>0</v>
      </c>
      <c r="FV332" s="26">
        <v>0</v>
      </c>
      <c r="FW332" s="26">
        <v>0</v>
      </c>
      <c r="FX332" s="26">
        <v>0</v>
      </c>
      <c r="FY332" s="26">
        <v>0</v>
      </c>
      <c r="FZ332" s="26">
        <v>0</v>
      </c>
      <c r="GA332" s="26">
        <v>0</v>
      </c>
      <c r="GB332" s="26">
        <v>0</v>
      </c>
      <c r="GC332" s="26">
        <v>0</v>
      </c>
      <c r="GD332" s="26">
        <v>0</v>
      </c>
      <c r="GE332" s="26">
        <v>0</v>
      </c>
      <c r="GF332" s="26">
        <v>0</v>
      </c>
      <c r="GG332" s="26">
        <v>0</v>
      </c>
      <c r="GH332" s="26">
        <v>0</v>
      </c>
      <c r="GI332" s="26">
        <v>0</v>
      </c>
      <c r="GJ332" s="26">
        <v>0</v>
      </c>
      <c r="GK332" s="26">
        <v>0</v>
      </c>
      <c r="GL332" s="26">
        <v>0</v>
      </c>
      <c r="GM332" s="26">
        <v>0</v>
      </c>
      <c r="GN332" s="26">
        <v>0</v>
      </c>
      <c r="GO332" s="26">
        <v>0</v>
      </c>
      <c r="GP332" s="26">
        <v>0</v>
      </c>
      <c r="GQ332" s="26">
        <v>0</v>
      </c>
      <c r="GR332" s="26">
        <v>0</v>
      </c>
      <c r="GS332" s="26">
        <v>0</v>
      </c>
      <c r="GT332" s="26">
        <v>0</v>
      </c>
      <c r="GU332" s="26">
        <v>0</v>
      </c>
      <c r="GV332" s="26">
        <v>0</v>
      </c>
      <c r="GW332" s="26">
        <v>0</v>
      </c>
      <c r="GX332" s="26">
        <v>0</v>
      </c>
      <c r="GY332" s="26">
        <v>0</v>
      </c>
      <c r="GZ332" s="26">
        <v>0</v>
      </c>
      <c r="HA332" s="26">
        <v>0</v>
      </c>
      <c r="HB332" s="26">
        <v>0</v>
      </c>
      <c r="HC332" s="26">
        <v>0</v>
      </c>
      <c r="HD332" s="26">
        <v>0</v>
      </c>
      <c r="HE332" s="26">
        <v>0</v>
      </c>
      <c r="HF332" s="26">
        <v>0</v>
      </c>
      <c r="HG332" s="26">
        <v>0</v>
      </c>
      <c r="HH332" s="26">
        <v>0</v>
      </c>
      <c r="HI332" s="26">
        <v>0</v>
      </c>
      <c r="HJ332" s="26">
        <v>0</v>
      </c>
      <c r="HK332" s="26">
        <v>0</v>
      </c>
      <c r="HL332" s="26">
        <v>0</v>
      </c>
      <c r="HM332" s="26">
        <v>0</v>
      </c>
      <c r="HN332" s="26">
        <v>0</v>
      </c>
      <c r="HO332" s="26">
        <v>0</v>
      </c>
      <c r="HP332" s="26">
        <v>0</v>
      </c>
      <c r="HQ332" s="26">
        <v>0</v>
      </c>
      <c r="HR332" s="26">
        <v>0</v>
      </c>
      <c r="HS332" s="26">
        <v>0</v>
      </c>
      <c r="HT332" s="26">
        <v>0</v>
      </c>
    </row>
    <row r="333" spans="2:228" x14ac:dyDescent="0.2">
      <c r="B333" s="27" t="s">
        <v>1441</v>
      </c>
      <c r="C333" s="26">
        <v>12052.6684</v>
      </c>
      <c r="D333" s="26">
        <v>-0.48020229800000003</v>
      </c>
      <c r="E333" s="26">
        <v>175.638385</v>
      </c>
      <c r="F333" s="26">
        <v>1.17033893</v>
      </c>
      <c r="G333" s="26">
        <v>3.8042603699999999E-11</v>
      </c>
      <c r="H333" s="26">
        <v>8.3510332199999996E-11</v>
      </c>
      <c r="I333" s="26">
        <v>3.5039300199999999E-11</v>
      </c>
      <c r="J333" s="26">
        <v>8.2960939100000003E-9</v>
      </c>
      <c r="K333" s="26">
        <v>1.7191892899999999E-9</v>
      </c>
      <c r="L333" s="26">
        <v>1.00277823E-7</v>
      </c>
      <c r="M333" s="26">
        <v>0</v>
      </c>
      <c r="N333" s="26">
        <v>8.4100119200000003E-11</v>
      </c>
      <c r="O333" s="26">
        <v>2.1223848199999998E-12</v>
      </c>
      <c r="P333" s="26">
        <v>8.90511114E-13</v>
      </c>
      <c r="Q333" s="26">
        <v>3.05112582E-9</v>
      </c>
      <c r="R333" s="26">
        <v>3.7182178400000001E-10</v>
      </c>
      <c r="S333" s="26">
        <v>8.9102014100000014E-10</v>
      </c>
      <c r="T333" s="26">
        <v>2.9190697100000002E-5</v>
      </c>
      <c r="U333" s="26">
        <v>1.3830152399999999E-3</v>
      </c>
      <c r="V333" s="26">
        <v>0.65468875000000004</v>
      </c>
      <c r="W333" s="26">
        <v>0</v>
      </c>
      <c r="X333" s="26">
        <v>7.0237648400000002E-4</v>
      </c>
      <c r="Y333" s="26">
        <v>2.54165134E-9</v>
      </c>
      <c r="Z333" s="26">
        <v>1.8881181800000001E-6</v>
      </c>
      <c r="AA333" s="26">
        <v>1.30032075E-6</v>
      </c>
      <c r="AB333" s="26">
        <v>5.6050504500000004E-6</v>
      </c>
      <c r="AC333" s="26">
        <v>0</v>
      </c>
      <c r="AD333" s="26">
        <v>0</v>
      </c>
      <c r="AE333" s="26">
        <v>0</v>
      </c>
      <c r="AF333" s="26">
        <v>0</v>
      </c>
      <c r="AG333" s="26">
        <v>0</v>
      </c>
      <c r="AH333" s="26">
        <v>0</v>
      </c>
      <c r="AI333" s="26">
        <v>0</v>
      </c>
      <c r="AJ333" s="26">
        <v>0</v>
      </c>
      <c r="AK333" s="26">
        <v>0</v>
      </c>
      <c r="AL333" s="26">
        <v>0</v>
      </c>
      <c r="AM333" s="26">
        <v>2.8245544999999999E-9</v>
      </c>
      <c r="AN333" s="26">
        <v>2765.7482100000002</v>
      </c>
      <c r="AO333" s="26">
        <v>9109.4546599999994</v>
      </c>
      <c r="AP333" s="26">
        <v>0</v>
      </c>
      <c r="AQ333" s="26">
        <v>0</v>
      </c>
      <c r="AR333" s="26">
        <v>0</v>
      </c>
      <c r="AS333" s="26">
        <v>0</v>
      </c>
      <c r="AT333" s="26">
        <v>0</v>
      </c>
      <c r="AU333" s="26">
        <v>0</v>
      </c>
      <c r="AV333" s="26">
        <v>0</v>
      </c>
      <c r="AW333" s="26">
        <v>0</v>
      </c>
      <c r="AX333" s="26">
        <v>0</v>
      </c>
      <c r="AY333" s="26">
        <v>0</v>
      </c>
      <c r="AZ333" s="26">
        <v>0</v>
      </c>
      <c r="BA333" s="26">
        <v>0</v>
      </c>
      <c r="BB333" s="26">
        <v>0</v>
      </c>
      <c r="BC333" s="26">
        <v>0</v>
      </c>
      <c r="BD333" s="26">
        <v>0</v>
      </c>
      <c r="BE333" s="26">
        <v>0</v>
      </c>
      <c r="BF333" s="26">
        <v>0</v>
      </c>
      <c r="BG333" s="26">
        <v>0</v>
      </c>
      <c r="BH333" s="26">
        <v>0</v>
      </c>
      <c r="BI333" s="26">
        <v>0</v>
      </c>
      <c r="BJ333" s="26">
        <v>0</v>
      </c>
      <c r="BK333" s="26">
        <v>0</v>
      </c>
      <c r="BL333" s="26">
        <v>0</v>
      </c>
      <c r="BM333" s="26">
        <v>0</v>
      </c>
      <c r="BN333" s="26">
        <v>0</v>
      </c>
      <c r="BO333" s="26">
        <v>421.39563700000002</v>
      </c>
      <c r="BP333" s="26">
        <v>12052.6684</v>
      </c>
      <c r="BQ333" s="26">
        <v>27350.293900000001</v>
      </c>
      <c r="BR333" s="26">
        <v>55.274737099999982</v>
      </c>
      <c r="BS333" s="26">
        <v>6.9084628700000001</v>
      </c>
      <c r="BT333" s="26">
        <v>1</v>
      </c>
      <c r="BU333" s="26">
        <v>0</v>
      </c>
      <c r="BV333" s="26">
        <v>0</v>
      </c>
      <c r="BW333" s="26">
        <v>-1139.55213</v>
      </c>
      <c r="BX333" s="26">
        <v>-39.841989900000002</v>
      </c>
      <c r="BY333" s="26">
        <v>-0.48020229800000003</v>
      </c>
      <c r="BZ333" s="26">
        <v>-2.2239911999999999</v>
      </c>
      <c r="CA333" s="26">
        <v>-7.7757070600000006E-2</v>
      </c>
      <c r="CB333" s="26">
        <v>2.56789216E-4</v>
      </c>
      <c r="CC333" s="26">
        <v>7.3446305699999999E-3</v>
      </c>
      <c r="CD333" s="26">
        <v>28.601787399999999</v>
      </c>
      <c r="CE333" s="26">
        <v>0</v>
      </c>
      <c r="CF333" s="26">
        <v>0</v>
      </c>
      <c r="CG333" s="26">
        <v>0</v>
      </c>
      <c r="CH333" s="26">
        <v>0</v>
      </c>
      <c r="CI333" s="26">
        <v>0</v>
      </c>
      <c r="CJ333" s="26">
        <v>0</v>
      </c>
      <c r="CK333" s="26">
        <v>0</v>
      </c>
      <c r="CL333" s="26">
        <v>0</v>
      </c>
      <c r="CM333" s="26">
        <v>0</v>
      </c>
      <c r="CN333" s="26">
        <v>0</v>
      </c>
      <c r="CO333" s="26">
        <v>0</v>
      </c>
      <c r="CP333" s="26">
        <v>0</v>
      </c>
      <c r="CQ333" s="26">
        <v>0</v>
      </c>
      <c r="CR333" s="26">
        <v>0</v>
      </c>
      <c r="CS333" s="26">
        <v>0</v>
      </c>
      <c r="CT333" s="26">
        <v>0</v>
      </c>
      <c r="CU333" s="26">
        <v>0</v>
      </c>
      <c r="CV333" s="26">
        <v>0</v>
      </c>
      <c r="CW333" s="26">
        <v>0</v>
      </c>
      <c r="CX333" s="26">
        <v>0</v>
      </c>
      <c r="CY333" s="26">
        <v>0</v>
      </c>
      <c r="CZ333" s="26">
        <v>0</v>
      </c>
      <c r="DA333" s="26">
        <v>0</v>
      </c>
      <c r="DB333" s="26">
        <v>0</v>
      </c>
      <c r="DC333" s="26">
        <v>0</v>
      </c>
      <c r="DD333" s="26">
        <v>0</v>
      </c>
      <c r="DE333" s="26">
        <v>0</v>
      </c>
      <c r="DF333" s="26">
        <v>0</v>
      </c>
      <c r="DG333" s="26">
        <v>0</v>
      </c>
      <c r="DH333" s="26">
        <v>0</v>
      </c>
      <c r="DI333" s="26">
        <v>0</v>
      </c>
      <c r="DJ333" s="26">
        <v>0</v>
      </c>
      <c r="DK333" s="26">
        <v>0</v>
      </c>
      <c r="DL333" s="26">
        <v>0</v>
      </c>
      <c r="DM333" s="26">
        <v>0</v>
      </c>
      <c r="DN333" s="26">
        <v>0</v>
      </c>
      <c r="DO333" s="26">
        <v>0</v>
      </c>
      <c r="DP333" s="26">
        <v>0</v>
      </c>
      <c r="DQ333" s="26">
        <v>0</v>
      </c>
      <c r="DR333" s="26">
        <v>0</v>
      </c>
      <c r="DS333" s="26">
        <v>0</v>
      </c>
      <c r="DT333" s="26">
        <v>0</v>
      </c>
      <c r="DU333" s="26">
        <v>0</v>
      </c>
      <c r="DV333" s="26">
        <v>0</v>
      </c>
      <c r="DW333" s="26">
        <v>0</v>
      </c>
      <c r="DX333" s="26">
        <v>0</v>
      </c>
      <c r="DY333" s="26">
        <v>0</v>
      </c>
      <c r="DZ333" s="26">
        <v>0</v>
      </c>
      <c r="EA333" s="26">
        <v>0</v>
      </c>
      <c r="EB333" s="26">
        <v>0</v>
      </c>
      <c r="EC333" s="26">
        <v>0</v>
      </c>
      <c r="ED333" s="26">
        <v>0</v>
      </c>
      <c r="EE333" s="26">
        <v>0</v>
      </c>
      <c r="EF333" s="26">
        <v>0</v>
      </c>
      <c r="EG333" s="26">
        <v>0</v>
      </c>
      <c r="EH333" s="26">
        <v>0</v>
      </c>
      <c r="EI333" s="26">
        <v>0</v>
      </c>
      <c r="EJ333" s="26">
        <v>0</v>
      </c>
      <c r="EK333" s="26">
        <v>0</v>
      </c>
      <c r="EL333" s="26">
        <v>0</v>
      </c>
      <c r="EM333" s="26">
        <v>0</v>
      </c>
      <c r="EN333" s="26">
        <v>0</v>
      </c>
      <c r="EO333" s="26">
        <v>0</v>
      </c>
      <c r="EP333" s="26">
        <v>0</v>
      </c>
      <c r="EQ333" s="26">
        <v>0</v>
      </c>
      <c r="ER333" s="26">
        <v>0</v>
      </c>
      <c r="ES333" s="26">
        <v>0</v>
      </c>
      <c r="ET333" s="26">
        <v>6.9084628700000001</v>
      </c>
      <c r="EU333" s="26">
        <v>0</v>
      </c>
      <c r="EV333" s="26">
        <v>0</v>
      </c>
      <c r="EW333" s="26">
        <v>0</v>
      </c>
      <c r="EX333" s="26">
        <v>0</v>
      </c>
      <c r="EY333" s="26">
        <v>0</v>
      </c>
      <c r="EZ333" s="26">
        <v>0</v>
      </c>
      <c r="FA333" s="26">
        <v>0</v>
      </c>
      <c r="FB333" s="26">
        <v>0</v>
      </c>
      <c r="FC333" s="26">
        <v>0</v>
      </c>
      <c r="FD333" s="26">
        <v>0</v>
      </c>
      <c r="FE333" s="26">
        <v>0</v>
      </c>
      <c r="FF333" s="26">
        <v>0</v>
      </c>
      <c r="FG333" s="26">
        <v>2.9303655799999998E-4</v>
      </c>
      <c r="FH333" s="26">
        <v>-663828.24316099996</v>
      </c>
      <c r="FI333" s="26">
        <v>2.3601914438815315E-5</v>
      </c>
      <c r="FJ333" s="26">
        <v>2.7081699911098043E-3</v>
      </c>
      <c r="FK333" s="26">
        <v>7.0566729453422726E-6</v>
      </c>
      <c r="FL333" s="26">
        <v>5.8656339358139608E-17</v>
      </c>
      <c r="FM333" s="26">
        <v>1.2876117575231163E-16</v>
      </c>
      <c r="FN333" s="26">
        <v>5.4025668209983126E-17</v>
      </c>
      <c r="FO333" s="26">
        <v>1.5349690650575303E-14</v>
      </c>
      <c r="FP333" s="26">
        <v>3.180897442113846E-15</v>
      </c>
      <c r="FQ333" s="26">
        <v>8.1375824262117701E-14</v>
      </c>
      <c r="FR333" s="26">
        <v>0</v>
      </c>
      <c r="FS333" s="26">
        <v>1.4407794865262359E-16</v>
      </c>
      <c r="FT333" s="26">
        <v>3.6360097235325226E-18</v>
      </c>
      <c r="FU333" s="26">
        <v>1.525598487204788E-18</v>
      </c>
      <c r="FV333" s="26">
        <v>6.4150760513206084E-15</v>
      </c>
      <c r="FW333" s="26">
        <v>7.8176553958745769E-16</v>
      </c>
      <c r="FX333" s="26">
        <v>1.3738276193239542E-15</v>
      </c>
      <c r="FY333" s="26">
        <v>5.3293079037455744E-11</v>
      </c>
      <c r="FZ333" s="26">
        <v>3.0463159410371943E-9</v>
      </c>
      <c r="GA333" s="26">
        <v>1.8926671984746708E-6</v>
      </c>
      <c r="GB333" s="26">
        <v>0</v>
      </c>
      <c r="GC333" s="26">
        <v>2.1659313145496725E-9</v>
      </c>
      <c r="GD333" s="26">
        <v>4.6403344537893425E-15</v>
      </c>
      <c r="GE333" s="26">
        <v>5.6949766011153687E-12</v>
      </c>
      <c r="GF333" s="26">
        <v>3.0587055244696442E-12</v>
      </c>
      <c r="GG333" s="26">
        <v>9.142144906470492E-11</v>
      </c>
      <c r="GH333" s="26">
        <v>0</v>
      </c>
      <c r="GI333" s="26">
        <v>0</v>
      </c>
      <c r="GJ333" s="26">
        <v>0</v>
      </c>
      <c r="GK333" s="26">
        <v>0</v>
      </c>
      <c r="GL333" s="26">
        <v>0</v>
      </c>
      <c r="GM333" s="26">
        <v>0</v>
      </c>
      <c r="GN333" s="26">
        <v>0</v>
      </c>
      <c r="GO333" s="26">
        <v>0</v>
      </c>
      <c r="GP333" s="26">
        <v>0</v>
      </c>
      <c r="GQ333" s="26">
        <v>0</v>
      </c>
      <c r="GR333" s="26">
        <v>2.7776665749991104E-15</v>
      </c>
      <c r="GS333" s="26">
        <v>2.4009131553184165E-2</v>
      </c>
      <c r="GT333" s="26">
        <v>9.0328088222624697E-2</v>
      </c>
      <c r="GU333" s="26">
        <v>0</v>
      </c>
      <c r="GV333" s="26">
        <v>0</v>
      </c>
      <c r="GW333" s="26">
        <v>0</v>
      </c>
      <c r="GX333" s="26">
        <v>0</v>
      </c>
      <c r="GY333" s="26">
        <v>0</v>
      </c>
      <c r="GZ333" s="26">
        <v>0</v>
      </c>
      <c r="HA333" s="26">
        <v>0</v>
      </c>
      <c r="HB333" s="26">
        <v>0</v>
      </c>
      <c r="HC333" s="26">
        <v>0</v>
      </c>
      <c r="HD333" s="26">
        <v>0</v>
      </c>
      <c r="HE333" s="26">
        <v>0</v>
      </c>
      <c r="HF333" s="26">
        <v>0</v>
      </c>
      <c r="HG333" s="26">
        <v>0</v>
      </c>
      <c r="HH333" s="26">
        <v>0</v>
      </c>
      <c r="HI333" s="26">
        <v>0</v>
      </c>
      <c r="HJ333" s="26">
        <v>0</v>
      </c>
      <c r="HK333" s="26">
        <v>0</v>
      </c>
      <c r="HL333" s="26">
        <v>0</v>
      </c>
      <c r="HM333" s="26">
        <v>0</v>
      </c>
      <c r="HN333" s="26">
        <v>0</v>
      </c>
      <c r="HO333" s="26">
        <v>0</v>
      </c>
      <c r="HP333" s="26">
        <v>0</v>
      </c>
      <c r="HQ333" s="26">
        <v>0</v>
      </c>
      <c r="HR333" s="26">
        <v>0</v>
      </c>
      <c r="HS333" s="26">
        <v>0</v>
      </c>
      <c r="HT333" s="26">
        <v>0</v>
      </c>
    </row>
    <row r="334" spans="2:228" x14ac:dyDescent="0.2">
      <c r="B334" s="27" t="s">
        <v>1443</v>
      </c>
      <c r="C334" s="26">
        <v>36537.4012</v>
      </c>
      <c r="D334" s="26">
        <v>-75.9268632</v>
      </c>
      <c r="E334" s="26">
        <v>12796.7947</v>
      </c>
      <c r="F334" s="26">
        <v>5.6908961199999997</v>
      </c>
      <c r="G334" s="26">
        <v>19.406647100000001</v>
      </c>
      <c r="H334" s="26">
        <v>42.601067899999997</v>
      </c>
      <c r="I334" s="26">
        <v>17.874573999999999</v>
      </c>
      <c r="J334" s="26">
        <v>39.536914400000001</v>
      </c>
      <c r="K334" s="26">
        <v>8.1931859300000003</v>
      </c>
      <c r="L334" s="26">
        <v>12.3268285</v>
      </c>
      <c r="M334" s="26">
        <v>0</v>
      </c>
      <c r="N334" s="26">
        <v>42.1889374</v>
      </c>
      <c r="O334" s="26">
        <v>1.06469719</v>
      </c>
      <c r="P334" s="26">
        <v>0.44672609200000002</v>
      </c>
      <c r="Q334" s="26">
        <v>14.5408311</v>
      </c>
      <c r="R334" s="26">
        <v>1.7720009199999998</v>
      </c>
      <c r="S334" s="26">
        <v>454.53548699999999</v>
      </c>
      <c r="T334" s="26">
        <v>24.442412099999999</v>
      </c>
      <c r="U334" s="26">
        <v>13.727160899999999</v>
      </c>
      <c r="V334" s="26">
        <v>5.4553707400000002</v>
      </c>
      <c r="W334" s="26">
        <v>0</v>
      </c>
      <c r="X334" s="26">
        <v>63.071577700000006</v>
      </c>
      <c r="Y334" s="26">
        <v>28.107912599999999</v>
      </c>
      <c r="Z334" s="26">
        <v>6.4919260200000002</v>
      </c>
      <c r="AA334" s="26">
        <v>17.041494499999999</v>
      </c>
      <c r="AB334" s="26">
        <v>2.2060205300000001E-5</v>
      </c>
      <c r="AC334" s="26">
        <v>0</v>
      </c>
      <c r="AD334" s="26">
        <v>92.392319200000003</v>
      </c>
      <c r="AE334" s="26">
        <v>69.287240199999999</v>
      </c>
      <c r="AF334" s="26">
        <v>4.7966345199999996</v>
      </c>
      <c r="AG334" s="26">
        <v>0</v>
      </c>
      <c r="AH334" s="26">
        <v>0</v>
      </c>
      <c r="AI334" s="26">
        <v>0</v>
      </c>
      <c r="AJ334" s="26">
        <v>0</v>
      </c>
      <c r="AK334" s="26">
        <v>0</v>
      </c>
      <c r="AL334" s="26">
        <v>0</v>
      </c>
      <c r="AM334" s="26">
        <v>0.49732316200000004</v>
      </c>
      <c r="AN334" s="26">
        <v>0.53546559800000004</v>
      </c>
      <c r="AO334" s="26">
        <v>0.95449282599999996</v>
      </c>
      <c r="AP334" s="26">
        <v>0</v>
      </c>
      <c r="AQ334" s="26">
        <v>0</v>
      </c>
      <c r="AR334" s="26">
        <v>0</v>
      </c>
      <c r="AS334" s="26">
        <v>0</v>
      </c>
      <c r="AT334" s="26">
        <v>0</v>
      </c>
      <c r="AU334" s="26">
        <v>0</v>
      </c>
      <c r="AV334" s="26">
        <v>0</v>
      </c>
      <c r="AW334" s="26">
        <v>0</v>
      </c>
      <c r="AX334" s="26">
        <v>0</v>
      </c>
      <c r="AY334" s="26">
        <v>0</v>
      </c>
      <c r="AZ334" s="26">
        <v>0</v>
      </c>
      <c r="BA334" s="26">
        <v>0</v>
      </c>
      <c r="BB334" s="26">
        <v>0</v>
      </c>
      <c r="BC334" s="26">
        <v>0</v>
      </c>
      <c r="BD334" s="26">
        <v>0</v>
      </c>
      <c r="BE334" s="26">
        <v>0</v>
      </c>
      <c r="BF334" s="26">
        <v>0</v>
      </c>
      <c r="BG334" s="26">
        <v>0</v>
      </c>
      <c r="BH334" s="26">
        <v>0</v>
      </c>
      <c r="BI334" s="26">
        <v>0</v>
      </c>
      <c r="BJ334" s="26">
        <v>0</v>
      </c>
      <c r="BK334" s="26">
        <v>0</v>
      </c>
      <c r="BL334" s="26">
        <v>0</v>
      </c>
      <c r="BM334" s="26">
        <v>0</v>
      </c>
      <c r="BN334" s="26">
        <v>0</v>
      </c>
      <c r="BO334" s="26">
        <v>717.27984100000003</v>
      </c>
      <c r="BP334" s="26">
        <v>13783.774799999999</v>
      </c>
      <c r="BQ334" s="26">
        <v>232.94771800000001</v>
      </c>
      <c r="BR334" s="26">
        <v>55.274737099999982</v>
      </c>
      <c r="BS334" s="26">
        <v>6.9084628700000001</v>
      </c>
      <c r="BT334" s="26">
        <v>0</v>
      </c>
      <c r="BU334" s="26">
        <v>1</v>
      </c>
      <c r="BV334" s="26">
        <v>0</v>
      </c>
      <c r="BW334" s="26">
        <v>-69393.101599999995</v>
      </c>
      <c r="BX334" s="26">
        <v>-3611.0770499999999</v>
      </c>
      <c r="BY334" s="26">
        <v>-49.774273299999997</v>
      </c>
      <c r="BZ334" s="26">
        <v>-38.493007800000001</v>
      </c>
      <c r="CA334" s="26">
        <v>-2.0030984900000002</v>
      </c>
      <c r="CB334" s="26">
        <v>5.13190855E-2</v>
      </c>
      <c r="CC334" s="26">
        <v>0.98618513500000005</v>
      </c>
      <c r="CD334" s="26">
        <v>19.216732400000001</v>
      </c>
      <c r="CE334" s="26">
        <v>0</v>
      </c>
      <c r="CF334" s="26">
        <v>0</v>
      </c>
      <c r="CG334" s="26">
        <v>0</v>
      </c>
      <c r="CH334" s="26">
        <v>0</v>
      </c>
      <c r="CI334" s="26">
        <v>0</v>
      </c>
      <c r="CJ334" s="26">
        <v>0</v>
      </c>
      <c r="CK334" s="26">
        <v>0</v>
      </c>
      <c r="CL334" s="26">
        <v>0</v>
      </c>
      <c r="CM334" s="26">
        <v>0</v>
      </c>
      <c r="CN334" s="26">
        <v>0</v>
      </c>
      <c r="CO334" s="26">
        <v>0</v>
      </c>
      <c r="CP334" s="26">
        <v>0</v>
      </c>
      <c r="CQ334" s="26">
        <v>0</v>
      </c>
      <c r="CR334" s="26">
        <v>0</v>
      </c>
      <c r="CS334" s="26">
        <v>0</v>
      </c>
      <c r="CT334" s="26">
        <v>0</v>
      </c>
      <c r="CU334" s="26">
        <v>0</v>
      </c>
      <c r="CV334" s="26">
        <v>0</v>
      </c>
      <c r="CW334" s="26">
        <v>0</v>
      </c>
      <c r="CX334" s="26">
        <v>0</v>
      </c>
      <c r="CY334" s="26">
        <v>0</v>
      </c>
      <c r="CZ334" s="26">
        <v>0</v>
      </c>
      <c r="DA334" s="26">
        <v>0</v>
      </c>
      <c r="DB334" s="26">
        <v>0</v>
      </c>
      <c r="DC334" s="26">
        <v>0</v>
      </c>
      <c r="DD334" s="26">
        <v>0</v>
      </c>
      <c r="DE334" s="26">
        <v>0</v>
      </c>
      <c r="DF334" s="26">
        <v>0</v>
      </c>
      <c r="DG334" s="26">
        <v>0</v>
      </c>
      <c r="DH334" s="26">
        <v>0</v>
      </c>
      <c r="DI334" s="26">
        <v>0</v>
      </c>
      <c r="DJ334" s="26">
        <v>0</v>
      </c>
      <c r="DK334" s="26">
        <v>0</v>
      </c>
      <c r="DL334" s="26">
        <v>0</v>
      </c>
      <c r="DM334" s="26">
        <v>0</v>
      </c>
      <c r="DN334" s="26">
        <v>0</v>
      </c>
      <c r="DO334" s="26">
        <v>0</v>
      </c>
      <c r="DP334" s="26">
        <v>0</v>
      </c>
      <c r="DQ334" s="26">
        <v>0</v>
      </c>
      <c r="DR334" s="26">
        <v>0</v>
      </c>
      <c r="DS334" s="26">
        <v>0</v>
      </c>
      <c r="DT334" s="26">
        <v>0</v>
      </c>
      <c r="DU334" s="26">
        <v>0</v>
      </c>
      <c r="DV334" s="26">
        <v>0</v>
      </c>
      <c r="DW334" s="26">
        <v>0</v>
      </c>
      <c r="DX334" s="26">
        <v>1229.54883</v>
      </c>
      <c r="DY334" s="26">
        <v>30.360077199999999</v>
      </c>
      <c r="DZ334" s="26">
        <v>12.7384939</v>
      </c>
      <c r="EA334" s="26">
        <v>414.63797699999998</v>
      </c>
      <c r="EB334" s="26">
        <v>50.529359200000002</v>
      </c>
      <c r="EC334" s="26">
        <v>12225.687900000001</v>
      </c>
      <c r="ED334" s="26">
        <v>0</v>
      </c>
      <c r="EE334" s="26">
        <v>2808.7910499999998</v>
      </c>
      <c r="EF334" s="26">
        <v>4025.6906999999997</v>
      </c>
      <c r="EG334" s="26">
        <v>510.38714000000004</v>
      </c>
      <c r="EH334" s="26">
        <v>56.709764099999994</v>
      </c>
      <c r="EI334" s="26">
        <v>819.264544</v>
      </c>
      <c r="EJ334" s="26">
        <v>105.64618299999999</v>
      </c>
      <c r="EK334" s="26">
        <v>0</v>
      </c>
      <c r="EL334" s="26">
        <v>463.63439</v>
      </c>
      <c r="EM334" s="26">
        <v>0</v>
      </c>
      <c r="EN334" s="26">
        <v>0</v>
      </c>
      <c r="EO334" s="26">
        <v>0</v>
      </c>
      <c r="EP334" s="26">
        <v>350.89466800000002</v>
      </c>
      <c r="EQ334" s="26">
        <v>22753.626400000001</v>
      </c>
      <c r="ER334" s="26">
        <v>273.72922799999998</v>
      </c>
      <c r="ES334" s="26">
        <v>55.274737099999982</v>
      </c>
      <c r="ET334" s="26">
        <v>6.9084628700000001</v>
      </c>
      <c r="EU334" s="26">
        <v>0</v>
      </c>
      <c r="EV334" s="26">
        <v>0</v>
      </c>
      <c r="EW334" s="26">
        <v>1</v>
      </c>
      <c r="EX334" s="26">
        <v>-74531.168900000004</v>
      </c>
      <c r="EY334" s="26">
        <v>-1149.3811700000001</v>
      </c>
      <c r="EZ334" s="26">
        <v>-26.15259</v>
      </c>
      <c r="FA334" s="26">
        <v>-147.80295599999999</v>
      </c>
      <c r="FB334" s="26">
        <v>-2.2793408099999999</v>
      </c>
      <c r="FC334" s="26">
        <v>2.1365070999999999E-2</v>
      </c>
      <c r="FD334" s="26">
        <v>1.38540961</v>
      </c>
      <c r="FE334" s="26">
        <v>64.844605700000002</v>
      </c>
      <c r="FF334" s="26">
        <v>0</v>
      </c>
      <c r="FG334" s="26">
        <v>0.86180874399999996</v>
      </c>
      <c r="FH334" s="26">
        <v>-88959507.9692</v>
      </c>
      <c r="FI334" s="26">
        <v>8.3794931225915012E-3</v>
      </c>
      <c r="FJ334" s="26">
        <v>0</v>
      </c>
      <c r="FK334" s="26">
        <v>0</v>
      </c>
      <c r="FL334" s="26">
        <v>0</v>
      </c>
      <c r="FM334" s="26">
        <v>0</v>
      </c>
      <c r="FN334" s="26">
        <v>0</v>
      </c>
      <c r="FO334" s="26">
        <v>0</v>
      </c>
      <c r="FP334" s="26">
        <v>0</v>
      </c>
      <c r="FQ334" s="26">
        <v>0</v>
      </c>
      <c r="FR334" s="26">
        <v>0</v>
      </c>
      <c r="FS334" s="26">
        <v>0</v>
      </c>
      <c r="FT334" s="26">
        <v>0</v>
      </c>
      <c r="FU334" s="26">
        <v>0</v>
      </c>
      <c r="FV334" s="26">
        <v>0</v>
      </c>
      <c r="FW334" s="26">
        <v>0</v>
      </c>
      <c r="FX334" s="26">
        <v>0</v>
      </c>
      <c r="FY334" s="26">
        <v>0</v>
      </c>
      <c r="FZ334" s="26">
        <v>0</v>
      </c>
      <c r="GA334" s="26">
        <v>0</v>
      </c>
      <c r="GB334" s="26">
        <v>0</v>
      </c>
      <c r="GC334" s="26">
        <v>0</v>
      </c>
      <c r="GD334" s="26">
        <v>0</v>
      </c>
      <c r="GE334" s="26">
        <v>0</v>
      </c>
      <c r="GF334" s="26">
        <v>0</v>
      </c>
      <c r="GG334" s="26">
        <v>0</v>
      </c>
      <c r="GH334" s="26">
        <v>0</v>
      </c>
      <c r="GI334" s="26">
        <v>0</v>
      </c>
      <c r="GJ334" s="26">
        <v>0</v>
      </c>
      <c r="GK334" s="26">
        <v>0</v>
      </c>
      <c r="GL334" s="26">
        <v>0</v>
      </c>
      <c r="GM334" s="26">
        <v>0</v>
      </c>
      <c r="GN334" s="26">
        <v>0</v>
      </c>
      <c r="GO334" s="26">
        <v>0</v>
      </c>
      <c r="GP334" s="26">
        <v>0</v>
      </c>
      <c r="GQ334" s="26">
        <v>0</v>
      </c>
      <c r="GR334" s="26">
        <v>0</v>
      </c>
      <c r="GS334" s="26">
        <v>0</v>
      </c>
      <c r="GT334" s="26">
        <v>0</v>
      </c>
      <c r="GU334" s="26">
        <v>0</v>
      </c>
      <c r="GV334" s="26">
        <v>0</v>
      </c>
      <c r="GW334" s="26">
        <v>0</v>
      </c>
      <c r="GX334" s="26">
        <v>0</v>
      </c>
      <c r="GY334" s="26">
        <v>0</v>
      </c>
      <c r="GZ334" s="26">
        <v>0</v>
      </c>
      <c r="HA334" s="26">
        <v>0</v>
      </c>
      <c r="HB334" s="26">
        <v>0</v>
      </c>
      <c r="HC334" s="26">
        <v>0</v>
      </c>
      <c r="HD334" s="26">
        <v>0</v>
      </c>
      <c r="HE334" s="26">
        <v>0</v>
      </c>
      <c r="HF334" s="26">
        <v>0</v>
      </c>
      <c r="HG334" s="26">
        <v>0</v>
      </c>
      <c r="HH334" s="26">
        <v>0</v>
      </c>
      <c r="HI334" s="26">
        <v>0</v>
      </c>
      <c r="HJ334" s="26">
        <v>0</v>
      </c>
      <c r="HK334" s="26">
        <v>0</v>
      </c>
      <c r="HL334" s="26">
        <v>0</v>
      </c>
      <c r="HM334" s="26">
        <v>0</v>
      </c>
      <c r="HN334" s="26">
        <v>0</v>
      </c>
      <c r="HO334" s="26">
        <v>0</v>
      </c>
      <c r="HP334" s="26">
        <v>0</v>
      </c>
      <c r="HQ334" s="26">
        <v>0</v>
      </c>
      <c r="HR334" s="26">
        <v>0</v>
      </c>
      <c r="HS334" s="26">
        <v>0</v>
      </c>
      <c r="HT334" s="26">
        <v>0.25201628646057478</v>
      </c>
    </row>
    <row r="335" spans="2:228" x14ac:dyDescent="0.2">
      <c r="B335" s="27" t="s">
        <v>1467</v>
      </c>
      <c r="C335" s="26">
        <v>21861.0072</v>
      </c>
      <c r="D335" s="26">
        <v>-38.821829299999997</v>
      </c>
      <c r="E335" s="26">
        <v>750.78291100000001</v>
      </c>
      <c r="F335" s="26">
        <v>0.56513829500000001</v>
      </c>
      <c r="G335" s="26">
        <v>9.8317209299999996E-13</v>
      </c>
      <c r="H335" s="26">
        <v>2.1582385499999999E-12</v>
      </c>
      <c r="I335" s="26">
        <v>9.0555463499999994E-13</v>
      </c>
      <c r="J335" s="26">
        <v>3.0265161200000001E-10</v>
      </c>
      <c r="K335" s="26">
        <v>6.2717924299999998E-11</v>
      </c>
      <c r="L335" s="26">
        <v>1.06593838E-8</v>
      </c>
      <c r="M335" s="26">
        <v>0</v>
      </c>
      <c r="N335" s="26">
        <v>2.13735929E-12</v>
      </c>
      <c r="O335" s="26">
        <v>5.3939270000000001E-14</v>
      </c>
      <c r="P335" s="26">
        <v>2.26318615E-14</v>
      </c>
      <c r="Q335" s="26">
        <v>1.11307999E-10</v>
      </c>
      <c r="R335" s="26">
        <v>1.8515809199999999E-11</v>
      </c>
      <c r="S335" s="26">
        <v>2.3027498E-11</v>
      </c>
      <c r="T335" s="26">
        <v>5.4563352399999997E-6</v>
      </c>
      <c r="U335" s="26">
        <v>3.19678121E-4</v>
      </c>
      <c r="V335" s="26">
        <v>0.91085412600000004</v>
      </c>
      <c r="W335" s="26">
        <v>6.4739933800000002E-3</v>
      </c>
      <c r="X335" s="26">
        <v>7.7093178400000002E-5</v>
      </c>
      <c r="Y335" s="26">
        <v>1.9307955299999999E-10</v>
      </c>
      <c r="Z335" s="26">
        <v>2.1548929E-7</v>
      </c>
      <c r="AA335" s="26">
        <v>1.3350376900000001E-7</v>
      </c>
      <c r="AB335" s="26">
        <v>27.157800200000001</v>
      </c>
      <c r="AC335" s="26">
        <v>9.7561763699999999E-10</v>
      </c>
      <c r="AD335" s="26">
        <v>0</v>
      </c>
      <c r="AE335" s="26">
        <v>0</v>
      </c>
      <c r="AF335" s="26">
        <v>0</v>
      </c>
      <c r="AG335" s="26">
        <v>0</v>
      </c>
      <c r="AH335" s="26">
        <v>3.22774015E-3</v>
      </c>
      <c r="AI335" s="26">
        <v>0</v>
      </c>
      <c r="AJ335" s="26">
        <v>0</v>
      </c>
      <c r="AK335" s="26">
        <v>0</v>
      </c>
      <c r="AL335" s="26">
        <v>0</v>
      </c>
      <c r="AM335" s="26">
        <v>2.90392551E-10</v>
      </c>
      <c r="AN335" s="26">
        <v>1143.1691000000001</v>
      </c>
      <c r="AO335" s="26">
        <v>5.4242980200000002</v>
      </c>
      <c r="AP335" s="26">
        <v>0</v>
      </c>
      <c r="AQ335" s="26">
        <v>1.3674957499999999E-2</v>
      </c>
      <c r="AR335" s="26">
        <v>0</v>
      </c>
      <c r="AS335" s="26">
        <v>14269.2286</v>
      </c>
      <c r="AT335" s="26">
        <v>5378.3972999999996</v>
      </c>
      <c r="AU335" s="26">
        <v>285.346923</v>
      </c>
      <c r="AV335" s="26">
        <v>4.5108502299999996E-4</v>
      </c>
      <c r="AW335" s="26">
        <v>0</v>
      </c>
      <c r="AX335" s="26">
        <v>0</v>
      </c>
      <c r="AY335" s="26">
        <v>0</v>
      </c>
      <c r="AZ335" s="26">
        <v>0</v>
      </c>
      <c r="BA335" s="26">
        <v>0</v>
      </c>
      <c r="BB335" s="26">
        <v>0</v>
      </c>
      <c r="BC335" s="26">
        <v>0</v>
      </c>
      <c r="BD335" s="26">
        <v>0</v>
      </c>
      <c r="BE335" s="26">
        <v>0</v>
      </c>
      <c r="BF335" s="26">
        <v>0</v>
      </c>
      <c r="BG335" s="26">
        <v>0</v>
      </c>
      <c r="BH335" s="26">
        <v>0</v>
      </c>
      <c r="BI335" s="26">
        <v>0</v>
      </c>
      <c r="BJ335" s="26">
        <v>0</v>
      </c>
      <c r="BK335" s="26">
        <v>0</v>
      </c>
      <c r="BL335" s="26">
        <v>0</v>
      </c>
      <c r="BM335" s="26">
        <v>0</v>
      </c>
      <c r="BN335" s="26">
        <v>0</v>
      </c>
      <c r="BO335" s="26">
        <v>747.065337</v>
      </c>
      <c r="BP335" s="26">
        <v>21861.0072</v>
      </c>
      <c r="BQ335" s="26">
        <v>307708.815</v>
      </c>
      <c r="BR335" s="26">
        <v>38.274052900000015</v>
      </c>
      <c r="BS335" s="26">
        <v>1.03402298</v>
      </c>
      <c r="BT335" s="26">
        <v>1</v>
      </c>
      <c r="BU335" s="26">
        <v>0</v>
      </c>
      <c r="BV335" s="26">
        <v>0</v>
      </c>
      <c r="BW335" s="26">
        <v>-51965.774700000002</v>
      </c>
      <c r="BX335" s="26">
        <v>-1775.8481400000001</v>
      </c>
      <c r="BY335" s="26">
        <v>-38.821829299999997</v>
      </c>
      <c r="BZ335" s="26">
        <v>-6.3846825599999999</v>
      </c>
      <c r="CA335" s="26">
        <v>-0.21818642599999999</v>
      </c>
      <c r="CB335" s="26">
        <v>4.04638678E-5</v>
      </c>
      <c r="CC335" s="26">
        <v>1.1840743499999999E-3</v>
      </c>
      <c r="CD335" s="26">
        <v>29.2625104</v>
      </c>
      <c r="CE335" s="26">
        <v>0</v>
      </c>
      <c r="CF335" s="26">
        <v>0</v>
      </c>
      <c r="CG335" s="26">
        <v>0</v>
      </c>
      <c r="CH335" s="26">
        <v>0</v>
      </c>
      <c r="CI335" s="26">
        <v>0</v>
      </c>
      <c r="CJ335" s="26">
        <v>0</v>
      </c>
      <c r="CK335" s="26">
        <v>0</v>
      </c>
      <c r="CL335" s="26">
        <v>0</v>
      </c>
      <c r="CM335" s="26">
        <v>0</v>
      </c>
      <c r="CN335" s="26">
        <v>0</v>
      </c>
      <c r="CO335" s="26">
        <v>0</v>
      </c>
      <c r="CP335" s="26">
        <v>0</v>
      </c>
      <c r="CQ335" s="26">
        <v>0</v>
      </c>
      <c r="CR335" s="26">
        <v>0</v>
      </c>
      <c r="CS335" s="26">
        <v>0</v>
      </c>
      <c r="CT335" s="26">
        <v>0</v>
      </c>
      <c r="CU335" s="26">
        <v>0</v>
      </c>
      <c r="CV335" s="26">
        <v>0</v>
      </c>
      <c r="CW335" s="26">
        <v>0</v>
      </c>
      <c r="CX335" s="26">
        <v>0</v>
      </c>
      <c r="CY335" s="26">
        <v>0</v>
      </c>
      <c r="CZ335" s="26">
        <v>0</v>
      </c>
      <c r="DA335" s="26">
        <v>0</v>
      </c>
      <c r="DB335" s="26">
        <v>0</v>
      </c>
      <c r="DC335" s="26">
        <v>0</v>
      </c>
      <c r="DD335" s="26">
        <v>0</v>
      </c>
      <c r="DE335" s="26">
        <v>0</v>
      </c>
      <c r="DF335" s="26">
        <v>0</v>
      </c>
      <c r="DG335" s="26">
        <v>0</v>
      </c>
      <c r="DH335" s="26">
        <v>0</v>
      </c>
      <c r="DI335" s="26">
        <v>0</v>
      </c>
      <c r="DJ335" s="26">
        <v>0</v>
      </c>
      <c r="DK335" s="26">
        <v>0</v>
      </c>
      <c r="DL335" s="26">
        <v>0</v>
      </c>
      <c r="DM335" s="26">
        <v>0</v>
      </c>
      <c r="DN335" s="26">
        <v>0</v>
      </c>
      <c r="DO335" s="26">
        <v>0</v>
      </c>
      <c r="DP335" s="26">
        <v>0</v>
      </c>
      <c r="DQ335" s="26">
        <v>0</v>
      </c>
      <c r="DR335" s="26">
        <v>0</v>
      </c>
      <c r="DS335" s="26">
        <v>0</v>
      </c>
      <c r="DT335" s="26">
        <v>0</v>
      </c>
      <c r="DU335" s="26">
        <v>0</v>
      </c>
      <c r="DV335" s="26">
        <v>0</v>
      </c>
      <c r="DW335" s="26">
        <v>0</v>
      </c>
      <c r="DX335" s="26">
        <v>0</v>
      </c>
      <c r="DY335" s="26">
        <v>0</v>
      </c>
      <c r="DZ335" s="26">
        <v>0</v>
      </c>
      <c r="EA335" s="26">
        <v>0</v>
      </c>
      <c r="EB335" s="26">
        <v>0</v>
      </c>
      <c r="EC335" s="26">
        <v>0</v>
      </c>
      <c r="ED335" s="26">
        <v>0</v>
      </c>
      <c r="EE335" s="26">
        <v>0</v>
      </c>
      <c r="EF335" s="26">
        <v>0</v>
      </c>
      <c r="EG335" s="26">
        <v>0</v>
      </c>
      <c r="EH335" s="26">
        <v>0</v>
      </c>
      <c r="EI335" s="26">
        <v>0</v>
      </c>
      <c r="EJ335" s="26">
        <v>0</v>
      </c>
      <c r="EK335" s="26">
        <v>0</v>
      </c>
      <c r="EL335" s="26">
        <v>0</v>
      </c>
      <c r="EM335" s="26">
        <v>0</v>
      </c>
      <c r="EN335" s="26">
        <v>0</v>
      </c>
      <c r="EO335" s="26">
        <v>0</v>
      </c>
      <c r="EP335" s="26">
        <v>0</v>
      </c>
      <c r="EQ335" s="26">
        <v>0</v>
      </c>
      <c r="ER335" s="26">
        <v>0</v>
      </c>
      <c r="ES335" s="26">
        <v>0</v>
      </c>
      <c r="ET335" s="26">
        <v>1.03402298</v>
      </c>
      <c r="EU335" s="26">
        <v>0</v>
      </c>
      <c r="EV335" s="26">
        <v>0</v>
      </c>
      <c r="EW335" s="26">
        <v>0</v>
      </c>
      <c r="EX335" s="26">
        <v>0</v>
      </c>
      <c r="EY335" s="26">
        <v>0</v>
      </c>
      <c r="EZ335" s="26">
        <v>0</v>
      </c>
      <c r="FA335" s="26">
        <v>0</v>
      </c>
      <c r="FB335" s="26">
        <v>0</v>
      </c>
      <c r="FC335" s="26">
        <v>0</v>
      </c>
      <c r="FD335" s="26">
        <v>0</v>
      </c>
      <c r="FE335" s="26">
        <v>0</v>
      </c>
      <c r="FF335" s="26">
        <v>0</v>
      </c>
      <c r="FG335" s="26">
        <v>1.00611936</v>
      </c>
      <c r="FH335" s="26">
        <v>-45249467.508100003</v>
      </c>
      <c r="FI335" s="26">
        <v>0.18320957591012108</v>
      </c>
      <c r="FJ335" s="26">
        <v>1.1576329092610632E-2</v>
      </c>
      <c r="FK335" s="26">
        <v>3.4075565828160083E-6</v>
      </c>
      <c r="FL335" s="26">
        <v>1.5159129565717481E-18</v>
      </c>
      <c r="FM335" s="26">
        <v>3.3276999988438223E-18</v>
      </c>
      <c r="FN335" s="26">
        <v>1.39623776394768E-18</v>
      </c>
      <c r="FO335" s="26">
        <v>5.5997541559091442E-16</v>
      </c>
      <c r="FP335" s="26">
        <v>1.1604265176167456E-16</v>
      </c>
      <c r="FQ335" s="26">
        <v>8.6501293192010355E-15</v>
      </c>
      <c r="FR335" s="26">
        <v>0</v>
      </c>
      <c r="FS335" s="26">
        <v>3.6616635570710863E-18</v>
      </c>
      <c r="FT335" s="26">
        <v>9.2407233794813429E-20</v>
      </c>
      <c r="FU335" s="26">
        <v>3.8772265865733688E-20</v>
      </c>
      <c r="FV335" s="26">
        <v>2.3402813215000285E-16</v>
      </c>
      <c r="FW335" s="26">
        <v>3.8929998644773325E-17</v>
      </c>
      <c r="FX335" s="26">
        <v>3.5505160284041287E-17</v>
      </c>
      <c r="FY335" s="26">
        <v>9.9615608019147097E-12</v>
      </c>
      <c r="FZ335" s="26">
        <v>7.0414303896647764E-10</v>
      </c>
      <c r="GA335" s="26">
        <v>2.6332264377324782E-6</v>
      </c>
      <c r="GB335" s="26">
        <v>2.9945959128456562E-8</v>
      </c>
      <c r="GC335" s="26">
        <v>2.3773365579075816E-10</v>
      </c>
      <c r="GD335" s="26">
        <v>3.525085000422902E-16</v>
      </c>
      <c r="GE335" s="26">
        <v>6.4996273853303535E-13</v>
      </c>
      <c r="GF335" s="26">
        <v>3.1403691362340642E-13</v>
      </c>
      <c r="GG335" s="26">
        <v>4.4295862576589122E-4</v>
      </c>
      <c r="GH335" s="26">
        <v>2.7631151943271441E-15</v>
      </c>
      <c r="GI335" s="26">
        <v>0</v>
      </c>
      <c r="GJ335" s="26">
        <v>0</v>
      </c>
      <c r="GK335" s="26">
        <v>0</v>
      </c>
      <c r="GL335" s="26">
        <v>0</v>
      </c>
      <c r="GM335" s="26">
        <v>1.0548827001057283E-8</v>
      </c>
      <c r="GN335" s="26">
        <v>0</v>
      </c>
      <c r="GO335" s="26">
        <v>0</v>
      </c>
      <c r="GP335" s="26">
        <v>0</v>
      </c>
      <c r="GQ335" s="26">
        <v>0</v>
      </c>
      <c r="GR335" s="26">
        <v>2.85572002284576E-16</v>
      </c>
      <c r="GS335" s="26">
        <v>9.9237151071675002E-3</v>
      </c>
      <c r="GT335" s="26">
        <v>5.3786586263626028E-5</v>
      </c>
      <c r="GU335" s="26">
        <v>0</v>
      </c>
      <c r="GV335" s="26">
        <v>8.2568302049435303E-8</v>
      </c>
      <c r="GW335" s="26">
        <v>0</v>
      </c>
      <c r="GX335" s="26">
        <v>9.006345516495208E-2</v>
      </c>
      <c r="GY335" s="26">
        <v>9.3126074356119706E-2</v>
      </c>
      <c r="GZ335" s="26">
        <v>2.3256649824942087E-3</v>
      </c>
      <c r="HA335" s="26">
        <v>1.9558540156468319E-9</v>
      </c>
      <c r="HB335" s="26">
        <v>0</v>
      </c>
      <c r="HC335" s="26">
        <v>0</v>
      </c>
      <c r="HD335" s="26">
        <v>0</v>
      </c>
      <c r="HE335" s="26">
        <v>0</v>
      </c>
      <c r="HF335" s="26">
        <v>0</v>
      </c>
      <c r="HG335" s="26">
        <v>0</v>
      </c>
      <c r="HH335" s="26">
        <v>0</v>
      </c>
      <c r="HI335" s="26">
        <v>0</v>
      </c>
      <c r="HJ335" s="26">
        <v>0</v>
      </c>
      <c r="HK335" s="26">
        <v>0</v>
      </c>
      <c r="HL335" s="26">
        <v>0</v>
      </c>
      <c r="HM335" s="26">
        <v>0</v>
      </c>
      <c r="HN335" s="26">
        <v>0</v>
      </c>
      <c r="HO335" s="26">
        <v>0</v>
      </c>
      <c r="HP335" s="26">
        <v>0</v>
      </c>
      <c r="HQ335" s="26">
        <v>0</v>
      </c>
      <c r="HR335" s="26">
        <v>0</v>
      </c>
      <c r="HS335" s="26">
        <v>0</v>
      </c>
      <c r="HT335" s="26">
        <v>0</v>
      </c>
    </row>
    <row r="336" spans="2:228" x14ac:dyDescent="0.2">
      <c r="B336" s="27" t="s">
        <v>1465</v>
      </c>
      <c r="C336" s="26">
        <v>9760.0353699999996</v>
      </c>
      <c r="D336" s="26">
        <v>-31.334807900000001</v>
      </c>
      <c r="E336" s="26">
        <v>7709.3452199999992</v>
      </c>
      <c r="F336" s="26">
        <v>7.9431267999999999E-2</v>
      </c>
      <c r="G336" s="26">
        <v>0.21714182500000001</v>
      </c>
      <c r="H336" s="26">
        <v>0.47666513199999999</v>
      </c>
      <c r="I336" s="26">
        <v>0.19999935599999999</v>
      </c>
      <c r="J336" s="26">
        <v>0.44238352199999997</v>
      </c>
      <c r="K336" s="26">
        <v>9.16743052E-2</v>
      </c>
      <c r="L336" s="26">
        <v>0.13792539700000001</v>
      </c>
      <c r="M336" s="26">
        <v>0</v>
      </c>
      <c r="N336" s="26">
        <v>0.47205377199999998</v>
      </c>
      <c r="O336" s="26">
        <v>1.19129414E-2</v>
      </c>
      <c r="P336" s="26">
        <v>4.9984369399999999E-3</v>
      </c>
      <c r="Q336" s="26">
        <v>0.16269804099999999</v>
      </c>
      <c r="R336" s="26">
        <v>2.2558180600000002E-2</v>
      </c>
      <c r="S336" s="26">
        <v>5.0858165900000003</v>
      </c>
      <c r="T336" s="26">
        <v>1.13052752</v>
      </c>
      <c r="U336" s="26">
        <v>0.15406335700000001</v>
      </c>
      <c r="V336" s="26">
        <v>0.20573044700000001</v>
      </c>
      <c r="W336" s="26">
        <v>2.5209660599999999E-2</v>
      </c>
      <c r="X336" s="26">
        <v>0.70571856899999996</v>
      </c>
      <c r="Y336" s="26">
        <v>0.31450060099999999</v>
      </c>
      <c r="Z336" s="26">
        <v>7.2638449800000005E-2</v>
      </c>
      <c r="AA336" s="26">
        <v>0.19067800300000001</v>
      </c>
      <c r="AB336" s="26">
        <v>3.2561289100000002</v>
      </c>
      <c r="AC336" s="26">
        <v>1.2895043E-3</v>
      </c>
      <c r="AD336" s="26">
        <v>0</v>
      </c>
      <c r="AE336" s="26">
        <v>6.4198205100000001</v>
      </c>
      <c r="AF336" s="26">
        <v>2.3496615099999998</v>
      </c>
      <c r="AG336" s="26">
        <v>0</v>
      </c>
      <c r="AH336" s="26">
        <v>72.871777600000001</v>
      </c>
      <c r="AI336" s="26">
        <v>0</v>
      </c>
      <c r="AJ336" s="26">
        <v>0</v>
      </c>
      <c r="AK336" s="26">
        <v>0</v>
      </c>
      <c r="AL336" s="26">
        <v>0</v>
      </c>
      <c r="AM336" s="26">
        <v>1.1531334799999999E-2</v>
      </c>
      <c r="AN336" s="26">
        <v>4.6645879600000002E-2</v>
      </c>
      <c r="AO336" s="26">
        <v>8.4118578499999999E-2</v>
      </c>
      <c r="AP336" s="26">
        <v>0</v>
      </c>
      <c r="AQ336" s="26">
        <v>8.0582939800000003E-2</v>
      </c>
      <c r="AR336" s="26">
        <v>0</v>
      </c>
      <c r="AS336" s="26">
        <v>1.01655681</v>
      </c>
      <c r="AT336" s="26">
        <v>1.56257536E-2</v>
      </c>
      <c r="AU336" s="26">
        <v>2.1241642999999999</v>
      </c>
      <c r="AV336" s="26">
        <v>1.6020150400000001E-3</v>
      </c>
      <c r="AW336" s="26">
        <v>0</v>
      </c>
      <c r="AX336" s="26">
        <v>0</v>
      </c>
      <c r="AY336" s="26">
        <v>0</v>
      </c>
      <c r="AZ336" s="26">
        <v>0</v>
      </c>
      <c r="BA336" s="26">
        <v>0</v>
      </c>
      <c r="BB336" s="26">
        <v>0</v>
      </c>
      <c r="BC336" s="26">
        <v>0</v>
      </c>
      <c r="BD336" s="26">
        <v>0</v>
      </c>
      <c r="BE336" s="26">
        <v>0</v>
      </c>
      <c r="BF336" s="26">
        <v>0</v>
      </c>
      <c r="BG336" s="26">
        <v>0</v>
      </c>
      <c r="BH336" s="26">
        <v>0</v>
      </c>
      <c r="BI336" s="26">
        <v>0</v>
      </c>
      <c r="BJ336" s="26">
        <v>0</v>
      </c>
      <c r="BK336" s="26">
        <v>0</v>
      </c>
      <c r="BL336" s="26">
        <v>0</v>
      </c>
      <c r="BM336" s="26">
        <v>0</v>
      </c>
      <c r="BN336" s="26">
        <v>0</v>
      </c>
      <c r="BO336" s="26">
        <v>429.24282699999998</v>
      </c>
      <c r="BP336" s="26">
        <v>7807.8290500000003</v>
      </c>
      <c r="BQ336" s="26">
        <v>132.605503</v>
      </c>
      <c r="BR336" s="26">
        <v>29.487460199999987</v>
      </c>
      <c r="BS336" s="26">
        <v>2</v>
      </c>
      <c r="BT336" s="26">
        <v>0</v>
      </c>
      <c r="BU336" s="26">
        <v>1</v>
      </c>
      <c r="BV336" s="26">
        <v>0</v>
      </c>
      <c r="BW336" s="26">
        <v>-68285.0533</v>
      </c>
      <c r="BX336" s="26">
        <v>-3754.03575</v>
      </c>
      <c r="BY336" s="26">
        <v>-29.310869600000004</v>
      </c>
      <c r="BZ336" s="26">
        <v>-38.743996199999998</v>
      </c>
      <c r="CA336" s="26">
        <v>-2.1299880400000002</v>
      </c>
      <c r="CB336" s="26">
        <v>5.3949850400000006E-2</v>
      </c>
      <c r="CC336" s="26">
        <v>0.98133546400000005</v>
      </c>
      <c r="CD336" s="26">
        <v>18.189771700000001</v>
      </c>
      <c r="CE336" s="26">
        <v>0</v>
      </c>
      <c r="CF336" s="26">
        <v>0</v>
      </c>
      <c r="CG336" s="26">
        <v>0</v>
      </c>
      <c r="CH336" s="26">
        <v>0</v>
      </c>
      <c r="CI336" s="26">
        <v>0</v>
      </c>
      <c r="CJ336" s="26">
        <v>0</v>
      </c>
      <c r="CK336" s="26">
        <v>0</v>
      </c>
      <c r="CL336" s="26">
        <v>0</v>
      </c>
      <c r="CM336" s="26">
        <v>0</v>
      </c>
      <c r="CN336" s="26">
        <v>0</v>
      </c>
      <c r="CO336" s="26">
        <v>0</v>
      </c>
      <c r="CP336" s="26">
        <v>0</v>
      </c>
      <c r="CQ336" s="26">
        <v>0</v>
      </c>
      <c r="CR336" s="26">
        <v>0</v>
      </c>
      <c r="CS336" s="26">
        <v>0</v>
      </c>
      <c r="CT336" s="26">
        <v>0</v>
      </c>
      <c r="CU336" s="26">
        <v>0</v>
      </c>
      <c r="CV336" s="26">
        <v>0</v>
      </c>
      <c r="CW336" s="26">
        <v>0</v>
      </c>
      <c r="CX336" s="26">
        <v>0</v>
      </c>
      <c r="CY336" s="26">
        <v>0</v>
      </c>
      <c r="CZ336" s="26">
        <v>0</v>
      </c>
      <c r="DA336" s="26">
        <v>0</v>
      </c>
      <c r="DB336" s="26">
        <v>0</v>
      </c>
      <c r="DC336" s="26">
        <v>0</v>
      </c>
      <c r="DD336" s="26">
        <v>0</v>
      </c>
      <c r="DE336" s="26">
        <v>0</v>
      </c>
      <c r="DF336" s="26">
        <v>0</v>
      </c>
      <c r="DG336" s="26">
        <v>0</v>
      </c>
      <c r="DH336" s="26">
        <v>0</v>
      </c>
      <c r="DI336" s="26">
        <v>0</v>
      </c>
      <c r="DJ336" s="26">
        <v>0</v>
      </c>
      <c r="DK336" s="26">
        <v>0</v>
      </c>
      <c r="DL336" s="26">
        <v>0</v>
      </c>
      <c r="DM336" s="26">
        <v>0</v>
      </c>
      <c r="DN336" s="26">
        <v>0</v>
      </c>
      <c r="DO336" s="26">
        <v>0</v>
      </c>
      <c r="DP336" s="26">
        <v>0</v>
      </c>
      <c r="DQ336" s="26">
        <v>0</v>
      </c>
      <c r="DR336" s="26">
        <v>0</v>
      </c>
      <c r="DS336" s="26">
        <v>0</v>
      </c>
      <c r="DT336" s="26">
        <v>0</v>
      </c>
      <c r="DU336" s="26">
        <v>0</v>
      </c>
      <c r="DV336" s="26">
        <v>0</v>
      </c>
      <c r="DW336" s="26">
        <v>0</v>
      </c>
      <c r="DX336" s="26">
        <v>25.092833200000001</v>
      </c>
      <c r="DY336" s="26">
        <v>0.61959341099999998</v>
      </c>
      <c r="DZ336" s="26">
        <v>0.25996926300000001</v>
      </c>
      <c r="EA336" s="26">
        <v>8.4619995299999999</v>
      </c>
      <c r="EB336" s="26">
        <v>1.0312114100000001</v>
      </c>
      <c r="EC336" s="26">
        <v>249.50383400000001</v>
      </c>
      <c r="ED336" s="26">
        <v>0</v>
      </c>
      <c r="EE336" s="26">
        <v>40.541946699999997</v>
      </c>
      <c r="EF336" s="26">
        <v>82.156953099999996</v>
      </c>
      <c r="EG336" s="26">
        <v>10.4160641</v>
      </c>
      <c r="EH336" s="26">
        <v>1.15734212</v>
      </c>
      <c r="EI336" s="26">
        <v>16.719684600000001</v>
      </c>
      <c r="EJ336" s="26">
        <v>2.1560445600000002</v>
      </c>
      <c r="EK336" s="26">
        <v>1504.6269199999999</v>
      </c>
      <c r="EL336" s="26">
        <v>9.4619263199999999</v>
      </c>
      <c r="EM336" s="26">
        <v>0</v>
      </c>
      <c r="EN336" s="26">
        <v>0</v>
      </c>
      <c r="EO336" s="26">
        <v>0</v>
      </c>
      <c r="EP336" s="26">
        <v>71.174967600000002</v>
      </c>
      <c r="EQ336" s="26">
        <v>1952.20632</v>
      </c>
      <c r="ER336" s="26">
        <v>22.116104400000001</v>
      </c>
      <c r="ES336" s="26">
        <v>29.487460199999987</v>
      </c>
      <c r="ET336" s="26">
        <v>2</v>
      </c>
      <c r="EU336" s="26">
        <v>0</v>
      </c>
      <c r="EV336" s="26">
        <v>0</v>
      </c>
      <c r="EW336" s="26">
        <v>1</v>
      </c>
      <c r="EX336" s="26">
        <v>-28436.097099999999</v>
      </c>
      <c r="EY336" s="26">
        <v>-1036.74405</v>
      </c>
      <c r="EZ336" s="26">
        <v>-2.0239383000000002</v>
      </c>
      <c r="FA336" s="26">
        <v>-84.508505299999996</v>
      </c>
      <c r="FB336" s="26">
        <v>-3.0810729700000001</v>
      </c>
      <c r="FC336" s="26">
        <v>5.3637359599999997E-2</v>
      </c>
      <c r="FD336" s="26">
        <v>1.4711800500000001</v>
      </c>
      <c r="FE336" s="26">
        <v>27.428271299999999</v>
      </c>
      <c r="FF336" s="26">
        <v>0</v>
      </c>
      <c r="FG336" s="26">
        <v>0.28595098499999999</v>
      </c>
      <c r="FH336" s="26">
        <v>-36483264.875599995</v>
      </c>
      <c r="FI336" s="26">
        <v>1.5629974819484241E-4</v>
      </c>
      <c r="FJ336" s="26">
        <v>0</v>
      </c>
      <c r="FK336" s="26">
        <v>0</v>
      </c>
      <c r="FL336" s="26">
        <v>0</v>
      </c>
      <c r="FM336" s="26">
        <v>0</v>
      </c>
      <c r="FN336" s="26">
        <v>0</v>
      </c>
      <c r="FO336" s="26">
        <v>0</v>
      </c>
      <c r="FP336" s="26">
        <v>0</v>
      </c>
      <c r="FQ336" s="26">
        <v>0</v>
      </c>
      <c r="FR336" s="26">
        <v>0</v>
      </c>
      <c r="FS336" s="26">
        <v>0</v>
      </c>
      <c r="FT336" s="26">
        <v>0</v>
      </c>
      <c r="FU336" s="26">
        <v>0</v>
      </c>
      <c r="FV336" s="26">
        <v>0</v>
      </c>
      <c r="FW336" s="26">
        <v>0</v>
      </c>
      <c r="FX336" s="26">
        <v>0</v>
      </c>
      <c r="FY336" s="26">
        <v>0</v>
      </c>
      <c r="FZ336" s="26">
        <v>0</v>
      </c>
      <c r="GA336" s="26">
        <v>0</v>
      </c>
      <c r="GB336" s="26">
        <v>0</v>
      </c>
      <c r="GC336" s="26">
        <v>0</v>
      </c>
      <c r="GD336" s="26">
        <v>0</v>
      </c>
      <c r="GE336" s="26">
        <v>0</v>
      </c>
      <c r="GF336" s="26">
        <v>0</v>
      </c>
      <c r="GG336" s="26">
        <v>0</v>
      </c>
      <c r="GH336" s="26">
        <v>0</v>
      </c>
      <c r="GI336" s="26">
        <v>0</v>
      </c>
      <c r="GJ336" s="26">
        <v>0</v>
      </c>
      <c r="GK336" s="26">
        <v>0</v>
      </c>
      <c r="GL336" s="26">
        <v>0</v>
      </c>
      <c r="GM336" s="26">
        <v>0</v>
      </c>
      <c r="GN336" s="26">
        <v>0</v>
      </c>
      <c r="GO336" s="26">
        <v>0</v>
      </c>
      <c r="GP336" s="26">
        <v>0</v>
      </c>
      <c r="GQ336" s="26">
        <v>0</v>
      </c>
      <c r="GR336" s="26">
        <v>0</v>
      </c>
      <c r="GS336" s="26">
        <v>0</v>
      </c>
      <c r="GT336" s="26">
        <v>0</v>
      </c>
      <c r="GU336" s="26">
        <v>0</v>
      </c>
      <c r="GV336" s="26">
        <v>0</v>
      </c>
      <c r="GW336" s="26">
        <v>0</v>
      </c>
      <c r="GX336" s="26">
        <v>0</v>
      </c>
      <c r="GY336" s="26">
        <v>0</v>
      </c>
      <c r="GZ336" s="26">
        <v>0</v>
      </c>
      <c r="HA336" s="26">
        <v>0</v>
      </c>
      <c r="HB336" s="26">
        <v>0</v>
      </c>
      <c r="HC336" s="26">
        <v>0</v>
      </c>
      <c r="HD336" s="26">
        <v>0</v>
      </c>
      <c r="HE336" s="26">
        <v>0</v>
      </c>
      <c r="HF336" s="26">
        <v>0</v>
      </c>
      <c r="HG336" s="26">
        <v>0</v>
      </c>
      <c r="HH336" s="26">
        <v>0</v>
      </c>
      <c r="HI336" s="26">
        <v>0</v>
      </c>
      <c r="HJ336" s="26">
        <v>0</v>
      </c>
      <c r="HK336" s="26">
        <v>0</v>
      </c>
      <c r="HL336" s="26">
        <v>0</v>
      </c>
      <c r="HM336" s="26">
        <v>0</v>
      </c>
      <c r="HN336" s="26">
        <v>0</v>
      </c>
      <c r="HO336" s="26">
        <v>0</v>
      </c>
      <c r="HP336" s="26">
        <v>0</v>
      </c>
      <c r="HQ336" s="26">
        <v>0</v>
      </c>
      <c r="HR336" s="26">
        <v>0</v>
      </c>
      <c r="HS336" s="26">
        <v>0</v>
      </c>
      <c r="HT336" s="26">
        <v>2.29248152111763E-2</v>
      </c>
    </row>
    <row r="337" spans="2:228" x14ac:dyDescent="0.2">
      <c r="B337" s="27" t="s">
        <v>3175</v>
      </c>
      <c r="C337" s="26">
        <v>46297.436600000001</v>
      </c>
      <c r="D337" s="26">
        <v>-107.26167100000001</v>
      </c>
      <c r="E337" s="26">
        <v>20506.139899999998</v>
      </c>
      <c r="F337" s="26">
        <v>5.7703273800000003</v>
      </c>
      <c r="G337" s="26">
        <v>19.623788900000001</v>
      </c>
      <c r="H337" s="26">
        <v>43.077733100000003</v>
      </c>
      <c r="I337" s="26">
        <v>18.074573300000001</v>
      </c>
      <c r="J337" s="26">
        <v>39.979298</v>
      </c>
      <c r="K337" s="26">
        <v>8.2848602400000004</v>
      </c>
      <c r="L337" s="26">
        <v>12.4647539</v>
      </c>
      <c r="M337" s="26">
        <v>0</v>
      </c>
      <c r="N337" s="26">
        <v>42.660991099999997</v>
      </c>
      <c r="O337" s="26">
        <v>1.0766101299999999</v>
      </c>
      <c r="P337" s="26">
        <v>0.45172452899999999</v>
      </c>
      <c r="Q337" s="26">
        <v>14.703529100000001</v>
      </c>
      <c r="R337" s="26">
        <v>1.7945591000000001</v>
      </c>
      <c r="S337" s="26">
        <v>459.62130400000001</v>
      </c>
      <c r="T337" s="26">
        <v>25.572939600000002</v>
      </c>
      <c r="U337" s="26">
        <v>13.8812243</v>
      </c>
      <c r="V337" s="26">
        <v>5.6611011800000002</v>
      </c>
      <c r="W337" s="26">
        <v>2.5209660599999999E-2</v>
      </c>
      <c r="X337" s="26">
        <v>63.777296200000009</v>
      </c>
      <c r="Y337" s="26">
        <v>28.422413200000001</v>
      </c>
      <c r="Z337" s="26">
        <v>6.5645644699999997</v>
      </c>
      <c r="AA337" s="26">
        <v>17.232172500000001</v>
      </c>
      <c r="AB337" s="26">
        <v>3.2561509700000002</v>
      </c>
      <c r="AC337" s="26">
        <v>1.2895043E-3</v>
      </c>
      <c r="AD337" s="26">
        <v>92.392319200000003</v>
      </c>
      <c r="AE337" s="26">
        <v>75.7070607</v>
      </c>
      <c r="AF337" s="26">
        <v>7.1462960299999994</v>
      </c>
      <c r="AG337" s="26">
        <v>0</v>
      </c>
      <c r="AH337" s="26">
        <v>72.871777600000001</v>
      </c>
      <c r="AI337" s="26">
        <v>0</v>
      </c>
      <c r="AJ337" s="26">
        <v>0</v>
      </c>
      <c r="AK337" s="26">
        <v>0</v>
      </c>
      <c r="AL337" s="26">
        <v>0</v>
      </c>
      <c r="AM337" s="26">
        <v>0.50885449699999996</v>
      </c>
      <c r="AN337" s="26">
        <v>0.58211147699999999</v>
      </c>
      <c r="AO337" s="26">
        <v>1.0386114</v>
      </c>
      <c r="AP337" s="26">
        <v>0</v>
      </c>
      <c r="AQ337" s="26">
        <v>8.0582939800000003E-2</v>
      </c>
      <c r="AR337" s="26">
        <v>0</v>
      </c>
      <c r="AS337" s="26">
        <v>1.01655681</v>
      </c>
      <c r="AT337" s="26">
        <v>1.56258536E-2</v>
      </c>
      <c r="AU337" s="26">
        <v>2.1241642999999999</v>
      </c>
      <c r="AV337" s="26">
        <v>1.6020150400000001E-3</v>
      </c>
      <c r="AW337" s="26">
        <v>0</v>
      </c>
      <c r="AX337" s="26">
        <v>0</v>
      </c>
      <c r="AY337" s="26">
        <v>0</v>
      </c>
      <c r="AZ337" s="26">
        <v>0</v>
      </c>
      <c r="BA337" s="26">
        <v>0</v>
      </c>
      <c r="BB337" s="26">
        <v>0</v>
      </c>
      <c r="BC337" s="26">
        <v>0</v>
      </c>
      <c r="BD337" s="26">
        <v>0</v>
      </c>
      <c r="BE337" s="26">
        <v>0</v>
      </c>
      <c r="BF337" s="26">
        <v>0</v>
      </c>
      <c r="BG337" s="26">
        <v>0</v>
      </c>
      <c r="BH337" s="26">
        <v>0</v>
      </c>
      <c r="BI337" s="26">
        <v>0</v>
      </c>
      <c r="BJ337" s="26">
        <v>0</v>
      </c>
      <c r="BK337" s="26">
        <v>0</v>
      </c>
      <c r="BL337" s="26">
        <v>0</v>
      </c>
      <c r="BM337" s="26">
        <v>0</v>
      </c>
      <c r="BN337" s="26">
        <v>0</v>
      </c>
      <c r="BO337" s="26">
        <v>1146.5226700000001</v>
      </c>
      <c r="BP337" s="26">
        <v>21591.603800000001</v>
      </c>
      <c r="BQ337" s="26">
        <v>365.96871900000002</v>
      </c>
      <c r="BR337" s="26">
        <v>47.052243200000021</v>
      </c>
      <c r="BS337" s="26">
        <v>1</v>
      </c>
      <c r="BT337" s="26">
        <v>0</v>
      </c>
      <c r="BU337" s="26">
        <v>1</v>
      </c>
      <c r="BV337" s="26">
        <v>0</v>
      </c>
      <c r="BW337" s="26">
        <v>-68940.994699999996</v>
      </c>
      <c r="BX337" s="26">
        <v>-3660.7939700000002</v>
      </c>
      <c r="BY337" s="26">
        <v>-79.042413800000006</v>
      </c>
      <c r="BZ337" s="26">
        <v>-38.455047299999997</v>
      </c>
      <c r="CA337" s="26">
        <v>-2.0419781600000002</v>
      </c>
      <c r="CB337" s="26">
        <v>5.2214055199999998E-2</v>
      </c>
      <c r="CC337" s="26">
        <v>0.98330824699999997</v>
      </c>
      <c r="CD337" s="26">
        <v>18.832252</v>
      </c>
      <c r="CE337" s="26">
        <v>0</v>
      </c>
      <c r="CF337" s="26">
        <v>0</v>
      </c>
      <c r="CG337" s="26">
        <v>0</v>
      </c>
      <c r="CH337" s="26">
        <v>0</v>
      </c>
      <c r="CI337" s="26">
        <v>0</v>
      </c>
      <c r="CJ337" s="26">
        <v>0</v>
      </c>
      <c r="CK337" s="26">
        <v>0</v>
      </c>
      <c r="CL337" s="26">
        <v>0</v>
      </c>
      <c r="CM337" s="26">
        <v>0</v>
      </c>
      <c r="CN337" s="26">
        <v>0</v>
      </c>
      <c r="CO337" s="26">
        <v>0</v>
      </c>
      <c r="CP337" s="26">
        <v>0</v>
      </c>
      <c r="CQ337" s="26">
        <v>0</v>
      </c>
      <c r="CR337" s="26">
        <v>0</v>
      </c>
      <c r="CS337" s="26">
        <v>0</v>
      </c>
      <c r="CT337" s="26">
        <v>0</v>
      </c>
      <c r="CU337" s="26">
        <v>0</v>
      </c>
      <c r="CV337" s="26">
        <v>0</v>
      </c>
      <c r="CW337" s="26">
        <v>0</v>
      </c>
      <c r="CX337" s="26">
        <v>0</v>
      </c>
      <c r="CY337" s="26">
        <v>0</v>
      </c>
      <c r="CZ337" s="26">
        <v>0</v>
      </c>
      <c r="DA337" s="26">
        <v>0</v>
      </c>
      <c r="DB337" s="26">
        <v>0</v>
      </c>
      <c r="DC337" s="26">
        <v>0</v>
      </c>
      <c r="DD337" s="26">
        <v>0</v>
      </c>
      <c r="DE337" s="26">
        <v>0</v>
      </c>
      <c r="DF337" s="26">
        <v>0</v>
      </c>
      <c r="DG337" s="26">
        <v>0</v>
      </c>
      <c r="DH337" s="26">
        <v>0</v>
      </c>
      <c r="DI337" s="26">
        <v>0</v>
      </c>
      <c r="DJ337" s="26">
        <v>0</v>
      </c>
      <c r="DK337" s="26">
        <v>0</v>
      </c>
      <c r="DL337" s="26">
        <v>0</v>
      </c>
      <c r="DM337" s="26">
        <v>0</v>
      </c>
      <c r="DN337" s="26">
        <v>0</v>
      </c>
      <c r="DO337" s="26">
        <v>0</v>
      </c>
      <c r="DP337" s="26">
        <v>0</v>
      </c>
      <c r="DQ337" s="26">
        <v>0</v>
      </c>
      <c r="DR337" s="26">
        <v>0</v>
      </c>
      <c r="DS337" s="26">
        <v>0</v>
      </c>
      <c r="DT337" s="26">
        <v>0</v>
      </c>
      <c r="DU337" s="26">
        <v>0</v>
      </c>
      <c r="DV337" s="26">
        <v>0</v>
      </c>
      <c r="DW337" s="26">
        <v>0</v>
      </c>
      <c r="DX337" s="26">
        <v>1254.64166</v>
      </c>
      <c r="DY337" s="26">
        <v>30.979670600000002</v>
      </c>
      <c r="DZ337" s="26">
        <v>12.9984632</v>
      </c>
      <c r="EA337" s="26">
        <v>423.09997600000003</v>
      </c>
      <c r="EB337" s="26">
        <v>51.560570599999998</v>
      </c>
      <c r="EC337" s="26">
        <v>12475.191699999999</v>
      </c>
      <c r="ED337" s="26">
        <v>0</v>
      </c>
      <c r="EE337" s="26">
        <v>2849.3330000000001</v>
      </c>
      <c r="EF337" s="26">
        <v>4107.8476600000004</v>
      </c>
      <c r="EG337" s="26">
        <v>520.80320400000005</v>
      </c>
      <c r="EH337" s="26">
        <v>57.867106200000009</v>
      </c>
      <c r="EI337" s="26">
        <v>835.98422900000003</v>
      </c>
      <c r="EJ337" s="26">
        <v>107.802228</v>
      </c>
      <c r="EK337" s="26">
        <v>1504.6269199999999</v>
      </c>
      <c r="EL337" s="26">
        <v>473.096316</v>
      </c>
      <c r="EM337" s="26">
        <v>0</v>
      </c>
      <c r="EN337" s="26">
        <v>0</v>
      </c>
      <c r="EO337" s="26">
        <v>0</v>
      </c>
      <c r="EP337" s="26">
        <v>422.069636</v>
      </c>
      <c r="EQ337" s="26">
        <v>24705.832699999999</v>
      </c>
      <c r="ER337" s="26">
        <v>295.84533299999998</v>
      </c>
      <c r="ES337" s="26">
        <v>47.052243200000021</v>
      </c>
      <c r="ET337" s="26">
        <v>1</v>
      </c>
      <c r="EU337" s="26">
        <v>0</v>
      </c>
      <c r="EV337" s="26">
        <v>0</v>
      </c>
      <c r="EW337" s="26">
        <v>1</v>
      </c>
      <c r="EX337" s="26">
        <v>-66859.244900000005</v>
      </c>
      <c r="EY337" s="26">
        <v>-1142.2103199999999</v>
      </c>
      <c r="EZ337" s="26">
        <v>-28.219257299999999</v>
      </c>
      <c r="FA337" s="26">
        <v>-136.68801400000001</v>
      </c>
      <c r="FB337" s="26">
        <v>-2.3351514199999999</v>
      </c>
      <c r="FC337" s="26">
        <v>2.37776063E-2</v>
      </c>
      <c r="FD337" s="26">
        <v>1.39182143</v>
      </c>
      <c r="FE337" s="26">
        <v>58.534968200000002</v>
      </c>
      <c r="FF337" s="26">
        <v>0</v>
      </c>
      <c r="FG337" s="26">
        <v>0.74041126499999999</v>
      </c>
      <c r="FH337" s="26">
        <v>-125433643.76000001</v>
      </c>
      <c r="FI337" s="26">
        <v>8.5357928738418985E-3</v>
      </c>
      <c r="FJ337" s="26">
        <v>0</v>
      </c>
      <c r="FK337" s="26">
        <v>0</v>
      </c>
      <c r="FL337" s="26">
        <v>0</v>
      </c>
      <c r="FM337" s="26">
        <v>0</v>
      </c>
      <c r="FN337" s="26">
        <v>0</v>
      </c>
      <c r="FO337" s="26">
        <v>0</v>
      </c>
      <c r="FP337" s="26">
        <v>0</v>
      </c>
      <c r="FQ337" s="26">
        <v>0</v>
      </c>
      <c r="FR337" s="26">
        <v>0</v>
      </c>
      <c r="FS337" s="26">
        <v>0</v>
      </c>
      <c r="FT337" s="26">
        <v>0</v>
      </c>
      <c r="FU337" s="26">
        <v>0</v>
      </c>
      <c r="FV337" s="26">
        <v>0</v>
      </c>
      <c r="FW337" s="26">
        <v>0</v>
      </c>
      <c r="FX337" s="26">
        <v>0</v>
      </c>
      <c r="FY337" s="26">
        <v>0</v>
      </c>
      <c r="FZ337" s="26">
        <v>0</v>
      </c>
      <c r="GA337" s="26">
        <v>0</v>
      </c>
      <c r="GB337" s="26">
        <v>0</v>
      </c>
      <c r="GC337" s="26">
        <v>0</v>
      </c>
      <c r="GD337" s="26">
        <v>0</v>
      </c>
      <c r="GE337" s="26">
        <v>0</v>
      </c>
      <c r="GF337" s="26">
        <v>0</v>
      </c>
      <c r="GG337" s="26">
        <v>0</v>
      </c>
      <c r="GH337" s="26">
        <v>0</v>
      </c>
      <c r="GI337" s="26">
        <v>0</v>
      </c>
      <c r="GJ337" s="26">
        <v>0</v>
      </c>
      <c r="GK337" s="26">
        <v>0</v>
      </c>
      <c r="GL337" s="26">
        <v>0</v>
      </c>
      <c r="GM337" s="26">
        <v>0</v>
      </c>
      <c r="GN337" s="26">
        <v>0</v>
      </c>
      <c r="GO337" s="26">
        <v>0</v>
      </c>
      <c r="GP337" s="26">
        <v>0</v>
      </c>
      <c r="GQ337" s="26">
        <v>0</v>
      </c>
      <c r="GR337" s="26">
        <v>0</v>
      </c>
      <c r="GS337" s="26">
        <v>0</v>
      </c>
      <c r="GT337" s="26">
        <v>0</v>
      </c>
      <c r="GU337" s="26">
        <v>0</v>
      </c>
      <c r="GV337" s="26">
        <v>0</v>
      </c>
      <c r="GW337" s="26">
        <v>0</v>
      </c>
      <c r="GX337" s="26">
        <v>0</v>
      </c>
      <c r="GY337" s="26">
        <v>0</v>
      </c>
      <c r="GZ337" s="26">
        <v>0</v>
      </c>
      <c r="HA337" s="26">
        <v>0</v>
      </c>
      <c r="HB337" s="26">
        <v>0</v>
      </c>
      <c r="HC337" s="26">
        <v>0</v>
      </c>
      <c r="HD337" s="26">
        <v>0</v>
      </c>
      <c r="HE337" s="26">
        <v>0</v>
      </c>
      <c r="HF337" s="26">
        <v>0</v>
      </c>
      <c r="HG337" s="26">
        <v>0</v>
      </c>
      <c r="HH337" s="26">
        <v>0</v>
      </c>
      <c r="HI337" s="26">
        <v>0</v>
      </c>
      <c r="HJ337" s="26">
        <v>0</v>
      </c>
      <c r="HK337" s="26">
        <v>0</v>
      </c>
      <c r="HL337" s="26">
        <v>0</v>
      </c>
      <c r="HM337" s="26">
        <v>0</v>
      </c>
      <c r="HN337" s="26">
        <v>0</v>
      </c>
      <c r="HO337" s="26">
        <v>0</v>
      </c>
      <c r="HP337" s="26">
        <v>0</v>
      </c>
      <c r="HQ337" s="26">
        <v>0</v>
      </c>
      <c r="HR337" s="26">
        <v>0</v>
      </c>
      <c r="HS337" s="26">
        <v>0</v>
      </c>
      <c r="HT337" s="26">
        <v>0.27494110192175103</v>
      </c>
    </row>
    <row r="338" spans="2:228" x14ac:dyDescent="0.2">
      <c r="B338" s="27" t="s">
        <v>3178</v>
      </c>
      <c r="C338" s="26">
        <v>318408.56599999999</v>
      </c>
      <c r="D338" s="26">
        <v>-57.043212099999998</v>
      </c>
      <c r="E338" s="26">
        <v>6498.42364</v>
      </c>
      <c r="F338" s="26">
        <v>1.7354772199999999</v>
      </c>
      <c r="G338" s="26">
        <v>3.9025775799999998E-11</v>
      </c>
      <c r="H338" s="26">
        <v>8.5668570700000005E-11</v>
      </c>
      <c r="I338" s="26">
        <v>3.5944854900000002E-11</v>
      </c>
      <c r="J338" s="26">
        <v>8.5987455199999994E-9</v>
      </c>
      <c r="K338" s="26">
        <v>1.7819072100000001E-9</v>
      </c>
      <c r="L338" s="26">
        <v>1.1093720700000001E-7</v>
      </c>
      <c r="M338" s="26">
        <v>0</v>
      </c>
      <c r="N338" s="26">
        <v>8.6237478500000006E-11</v>
      </c>
      <c r="O338" s="26">
        <v>2.17632409E-12</v>
      </c>
      <c r="P338" s="26">
        <v>9.1314297599999995E-13</v>
      </c>
      <c r="Q338" s="26">
        <v>3.16243381E-9</v>
      </c>
      <c r="R338" s="26">
        <v>3.9033759300000002E-10</v>
      </c>
      <c r="S338" s="26">
        <v>9.1404763899999995E-10</v>
      </c>
      <c r="T338" s="26">
        <v>3.4647032400000003E-5</v>
      </c>
      <c r="U338" s="26">
        <v>1.70269336E-3</v>
      </c>
      <c r="V338" s="26">
        <v>1.56554288</v>
      </c>
      <c r="W338" s="26">
        <v>6.4739933800000002E-3</v>
      </c>
      <c r="X338" s="26">
        <v>7.7946966200000004E-4</v>
      </c>
      <c r="Y338" s="26">
        <v>2.7347308900000002E-9</v>
      </c>
      <c r="Z338" s="26">
        <v>2.1036074699999999E-6</v>
      </c>
      <c r="AA338" s="26">
        <v>1.4338245199999999E-6</v>
      </c>
      <c r="AB338" s="26">
        <v>27.157805799999998</v>
      </c>
      <c r="AC338" s="26">
        <v>9.7561763699999999E-10</v>
      </c>
      <c r="AD338" s="26">
        <v>0</v>
      </c>
      <c r="AE338" s="26">
        <v>0</v>
      </c>
      <c r="AF338" s="26">
        <v>0</v>
      </c>
      <c r="AG338" s="26">
        <v>0</v>
      </c>
      <c r="AH338" s="26">
        <v>3.22774015E-3</v>
      </c>
      <c r="AI338" s="26">
        <v>0</v>
      </c>
      <c r="AJ338" s="26">
        <v>0</v>
      </c>
      <c r="AK338" s="26">
        <v>0</v>
      </c>
      <c r="AL338" s="26">
        <v>0</v>
      </c>
      <c r="AM338" s="26">
        <v>3.1149470500000002E-9</v>
      </c>
      <c r="AN338" s="26">
        <v>68874.8</v>
      </c>
      <c r="AO338" s="26">
        <v>223071.88399999999</v>
      </c>
      <c r="AP338" s="26">
        <v>0</v>
      </c>
      <c r="AQ338" s="26">
        <v>1.3674957499999999E-2</v>
      </c>
      <c r="AR338" s="26">
        <v>0</v>
      </c>
      <c r="AS338" s="26">
        <v>14269.2286</v>
      </c>
      <c r="AT338" s="26">
        <v>5378.3972999999996</v>
      </c>
      <c r="AU338" s="26">
        <v>285.346923</v>
      </c>
      <c r="AV338" s="26">
        <v>4.5108502299999996E-4</v>
      </c>
      <c r="AW338" s="26">
        <v>0</v>
      </c>
      <c r="AX338" s="26">
        <v>0</v>
      </c>
      <c r="AY338" s="26">
        <v>0</v>
      </c>
      <c r="AZ338" s="26">
        <v>0</v>
      </c>
      <c r="BA338" s="26">
        <v>0</v>
      </c>
      <c r="BB338" s="26">
        <v>0</v>
      </c>
      <c r="BC338" s="26">
        <v>0</v>
      </c>
      <c r="BD338" s="26">
        <v>0</v>
      </c>
      <c r="BE338" s="26">
        <v>0</v>
      </c>
      <c r="BF338" s="26">
        <v>0</v>
      </c>
      <c r="BG338" s="26">
        <v>0</v>
      </c>
      <c r="BH338" s="26">
        <v>0</v>
      </c>
      <c r="BI338" s="26">
        <v>0</v>
      </c>
      <c r="BJ338" s="26">
        <v>0</v>
      </c>
      <c r="BK338" s="26">
        <v>0</v>
      </c>
      <c r="BL338" s="26">
        <v>0</v>
      </c>
      <c r="BM338" s="26">
        <v>0</v>
      </c>
      <c r="BN338" s="26">
        <v>0</v>
      </c>
      <c r="BO338" s="26">
        <v>11145.6587</v>
      </c>
      <c r="BP338" s="26">
        <v>318408.56599999999</v>
      </c>
      <c r="BQ338" s="26">
        <v>4537956.7699999996</v>
      </c>
      <c r="BR338" s="26">
        <v>28.694925300000023</v>
      </c>
      <c r="BS338" s="26">
        <v>1.0138849000000001</v>
      </c>
      <c r="BT338" s="26">
        <v>1</v>
      </c>
      <c r="BU338" s="26">
        <v>0</v>
      </c>
      <c r="BV338" s="26">
        <v>0</v>
      </c>
      <c r="BW338" s="26">
        <v>-5117.9758099999999</v>
      </c>
      <c r="BX338" s="26">
        <v>-179.15099599999999</v>
      </c>
      <c r="BY338" s="26">
        <v>-57.043212099999998</v>
      </c>
      <c r="BZ338" s="26">
        <v>0.91761597299999997</v>
      </c>
      <c r="CA338" s="26">
        <v>3.2120475199999998E-2</v>
      </c>
      <c r="CB338" s="26">
        <v>4.0934937400000001E-5</v>
      </c>
      <c r="CC338" s="26">
        <v>1.1694270400000001E-3</v>
      </c>
      <c r="CD338" s="26">
        <v>28.567945099999999</v>
      </c>
      <c r="CE338" s="26">
        <v>0</v>
      </c>
      <c r="CF338" s="26">
        <v>0</v>
      </c>
      <c r="CG338" s="26">
        <v>0</v>
      </c>
      <c r="CH338" s="26">
        <v>0</v>
      </c>
      <c r="CI338" s="26">
        <v>0</v>
      </c>
      <c r="CJ338" s="26">
        <v>0</v>
      </c>
      <c r="CK338" s="26">
        <v>0</v>
      </c>
      <c r="CL338" s="26">
        <v>0</v>
      </c>
      <c r="CM338" s="26">
        <v>0</v>
      </c>
      <c r="CN338" s="26">
        <v>0</v>
      </c>
      <c r="CO338" s="26">
        <v>0</v>
      </c>
      <c r="CP338" s="26">
        <v>0</v>
      </c>
      <c r="CQ338" s="26">
        <v>0</v>
      </c>
      <c r="CR338" s="26">
        <v>0</v>
      </c>
      <c r="CS338" s="26">
        <v>0</v>
      </c>
      <c r="CT338" s="26">
        <v>0</v>
      </c>
      <c r="CU338" s="26">
        <v>0</v>
      </c>
      <c r="CV338" s="26">
        <v>0</v>
      </c>
      <c r="CW338" s="26">
        <v>0</v>
      </c>
      <c r="CX338" s="26">
        <v>0</v>
      </c>
      <c r="CY338" s="26">
        <v>0</v>
      </c>
      <c r="CZ338" s="26">
        <v>0</v>
      </c>
      <c r="DA338" s="26">
        <v>0</v>
      </c>
      <c r="DB338" s="26">
        <v>0</v>
      </c>
      <c r="DC338" s="26">
        <v>0</v>
      </c>
      <c r="DD338" s="26">
        <v>0</v>
      </c>
      <c r="DE338" s="26">
        <v>0</v>
      </c>
      <c r="DF338" s="26">
        <v>0</v>
      </c>
      <c r="DG338" s="26">
        <v>0</v>
      </c>
      <c r="DH338" s="26">
        <v>0</v>
      </c>
      <c r="DI338" s="26">
        <v>0</v>
      </c>
      <c r="DJ338" s="26">
        <v>0</v>
      </c>
      <c r="DK338" s="26">
        <v>0</v>
      </c>
      <c r="DL338" s="26">
        <v>0</v>
      </c>
      <c r="DM338" s="26">
        <v>0</v>
      </c>
      <c r="DN338" s="26">
        <v>0</v>
      </c>
      <c r="DO338" s="26">
        <v>0</v>
      </c>
      <c r="DP338" s="26">
        <v>0</v>
      </c>
      <c r="DQ338" s="26">
        <v>0</v>
      </c>
      <c r="DR338" s="26">
        <v>0</v>
      </c>
      <c r="DS338" s="26">
        <v>0</v>
      </c>
      <c r="DT338" s="26">
        <v>0</v>
      </c>
      <c r="DU338" s="26">
        <v>0</v>
      </c>
      <c r="DV338" s="26">
        <v>0</v>
      </c>
      <c r="DW338" s="26">
        <v>0</v>
      </c>
      <c r="DX338" s="26">
        <v>0</v>
      </c>
      <c r="DY338" s="26">
        <v>0</v>
      </c>
      <c r="DZ338" s="26">
        <v>0</v>
      </c>
      <c r="EA338" s="26">
        <v>0</v>
      </c>
      <c r="EB338" s="26">
        <v>0</v>
      </c>
      <c r="EC338" s="26">
        <v>0</v>
      </c>
      <c r="ED338" s="26">
        <v>0</v>
      </c>
      <c r="EE338" s="26">
        <v>0</v>
      </c>
      <c r="EF338" s="26">
        <v>0</v>
      </c>
      <c r="EG338" s="26">
        <v>0</v>
      </c>
      <c r="EH338" s="26">
        <v>0</v>
      </c>
      <c r="EI338" s="26">
        <v>0</v>
      </c>
      <c r="EJ338" s="26">
        <v>0</v>
      </c>
      <c r="EK338" s="26">
        <v>0</v>
      </c>
      <c r="EL338" s="26">
        <v>0</v>
      </c>
      <c r="EM338" s="26">
        <v>0</v>
      </c>
      <c r="EN338" s="26">
        <v>0</v>
      </c>
      <c r="EO338" s="26">
        <v>0</v>
      </c>
      <c r="EP338" s="26">
        <v>0</v>
      </c>
      <c r="EQ338" s="26">
        <v>0</v>
      </c>
      <c r="ER338" s="26">
        <v>0</v>
      </c>
      <c r="ES338" s="26">
        <v>0</v>
      </c>
      <c r="ET338" s="26">
        <v>1.0138849000000001</v>
      </c>
      <c r="EU338" s="26">
        <v>0</v>
      </c>
      <c r="EV338" s="26">
        <v>0</v>
      </c>
      <c r="EW338" s="26">
        <v>0</v>
      </c>
      <c r="EX338" s="26">
        <v>0</v>
      </c>
      <c r="EY338" s="26">
        <v>0</v>
      </c>
      <c r="EZ338" s="26">
        <v>0</v>
      </c>
      <c r="FA338" s="26">
        <v>0</v>
      </c>
      <c r="FB338" s="26">
        <v>0</v>
      </c>
      <c r="FC338" s="26">
        <v>0</v>
      </c>
      <c r="FD338" s="26">
        <v>0</v>
      </c>
      <c r="FE338" s="26">
        <v>0</v>
      </c>
      <c r="FF338" s="26">
        <v>0</v>
      </c>
      <c r="FG338" s="26">
        <v>6.9088324800000003E-2</v>
      </c>
      <c r="FH338" s="26">
        <v>-66681678.565300003</v>
      </c>
      <c r="FI338" s="26">
        <v>0.18323317785475432</v>
      </c>
      <c r="FJ338" s="26">
        <v>0.1001992580238163</v>
      </c>
      <c r="FK338" s="26">
        <v>1.046422955593606E-5</v>
      </c>
      <c r="FL338" s="26">
        <v>6.0172252148044691E-17</v>
      </c>
      <c r="FM338" s="26">
        <v>1.3208887577893324E-16</v>
      </c>
      <c r="FN338" s="26">
        <v>5.5421905998930803E-17</v>
      </c>
      <c r="FO338" s="26">
        <v>1.5909666071721774E-14</v>
      </c>
      <c r="FP338" s="26">
        <v>3.2969400819310761E-15</v>
      </c>
      <c r="FQ338" s="26">
        <v>9.0025953497985409E-14</v>
      </c>
      <c r="FR338" s="26">
        <v>0</v>
      </c>
      <c r="FS338" s="26">
        <v>1.47739612293028E-16</v>
      </c>
      <c r="FT338" s="26">
        <v>3.7284169742717803E-18</v>
      </c>
      <c r="FU338" s="26">
        <v>1.5643707541816326E-18</v>
      </c>
      <c r="FV338" s="26">
        <v>6.6491041643039446E-15</v>
      </c>
      <c r="FW338" s="26">
        <v>8.2069553712111979E-16</v>
      </c>
      <c r="FX338" s="26">
        <v>1.4093327807191067E-15</v>
      </c>
      <c r="FY338" s="26">
        <v>6.325463967270379E-11</v>
      </c>
      <c r="FZ338" s="26">
        <v>3.7504589744481167E-9</v>
      </c>
      <c r="GA338" s="26">
        <v>4.5258936473182596E-6</v>
      </c>
      <c r="GB338" s="26">
        <v>2.9945959128456562E-8</v>
      </c>
      <c r="GC338" s="26">
        <v>2.4036649720070975E-9</v>
      </c>
      <c r="GD338" s="26">
        <v>4.9928429566094099E-15</v>
      </c>
      <c r="GE338" s="26">
        <v>6.3449393563150698E-12</v>
      </c>
      <c r="GF338" s="26">
        <v>3.3727424436486062E-12</v>
      </c>
      <c r="GG338" s="26">
        <v>4.4295871743255864E-4</v>
      </c>
      <c r="GH338" s="26">
        <v>2.7631151943271441E-15</v>
      </c>
      <c r="GI338" s="26">
        <v>0</v>
      </c>
      <c r="GJ338" s="26">
        <v>0</v>
      </c>
      <c r="GK338" s="26">
        <v>0</v>
      </c>
      <c r="GL338" s="26">
        <v>0</v>
      </c>
      <c r="GM338" s="26">
        <v>1.0548827001057283E-8</v>
      </c>
      <c r="GN338" s="26">
        <v>0</v>
      </c>
      <c r="GO338" s="26">
        <v>0</v>
      </c>
      <c r="GP338" s="26">
        <v>0</v>
      </c>
      <c r="GQ338" s="26">
        <v>0</v>
      </c>
      <c r="GR338" s="26">
        <v>3.0632385800614644E-15</v>
      </c>
      <c r="GS338" s="26">
        <v>0.59789395478315166</v>
      </c>
      <c r="GT338" s="26">
        <v>2.2119498482511544</v>
      </c>
      <c r="GU338" s="26">
        <v>0</v>
      </c>
      <c r="GV338" s="26">
        <v>8.2568302049435303E-8</v>
      </c>
      <c r="GW338" s="26">
        <v>0</v>
      </c>
      <c r="GX338" s="26">
        <v>9.006345516495208E-2</v>
      </c>
      <c r="GY338" s="26">
        <v>9.3126074356119706E-2</v>
      </c>
      <c r="GZ338" s="26">
        <v>2.3256649824942087E-3</v>
      </c>
      <c r="HA338" s="26">
        <v>1.9558540156468319E-9</v>
      </c>
      <c r="HB338" s="26">
        <v>0</v>
      </c>
      <c r="HC338" s="26">
        <v>0</v>
      </c>
      <c r="HD338" s="26">
        <v>0</v>
      </c>
      <c r="HE338" s="26">
        <v>0</v>
      </c>
      <c r="HF338" s="26">
        <v>0</v>
      </c>
      <c r="HG338" s="26">
        <v>0</v>
      </c>
      <c r="HH338" s="26">
        <v>0</v>
      </c>
      <c r="HI338" s="26">
        <v>0</v>
      </c>
      <c r="HJ338" s="26">
        <v>0</v>
      </c>
      <c r="HK338" s="26">
        <v>0</v>
      </c>
      <c r="HL338" s="26">
        <v>0</v>
      </c>
      <c r="HM338" s="26">
        <v>0</v>
      </c>
      <c r="HN338" s="26">
        <v>0</v>
      </c>
      <c r="HO338" s="26">
        <v>0</v>
      </c>
      <c r="HP338" s="26">
        <v>0</v>
      </c>
      <c r="HQ338" s="26">
        <v>0</v>
      </c>
      <c r="HR338" s="26">
        <v>0</v>
      </c>
      <c r="HS338" s="26">
        <v>0</v>
      </c>
      <c r="HT338" s="26">
        <v>0</v>
      </c>
    </row>
    <row r="339" spans="2:228" x14ac:dyDescent="0.2">
      <c r="B339" s="27" t="s">
        <v>1464</v>
      </c>
      <c r="C339" s="26">
        <v>318408.56599999999</v>
      </c>
      <c r="D339" s="26">
        <v>-43.930918200000001</v>
      </c>
      <c r="E339" s="26">
        <v>6498.42364</v>
      </c>
      <c r="F339" s="26">
        <v>1.7354772199999999</v>
      </c>
      <c r="G339" s="26">
        <v>3.9025775799999998E-11</v>
      </c>
      <c r="H339" s="26">
        <v>8.5668570700000005E-11</v>
      </c>
      <c r="I339" s="26">
        <v>3.5944854900000002E-11</v>
      </c>
      <c r="J339" s="26">
        <v>8.5987455199999994E-9</v>
      </c>
      <c r="K339" s="26">
        <v>1.7819072100000001E-9</v>
      </c>
      <c r="L339" s="26">
        <v>1.1093720700000001E-7</v>
      </c>
      <c r="M339" s="26">
        <v>0</v>
      </c>
      <c r="N339" s="26">
        <v>8.6237478500000006E-11</v>
      </c>
      <c r="O339" s="26">
        <v>2.17632409E-12</v>
      </c>
      <c r="P339" s="26">
        <v>9.1314297599999995E-13</v>
      </c>
      <c r="Q339" s="26">
        <v>3.16243381E-9</v>
      </c>
      <c r="R339" s="26">
        <v>3.9033759300000002E-10</v>
      </c>
      <c r="S339" s="26">
        <v>9.1404763899999995E-10</v>
      </c>
      <c r="T339" s="26">
        <v>3.4647032400000003E-5</v>
      </c>
      <c r="U339" s="26">
        <v>1.70269336E-3</v>
      </c>
      <c r="V339" s="26">
        <v>1.56554288</v>
      </c>
      <c r="W339" s="26">
        <v>6.4739933800000002E-3</v>
      </c>
      <c r="X339" s="26">
        <v>7.7946966200000004E-4</v>
      </c>
      <c r="Y339" s="26">
        <v>2.7347308900000002E-9</v>
      </c>
      <c r="Z339" s="26">
        <v>2.1036074699999999E-6</v>
      </c>
      <c r="AA339" s="26">
        <v>1.4338245199999999E-6</v>
      </c>
      <c r="AB339" s="26">
        <v>27.157805799999998</v>
      </c>
      <c r="AC339" s="26">
        <v>9.7561763699999999E-10</v>
      </c>
      <c r="AD339" s="26">
        <v>0</v>
      </c>
      <c r="AE339" s="26">
        <v>0</v>
      </c>
      <c r="AF339" s="26">
        <v>0</v>
      </c>
      <c r="AG339" s="26">
        <v>0</v>
      </c>
      <c r="AH339" s="26">
        <v>3.22774015E-3</v>
      </c>
      <c r="AI339" s="26">
        <v>0</v>
      </c>
      <c r="AJ339" s="26">
        <v>0</v>
      </c>
      <c r="AK339" s="26">
        <v>0</v>
      </c>
      <c r="AL339" s="26">
        <v>0</v>
      </c>
      <c r="AM339" s="26">
        <v>3.1149470500000002E-9</v>
      </c>
      <c r="AN339" s="26">
        <v>68874.8</v>
      </c>
      <c r="AO339" s="26">
        <v>223071.88399999999</v>
      </c>
      <c r="AP339" s="26">
        <v>0</v>
      </c>
      <c r="AQ339" s="26">
        <v>1.3674957499999999E-2</v>
      </c>
      <c r="AR339" s="26">
        <v>0</v>
      </c>
      <c r="AS339" s="26">
        <v>14269.2286</v>
      </c>
      <c r="AT339" s="26">
        <v>5378.3972999999996</v>
      </c>
      <c r="AU339" s="26">
        <v>285.346923</v>
      </c>
      <c r="AV339" s="26">
        <v>4.5108502299999996E-4</v>
      </c>
      <c r="AW339" s="26">
        <v>0</v>
      </c>
      <c r="AX339" s="26">
        <v>0</v>
      </c>
      <c r="AY339" s="26">
        <v>0</v>
      </c>
      <c r="AZ339" s="26">
        <v>0</v>
      </c>
      <c r="BA339" s="26">
        <v>0</v>
      </c>
      <c r="BB339" s="26">
        <v>0</v>
      </c>
      <c r="BC339" s="26">
        <v>0</v>
      </c>
      <c r="BD339" s="26">
        <v>0</v>
      </c>
      <c r="BE339" s="26">
        <v>0</v>
      </c>
      <c r="BF339" s="26">
        <v>0</v>
      </c>
      <c r="BG339" s="26">
        <v>0</v>
      </c>
      <c r="BH339" s="26">
        <v>0</v>
      </c>
      <c r="BI339" s="26">
        <v>0</v>
      </c>
      <c r="BJ339" s="26">
        <v>0</v>
      </c>
      <c r="BK339" s="26">
        <v>0</v>
      </c>
      <c r="BL339" s="26">
        <v>0</v>
      </c>
      <c r="BM339" s="26">
        <v>0</v>
      </c>
      <c r="BN339" s="26">
        <v>0</v>
      </c>
      <c r="BO339" s="26">
        <v>11145.6587</v>
      </c>
      <c r="BP339" s="26">
        <v>318408.56599999999</v>
      </c>
      <c r="BQ339" s="26">
        <v>6989656.04</v>
      </c>
      <c r="BR339" s="26">
        <v>191.77117799999996</v>
      </c>
      <c r="BS339" s="26">
        <v>1.0138849000000001</v>
      </c>
      <c r="BT339" s="26">
        <v>1</v>
      </c>
      <c r="BU339" s="26">
        <v>0</v>
      </c>
      <c r="BV339" s="26">
        <v>0</v>
      </c>
      <c r="BW339" s="26">
        <v>-3941.5272799999998</v>
      </c>
      <c r="BX339" s="26">
        <v>-137.97027600000001</v>
      </c>
      <c r="BY339" s="26">
        <v>-43.930918200000001</v>
      </c>
      <c r="BZ339" s="26">
        <v>4.0302028600000002</v>
      </c>
      <c r="CA339" s="26">
        <v>0.14107430000000001</v>
      </c>
      <c r="CB339" s="26">
        <v>2.6576554700000001E-5</v>
      </c>
      <c r="CC339" s="26">
        <v>7.5923755600000001E-4</v>
      </c>
      <c r="CD339" s="26">
        <v>28.567945099999999</v>
      </c>
      <c r="CE339" s="26">
        <v>0</v>
      </c>
      <c r="CF339" s="26">
        <v>0</v>
      </c>
      <c r="CG339" s="26">
        <v>0</v>
      </c>
      <c r="CH339" s="26">
        <v>0</v>
      </c>
      <c r="CI339" s="26">
        <v>0</v>
      </c>
      <c r="CJ339" s="26">
        <v>0</v>
      </c>
      <c r="CK339" s="26">
        <v>0</v>
      </c>
      <c r="CL339" s="26">
        <v>0</v>
      </c>
      <c r="CM339" s="26">
        <v>0</v>
      </c>
      <c r="CN339" s="26">
        <v>0</v>
      </c>
      <c r="CO339" s="26">
        <v>0</v>
      </c>
      <c r="CP339" s="26">
        <v>0</v>
      </c>
      <c r="CQ339" s="26">
        <v>0</v>
      </c>
      <c r="CR339" s="26">
        <v>0</v>
      </c>
      <c r="CS339" s="26">
        <v>0</v>
      </c>
      <c r="CT339" s="26">
        <v>0</v>
      </c>
      <c r="CU339" s="26">
        <v>0</v>
      </c>
      <c r="CV339" s="26">
        <v>0</v>
      </c>
      <c r="CW339" s="26">
        <v>0</v>
      </c>
      <c r="CX339" s="26">
        <v>0</v>
      </c>
      <c r="CY339" s="26">
        <v>0</v>
      </c>
      <c r="CZ339" s="26">
        <v>0</v>
      </c>
      <c r="DA339" s="26">
        <v>0</v>
      </c>
      <c r="DB339" s="26">
        <v>0</v>
      </c>
      <c r="DC339" s="26">
        <v>0</v>
      </c>
      <c r="DD339" s="26">
        <v>0</v>
      </c>
      <c r="DE339" s="26">
        <v>0</v>
      </c>
      <c r="DF339" s="26">
        <v>0</v>
      </c>
      <c r="DG339" s="26">
        <v>0</v>
      </c>
      <c r="DH339" s="26">
        <v>0</v>
      </c>
      <c r="DI339" s="26">
        <v>0</v>
      </c>
      <c r="DJ339" s="26">
        <v>0</v>
      </c>
      <c r="DK339" s="26">
        <v>0</v>
      </c>
      <c r="DL339" s="26">
        <v>0</v>
      </c>
      <c r="DM339" s="26">
        <v>0</v>
      </c>
      <c r="DN339" s="26">
        <v>0</v>
      </c>
      <c r="DO339" s="26">
        <v>0</v>
      </c>
      <c r="DP339" s="26">
        <v>0</v>
      </c>
      <c r="DQ339" s="26">
        <v>0</v>
      </c>
      <c r="DR339" s="26">
        <v>0</v>
      </c>
      <c r="DS339" s="26">
        <v>0</v>
      </c>
      <c r="DT339" s="26">
        <v>0</v>
      </c>
      <c r="DU339" s="26">
        <v>0</v>
      </c>
      <c r="DV339" s="26">
        <v>0</v>
      </c>
      <c r="DW339" s="26">
        <v>0</v>
      </c>
      <c r="DX339" s="26">
        <v>0</v>
      </c>
      <c r="DY339" s="26">
        <v>0</v>
      </c>
      <c r="DZ339" s="26">
        <v>0</v>
      </c>
      <c r="EA339" s="26">
        <v>0</v>
      </c>
      <c r="EB339" s="26">
        <v>0</v>
      </c>
      <c r="EC339" s="26">
        <v>0</v>
      </c>
      <c r="ED339" s="26">
        <v>0</v>
      </c>
      <c r="EE339" s="26">
        <v>0</v>
      </c>
      <c r="EF339" s="26">
        <v>0</v>
      </c>
      <c r="EG339" s="26">
        <v>0</v>
      </c>
      <c r="EH339" s="26">
        <v>0</v>
      </c>
      <c r="EI339" s="26">
        <v>0</v>
      </c>
      <c r="EJ339" s="26">
        <v>0</v>
      </c>
      <c r="EK339" s="26">
        <v>0</v>
      </c>
      <c r="EL339" s="26">
        <v>0</v>
      </c>
      <c r="EM339" s="26">
        <v>0</v>
      </c>
      <c r="EN339" s="26">
        <v>0</v>
      </c>
      <c r="EO339" s="26">
        <v>0</v>
      </c>
      <c r="EP339" s="26">
        <v>0</v>
      </c>
      <c r="EQ339" s="26">
        <v>0</v>
      </c>
      <c r="ER339" s="26">
        <v>0</v>
      </c>
      <c r="ES339" s="26">
        <v>0</v>
      </c>
      <c r="ET339" s="26">
        <v>1.0138849000000001</v>
      </c>
      <c r="EU339" s="26">
        <v>0</v>
      </c>
      <c r="EV339" s="26">
        <v>0</v>
      </c>
      <c r="EW339" s="26">
        <v>0</v>
      </c>
      <c r="EX339" s="26">
        <v>0</v>
      </c>
      <c r="EY339" s="26">
        <v>0</v>
      </c>
      <c r="EZ339" s="26">
        <v>0</v>
      </c>
      <c r="FA339" s="26">
        <v>0</v>
      </c>
      <c r="FB339" s="26">
        <v>0</v>
      </c>
      <c r="FC339" s="26">
        <v>0</v>
      </c>
      <c r="FD339" s="26">
        <v>0</v>
      </c>
      <c r="FE339" s="26">
        <v>0</v>
      </c>
      <c r="FF339" s="26">
        <v>0</v>
      </c>
      <c r="FG339" s="26">
        <v>6.9088324800000003E-2</v>
      </c>
      <c r="FH339" s="26">
        <v>-66681678.565300003</v>
      </c>
      <c r="FI339" s="26">
        <v>0.18323317785475432</v>
      </c>
      <c r="FJ339" s="26">
        <v>0.1001992580238163</v>
      </c>
      <c r="FK339" s="26">
        <v>1.046422955593606E-5</v>
      </c>
      <c r="FL339" s="26">
        <v>6.0172252148044691E-17</v>
      </c>
      <c r="FM339" s="26">
        <v>1.3208887577893324E-16</v>
      </c>
      <c r="FN339" s="26">
        <v>5.5421905998930803E-17</v>
      </c>
      <c r="FO339" s="26">
        <v>1.5909666071721774E-14</v>
      </c>
      <c r="FP339" s="26">
        <v>3.2969400819310761E-15</v>
      </c>
      <c r="FQ339" s="26">
        <v>9.0025953497985409E-14</v>
      </c>
      <c r="FR339" s="26">
        <v>0</v>
      </c>
      <c r="FS339" s="26">
        <v>1.47739612293028E-16</v>
      </c>
      <c r="FT339" s="26">
        <v>3.7284169742717803E-18</v>
      </c>
      <c r="FU339" s="26">
        <v>1.5643707541816326E-18</v>
      </c>
      <c r="FV339" s="26">
        <v>6.6491041643039446E-15</v>
      </c>
      <c r="FW339" s="26">
        <v>8.2069553712111979E-16</v>
      </c>
      <c r="FX339" s="26">
        <v>1.4093327807191067E-15</v>
      </c>
      <c r="FY339" s="26">
        <v>6.325463967270379E-11</v>
      </c>
      <c r="FZ339" s="26">
        <v>3.7504589744481167E-9</v>
      </c>
      <c r="GA339" s="26">
        <v>4.5258936473182596E-6</v>
      </c>
      <c r="GB339" s="26">
        <v>2.9945959128456562E-8</v>
      </c>
      <c r="GC339" s="26">
        <v>2.4036649720070975E-9</v>
      </c>
      <c r="GD339" s="26">
        <v>4.9928429566094099E-15</v>
      </c>
      <c r="GE339" s="26">
        <v>6.3449393563150698E-12</v>
      </c>
      <c r="GF339" s="26">
        <v>3.3727424436486062E-12</v>
      </c>
      <c r="GG339" s="26">
        <v>4.4295871743255864E-4</v>
      </c>
      <c r="GH339" s="26">
        <v>2.7631151943271441E-15</v>
      </c>
      <c r="GI339" s="26">
        <v>0</v>
      </c>
      <c r="GJ339" s="26">
        <v>0</v>
      </c>
      <c r="GK339" s="26">
        <v>0</v>
      </c>
      <c r="GL339" s="26">
        <v>0</v>
      </c>
      <c r="GM339" s="26">
        <v>1.0548827001057283E-8</v>
      </c>
      <c r="GN339" s="26">
        <v>0</v>
      </c>
      <c r="GO339" s="26">
        <v>0</v>
      </c>
      <c r="GP339" s="26">
        <v>0</v>
      </c>
      <c r="GQ339" s="26">
        <v>0</v>
      </c>
      <c r="GR339" s="26">
        <v>3.0632385800614644E-15</v>
      </c>
      <c r="GS339" s="26">
        <v>0.59789395478315166</v>
      </c>
      <c r="GT339" s="26">
        <v>2.2119498482511544</v>
      </c>
      <c r="GU339" s="26">
        <v>0</v>
      </c>
      <c r="GV339" s="26">
        <v>8.2568302049435303E-8</v>
      </c>
      <c r="GW339" s="26">
        <v>0</v>
      </c>
      <c r="GX339" s="26">
        <v>9.006345516495208E-2</v>
      </c>
      <c r="GY339" s="26">
        <v>9.3126074356119706E-2</v>
      </c>
      <c r="GZ339" s="26">
        <v>2.3256649824942087E-3</v>
      </c>
      <c r="HA339" s="26">
        <v>1.9558540156468319E-9</v>
      </c>
      <c r="HB339" s="26">
        <v>0</v>
      </c>
      <c r="HC339" s="26">
        <v>0</v>
      </c>
      <c r="HD339" s="26">
        <v>0</v>
      </c>
      <c r="HE339" s="26">
        <v>0</v>
      </c>
      <c r="HF339" s="26">
        <v>0</v>
      </c>
      <c r="HG339" s="26">
        <v>0</v>
      </c>
      <c r="HH339" s="26">
        <v>0</v>
      </c>
      <c r="HI339" s="26">
        <v>0</v>
      </c>
      <c r="HJ339" s="26">
        <v>0</v>
      </c>
      <c r="HK339" s="26">
        <v>0</v>
      </c>
      <c r="HL339" s="26">
        <v>0</v>
      </c>
      <c r="HM339" s="26">
        <v>0</v>
      </c>
      <c r="HN339" s="26">
        <v>0</v>
      </c>
      <c r="HO339" s="26">
        <v>0</v>
      </c>
      <c r="HP339" s="26">
        <v>0</v>
      </c>
      <c r="HQ339" s="26">
        <v>0</v>
      </c>
      <c r="HR339" s="26">
        <v>0</v>
      </c>
      <c r="HS339" s="26">
        <v>0</v>
      </c>
      <c r="HT339" s="26">
        <v>0</v>
      </c>
    </row>
    <row r="340" spans="2:228" x14ac:dyDescent="0.2">
      <c r="B340" s="27" t="s">
        <v>1466</v>
      </c>
      <c r="C340" s="26">
        <v>284494.891</v>
      </c>
      <c r="D340" s="26">
        <v>-17.863621299999998</v>
      </c>
      <c r="E340" s="26">
        <v>5572.00234</v>
      </c>
      <c r="F340" s="26">
        <v>0</v>
      </c>
      <c r="G340" s="26">
        <v>0</v>
      </c>
      <c r="H340" s="26">
        <v>0</v>
      </c>
      <c r="I340" s="26">
        <v>0</v>
      </c>
      <c r="J340" s="26">
        <v>0</v>
      </c>
      <c r="K340" s="26">
        <v>0</v>
      </c>
      <c r="L340" s="26">
        <v>0</v>
      </c>
      <c r="M340" s="26">
        <v>0</v>
      </c>
      <c r="N340" s="26">
        <v>0</v>
      </c>
      <c r="O340" s="26">
        <v>0</v>
      </c>
      <c r="P340" s="26">
        <v>0</v>
      </c>
      <c r="Q340" s="26">
        <v>0</v>
      </c>
      <c r="R340" s="26">
        <v>0</v>
      </c>
      <c r="S340" s="26">
        <v>0</v>
      </c>
      <c r="T340" s="26">
        <v>0</v>
      </c>
      <c r="U340" s="26">
        <v>0</v>
      </c>
      <c r="V340" s="26">
        <v>0</v>
      </c>
      <c r="W340" s="26">
        <v>0</v>
      </c>
      <c r="X340" s="26">
        <v>0</v>
      </c>
      <c r="Y340" s="26">
        <v>0</v>
      </c>
      <c r="Z340" s="26">
        <v>0</v>
      </c>
      <c r="AA340" s="26">
        <v>0</v>
      </c>
      <c r="AB340" s="26">
        <v>0</v>
      </c>
      <c r="AC340" s="26">
        <v>0</v>
      </c>
      <c r="AD340" s="26">
        <v>0</v>
      </c>
      <c r="AE340" s="26">
        <v>0</v>
      </c>
      <c r="AF340" s="26">
        <v>0</v>
      </c>
      <c r="AG340" s="26">
        <v>0</v>
      </c>
      <c r="AH340" s="26">
        <v>0</v>
      </c>
      <c r="AI340" s="26">
        <v>0</v>
      </c>
      <c r="AJ340" s="26">
        <v>0</v>
      </c>
      <c r="AK340" s="26">
        <v>0</v>
      </c>
      <c r="AL340" s="26">
        <v>0</v>
      </c>
      <c r="AM340" s="26">
        <v>0</v>
      </c>
      <c r="AN340" s="26">
        <v>64965.882700000002</v>
      </c>
      <c r="AO340" s="26">
        <v>213957.00599999999</v>
      </c>
      <c r="AP340" s="26">
        <v>0</v>
      </c>
      <c r="AQ340" s="26">
        <v>0</v>
      </c>
      <c r="AR340" s="26">
        <v>0</v>
      </c>
      <c r="AS340" s="26">
        <v>0</v>
      </c>
      <c r="AT340" s="26">
        <v>0</v>
      </c>
      <c r="AU340" s="26">
        <v>0</v>
      </c>
      <c r="AV340" s="26">
        <v>0</v>
      </c>
      <c r="AW340" s="26">
        <v>0</v>
      </c>
      <c r="AX340" s="26">
        <v>0</v>
      </c>
      <c r="AY340" s="26">
        <v>0</v>
      </c>
      <c r="AZ340" s="26">
        <v>0</v>
      </c>
      <c r="BA340" s="26">
        <v>0</v>
      </c>
      <c r="BB340" s="26">
        <v>0</v>
      </c>
      <c r="BC340" s="26">
        <v>0</v>
      </c>
      <c r="BD340" s="26">
        <v>0</v>
      </c>
      <c r="BE340" s="26">
        <v>0</v>
      </c>
      <c r="BF340" s="26">
        <v>0</v>
      </c>
      <c r="BG340" s="26">
        <v>0</v>
      </c>
      <c r="BH340" s="26">
        <v>0</v>
      </c>
      <c r="BI340" s="26">
        <v>0</v>
      </c>
      <c r="BJ340" s="26">
        <v>0</v>
      </c>
      <c r="BK340" s="26">
        <v>0</v>
      </c>
      <c r="BL340" s="26">
        <v>0</v>
      </c>
      <c r="BM340" s="26">
        <v>0</v>
      </c>
      <c r="BN340" s="26">
        <v>0</v>
      </c>
      <c r="BO340" s="26">
        <v>9977.1977399999996</v>
      </c>
      <c r="BP340" s="26">
        <v>284494.891</v>
      </c>
      <c r="BQ340" s="26">
        <v>4068204.5699999994</v>
      </c>
      <c r="BR340" s="26">
        <v>25</v>
      </c>
      <c r="BS340" s="26">
        <v>1</v>
      </c>
      <c r="BT340" s="26">
        <v>1</v>
      </c>
      <c r="BU340" s="26">
        <v>0</v>
      </c>
      <c r="BV340" s="26">
        <v>0</v>
      </c>
      <c r="BW340" s="26">
        <v>-1790.4447299999999</v>
      </c>
      <c r="BX340" s="26">
        <v>-62.790657099999997</v>
      </c>
      <c r="BY340" s="26">
        <v>-17.863621299999998</v>
      </c>
      <c r="BZ340" s="26">
        <v>0.93504060899999997</v>
      </c>
      <c r="CA340" s="26">
        <v>3.2791749100000003E-2</v>
      </c>
      <c r="CB340" s="26">
        <v>4.0874696499999997E-5</v>
      </c>
      <c r="CC340" s="26">
        <v>1.16552188E-3</v>
      </c>
      <c r="CD340" s="26">
        <v>28.514508599999999</v>
      </c>
      <c r="CE340" s="26">
        <v>8722.9072699999997</v>
      </c>
      <c r="CF340" s="26">
        <v>0</v>
      </c>
      <c r="CG340" s="26">
        <v>0</v>
      </c>
      <c r="CH340" s="26">
        <v>0</v>
      </c>
      <c r="CI340" s="26">
        <v>0</v>
      </c>
      <c r="CJ340" s="26">
        <v>0</v>
      </c>
      <c r="CK340" s="26">
        <v>0</v>
      </c>
      <c r="CL340" s="26">
        <v>0</v>
      </c>
      <c r="CM340" s="26">
        <v>0</v>
      </c>
      <c r="CN340" s="26">
        <v>0</v>
      </c>
      <c r="CO340" s="26">
        <v>0</v>
      </c>
      <c r="CP340" s="26">
        <v>0</v>
      </c>
      <c r="CQ340" s="26">
        <v>0</v>
      </c>
      <c r="CR340" s="26">
        <v>0</v>
      </c>
      <c r="CS340" s="26">
        <v>0</v>
      </c>
      <c r="CT340" s="26">
        <v>0</v>
      </c>
      <c r="CU340" s="26">
        <v>0</v>
      </c>
      <c r="CV340" s="26">
        <v>0</v>
      </c>
      <c r="CW340" s="26">
        <v>0</v>
      </c>
      <c r="CX340" s="26">
        <v>0</v>
      </c>
      <c r="CY340" s="26">
        <v>0</v>
      </c>
      <c r="CZ340" s="26">
        <v>0</v>
      </c>
      <c r="DA340" s="26">
        <v>0</v>
      </c>
      <c r="DB340" s="26">
        <v>0</v>
      </c>
      <c r="DC340" s="26">
        <v>0</v>
      </c>
      <c r="DD340" s="26">
        <v>0</v>
      </c>
      <c r="DE340" s="26">
        <v>0</v>
      </c>
      <c r="DF340" s="26">
        <v>0</v>
      </c>
      <c r="DG340" s="26">
        <v>0</v>
      </c>
      <c r="DH340" s="26">
        <v>0</v>
      </c>
      <c r="DI340" s="26">
        <v>0</v>
      </c>
      <c r="DJ340" s="26">
        <v>0</v>
      </c>
      <c r="DK340" s="26">
        <v>0</v>
      </c>
      <c r="DL340" s="26">
        <v>0</v>
      </c>
      <c r="DM340" s="26">
        <v>0</v>
      </c>
      <c r="DN340" s="26">
        <v>0</v>
      </c>
      <c r="DO340" s="26">
        <v>0</v>
      </c>
      <c r="DP340" s="26">
        <v>0</v>
      </c>
      <c r="DQ340" s="26">
        <v>0</v>
      </c>
      <c r="DR340" s="26">
        <v>0</v>
      </c>
      <c r="DS340" s="26">
        <v>0</v>
      </c>
      <c r="DT340" s="26">
        <v>0</v>
      </c>
      <c r="DU340" s="26">
        <v>0</v>
      </c>
      <c r="DV340" s="26">
        <v>0</v>
      </c>
      <c r="DW340" s="26">
        <v>0</v>
      </c>
      <c r="DX340" s="26">
        <v>0</v>
      </c>
      <c r="DY340" s="26">
        <v>0</v>
      </c>
      <c r="DZ340" s="26">
        <v>0</v>
      </c>
      <c r="EA340" s="26">
        <v>0</v>
      </c>
      <c r="EB340" s="26">
        <v>0</v>
      </c>
      <c r="EC340" s="26">
        <v>0</v>
      </c>
      <c r="ED340" s="26">
        <v>0</v>
      </c>
      <c r="EE340" s="26">
        <v>0</v>
      </c>
      <c r="EF340" s="26">
        <v>0</v>
      </c>
      <c r="EG340" s="26">
        <v>0</v>
      </c>
      <c r="EH340" s="26">
        <v>0</v>
      </c>
      <c r="EI340" s="26">
        <v>0</v>
      </c>
      <c r="EJ340" s="26">
        <v>0</v>
      </c>
      <c r="EK340" s="26">
        <v>0</v>
      </c>
      <c r="EL340" s="26">
        <v>0</v>
      </c>
      <c r="EM340" s="26">
        <v>0</v>
      </c>
      <c r="EN340" s="26">
        <v>0</v>
      </c>
      <c r="EO340" s="26">
        <v>0</v>
      </c>
      <c r="EP340" s="26">
        <v>0</v>
      </c>
      <c r="EQ340" s="26">
        <v>0</v>
      </c>
      <c r="ER340" s="26">
        <v>0</v>
      </c>
      <c r="ES340" s="26">
        <v>0</v>
      </c>
      <c r="ET340" s="26">
        <v>1</v>
      </c>
      <c r="EU340" s="26">
        <v>0</v>
      </c>
      <c r="EV340" s="26">
        <v>0</v>
      </c>
      <c r="EW340" s="26">
        <v>0</v>
      </c>
      <c r="EX340" s="26">
        <v>0</v>
      </c>
      <c r="EY340" s="26">
        <v>0</v>
      </c>
      <c r="EZ340" s="26">
        <v>0</v>
      </c>
      <c r="FA340" s="26">
        <v>0</v>
      </c>
      <c r="FB340" s="26">
        <v>0</v>
      </c>
      <c r="FC340" s="26">
        <v>0</v>
      </c>
      <c r="FD340" s="26">
        <v>0</v>
      </c>
      <c r="FE340" s="26">
        <v>0</v>
      </c>
      <c r="FF340" s="26">
        <v>0</v>
      </c>
      <c r="FG340" s="26">
        <v>0</v>
      </c>
      <c r="FH340" s="26">
        <v>-20775391.571899999</v>
      </c>
      <c r="FI340" s="26">
        <v>0</v>
      </c>
      <c r="FJ340" s="26">
        <v>8.5914759020651418E-2</v>
      </c>
      <c r="FK340" s="26">
        <v>0</v>
      </c>
      <c r="FL340" s="26">
        <v>0</v>
      </c>
      <c r="FM340" s="26">
        <v>0</v>
      </c>
      <c r="FN340" s="26">
        <v>0</v>
      </c>
      <c r="FO340" s="26">
        <v>0</v>
      </c>
      <c r="FP340" s="26">
        <v>0</v>
      </c>
      <c r="FQ340" s="26">
        <v>0</v>
      </c>
      <c r="FR340" s="26">
        <v>0</v>
      </c>
      <c r="FS340" s="26">
        <v>0</v>
      </c>
      <c r="FT340" s="26">
        <v>0</v>
      </c>
      <c r="FU340" s="26">
        <v>0</v>
      </c>
      <c r="FV340" s="26">
        <v>0</v>
      </c>
      <c r="FW340" s="26">
        <v>0</v>
      </c>
      <c r="FX340" s="26">
        <v>0</v>
      </c>
      <c r="FY340" s="26">
        <v>0</v>
      </c>
      <c r="FZ340" s="26">
        <v>0</v>
      </c>
      <c r="GA340" s="26">
        <v>0</v>
      </c>
      <c r="GB340" s="26">
        <v>0</v>
      </c>
      <c r="GC340" s="26">
        <v>0</v>
      </c>
      <c r="GD340" s="26">
        <v>0</v>
      </c>
      <c r="GE340" s="26">
        <v>0</v>
      </c>
      <c r="GF340" s="26">
        <v>0</v>
      </c>
      <c r="GG340" s="26">
        <v>0</v>
      </c>
      <c r="GH340" s="26">
        <v>0</v>
      </c>
      <c r="GI340" s="26">
        <v>0</v>
      </c>
      <c r="GJ340" s="26">
        <v>0</v>
      </c>
      <c r="GK340" s="26">
        <v>0</v>
      </c>
      <c r="GL340" s="26">
        <v>0</v>
      </c>
      <c r="GM340" s="26">
        <v>0</v>
      </c>
      <c r="GN340" s="26">
        <v>0</v>
      </c>
      <c r="GO340" s="26">
        <v>0</v>
      </c>
      <c r="GP340" s="26">
        <v>0</v>
      </c>
      <c r="GQ340" s="26">
        <v>0</v>
      </c>
      <c r="GR340" s="26">
        <v>0</v>
      </c>
      <c r="GS340" s="26">
        <v>0.56396110728946669</v>
      </c>
      <c r="GT340" s="26">
        <v>2.1215679725280996</v>
      </c>
      <c r="GU340" s="26">
        <v>0</v>
      </c>
      <c r="GV340" s="26">
        <v>0</v>
      </c>
      <c r="GW340" s="26">
        <v>0</v>
      </c>
      <c r="GX340" s="26">
        <v>0</v>
      </c>
      <c r="GY340" s="26">
        <v>0</v>
      </c>
      <c r="GZ340" s="26">
        <v>0</v>
      </c>
      <c r="HA340" s="26">
        <v>0</v>
      </c>
      <c r="HB340" s="26">
        <v>0</v>
      </c>
      <c r="HC340" s="26">
        <v>0</v>
      </c>
      <c r="HD340" s="26">
        <v>0</v>
      </c>
      <c r="HE340" s="26">
        <v>0</v>
      </c>
      <c r="HF340" s="26">
        <v>0</v>
      </c>
      <c r="HG340" s="26">
        <v>0</v>
      </c>
      <c r="HH340" s="26">
        <v>0</v>
      </c>
      <c r="HI340" s="26">
        <v>0</v>
      </c>
      <c r="HJ340" s="26">
        <v>0</v>
      </c>
      <c r="HK340" s="26">
        <v>0</v>
      </c>
      <c r="HL340" s="26">
        <v>0</v>
      </c>
      <c r="HM340" s="26">
        <v>0</v>
      </c>
      <c r="HN340" s="26">
        <v>0</v>
      </c>
      <c r="HO340" s="26">
        <v>0</v>
      </c>
      <c r="HP340" s="26">
        <v>0</v>
      </c>
      <c r="HQ340" s="26">
        <v>0</v>
      </c>
      <c r="HR340" s="26">
        <v>0</v>
      </c>
      <c r="HS340" s="26">
        <v>0</v>
      </c>
      <c r="HT340" s="26">
        <v>0</v>
      </c>
    </row>
    <row r="341" spans="2:228" x14ac:dyDescent="0.2">
      <c r="B341" s="27" t="s">
        <v>2447</v>
      </c>
      <c r="C341" s="26">
        <v>318408.56599999999</v>
      </c>
      <c r="D341" s="26">
        <v>-57.165652899999998</v>
      </c>
      <c r="E341" s="26">
        <v>6498.42364</v>
      </c>
      <c r="F341" s="26">
        <v>1.7354772199999999</v>
      </c>
      <c r="G341" s="26">
        <v>3.9025775799999998E-11</v>
      </c>
      <c r="H341" s="26">
        <v>8.5668570700000005E-11</v>
      </c>
      <c r="I341" s="26">
        <v>3.5944854900000002E-11</v>
      </c>
      <c r="J341" s="26">
        <v>8.5987455199999994E-9</v>
      </c>
      <c r="K341" s="26">
        <v>1.7819072100000001E-9</v>
      </c>
      <c r="L341" s="26">
        <v>1.1093720700000001E-7</v>
      </c>
      <c r="M341" s="26">
        <v>0</v>
      </c>
      <c r="N341" s="26">
        <v>8.6237478500000006E-11</v>
      </c>
      <c r="O341" s="26">
        <v>2.17632409E-12</v>
      </c>
      <c r="P341" s="26">
        <v>9.1314297599999995E-13</v>
      </c>
      <c r="Q341" s="26">
        <v>3.16243381E-9</v>
      </c>
      <c r="R341" s="26">
        <v>3.9033759300000002E-10</v>
      </c>
      <c r="S341" s="26">
        <v>9.1404763899999995E-10</v>
      </c>
      <c r="T341" s="26">
        <v>3.4647032400000003E-5</v>
      </c>
      <c r="U341" s="26">
        <v>1.70269336E-3</v>
      </c>
      <c r="V341" s="26">
        <v>1.56554288</v>
      </c>
      <c r="W341" s="26">
        <v>6.4739933800000002E-3</v>
      </c>
      <c r="X341" s="26">
        <v>7.7946966200000004E-4</v>
      </c>
      <c r="Y341" s="26">
        <v>2.7347308900000002E-9</v>
      </c>
      <c r="Z341" s="26">
        <v>2.1036074699999999E-6</v>
      </c>
      <c r="AA341" s="26">
        <v>1.4338245199999999E-6</v>
      </c>
      <c r="AB341" s="26">
        <v>27.157805799999998</v>
      </c>
      <c r="AC341" s="26">
        <v>9.7561763699999999E-10</v>
      </c>
      <c r="AD341" s="26">
        <v>0</v>
      </c>
      <c r="AE341" s="26">
        <v>0</v>
      </c>
      <c r="AF341" s="26">
        <v>0</v>
      </c>
      <c r="AG341" s="26">
        <v>0</v>
      </c>
      <c r="AH341" s="26">
        <v>3.22774015E-3</v>
      </c>
      <c r="AI341" s="26">
        <v>0</v>
      </c>
      <c r="AJ341" s="26">
        <v>0</v>
      </c>
      <c r="AK341" s="26">
        <v>0</v>
      </c>
      <c r="AL341" s="26">
        <v>0</v>
      </c>
      <c r="AM341" s="26">
        <v>3.1149470500000002E-9</v>
      </c>
      <c r="AN341" s="26">
        <v>68874.8</v>
      </c>
      <c r="AO341" s="26">
        <v>223071.88399999999</v>
      </c>
      <c r="AP341" s="26">
        <v>0</v>
      </c>
      <c r="AQ341" s="26">
        <v>1.3674957499999999E-2</v>
      </c>
      <c r="AR341" s="26">
        <v>0</v>
      </c>
      <c r="AS341" s="26">
        <v>14269.2286</v>
      </c>
      <c r="AT341" s="26">
        <v>5378.3972999999996</v>
      </c>
      <c r="AU341" s="26">
        <v>285.346923</v>
      </c>
      <c r="AV341" s="26">
        <v>4.5108502299999996E-4</v>
      </c>
      <c r="AW341" s="26">
        <v>0</v>
      </c>
      <c r="AX341" s="26">
        <v>0</v>
      </c>
      <c r="AY341" s="26">
        <v>0</v>
      </c>
      <c r="AZ341" s="26">
        <v>0</v>
      </c>
      <c r="BA341" s="26">
        <v>0</v>
      </c>
      <c r="BB341" s="26">
        <v>0</v>
      </c>
      <c r="BC341" s="26">
        <v>0</v>
      </c>
      <c r="BD341" s="26">
        <v>0</v>
      </c>
      <c r="BE341" s="26">
        <v>0</v>
      </c>
      <c r="BF341" s="26">
        <v>0</v>
      </c>
      <c r="BG341" s="26">
        <v>0</v>
      </c>
      <c r="BH341" s="26">
        <v>0</v>
      </c>
      <c r="BI341" s="26">
        <v>0</v>
      </c>
      <c r="BJ341" s="26">
        <v>0</v>
      </c>
      <c r="BK341" s="26">
        <v>0</v>
      </c>
      <c r="BL341" s="26">
        <v>0</v>
      </c>
      <c r="BM341" s="26">
        <v>0</v>
      </c>
      <c r="BN341" s="26">
        <v>0</v>
      </c>
      <c r="BO341" s="26">
        <v>11145.6587</v>
      </c>
      <c r="BP341" s="26">
        <v>318408.56599999999</v>
      </c>
      <c r="BQ341" s="26">
        <v>4577410.2699999996</v>
      </c>
      <c r="BR341" s="26">
        <v>27.149569400000019</v>
      </c>
      <c r="BS341" s="26">
        <v>1</v>
      </c>
      <c r="BT341" s="26">
        <v>1</v>
      </c>
      <c r="BU341" s="26">
        <v>0</v>
      </c>
      <c r="BV341" s="26">
        <v>0</v>
      </c>
      <c r="BW341" s="26">
        <v>-5128.9613200000003</v>
      </c>
      <c r="BX341" s="26">
        <v>-179.53553600000001</v>
      </c>
      <c r="BY341" s="26">
        <v>-57.165652899999998</v>
      </c>
      <c r="BZ341" s="26">
        <v>0.90851150800000002</v>
      </c>
      <c r="CA341" s="26">
        <v>3.1801780100000003E-2</v>
      </c>
      <c r="CB341" s="26">
        <v>4.0582111999999998E-5</v>
      </c>
      <c r="CC341" s="26">
        <v>1.15934755E-3</v>
      </c>
      <c r="CD341" s="26">
        <v>28.567945099999999</v>
      </c>
      <c r="CE341" s="26">
        <v>0</v>
      </c>
      <c r="CF341" s="26">
        <v>0</v>
      </c>
      <c r="CG341" s="26">
        <v>0</v>
      </c>
      <c r="CH341" s="26">
        <v>0</v>
      </c>
      <c r="CI341" s="26">
        <v>0</v>
      </c>
      <c r="CJ341" s="26">
        <v>0</v>
      </c>
      <c r="CK341" s="26">
        <v>0</v>
      </c>
      <c r="CL341" s="26">
        <v>0</v>
      </c>
      <c r="CM341" s="26">
        <v>0</v>
      </c>
      <c r="CN341" s="26">
        <v>0</v>
      </c>
      <c r="CO341" s="26">
        <v>0</v>
      </c>
      <c r="CP341" s="26">
        <v>0</v>
      </c>
      <c r="CQ341" s="26">
        <v>0</v>
      </c>
      <c r="CR341" s="26">
        <v>0</v>
      </c>
      <c r="CS341" s="26">
        <v>0</v>
      </c>
      <c r="CT341" s="26">
        <v>0</v>
      </c>
      <c r="CU341" s="26">
        <v>0</v>
      </c>
      <c r="CV341" s="26">
        <v>0</v>
      </c>
      <c r="CW341" s="26">
        <v>0</v>
      </c>
      <c r="CX341" s="26">
        <v>0</v>
      </c>
      <c r="CY341" s="26">
        <v>0</v>
      </c>
      <c r="CZ341" s="26">
        <v>0</v>
      </c>
      <c r="DA341" s="26">
        <v>0</v>
      </c>
      <c r="DB341" s="26">
        <v>0</v>
      </c>
      <c r="DC341" s="26">
        <v>0</v>
      </c>
      <c r="DD341" s="26">
        <v>0</v>
      </c>
      <c r="DE341" s="26">
        <v>0</v>
      </c>
      <c r="DF341" s="26">
        <v>0</v>
      </c>
      <c r="DG341" s="26">
        <v>0</v>
      </c>
      <c r="DH341" s="26">
        <v>0</v>
      </c>
      <c r="DI341" s="26">
        <v>0</v>
      </c>
      <c r="DJ341" s="26">
        <v>0</v>
      </c>
      <c r="DK341" s="26">
        <v>0</v>
      </c>
      <c r="DL341" s="26">
        <v>0</v>
      </c>
      <c r="DM341" s="26">
        <v>0</v>
      </c>
      <c r="DN341" s="26">
        <v>0</v>
      </c>
      <c r="DO341" s="26">
        <v>0</v>
      </c>
      <c r="DP341" s="26">
        <v>0</v>
      </c>
      <c r="DQ341" s="26">
        <v>0</v>
      </c>
      <c r="DR341" s="26">
        <v>0</v>
      </c>
      <c r="DS341" s="26">
        <v>0</v>
      </c>
      <c r="DT341" s="26">
        <v>0</v>
      </c>
      <c r="DU341" s="26">
        <v>0</v>
      </c>
      <c r="DV341" s="26">
        <v>0</v>
      </c>
      <c r="DW341" s="26">
        <v>0</v>
      </c>
      <c r="DX341" s="26">
        <v>0</v>
      </c>
      <c r="DY341" s="26">
        <v>0</v>
      </c>
      <c r="DZ341" s="26">
        <v>0</v>
      </c>
      <c r="EA341" s="26">
        <v>0</v>
      </c>
      <c r="EB341" s="26">
        <v>0</v>
      </c>
      <c r="EC341" s="26">
        <v>0</v>
      </c>
      <c r="ED341" s="26">
        <v>0</v>
      </c>
      <c r="EE341" s="26">
        <v>0</v>
      </c>
      <c r="EF341" s="26">
        <v>0</v>
      </c>
      <c r="EG341" s="26">
        <v>0</v>
      </c>
      <c r="EH341" s="26">
        <v>0</v>
      </c>
      <c r="EI341" s="26">
        <v>0</v>
      </c>
      <c r="EJ341" s="26">
        <v>0</v>
      </c>
      <c r="EK341" s="26">
        <v>0</v>
      </c>
      <c r="EL341" s="26">
        <v>0</v>
      </c>
      <c r="EM341" s="26">
        <v>0</v>
      </c>
      <c r="EN341" s="26">
        <v>0</v>
      </c>
      <c r="EO341" s="26">
        <v>0</v>
      </c>
      <c r="EP341" s="26">
        <v>0</v>
      </c>
      <c r="EQ341" s="26">
        <v>0</v>
      </c>
      <c r="ER341" s="26">
        <v>0</v>
      </c>
      <c r="ES341" s="26">
        <v>0</v>
      </c>
      <c r="ET341" s="26">
        <v>1</v>
      </c>
      <c r="EU341" s="26">
        <v>0</v>
      </c>
      <c r="EV341" s="26">
        <v>0</v>
      </c>
      <c r="EW341" s="26">
        <v>0</v>
      </c>
      <c r="EX341" s="26">
        <v>0</v>
      </c>
      <c r="EY341" s="26">
        <v>0</v>
      </c>
      <c r="EZ341" s="26">
        <v>0</v>
      </c>
      <c r="FA341" s="26">
        <v>0</v>
      </c>
      <c r="FB341" s="26">
        <v>0</v>
      </c>
      <c r="FC341" s="26">
        <v>0</v>
      </c>
      <c r="FD341" s="26">
        <v>0</v>
      </c>
      <c r="FE341" s="26">
        <v>0</v>
      </c>
      <c r="FF341" s="26">
        <v>0</v>
      </c>
      <c r="FG341" s="26">
        <v>6.9088324800000003E-2</v>
      </c>
      <c r="FH341" s="26">
        <v>-66681678.565300003</v>
      </c>
      <c r="FI341" s="26">
        <v>0.18323317785475432</v>
      </c>
      <c r="FJ341" s="26">
        <v>0.1001992580238163</v>
      </c>
      <c r="FK341" s="26">
        <v>1.046422955593606E-5</v>
      </c>
      <c r="FL341" s="26">
        <v>6.0172252148044691E-17</v>
      </c>
      <c r="FM341" s="26">
        <v>1.3208887577893324E-16</v>
      </c>
      <c r="FN341" s="26">
        <v>5.5421905998930803E-17</v>
      </c>
      <c r="FO341" s="26">
        <v>1.5909666071721774E-14</v>
      </c>
      <c r="FP341" s="26">
        <v>3.2969400819310761E-15</v>
      </c>
      <c r="FQ341" s="26">
        <v>9.0025953497985409E-14</v>
      </c>
      <c r="FR341" s="26">
        <v>0</v>
      </c>
      <c r="FS341" s="26">
        <v>1.47739612293028E-16</v>
      </c>
      <c r="FT341" s="26">
        <v>3.7284169742717803E-18</v>
      </c>
      <c r="FU341" s="26">
        <v>1.5643707541816326E-18</v>
      </c>
      <c r="FV341" s="26">
        <v>6.6491041643039446E-15</v>
      </c>
      <c r="FW341" s="26">
        <v>8.2069553712111979E-16</v>
      </c>
      <c r="FX341" s="26">
        <v>1.4093327807191067E-15</v>
      </c>
      <c r="FY341" s="26">
        <v>6.325463967270379E-11</v>
      </c>
      <c r="FZ341" s="26">
        <v>3.7504589744481167E-9</v>
      </c>
      <c r="GA341" s="26">
        <v>4.5258936473182596E-6</v>
      </c>
      <c r="GB341" s="26">
        <v>2.9945959128456562E-8</v>
      </c>
      <c r="GC341" s="26">
        <v>2.4036649720070975E-9</v>
      </c>
      <c r="GD341" s="26">
        <v>4.9928429566094099E-15</v>
      </c>
      <c r="GE341" s="26">
        <v>6.3449393563150698E-12</v>
      </c>
      <c r="GF341" s="26">
        <v>3.3727424436486062E-12</v>
      </c>
      <c r="GG341" s="26">
        <v>4.4295871743255864E-4</v>
      </c>
      <c r="GH341" s="26">
        <v>2.7631151943271441E-15</v>
      </c>
      <c r="GI341" s="26">
        <v>0</v>
      </c>
      <c r="GJ341" s="26">
        <v>0</v>
      </c>
      <c r="GK341" s="26">
        <v>0</v>
      </c>
      <c r="GL341" s="26">
        <v>0</v>
      </c>
      <c r="GM341" s="26">
        <v>1.0548827001057283E-8</v>
      </c>
      <c r="GN341" s="26">
        <v>0</v>
      </c>
      <c r="GO341" s="26">
        <v>0</v>
      </c>
      <c r="GP341" s="26">
        <v>0</v>
      </c>
      <c r="GQ341" s="26">
        <v>0</v>
      </c>
      <c r="GR341" s="26">
        <v>3.0632385800614644E-15</v>
      </c>
      <c r="GS341" s="26">
        <v>0.59789395478315166</v>
      </c>
      <c r="GT341" s="26">
        <v>2.2119498482511544</v>
      </c>
      <c r="GU341" s="26">
        <v>0</v>
      </c>
      <c r="GV341" s="26">
        <v>8.2568302049435303E-8</v>
      </c>
      <c r="GW341" s="26">
        <v>0</v>
      </c>
      <c r="GX341" s="26">
        <v>9.006345516495208E-2</v>
      </c>
      <c r="GY341" s="26">
        <v>9.3126074356119706E-2</v>
      </c>
      <c r="GZ341" s="26">
        <v>2.3256649824942087E-3</v>
      </c>
      <c r="HA341" s="26">
        <v>1.9558540156468319E-9</v>
      </c>
      <c r="HB341" s="26">
        <v>0</v>
      </c>
      <c r="HC341" s="26">
        <v>0</v>
      </c>
      <c r="HD341" s="26">
        <v>0</v>
      </c>
      <c r="HE341" s="26">
        <v>0</v>
      </c>
      <c r="HF341" s="26">
        <v>0</v>
      </c>
      <c r="HG341" s="26">
        <v>0</v>
      </c>
      <c r="HH341" s="26">
        <v>0</v>
      </c>
      <c r="HI341" s="26">
        <v>0</v>
      </c>
      <c r="HJ341" s="26">
        <v>0</v>
      </c>
      <c r="HK341" s="26">
        <v>0</v>
      </c>
      <c r="HL341" s="26">
        <v>0</v>
      </c>
      <c r="HM341" s="26">
        <v>0</v>
      </c>
      <c r="HN341" s="26">
        <v>0</v>
      </c>
      <c r="HO341" s="26">
        <v>0</v>
      </c>
      <c r="HP341" s="26">
        <v>0</v>
      </c>
      <c r="HQ341" s="26">
        <v>0</v>
      </c>
      <c r="HR341" s="26">
        <v>0</v>
      </c>
      <c r="HS341" s="26">
        <v>0</v>
      </c>
      <c r="HT341" s="26">
        <v>0</v>
      </c>
    </row>
    <row r="342" spans="2:228" x14ac:dyDescent="0.2">
      <c r="B342" s="27" t="s">
        <v>3179</v>
      </c>
      <c r="C342" s="26">
        <v>364705.984</v>
      </c>
      <c r="D342" s="26">
        <v>-239.97833699999998</v>
      </c>
      <c r="E342" s="26">
        <v>50699.8416</v>
      </c>
      <c r="F342" s="26">
        <v>0</v>
      </c>
      <c r="G342" s="26">
        <v>0</v>
      </c>
      <c r="H342" s="26">
        <v>0</v>
      </c>
      <c r="I342" s="26">
        <v>0</v>
      </c>
      <c r="J342" s="26">
        <v>0</v>
      </c>
      <c r="K342" s="26">
        <v>0</v>
      </c>
      <c r="L342" s="26">
        <v>0</v>
      </c>
      <c r="M342" s="26">
        <v>0</v>
      </c>
      <c r="N342" s="26">
        <v>0</v>
      </c>
      <c r="O342" s="26">
        <v>0</v>
      </c>
      <c r="P342" s="26">
        <v>0</v>
      </c>
      <c r="Q342" s="26">
        <v>0</v>
      </c>
      <c r="R342" s="26">
        <v>0</v>
      </c>
      <c r="S342" s="26">
        <v>0</v>
      </c>
      <c r="T342" s="26">
        <v>0</v>
      </c>
      <c r="U342" s="26">
        <v>0</v>
      </c>
      <c r="V342" s="26">
        <v>0</v>
      </c>
      <c r="W342" s="26">
        <v>0</v>
      </c>
      <c r="X342" s="26">
        <v>0</v>
      </c>
      <c r="Y342" s="26">
        <v>0</v>
      </c>
      <c r="Z342" s="26">
        <v>0</v>
      </c>
      <c r="AA342" s="26">
        <v>0</v>
      </c>
      <c r="AB342" s="26">
        <v>30.413956800000001</v>
      </c>
      <c r="AC342" s="26">
        <v>3.1431767000000003E-5</v>
      </c>
      <c r="AD342" s="26">
        <v>0</v>
      </c>
      <c r="AE342" s="26">
        <v>0</v>
      </c>
      <c r="AF342" s="26">
        <v>7.1462960299999994</v>
      </c>
      <c r="AG342" s="26">
        <v>0</v>
      </c>
      <c r="AH342" s="26">
        <v>72.875005299999998</v>
      </c>
      <c r="AI342" s="26">
        <v>0</v>
      </c>
      <c r="AJ342" s="26">
        <v>0</v>
      </c>
      <c r="AK342" s="26">
        <v>0</v>
      </c>
      <c r="AL342" s="26">
        <v>0</v>
      </c>
      <c r="AM342" s="26">
        <v>0</v>
      </c>
      <c r="AN342" s="26">
        <v>11479.917600000001</v>
      </c>
      <c r="AO342" s="26">
        <v>223991.829</v>
      </c>
      <c r="AP342" s="26">
        <v>0</v>
      </c>
      <c r="AQ342" s="26">
        <v>62.056292200000001</v>
      </c>
      <c r="AR342" s="26">
        <v>61.962034299999999</v>
      </c>
      <c r="AS342" s="26">
        <v>73397.056899999996</v>
      </c>
      <c r="AT342" s="26">
        <v>0</v>
      </c>
      <c r="AU342" s="26">
        <v>0</v>
      </c>
      <c r="AV342" s="26">
        <v>672.51662999999996</v>
      </c>
      <c r="AW342" s="26">
        <v>0</v>
      </c>
      <c r="AX342" s="26">
        <v>0</v>
      </c>
      <c r="AY342" s="26">
        <v>0</v>
      </c>
      <c r="AZ342" s="26">
        <v>0</v>
      </c>
      <c r="BA342" s="26">
        <v>0</v>
      </c>
      <c r="BB342" s="26">
        <v>0</v>
      </c>
      <c r="BC342" s="26">
        <v>0</v>
      </c>
      <c r="BD342" s="26">
        <v>0</v>
      </c>
      <c r="BE342" s="26">
        <v>0</v>
      </c>
      <c r="BF342" s="26">
        <v>0</v>
      </c>
      <c r="BG342" s="26">
        <v>0</v>
      </c>
      <c r="BH342" s="26">
        <v>0</v>
      </c>
      <c r="BI342" s="26">
        <v>0</v>
      </c>
      <c r="BJ342" s="26">
        <v>0</v>
      </c>
      <c r="BK342" s="26">
        <v>0</v>
      </c>
      <c r="BL342" s="26">
        <v>0</v>
      </c>
      <c r="BM342" s="26">
        <v>0</v>
      </c>
      <c r="BN342" s="26">
        <v>0</v>
      </c>
      <c r="BO342" s="26">
        <v>12853.3878</v>
      </c>
      <c r="BP342" s="26">
        <v>360475.61599999998</v>
      </c>
      <c r="BQ342" s="26">
        <v>20802399.199999999</v>
      </c>
      <c r="BR342" s="26">
        <v>870.00000000000011</v>
      </c>
      <c r="BS342" s="26">
        <v>0.96597701999999996</v>
      </c>
      <c r="BT342" s="26">
        <v>1</v>
      </c>
      <c r="BU342" s="26">
        <v>0</v>
      </c>
      <c r="BV342" s="26">
        <v>0</v>
      </c>
      <c r="BW342" s="26">
        <v>-17869.131799999999</v>
      </c>
      <c r="BX342" s="26">
        <v>-637.15511100000003</v>
      </c>
      <c r="BY342" s="26">
        <v>-229.67888300000001</v>
      </c>
      <c r="BZ342" s="26">
        <v>10.7583848</v>
      </c>
      <c r="CA342" s="26">
        <v>0.38360900399999998</v>
      </c>
      <c r="CB342" s="26">
        <v>1.0298001E-5</v>
      </c>
      <c r="CC342" s="26">
        <v>2.8880932400000001E-4</v>
      </c>
      <c r="CD342" s="26">
        <v>28.0451832</v>
      </c>
      <c r="CE342" s="26">
        <v>0</v>
      </c>
      <c r="CF342" s="26">
        <v>0</v>
      </c>
      <c r="CG342" s="26">
        <v>0</v>
      </c>
      <c r="CH342" s="26">
        <v>0</v>
      </c>
      <c r="CI342" s="26">
        <v>0</v>
      </c>
      <c r="CJ342" s="26">
        <v>0</v>
      </c>
      <c r="CK342" s="26">
        <v>0</v>
      </c>
      <c r="CL342" s="26">
        <v>0</v>
      </c>
      <c r="CM342" s="26">
        <v>0</v>
      </c>
      <c r="CN342" s="26">
        <v>0</v>
      </c>
      <c r="CO342" s="26">
        <v>0</v>
      </c>
      <c r="CP342" s="26">
        <v>0</v>
      </c>
      <c r="CQ342" s="26">
        <v>0</v>
      </c>
      <c r="CR342" s="26">
        <v>0</v>
      </c>
      <c r="CS342" s="26">
        <v>0</v>
      </c>
      <c r="CT342" s="26">
        <v>0</v>
      </c>
      <c r="CU342" s="26">
        <v>0</v>
      </c>
      <c r="CV342" s="26">
        <v>0</v>
      </c>
      <c r="CW342" s="26">
        <v>0</v>
      </c>
      <c r="CX342" s="26">
        <v>0</v>
      </c>
      <c r="CY342" s="26">
        <v>0</v>
      </c>
      <c r="CZ342" s="26">
        <v>0</v>
      </c>
      <c r="DA342" s="26">
        <v>0</v>
      </c>
      <c r="DB342" s="26">
        <v>0</v>
      </c>
      <c r="DC342" s="26">
        <v>0</v>
      </c>
      <c r="DD342" s="26">
        <v>0</v>
      </c>
      <c r="DE342" s="26">
        <v>0</v>
      </c>
      <c r="DF342" s="26">
        <v>0</v>
      </c>
      <c r="DG342" s="26">
        <v>0</v>
      </c>
      <c r="DH342" s="26">
        <v>0</v>
      </c>
      <c r="DI342" s="26">
        <v>0</v>
      </c>
      <c r="DJ342" s="26">
        <v>0</v>
      </c>
      <c r="DK342" s="26">
        <v>0</v>
      </c>
      <c r="DL342" s="26">
        <v>0</v>
      </c>
      <c r="DM342" s="26">
        <v>0</v>
      </c>
      <c r="DN342" s="26">
        <v>0</v>
      </c>
      <c r="DO342" s="26">
        <v>0</v>
      </c>
      <c r="DP342" s="26">
        <v>0</v>
      </c>
      <c r="DQ342" s="26">
        <v>0</v>
      </c>
      <c r="DR342" s="26">
        <v>0</v>
      </c>
      <c r="DS342" s="26">
        <v>0</v>
      </c>
      <c r="DT342" s="26">
        <v>0</v>
      </c>
      <c r="DU342" s="26">
        <v>0</v>
      </c>
      <c r="DV342" s="26">
        <v>0</v>
      </c>
      <c r="DW342" s="26">
        <v>0</v>
      </c>
      <c r="DX342" s="26">
        <v>0</v>
      </c>
      <c r="DY342" s="26">
        <v>0</v>
      </c>
      <c r="DZ342" s="26">
        <v>0</v>
      </c>
      <c r="EA342" s="26">
        <v>0</v>
      </c>
      <c r="EB342" s="26">
        <v>0</v>
      </c>
      <c r="EC342" s="26">
        <v>0</v>
      </c>
      <c r="ED342" s="26">
        <v>0</v>
      </c>
      <c r="EE342" s="26">
        <v>0</v>
      </c>
      <c r="EF342" s="26">
        <v>4107.8476600000004</v>
      </c>
      <c r="EG342" s="26">
        <v>0</v>
      </c>
      <c r="EH342" s="26">
        <v>0</v>
      </c>
      <c r="EI342" s="26">
        <v>0</v>
      </c>
      <c r="EJ342" s="26">
        <v>0</v>
      </c>
      <c r="EK342" s="26">
        <v>0</v>
      </c>
      <c r="EL342" s="26">
        <v>0</v>
      </c>
      <c r="EM342" s="26">
        <v>0</v>
      </c>
      <c r="EN342" s="26">
        <v>0</v>
      </c>
      <c r="EO342" s="26">
        <v>122.52014800000001</v>
      </c>
      <c r="EP342" s="26">
        <v>83.453837800000002</v>
      </c>
      <c r="EQ342" s="26">
        <v>4230.3678099999997</v>
      </c>
      <c r="ER342" s="26">
        <v>21.669154500000001</v>
      </c>
      <c r="ES342" s="26">
        <v>870.00000000000011</v>
      </c>
      <c r="ET342" s="26">
        <v>0.96597701999999996</v>
      </c>
      <c r="EU342" s="26">
        <v>0</v>
      </c>
      <c r="EV342" s="26">
        <v>0</v>
      </c>
      <c r="EW342" s="26">
        <v>1</v>
      </c>
      <c r="EX342" s="26">
        <v>-123414.988</v>
      </c>
      <c r="EY342" s="26">
        <v>-2434.6475</v>
      </c>
      <c r="EZ342" s="26">
        <v>-10.2994545</v>
      </c>
      <c r="FA342" s="26">
        <v>-6.2779811900000002</v>
      </c>
      <c r="FB342" s="26">
        <v>-0.123847771</v>
      </c>
      <c r="FC342" s="26">
        <v>6.4187888700000001E-2</v>
      </c>
      <c r="FD342" s="26">
        <v>3.25375543</v>
      </c>
      <c r="FE342" s="26">
        <v>50.691111599999999</v>
      </c>
      <c r="FF342" s="26">
        <v>0</v>
      </c>
      <c r="FG342" s="26">
        <v>1.4526057399999999E-3</v>
      </c>
      <c r="FH342" s="26">
        <v>-385329775.94699997</v>
      </c>
      <c r="FI342" s="26">
        <v>0.46387655648879023</v>
      </c>
      <c r="FJ342" s="26">
        <v>0.78174135625393093</v>
      </c>
      <c r="FK342" s="26">
        <v>0</v>
      </c>
      <c r="FL342" s="26">
        <v>0</v>
      </c>
      <c r="FM342" s="26">
        <v>0</v>
      </c>
      <c r="FN342" s="26">
        <v>0</v>
      </c>
      <c r="FO342" s="26">
        <v>0</v>
      </c>
      <c r="FP342" s="26">
        <v>0</v>
      </c>
      <c r="FQ342" s="26">
        <v>0</v>
      </c>
      <c r="FR342" s="26">
        <v>0</v>
      </c>
      <c r="FS342" s="26">
        <v>0</v>
      </c>
      <c r="FT342" s="26">
        <v>0</v>
      </c>
      <c r="FU342" s="26">
        <v>0</v>
      </c>
      <c r="FV342" s="26">
        <v>0</v>
      </c>
      <c r="FW342" s="26">
        <v>0</v>
      </c>
      <c r="FX342" s="26">
        <v>0</v>
      </c>
      <c r="FY342" s="26">
        <v>0</v>
      </c>
      <c r="FZ342" s="26">
        <v>0</v>
      </c>
      <c r="GA342" s="26">
        <v>0</v>
      </c>
      <c r="GB342" s="26">
        <v>0</v>
      </c>
      <c r="GC342" s="26">
        <v>0</v>
      </c>
      <c r="GD342" s="26">
        <v>0</v>
      </c>
      <c r="GE342" s="26">
        <v>0</v>
      </c>
      <c r="GF342" s="26">
        <v>0</v>
      </c>
      <c r="GG342" s="26">
        <v>4.9606832619076885E-4</v>
      </c>
      <c r="GH342" s="26">
        <v>8.9020113767716473E-11</v>
      </c>
      <c r="GI342" s="26">
        <v>0</v>
      </c>
      <c r="GJ342" s="26">
        <v>0</v>
      </c>
      <c r="GK342" s="26">
        <v>1.5032090453590057E-5</v>
      </c>
      <c r="GL342" s="26">
        <v>0</v>
      </c>
      <c r="GM342" s="26">
        <v>2.3816843662756971E-4</v>
      </c>
      <c r="GN342" s="26">
        <v>0</v>
      </c>
      <c r="GO342" s="26">
        <v>0</v>
      </c>
      <c r="GP342" s="26">
        <v>0</v>
      </c>
      <c r="GQ342" s="26">
        <v>0</v>
      </c>
      <c r="GR342" s="26">
        <v>0</v>
      </c>
      <c r="GS342" s="26">
        <v>9.9655800241690851E-2</v>
      </c>
      <c r="GT342" s="26">
        <v>2.2210718955463529</v>
      </c>
      <c r="GU342" s="26">
        <v>0</v>
      </c>
      <c r="GV342" s="26">
        <v>3.7469094188641647E-4</v>
      </c>
      <c r="GW342" s="26">
        <v>6.1447449380468491E-4</v>
      </c>
      <c r="GX342" s="26">
        <v>0.46326208148387443</v>
      </c>
      <c r="GY342" s="26">
        <v>0</v>
      </c>
      <c r="GZ342" s="26">
        <v>0</v>
      </c>
      <c r="HA342" s="26">
        <v>2.9159566066609861E-3</v>
      </c>
      <c r="HB342" s="26">
        <v>0</v>
      </c>
      <c r="HC342" s="26">
        <v>0</v>
      </c>
      <c r="HD342" s="26">
        <v>0</v>
      </c>
      <c r="HE342" s="26">
        <v>0</v>
      </c>
      <c r="HF342" s="26">
        <v>0</v>
      </c>
      <c r="HG342" s="26">
        <v>0</v>
      </c>
      <c r="HH342" s="26">
        <v>0</v>
      </c>
      <c r="HI342" s="26">
        <v>0</v>
      </c>
      <c r="HJ342" s="26">
        <v>0</v>
      </c>
      <c r="HK342" s="26">
        <v>0</v>
      </c>
      <c r="HL342" s="26">
        <v>0</v>
      </c>
      <c r="HM342" s="26">
        <v>0</v>
      </c>
      <c r="HN342" s="26">
        <v>0</v>
      </c>
      <c r="HO342" s="26">
        <v>0</v>
      </c>
      <c r="HP342" s="26">
        <v>0</v>
      </c>
      <c r="HQ342" s="26">
        <v>0</v>
      </c>
      <c r="HR342" s="26">
        <v>0</v>
      </c>
      <c r="HS342" s="26">
        <v>0</v>
      </c>
      <c r="HT342" s="26">
        <v>2.8335171615570262E-3</v>
      </c>
    </row>
    <row r="343" spans="2:228" x14ac:dyDescent="0.2">
      <c r="B343" s="27" t="s">
        <v>3180</v>
      </c>
      <c r="C343" s="26">
        <v>364705.984</v>
      </c>
      <c r="D343" s="26">
        <v>-306.04311799999999</v>
      </c>
      <c r="E343" s="26">
        <v>50699.8416</v>
      </c>
      <c r="F343" s="26">
        <v>0</v>
      </c>
      <c r="G343" s="26">
        <v>0</v>
      </c>
      <c r="H343" s="26">
        <v>0</v>
      </c>
      <c r="I343" s="26">
        <v>0</v>
      </c>
      <c r="J343" s="26">
        <v>0</v>
      </c>
      <c r="K343" s="26">
        <v>0</v>
      </c>
      <c r="L343" s="26">
        <v>0</v>
      </c>
      <c r="M343" s="26">
        <v>0</v>
      </c>
      <c r="N343" s="26">
        <v>0</v>
      </c>
      <c r="O343" s="26">
        <v>0</v>
      </c>
      <c r="P343" s="26">
        <v>0</v>
      </c>
      <c r="Q343" s="26">
        <v>0</v>
      </c>
      <c r="R343" s="26">
        <v>0</v>
      </c>
      <c r="S343" s="26">
        <v>0</v>
      </c>
      <c r="T343" s="26">
        <v>0</v>
      </c>
      <c r="U343" s="26">
        <v>0</v>
      </c>
      <c r="V343" s="26">
        <v>0</v>
      </c>
      <c r="W343" s="26">
        <v>0</v>
      </c>
      <c r="X343" s="26">
        <v>0</v>
      </c>
      <c r="Y343" s="26">
        <v>0</v>
      </c>
      <c r="Z343" s="26">
        <v>0</v>
      </c>
      <c r="AA343" s="26">
        <v>0</v>
      </c>
      <c r="AB343" s="26">
        <v>30.413956800000001</v>
      </c>
      <c r="AC343" s="26">
        <v>3.1431767000000003E-5</v>
      </c>
      <c r="AD343" s="26">
        <v>0</v>
      </c>
      <c r="AE343" s="26">
        <v>0</v>
      </c>
      <c r="AF343" s="26">
        <v>7.1462960299999994</v>
      </c>
      <c r="AG343" s="26">
        <v>0</v>
      </c>
      <c r="AH343" s="26">
        <v>72.875005299999998</v>
      </c>
      <c r="AI343" s="26">
        <v>0</v>
      </c>
      <c r="AJ343" s="26">
        <v>0</v>
      </c>
      <c r="AK343" s="26">
        <v>0</v>
      </c>
      <c r="AL343" s="26">
        <v>0</v>
      </c>
      <c r="AM343" s="26">
        <v>0</v>
      </c>
      <c r="AN343" s="26">
        <v>11479.917600000001</v>
      </c>
      <c r="AO343" s="26">
        <v>223991.829</v>
      </c>
      <c r="AP343" s="26">
        <v>0</v>
      </c>
      <c r="AQ343" s="26">
        <v>62.056292200000001</v>
      </c>
      <c r="AR343" s="26">
        <v>61.962034299999999</v>
      </c>
      <c r="AS343" s="26">
        <v>73397.056899999996</v>
      </c>
      <c r="AT343" s="26">
        <v>0</v>
      </c>
      <c r="AU343" s="26">
        <v>0</v>
      </c>
      <c r="AV343" s="26">
        <v>672.51662999999996</v>
      </c>
      <c r="AW343" s="26">
        <v>0</v>
      </c>
      <c r="AX343" s="26">
        <v>0</v>
      </c>
      <c r="AY343" s="26">
        <v>0</v>
      </c>
      <c r="AZ343" s="26">
        <v>0</v>
      </c>
      <c r="BA343" s="26">
        <v>0</v>
      </c>
      <c r="BB343" s="26">
        <v>0</v>
      </c>
      <c r="BC343" s="26">
        <v>0</v>
      </c>
      <c r="BD343" s="26">
        <v>0</v>
      </c>
      <c r="BE343" s="26">
        <v>0</v>
      </c>
      <c r="BF343" s="26">
        <v>0</v>
      </c>
      <c r="BG343" s="26">
        <v>0</v>
      </c>
      <c r="BH343" s="26">
        <v>0</v>
      </c>
      <c r="BI343" s="26">
        <v>0</v>
      </c>
      <c r="BJ343" s="26">
        <v>0</v>
      </c>
      <c r="BK343" s="26">
        <v>0</v>
      </c>
      <c r="BL343" s="26">
        <v>0</v>
      </c>
      <c r="BM343" s="26">
        <v>0</v>
      </c>
      <c r="BN343" s="26">
        <v>0</v>
      </c>
      <c r="BO343" s="26">
        <v>12853.3878</v>
      </c>
      <c r="BP343" s="26">
        <v>360475.61599999998</v>
      </c>
      <c r="BQ343" s="26">
        <v>10034934.1</v>
      </c>
      <c r="BR343" s="26">
        <v>278.30000000000007</v>
      </c>
      <c r="BS343" s="26">
        <v>0.96597701999999996</v>
      </c>
      <c r="BT343" s="26">
        <v>0.99999577299999998</v>
      </c>
      <c r="BU343" s="26">
        <v>4.2269292199999998E-6</v>
      </c>
      <c r="BV343" s="26">
        <v>0</v>
      </c>
      <c r="BW343" s="26">
        <v>-22963.680400000001</v>
      </c>
      <c r="BX343" s="26">
        <v>-818.81014100000004</v>
      </c>
      <c r="BY343" s="26">
        <v>-295.161092</v>
      </c>
      <c r="BZ343" s="26">
        <v>4.5392730200000004</v>
      </c>
      <c r="CA343" s="26">
        <v>0.16185570899999999</v>
      </c>
      <c r="CB343" s="26">
        <v>2.1347736299999999E-5</v>
      </c>
      <c r="CC343" s="26">
        <v>5.9870117600000004E-4</v>
      </c>
      <c r="CD343" s="26">
        <v>28.0451832</v>
      </c>
      <c r="CE343" s="26">
        <v>0</v>
      </c>
      <c r="CF343" s="26">
        <v>0</v>
      </c>
      <c r="CG343" s="26">
        <v>0</v>
      </c>
      <c r="CH343" s="26">
        <v>0</v>
      </c>
      <c r="CI343" s="26">
        <v>0</v>
      </c>
      <c r="CJ343" s="26">
        <v>0</v>
      </c>
      <c r="CK343" s="26">
        <v>0</v>
      </c>
      <c r="CL343" s="26">
        <v>0</v>
      </c>
      <c r="CM343" s="26">
        <v>0</v>
      </c>
      <c r="CN343" s="26">
        <v>0</v>
      </c>
      <c r="CO343" s="26">
        <v>0</v>
      </c>
      <c r="CP343" s="26">
        <v>0</v>
      </c>
      <c r="CQ343" s="26">
        <v>0</v>
      </c>
      <c r="CR343" s="26">
        <v>0</v>
      </c>
      <c r="CS343" s="26">
        <v>0</v>
      </c>
      <c r="CT343" s="26">
        <v>0</v>
      </c>
      <c r="CU343" s="26">
        <v>0</v>
      </c>
      <c r="CV343" s="26">
        <v>0</v>
      </c>
      <c r="CW343" s="26">
        <v>0</v>
      </c>
      <c r="CX343" s="26">
        <v>0</v>
      </c>
      <c r="CY343" s="26">
        <v>0</v>
      </c>
      <c r="CZ343" s="26">
        <v>0</v>
      </c>
      <c r="DA343" s="26">
        <v>0</v>
      </c>
      <c r="DB343" s="26">
        <v>0</v>
      </c>
      <c r="DC343" s="26">
        <v>0</v>
      </c>
      <c r="DD343" s="26">
        <v>0</v>
      </c>
      <c r="DE343" s="26">
        <v>0</v>
      </c>
      <c r="DF343" s="26">
        <v>0</v>
      </c>
      <c r="DG343" s="26">
        <v>0</v>
      </c>
      <c r="DH343" s="26">
        <v>0</v>
      </c>
      <c r="DI343" s="26">
        <v>0</v>
      </c>
      <c r="DJ343" s="26">
        <v>0</v>
      </c>
      <c r="DK343" s="26">
        <v>0</v>
      </c>
      <c r="DL343" s="26">
        <v>0</v>
      </c>
      <c r="DM343" s="26">
        <v>0</v>
      </c>
      <c r="DN343" s="26">
        <v>0</v>
      </c>
      <c r="DO343" s="26">
        <v>0</v>
      </c>
      <c r="DP343" s="26">
        <v>0</v>
      </c>
      <c r="DQ343" s="26">
        <v>0</v>
      </c>
      <c r="DR343" s="26">
        <v>0</v>
      </c>
      <c r="DS343" s="26">
        <v>0</v>
      </c>
      <c r="DT343" s="26">
        <v>0</v>
      </c>
      <c r="DU343" s="26">
        <v>0</v>
      </c>
      <c r="DV343" s="26">
        <v>0</v>
      </c>
      <c r="DW343" s="26">
        <v>0</v>
      </c>
      <c r="DX343" s="26">
        <v>0</v>
      </c>
      <c r="DY343" s="26">
        <v>0</v>
      </c>
      <c r="DZ343" s="26">
        <v>0</v>
      </c>
      <c r="EA343" s="26">
        <v>0</v>
      </c>
      <c r="EB343" s="26">
        <v>0</v>
      </c>
      <c r="EC343" s="26">
        <v>0</v>
      </c>
      <c r="ED343" s="26">
        <v>0</v>
      </c>
      <c r="EE343" s="26">
        <v>0</v>
      </c>
      <c r="EF343" s="26">
        <v>4107.8476600000004</v>
      </c>
      <c r="EG343" s="26">
        <v>0</v>
      </c>
      <c r="EH343" s="26">
        <v>0</v>
      </c>
      <c r="EI343" s="26">
        <v>0</v>
      </c>
      <c r="EJ343" s="26">
        <v>0</v>
      </c>
      <c r="EK343" s="26">
        <v>0</v>
      </c>
      <c r="EL343" s="26">
        <v>0</v>
      </c>
      <c r="EM343" s="26">
        <v>0</v>
      </c>
      <c r="EN343" s="26">
        <v>0</v>
      </c>
      <c r="EO343" s="26">
        <v>122.52014800000001</v>
      </c>
      <c r="EP343" s="26">
        <v>83.453837800000002</v>
      </c>
      <c r="EQ343" s="26">
        <v>4230.3678099999997</v>
      </c>
      <c r="ER343" s="26">
        <v>21.669154500000001</v>
      </c>
      <c r="ES343" s="26">
        <v>278.30000000000007</v>
      </c>
      <c r="ET343" s="26">
        <v>0.96597701999999996</v>
      </c>
      <c r="EU343" s="26">
        <v>0</v>
      </c>
      <c r="EV343" s="26">
        <v>0</v>
      </c>
      <c r="EW343" s="26">
        <v>1</v>
      </c>
      <c r="EX343" s="26">
        <v>-130395.75600000001</v>
      </c>
      <c r="EY343" s="26">
        <v>-2572.3593799999999</v>
      </c>
      <c r="EZ343" s="26">
        <v>-10.882026400000001</v>
      </c>
      <c r="FA343" s="26">
        <v>-14.821801300000001</v>
      </c>
      <c r="FB343" s="26">
        <v>-0.29239448200000001</v>
      </c>
      <c r="FC343" s="26">
        <v>6.4187888700000001E-2</v>
      </c>
      <c r="FD343" s="26">
        <v>3.25375543</v>
      </c>
      <c r="FE343" s="26">
        <v>50.691111599999999</v>
      </c>
      <c r="FF343" s="26">
        <v>0</v>
      </c>
      <c r="FG343" s="26">
        <v>1.4526057399999999E-3</v>
      </c>
      <c r="FH343" s="26">
        <v>-385330252.77700001</v>
      </c>
      <c r="FI343" s="26">
        <v>0.46387655648879023</v>
      </c>
      <c r="FJ343" s="26">
        <v>0.78174130625393046</v>
      </c>
      <c r="FK343" s="26">
        <v>0</v>
      </c>
      <c r="FL343" s="26">
        <v>0</v>
      </c>
      <c r="FM343" s="26">
        <v>0</v>
      </c>
      <c r="FN343" s="26">
        <v>0</v>
      </c>
      <c r="FO343" s="26">
        <v>0</v>
      </c>
      <c r="FP343" s="26">
        <v>0</v>
      </c>
      <c r="FQ343" s="26">
        <v>0</v>
      </c>
      <c r="FR343" s="26">
        <v>0</v>
      </c>
      <c r="FS343" s="26">
        <v>0</v>
      </c>
      <c r="FT343" s="26">
        <v>0</v>
      </c>
      <c r="FU343" s="26">
        <v>0</v>
      </c>
      <c r="FV343" s="26">
        <v>0</v>
      </c>
      <c r="FW343" s="26">
        <v>0</v>
      </c>
      <c r="FX343" s="26">
        <v>0</v>
      </c>
      <c r="FY343" s="26">
        <v>0</v>
      </c>
      <c r="FZ343" s="26">
        <v>0</v>
      </c>
      <c r="GA343" s="26">
        <v>0</v>
      </c>
      <c r="GB343" s="26">
        <v>0</v>
      </c>
      <c r="GC343" s="26">
        <v>0</v>
      </c>
      <c r="GD343" s="26">
        <v>0</v>
      </c>
      <c r="GE343" s="26">
        <v>0</v>
      </c>
      <c r="GF343" s="26">
        <v>0</v>
      </c>
      <c r="GG343" s="26">
        <v>4.9606832341299106E-4</v>
      </c>
      <c r="GH343" s="26">
        <v>8.9019794045491693E-11</v>
      </c>
      <c r="GI343" s="26">
        <v>0</v>
      </c>
      <c r="GJ343" s="26">
        <v>0</v>
      </c>
      <c r="GK343" s="26">
        <v>0</v>
      </c>
      <c r="GL343" s="26">
        <v>0</v>
      </c>
      <c r="GM343" s="26">
        <v>2.3816490690531925E-4</v>
      </c>
      <c r="GN343" s="26">
        <v>0</v>
      </c>
      <c r="GO343" s="26">
        <v>0</v>
      </c>
      <c r="GP343" s="26">
        <v>0</v>
      </c>
      <c r="GQ343" s="26">
        <v>0</v>
      </c>
      <c r="GR343" s="26">
        <v>0</v>
      </c>
      <c r="GS343" s="26">
        <v>9.9655799963913064E-2</v>
      </c>
      <c r="GT343" s="26">
        <v>2.2210718927685753</v>
      </c>
      <c r="GU343" s="26">
        <v>0</v>
      </c>
      <c r="GV343" s="26">
        <v>3.7469093910863862E-4</v>
      </c>
      <c r="GW343" s="26">
        <v>6.1447449102690712E-4</v>
      </c>
      <c r="GX343" s="26">
        <v>0.46326207870609659</v>
      </c>
      <c r="GY343" s="26">
        <v>0</v>
      </c>
      <c r="GZ343" s="26">
        <v>0</v>
      </c>
      <c r="HA343" s="26">
        <v>2.9159565788832082E-3</v>
      </c>
      <c r="HB343" s="26">
        <v>0</v>
      </c>
      <c r="HC343" s="26">
        <v>0</v>
      </c>
      <c r="HD343" s="26">
        <v>0</v>
      </c>
      <c r="HE343" s="26">
        <v>0</v>
      </c>
      <c r="HF343" s="26">
        <v>0</v>
      </c>
      <c r="HG343" s="26">
        <v>0</v>
      </c>
      <c r="HH343" s="26">
        <v>0</v>
      </c>
      <c r="HI343" s="26">
        <v>0</v>
      </c>
      <c r="HJ343" s="26">
        <v>0</v>
      </c>
      <c r="HK343" s="26">
        <v>0</v>
      </c>
      <c r="HL343" s="26">
        <v>0</v>
      </c>
      <c r="HM343" s="26">
        <v>0</v>
      </c>
      <c r="HN343" s="26">
        <v>0</v>
      </c>
      <c r="HO343" s="26">
        <v>0</v>
      </c>
      <c r="HP343" s="26">
        <v>0</v>
      </c>
      <c r="HQ343" s="26">
        <v>0</v>
      </c>
      <c r="HR343" s="26">
        <v>0</v>
      </c>
      <c r="HS343" s="26">
        <v>0</v>
      </c>
      <c r="HT343" s="26">
        <v>2.8335171615570262E-3</v>
      </c>
    </row>
    <row r="344" spans="2:228" x14ac:dyDescent="0.2">
      <c r="B344" s="27" t="s">
        <v>3181</v>
      </c>
      <c r="C344" s="26">
        <v>364705.984</v>
      </c>
      <c r="D344" s="26">
        <v>-319.15541000000002</v>
      </c>
      <c r="E344" s="26">
        <v>50699.8416</v>
      </c>
      <c r="F344" s="26">
        <v>0</v>
      </c>
      <c r="G344" s="26">
        <v>0</v>
      </c>
      <c r="H344" s="26">
        <v>0</v>
      </c>
      <c r="I344" s="26">
        <v>0</v>
      </c>
      <c r="J344" s="26">
        <v>0</v>
      </c>
      <c r="K344" s="26">
        <v>0</v>
      </c>
      <c r="L344" s="26">
        <v>0</v>
      </c>
      <c r="M344" s="26">
        <v>0</v>
      </c>
      <c r="N344" s="26">
        <v>0</v>
      </c>
      <c r="O344" s="26">
        <v>0</v>
      </c>
      <c r="P344" s="26">
        <v>0</v>
      </c>
      <c r="Q344" s="26">
        <v>0</v>
      </c>
      <c r="R344" s="26">
        <v>0</v>
      </c>
      <c r="S344" s="26">
        <v>0</v>
      </c>
      <c r="T344" s="26">
        <v>0</v>
      </c>
      <c r="U344" s="26">
        <v>0</v>
      </c>
      <c r="V344" s="26">
        <v>0</v>
      </c>
      <c r="W344" s="26">
        <v>0</v>
      </c>
      <c r="X344" s="26">
        <v>0</v>
      </c>
      <c r="Y344" s="26">
        <v>0</v>
      </c>
      <c r="Z344" s="26">
        <v>0</v>
      </c>
      <c r="AA344" s="26">
        <v>0</v>
      </c>
      <c r="AB344" s="26">
        <v>30.413956800000001</v>
      </c>
      <c r="AC344" s="26">
        <v>3.1431767000000003E-5</v>
      </c>
      <c r="AD344" s="26">
        <v>0</v>
      </c>
      <c r="AE344" s="26">
        <v>0</v>
      </c>
      <c r="AF344" s="26">
        <v>7.1462960299999994</v>
      </c>
      <c r="AG344" s="26">
        <v>0</v>
      </c>
      <c r="AH344" s="26">
        <v>72.875005299999998</v>
      </c>
      <c r="AI344" s="26">
        <v>0</v>
      </c>
      <c r="AJ344" s="26">
        <v>0</v>
      </c>
      <c r="AK344" s="26">
        <v>0</v>
      </c>
      <c r="AL344" s="26">
        <v>0</v>
      </c>
      <c r="AM344" s="26">
        <v>0</v>
      </c>
      <c r="AN344" s="26">
        <v>11479.917600000001</v>
      </c>
      <c r="AO344" s="26">
        <v>223991.829</v>
      </c>
      <c r="AP344" s="26">
        <v>0</v>
      </c>
      <c r="AQ344" s="26">
        <v>62.056292200000001</v>
      </c>
      <c r="AR344" s="26">
        <v>61.962034299999999</v>
      </c>
      <c r="AS344" s="26">
        <v>73397.056899999996</v>
      </c>
      <c r="AT344" s="26">
        <v>0</v>
      </c>
      <c r="AU344" s="26">
        <v>0</v>
      </c>
      <c r="AV344" s="26">
        <v>672.51662999999996</v>
      </c>
      <c r="AW344" s="26">
        <v>0</v>
      </c>
      <c r="AX344" s="26">
        <v>0</v>
      </c>
      <c r="AY344" s="26">
        <v>0</v>
      </c>
      <c r="AZ344" s="26">
        <v>0</v>
      </c>
      <c r="BA344" s="26">
        <v>0</v>
      </c>
      <c r="BB344" s="26">
        <v>0</v>
      </c>
      <c r="BC344" s="26">
        <v>0</v>
      </c>
      <c r="BD344" s="26">
        <v>0</v>
      </c>
      <c r="BE344" s="26">
        <v>0</v>
      </c>
      <c r="BF344" s="26">
        <v>0</v>
      </c>
      <c r="BG344" s="26">
        <v>0</v>
      </c>
      <c r="BH344" s="26">
        <v>0</v>
      </c>
      <c r="BI344" s="26">
        <v>0</v>
      </c>
      <c r="BJ344" s="26">
        <v>0</v>
      </c>
      <c r="BK344" s="26">
        <v>0</v>
      </c>
      <c r="BL344" s="26">
        <v>0</v>
      </c>
      <c r="BM344" s="26">
        <v>0</v>
      </c>
      <c r="BN344" s="26">
        <v>0</v>
      </c>
      <c r="BO344" s="26">
        <v>12853.3878</v>
      </c>
      <c r="BP344" s="26">
        <v>360475.61599999998</v>
      </c>
      <c r="BQ344" s="26">
        <v>7682013.7999999998</v>
      </c>
      <c r="BR344" s="26">
        <v>149</v>
      </c>
      <c r="BS344" s="26">
        <v>0.96597701999999996</v>
      </c>
      <c r="BT344" s="26">
        <v>0.99999556899999997</v>
      </c>
      <c r="BU344" s="26">
        <v>4.4312183800000002E-6</v>
      </c>
      <c r="BV344" s="26">
        <v>0</v>
      </c>
      <c r="BW344" s="26">
        <v>-23974.587200000002</v>
      </c>
      <c r="BX344" s="26">
        <v>-854.85578699999996</v>
      </c>
      <c r="BY344" s="26">
        <v>-308.15466900000001</v>
      </c>
      <c r="BZ344" s="26">
        <v>2.4518928799999999</v>
      </c>
      <c r="CA344" s="26">
        <v>8.7426523800000003E-2</v>
      </c>
      <c r="CB344" s="26">
        <v>2.78863242E-5</v>
      </c>
      <c r="CC344" s="26">
        <v>7.8207707199999998E-4</v>
      </c>
      <c r="CD344" s="26">
        <v>28.0451832</v>
      </c>
      <c r="CE344" s="26">
        <v>0</v>
      </c>
      <c r="CF344" s="26">
        <v>0</v>
      </c>
      <c r="CG344" s="26">
        <v>0</v>
      </c>
      <c r="CH344" s="26">
        <v>0</v>
      </c>
      <c r="CI344" s="26">
        <v>0</v>
      </c>
      <c r="CJ344" s="26">
        <v>0</v>
      </c>
      <c r="CK344" s="26">
        <v>0</v>
      </c>
      <c r="CL344" s="26">
        <v>0</v>
      </c>
      <c r="CM344" s="26">
        <v>0</v>
      </c>
      <c r="CN344" s="26">
        <v>0</v>
      </c>
      <c r="CO344" s="26">
        <v>0</v>
      </c>
      <c r="CP344" s="26">
        <v>0</v>
      </c>
      <c r="CQ344" s="26">
        <v>0</v>
      </c>
      <c r="CR344" s="26">
        <v>0</v>
      </c>
      <c r="CS344" s="26">
        <v>0</v>
      </c>
      <c r="CT344" s="26">
        <v>0</v>
      </c>
      <c r="CU344" s="26">
        <v>0</v>
      </c>
      <c r="CV344" s="26">
        <v>0</v>
      </c>
      <c r="CW344" s="26">
        <v>0</v>
      </c>
      <c r="CX344" s="26">
        <v>0</v>
      </c>
      <c r="CY344" s="26">
        <v>0</v>
      </c>
      <c r="CZ344" s="26">
        <v>0</v>
      </c>
      <c r="DA344" s="26">
        <v>0</v>
      </c>
      <c r="DB344" s="26">
        <v>0</v>
      </c>
      <c r="DC344" s="26">
        <v>0</v>
      </c>
      <c r="DD344" s="26">
        <v>0</v>
      </c>
      <c r="DE344" s="26">
        <v>0</v>
      </c>
      <c r="DF344" s="26">
        <v>0</v>
      </c>
      <c r="DG344" s="26">
        <v>0</v>
      </c>
      <c r="DH344" s="26">
        <v>0</v>
      </c>
      <c r="DI344" s="26">
        <v>0</v>
      </c>
      <c r="DJ344" s="26">
        <v>0</v>
      </c>
      <c r="DK344" s="26">
        <v>0</v>
      </c>
      <c r="DL344" s="26">
        <v>0</v>
      </c>
      <c r="DM344" s="26">
        <v>0</v>
      </c>
      <c r="DN344" s="26">
        <v>0</v>
      </c>
      <c r="DO344" s="26">
        <v>0</v>
      </c>
      <c r="DP344" s="26">
        <v>0</v>
      </c>
      <c r="DQ344" s="26">
        <v>0</v>
      </c>
      <c r="DR344" s="26">
        <v>0</v>
      </c>
      <c r="DS344" s="26">
        <v>0</v>
      </c>
      <c r="DT344" s="26">
        <v>0</v>
      </c>
      <c r="DU344" s="26">
        <v>0</v>
      </c>
      <c r="DV344" s="26">
        <v>0</v>
      </c>
      <c r="DW344" s="26">
        <v>0</v>
      </c>
      <c r="DX344" s="26">
        <v>0</v>
      </c>
      <c r="DY344" s="26">
        <v>0</v>
      </c>
      <c r="DZ344" s="26">
        <v>0</v>
      </c>
      <c r="EA344" s="26">
        <v>0</v>
      </c>
      <c r="EB344" s="26">
        <v>0</v>
      </c>
      <c r="EC344" s="26">
        <v>0</v>
      </c>
      <c r="ED344" s="26">
        <v>0</v>
      </c>
      <c r="EE344" s="26">
        <v>0</v>
      </c>
      <c r="EF344" s="26">
        <v>4107.8476600000004</v>
      </c>
      <c r="EG344" s="26">
        <v>0</v>
      </c>
      <c r="EH344" s="26">
        <v>0</v>
      </c>
      <c r="EI344" s="26">
        <v>0</v>
      </c>
      <c r="EJ344" s="26">
        <v>0</v>
      </c>
      <c r="EK344" s="26">
        <v>0</v>
      </c>
      <c r="EL344" s="26">
        <v>0</v>
      </c>
      <c r="EM344" s="26">
        <v>0</v>
      </c>
      <c r="EN344" s="26">
        <v>0</v>
      </c>
      <c r="EO344" s="26">
        <v>122.52014800000001</v>
      </c>
      <c r="EP344" s="26">
        <v>83.453837800000002</v>
      </c>
      <c r="EQ344" s="26">
        <v>4230.3678099999997</v>
      </c>
      <c r="ER344" s="26">
        <v>21.669154500000001</v>
      </c>
      <c r="ES344" s="26">
        <v>149</v>
      </c>
      <c r="ET344" s="26">
        <v>0.96597701999999996</v>
      </c>
      <c r="EU344" s="26">
        <v>0</v>
      </c>
      <c r="EV344" s="26">
        <v>0</v>
      </c>
      <c r="EW344" s="26">
        <v>1</v>
      </c>
      <c r="EX344" s="26">
        <v>-131818.28</v>
      </c>
      <c r="EY344" s="26">
        <v>-2600.4219699999999</v>
      </c>
      <c r="EZ344" s="26">
        <v>-11.0007415</v>
      </c>
      <c r="FA344" s="26">
        <v>-17.7596405</v>
      </c>
      <c r="FB344" s="26">
        <v>-0.35035018899999998</v>
      </c>
      <c r="FC344" s="26">
        <v>6.4187888700000001E-2</v>
      </c>
      <c r="FD344" s="26">
        <v>3.25375543</v>
      </c>
      <c r="FE344" s="26">
        <v>50.691111599999999</v>
      </c>
      <c r="FF344" s="26">
        <v>0</v>
      </c>
      <c r="FG344" s="26">
        <v>1.4526057399999999E-3</v>
      </c>
      <c r="FH344" s="26">
        <v>-385330284.17800003</v>
      </c>
      <c r="FI344" s="26">
        <v>0.46387655648879023</v>
      </c>
      <c r="FJ344" s="26">
        <v>0.78174062292059165</v>
      </c>
      <c r="FK344" s="26">
        <v>0</v>
      </c>
      <c r="FL344" s="26">
        <v>0</v>
      </c>
      <c r="FM344" s="26">
        <v>0</v>
      </c>
      <c r="FN344" s="26">
        <v>0</v>
      </c>
      <c r="FO344" s="26">
        <v>0</v>
      </c>
      <c r="FP344" s="26">
        <v>0</v>
      </c>
      <c r="FQ344" s="26">
        <v>0</v>
      </c>
      <c r="FR344" s="26">
        <v>0</v>
      </c>
      <c r="FS344" s="26">
        <v>0</v>
      </c>
      <c r="FT344" s="26">
        <v>0</v>
      </c>
      <c r="FU344" s="26">
        <v>0</v>
      </c>
      <c r="FV344" s="26">
        <v>0</v>
      </c>
      <c r="FW344" s="26">
        <v>0</v>
      </c>
      <c r="FX344" s="26">
        <v>0</v>
      </c>
      <c r="FY344" s="26">
        <v>0</v>
      </c>
      <c r="FZ344" s="26">
        <v>0</v>
      </c>
      <c r="GA344" s="26">
        <v>0</v>
      </c>
      <c r="GB344" s="26">
        <v>0</v>
      </c>
      <c r="GC344" s="26">
        <v>0</v>
      </c>
      <c r="GD344" s="26">
        <v>0</v>
      </c>
      <c r="GE344" s="26">
        <v>0</v>
      </c>
      <c r="GF344" s="26">
        <v>0</v>
      </c>
      <c r="GG344" s="26">
        <v>4.960683067463242E-4</v>
      </c>
      <c r="GH344" s="26">
        <v>8.8876991544349269E-11</v>
      </c>
      <c r="GI344" s="26">
        <v>0</v>
      </c>
      <c r="GJ344" s="26">
        <v>0</v>
      </c>
      <c r="GK344" s="26">
        <v>0</v>
      </c>
      <c r="GL344" s="26">
        <v>0</v>
      </c>
      <c r="GM344" s="26">
        <v>2.3812178579386318E-4</v>
      </c>
      <c r="GN344" s="26">
        <v>0</v>
      </c>
      <c r="GO344" s="26">
        <v>0</v>
      </c>
      <c r="GP344" s="26">
        <v>0</v>
      </c>
      <c r="GQ344" s="26">
        <v>0</v>
      </c>
      <c r="GR344" s="26">
        <v>0</v>
      </c>
      <c r="GS344" s="26">
        <v>9.9655799963913064E-2</v>
      </c>
      <c r="GT344" s="26">
        <v>2.2210718899907973</v>
      </c>
      <c r="GU344" s="26">
        <v>0</v>
      </c>
      <c r="GV344" s="26">
        <v>3.7469091966419398E-4</v>
      </c>
      <c r="GW344" s="26">
        <v>6.1447449102690712E-4</v>
      </c>
      <c r="GX344" s="26">
        <v>0.46326207592831881</v>
      </c>
      <c r="GY344" s="26">
        <v>0</v>
      </c>
      <c r="GZ344" s="26">
        <v>0</v>
      </c>
      <c r="HA344" s="26">
        <v>2.9159564122165403E-3</v>
      </c>
      <c r="HB344" s="26">
        <v>0</v>
      </c>
      <c r="HC344" s="26">
        <v>0</v>
      </c>
      <c r="HD344" s="26">
        <v>0</v>
      </c>
      <c r="HE344" s="26">
        <v>0</v>
      </c>
      <c r="HF344" s="26">
        <v>0</v>
      </c>
      <c r="HG344" s="26">
        <v>0</v>
      </c>
      <c r="HH344" s="26">
        <v>0</v>
      </c>
      <c r="HI344" s="26">
        <v>0</v>
      </c>
      <c r="HJ344" s="26">
        <v>0</v>
      </c>
      <c r="HK344" s="26">
        <v>0</v>
      </c>
      <c r="HL344" s="26">
        <v>0</v>
      </c>
      <c r="HM344" s="26">
        <v>0</v>
      </c>
      <c r="HN344" s="26">
        <v>0</v>
      </c>
      <c r="HO344" s="26">
        <v>0</v>
      </c>
      <c r="HP344" s="26">
        <v>0</v>
      </c>
      <c r="HQ344" s="26">
        <v>0</v>
      </c>
      <c r="HR344" s="26">
        <v>0</v>
      </c>
      <c r="HS344" s="26">
        <v>0</v>
      </c>
      <c r="HT344" s="26">
        <v>2.8335171615570262E-3</v>
      </c>
    </row>
    <row r="345" spans="2:228" x14ac:dyDescent="0.2">
      <c r="B345" s="27" t="s">
        <v>1468</v>
      </c>
      <c r="C345" s="26">
        <v>5724.06574</v>
      </c>
      <c r="D345" s="26">
        <v>-14.851019900000001</v>
      </c>
      <c r="E345" s="26">
        <v>0</v>
      </c>
      <c r="F345" s="26">
        <v>0</v>
      </c>
      <c r="G345" s="26">
        <v>0</v>
      </c>
      <c r="H345" s="26">
        <v>0</v>
      </c>
      <c r="I345" s="26">
        <v>0</v>
      </c>
      <c r="J345" s="26">
        <v>0</v>
      </c>
      <c r="K345" s="26">
        <v>0</v>
      </c>
      <c r="L345" s="26">
        <v>0</v>
      </c>
      <c r="M345" s="26">
        <v>0</v>
      </c>
      <c r="N345" s="26">
        <v>0</v>
      </c>
      <c r="O345" s="26">
        <v>0</v>
      </c>
      <c r="P345" s="26">
        <v>0</v>
      </c>
      <c r="Q345" s="26">
        <v>0</v>
      </c>
      <c r="R345" s="26">
        <v>0</v>
      </c>
      <c r="S345" s="26">
        <v>0</v>
      </c>
      <c r="T345" s="26">
        <v>0</v>
      </c>
      <c r="U345" s="26">
        <v>0</v>
      </c>
      <c r="V345" s="26">
        <v>0</v>
      </c>
      <c r="W345" s="26">
        <v>0</v>
      </c>
      <c r="X345" s="26">
        <v>0</v>
      </c>
      <c r="Y345" s="26">
        <v>0</v>
      </c>
      <c r="Z345" s="26">
        <v>0</v>
      </c>
      <c r="AA345" s="26">
        <v>0</v>
      </c>
      <c r="AB345" s="26">
        <v>0</v>
      </c>
      <c r="AC345" s="26">
        <v>0</v>
      </c>
      <c r="AD345" s="26">
        <v>0</v>
      </c>
      <c r="AE345" s="26">
        <v>0</v>
      </c>
      <c r="AF345" s="26">
        <v>0</v>
      </c>
      <c r="AG345" s="26">
        <v>0</v>
      </c>
      <c r="AH345" s="26">
        <v>0</v>
      </c>
      <c r="AI345" s="26">
        <v>0</v>
      </c>
      <c r="AJ345" s="26">
        <v>0</v>
      </c>
      <c r="AK345" s="26">
        <v>0</v>
      </c>
      <c r="AL345" s="26">
        <v>0</v>
      </c>
      <c r="AM345" s="26">
        <v>0</v>
      </c>
      <c r="AN345" s="26">
        <v>0</v>
      </c>
      <c r="AO345" s="26">
        <v>0</v>
      </c>
      <c r="AP345" s="26">
        <v>0</v>
      </c>
      <c r="AQ345" s="26">
        <v>0</v>
      </c>
      <c r="AR345" s="26">
        <v>0</v>
      </c>
      <c r="AS345" s="26">
        <v>0</v>
      </c>
      <c r="AT345" s="26">
        <v>0</v>
      </c>
      <c r="AU345" s="26">
        <v>0</v>
      </c>
      <c r="AV345" s="26">
        <v>0</v>
      </c>
      <c r="AW345" s="26">
        <v>0</v>
      </c>
      <c r="AX345" s="26">
        <v>0</v>
      </c>
      <c r="AY345" s="26">
        <v>0</v>
      </c>
      <c r="AZ345" s="26">
        <v>0</v>
      </c>
      <c r="BA345" s="26">
        <v>0</v>
      </c>
      <c r="BB345" s="26">
        <v>0</v>
      </c>
      <c r="BC345" s="26">
        <v>0</v>
      </c>
      <c r="BD345" s="26">
        <v>0</v>
      </c>
      <c r="BE345" s="26">
        <v>0</v>
      </c>
      <c r="BF345" s="26">
        <v>0</v>
      </c>
      <c r="BG345" s="26">
        <v>0</v>
      </c>
      <c r="BH345" s="26">
        <v>0</v>
      </c>
      <c r="BI345" s="26">
        <v>0</v>
      </c>
      <c r="BJ345" s="26">
        <v>0</v>
      </c>
      <c r="BK345" s="26">
        <v>0</v>
      </c>
      <c r="BL345" s="26">
        <v>0</v>
      </c>
      <c r="BM345" s="26">
        <v>0</v>
      </c>
      <c r="BN345" s="26">
        <v>0</v>
      </c>
      <c r="BO345" s="26">
        <v>0</v>
      </c>
      <c r="BP345" s="26">
        <v>0</v>
      </c>
      <c r="BQ345" s="26">
        <v>0</v>
      </c>
      <c r="BR345" s="26">
        <v>0</v>
      </c>
      <c r="BS345" s="26">
        <v>0.96597701999999996</v>
      </c>
      <c r="BT345" s="26">
        <v>0</v>
      </c>
      <c r="BU345" s="26">
        <v>0</v>
      </c>
      <c r="BV345" s="26">
        <v>0</v>
      </c>
      <c r="BW345" s="26">
        <v>0</v>
      </c>
      <c r="BX345" s="26">
        <v>0</v>
      </c>
      <c r="BY345" s="26">
        <v>0</v>
      </c>
      <c r="BZ345" s="26">
        <v>0</v>
      </c>
      <c r="CA345" s="26">
        <v>0</v>
      </c>
      <c r="CB345" s="26">
        <v>0</v>
      </c>
      <c r="CC345" s="26">
        <v>0</v>
      </c>
      <c r="CD345" s="26">
        <v>0</v>
      </c>
      <c r="CE345" s="26">
        <v>0</v>
      </c>
      <c r="CF345" s="26">
        <v>0</v>
      </c>
      <c r="CG345" s="26">
        <v>0</v>
      </c>
      <c r="CH345" s="26">
        <v>0</v>
      </c>
      <c r="CI345" s="26">
        <v>0</v>
      </c>
      <c r="CJ345" s="26">
        <v>0</v>
      </c>
      <c r="CK345" s="26">
        <v>0</v>
      </c>
      <c r="CL345" s="26">
        <v>0</v>
      </c>
      <c r="CM345" s="26">
        <v>0</v>
      </c>
      <c r="CN345" s="26">
        <v>0</v>
      </c>
      <c r="CO345" s="26">
        <v>0</v>
      </c>
      <c r="CP345" s="26">
        <v>0</v>
      </c>
      <c r="CQ345" s="26">
        <v>0</v>
      </c>
      <c r="CR345" s="26">
        <v>0</v>
      </c>
      <c r="CS345" s="26">
        <v>0</v>
      </c>
      <c r="CT345" s="26">
        <v>0</v>
      </c>
      <c r="CU345" s="26">
        <v>0</v>
      </c>
      <c r="CV345" s="26">
        <v>0</v>
      </c>
      <c r="CW345" s="26">
        <v>0</v>
      </c>
      <c r="CX345" s="26">
        <v>0</v>
      </c>
      <c r="CY345" s="26">
        <v>0</v>
      </c>
      <c r="CZ345" s="26">
        <v>0</v>
      </c>
      <c r="DA345" s="26">
        <v>0</v>
      </c>
      <c r="DB345" s="26">
        <v>0</v>
      </c>
      <c r="DC345" s="26">
        <v>0</v>
      </c>
      <c r="DD345" s="26">
        <v>0</v>
      </c>
      <c r="DE345" s="26">
        <v>0</v>
      </c>
      <c r="DF345" s="26">
        <v>0</v>
      </c>
      <c r="DG345" s="26">
        <v>0</v>
      </c>
      <c r="DH345" s="26">
        <v>0</v>
      </c>
      <c r="DI345" s="26">
        <v>0</v>
      </c>
      <c r="DJ345" s="26">
        <v>0</v>
      </c>
      <c r="DK345" s="26">
        <v>0</v>
      </c>
      <c r="DL345" s="26">
        <v>0</v>
      </c>
      <c r="DM345" s="26">
        <v>0</v>
      </c>
      <c r="DN345" s="26">
        <v>0</v>
      </c>
      <c r="DO345" s="26">
        <v>0</v>
      </c>
      <c r="DP345" s="26">
        <v>0</v>
      </c>
      <c r="DQ345" s="26">
        <v>0</v>
      </c>
      <c r="DR345" s="26">
        <v>0</v>
      </c>
      <c r="DS345" s="26">
        <v>0</v>
      </c>
      <c r="DT345" s="26">
        <v>0</v>
      </c>
      <c r="DU345" s="26">
        <v>0</v>
      </c>
      <c r="DV345" s="26">
        <v>0</v>
      </c>
      <c r="DW345" s="26">
        <v>0</v>
      </c>
      <c r="DX345" s="26">
        <v>0</v>
      </c>
      <c r="DY345" s="26">
        <v>0</v>
      </c>
      <c r="DZ345" s="26">
        <v>0</v>
      </c>
      <c r="EA345" s="26">
        <v>0</v>
      </c>
      <c r="EB345" s="26">
        <v>0</v>
      </c>
      <c r="EC345" s="26">
        <v>0</v>
      </c>
      <c r="ED345" s="26">
        <v>0</v>
      </c>
      <c r="EE345" s="26">
        <v>0</v>
      </c>
      <c r="EF345" s="26">
        <v>4107.8476600000004</v>
      </c>
      <c r="EG345" s="26">
        <v>0</v>
      </c>
      <c r="EH345" s="26">
        <v>0</v>
      </c>
      <c r="EI345" s="26">
        <v>0</v>
      </c>
      <c r="EJ345" s="26">
        <v>0</v>
      </c>
      <c r="EK345" s="26">
        <v>0</v>
      </c>
      <c r="EL345" s="26">
        <v>0</v>
      </c>
      <c r="EM345" s="26">
        <v>178.89025899999999</v>
      </c>
      <c r="EN345" s="26">
        <v>1314.8076799999999</v>
      </c>
      <c r="EO345" s="26">
        <v>122.52014800000001</v>
      </c>
      <c r="EP345" s="26">
        <v>95.525898100000006</v>
      </c>
      <c r="EQ345" s="26">
        <v>5724.06574</v>
      </c>
      <c r="ER345" s="26">
        <v>30.546050600000001</v>
      </c>
      <c r="ES345" s="26">
        <v>140.26315099999999</v>
      </c>
      <c r="ET345" s="26">
        <v>0.96597701999999996</v>
      </c>
      <c r="EU345" s="26">
        <v>0</v>
      </c>
      <c r="EV345" s="26">
        <v>0</v>
      </c>
      <c r="EW345" s="26">
        <v>1</v>
      </c>
      <c r="EX345" s="26">
        <v>-155465.90100000001</v>
      </c>
      <c r="EY345" s="26">
        <v>-2594.4879900000001</v>
      </c>
      <c r="EZ345" s="26">
        <v>-14.851019900000001</v>
      </c>
      <c r="FA345" s="26">
        <v>-24.698195299999998</v>
      </c>
      <c r="FB345" s="26">
        <v>-0.412175085</v>
      </c>
      <c r="FC345" s="26">
        <v>5.2121248100000003E-2</v>
      </c>
      <c r="FD345" s="26">
        <v>3.1231891699999998</v>
      </c>
      <c r="FE345" s="26">
        <v>59.921611400000003</v>
      </c>
      <c r="FF345" s="26">
        <v>0</v>
      </c>
      <c r="FG345" s="26">
        <v>5.7026105200000003E-2</v>
      </c>
      <c r="FH345" s="26">
        <v>-17431453.376000002</v>
      </c>
      <c r="FI345" s="26">
        <v>0</v>
      </c>
      <c r="FJ345" s="26">
        <v>0</v>
      </c>
      <c r="FK345" s="26">
        <v>0</v>
      </c>
      <c r="FL345" s="26">
        <v>0</v>
      </c>
      <c r="FM345" s="26">
        <v>0</v>
      </c>
      <c r="FN345" s="26">
        <v>0</v>
      </c>
      <c r="FO345" s="26">
        <v>0</v>
      </c>
      <c r="FP345" s="26">
        <v>0</v>
      </c>
      <c r="FQ345" s="26">
        <v>0</v>
      </c>
      <c r="FR345" s="26">
        <v>0</v>
      </c>
      <c r="FS345" s="26">
        <v>0</v>
      </c>
      <c r="FT345" s="26">
        <v>0</v>
      </c>
      <c r="FU345" s="26">
        <v>0</v>
      </c>
      <c r="FV345" s="26">
        <v>0</v>
      </c>
      <c r="FW345" s="26">
        <v>0</v>
      </c>
      <c r="FX345" s="26">
        <v>0</v>
      </c>
      <c r="FY345" s="26">
        <v>0</v>
      </c>
      <c r="FZ345" s="26">
        <v>0</v>
      </c>
      <c r="GA345" s="26">
        <v>0</v>
      </c>
      <c r="GB345" s="26">
        <v>0</v>
      </c>
      <c r="GC345" s="26">
        <v>0</v>
      </c>
      <c r="GD345" s="26">
        <v>0</v>
      </c>
      <c r="GE345" s="26">
        <v>0</v>
      </c>
      <c r="GF345" s="26">
        <v>0</v>
      </c>
      <c r="GG345" s="26">
        <v>0</v>
      </c>
      <c r="GH345" s="26">
        <v>0</v>
      </c>
      <c r="GI345" s="26">
        <v>0</v>
      </c>
      <c r="GJ345" s="26">
        <v>0</v>
      </c>
      <c r="GK345" s="26">
        <v>0</v>
      </c>
      <c r="GL345" s="26">
        <v>0</v>
      </c>
      <c r="GM345" s="26">
        <v>0</v>
      </c>
      <c r="GN345" s="26">
        <v>0</v>
      </c>
      <c r="GO345" s="26">
        <v>0</v>
      </c>
      <c r="GP345" s="26">
        <v>0</v>
      </c>
      <c r="GQ345" s="26">
        <v>0</v>
      </c>
      <c r="GR345" s="26">
        <v>0</v>
      </c>
      <c r="GS345" s="26">
        <v>0</v>
      </c>
      <c r="GT345" s="26">
        <v>0</v>
      </c>
      <c r="GU345" s="26">
        <v>0</v>
      </c>
      <c r="GV345" s="26">
        <v>0</v>
      </c>
      <c r="GW345" s="26">
        <v>0</v>
      </c>
      <c r="GX345" s="26">
        <v>0</v>
      </c>
      <c r="GY345" s="26">
        <v>0</v>
      </c>
      <c r="GZ345" s="26">
        <v>0</v>
      </c>
      <c r="HA345" s="26">
        <v>0</v>
      </c>
      <c r="HB345" s="26">
        <v>0</v>
      </c>
      <c r="HC345" s="26">
        <v>0</v>
      </c>
      <c r="HD345" s="26">
        <v>0</v>
      </c>
      <c r="HE345" s="26">
        <v>0</v>
      </c>
      <c r="HF345" s="26">
        <v>0</v>
      </c>
      <c r="HG345" s="26">
        <v>0</v>
      </c>
      <c r="HH345" s="26">
        <v>0</v>
      </c>
      <c r="HI345" s="26">
        <v>0</v>
      </c>
      <c r="HJ345" s="26">
        <v>0</v>
      </c>
      <c r="HK345" s="26">
        <v>0</v>
      </c>
      <c r="HL345" s="26">
        <v>0</v>
      </c>
      <c r="HM345" s="26">
        <v>0</v>
      </c>
      <c r="HN345" s="26">
        <v>0</v>
      </c>
      <c r="HO345" s="26">
        <v>0</v>
      </c>
      <c r="HP345" s="26">
        <v>0</v>
      </c>
      <c r="HQ345" s="26">
        <v>0</v>
      </c>
      <c r="HR345" s="26">
        <v>0</v>
      </c>
      <c r="HS345" s="26">
        <v>0</v>
      </c>
      <c r="HT345" s="26">
        <v>2.8335171615570262E-3</v>
      </c>
    </row>
    <row r="346" spans="2:228" x14ac:dyDescent="0.2">
      <c r="B346" s="27" t="s">
        <v>1439</v>
      </c>
      <c r="C346" s="26">
        <v>363454.174</v>
      </c>
      <c r="D346" s="26">
        <v>-320.16415799999999</v>
      </c>
      <c r="E346" s="26">
        <v>54451.631999999998</v>
      </c>
      <c r="F346" s="26">
        <v>0</v>
      </c>
      <c r="G346" s="26">
        <v>0</v>
      </c>
      <c r="H346" s="26">
        <v>0</v>
      </c>
      <c r="I346" s="26">
        <v>0</v>
      </c>
      <c r="J346" s="26">
        <v>0</v>
      </c>
      <c r="K346" s="26">
        <v>0</v>
      </c>
      <c r="L346" s="26">
        <v>0</v>
      </c>
      <c r="M346" s="26">
        <v>0</v>
      </c>
      <c r="N346" s="26">
        <v>0</v>
      </c>
      <c r="O346" s="26">
        <v>0</v>
      </c>
      <c r="P346" s="26">
        <v>0</v>
      </c>
      <c r="Q346" s="26">
        <v>0</v>
      </c>
      <c r="R346" s="26">
        <v>0</v>
      </c>
      <c r="S346" s="26">
        <v>0</v>
      </c>
      <c r="T346" s="26">
        <v>0</v>
      </c>
      <c r="U346" s="26">
        <v>0</v>
      </c>
      <c r="V346" s="26">
        <v>0</v>
      </c>
      <c r="W346" s="26">
        <v>0</v>
      </c>
      <c r="X346" s="26">
        <v>0</v>
      </c>
      <c r="Y346" s="26">
        <v>0</v>
      </c>
      <c r="Z346" s="26">
        <v>0</v>
      </c>
      <c r="AA346" s="26">
        <v>0</v>
      </c>
      <c r="AB346" s="26">
        <v>30.413956800000001</v>
      </c>
      <c r="AC346" s="26">
        <v>3.1431767000000003E-5</v>
      </c>
      <c r="AD346" s="26">
        <v>0</v>
      </c>
      <c r="AE346" s="26">
        <v>0</v>
      </c>
      <c r="AF346" s="26">
        <v>7.1462960299999994</v>
      </c>
      <c r="AG346" s="26">
        <v>0</v>
      </c>
      <c r="AH346" s="26">
        <v>72.875005299999998</v>
      </c>
      <c r="AI346" s="26">
        <v>0</v>
      </c>
      <c r="AJ346" s="26">
        <v>0</v>
      </c>
      <c r="AK346" s="26">
        <v>0</v>
      </c>
      <c r="AL346" s="26">
        <v>0</v>
      </c>
      <c r="AM346" s="26">
        <v>0</v>
      </c>
      <c r="AN346" s="26">
        <v>11325.401</v>
      </c>
      <c r="AO346" s="26">
        <v>223991.829</v>
      </c>
      <c r="AP346" s="26">
        <v>0</v>
      </c>
      <c r="AQ346" s="26">
        <v>62.056292200000001</v>
      </c>
      <c r="AR346" s="26">
        <v>61.962034299999999</v>
      </c>
      <c r="AS346" s="26">
        <v>73397.056899999996</v>
      </c>
      <c r="AT346" s="26">
        <v>0</v>
      </c>
      <c r="AU346" s="26">
        <v>0</v>
      </c>
      <c r="AV346" s="26">
        <v>53.801330399999998</v>
      </c>
      <c r="AW346" s="26">
        <v>0</v>
      </c>
      <c r="AX346" s="26">
        <v>0</v>
      </c>
      <c r="AY346" s="26">
        <v>0</v>
      </c>
      <c r="AZ346" s="26">
        <v>0</v>
      </c>
      <c r="BA346" s="26">
        <v>0</v>
      </c>
      <c r="BB346" s="26">
        <v>0</v>
      </c>
      <c r="BC346" s="26">
        <v>0</v>
      </c>
      <c r="BD346" s="26">
        <v>0</v>
      </c>
      <c r="BE346" s="26">
        <v>0</v>
      </c>
      <c r="BF346" s="26">
        <v>0</v>
      </c>
      <c r="BG346" s="26">
        <v>0</v>
      </c>
      <c r="BH346" s="26">
        <v>0</v>
      </c>
      <c r="BI346" s="26">
        <v>0</v>
      </c>
      <c r="BJ346" s="26">
        <v>0</v>
      </c>
      <c r="BK346" s="26">
        <v>0</v>
      </c>
      <c r="BL346" s="26">
        <v>0</v>
      </c>
      <c r="BM346" s="26">
        <v>0</v>
      </c>
      <c r="BN346" s="26">
        <v>0</v>
      </c>
      <c r="BO346" s="26">
        <v>13047.157300000001</v>
      </c>
      <c r="BP346" s="26">
        <v>363454.174</v>
      </c>
      <c r="BQ346" s="26">
        <v>7398883.1699999999</v>
      </c>
      <c r="BR346" s="26">
        <v>145.31992700000001</v>
      </c>
      <c r="BS346" s="26">
        <v>1</v>
      </c>
      <c r="BT346" s="26">
        <v>0.99997615100000004</v>
      </c>
      <c r="BU346" s="26">
        <v>2.38489132E-5</v>
      </c>
      <c r="BV346" s="26">
        <v>0</v>
      </c>
      <c r="BW346" s="26">
        <v>-24538.997100000001</v>
      </c>
      <c r="BX346" s="26">
        <v>-880.89277400000003</v>
      </c>
      <c r="BY346" s="26">
        <v>-320.16415799999999</v>
      </c>
      <c r="BZ346" s="26">
        <v>2.1088349000000002</v>
      </c>
      <c r="CA346" s="26">
        <v>7.5702255400000001E-2</v>
      </c>
      <c r="CB346" s="26">
        <v>2.9389924700000002E-5</v>
      </c>
      <c r="CC346" s="26">
        <v>8.1871403599999997E-4</v>
      </c>
      <c r="CD346" s="26">
        <v>27.856962599999999</v>
      </c>
      <c r="CE346" s="26">
        <v>0</v>
      </c>
      <c r="CF346" s="26">
        <v>0</v>
      </c>
      <c r="CG346" s="26">
        <v>0</v>
      </c>
      <c r="CH346" s="26">
        <v>0</v>
      </c>
      <c r="CI346" s="26">
        <v>0</v>
      </c>
      <c r="CJ346" s="26">
        <v>0</v>
      </c>
      <c r="CK346" s="26">
        <v>0</v>
      </c>
      <c r="CL346" s="26">
        <v>0</v>
      </c>
      <c r="CM346" s="26">
        <v>0</v>
      </c>
      <c r="CN346" s="26">
        <v>0</v>
      </c>
      <c r="CO346" s="26">
        <v>0</v>
      </c>
      <c r="CP346" s="26">
        <v>0</v>
      </c>
      <c r="CQ346" s="26">
        <v>0</v>
      </c>
      <c r="CR346" s="26">
        <v>0</v>
      </c>
      <c r="CS346" s="26">
        <v>0</v>
      </c>
      <c r="CT346" s="26">
        <v>0</v>
      </c>
      <c r="CU346" s="26">
        <v>0</v>
      </c>
      <c r="CV346" s="26">
        <v>0</v>
      </c>
      <c r="CW346" s="26">
        <v>0</v>
      </c>
      <c r="CX346" s="26">
        <v>0</v>
      </c>
      <c r="CY346" s="26">
        <v>0</v>
      </c>
      <c r="CZ346" s="26">
        <v>0</v>
      </c>
      <c r="DA346" s="26">
        <v>0</v>
      </c>
      <c r="DB346" s="26">
        <v>0</v>
      </c>
      <c r="DC346" s="26">
        <v>0</v>
      </c>
      <c r="DD346" s="26">
        <v>0</v>
      </c>
      <c r="DE346" s="26">
        <v>0</v>
      </c>
      <c r="DF346" s="26">
        <v>0</v>
      </c>
      <c r="DG346" s="26">
        <v>0</v>
      </c>
      <c r="DH346" s="26">
        <v>0</v>
      </c>
      <c r="DI346" s="26">
        <v>0</v>
      </c>
      <c r="DJ346" s="26">
        <v>0</v>
      </c>
      <c r="DK346" s="26">
        <v>0</v>
      </c>
      <c r="DL346" s="26">
        <v>0</v>
      </c>
      <c r="DM346" s="26">
        <v>0</v>
      </c>
      <c r="DN346" s="26">
        <v>0</v>
      </c>
      <c r="DO346" s="26">
        <v>0</v>
      </c>
      <c r="DP346" s="26">
        <v>0</v>
      </c>
      <c r="DQ346" s="26">
        <v>0</v>
      </c>
      <c r="DR346" s="26">
        <v>0</v>
      </c>
      <c r="DS346" s="26">
        <v>0</v>
      </c>
      <c r="DT346" s="26">
        <v>0</v>
      </c>
      <c r="DU346" s="26">
        <v>0</v>
      </c>
      <c r="DV346" s="26">
        <v>0</v>
      </c>
      <c r="DW346" s="26">
        <v>0</v>
      </c>
      <c r="DX346" s="26">
        <v>0</v>
      </c>
      <c r="DY346" s="26">
        <v>0</v>
      </c>
      <c r="DZ346" s="26">
        <v>0</v>
      </c>
      <c r="EA346" s="26">
        <v>0</v>
      </c>
      <c r="EB346" s="26">
        <v>0</v>
      </c>
      <c r="EC346" s="26">
        <v>0</v>
      </c>
      <c r="ED346" s="26">
        <v>0</v>
      </c>
      <c r="EE346" s="26">
        <v>0</v>
      </c>
      <c r="EF346" s="26">
        <v>0</v>
      </c>
      <c r="EG346" s="26">
        <v>0</v>
      </c>
      <c r="EH346" s="26">
        <v>0</v>
      </c>
      <c r="EI346" s="26">
        <v>0</v>
      </c>
      <c r="EJ346" s="26">
        <v>0</v>
      </c>
      <c r="EK346" s="26">
        <v>0</v>
      </c>
      <c r="EL346" s="26">
        <v>0</v>
      </c>
      <c r="EM346" s="26">
        <v>0</v>
      </c>
      <c r="EN346" s="26">
        <v>0</v>
      </c>
      <c r="EO346" s="26">
        <v>0</v>
      </c>
      <c r="EP346" s="26">
        <v>0</v>
      </c>
      <c r="EQ346" s="26">
        <v>0</v>
      </c>
      <c r="ER346" s="26">
        <v>0</v>
      </c>
      <c r="ES346" s="26">
        <v>0</v>
      </c>
      <c r="ET346" s="26">
        <v>0</v>
      </c>
      <c r="EU346" s="26">
        <v>0</v>
      </c>
      <c r="EV346" s="26">
        <v>0</v>
      </c>
      <c r="EW346" s="26">
        <v>0</v>
      </c>
      <c r="EX346" s="26">
        <v>0</v>
      </c>
      <c r="EY346" s="26">
        <v>0</v>
      </c>
      <c r="EZ346" s="26">
        <v>0</v>
      </c>
      <c r="FA346" s="26">
        <v>0</v>
      </c>
      <c r="FB346" s="26">
        <v>0</v>
      </c>
      <c r="FC346" s="26">
        <v>0</v>
      </c>
      <c r="FD346" s="26">
        <v>0</v>
      </c>
      <c r="FE346" s="26">
        <v>0</v>
      </c>
      <c r="FF346" s="26">
        <v>0</v>
      </c>
      <c r="FG346" s="26">
        <v>1.3435107300000001E-4</v>
      </c>
      <c r="FH346" s="26">
        <v>-385600017.60499996</v>
      </c>
      <c r="FI346" s="26">
        <v>0.46387655648879023</v>
      </c>
      <c r="FJ346" s="26">
        <v>0.83958525949445983</v>
      </c>
      <c r="FK346" s="26">
        <v>0</v>
      </c>
      <c r="FL346" s="26">
        <v>0</v>
      </c>
      <c r="FM346" s="26">
        <v>0</v>
      </c>
      <c r="FN346" s="26">
        <v>0</v>
      </c>
      <c r="FO346" s="26">
        <v>0</v>
      </c>
      <c r="FP346" s="26">
        <v>0</v>
      </c>
      <c r="FQ346" s="26">
        <v>0</v>
      </c>
      <c r="FR346" s="26">
        <v>0</v>
      </c>
      <c r="FS346" s="26">
        <v>0</v>
      </c>
      <c r="FT346" s="26">
        <v>0</v>
      </c>
      <c r="FU346" s="26">
        <v>0</v>
      </c>
      <c r="FV346" s="26">
        <v>0</v>
      </c>
      <c r="FW346" s="26">
        <v>0</v>
      </c>
      <c r="FX346" s="26">
        <v>0</v>
      </c>
      <c r="FY346" s="26">
        <v>0</v>
      </c>
      <c r="FZ346" s="26">
        <v>0</v>
      </c>
      <c r="GA346" s="26">
        <v>0</v>
      </c>
      <c r="GB346" s="26">
        <v>0</v>
      </c>
      <c r="GC346" s="26">
        <v>0</v>
      </c>
      <c r="GD346" s="26">
        <v>0</v>
      </c>
      <c r="GE346" s="26">
        <v>0</v>
      </c>
      <c r="GF346" s="26">
        <v>0</v>
      </c>
      <c r="GG346" s="26">
        <v>4.9605649563511859E-4</v>
      </c>
      <c r="GH346" s="26">
        <v>8.9017990712143929E-11</v>
      </c>
      <c r="GI346" s="26">
        <v>0</v>
      </c>
      <c r="GJ346" s="26">
        <v>0</v>
      </c>
      <c r="GK346" s="26">
        <v>6.3029000226454221E-16</v>
      </c>
      <c r="GL346" s="26">
        <v>0</v>
      </c>
      <c r="GM346" s="26">
        <v>2.3816275662752427E-4</v>
      </c>
      <c r="GN346" s="26">
        <v>0</v>
      </c>
      <c r="GO346" s="26">
        <v>0</v>
      </c>
      <c r="GP346" s="26">
        <v>0</v>
      </c>
      <c r="GQ346" s="26">
        <v>0</v>
      </c>
      <c r="GR346" s="26">
        <v>0</v>
      </c>
      <c r="GS346" s="26">
        <v>9.8312115508719142E-2</v>
      </c>
      <c r="GT346" s="26">
        <v>2.2210189261014848</v>
      </c>
      <c r="GU346" s="26">
        <v>0</v>
      </c>
      <c r="GV346" s="26">
        <v>3.7468200577523379E-4</v>
      </c>
      <c r="GW346" s="26">
        <v>6.1445983824901212E-4</v>
      </c>
      <c r="GX346" s="26">
        <v>0.46325103148378605</v>
      </c>
      <c r="GY346" s="26">
        <v>0</v>
      </c>
      <c r="GZ346" s="26">
        <v>0</v>
      </c>
      <c r="HA346" s="26">
        <v>2.332709649217233E-4</v>
      </c>
      <c r="HB346" s="26">
        <v>0</v>
      </c>
      <c r="HC346" s="26">
        <v>0</v>
      </c>
      <c r="HD346" s="26">
        <v>0</v>
      </c>
      <c r="HE346" s="26">
        <v>0</v>
      </c>
      <c r="HF346" s="26">
        <v>0</v>
      </c>
      <c r="HG346" s="26">
        <v>0</v>
      </c>
      <c r="HH346" s="26">
        <v>0</v>
      </c>
      <c r="HI346" s="26">
        <v>0</v>
      </c>
      <c r="HJ346" s="26">
        <v>0</v>
      </c>
      <c r="HK346" s="26">
        <v>0</v>
      </c>
      <c r="HL346" s="26">
        <v>0</v>
      </c>
      <c r="HM346" s="26">
        <v>0</v>
      </c>
      <c r="HN346" s="26">
        <v>0</v>
      </c>
      <c r="HO346" s="26">
        <v>0</v>
      </c>
      <c r="HP346" s="26">
        <v>0</v>
      </c>
      <c r="HQ346" s="26">
        <v>0</v>
      </c>
      <c r="HR346" s="26">
        <v>0</v>
      </c>
      <c r="HS346" s="26">
        <v>0</v>
      </c>
      <c r="HT346" s="26">
        <v>0</v>
      </c>
    </row>
    <row r="347" spans="2:228" x14ac:dyDescent="0.2">
      <c r="B347" s="27" t="s">
        <v>1442</v>
      </c>
      <c r="C347" s="26">
        <v>4682.04054</v>
      </c>
      <c r="D347" s="26">
        <v>-17.389780999999999</v>
      </c>
      <c r="E347" s="26">
        <v>4682.04054</v>
      </c>
      <c r="F347" s="26">
        <v>0</v>
      </c>
      <c r="G347" s="26">
        <v>0</v>
      </c>
      <c r="H347" s="26">
        <v>0</v>
      </c>
      <c r="I347" s="26">
        <v>0</v>
      </c>
      <c r="J347" s="26">
        <v>0</v>
      </c>
      <c r="K347" s="26">
        <v>0</v>
      </c>
      <c r="L347" s="26">
        <v>0</v>
      </c>
      <c r="M347" s="26">
        <v>0</v>
      </c>
      <c r="N347" s="26">
        <v>0</v>
      </c>
      <c r="O347" s="26">
        <v>0</v>
      </c>
      <c r="P347" s="26">
        <v>0</v>
      </c>
      <c r="Q347" s="26">
        <v>0</v>
      </c>
      <c r="R347" s="26">
        <v>0</v>
      </c>
      <c r="S347" s="26">
        <v>0</v>
      </c>
      <c r="T347" s="26">
        <v>0</v>
      </c>
      <c r="U347" s="26">
        <v>0</v>
      </c>
      <c r="V347" s="26">
        <v>0</v>
      </c>
      <c r="W347" s="26">
        <v>0</v>
      </c>
      <c r="X347" s="26">
        <v>0</v>
      </c>
      <c r="Y347" s="26">
        <v>0</v>
      </c>
      <c r="Z347" s="26">
        <v>0</v>
      </c>
      <c r="AA347" s="26">
        <v>0</v>
      </c>
      <c r="AB347" s="26">
        <v>0</v>
      </c>
      <c r="AC347" s="26">
        <v>0</v>
      </c>
      <c r="AD347" s="26">
        <v>0</v>
      </c>
      <c r="AE347" s="26">
        <v>0</v>
      </c>
      <c r="AF347" s="26">
        <v>0</v>
      </c>
      <c r="AG347" s="26">
        <v>0</v>
      </c>
      <c r="AH347" s="26">
        <v>0</v>
      </c>
      <c r="AI347" s="26">
        <v>0</v>
      </c>
      <c r="AJ347" s="26">
        <v>0</v>
      </c>
      <c r="AK347" s="26">
        <v>0</v>
      </c>
      <c r="AL347" s="26">
        <v>0</v>
      </c>
      <c r="AM347" s="26">
        <v>0</v>
      </c>
      <c r="AN347" s="26">
        <v>0</v>
      </c>
      <c r="AO347" s="26">
        <v>0</v>
      </c>
      <c r="AP347" s="26">
        <v>0</v>
      </c>
      <c r="AQ347" s="26">
        <v>0</v>
      </c>
      <c r="AR347" s="26">
        <v>0</v>
      </c>
      <c r="AS347" s="26">
        <v>0</v>
      </c>
      <c r="AT347" s="26">
        <v>0</v>
      </c>
      <c r="AU347" s="26">
        <v>0</v>
      </c>
      <c r="AV347" s="26">
        <v>0</v>
      </c>
      <c r="AW347" s="26">
        <v>0</v>
      </c>
      <c r="AX347" s="26">
        <v>0</v>
      </c>
      <c r="AY347" s="26">
        <v>0</v>
      </c>
      <c r="AZ347" s="26">
        <v>0</v>
      </c>
      <c r="BA347" s="26">
        <v>0</v>
      </c>
      <c r="BB347" s="26">
        <v>0</v>
      </c>
      <c r="BC347" s="26">
        <v>0</v>
      </c>
      <c r="BD347" s="26">
        <v>0</v>
      </c>
      <c r="BE347" s="26">
        <v>0</v>
      </c>
      <c r="BF347" s="26">
        <v>0</v>
      </c>
      <c r="BG347" s="26">
        <v>0</v>
      </c>
      <c r="BH347" s="26">
        <v>0</v>
      </c>
      <c r="BI347" s="26">
        <v>0</v>
      </c>
      <c r="BJ347" s="26">
        <v>0</v>
      </c>
      <c r="BK347" s="26">
        <v>0</v>
      </c>
      <c r="BL347" s="26">
        <v>0</v>
      </c>
      <c r="BM347" s="26">
        <v>0</v>
      </c>
      <c r="BN347" s="26">
        <v>0</v>
      </c>
      <c r="BO347" s="26">
        <v>259.89274399999999</v>
      </c>
      <c r="BP347" s="26">
        <v>4682.04054</v>
      </c>
      <c r="BQ347" s="26">
        <v>81.442415400000002</v>
      </c>
      <c r="BR347" s="26">
        <v>100.27182199999999</v>
      </c>
      <c r="BS347" s="26">
        <v>5.4229876600000013</v>
      </c>
      <c r="BT347" s="26">
        <v>0</v>
      </c>
      <c r="BU347" s="26">
        <v>1</v>
      </c>
      <c r="BV347" s="26">
        <v>0</v>
      </c>
      <c r="BW347" s="26">
        <v>-66911.375100000005</v>
      </c>
      <c r="BX347" s="26">
        <v>-3714.14572</v>
      </c>
      <c r="BY347" s="26">
        <v>-17.389780999999999</v>
      </c>
      <c r="BZ347" s="26">
        <v>-34.916910199999997</v>
      </c>
      <c r="CA347" s="26">
        <v>-1.93818304</v>
      </c>
      <c r="CB347" s="26">
        <v>5.3185378300000002E-2</v>
      </c>
      <c r="CC347" s="26">
        <v>0.95814948200000005</v>
      </c>
      <c r="CD347" s="26">
        <v>18.015280000000001</v>
      </c>
      <c r="CE347" s="26">
        <v>78.184399400000004</v>
      </c>
      <c r="CF347" s="26">
        <v>0</v>
      </c>
      <c r="CG347" s="26">
        <v>0</v>
      </c>
      <c r="CH347" s="26">
        <v>0</v>
      </c>
      <c r="CI347" s="26">
        <v>0</v>
      </c>
      <c r="CJ347" s="26">
        <v>0</v>
      </c>
      <c r="CK347" s="26">
        <v>0</v>
      </c>
      <c r="CL347" s="26">
        <v>0</v>
      </c>
      <c r="CM347" s="26">
        <v>0</v>
      </c>
      <c r="CN347" s="26">
        <v>0</v>
      </c>
      <c r="CO347" s="26">
        <v>0</v>
      </c>
      <c r="CP347" s="26">
        <v>0</v>
      </c>
      <c r="CQ347" s="26">
        <v>0</v>
      </c>
      <c r="CR347" s="26">
        <v>0</v>
      </c>
      <c r="CS347" s="26">
        <v>0</v>
      </c>
      <c r="CT347" s="26">
        <v>0</v>
      </c>
      <c r="CU347" s="26">
        <v>0</v>
      </c>
      <c r="CV347" s="26">
        <v>0</v>
      </c>
      <c r="CW347" s="26">
        <v>0</v>
      </c>
      <c r="CX347" s="26">
        <v>0</v>
      </c>
      <c r="CY347" s="26">
        <v>0</v>
      </c>
      <c r="CZ347" s="26">
        <v>0</v>
      </c>
      <c r="DA347" s="26">
        <v>0</v>
      </c>
      <c r="DB347" s="26">
        <v>0</v>
      </c>
      <c r="DC347" s="26">
        <v>0</v>
      </c>
      <c r="DD347" s="26">
        <v>0</v>
      </c>
      <c r="DE347" s="26">
        <v>0</v>
      </c>
      <c r="DF347" s="26">
        <v>0</v>
      </c>
      <c r="DG347" s="26">
        <v>0</v>
      </c>
      <c r="DH347" s="26">
        <v>0</v>
      </c>
      <c r="DI347" s="26">
        <v>0</v>
      </c>
      <c r="DJ347" s="26">
        <v>0</v>
      </c>
      <c r="DK347" s="26">
        <v>0</v>
      </c>
      <c r="DL347" s="26">
        <v>0</v>
      </c>
      <c r="DM347" s="26">
        <v>0</v>
      </c>
      <c r="DN347" s="26">
        <v>0</v>
      </c>
      <c r="DO347" s="26">
        <v>0</v>
      </c>
      <c r="DP347" s="26">
        <v>0</v>
      </c>
      <c r="DQ347" s="26">
        <v>0</v>
      </c>
      <c r="DR347" s="26">
        <v>0</v>
      </c>
      <c r="DS347" s="26">
        <v>0</v>
      </c>
      <c r="DT347" s="26">
        <v>0</v>
      </c>
      <c r="DU347" s="26">
        <v>0</v>
      </c>
      <c r="DV347" s="26">
        <v>0</v>
      </c>
      <c r="DW347" s="26">
        <v>0</v>
      </c>
      <c r="DX347" s="26">
        <v>0</v>
      </c>
      <c r="DY347" s="26">
        <v>0</v>
      </c>
      <c r="DZ347" s="26">
        <v>0</v>
      </c>
      <c r="EA347" s="26">
        <v>0</v>
      </c>
      <c r="EB347" s="26">
        <v>0</v>
      </c>
      <c r="EC347" s="26">
        <v>0</v>
      </c>
      <c r="ED347" s="26">
        <v>0</v>
      </c>
      <c r="EE347" s="26">
        <v>0</v>
      </c>
      <c r="EF347" s="26">
        <v>0</v>
      </c>
      <c r="EG347" s="26">
        <v>0</v>
      </c>
      <c r="EH347" s="26">
        <v>0</v>
      </c>
      <c r="EI347" s="26">
        <v>0</v>
      </c>
      <c r="EJ347" s="26">
        <v>0</v>
      </c>
      <c r="EK347" s="26">
        <v>0</v>
      </c>
      <c r="EL347" s="26">
        <v>0</v>
      </c>
      <c r="EM347" s="26">
        <v>0</v>
      </c>
      <c r="EN347" s="26">
        <v>0</v>
      </c>
      <c r="EO347" s="26">
        <v>0</v>
      </c>
      <c r="EP347" s="26">
        <v>0</v>
      </c>
      <c r="EQ347" s="26">
        <v>0</v>
      </c>
      <c r="ER347" s="26">
        <v>0</v>
      </c>
      <c r="ES347" s="26">
        <v>0</v>
      </c>
      <c r="ET347" s="26">
        <v>5.4229876600000013</v>
      </c>
      <c r="EU347" s="26">
        <v>0</v>
      </c>
      <c r="EV347" s="26">
        <v>0</v>
      </c>
      <c r="EW347" s="26">
        <v>0</v>
      </c>
      <c r="EX347" s="26">
        <v>0</v>
      </c>
      <c r="EY347" s="26">
        <v>0</v>
      </c>
      <c r="EZ347" s="26">
        <v>0</v>
      </c>
      <c r="FA347" s="26">
        <v>0</v>
      </c>
      <c r="FB347" s="26">
        <v>0</v>
      </c>
      <c r="FC347" s="26">
        <v>0</v>
      </c>
      <c r="FD347" s="26">
        <v>0</v>
      </c>
      <c r="FE347" s="26">
        <v>0</v>
      </c>
      <c r="FF347" s="26">
        <v>0</v>
      </c>
      <c r="FG347" s="26">
        <v>0</v>
      </c>
      <c r="FH347" s="26">
        <v>-20633698.746199999</v>
      </c>
      <c r="FI347" s="26">
        <v>0</v>
      </c>
      <c r="FJ347" s="26">
        <v>0</v>
      </c>
      <c r="FK347" s="26">
        <v>0</v>
      </c>
      <c r="FL347" s="26">
        <v>0</v>
      </c>
      <c r="FM347" s="26">
        <v>0</v>
      </c>
      <c r="FN347" s="26">
        <v>0</v>
      </c>
      <c r="FO347" s="26">
        <v>0</v>
      </c>
      <c r="FP347" s="26">
        <v>0</v>
      </c>
      <c r="FQ347" s="26">
        <v>0</v>
      </c>
      <c r="FR347" s="26">
        <v>0</v>
      </c>
      <c r="FS347" s="26">
        <v>0</v>
      </c>
      <c r="FT347" s="26">
        <v>0</v>
      </c>
      <c r="FU347" s="26">
        <v>0</v>
      </c>
      <c r="FV347" s="26">
        <v>0</v>
      </c>
      <c r="FW347" s="26">
        <v>0</v>
      </c>
      <c r="FX347" s="26">
        <v>0</v>
      </c>
      <c r="FY347" s="26">
        <v>0</v>
      </c>
      <c r="FZ347" s="26">
        <v>0</v>
      </c>
      <c r="GA347" s="26">
        <v>0</v>
      </c>
      <c r="GB347" s="26">
        <v>0</v>
      </c>
      <c r="GC347" s="26">
        <v>0</v>
      </c>
      <c r="GD347" s="26">
        <v>0</v>
      </c>
      <c r="GE347" s="26">
        <v>0</v>
      </c>
      <c r="GF347" s="26">
        <v>0</v>
      </c>
      <c r="GG347" s="26">
        <v>0</v>
      </c>
      <c r="GH347" s="26">
        <v>0</v>
      </c>
      <c r="GI347" s="26">
        <v>0</v>
      </c>
      <c r="GJ347" s="26">
        <v>0</v>
      </c>
      <c r="GK347" s="26">
        <v>0</v>
      </c>
      <c r="GL347" s="26">
        <v>0</v>
      </c>
      <c r="GM347" s="26">
        <v>0</v>
      </c>
      <c r="GN347" s="26">
        <v>0</v>
      </c>
      <c r="GO347" s="26">
        <v>0</v>
      </c>
      <c r="GP347" s="26">
        <v>0</v>
      </c>
      <c r="GQ347" s="26">
        <v>0</v>
      </c>
      <c r="GR347" s="26">
        <v>0</v>
      </c>
      <c r="GS347" s="26">
        <v>0</v>
      </c>
      <c r="GT347" s="26">
        <v>0</v>
      </c>
      <c r="GU347" s="26">
        <v>0</v>
      </c>
      <c r="GV347" s="26">
        <v>0</v>
      </c>
      <c r="GW347" s="26">
        <v>0</v>
      </c>
      <c r="GX347" s="26">
        <v>0</v>
      </c>
      <c r="GY347" s="26">
        <v>0</v>
      </c>
      <c r="GZ347" s="26">
        <v>0</v>
      </c>
      <c r="HA347" s="26">
        <v>0</v>
      </c>
      <c r="HB347" s="26">
        <v>0</v>
      </c>
      <c r="HC347" s="26">
        <v>0</v>
      </c>
      <c r="HD347" s="26">
        <v>0</v>
      </c>
      <c r="HE347" s="26">
        <v>0</v>
      </c>
      <c r="HF347" s="26">
        <v>0</v>
      </c>
      <c r="HG347" s="26">
        <v>0</v>
      </c>
      <c r="HH347" s="26">
        <v>0</v>
      </c>
      <c r="HI347" s="26">
        <v>0</v>
      </c>
      <c r="HJ347" s="26">
        <v>0</v>
      </c>
      <c r="HK347" s="26">
        <v>0</v>
      </c>
      <c r="HL347" s="26">
        <v>0</v>
      </c>
      <c r="HM347" s="26">
        <v>0</v>
      </c>
      <c r="HN347" s="26">
        <v>0</v>
      </c>
      <c r="HO347" s="26">
        <v>0</v>
      </c>
      <c r="HP347" s="26">
        <v>0</v>
      </c>
      <c r="HQ347" s="26">
        <v>0</v>
      </c>
      <c r="HR347" s="26">
        <v>0</v>
      </c>
      <c r="HS347" s="26">
        <v>0</v>
      </c>
      <c r="HT347" s="26">
        <v>0</v>
      </c>
    </row>
    <row r="348" spans="2:228" x14ac:dyDescent="0.2">
      <c r="B348" s="27" t="s">
        <v>1440</v>
      </c>
      <c r="C348" s="26">
        <v>9.9999999999999995E-8</v>
      </c>
      <c r="D348" s="26">
        <v>-1.1094597400000002E-10</v>
      </c>
      <c r="E348" s="26">
        <v>0</v>
      </c>
      <c r="F348" s="26">
        <v>0</v>
      </c>
      <c r="G348" s="26">
        <v>0</v>
      </c>
      <c r="H348" s="26">
        <v>0</v>
      </c>
      <c r="I348" s="26">
        <v>0</v>
      </c>
      <c r="J348" s="26">
        <v>0</v>
      </c>
      <c r="K348" s="26">
        <v>0</v>
      </c>
      <c r="L348" s="26">
        <v>0</v>
      </c>
      <c r="M348" s="26">
        <v>0</v>
      </c>
      <c r="N348" s="26">
        <v>0</v>
      </c>
      <c r="O348" s="26">
        <v>0</v>
      </c>
      <c r="P348" s="26">
        <v>0</v>
      </c>
      <c r="Q348" s="26">
        <v>0</v>
      </c>
      <c r="R348" s="26">
        <v>0</v>
      </c>
      <c r="S348" s="26">
        <v>0</v>
      </c>
      <c r="T348" s="26">
        <v>0</v>
      </c>
      <c r="U348" s="26">
        <v>0</v>
      </c>
      <c r="V348" s="26">
        <v>0</v>
      </c>
      <c r="W348" s="26">
        <v>0</v>
      </c>
      <c r="X348" s="26">
        <v>0</v>
      </c>
      <c r="Y348" s="26">
        <v>0</v>
      </c>
      <c r="Z348" s="26">
        <v>0</v>
      </c>
      <c r="AA348" s="26">
        <v>0</v>
      </c>
      <c r="AB348" s="26">
        <v>0</v>
      </c>
      <c r="AC348" s="26">
        <v>0</v>
      </c>
      <c r="AD348" s="26">
        <v>0</v>
      </c>
      <c r="AE348" s="26">
        <v>0</v>
      </c>
      <c r="AF348" s="26">
        <v>0</v>
      </c>
      <c r="AG348" s="26">
        <v>0</v>
      </c>
      <c r="AH348" s="26">
        <v>0</v>
      </c>
      <c r="AI348" s="26">
        <v>0</v>
      </c>
      <c r="AJ348" s="26">
        <v>0</v>
      </c>
      <c r="AK348" s="26">
        <v>0</v>
      </c>
      <c r="AL348" s="26">
        <v>0</v>
      </c>
      <c r="AM348" s="26">
        <v>0</v>
      </c>
      <c r="AN348" s="26">
        <v>0</v>
      </c>
      <c r="AO348" s="26">
        <v>0</v>
      </c>
      <c r="AP348" s="26">
        <v>0</v>
      </c>
      <c r="AQ348" s="26">
        <v>0</v>
      </c>
      <c r="AR348" s="26">
        <v>0</v>
      </c>
      <c r="AS348" s="26">
        <v>0</v>
      </c>
      <c r="AT348" s="26">
        <v>9.9999999999999995E-8</v>
      </c>
      <c r="AU348" s="26">
        <v>0</v>
      </c>
      <c r="AV348" s="26">
        <v>0</v>
      </c>
      <c r="AW348" s="26">
        <v>0</v>
      </c>
      <c r="AX348" s="26">
        <v>0</v>
      </c>
      <c r="AY348" s="26">
        <v>0</v>
      </c>
      <c r="AZ348" s="26">
        <v>0</v>
      </c>
      <c r="BA348" s="26">
        <v>0</v>
      </c>
      <c r="BB348" s="26">
        <v>0</v>
      </c>
      <c r="BC348" s="26">
        <v>0</v>
      </c>
      <c r="BD348" s="26">
        <v>0</v>
      </c>
      <c r="BE348" s="26">
        <v>0</v>
      </c>
      <c r="BF348" s="26">
        <v>0</v>
      </c>
      <c r="BG348" s="26">
        <v>0</v>
      </c>
      <c r="BH348" s="26">
        <v>0</v>
      </c>
      <c r="BI348" s="26">
        <v>0</v>
      </c>
      <c r="BJ348" s="26">
        <v>0</v>
      </c>
      <c r="BK348" s="26">
        <v>0</v>
      </c>
      <c r="BL348" s="26">
        <v>0</v>
      </c>
      <c r="BM348" s="26">
        <v>0</v>
      </c>
      <c r="BN348" s="26">
        <v>0</v>
      </c>
      <c r="BO348" s="26">
        <v>6.2333413999999999E-9</v>
      </c>
      <c r="BP348" s="26">
        <v>9.9999999999999995E-8</v>
      </c>
      <c r="BQ348" s="26">
        <v>2.5416463199999998E-6</v>
      </c>
      <c r="BR348" s="26">
        <v>25</v>
      </c>
      <c r="BS348" s="26">
        <v>1</v>
      </c>
      <c r="BT348" s="26">
        <v>1</v>
      </c>
      <c r="BU348" s="26">
        <v>0</v>
      </c>
      <c r="BV348" s="26">
        <v>0</v>
      </c>
      <c r="BW348" s="26">
        <v>-17798.796200000001</v>
      </c>
      <c r="BX348" s="26">
        <v>-1109.45973</v>
      </c>
      <c r="BY348" s="26">
        <v>-1.1094597400000002E-10</v>
      </c>
      <c r="BZ348" s="26">
        <v>-19.2502663</v>
      </c>
      <c r="CA348" s="26">
        <v>-1.19993482</v>
      </c>
      <c r="CB348" s="26">
        <v>4.0874696499999997E-5</v>
      </c>
      <c r="CC348" s="26">
        <v>6.5574294599999997E-4</v>
      </c>
      <c r="CD348" s="26">
        <v>16.042760000000001</v>
      </c>
      <c r="CE348" s="26">
        <v>5.5640674600000001E-9</v>
      </c>
      <c r="CF348" s="26">
        <v>0</v>
      </c>
      <c r="CG348" s="26">
        <v>0</v>
      </c>
      <c r="CH348" s="26">
        <v>0</v>
      </c>
      <c r="CI348" s="26">
        <v>0</v>
      </c>
      <c r="CJ348" s="26">
        <v>0</v>
      </c>
      <c r="CK348" s="26">
        <v>0</v>
      </c>
      <c r="CL348" s="26">
        <v>0</v>
      </c>
      <c r="CM348" s="26">
        <v>0</v>
      </c>
      <c r="CN348" s="26">
        <v>0</v>
      </c>
      <c r="CO348" s="26">
        <v>0</v>
      </c>
      <c r="CP348" s="26">
        <v>0</v>
      </c>
      <c r="CQ348" s="26">
        <v>0</v>
      </c>
      <c r="CR348" s="26">
        <v>0</v>
      </c>
      <c r="CS348" s="26">
        <v>0</v>
      </c>
      <c r="CT348" s="26">
        <v>0</v>
      </c>
      <c r="CU348" s="26">
        <v>0</v>
      </c>
      <c r="CV348" s="26">
        <v>0</v>
      </c>
      <c r="CW348" s="26">
        <v>0</v>
      </c>
      <c r="CX348" s="26">
        <v>0</v>
      </c>
      <c r="CY348" s="26">
        <v>0</v>
      </c>
      <c r="CZ348" s="26">
        <v>0</v>
      </c>
      <c r="DA348" s="26">
        <v>0</v>
      </c>
      <c r="DB348" s="26">
        <v>0</v>
      </c>
      <c r="DC348" s="26">
        <v>0</v>
      </c>
      <c r="DD348" s="26">
        <v>0</v>
      </c>
      <c r="DE348" s="26">
        <v>0</v>
      </c>
      <c r="DF348" s="26">
        <v>0</v>
      </c>
      <c r="DG348" s="26">
        <v>0</v>
      </c>
      <c r="DH348" s="26">
        <v>0</v>
      </c>
      <c r="DI348" s="26">
        <v>0</v>
      </c>
      <c r="DJ348" s="26">
        <v>0</v>
      </c>
      <c r="DK348" s="26">
        <v>0</v>
      </c>
      <c r="DL348" s="26">
        <v>0</v>
      </c>
      <c r="DM348" s="26">
        <v>0</v>
      </c>
      <c r="DN348" s="26">
        <v>0</v>
      </c>
      <c r="DO348" s="26">
        <v>0</v>
      </c>
      <c r="DP348" s="26">
        <v>0</v>
      </c>
      <c r="DQ348" s="26">
        <v>0</v>
      </c>
      <c r="DR348" s="26">
        <v>0</v>
      </c>
      <c r="DS348" s="26">
        <v>0</v>
      </c>
      <c r="DT348" s="26">
        <v>0</v>
      </c>
      <c r="DU348" s="26">
        <v>0</v>
      </c>
      <c r="DV348" s="26">
        <v>0</v>
      </c>
      <c r="DW348" s="26">
        <v>0</v>
      </c>
      <c r="DX348" s="26">
        <v>0</v>
      </c>
      <c r="DY348" s="26">
        <v>0</v>
      </c>
      <c r="DZ348" s="26">
        <v>0</v>
      </c>
      <c r="EA348" s="26">
        <v>0</v>
      </c>
      <c r="EB348" s="26">
        <v>0</v>
      </c>
      <c r="EC348" s="26">
        <v>0</v>
      </c>
      <c r="ED348" s="26">
        <v>0</v>
      </c>
      <c r="EE348" s="26">
        <v>0</v>
      </c>
      <c r="EF348" s="26">
        <v>0</v>
      </c>
      <c r="EG348" s="26">
        <v>0</v>
      </c>
      <c r="EH348" s="26">
        <v>0</v>
      </c>
      <c r="EI348" s="26">
        <v>0</v>
      </c>
      <c r="EJ348" s="26">
        <v>0</v>
      </c>
      <c r="EK348" s="26">
        <v>0</v>
      </c>
      <c r="EL348" s="26">
        <v>0</v>
      </c>
      <c r="EM348" s="26">
        <v>0</v>
      </c>
      <c r="EN348" s="26">
        <v>0</v>
      </c>
      <c r="EO348" s="26">
        <v>0</v>
      </c>
      <c r="EP348" s="26">
        <v>0</v>
      </c>
      <c r="EQ348" s="26">
        <v>0</v>
      </c>
      <c r="ER348" s="26">
        <v>0</v>
      </c>
      <c r="ES348" s="26">
        <v>0</v>
      </c>
      <c r="ET348" s="26">
        <v>1</v>
      </c>
      <c r="EU348" s="26">
        <v>0</v>
      </c>
      <c r="EV348" s="26">
        <v>0</v>
      </c>
      <c r="EW348" s="26">
        <v>0</v>
      </c>
      <c r="EX348" s="26">
        <v>0</v>
      </c>
      <c r="EY348" s="26">
        <v>0</v>
      </c>
      <c r="EZ348" s="26">
        <v>0</v>
      </c>
      <c r="FA348" s="26">
        <v>0</v>
      </c>
      <c r="FB348" s="26">
        <v>0</v>
      </c>
      <c r="FC348" s="26">
        <v>0</v>
      </c>
      <c r="FD348" s="26">
        <v>0</v>
      </c>
      <c r="FE348" s="26">
        <v>0</v>
      </c>
      <c r="FF348" s="26">
        <v>0</v>
      </c>
      <c r="FG348" s="26">
        <v>3.9893384900000002</v>
      </c>
      <c r="FH348" s="26">
        <v>-1.2903016776200001E-4</v>
      </c>
      <c r="FI348" s="26">
        <v>1.731483736074092E-12</v>
      </c>
      <c r="FJ348" s="26">
        <v>0</v>
      </c>
      <c r="FK348" s="26">
        <v>0</v>
      </c>
      <c r="FL348" s="26">
        <v>0</v>
      </c>
      <c r="FM348" s="26">
        <v>0</v>
      </c>
      <c r="FN348" s="26">
        <v>0</v>
      </c>
      <c r="FO348" s="26">
        <v>0</v>
      </c>
      <c r="FP348" s="26">
        <v>0</v>
      </c>
      <c r="FQ348" s="26">
        <v>0</v>
      </c>
      <c r="FR348" s="26">
        <v>0</v>
      </c>
      <c r="FS348" s="26">
        <v>0</v>
      </c>
      <c r="FT348" s="26">
        <v>0</v>
      </c>
      <c r="FU348" s="26">
        <v>0</v>
      </c>
      <c r="FV348" s="26">
        <v>0</v>
      </c>
      <c r="FW348" s="26">
        <v>0</v>
      </c>
      <c r="FX348" s="26">
        <v>0</v>
      </c>
      <c r="FY348" s="26">
        <v>0</v>
      </c>
      <c r="FZ348" s="26">
        <v>0</v>
      </c>
      <c r="GA348" s="26">
        <v>0</v>
      </c>
      <c r="GB348" s="26">
        <v>0</v>
      </c>
      <c r="GC348" s="26">
        <v>0</v>
      </c>
      <c r="GD348" s="26">
        <v>0</v>
      </c>
      <c r="GE348" s="26">
        <v>0</v>
      </c>
      <c r="GF348" s="26">
        <v>0</v>
      </c>
      <c r="GG348" s="26">
        <v>0</v>
      </c>
      <c r="GH348" s="26">
        <v>0</v>
      </c>
      <c r="GI348" s="26">
        <v>0</v>
      </c>
      <c r="GJ348" s="26">
        <v>0</v>
      </c>
      <c r="GK348" s="26">
        <v>0</v>
      </c>
      <c r="GL348" s="26">
        <v>0</v>
      </c>
      <c r="GM348" s="26">
        <v>0</v>
      </c>
      <c r="GN348" s="26">
        <v>0</v>
      </c>
      <c r="GO348" s="26">
        <v>0</v>
      </c>
      <c r="GP348" s="26">
        <v>0</v>
      </c>
      <c r="GQ348" s="26">
        <v>0</v>
      </c>
      <c r="GR348" s="26">
        <v>0</v>
      </c>
      <c r="GS348" s="26">
        <v>0</v>
      </c>
      <c r="GT348" s="26">
        <v>0</v>
      </c>
      <c r="GU348" s="26">
        <v>0</v>
      </c>
      <c r="GV348" s="26">
        <v>0</v>
      </c>
      <c r="GW348" s="26">
        <v>0</v>
      </c>
      <c r="GX348" s="26">
        <v>0</v>
      </c>
      <c r="GY348" s="26">
        <v>1.731483736074092E-12</v>
      </c>
      <c r="GZ348" s="26">
        <v>0</v>
      </c>
      <c r="HA348" s="26">
        <v>0</v>
      </c>
      <c r="HB348" s="26">
        <v>0</v>
      </c>
      <c r="HC348" s="26">
        <v>0</v>
      </c>
      <c r="HD348" s="26">
        <v>0</v>
      </c>
      <c r="HE348" s="26">
        <v>0</v>
      </c>
      <c r="HF348" s="26">
        <v>0</v>
      </c>
      <c r="HG348" s="26">
        <v>0</v>
      </c>
      <c r="HH348" s="26">
        <v>0</v>
      </c>
      <c r="HI348" s="26">
        <v>0</v>
      </c>
      <c r="HJ348" s="26">
        <v>0</v>
      </c>
      <c r="HK348" s="26">
        <v>0</v>
      </c>
      <c r="HL348" s="26">
        <v>0</v>
      </c>
      <c r="HM348" s="26">
        <v>0</v>
      </c>
      <c r="HN348" s="26">
        <v>0</v>
      </c>
      <c r="HO348" s="26">
        <v>0</v>
      </c>
      <c r="HP348" s="26">
        <v>0</v>
      </c>
      <c r="HQ348" s="26">
        <v>0</v>
      </c>
      <c r="HR348" s="26">
        <v>0</v>
      </c>
      <c r="HS348" s="26">
        <v>0</v>
      </c>
      <c r="HT348" s="26">
        <v>0</v>
      </c>
    </row>
    <row r="349" spans="2:228" x14ac:dyDescent="0.2">
      <c r="B349" s="27" t="s">
        <v>3174</v>
      </c>
      <c r="C349" s="26">
        <v>3577.80519</v>
      </c>
      <c r="D349" s="26">
        <v>-13.528991700000001</v>
      </c>
      <c r="E349" s="26">
        <v>3577.80519</v>
      </c>
      <c r="F349" s="26">
        <v>0</v>
      </c>
      <c r="G349" s="26">
        <v>0</v>
      </c>
      <c r="H349" s="26">
        <v>0</v>
      </c>
      <c r="I349" s="26">
        <v>0</v>
      </c>
      <c r="J349" s="26">
        <v>0</v>
      </c>
      <c r="K349" s="26">
        <v>0</v>
      </c>
      <c r="L349" s="26">
        <v>0</v>
      </c>
      <c r="M349" s="26">
        <v>0</v>
      </c>
      <c r="N349" s="26">
        <v>0</v>
      </c>
      <c r="O349" s="26">
        <v>0</v>
      </c>
      <c r="P349" s="26">
        <v>0</v>
      </c>
      <c r="Q349" s="26">
        <v>0</v>
      </c>
      <c r="R349" s="26">
        <v>0</v>
      </c>
      <c r="S349" s="26">
        <v>0</v>
      </c>
      <c r="T349" s="26">
        <v>0</v>
      </c>
      <c r="U349" s="26">
        <v>0</v>
      </c>
      <c r="V349" s="26">
        <v>0</v>
      </c>
      <c r="W349" s="26">
        <v>0</v>
      </c>
      <c r="X349" s="26">
        <v>0</v>
      </c>
      <c r="Y349" s="26">
        <v>0</v>
      </c>
      <c r="Z349" s="26">
        <v>0</v>
      </c>
      <c r="AA349" s="26">
        <v>0</v>
      </c>
      <c r="AB349" s="26">
        <v>0</v>
      </c>
      <c r="AC349" s="26">
        <v>0</v>
      </c>
      <c r="AD349" s="26">
        <v>0</v>
      </c>
      <c r="AE349" s="26">
        <v>0</v>
      </c>
      <c r="AF349" s="26">
        <v>0</v>
      </c>
      <c r="AG349" s="26">
        <v>0</v>
      </c>
      <c r="AH349" s="26">
        <v>0</v>
      </c>
      <c r="AI349" s="26">
        <v>0</v>
      </c>
      <c r="AJ349" s="26">
        <v>0</v>
      </c>
      <c r="AK349" s="26">
        <v>0</v>
      </c>
      <c r="AL349" s="26">
        <v>0</v>
      </c>
      <c r="AM349" s="26">
        <v>0</v>
      </c>
      <c r="AN349" s="26">
        <v>0</v>
      </c>
      <c r="AO349" s="26">
        <v>0</v>
      </c>
      <c r="AP349" s="26">
        <v>0</v>
      </c>
      <c r="AQ349" s="26">
        <v>0</v>
      </c>
      <c r="AR349" s="26">
        <v>0</v>
      </c>
      <c r="AS349" s="26">
        <v>0</v>
      </c>
      <c r="AT349" s="26">
        <v>0</v>
      </c>
      <c r="AU349" s="26">
        <v>0</v>
      </c>
      <c r="AV349" s="26">
        <v>0</v>
      </c>
      <c r="AW349" s="26">
        <v>0</v>
      </c>
      <c r="AX349" s="26">
        <v>0</v>
      </c>
      <c r="AY349" s="26">
        <v>0</v>
      </c>
      <c r="AZ349" s="26">
        <v>0</v>
      </c>
      <c r="BA349" s="26">
        <v>0</v>
      </c>
      <c r="BB349" s="26">
        <v>0</v>
      </c>
      <c r="BC349" s="26">
        <v>0</v>
      </c>
      <c r="BD349" s="26">
        <v>0</v>
      </c>
      <c r="BE349" s="26">
        <v>0</v>
      </c>
      <c r="BF349" s="26">
        <v>0</v>
      </c>
      <c r="BG349" s="26">
        <v>0</v>
      </c>
      <c r="BH349" s="26">
        <v>0</v>
      </c>
      <c r="BI349" s="26">
        <v>0</v>
      </c>
      <c r="BJ349" s="26">
        <v>0</v>
      </c>
      <c r="BK349" s="26">
        <v>0</v>
      </c>
      <c r="BL349" s="26">
        <v>0</v>
      </c>
      <c r="BM349" s="26">
        <v>0</v>
      </c>
      <c r="BN349" s="26">
        <v>0</v>
      </c>
      <c r="BO349" s="26">
        <v>198.598367</v>
      </c>
      <c r="BP349" s="26">
        <v>3577.80519</v>
      </c>
      <c r="BQ349" s="26">
        <v>59.9304883</v>
      </c>
      <c r="BR349" s="26">
        <v>33</v>
      </c>
      <c r="BS349" s="26">
        <v>5</v>
      </c>
      <c r="BT349" s="26">
        <v>0</v>
      </c>
      <c r="BU349" s="26">
        <v>1</v>
      </c>
      <c r="BV349" s="26">
        <v>0</v>
      </c>
      <c r="BW349" s="26">
        <v>-68122.370999999999</v>
      </c>
      <c r="BX349" s="26">
        <v>-3781.3662100000001</v>
      </c>
      <c r="BY349" s="26">
        <v>-13.528991700000001</v>
      </c>
      <c r="BZ349" s="26">
        <v>-38.491522500000002</v>
      </c>
      <c r="CA349" s="26">
        <v>-2.13660418</v>
      </c>
      <c r="CB349" s="26">
        <v>5.5230198100000003E-2</v>
      </c>
      <c r="CC349" s="26">
        <v>0.99498748299999995</v>
      </c>
      <c r="CD349" s="26">
        <v>18.015280000000001</v>
      </c>
      <c r="CE349" s="26">
        <v>59.745007999999999</v>
      </c>
      <c r="CF349" s="26">
        <v>0</v>
      </c>
      <c r="CG349" s="26">
        <v>0</v>
      </c>
      <c r="CH349" s="26">
        <v>0</v>
      </c>
      <c r="CI349" s="26">
        <v>0</v>
      </c>
      <c r="CJ349" s="26">
        <v>0</v>
      </c>
      <c r="CK349" s="26">
        <v>0</v>
      </c>
      <c r="CL349" s="26">
        <v>0</v>
      </c>
      <c r="CM349" s="26">
        <v>0</v>
      </c>
      <c r="CN349" s="26">
        <v>0</v>
      </c>
      <c r="CO349" s="26">
        <v>0</v>
      </c>
      <c r="CP349" s="26">
        <v>0</v>
      </c>
      <c r="CQ349" s="26">
        <v>0</v>
      </c>
      <c r="CR349" s="26">
        <v>0</v>
      </c>
      <c r="CS349" s="26">
        <v>0</v>
      </c>
      <c r="CT349" s="26">
        <v>0</v>
      </c>
      <c r="CU349" s="26">
        <v>0</v>
      </c>
      <c r="CV349" s="26">
        <v>0</v>
      </c>
      <c r="CW349" s="26">
        <v>0</v>
      </c>
      <c r="CX349" s="26">
        <v>0</v>
      </c>
      <c r="CY349" s="26">
        <v>0</v>
      </c>
      <c r="CZ349" s="26">
        <v>0</v>
      </c>
      <c r="DA349" s="26">
        <v>0</v>
      </c>
      <c r="DB349" s="26">
        <v>0</v>
      </c>
      <c r="DC349" s="26">
        <v>0</v>
      </c>
      <c r="DD349" s="26">
        <v>0</v>
      </c>
      <c r="DE349" s="26">
        <v>0</v>
      </c>
      <c r="DF349" s="26">
        <v>0</v>
      </c>
      <c r="DG349" s="26">
        <v>0</v>
      </c>
      <c r="DH349" s="26">
        <v>0</v>
      </c>
      <c r="DI349" s="26">
        <v>0</v>
      </c>
      <c r="DJ349" s="26">
        <v>0</v>
      </c>
      <c r="DK349" s="26">
        <v>0</v>
      </c>
      <c r="DL349" s="26">
        <v>0</v>
      </c>
      <c r="DM349" s="26">
        <v>0</v>
      </c>
      <c r="DN349" s="26">
        <v>0</v>
      </c>
      <c r="DO349" s="26">
        <v>0</v>
      </c>
      <c r="DP349" s="26">
        <v>0</v>
      </c>
      <c r="DQ349" s="26">
        <v>0</v>
      </c>
      <c r="DR349" s="26">
        <v>0</v>
      </c>
      <c r="DS349" s="26">
        <v>0</v>
      </c>
      <c r="DT349" s="26">
        <v>0</v>
      </c>
      <c r="DU349" s="26">
        <v>0</v>
      </c>
      <c r="DV349" s="26">
        <v>0</v>
      </c>
      <c r="DW349" s="26">
        <v>0</v>
      </c>
      <c r="DX349" s="26">
        <v>0</v>
      </c>
      <c r="DY349" s="26">
        <v>0</v>
      </c>
      <c r="DZ349" s="26">
        <v>0</v>
      </c>
      <c r="EA349" s="26">
        <v>0</v>
      </c>
      <c r="EB349" s="26">
        <v>0</v>
      </c>
      <c r="EC349" s="26">
        <v>0</v>
      </c>
      <c r="ED349" s="26">
        <v>0</v>
      </c>
      <c r="EE349" s="26">
        <v>0</v>
      </c>
      <c r="EF349" s="26">
        <v>0</v>
      </c>
      <c r="EG349" s="26">
        <v>0</v>
      </c>
      <c r="EH349" s="26">
        <v>0</v>
      </c>
      <c r="EI349" s="26">
        <v>0</v>
      </c>
      <c r="EJ349" s="26">
        <v>0</v>
      </c>
      <c r="EK349" s="26">
        <v>0</v>
      </c>
      <c r="EL349" s="26">
        <v>0</v>
      </c>
      <c r="EM349" s="26">
        <v>0</v>
      </c>
      <c r="EN349" s="26">
        <v>0</v>
      </c>
      <c r="EO349" s="26">
        <v>0</v>
      </c>
      <c r="EP349" s="26">
        <v>0</v>
      </c>
      <c r="EQ349" s="26">
        <v>0</v>
      </c>
      <c r="ER349" s="26">
        <v>0</v>
      </c>
      <c r="ES349" s="26">
        <v>0</v>
      </c>
      <c r="ET349" s="26">
        <v>5</v>
      </c>
      <c r="EU349" s="26">
        <v>0</v>
      </c>
      <c r="EV349" s="26">
        <v>0</v>
      </c>
      <c r="EW349" s="26">
        <v>0</v>
      </c>
      <c r="EX349" s="26">
        <v>0</v>
      </c>
      <c r="EY349" s="26">
        <v>0</v>
      </c>
      <c r="EZ349" s="26">
        <v>0</v>
      </c>
      <c r="FA349" s="26">
        <v>0</v>
      </c>
      <c r="FB349" s="26">
        <v>0</v>
      </c>
      <c r="FC349" s="26">
        <v>0</v>
      </c>
      <c r="FD349" s="26">
        <v>0</v>
      </c>
      <c r="FE349" s="26">
        <v>0</v>
      </c>
      <c r="FF349" s="26">
        <v>0</v>
      </c>
      <c r="FG349" s="26">
        <v>0</v>
      </c>
      <c r="FH349" s="26">
        <v>-15767385.641899999</v>
      </c>
      <c r="FI349" s="26">
        <v>0</v>
      </c>
      <c r="FJ349" s="26">
        <v>0</v>
      </c>
      <c r="FK349" s="26">
        <v>0</v>
      </c>
      <c r="FL349" s="26">
        <v>0</v>
      </c>
      <c r="FM349" s="26">
        <v>0</v>
      </c>
      <c r="FN349" s="26">
        <v>0</v>
      </c>
      <c r="FO349" s="26">
        <v>0</v>
      </c>
      <c r="FP349" s="26">
        <v>0</v>
      </c>
      <c r="FQ349" s="26">
        <v>0</v>
      </c>
      <c r="FR349" s="26">
        <v>0</v>
      </c>
      <c r="FS349" s="26">
        <v>0</v>
      </c>
      <c r="FT349" s="26">
        <v>0</v>
      </c>
      <c r="FU349" s="26">
        <v>0</v>
      </c>
      <c r="FV349" s="26">
        <v>0</v>
      </c>
      <c r="FW349" s="26">
        <v>0</v>
      </c>
      <c r="FX349" s="26">
        <v>0</v>
      </c>
      <c r="FY349" s="26">
        <v>0</v>
      </c>
      <c r="FZ349" s="26">
        <v>0</v>
      </c>
      <c r="GA349" s="26">
        <v>0</v>
      </c>
      <c r="GB349" s="26">
        <v>0</v>
      </c>
      <c r="GC349" s="26">
        <v>0</v>
      </c>
      <c r="GD349" s="26">
        <v>0</v>
      </c>
      <c r="GE349" s="26">
        <v>0</v>
      </c>
      <c r="GF349" s="26">
        <v>0</v>
      </c>
      <c r="GG349" s="26">
        <v>0</v>
      </c>
      <c r="GH349" s="26">
        <v>0</v>
      </c>
      <c r="GI349" s="26">
        <v>0</v>
      </c>
      <c r="GJ349" s="26">
        <v>0</v>
      </c>
      <c r="GK349" s="26">
        <v>0</v>
      </c>
      <c r="GL349" s="26">
        <v>0</v>
      </c>
      <c r="GM349" s="26">
        <v>0</v>
      </c>
      <c r="GN349" s="26">
        <v>0</v>
      </c>
      <c r="GO349" s="26">
        <v>0</v>
      </c>
      <c r="GP349" s="26">
        <v>0</v>
      </c>
      <c r="GQ349" s="26">
        <v>0</v>
      </c>
      <c r="GR349" s="26">
        <v>0</v>
      </c>
      <c r="GS349" s="26">
        <v>0</v>
      </c>
      <c r="GT349" s="26">
        <v>0</v>
      </c>
      <c r="GU349" s="26">
        <v>0</v>
      </c>
      <c r="GV349" s="26">
        <v>0</v>
      </c>
      <c r="GW349" s="26">
        <v>0</v>
      </c>
      <c r="GX349" s="26">
        <v>0</v>
      </c>
      <c r="GY349" s="26">
        <v>0</v>
      </c>
      <c r="GZ349" s="26">
        <v>0</v>
      </c>
      <c r="HA349" s="26">
        <v>0</v>
      </c>
      <c r="HB349" s="26">
        <v>0</v>
      </c>
      <c r="HC349" s="26">
        <v>0</v>
      </c>
      <c r="HD349" s="26">
        <v>0</v>
      </c>
      <c r="HE349" s="26">
        <v>0</v>
      </c>
      <c r="HF349" s="26">
        <v>0</v>
      </c>
      <c r="HG349" s="26">
        <v>0</v>
      </c>
      <c r="HH349" s="26">
        <v>0</v>
      </c>
      <c r="HI349" s="26">
        <v>0</v>
      </c>
      <c r="HJ349" s="26">
        <v>0</v>
      </c>
      <c r="HK349" s="26">
        <v>0</v>
      </c>
      <c r="HL349" s="26">
        <v>0</v>
      </c>
      <c r="HM349" s="26">
        <v>0</v>
      </c>
      <c r="HN349" s="26">
        <v>0</v>
      </c>
      <c r="HO349" s="26">
        <v>0</v>
      </c>
      <c r="HP349" s="26">
        <v>0</v>
      </c>
      <c r="HQ349" s="26">
        <v>0</v>
      </c>
      <c r="HR349" s="26">
        <v>0</v>
      </c>
      <c r="HS349" s="26">
        <v>0</v>
      </c>
      <c r="HT349" s="26">
        <v>0</v>
      </c>
    </row>
    <row r="350" spans="2:228" x14ac:dyDescent="0.2">
      <c r="B350" s="27" t="s">
        <v>3176</v>
      </c>
      <c r="C350" s="26">
        <v>894.45129599999996</v>
      </c>
      <c r="D350" s="26">
        <v>-2.8432400900000001</v>
      </c>
      <c r="E350" s="26">
        <v>0</v>
      </c>
      <c r="F350" s="26">
        <v>0</v>
      </c>
      <c r="G350" s="26">
        <v>0</v>
      </c>
      <c r="H350" s="26">
        <v>0</v>
      </c>
      <c r="I350" s="26">
        <v>0</v>
      </c>
      <c r="J350" s="26">
        <v>0</v>
      </c>
      <c r="K350" s="26">
        <v>0</v>
      </c>
      <c r="L350" s="26">
        <v>0</v>
      </c>
      <c r="M350" s="26">
        <v>0</v>
      </c>
      <c r="N350" s="26">
        <v>0</v>
      </c>
      <c r="O350" s="26">
        <v>0</v>
      </c>
      <c r="P350" s="26">
        <v>0</v>
      </c>
      <c r="Q350" s="26">
        <v>0</v>
      </c>
      <c r="R350" s="26">
        <v>0</v>
      </c>
      <c r="S350" s="26">
        <v>0</v>
      </c>
      <c r="T350" s="26">
        <v>0</v>
      </c>
      <c r="U350" s="26">
        <v>0</v>
      </c>
      <c r="V350" s="26">
        <v>0</v>
      </c>
      <c r="W350" s="26">
        <v>0</v>
      </c>
      <c r="X350" s="26">
        <v>0</v>
      </c>
      <c r="Y350" s="26">
        <v>0</v>
      </c>
      <c r="Z350" s="26">
        <v>0</v>
      </c>
      <c r="AA350" s="26">
        <v>0</v>
      </c>
      <c r="AB350" s="26">
        <v>0</v>
      </c>
      <c r="AC350" s="26">
        <v>0</v>
      </c>
      <c r="AD350" s="26">
        <v>0</v>
      </c>
      <c r="AE350" s="26">
        <v>0</v>
      </c>
      <c r="AF350" s="26">
        <v>0</v>
      </c>
      <c r="AG350" s="26">
        <v>0</v>
      </c>
      <c r="AH350" s="26">
        <v>0</v>
      </c>
      <c r="AI350" s="26">
        <v>0</v>
      </c>
      <c r="AJ350" s="26">
        <v>0</v>
      </c>
      <c r="AK350" s="26">
        <v>0</v>
      </c>
      <c r="AL350" s="26">
        <v>0</v>
      </c>
      <c r="AM350" s="26">
        <v>0</v>
      </c>
      <c r="AN350" s="26">
        <v>0</v>
      </c>
      <c r="AO350" s="26">
        <v>0</v>
      </c>
      <c r="AP350" s="26">
        <v>0</v>
      </c>
      <c r="AQ350" s="26">
        <v>0</v>
      </c>
      <c r="AR350" s="26">
        <v>0</v>
      </c>
      <c r="AS350" s="26">
        <v>0</v>
      </c>
      <c r="AT350" s="26">
        <v>0</v>
      </c>
      <c r="AU350" s="26">
        <v>0</v>
      </c>
      <c r="AV350" s="26">
        <v>0</v>
      </c>
      <c r="AW350" s="26">
        <v>0</v>
      </c>
      <c r="AX350" s="26">
        <v>0</v>
      </c>
      <c r="AY350" s="26">
        <v>0</v>
      </c>
      <c r="AZ350" s="26">
        <v>0</v>
      </c>
      <c r="BA350" s="26">
        <v>0</v>
      </c>
      <c r="BB350" s="26">
        <v>0</v>
      </c>
      <c r="BC350" s="26">
        <v>0</v>
      </c>
      <c r="BD350" s="26">
        <v>0</v>
      </c>
      <c r="BE350" s="26">
        <v>0</v>
      </c>
      <c r="BF350" s="26">
        <v>0</v>
      </c>
      <c r="BG350" s="26">
        <v>0</v>
      </c>
      <c r="BH350" s="26">
        <v>0</v>
      </c>
      <c r="BI350" s="26">
        <v>0</v>
      </c>
      <c r="BJ350" s="26">
        <v>0</v>
      </c>
      <c r="BK350" s="26">
        <v>0</v>
      </c>
      <c r="BL350" s="26">
        <v>0</v>
      </c>
      <c r="BM350" s="26">
        <v>0</v>
      </c>
      <c r="BN350" s="26">
        <v>0</v>
      </c>
      <c r="BO350" s="26">
        <v>0</v>
      </c>
      <c r="BP350" s="26">
        <v>0</v>
      </c>
      <c r="BQ350" s="26">
        <v>0</v>
      </c>
      <c r="BR350" s="26">
        <v>25</v>
      </c>
      <c r="BS350" s="26">
        <v>1</v>
      </c>
      <c r="BT350" s="26">
        <v>0</v>
      </c>
      <c r="BU350" s="26">
        <v>0</v>
      </c>
      <c r="BV350" s="26">
        <v>0</v>
      </c>
      <c r="BW350" s="26">
        <v>0</v>
      </c>
      <c r="BX350" s="26">
        <v>0</v>
      </c>
      <c r="BY350" s="26">
        <v>0</v>
      </c>
      <c r="BZ350" s="26">
        <v>0</v>
      </c>
      <c r="CA350" s="26">
        <v>0</v>
      </c>
      <c r="CB350" s="26">
        <v>0</v>
      </c>
      <c r="CC350" s="26">
        <v>0</v>
      </c>
      <c r="CD350" s="26">
        <v>18.015280000000001</v>
      </c>
      <c r="CE350" s="26">
        <v>0</v>
      </c>
      <c r="CF350" s="26">
        <v>0</v>
      </c>
      <c r="CG350" s="26">
        <v>0</v>
      </c>
      <c r="CH350" s="26">
        <v>0</v>
      </c>
      <c r="CI350" s="26">
        <v>0</v>
      </c>
      <c r="CJ350" s="26">
        <v>0</v>
      </c>
      <c r="CK350" s="26">
        <v>0</v>
      </c>
      <c r="CL350" s="26">
        <v>0</v>
      </c>
      <c r="CM350" s="26">
        <v>0</v>
      </c>
      <c r="CN350" s="26">
        <v>0</v>
      </c>
      <c r="CO350" s="26">
        <v>0</v>
      </c>
      <c r="CP350" s="26">
        <v>0</v>
      </c>
      <c r="CQ350" s="26">
        <v>0</v>
      </c>
      <c r="CR350" s="26">
        <v>0</v>
      </c>
      <c r="CS350" s="26">
        <v>0</v>
      </c>
      <c r="CT350" s="26">
        <v>0</v>
      </c>
      <c r="CU350" s="26">
        <v>0</v>
      </c>
      <c r="CV350" s="26">
        <v>0</v>
      </c>
      <c r="CW350" s="26">
        <v>0</v>
      </c>
      <c r="CX350" s="26">
        <v>0</v>
      </c>
      <c r="CY350" s="26">
        <v>0</v>
      </c>
      <c r="CZ350" s="26">
        <v>0</v>
      </c>
      <c r="DA350" s="26">
        <v>0</v>
      </c>
      <c r="DB350" s="26">
        <v>0</v>
      </c>
      <c r="DC350" s="26">
        <v>0</v>
      </c>
      <c r="DD350" s="26">
        <v>0</v>
      </c>
      <c r="DE350" s="26">
        <v>0</v>
      </c>
      <c r="DF350" s="26">
        <v>0</v>
      </c>
      <c r="DG350" s="26">
        <v>0</v>
      </c>
      <c r="DH350" s="26">
        <v>0</v>
      </c>
      <c r="DI350" s="26">
        <v>0</v>
      </c>
      <c r="DJ350" s="26">
        <v>0</v>
      </c>
      <c r="DK350" s="26">
        <v>0</v>
      </c>
      <c r="DL350" s="26">
        <v>0</v>
      </c>
      <c r="DM350" s="26">
        <v>0</v>
      </c>
      <c r="DN350" s="26">
        <v>0</v>
      </c>
      <c r="DO350" s="26">
        <v>0</v>
      </c>
      <c r="DP350" s="26">
        <v>0</v>
      </c>
      <c r="DQ350" s="26">
        <v>0</v>
      </c>
      <c r="DR350" s="26">
        <v>0</v>
      </c>
      <c r="DS350" s="26">
        <v>0</v>
      </c>
      <c r="DT350" s="26">
        <v>0</v>
      </c>
      <c r="DU350" s="26">
        <v>0</v>
      </c>
      <c r="DV350" s="26">
        <v>0</v>
      </c>
      <c r="DW350" s="26">
        <v>0</v>
      </c>
      <c r="DX350" s="26">
        <v>0</v>
      </c>
      <c r="DY350" s="26">
        <v>0</v>
      </c>
      <c r="DZ350" s="26">
        <v>0</v>
      </c>
      <c r="EA350" s="26">
        <v>0</v>
      </c>
      <c r="EB350" s="26">
        <v>0</v>
      </c>
      <c r="EC350" s="26">
        <v>0</v>
      </c>
      <c r="ED350" s="26">
        <v>0</v>
      </c>
      <c r="EE350" s="26">
        <v>0</v>
      </c>
      <c r="EF350" s="26">
        <v>0</v>
      </c>
      <c r="EG350" s="26">
        <v>0</v>
      </c>
      <c r="EH350" s="26">
        <v>0</v>
      </c>
      <c r="EI350" s="26">
        <v>0</v>
      </c>
      <c r="EJ350" s="26">
        <v>0</v>
      </c>
      <c r="EK350" s="26">
        <v>0</v>
      </c>
      <c r="EL350" s="26">
        <v>0</v>
      </c>
      <c r="EM350" s="26">
        <v>894.45129599999996</v>
      </c>
      <c r="EN350" s="26">
        <v>0</v>
      </c>
      <c r="EO350" s="26">
        <v>0</v>
      </c>
      <c r="EP350" s="26">
        <v>12.072060199999999</v>
      </c>
      <c r="EQ350" s="26">
        <v>894.45129599999996</v>
      </c>
      <c r="ER350" s="26">
        <v>6.3991596399999997</v>
      </c>
      <c r="ES350" s="26">
        <v>25</v>
      </c>
      <c r="ET350" s="26">
        <v>1</v>
      </c>
      <c r="EU350" s="26">
        <v>0</v>
      </c>
      <c r="EV350" s="26">
        <v>0</v>
      </c>
      <c r="EW350" s="26">
        <v>1</v>
      </c>
      <c r="EX350" s="26">
        <v>-235522.356</v>
      </c>
      <c r="EY350" s="26">
        <v>-3178.7533699999999</v>
      </c>
      <c r="EZ350" s="26">
        <v>-2.8432400900000001</v>
      </c>
      <c r="FA350" s="26">
        <v>-70.237436500000001</v>
      </c>
      <c r="FB350" s="26">
        <v>-0.94796728200000002</v>
      </c>
      <c r="FC350" s="26">
        <v>3.1441785E-2</v>
      </c>
      <c r="FD350" s="26">
        <v>2.3296061099999998</v>
      </c>
      <c r="FE350" s="26">
        <v>74.092680000000001</v>
      </c>
      <c r="FF350" s="26">
        <v>0</v>
      </c>
      <c r="FG350" s="26">
        <v>0</v>
      </c>
      <c r="FH350" s="26">
        <v>-3306688.2246699999</v>
      </c>
      <c r="FI350" s="26">
        <v>0</v>
      </c>
      <c r="FJ350" s="26">
        <v>0</v>
      </c>
      <c r="FK350" s="26">
        <v>0</v>
      </c>
      <c r="FL350" s="26">
        <v>0</v>
      </c>
      <c r="FM350" s="26">
        <v>0</v>
      </c>
      <c r="FN350" s="26">
        <v>0</v>
      </c>
      <c r="FO350" s="26">
        <v>0</v>
      </c>
      <c r="FP350" s="26">
        <v>0</v>
      </c>
      <c r="FQ350" s="26">
        <v>0</v>
      </c>
      <c r="FR350" s="26">
        <v>0</v>
      </c>
      <c r="FS350" s="26">
        <v>0</v>
      </c>
      <c r="FT350" s="26">
        <v>0</v>
      </c>
      <c r="FU350" s="26">
        <v>0</v>
      </c>
      <c r="FV350" s="26">
        <v>0</v>
      </c>
      <c r="FW350" s="26">
        <v>0</v>
      </c>
      <c r="FX350" s="26">
        <v>0</v>
      </c>
      <c r="FY350" s="26">
        <v>0</v>
      </c>
      <c r="FZ350" s="26">
        <v>0</v>
      </c>
      <c r="GA350" s="26">
        <v>0</v>
      </c>
      <c r="GB350" s="26">
        <v>0</v>
      </c>
      <c r="GC350" s="26">
        <v>0</v>
      </c>
      <c r="GD350" s="26">
        <v>0</v>
      </c>
      <c r="GE350" s="26">
        <v>0</v>
      </c>
      <c r="GF350" s="26">
        <v>0</v>
      </c>
      <c r="GG350" s="26">
        <v>0</v>
      </c>
      <c r="GH350" s="26">
        <v>0</v>
      </c>
      <c r="GI350" s="26">
        <v>0</v>
      </c>
      <c r="GJ350" s="26">
        <v>0</v>
      </c>
      <c r="GK350" s="26">
        <v>0</v>
      </c>
      <c r="GL350" s="26">
        <v>0</v>
      </c>
      <c r="GM350" s="26">
        <v>0</v>
      </c>
      <c r="GN350" s="26">
        <v>0</v>
      </c>
      <c r="GO350" s="26">
        <v>0</v>
      </c>
      <c r="GP350" s="26">
        <v>0</v>
      </c>
      <c r="GQ350" s="26">
        <v>0</v>
      </c>
      <c r="GR350" s="26">
        <v>0</v>
      </c>
      <c r="GS350" s="26">
        <v>0</v>
      </c>
      <c r="GT350" s="26">
        <v>0</v>
      </c>
      <c r="GU350" s="26">
        <v>0</v>
      </c>
      <c r="GV350" s="26">
        <v>0</v>
      </c>
      <c r="GW350" s="26">
        <v>0</v>
      </c>
      <c r="GX350" s="26">
        <v>0</v>
      </c>
      <c r="GY350" s="26">
        <v>0</v>
      </c>
      <c r="GZ350" s="26">
        <v>0</v>
      </c>
      <c r="HA350" s="26">
        <v>0</v>
      </c>
      <c r="HB350" s="26">
        <v>0</v>
      </c>
      <c r="HC350" s="26">
        <v>0</v>
      </c>
      <c r="HD350" s="26">
        <v>0</v>
      </c>
      <c r="HE350" s="26">
        <v>0</v>
      </c>
      <c r="HF350" s="26">
        <v>0</v>
      </c>
      <c r="HG350" s="26">
        <v>0</v>
      </c>
      <c r="HH350" s="26">
        <v>0</v>
      </c>
      <c r="HI350" s="26">
        <v>0</v>
      </c>
      <c r="HJ350" s="26">
        <v>0</v>
      </c>
      <c r="HK350" s="26">
        <v>0</v>
      </c>
      <c r="HL350" s="26">
        <v>0</v>
      </c>
      <c r="HM350" s="26">
        <v>0</v>
      </c>
      <c r="HN350" s="26">
        <v>0</v>
      </c>
      <c r="HO350" s="26">
        <v>0</v>
      </c>
      <c r="HP350" s="26">
        <v>0</v>
      </c>
      <c r="HQ350" s="26">
        <v>0</v>
      </c>
      <c r="HR350" s="26">
        <v>0</v>
      </c>
      <c r="HS350" s="26">
        <v>0</v>
      </c>
      <c r="HT350" s="26">
        <v>0</v>
      </c>
    </row>
    <row r="351" spans="2:228" x14ac:dyDescent="0.2">
      <c r="B351" s="27" t="s">
        <v>3177</v>
      </c>
      <c r="C351" s="26">
        <v>3491.0177199999998</v>
      </c>
      <c r="D351" s="26">
        <v>-10.8435855</v>
      </c>
      <c r="E351" s="26">
        <v>3491.0177199999998</v>
      </c>
      <c r="F351" s="26">
        <v>0</v>
      </c>
      <c r="G351" s="26">
        <v>0</v>
      </c>
      <c r="H351" s="26">
        <v>0</v>
      </c>
      <c r="I351" s="26">
        <v>0</v>
      </c>
      <c r="J351" s="26">
        <v>0</v>
      </c>
      <c r="K351" s="26">
        <v>0</v>
      </c>
      <c r="L351" s="26">
        <v>0</v>
      </c>
      <c r="M351" s="26">
        <v>0</v>
      </c>
      <c r="N351" s="26">
        <v>0</v>
      </c>
      <c r="O351" s="26">
        <v>0</v>
      </c>
      <c r="P351" s="26">
        <v>0</v>
      </c>
      <c r="Q351" s="26">
        <v>0</v>
      </c>
      <c r="R351" s="26">
        <v>0</v>
      </c>
      <c r="S351" s="26">
        <v>0</v>
      </c>
      <c r="T351" s="26">
        <v>0</v>
      </c>
      <c r="U351" s="26">
        <v>0</v>
      </c>
      <c r="V351" s="26">
        <v>0</v>
      </c>
      <c r="W351" s="26">
        <v>0</v>
      </c>
      <c r="X351" s="26">
        <v>0</v>
      </c>
      <c r="Y351" s="26">
        <v>0</v>
      </c>
      <c r="Z351" s="26">
        <v>0</v>
      </c>
      <c r="AA351" s="26">
        <v>0</v>
      </c>
      <c r="AB351" s="26">
        <v>0</v>
      </c>
      <c r="AC351" s="26">
        <v>0</v>
      </c>
      <c r="AD351" s="26">
        <v>0</v>
      </c>
      <c r="AE351" s="26">
        <v>0</v>
      </c>
      <c r="AF351" s="26">
        <v>0</v>
      </c>
      <c r="AG351" s="26">
        <v>0</v>
      </c>
      <c r="AH351" s="26">
        <v>0</v>
      </c>
      <c r="AI351" s="26">
        <v>0</v>
      </c>
      <c r="AJ351" s="26">
        <v>0</v>
      </c>
      <c r="AK351" s="26">
        <v>0</v>
      </c>
      <c r="AL351" s="26">
        <v>0</v>
      </c>
      <c r="AM351" s="26">
        <v>0</v>
      </c>
      <c r="AN351" s="26">
        <v>0</v>
      </c>
      <c r="AO351" s="26">
        <v>0</v>
      </c>
      <c r="AP351" s="26">
        <v>0</v>
      </c>
      <c r="AQ351" s="26">
        <v>0</v>
      </c>
      <c r="AR351" s="26">
        <v>0</v>
      </c>
      <c r="AS351" s="26">
        <v>0</v>
      </c>
      <c r="AT351" s="26">
        <v>0</v>
      </c>
      <c r="AU351" s="26">
        <v>0</v>
      </c>
      <c r="AV351" s="26">
        <v>0</v>
      </c>
      <c r="AW351" s="26">
        <v>0</v>
      </c>
      <c r="AX351" s="26">
        <v>0</v>
      </c>
      <c r="AY351" s="26">
        <v>0</v>
      </c>
      <c r="AZ351" s="26">
        <v>0</v>
      </c>
      <c r="BA351" s="26">
        <v>0</v>
      </c>
      <c r="BB351" s="26">
        <v>0</v>
      </c>
      <c r="BC351" s="26">
        <v>0</v>
      </c>
      <c r="BD351" s="26">
        <v>0</v>
      </c>
      <c r="BE351" s="26">
        <v>0</v>
      </c>
      <c r="BF351" s="26">
        <v>0</v>
      </c>
      <c r="BG351" s="26">
        <v>0</v>
      </c>
      <c r="BH351" s="26">
        <v>0</v>
      </c>
      <c r="BI351" s="26">
        <v>0</v>
      </c>
      <c r="BJ351" s="26">
        <v>0</v>
      </c>
      <c r="BK351" s="26">
        <v>0</v>
      </c>
      <c r="BL351" s="26">
        <v>0</v>
      </c>
      <c r="BM351" s="26">
        <v>0</v>
      </c>
      <c r="BN351" s="26">
        <v>0</v>
      </c>
      <c r="BO351" s="26">
        <v>193.78093100000001</v>
      </c>
      <c r="BP351" s="26">
        <v>3491.0177199999998</v>
      </c>
      <c r="BQ351" s="26">
        <v>10516.9534</v>
      </c>
      <c r="BR351" s="26">
        <v>265.65910599999995</v>
      </c>
      <c r="BS351" s="26">
        <v>13</v>
      </c>
      <c r="BT351" s="26">
        <v>1</v>
      </c>
      <c r="BU351" s="26">
        <v>0</v>
      </c>
      <c r="BV351" s="26">
        <v>0</v>
      </c>
      <c r="BW351" s="26">
        <v>-55957.959199999998</v>
      </c>
      <c r="BX351" s="26">
        <v>-3106.1387399999999</v>
      </c>
      <c r="BY351" s="26">
        <v>-10.8435855</v>
      </c>
      <c r="BZ351" s="26">
        <v>-11.0908775</v>
      </c>
      <c r="CA351" s="26">
        <v>-0.615637251</v>
      </c>
      <c r="CB351" s="26">
        <v>3.0709293900000001E-4</v>
      </c>
      <c r="CC351" s="26">
        <v>5.5323652799999998E-3</v>
      </c>
      <c r="CD351" s="26">
        <v>18.015280000000001</v>
      </c>
      <c r="CE351" s="26">
        <v>58.295762600000003</v>
      </c>
      <c r="CF351" s="26">
        <v>0</v>
      </c>
      <c r="CG351" s="26">
        <v>0</v>
      </c>
      <c r="CH351" s="26">
        <v>0</v>
      </c>
      <c r="CI351" s="26">
        <v>0</v>
      </c>
      <c r="CJ351" s="26">
        <v>0</v>
      </c>
      <c r="CK351" s="26">
        <v>0</v>
      </c>
      <c r="CL351" s="26">
        <v>0</v>
      </c>
      <c r="CM351" s="26">
        <v>0</v>
      </c>
      <c r="CN351" s="26">
        <v>0</v>
      </c>
      <c r="CO351" s="26">
        <v>0</v>
      </c>
      <c r="CP351" s="26">
        <v>0</v>
      </c>
      <c r="CQ351" s="26">
        <v>0</v>
      </c>
      <c r="CR351" s="26">
        <v>0</v>
      </c>
      <c r="CS351" s="26">
        <v>0</v>
      </c>
      <c r="CT351" s="26">
        <v>0</v>
      </c>
      <c r="CU351" s="26">
        <v>0</v>
      </c>
      <c r="CV351" s="26">
        <v>0</v>
      </c>
      <c r="CW351" s="26">
        <v>0</v>
      </c>
      <c r="CX351" s="26">
        <v>0</v>
      </c>
      <c r="CY351" s="26">
        <v>0</v>
      </c>
      <c r="CZ351" s="26">
        <v>0</v>
      </c>
      <c r="DA351" s="26">
        <v>0</v>
      </c>
      <c r="DB351" s="26">
        <v>0</v>
      </c>
      <c r="DC351" s="26">
        <v>0</v>
      </c>
      <c r="DD351" s="26">
        <v>0</v>
      </c>
      <c r="DE351" s="26">
        <v>0</v>
      </c>
      <c r="DF351" s="26">
        <v>0</v>
      </c>
      <c r="DG351" s="26">
        <v>0</v>
      </c>
      <c r="DH351" s="26">
        <v>0</v>
      </c>
      <c r="DI351" s="26">
        <v>0</v>
      </c>
      <c r="DJ351" s="26">
        <v>0</v>
      </c>
      <c r="DK351" s="26">
        <v>0</v>
      </c>
      <c r="DL351" s="26">
        <v>0</v>
      </c>
      <c r="DM351" s="26">
        <v>0</v>
      </c>
      <c r="DN351" s="26">
        <v>0</v>
      </c>
      <c r="DO351" s="26">
        <v>0</v>
      </c>
      <c r="DP351" s="26">
        <v>0</v>
      </c>
      <c r="DQ351" s="26">
        <v>0</v>
      </c>
      <c r="DR351" s="26">
        <v>0</v>
      </c>
      <c r="DS351" s="26">
        <v>0</v>
      </c>
      <c r="DT351" s="26">
        <v>0</v>
      </c>
      <c r="DU351" s="26">
        <v>0</v>
      </c>
      <c r="DV351" s="26">
        <v>0</v>
      </c>
      <c r="DW351" s="26">
        <v>0</v>
      </c>
      <c r="DX351" s="26">
        <v>0</v>
      </c>
      <c r="DY351" s="26">
        <v>0</v>
      </c>
      <c r="DZ351" s="26">
        <v>0</v>
      </c>
      <c r="EA351" s="26">
        <v>0</v>
      </c>
      <c r="EB351" s="26">
        <v>0</v>
      </c>
      <c r="EC351" s="26">
        <v>0</v>
      </c>
      <c r="ED351" s="26">
        <v>0</v>
      </c>
      <c r="EE351" s="26">
        <v>0</v>
      </c>
      <c r="EF351" s="26">
        <v>0</v>
      </c>
      <c r="EG351" s="26">
        <v>0</v>
      </c>
      <c r="EH351" s="26">
        <v>0</v>
      </c>
      <c r="EI351" s="26">
        <v>0</v>
      </c>
      <c r="EJ351" s="26">
        <v>0</v>
      </c>
      <c r="EK351" s="26">
        <v>0</v>
      </c>
      <c r="EL351" s="26">
        <v>0</v>
      </c>
      <c r="EM351" s="26">
        <v>0</v>
      </c>
      <c r="EN351" s="26">
        <v>0</v>
      </c>
      <c r="EO351" s="26">
        <v>0</v>
      </c>
      <c r="EP351" s="26">
        <v>0</v>
      </c>
      <c r="EQ351" s="26">
        <v>0</v>
      </c>
      <c r="ER351" s="26">
        <v>0</v>
      </c>
      <c r="ES351" s="26">
        <v>0</v>
      </c>
      <c r="ET351" s="26">
        <v>13</v>
      </c>
      <c r="EU351" s="26">
        <v>0</v>
      </c>
      <c r="EV351" s="26">
        <v>0</v>
      </c>
      <c r="EW351" s="26">
        <v>0</v>
      </c>
      <c r="EX351" s="26">
        <v>0</v>
      </c>
      <c r="EY351" s="26">
        <v>0</v>
      </c>
      <c r="EZ351" s="26">
        <v>0</v>
      </c>
      <c r="FA351" s="26">
        <v>0</v>
      </c>
      <c r="FB351" s="26">
        <v>0</v>
      </c>
      <c r="FC351" s="26">
        <v>0</v>
      </c>
      <c r="FD351" s="26">
        <v>0</v>
      </c>
      <c r="FE351" s="26">
        <v>0</v>
      </c>
      <c r="FF351" s="26">
        <v>0</v>
      </c>
      <c r="FG351" s="26">
        <v>0</v>
      </c>
      <c r="FH351" s="26">
        <v>-13017233.261700001</v>
      </c>
      <c r="FI351" s="26">
        <v>0</v>
      </c>
      <c r="FJ351" s="26">
        <v>5.3828036819513189E-2</v>
      </c>
      <c r="FK351" s="26">
        <v>0</v>
      </c>
      <c r="FL351" s="26">
        <v>0</v>
      </c>
      <c r="FM351" s="26">
        <v>0</v>
      </c>
      <c r="FN351" s="26">
        <v>0</v>
      </c>
      <c r="FO351" s="26">
        <v>0</v>
      </c>
      <c r="FP351" s="26">
        <v>0</v>
      </c>
      <c r="FQ351" s="26">
        <v>0</v>
      </c>
      <c r="FR351" s="26">
        <v>0</v>
      </c>
      <c r="FS351" s="26">
        <v>0</v>
      </c>
      <c r="FT351" s="26">
        <v>0</v>
      </c>
      <c r="FU351" s="26">
        <v>0</v>
      </c>
      <c r="FV351" s="26">
        <v>0</v>
      </c>
      <c r="FW351" s="26">
        <v>0</v>
      </c>
      <c r="FX351" s="26">
        <v>0</v>
      </c>
      <c r="FY351" s="26">
        <v>0</v>
      </c>
      <c r="FZ351" s="26">
        <v>0</v>
      </c>
      <c r="GA351" s="26">
        <v>0</v>
      </c>
      <c r="GB351" s="26">
        <v>0</v>
      </c>
      <c r="GC351" s="26">
        <v>0</v>
      </c>
      <c r="GD351" s="26">
        <v>0</v>
      </c>
      <c r="GE351" s="26">
        <v>0</v>
      </c>
      <c r="GF351" s="26">
        <v>0</v>
      </c>
      <c r="GG351" s="26">
        <v>0</v>
      </c>
      <c r="GH351" s="26">
        <v>0</v>
      </c>
      <c r="GI351" s="26">
        <v>0</v>
      </c>
      <c r="GJ351" s="26">
        <v>0</v>
      </c>
      <c r="GK351" s="26">
        <v>0</v>
      </c>
      <c r="GL351" s="26">
        <v>0</v>
      </c>
      <c r="GM351" s="26">
        <v>0</v>
      </c>
      <c r="GN351" s="26">
        <v>0</v>
      </c>
      <c r="GO351" s="26">
        <v>0</v>
      </c>
      <c r="GP351" s="26">
        <v>0</v>
      </c>
      <c r="GQ351" s="26">
        <v>0</v>
      </c>
      <c r="GR351" s="26">
        <v>0</v>
      </c>
      <c r="GS351" s="26">
        <v>0</v>
      </c>
      <c r="GT351" s="26">
        <v>0</v>
      </c>
      <c r="GU351" s="26">
        <v>0</v>
      </c>
      <c r="GV351" s="26">
        <v>0</v>
      </c>
      <c r="GW351" s="26">
        <v>0</v>
      </c>
      <c r="GX351" s="26">
        <v>0</v>
      </c>
      <c r="GY351" s="26">
        <v>0</v>
      </c>
      <c r="GZ351" s="26">
        <v>0</v>
      </c>
      <c r="HA351" s="26">
        <v>0</v>
      </c>
      <c r="HB351" s="26">
        <v>0</v>
      </c>
      <c r="HC351" s="26">
        <v>0</v>
      </c>
      <c r="HD351" s="26">
        <v>0</v>
      </c>
      <c r="HE351" s="26">
        <v>0</v>
      </c>
      <c r="HF351" s="26">
        <v>0</v>
      </c>
      <c r="HG351" s="26">
        <v>0</v>
      </c>
      <c r="HH351" s="26">
        <v>0</v>
      </c>
      <c r="HI351" s="26">
        <v>0</v>
      </c>
      <c r="HJ351" s="26">
        <v>0</v>
      </c>
      <c r="HK351" s="26">
        <v>0</v>
      </c>
      <c r="HL351" s="26">
        <v>0</v>
      </c>
      <c r="HM351" s="26">
        <v>0</v>
      </c>
      <c r="HN351" s="26">
        <v>0</v>
      </c>
      <c r="HO351" s="26">
        <v>0</v>
      </c>
      <c r="HP351" s="26">
        <v>0</v>
      </c>
      <c r="HQ351" s="26">
        <v>0</v>
      </c>
      <c r="HR351" s="26">
        <v>0</v>
      </c>
      <c r="HS351" s="26">
        <v>0</v>
      </c>
      <c r="HT351" s="26">
        <v>0</v>
      </c>
    </row>
    <row r="352" spans="2:228" x14ac:dyDescent="0.2">
      <c r="B352" s="27" t="s">
        <v>1444</v>
      </c>
      <c r="C352" s="26">
        <v>24555.056100000002</v>
      </c>
      <c r="D352" s="26">
        <v>-76.271411599999993</v>
      </c>
      <c r="E352" s="26">
        <v>24555.056100000002</v>
      </c>
      <c r="F352" s="26">
        <v>0</v>
      </c>
      <c r="G352" s="26">
        <v>0</v>
      </c>
      <c r="H352" s="26">
        <v>0</v>
      </c>
      <c r="I352" s="26">
        <v>0</v>
      </c>
      <c r="J352" s="26">
        <v>0</v>
      </c>
      <c r="K352" s="26">
        <v>0</v>
      </c>
      <c r="L352" s="26">
        <v>0</v>
      </c>
      <c r="M352" s="26">
        <v>0</v>
      </c>
      <c r="N352" s="26">
        <v>0</v>
      </c>
      <c r="O352" s="26">
        <v>0</v>
      </c>
      <c r="P352" s="26">
        <v>0</v>
      </c>
      <c r="Q352" s="26">
        <v>0</v>
      </c>
      <c r="R352" s="26">
        <v>0</v>
      </c>
      <c r="S352" s="26">
        <v>0</v>
      </c>
      <c r="T352" s="26">
        <v>0</v>
      </c>
      <c r="U352" s="26">
        <v>0</v>
      </c>
      <c r="V352" s="26">
        <v>0</v>
      </c>
      <c r="W352" s="26">
        <v>0</v>
      </c>
      <c r="X352" s="26">
        <v>0</v>
      </c>
      <c r="Y352" s="26">
        <v>0</v>
      </c>
      <c r="Z352" s="26">
        <v>0</v>
      </c>
      <c r="AA352" s="26">
        <v>0</v>
      </c>
      <c r="AB352" s="26">
        <v>0</v>
      </c>
      <c r="AC352" s="26">
        <v>0</v>
      </c>
      <c r="AD352" s="26">
        <v>0</v>
      </c>
      <c r="AE352" s="26">
        <v>0</v>
      </c>
      <c r="AF352" s="26">
        <v>0</v>
      </c>
      <c r="AG352" s="26">
        <v>0</v>
      </c>
      <c r="AH352" s="26">
        <v>0</v>
      </c>
      <c r="AI352" s="26">
        <v>0</v>
      </c>
      <c r="AJ352" s="26">
        <v>0</v>
      </c>
      <c r="AK352" s="26">
        <v>0</v>
      </c>
      <c r="AL352" s="26">
        <v>0</v>
      </c>
      <c r="AM352" s="26">
        <v>0</v>
      </c>
      <c r="AN352" s="26">
        <v>0</v>
      </c>
      <c r="AO352" s="26">
        <v>0</v>
      </c>
      <c r="AP352" s="26">
        <v>0</v>
      </c>
      <c r="AQ352" s="26">
        <v>0</v>
      </c>
      <c r="AR352" s="26">
        <v>0</v>
      </c>
      <c r="AS352" s="26">
        <v>0</v>
      </c>
      <c r="AT352" s="26">
        <v>0</v>
      </c>
      <c r="AU352" s="26">
        <v>0</v>
      </c>
      <c r="AV352" s="26">
        <v>0</v>
      </c>
      <c r="AW352" s="26">
        <v>0</v>
      </c>
      <c r="AX352" s="26">
        <v>0</v>
      </c>
      <c r="AY352" s="26">
        <v>0</v>
      </c>
      <c r="AZ352" s="26">
        <v>0</v>
      </c>
      <c r="BA352" s="26">
        <v>0</v>
      </c>
      <c r="BB352" s="26">
        <v>0</v>
      </c>
      <c r="BC352" s="26">
        <v>0</v>
      </c>
      <c r="BD352" s="26">
        <v>0</v>
      </c>
      <c r="BE352" s="26">
        <v>0</v>
      </c>
      <c r="BF352" s="26">
        <v>0</v>
      </c>
      <c r="BG352" s="26">
        <v>0</v>
      </c>
      <c r="BH352" s="26">
        <v>0</v>
      </c>
      <c r="BI352" s="26">
        <v>0</v>
      </c>
      <c r="BJ352" s="26">
        <v>0</v>
      </c>
      <c r="BK352" s="26">
        <v>0</v>
      </c>
      <c r="BL352" s="26">
        <v>0</v>
      </c>
      <c r="BM352" s="26">
        <v>0</v>
      </c>
      <c r="BN352" s="26">
        <v>0</v>
      </c>
      <c r="BO352" s="26">
        <v>1363.0127399999999</v>
      </c>
      <c r="BP352" s="26">
        <v>24555.056100000002</v>
      </c>
      <c r="BQ352" s="26">
        <v>73973.952999999994</v>
      </c>
      <c r="BR352" s="26">
        <v>265.65910599999995</v>
      </c>
      <c r="BS352" s="26">
        <v>13</v>
      </c>
      <c r="BT352" s="26">
        <v>1</v>
      </c>
      <c r="BU352" s="26">
        <v>0</v>
      </c>
      <c r="BV352" s="26">
        <v>0</v>
      </c>
      <c r="BW352" s="26">
        <v>-55957.959199999998</v>
      </c>
      <c r="BX352" s="26">
        <v>-3106.1387399999999</v>
      </c>
      <c r="BY352" s="26">
        <v>-76.271411599999993</v>
      </c>
      <c r="BZ352" s="26">
        <v>-11.0908775</v>
      </c>
      <c r="CA352" s="26">
        <v>-0.615637251</v>
      </c>
      <c r="CB352" s="26">
        <v>3.0709293900000001E-4</v>
      </c>
      <c r="CC352" s="26">
        <v>5.5323652799999998E-3</v>
      </c>
      <c r="CD352" s="26">
        <v>18.015280000000001</v>
      </c>
      <c r="CE352" s="26">
        <v>410.03966000000003</v>
      </c>
      <c r="CF352" s="26">
        <v>0</v>
      </c>
      <c r="CG352" s="26">
        <v>0</v>
      </c>
      <c r="CH352" s="26">
        <v>0</v>
      </c>
      <c r="CI352" s="26">
        <v>0</v>
      </c>
      <c r="CJ352" s="26">
        <v>0</v>
      </c>
      <c r="CK352" s="26">
        <v>0</v>
      </c>
      <c r="CL352" s="26">
        <v>0</v>
      </c>
      <c r="CM352" s="26">
        <v>0</v>
      </c>
      <c r="CN352" s="26">
        <v>0</v>
      </c>
      <c r="CO352" s="26">
        <v>0</v>
      </c>
      <c r="CP352" s="26">
        <v>0</v>
      </c>
      <c r="CQ352" s="26">
        <v>0</v>
      </c>
      <c r="CR352" s="26">
        <v>0</v>
      </c>
      <c r="CS352" s="26">
        <v>0</v>
      </c>
      <c r="CT352" s="26">
        <v>0</v>
      </c>
      <c r="CU352" s="26">
        <v>0</v>
      </c>
      <c r="CV352" s="26">
        <v>0</v>
      </c>
      <c r="CW352" s="26">
        <v>0</v>
      </c>
      <c r="CX352" s="26">
        <v>0</v>
      </c>
      <c r="CY352" s="26">
        <v>0</v>
      </c>
      <c r="CZ352" s="26">
        <v>0</v>
      </c>
      <c r="DA352" s="26">
        <v>0</v>
      </c>
      <c r="DB352" s="26">
        <v>0</v>
      </c>
      <c r="DC352" s="26">
        <v>0</v>
      </c>
      <c r="DD352" s="26">
        <v>0</v>
      </c>
      <c r="DE352" s="26">
        <v>0</v>
      </c>
      <c r="DF352" s="26">
        <v>0</v>
      </c>
      <c r="DG352" s="26">
        <v>0</v>
      </c>
      <c r="DH352" s="26">
        <v>0</v>
      </c>
      <c r="DI352" s="26">
        <v>0</v>
      </c>
      <c r="DJ352" s="26">
        <v>0</v>
      </c>
      <c r="DK352" s="26">
        <v>0</v>
      </c>
      <c r="DL352" s="26">
        <v>0</v>
      </c>
      <c r="DM352" s="26">
        <v>0</v>
      </c>
      <c r="DN352" s="26">
        <v>0</v>
      </c>
      <c r="DO352" s="26">
        <v>0</v>
      </c>
      <c r="DP352" s="26">
        <v>0</v>
      </c>
      <c r="DQ352" s="26">
        <v>0</v>
      </c>
      <c r="DR352" s="26">
        <v>0</v>
      </c>
      <c r="DS352" s="26">
        <v>0</v>
      </c>
      <c r="DT352" s="26">
        <v>0</v>
      </c>
      <c r="DU352" s="26">
        <v>0</v>
      </c>
      <c r="DV352" s="26">
        <v>0</v>
      </c>
      <c r="DW352" s="26">
        <v>0</v>
      </c>
      <c r="DX352" s="26">
        <v>0</v>
      </c>
      <c r="DY352" s="26">
        <v>0</v>
      </c>
      <c r="DZ352" s="26">
        <v>0</v>
      </c>
      <c r="EA352" s="26">
        <v>0</v>
      </c>
      <c r="EB352" s="26">
        <v>0</v>
      </c>
      <c r="EC352" s="26">
        <v>0</v>
      </c>
      <c r="ED352" s="26">
        <v>0</v>
      </c>
      <c r="EE352" s="26">
        <v>0</v>
      </c>
      <c r="EF352" s="26">
        <v>0</v>
      </c>
      <c r="EG352" s="26">
        <v>0</v>
      </c>
      <c r="EH352" s="26">
        <v>0</v>
      </c>
      <c r="EI352" s="26">
        <v>0</v>
      </c>
      <c r="EJ352" s="26">
        <v>0</v>
      </c>
      <c r="EK352" s="26">
        <v>0</v>
      </c>
      <c r="EL352" s="26">
        <v>0</v>
      </c>
      <c r="EM352" s="26">
        <v>0</v>
      </c>
      <c r="EN352" s="26">
        <v>0</v>
      </c>
      <c r="EO352" s="26">
        <v>0</v>
      </c>
      <c r="EP352" s="26">
        <v>0</v>
      </c>
      <c r="EQ352" s="26">
        <v>0</v>
      </c>
      <c r="ER352" s="26">
        <v>0</v>
      </c>
      <c r="ES352" s="26">
        <v>0</v>
      </c>
      <c r="ET352" s="26">
        <v>13</v>
      </c>
      <c r="EU352" s="26">
        <v>0</v>
      </c>
      <c r="EV352" s="26">
        <v>0</v>
      </c>
      <c r="EW352" s="26">
        <v>0</v>
      </c>
      <c r="EX352" s="26">
        <v>0</v>
      </c>
      <c r="EY352" s="26">
        <v>0</v>
      </c>
      <c r="EZ352" s="26">
        <v>0</v>
      </c>
      <c r="FA352" s="26">
        <v>0</v>
      </c>
      <c r="FB352" s="26">
        <v>0</v>
      </c>
      <c r="FC352" s="26">
        <v>0</v>
      </c>
      <c r="FD352" s="26">
        <v>0</v>
      </c>
      <c r="FE352" s="26">
        <v>0</v>
      </c>
      <c r="FF352" s="26">
        <v>0</v>
      </c>
      <c r="FG352" s="26">
        <v>0</v>
      </c>
      <c r="FH352" s="26">
        <v>-91560375.343399987</v>
      </c>
      <c r="FI352" s="26">
        <v>0</v>
      </c>
      <c r="FJ352" s="26">
        <v>0.37861465302891723</v>
      </c>
      <c r="FK352" s="26">
        <v>0</v>
      </c>
      <c r="FL352" s="26">
        <v>0</v>
      </c>
      <c r="FM352" s="26">
        <v>0</v>
      </c>
      <c r="FN352" s="26">
        <v>0</v>
      </c>
      <c r="FO352" s="26">
        <v>0</v>
      </c>
      <c r="FP352" s="26">
        <v>0</v>
      </c>
      <c r="FQ352" s="26">
        <v>0</v>
      </c>
      <c r="FR352" s="26">
        <v>0</v>
      </c>
      <c r="FS352" s="26">
        <v>0</v>
      </c>
      <c r="FT352" s="26">
        <v>0</v>
      </c>
      <c r="FU352" s="26">
        <v>0</v>
      </c>
      <c r="FV352" s="26">
        <v>0</v>
      </c>
      <c r="FW352" s="26">
        <v>0</v>
      </c>
      <c r="FX352" s="26">
        <v>0</v>
      </c>
      <c r="FY352" s="26">
        <v>0</v>
      </c>
      <c r="FZ352" s="26">
        <v>0</v>
      </c>
      <c r="GA352" s="26">
        <v>0</v>
      </c>
      <c r="GB352" s="26">
        <v>0</v>
      </c>
      <c r="GC352" s="26">
        <v>0</v>
      </c>
      <c r="GD352" s="26">
        <v>0</v>
      </c>
      <c r="GE352" s="26">
        <v>0</v>
      </c>
      <c r="GF352" s="26">
        <v>0</v>
      </c>
      <c r="GG352" s="26">
        <v>0</v>
      </c>
      <c r="GH352" s="26">
        <v>0</v>
      </c>
      <c r="GI352" s="26">
        <v>0</v>
      </c>
      <c r="GJ352" s="26">
        <v>0</v>
      </c>
      <c r="GK352" s="26">
        <v>0</v>
      </c>
      <c r="GL352" s="26">
        <v>0</v>
      </c>
      <c r="GM352" s="26">
        <v>0</v>
      </c>
      <c r="GN352" s="26">
        <v>0</v>
      </c>
      <c r="GO352" s="26">
        <v>0</v>
      </c>
      <c r="GP352" s="26">
        <v>0</v>
      </c>
      <c r="GQ352" s="26">
        <v>0</v>
      </c>
      <c r="GR352" s="26">
        <v>0</v>
      </c>
      <c r="GS352" s="26">
        <v>0</v>
      </c>
      <c r="GT352" s="26">
        <v>0</v>
      </c>
      <c r="GU352" s="26">
        <v>0</v>
      </c>
      <c r="GV352" s="26">
        <v>0</v>
      </c>
      <c r="GW352" s="26">
        <v>0</v>
      </c>
      <c r="GX352" s="26">
        <v>0</v>
      </c>
      <c r="GY352" s="26">
        <v>0</v>
      </c>
      <c r="GZ352" s="26">
        <v>0</v>
      </c>
      <c r="HA352" s="26">
        <v>0</v>
      </c>
      <c r="HB352" s="26">
        <v>0</v>
      </c>
      <c r="HC352" s="26">
        <v>0</v>
      </c>
      <c r="HD352" s="26">
        <v>0</v>
      </c>
      <c r="HE352" s="26">
        <v>0</v>
      </c>
      <c r="HF352" s="26">
        <v>0</v>
      </c>
      <c r="HG352" s="26">
        <v>0</v>
      </c>
      <c r="HH352" s="26">
        <v>0</v>
      </c>
      <c r="HI352" s="26">
        <v>0</v>
      </c>
      <c r="HJ352" s="26">
        <v>0</v>
      </c>
      <c r="HK352" s="26">
        <v>0</v>
      </c>
      <c r="HL352" s="26">
        <v>0</v>
      </c>
      <c r="HM352" s="26">
        <v>0</v>
      </c>
      <c r="HN352" s="26">
        <v>0</v>
      </c>
      <c r="HO352" s="26">
        <v>0</v>
      </c>
      <c r="HP352" s="26">
        <v>0</v>
      </c>
      <c r="HQ352" s="26">
        <v>0</v>
      </c>
      <c r="HR352" s="26">
        <v>0</v>
      </c>
      <c r="HS352" s="26">
        <v>0</v>
      </c>
      <c r="HT352" s="26">
        <v>0</v>
      </c>
    </row>
    <row r="353" spans="2:228" x14ac:dyDescent="0.2">
      <c r="B353" s="27" t="s">
        <v>2911</v>
      </c>
      <c r="C353" s="26">
        <v>206661.39</v>
      </c>
      <c r="D353" s="26">
        <v>-764.79087700000002</v>
      </c>
      <c r="E353" s="26">
        <v>206661.39</v>
      </c>
      <c r="F353" s="26">
        <v>0</v>
      </c>
      <c r="G353" s="26">
        <v>0</v>
      </c>
      <c r="H353" s="26">
        <v>0</v>
      </c>
      <c r="I353" s="26">
        <v>0</v>
      </c>
      <c r="J353" s="26">
        <v>0</v>
      </c>
      <c r="K353" s="26">
        <v>0</v>
      </c>
      <c r="L353" s="26">
        <v>0</v>
      </c>
      <c r="M353" s="26">
        <v>0</v>
      </c>
      <c r="N353" s="26">
        <v>0</v>
      </c>
      <c r="O353" s="26">
        <v>0</v>
      </c>
      <c r="P353" s="26">
        <v>0</v>
      </c>
      <c r="Q353" s="26">
        <v>0</v>
      </c>
      <c r="R353" s="26">
        <v>0</v>
      </c>
      <c r="S353" s="26">
        <v>0</v>
      </c>
      <c r="T353" s="26">
        <v>0</v>
      </c>
      <c r="U353" s="26">
        <v>0</v>
      </c>
      <c r="V353" s="26">
        <v>0</v>
      </c>
      <c r="W353" s="26">
        <v>0</v>
      </c>
      <c r="X353" s="26">
        <v>0</v>
      </c>
      <c r="Y353" s="26">
        <v>0</v>
      </c>
      <c r="Z353" s="26">
        <v>0</v>
      </c>
      <c r="AA353" s="26">
        <v>0</v>
      </c>
      <c r="AB353" s="26">
        <v>0</v>
      </c>
      <c r="AC353" s="26">
        <v>0</v>
      </c>
      <c r="AD353" s="26">
        <v>0</v>
      </c>
      <c r="AE353" s="26">
        <v>0</v>
      </c>
      <c r="AF353" s="26">
        <v>0</v>
      </c>
      <c r="AG353" s="26">
        <v>0</v>
      </c>
      <c r="AH353" s="26">
        <v>0</v>
      </c>
      <c r="AI353" s="26">
        <v>0</v>
      </c>
      <c r="AJ353" s="26">
        <v>0</v>
      </c>
      <c r="AK353" s="26">
        <v>0</v>
      </c>
      <c r="AL353" s="26">
        <v>0</v>
      </c>
      <c r="AM353" s="26">
        <v>0</v>
      </c>
      <c r="AN353" s="26">
        <v>0</v>
      </c>
      <c r="AO353" s="26">
        <v>0</v>
      </c>
      <c r="AP353" s="26">
        <v>0</v>
      </c>
      <c r="AQ353" s="26">
        <v>0</v>
      </c>
      <c r="AR353" s="26">
        <v>0</v>
      </c>
      <c r="AS353" s="26">
        <v>0</v>
      </c>
      <c r="AT353" s="26">
        <v>0</v>
      </c>
      <c r="AU353" s="26">
        <v>0</v>
      </c>
      <c r="AV353" s="26">
        <v>0</v>
      </c>
      <c r="AW353" s="26">
        <v>0</v>
      </c>
      <c r="AX353" s="26">
        <v>0</v>
      </c>
      <c r="AY353" s="26">
        <v>0</v>
      </c>
      <c r="AZ353" s="26">
        <v>0</v>
      </c>
      <c r="BA353" s="26">
        <v>0</v>
      </c>
      <c r="BB353" s="26">
        <v>0</v>
      </c>
      <c r="BC353" s="26">
        <v>0</v>
      </c>
      <c r="BD353" s="26">
        <v>0</v>
      </c>
      <c r="BE353" s="26">
        <v>0</v>
      </c>
      <c r="BF353" s="26">
        <v>0</v>
      </c>
      <c r="BG353" s="26">
        <v>0</v>
      </c>
      <c r="BH353" s="26">
        <v>0</v>
      </c>
      <c r="BI353" s="26">
        <v>0</v>
      </c>
      <c r="BJ353" s="26">
        <v>0</v>
      </c>
      <c r="BK353" s="26">
        <v>0</v>
      </c>
      <c r="BL353" s="26">
        <v>0</v>
      </c>
      <c r="BM353" s="26">
        <v>0</v>
      </c>
      <c r="BN353" s="26">
        <v>0</v>
      </c>
      <c r="BO353" s="26">
        <v>11471.4504</v>
      </c>
      <c r="BP353" s="26">
        <v>206661.39</v>
      </c>
      <c r="BQ353" s="26">
        <v>3633.2285900000002</v>
      </c>
      <c r="BR353" s="26">
        <v>113.64629300000001</v>
      </c>
      <c r="BS353" s="26">
        <v>4.2</v>
      </c>
      <c r="BT353" s="26">
        <v>0</v>
      </c>
      <c r="BU353" s="26">
        <v>1</v>
      </c>
      <c r="BV353" s="26">
        <v>0</v>
      </c>
      <c r="BW353" s="26">
        <v>-66669.065100000007</v>
      </c>
      <c r="BX353" s="26">
        <v>-3700.6954700000001</v>
      </c>
      <c r="BY353" s="26">
        <v>-764.79087700000002</v>
      </c>
      <c r="BZ353" s="26">
        <v>-34.277805200000003</v>
      </c>
      <c r="CA353" s="26">
        <v>-1.90270732</v>
      </c>
      <c r="CB353" s="26">
        <v>5.2622848399999998E-2</v>
      </c>
      <c r="CC353" s="26">
        <v>0.94801534799999998</v>
      </c>
      <c r="CD353" s="26">
        <v>18.015280000000001</v>
      </c>
      <c r="CE353" s="26">
        <v>3450.9946100000002</v>
      </c>
      <c r="CF353" s="26">
        <v>0</v>
      </c>
      <c r="CG353" s="26">
        <v>0</v>
      </c>
      <c r="CH353" s="26">
        <v>0</v>
      </c>
      <c r="CI353" s="26">
        <v>0</v>
      </c>
      <c r="CJ353" s="26">
        <v>0</v>
      </c>
      <c r="CK353" s="26">
        <v>0</v>
      </c>
      <c r="CL353" s="26">
        <v>0</v>
      </c>
      <c r="CM353" s="26">
        <v>0</v>
      </c>
      <c r="CN353" s="26">
        <v>0</v>
      </c>
      <c r="CO353" s="26">
        <v>0</v>
      </c>
      <c r="CP353" s="26">
        <v>0</v>
      </c>
      <c r="CQ353" s="26">
        <v>0</v>
      </c>
      <c r="CR353" s="26">
        <v>0</v>
      </c>
      <c r="CS353" s="26">
        <v>0</v>
      </c>
      <c r="CT353" s="26">
        <v>0</v>
      </c>
      <c r="CU353" s="26">
        <v>0</v>
      </c>
      <c r="CV353" s="26">
        <v>0</v>
      </c>
      <c r="CW353" s="26">
        <v>0</v>
      </c>
      <c r="CX353" s="26">
        <v>0</v>
      </c>
      <c r="CY353" s="26">
        <v>0</v>
      </c>
      <c r="CZ353" s="26">
        <v>0</v>
      </c>
      <c r="DA353" s="26">
        <v>0</v>
      </c>
      <c r="DB353" s="26">
        <v>0</v>
      </c>
      <c r="DC353" s="26">
        <v>0</v>
      </c>
      <c r="DD353" s="26">
        <v>0</v>
      </c>
      <c r="DE353" s="26">
        <v>0</v>
      </c>
      <c r="DF353" s="26">
        <v>0</v>
      </c>
      <c r="DG353" s="26">
        <v>0</v>
      </c>
      <c r="DH353" s="26">
        <v>0</v>
      </c>
      <c r="DI353" s="26">
        <v>0</v>
      </c>
      <c r="DJ353" s="26">
        <v>0</v>
      </c>
      <c r="DK353" s="26">
        <v>0</v>
      </c>
      <c r="DL353" s="26">
        <v>0</v>
      </c>
      <c r="DM353" s="26">
        <v>0</v>
      </c>
      <c r="DN353" s="26">
        <v>0</v>
      </c>
      <c r="DO353" s="26">
        <v>0</v>
      </c>
      <c r="DP353" s="26">
        <v>0</v>
      </c>
      <c r="DQ353" s="26">
        <v>0</v>
      </c>
      <c r="DR353" s="26">
        <v>0</v>
      </c>
      <c r="DS353" s="26">
        <v>0</v>
      </c>
      <c r="DT353" s="26">
        <v>0</v>
      </c>
      <c r="DU353" s="26">
        <v>0</v>
      </c>
      <c r="DV353" s="26">
        <v>0</v>
      </c>
      <c r="DW353" s="26">
        <v>0</v>
      </c>
      <c r="DX353" s="26">
        <v>0</v>
      </c>
      <c r="DY353" s="26">
        <v>0</v>
      </c>
      <c r="DZ353" s="26">
        <v>0</v>
      </c>
      <c r="EA353" s="26">
        <v>0</v>
      </c>
      <c r="EB353" s="26">
        <v>0</v>
      </c>
      <c r="EC353" s="26">
        <v>0</v>
      </c>
      <c r="ED353" s="26">
        <v>0</v>
      </c>
      <c r="EE353" s="26">
        <v>0</v>
      </c>
      <c r="EF353" s="26">
        <v>0</v>
      </c>
      <c r="EG353" s="26">
        <v>0</v>
      </c>
      <c r="EH353" s="26">
        <v>0</v>
      </c>
      <c r="EI353" s="26">
        <v>0</v>
      </c>
      <c r="EJ353" s="26">
        <v>0</v>
      </c>
      <c r="EK353" s="26">
        <v>0</v>
      </c>
      <c r="EL353" s="26">
        <v>0</v>
      </c>
      <c r="EM353" s="26">
        <v>0</v>
      </c>
      <c r="EN353" s="26">
        <v>0</v>
      </c>
      <c r="EO353" s="26">
        <v>0</v>
      </c>
      <c r="EP353" s="26">
        <v>0</v>
      </c>
      <c r="EQ353" s="26">
        <v>0</v>
      </c>
      <c r="ER353" s="26">
        <v>0</v>
      </c>
      <c r="ES353" s="26">
        <v>0</v>
      </c>
      <c r="ET353" s="26">
        <v>4.2</v>
      </c>
      <c r="EU353" s="26">
        <v>0</v>
      </c>
      <c r="EV353" s="26">
        <v>0</v>
      </c>
      <c r="EW353" s="26">
        <v>0</v>
      </c>
      <c r="EX353" s="26">
        <v>0</v>
      </c>
      <c r="EY353" s="26">
        <v>0</v>
      </c>
      <c r="EZ353" s="26">
        <v>0</v>
      </c>
      <c r="FA353" s="26">
        <v>0</v>
      </c>
      <c r="FB353" s="26">
        <v>0</v>
      </c>
      <c r="FC353" s="26">
        <v>0</v>
      </c>
      <c r="FD353" s="26">
        <v>0</v>
      </c>
      <c r="FE353" s="26">
        <v>0</v>
      </c>
      <c r="FF353" s="26">
        <v>0</v>
      </c>
      <c r="FG353" s="26">
        <v>0</v>
      </c>
      <c r="FH353" s="26">
        <v>-910760949.32800007</v>
      </c>
      <c r="FI353" s="26">
        <v>0</v>
      </c>
      <c r="FJ353" s="26">
        <v>0</v>
      </c>
      <c r="FK353" s="26">
        <v>0</v>
      </c>
      <c r="FL353" s="26">
        <v>0</v>
      </c>
      <c r="FM353" s="26">
        <v>0</v>
      </c>
      <c r="FN353" s="26">
        <v>0</v>
      </c>
      <c r="FO353" s="26">
        <v>0</v>
      </c>
      <c r="FP353" s="26">
        <v>0</v>
      </c>
      <c r="FQ353" s="26">
        <v>0</v>
      </c>
      <c r="FR353" s="26">
        <v>0</v>
      </c>
      <c r="FS353" s="26">
        <v>0</v>
      </c>
      <c r="FT353" s="26">
        <v>0</v>
      </c>
      <c r="FU353" s="26">
        <v>0</v>
      </c>
      <c r="FV353" s="26">
        <v>0</v>
      </c>
      <c r="FW353" s="26">
        <v>0</v>
      </c>
      <c r="FX353" s="26">
        <v>0</v>
      </c>
      <c r="FY353" s="26">
        <v>0</v>
      </c>
      <c r="FZ353" s="26">
        <v>0</v>
      </c>
      <c r="GA353" s="26">
        <v>0</v>
      </c>
      <c r="GB353" s="26">
        <v>0</v>
      </c>
      <c r="GC353" s="26">
        <v>0</v>
      </c>
      <c r="GD353" s="26">
        <v>0</v>
      </c>
      <c r="GE353" s="26">
        <v>0</v>
      </c>
      <c r="GF353" s="26">
        <v>0</v>
      </c>
      <c r="GG353" s="26">
        <v>0</v>
      </c>
      <c r="GH353" s="26">
        <v>0</v>
      </c>
      <c r="GI353" s="26">
        <v>0</v>
      </c>
      <c r="GJ353" s="26">
        <v>0</v>
      </c>
      <c r="GK353" s="26">
        <v>0</v>
      </c>
      <c r="GL353" s="26">
        <v>0</v>
      </c>
      <c r="GM353" s="26">
        <v>0</v>
      </c>
      <c r="GN353" s="26">
        <v>0</v>
      </c>
      <c r="GO353" s="26">
        <v>0</v>
      </c>
      <c r="GP353" s="26">
        <v>0</v>
      </c>
      <c r="GQ353" s="26">
        <v>0</v>
      </c>
      <c r="GR353" s="26">
        <v>0</v>
      </c>
      <c r="GS353" s="26">
        <v>0</v>
      </c>
      <c r="GT353" s="26">
        <v>0</v>
      </c>
      <c r="GU353" s="26">
        <v>0</v>
      </c>
      <c r="GV353" s="26">
        <v>0</v>
      </c>
      <c r="GW353" s="26">
        <v>0</v>
      </c>
      <c r="GX353" s="26">
        <v>0</v>
      </c>
      <c r="GY353" s="26">
        <v>0</v>
      </c>
      <c r="GZ353" s="26">
        <v>0</v>
      </c>
      <c r="HA353" s="26">
        <v>0</v>
      </c>
      <c r="HB353" s="26">
        <v>0</v>
      </c>
      <c r="HC353" s="26">
        <v>0</v>
      </c>
      <c r="HD353" s="26">
        <v>0</v>
      </c>
      <c r="HE353" s="26">
        <v>0</v>
      </c>
      <c r="HF353" s="26">
        <v>0</v>
      </c>
      <c r="HG353" s="26">
        <v>0</v>
      </c>
      <c r="HH353" s="26">
        <v>0</v>
      </c>
      <c r="HI353" s="26">
        <v>0</v>
      </c>
      <c r="HJ353" s="26">
        <v>0</v>
      </c>
      <c r="HK353" s="26">
        <v>0</v>
      </c>
      <c r="HL353" s="26">
        <v>0</v>
      </c>
      <c r="HM353" s="26">
        <v>0</v>
      </c>
      <c r="HN353" s="26">
        <v>0</v>
      </c>
      <c r="HO353" s="26">
        <v>0</v>
      </c>
      <c r="HP353" s="26">
        <v>0</v>
      </c>
      <c r="HQ353" s="26">
        <v>0</v>
      </c>
      <c r="HR353" s="26">
        <v>0</v>
      </c>
      <c r="HS353" s="26">
        <v>0</v>
      </c>
      <c r="HT353" s="26">
        <v>0</v>
      </c>
    </row>
    <row r="354" spans="2:228" x14ac:dyDescent="0.2">
      <c r="B354" s="27" t="s">
        <v>2912</v>
      </c>
      <c r="C354" s="26">
        <v>0</v>
      </c>
      <c r="D354" s="26">
        <v>0</v>
      </c>
      <c r="E354" s="26">
        <v>0</v>
      </c>
      <c r="F354" s="26">
        <v>0</v>
      </c>
      <c r="G354" s="26">
        <v>0</v>
      </c>
      <c r="H354" s="26">
        <v>0</v>
      </c>
      <c r="I354" s="26">
        <v>0</v>
      </c>
      <c r="J354" s="26">
        <v>0</v>
      </c>
      <c r="K354" s="26">
        <v>0</v>
      </c>
      <c r="L354" s="26">
        <v>0</v>
      </c>
      <c r="M354" s="26">
        <v>0</v>
      </c>
      <c r="N354" s="26">
        <v>0</v>
      </c>
      <c r="O354" s="26">
        <v>0</v>
      </c>
      <c r="P354" s="26">
        <v>0</v>
      </c>
      <c r="Q354" s="26">
        <v>0</v>
      </c>
      <c r="R354" s="26">
        <v>0</v>
      </c>
      <c r="S354" s="26">
        <v>0</v>
      </c>
      <c r="T354" s="26">
        <v>0</v>
      </c>
      <c r="U354" s="26">
        <v>0</v>
      </c>
      <c r="V354" s="26">
        <v>0</v>
      </c>
      <c r="W354" s="26">
        <v>0</v>
      </c>
      <c r="X354" s="26">
        <v>0</v>
      </c>
      <c r="Y354" s="26">
        <v>0</v>
      </c>
      <c r="Z354" s="26">
        <v>0</v>
      </c>
      <c r="AA354" s="26">
        <v>0</v>
      </c>
      <c r="AB354" s="26">
        <v>0</v>
      </c>
      <c r="AC354" s="26">
        <v>0</v>
      </c>
      <c r="AD354" s="26">
        <v>0</v>
      </c>
      <c r="AE354" s="26">
        <v>0</v>
      </c>
      <c r="AF354" s="26">
        <v>0</v>
      </c>
      <c r="AG354" s="26">
        <v>0</v>
      </c>
      <c r="AH354" s="26">
        <v>0</v>
      </c>
      <c r="AI354" s="26">
        <v>0</v>
      </c>
      <c r="AJ354" s="26">
        <v>0</v>
      </c>
      <c r="AK354" s="26">
        <v>0</v>
      </c>
      <c r="AL354" s="26">
        <v>0</v>
      </c>
      <c r="AM354" s="26">
        <v>0</v>
      </c>
      <c r="AN354" s="26">
        <v>0</v>
      </c>
      <c r="AO354" s="26">
        <v>0</v>
      </c>
      <c r="AP354" s="26">
        <v>0</v>
      </c>
      <c r="AQ354" s="26">
        <v>0</v>
      </c>
      <c r="AR354" s="26">
        <v>0</v>
      </c>
      <c r="AS354" s="26">
        <v>0</v>
      </c>
      <c r="AT354" s="26">
        <v>0</v>
      </c>
      <c r="AU354" s="26">
        <v>0</v>
      </c>
      <c r="AV354" s="26">
        <v>0</v>
      </c>
      <c r="AW354" s="26">
        <v>0</v>
      </c>
      <c r="AX354" s="26">
        <v>0</v>
      </c>
      <c r="AY354" s="26">
        <v>0</v>
      </c>
      <c r="AZ354" s="26">
        <v>0</v>
      </c>
      <c r="BA354" s="26">
        <v>0</v>
      </c>
      <c r="BB354" s="26">
        <v>0</v>
      </c>
      <c r="BC354" s="26">
        <v>0</v>
      </c>
      <c r="BD354" s="26">
        <v>0</v>
      </c>
      <c r="BE354" s="26">
        <v>0</v>
      </c>
      <c r="BF354" s="26">
        <v>0</v>
      </c>
      <c r="BG354" s="26">
        <v>0</v>
      </c>
      <c r="BH354" s="26">
        <v>0</v>
      </c>
      <c r="BI354" s="26">
        <v>0</v>
      </c>
      <c r="BJ354" s="26">
        <v>0</v>
      </c>
      <c r="BK354" s="26">
        <v>0</v>
      </c>
      <c r="BL354" s="26">
        <v>0</v>
      </c>
      <c r="BM354" s="26">
        <v>0</v>
      </c>
      <c r="BN354" s="26">
        <v>0</v>
      </c>
      <c r="BO354" s="26">
        <v>0</v>
      </c>
      <c r="BP354" s="26">
        <v>0</v>
      </c>
      <c r="BQ354" s="26">
        <v>0</v>
      </c>
      <c r="BR354" s="26">
        <v>0</v>
      </c>
      <c r="BS354" s="26">
        <v>4.2</v>
      </c>
      <c r="BT354" s="26">
        <v>0</v>
      </c>
      <c r="BU354" s="26">
        <v>0</v>
      </c>
      <c r="BV354" s="26">
        <v>0</v>
      </c>
      <c r="BW354" s="26">
        <v>0</v>
      </c>
      <c r="BX354" s="26">
        <v>0</v>
      </c>
      <c r="BY354" s="26">
        <v>0</v>
      </c>
      <c r="BZ354" s="26">
        <v>0</v>
      </c>
      <c r="CA354" s="26">
        <v>0</v>
      </c>
      <c r="CB354" s="26">
        <v>0</v>
      </c>
      <c r="CC354" s="26">
        <v>0</v>
      </c>
      <c r="CD354" s="26">
        <v>0</v>
      </c>
      <c r="CE354" s="26">
        <v>0</v>
      </c>
      <c r="CF354" s="26">
        <v>0</v>
      </c>
      <c r="CG354" s="26">
        <v>0</v>
      </c>
      <c r="CH354" s="26">
        <v>0</v>
      </c>
      <c r="CI354" s="26">
        <v>0</v>
      </c>
      <c r="CJ354" s="26">
        <v>0</v>
      </c>
      <c r="CK354" s="26">
        <v>0</v>
      </c>
      <c r="CL354" s="26">
        <v>0</v>
      </c>
      <c r="CM354" s="26">
        <v>0</v>
      </c>
      <c r="CN354" s="26">
        <v>0</v>
      </c>
      <c r="CO354" s="26">
        <v>0</v>
      </c>
      <c r="CP354" s="26">
        <v>0</v>
      </c>
      <c r="CQ354" s="26">
        <v>0</v>
      </c>
      <c r="CR354" s="26">
        <v>0</v>
      </c>
      <c r="CS354" s="26">
        <v>0</v>
      </c>
      <c r="CT354" s="26">
        <v>0</v>
      </c>
      <c r="CU354" s="26">
        <v>0</v>
      </c>
      <c r="CV354" s="26">
        <v>0</v>
      </c>
      <c r="CW354" s="26">
        <v>0</v>
      </c>
      <c r="CX354" s="26">
        <v>0</v>
      </c>
      <c r="CY354" s="26">
        <v>0</v>
      </c>
      <c r="CZ354" s="26">
        <v>0</v>
      </c>
      <c r="DA354" s="26">
        <v>0</v>
      </c>
      <c r="DB354" s="26">
        <v>0</v>
      </c>
      <c r="DC354" s="26">
        <v>0</v>
      </c>
      <c r="DD354" s="26">
        <v>0</v>
      </c>
      <c r="DE354" s="26">
        <v>0</v>
      </c>
      <c r="DF354" s="26">
        <v>0</v>
      </c>
      <c r="DG354" s="26">
        <v>0</v>
      </c>
      <c r="DH354" s="26">
        <v>0</v>
      </c>
      <c r="DI354" s="26">
        <v>0</v>
      </c>
      <c r="DJ354" s="26">
        <v>0</v>
      </c>
      <c r="DK354" s="26">
        <v>0</v>
      </c>
      <c r="DL354" s="26">
        <v>0</v>
      </c>
      <c r="DM354" s="26">
        <v>0</v>
      </c>
      <c r="DN354" s="26">
        <v>0</v>
      </c>
      <c r="DO354" s="26">
        <v>0</v>
      </c>
      <c r="DP354" s="26">
        <v>0</v>
      </c>
      <c r="DQ354" s="26">
        <v>0</v>
      </c>
      <c r="DR354" s="26">
        <v>0</v>
      </c>
      <c r="DS354" s="26">
        <v>0</v>
      </c>
      <c r="DT354" s="26">
        <v>0</v>
      </c>
      <c r="DU354" s="26">
        <v>0</v>
      </c>
      <c r="DV354" s="26">
        <v>0</v>
      </c>
      <c r="DW354" s="26">
        <v>0</v>
      </c>
      <c r="DX354" s="26">
        <v>0</v>
      </c>
      <c r="DY354" s="26">
        <v>0</v>
      </c>
      <c r="DZ354" s="26">
        <v>0</v>
      </c>
      <c r="EA354" s="26">
        <v>0</v>
      </c>
      <c r="EB354" s="26">
        <v>0</v>
      </c>
      <c r="EC354" s="26">
        <v>0</v>
      </c>
      <c r="ED354" s="26">
        <v>0</v>
      </c>
      <c r="EE354" s="26">
        <v>0</v>
      </c>
      <c r="EF354" s="26">
        <v>0</v>
      </c>
      <c r="EG354" s="26">
        <v>0</v>
      </c>
      <c r="EH354" s="26">
        <v>0</v>
      </c>
      <c r="EI354" s="26">
        <v>0</v>
      </c>
      <c r="EJ354" s="26">
        <v>0</v>
      </c>
      <c r="EK354" s="26">
        <v>0</v>
      </c>
      <c r="EL354" s="26">
        <v>0</v>
      </c>
      <c r="EM354" s="26">
        <v>0</v>
      </c>
      <c r="EN354" s="26">
        <v>0</v>
      </c>
      <c r="EO354" s="26">
        <v>0</v>
      </c>
      <c r="EP354" s="26">
        <v>0</v>
      </c>
      <c r="EQ354" s="26">
        <v>0</v>
      </c>
      <c r="ER354" s="26">
        <v>0</v>
      </c>
      <c r="ES354" s="26">
        <v>0</v>
      </c>
      <c r="ET354" s="26">
        <v>4.2</v>
      </c>
      <c r="EU354" s="26">
        <v>0</v>
      </c>
      <c r="EV354" s="26">
        <v>0</v>
      </c>
      <c r="EW354" s="26">
        <v>0</v>
      </c>
      <c r="EX354" s="26">
        <v>0</v>
      </c>
      <c r="EY354" s="26">
        <v>0</v>
      </c>
      <c r="EZ354" s="26">
        <v>0</v>
      </c>
      <c r="FA354" s="26">
        <v>0</v>
      </c>
      <c r="FB354" s="26">
        <v>0</v>
      </c>
      <c r="FC354" s="26">
        <v>0</v>
      </c>
      <c r="FD354" s="26">
        <v>0</v>
      </c>
      <c r="FE354" s="26">
        <v>0</v>
      </c>
      <c r="FF354" s="26">
        <v>0</v>
      </c>
      <c r="FG354" s="26">
        <v>0</v>
      </c>
      <c r="FH354" s="26">
        <v>0</v>
      </c>
      <c r="FI354" s="26">
        <v>0</v>
      </c>
      <c r="FJ354" s="26">
        <v>0</v>
      </c>
      <c r="FK354" s="26">
        <v>0</v>
      </c>
      <c r="FL354" s="26">
        <v>0</v>
      </c>
      <c r="FM354" s="26">
        <v>0</v>
      </c>
      <c r="FN354" s="26">
        <v>0</v>
      </c>
      <c r="FO354" s="26">
        <v>0</v>
      </c>
      <c r="FP354" s="26">
        <v>0</v>
      </c>
      <c r="FQ354" s="26">
        <v>0</v>
      </c>
      <c r="FR354" s="26">
        <v>0</v>
      </c>
      <c r="FS354" s="26">
        <v>0</v>
      </c>
      <c r="FT354" s="26">
        <v>0</v>
      </c>
      <c r="FU354" s="26">
        <v>0</v>
      </c>
      <c r="FV354" s="26">
        <v>0</v>
      </c>
      <c r="FW354" s="26">
        <v>0</v>
      </c>
      <c r="FX354" s="26">
        <v>0</v>
      </c>
      <c r="FY354" s="26">
        <v>0</v>
      </c>
      <c r="FZ354" s="26">
        <v>0</v>
      </c>
      <c r="GA354" s="26">
        <v>0</v>
      </c>
      <c r="GB354" s="26">
        <v>0</v>
      </c>
      <c r="GC354" s="26">
        <v>0</v>
      </c>
      <c r="GD354" s="26">
        <v>0</v>
      </c>
      <c r="GE354" s="26">
        <v>0</v>
      </c>
      <c r="GF354" s="26">
        <v>0</v>
      </c>
      <c r="GG354" s="26">
        <v>0</v>
      </c>
      <c r="GH354" s="26">
        <v>0</v>
      </c>
      <c r="GI354" s="26">
        <v>0</v>
      </c>
      <c r="GJ354" s="26">
        <v>0</v>
      </c>
      <c r="GK354" s="26">
        <v>0</v>
      </c>
      <c r="GL354" s="26">
        <v>0</v>
      </c>
      <c r="GM354" s="26">
        <v>0</v>
      </c>
      <c r="GN354" s="26">
        <v>0</v>
      </c>
      <c r="GO354" s="26">
        <v>0</v>
      </c>
      <c r="GP354" s="26">
        <v>0</v>
      </c>
      <c r="GQ354" s="26">
        <v>0</v>
      </c>
      <c r="GR354" s="26">
        <v>0</v>
      </c>
      <c r="GS354" s="26">
        <v>0</v>
      </c>
      <c r="GT354" s="26">
        <v>0</v>
      </c>
      <c r="GU354" s="26">
        <v>0</v>
      </c>
      <c r="GV354" s="26">
        <v>0</v>
      </c>
      <c r="GW354" s="26">
        <v>0</v>
      </c>
      <c r="GX354" s="26">
        <v>0</v>
      </c>
      <c r="GY354" s="26">
        <v>0</v>
      </c>
      <c r="GZ354" s="26">
        <v>0</v>
      </c>
      <c r="HA354" s="26">
        <v>0</v>
      </c>
      <c r="HB354" s="26">
        <v>0</v>
      </c>
      <c r="HC354" s="26">
        <v>0</v>
      </c>
      <c r="HD354" s="26">
        <v>0</v>
      </c>
      <c r="HE354" s="26">
        <v>0</v>
      </c>
      <c r="HF354" s="26">
        <v>0</v>
      </c>
      <c r="HG354" s="26">
        <v>0</v>
      </c>
      <c r="HH354" s="26">
        <v>0</v>
      </c>
      <c r="HI354" s="26">
        <v>0</v>
      </c>
      <c r="HJ354" s="26">
        <v>0</v>
      </c>
      <c r="HK354" s="26">
        <v>0</v>
      </c>
      <c r="HL354" s="26">
        <v>0</v>
      </c>
      <c r="HM354" s="26">
        <v>0</v>
      </c>
      <c r="HN354" s="26">
        <v>0</v>
      </c>
      <c r="HO354" s="26">
        <v>0</v>
      </c>
      <c r="HP354" s="26">
        <v>0</v>
      </c>
      <c r="HQ354" s="26">
        <v>0</v>
      </c>
      <c r="HR354" s="26">
        <v>0</v>
      </c>
      <c r="HS354" s="26">
        <v>0</v>
      </c>
      <c r="HT354" s="26">
        <v>0</v>
      </c>
    </row>
    <row r="355" spans="2:228" x14ac:dyDescent="0.2">
      <c r="B355" s="27" t="s">
        <v>2913</v>
      </c>
      <c r="C355" s="26">
        <v>0</v>
      </c>
      <c r="D355" s="26">
        <v>0</v>
      </c>
      <c r="E355" s="26">
        <v>0</v>
      </c>
      <c r="F355" s="26">
        <v>0</v>
      </c>
      <c r="G355" s="26">
        <v>0</v>
      </c>
      <c r="H355" s="26">
        <v>0</v>
      </c>
      <c r="I355" s="26">
        <v>0</v>
      </c>
      <c r="J355" s="26">
        <v>0</v>
      </c>
      <c r="K355" s="26">
        <v>0</v>
      </c>
      <c r="L355" s="26">
        <v>0</v>
      </c>
      <c r="M355" s="26">
        <v>0</v>
      </c>
      <c r="N355" s="26">
        <v>0</v>
      </c>
      <c r="O355" s="26">
        <v>0</v>
      </c>
      <c r="P355" s="26">
        <v>0</v>
      </c>
      <c r="Q355" s="26">
        <v>0</v>
      </c>
      <c r="R355" s="26">
        <v>0</v>
      </c>
      <c r="S355" s="26">
        <v>0</v>
      </c>
      <c r="T355" s="26">
        <v>0</v>
      </c>
      <c r="U355" s="26">
        <v>0</v>
      </c>
      <c r="V355" s="26">
        <v>0</v>
      </c>
      <c r="W355" s="26">
        <v>0</v>
      </c>
      <c r="X355" s="26">
        <v>0</v>
      </c>
      <c r="Y355" s="26">
        <v>0</v>
      </c>
      <c r="Z355" s="26">
        <v>0</v>
      </c>
      <c r="AA355" s="26">
        <v>0</v>
      </c>
      <c r="AB355" s="26">
        <v>0</v>
      </c>
      <c r="AC355" s="26">
        <v>0</v>
      </c>
      <c r="AD355" s="26">
        <v>0</v>
      </c>
      <c r="AE355" s="26">
        <v>0</v>
      </c>
      <c r="AF355" s="26">
        <v>0</v>
      </c>
      <c r="AG355" s="26">
        <v>0</v>
      </c>
      <c r="AH355" s="26">
        <v>0</v>
      </c>
      <c r="AI355" s="26">
        <v>0</v>
      </c>
      <c r="AJ355" s="26">
        <v>0</v>
      </c>
      <c r="AK355" s="26">
        <v>0</v>
      </c>
      <c r="AL355" s="26">
        <v>0</v>
      </c>
      <c r="AM355" s="26">
        <v>0</v>
      </c>
      <c r="AN355" s="26">
        <v>0</v>
      </c>
      <c r="AO355" s="26">
        <v>0</v>
      </c>
      <c r="AP355" s="26">
        <v>0</v>
      </c>
      <c r="AQ355" s="26">
        <v>0</v>
      </c>
      <c r="AR355" s="26">
        <v>0</v>
      </c>
      <c r="AS355" s="26">
        <v>0</v>
      </c>
      <c r="AT355" s="26">
        <v>0</v>
      </c>
      <c r="AU355" s="26">
        <v>0</v>
      </c>
      <c r="AV355" s="26">
        <v>0</v>
      </c>
      <c r="AW355" s="26">
        <v>0</v>
      </c>
      <c r="AX355" s="26">
        <v>0</v>
      </c>
      <c r="AY355" s="26">
        <v>0</v>
      </c>
      <c r="AZ355" s="26">
        <v>0</v>
      </c>
      <c r="BA355" s="26">
        <v>0</v>
      </c>
      <c r="BB355" s="26">
        <v>0</v>
      </c>
      <c r="BC355" s="26">
        <v>0</v>
      </c>
      <c r="BD355" s="26">
        <v>0</v>
      </c>
      <c r="BE355" s="26">
        <v>0</v>
      </c>
      <c r="BF355" s="26">
        <v>0</v>
      </c>
      <c r="BG355" s="26">
        <v>0</v>
      </c>
      <c r="BH355" s="26">
        <v>0</v>
      </c>
      <c r="BI355" s="26">
        <v>0</v>
      </c>
      <c r="BJ355" s="26">
        <v>0</v>
      </c>
      <c r="BK355" s="26">
        <v>0</v>
      </c>
      <c r="BL355" s="26">
        <v>0</v>
      </c>
      <c r="BM355" s="26">
        <v>0</v>
      </c>
      <c r="BN355" s="26">
        <v>0</v>
      </c>
      <c r="BO355" s="26">
        <v>0</v>
      </c>
      <c r="BP355" s="26">
        <v>0</v>
      </c>
      <c r="BQ355" s="26">
        <v>0</v>
      </c>
      <c r="BR355" s="26">
        <v>0</v>
      </c>
      <c r="BS355" s="26">
        <v>3.4</v>
      </c>
      <c r="BT355" s="26">
        <v>0</v>
      </c>
      <c r="BU355" s="26">
        <v>0</v>
      </c>
      <c r="BV355" s="26">
        <v>0</v>
      </c>
      <c r="BW355" s="26">
        <v>0</v>
      </c>
      <c r="BX355" s="26">
        <v>0</v>
      </c>
      <c r="BY355" s="26">
        <v>0</v>
      </c>
      <c r="BZ355" s="26">
        <v>0</v>
      </c>
      <c r="CA355" s="26">
        <v>0</v>
      </c>
      <c r="CB355" s="26">
        <v>0</v>
      </c>
      <c r="CC355" s="26">
        <v>0</v>
      </c>
      <c r="CD355" s="26">
        <v>0</v>
      </c>
      <c r="CE355" s="26">
        <v>0</v>
      </c>
      <c r="CF355" s="26">
        <v>0</v>
      </c>
      <c r="CG355" s="26">
        <v>0</v>
      </c>
      <c r="CH355" s="26">
        <v>0</v>
      </c>
      <c r="CI355" s="26">
        <v>0</v>
      </c>
      <c r="CJ355" s="26">
        <v>0</v>
      </c>
      <c r="CK355" s="26">
        <v>0</v>
      </c>
      <c r="CL355" s="26">
        <v>0</v>
      </c>
      <c r="CM355" s="26">
        <v>0</v>
      </c>
      <c r="CN355" s="26">
        <v>0</v>
      </c>
      <c r="CO355" s="26">
        <v>0</v>
      </c>
      <c r="CP355" s="26">
        <v>0</v>
      </c>
      <c r="CQ355" s="26">
        <v>0</v>
      </c>
      <c r="CR355" s="26">
        <v>0</v>
      </c>
      <c r="CS355" s="26">
        <v>0</v>
      </c>
      <c r="CT355" s="26">
        <v>0</v>
      </c>
      <c r="CU355" s="26">
        <v>0</v>
      </c>
      <c r="CV355" s="26">
        <v>0</v>
      </c>
      <c r="CW355" s="26">
        <v>0</v>
      </c>
      <c r="CX355" s="26">
        <v>0</v>
      </c>
      <c r="CY355" s="26">
        <v>0</v>
      </c>
      <c r="CZ355" s="26">
        <v>0</v>
      </c>
      <c r="DA355" s="26">
        <v>0</v>
      </c>
      <c r="DB355" s="26">
        <v>0</v>
      </c>
      <c r="DC355" s="26">
        <v>0</v>
      </c>
      <c r="DD355" s="26">
        <v>0</v>
      </c>
      <c r="DE355" s="26">
        <v>0</v>
      </c>
      <c r="DF355" s="26">
        <v>0</v>
      </c>
      <c r="DG355" s="26">
        <v>0</v>
      </c>
      <c r="DH355" s="26">
        <v>0</v>
      </c>
      <c r="DI355" s="26">
        <v>0</v>
      </c>
      <c r="DJ355" s="26">
        <v>0</v>
      </c>
      <c r="DK355" s="26">
        <v>0</v>
      </c>
      <c r="DL355" s="26">
        <v>0</v>
      </c>
      <c r="DM355" s="26">
        <v>0</v>
      </c>
      <c r="DN355" s="26">
        <v>0</v>
      </c>
      <c r="DO355" s="26">
        <v>0</v>
      </c>
      <c r="DP355" s="26">
        <v>0</v>
      </c>
      <c r="DQ355" s="26">
        <v>0</v>
      </c>
      <c r="DR355" s="26">
        <v>0</v>
      </c>
      <c r="DS355" s="26">
        <v>0</v>
      </c>
      <c r="DT355" s="26">
        <v>0</v>
      </c>
      <c r="DU355" s="26">
        <v>0</v>
      </c>
      <c r="DV355" s="26">
        <v>0</v>
      </c>
      <c r="DW355" s="26">
        <v>0</v>
      </c>
      <c r="DX355" s="26">
        <v>0</v>
      </c>
      <c r="DY355" s="26">
        <v>0</v>
      </c>
      <c r="DZ355" s="26">
        <v>0</v>
      </c>
      <c r="EA355" s="26">
        <v>0</v>
      </c>
      <c r="EB355" s="26">
        <v>0</v>
      </c>
      <c r="EC355" s="26">
        <v>0</v>
      </c>
      <c r="ED355" s="26">
        <v>0</v>
      </c>
      <c r="EE355" s="26">
        <v>0</v>
      </c>
      <c r="EF355" s="26">
        <v>0</v>
      </c>
      <c r="EG355" s="26">
        <v>0</v>
      </c>
      <c r="EH355" s="26">
        <v>0</v>
      </c>
      <c r="EI355" s="26">
        <v>0</v>
      </c>
      <c r="EJ355" s="26">
        <v>0</v>
      </c>
      <c r="EK355" s="26">
        <v>0</v>
      </c>
      <c r="EL355" s="26">
        <v>0</v>
      </c>
      <c r="EM355" s="26">
        <v>0</v>
      </c>
      <c r="EN355" s="26">
        <v>0</v>
      </c>
      <c r="EO355" s="26">
        <v>0</v>
      </c>
      <c r="EP355" s="26">
        <v>0</v>
      </c>
      <c r="EQ355" s="26">
        <v>0</v>
      </c>
      <c r="ER355" s="26">
        <v>0</v>
      </c>
      <c r="ES355" s="26">
        <v>0</v>
      </c>
      <c r="ET355" s="26">
        <v>3.4</v>
      </c>
      <c r="EU355" s="26">
        <v>0</v>
      </c>
      <c r="EV355" s="26">
        <v>0</v>
      </c>
      <c r="EW355" s="26">
        <v>0</v>
      </c>
      <c r="EX355" s="26">
        <v>0</v>
      </c>
      <c r="EY355" s="26">
        <v>0</v>
      </c>
      <c r="EZ355" s="26">
        <v>0</v>
      </c>
      <c r="FA355" s="26">
        <v>0</v>
      </c>
      <c r="FB355" s="26">
        <v>0</v>
      </c>
      <c r="FC355" s="26">
        <v>0</v>
      </c>
      <c r="FD355" s="26">
        <v>0</v>
      </c>
      <c r="FE355" s="26">
        <v>0</v>
      </c>
      <c r="FF355" s="26">
        <v>0</v>
      </c>
      <c r="FG355" s="26">
        <v>0</v>
      </c>
      <c r="FH355" s="26">
        <v>0</v>
      </c>
      <c r="FI355" s="26">
        <v>0</v>
      </c>
      <c r="FJ355" s="26">
        <v>0</v>
      </c>
      <c r="FK355" s="26">
        <v>0</v>
      </c>
      <c r="FL355" s="26">
        <v>0</v>
      </c>
      <c r="FM355" s="26">
        <v>0</v>
      </c>
      <c r="FN355" s="26">
        <v>0</v>
      </c>
      <c r="FO355" s="26">
        <v>0</v>
      </c>
      <c r="FP355" s="26">
        <v>0</v>
      </c>
      <c r="FQ355" s="26">
        <v>0</v>
      </c>
      <c r="FR355" s="26">
        <v>0</v>
      </c>
      <c r="FS355" s="26">
        <v>0</v>
      </c>
      <c r="FT355" s="26">
        <v>0</v>
      </c>
      <c r="FU355" s="26">
        <v>0</v>
      </c>
      <c r="FV355" s="26">
        <v>0</v>
      </c>
      <c r="FW355" s="26">
        <v>0</v>
      </c>
      <c r="FX355" s="26">
        <v>0</v>
      </c>
      <c r="FY355" s="26">
        <v>0</v>
      </c>
      <c r="FZ355" s="26">
        <v>0</v>
      </c>
      <c r="GA355" s="26">
        <v>0</v>
      </c>
      <c r="GB355" s="26">
        <v>0</v>
      </c>
      <c r="GC355" s="26">
        <v>0</v>
      </c>
      <c r="GD355" s="26">
        <v>0</v>
      </c>
      <c r="GE355" s="26">
        <v>0</v>
      </c>
      <c r="GF355" s="26">
        <v>0</v>
      </c>
      <c r="GG355" s="26">
        <v>0</v>
      </c>
      <c r="GH355" s="26">
        <v>0</v>
      </c>
      <c r="GI355" s="26">
        <v>0</v>
      </c>
      <c r="GJ355" s="26">
        <v>0</v>
      </c>
      <c r="GK355" s="26">
        <v>0</v>
      </c>
      <c r="GL355" s="26">
        <v>0</v>
      </c>
      <c r="GM355" s="26">
        <v>0</v>
      </c>
      <c r="GN355" s="26">
        <v>0</v>
      </c>
      <c r="GO355" s="26">
        <v>0</v>
      </c>
      <c r="GP355" s="26">
        <v>0</v>
      </c>
      <c r="GQ355" s="26">
        <v>0</v>
      </c>
      <c r="GR355" s="26">
        <v>0</v>
      </c>
      <c r="GS355" s="26">
        <v>0</v>
      </c>
      <c r="GT355" s="26">
        <v>0</v>
      </c>
      <c r="GU355" s="26">
        <v>0</v>
      </c>
      <c r="GV355" s="26">
        <v>0</v>
      </c>
      <c r="GW355" s="26">
        <v>0</v>
      </c>
      <c r="GX355" s="26">
        <v>0</v>
      </c>
      <c r="GY355" s="26">
        <v>0</v>
      </c>
      <c r="GZ355" s="26">
        <v>0</v>
      </c>
      <c r="HA355" s="26">
        <v>0</v>
      </c>
      <c r="HB355" s="26">
        <v>0</v>
      </c>
      <c r="HC355" s="26">
        <v>0</v>
      </c>
      <c r="HD355" s="26">
        <v>0</v>
      </c>
      <c r="HE355" s="26">
        <v>0</v>
      </c>
      <c r="HF355" s="26">
        <v>0</v>
      </c>
      <c r="HG355" s="26">
        <v>0</v>
      </c>
      <c r="HH355" s="26">
        <v>0</v>
      </c>
      <c r="HI355" s="26">
        <v>0</v>
      </c>
      <c r="HJ355" s="26">
        <v>0</v>
      </c>
      <c r="HK355" s="26">
        <v>0</v>
      </c>
      <c r="HL355" s="26">
        <v>0</v>
      </c>
      <c r="HM355" s="26">
        <v>0</v>
      </c>
      <c r="HN355" s="26">
        <v>0</v>
      </c>
      <c r="HO355" s="26">
        <v>0</v>
      </c>
      <c r="HP355" s="26">
        <v>0</v>
      </c>
      <c r="HQ355" s="26">
        <v>0</v>
      </c>
      <c r="HR355" s="26">
        <v>0</v>
      </c>
      <c r="HS355" s="26">
        <v>0</v>
      </c>
      <c r="HT355" s="26">
        <v>0</v>
      </c>
    </row>
    <row r="356" spans="2:228" x14ac:dyDescent="0.2">
      <c r="B356" s="27" t="s">
        <v>2915</v>
      </c>
      <c r="C356" s="26">
        <v>241968.21799999999</v>
      </c>
      <c r="D356" s="26">
        <v>-896.10552700000005</v>
      </c>
      <c r="E356" s="26">
        <v>241968.21799999999</v>
      </c>
      <c r="F356" s="26">
        <v>0</v>
      </c>
      <c r="G356" s="26">
        <v>0</v>
      </c>
      <c r="H356" s="26">
        <v>0</v>
      </c>
      <c r="I356" s="26">
        <v>0</v>
      </c>
      <c r="J356" s="26">
        <v>0</v>
      </c>
      <c r="K356" s="26">
        <v>0</v>
      </c>
      <c r="L356" s="26">
        <v>0</v>
      </c>
      <c r="M356" s="26">
        <v>0</v>
      </c>
      <c r="N356" s="26">
        <v>0</v>
      </c>
      <c r="O356" s="26">
        <v>0</v>
      </c>
      <c r="P356" s="26">
        <v>0</v>
      </c>
      <c r="Q356" s="26">
        <v>0</v>
      </c>
      <c r="R356" s="26">
        <v>0</v>
      </c>
      <c r="S356" s="26">
        <v>0</v>
      </c>
      <c r="T356" s="26">
        <v>0</v>
      </c>
      <c r="U356" s="26">
        <v>0</v>
      </c>
      <c r="V356" s="26">
        <v>0</v>
      </c>
      <c r="W356" s="26">
        <v>0</v>
      </c>
      <c r="X356" s="26">
        <v>0</v>
      </c>
      <c r="Y356" s="26">
        <v>0</v>
      </c>
      <c r="Z356" s="26">
        <v>0</v>
      </c>
      <c r="AA356" s="26">
        <v>0</v>
      </c>
      <c r="AB356" s="26">
        <v>0</v>
      </c>
      <c r="AC356" s="26">
        <v>0</v>
      </c>
      <c r="AD356" s="26">
        <v>0</v>
      </c>
      <c r="AE356" s="26">
        <v>0</v>
      </c>
      <c r="AF356" s="26">
        <v>0</v>
      </c>
      <c r="AG356" s="26">
        <v>0</v>
      </c>
      <c r="AH356" s="26">
        <v>0</v>
      </c>
      <c r="AI356" s="26">
        <v>0</v>
      </c>
      <c r="AJ356" s="26">
        <v>0</v>
      </c>
      <c r="AK356" s="26">
        <v>0</v>
      </c>
      <c r="AL356" s="26">
        <v>0</v>
      </c>
      <c r="AM356" s="26">
        <v>0</v>
      </c>
      <c r="AN356" s="26">
        <v>0</v>
      </c>
      <c r="AO356" s="26">
        <v>0</v>
      </c>
      <c r="AP356" s="26">
        <v>0</v>
      </c>
      <c r="AQ356" s="26">
        <v>0</v>
      </c>
      <c r="AR356" s="26">
        <v>0</v>
      </c>
      <c r="AS356" s="26">
        <v>0</v>
      </c>
      <c r="AT356" s="26">
        <v>0</v>
      </c>
      <c r="AU356" s="26">
        <v>0</v>
      </c>
      <c r="AV356" s="26">
        <v>0</v>
      </c>
      <c r="AW356" s="26">
        <v>0</v>
      </c>
      <c r="AX356" s="26">
        <v>0</v>
      </c>
      <c r="AY356" s="26">
        <v>0</v>
      </c>
      <c r="AZ356" s="26">
        <v>0</v>
      </c>
      <c r="BA356" s="26">
        <v>0</v>
      </c>
      <c r="BB356" s="26">
        <v>0</v>
      </c>
      <c r="BC356" s="26">
        <v>0</v>
      </c>
      <c r="BD356" s="26">
        <v>0</v>
      </c>
      <c r="BE356" s="26">
        <v>0</v>
      </c>
      <c r="BF356" s="26">
        <v>0</v>
      </c>
      <c r="BG356" s="26">
        <v>0</v>
      </c>
      <c r="BH356" s="26">
        <v>0</v>
      </c>
      <c r="BI356" s="26">
        <v>0</v>
      </c>
      <c r="BJ356" s="26">
        <v>0</v>
      </c>
      <c r="BK356" s="26">
        <v>0</v>
      </c>
      <c r="BL356" s="26">
        <v>0</v>
      </c>
      <c r="BM356" s="26">
        <v>0</v>
      </c>
      <c r="BN356" s="26">
        <v>0</v>
      </c>
      <c r="BO356" s="26">
        <v>13431.277099999999</v>
      </c>
      <c r="BP356" s="26">
        <v>241968.21799999999</v>
      </c>
      <c r="BQ356" s="26">
        <v>4244.8487999999998</v>
      </c>
      <c r="BR356" s="26">
        <v>110.97848199999999</v>
      </c>
      <c r="BS356" s="26">
        <v>3.4</v>
      </c>
      <c r="BT356" s="26">
        <v>0</v>
      </c>
      <c r="BU356" s="26">
        <v>1</v>
      </c>
      <c r="BV356" s="26">
        <v>0</v>
      </c>
      <c r="BW356" s="26">
        <v>-66717.819199999998</v>
      </c>
      <c r="BX356" s="26">
        <v>-3703.4017399999998</v>
      </c>
      <c r="BY356" s="26">
        <v>-896.10552700000005</v>
      </c>
      <c r="BZ356" s="26">
        <v>-34.403250999999997</v>
      </c>
      <c r="CA356" s="26">
        <v>-1.9096706299999999</v>
      </c>
      <c r="CB356" s="26">
        <v>5.2735592400000003E-2</v>
      </c>
      <c r="CC356" s="26">
        <v>0.95004646299999995</v>
      </c>
      <c r="CD356" s="26">
        <v>18.015280000000001</v>
      </c>
      <c r="CE356" s="26">
        <v>4040.57582</v>
      </c>
      <c r="CF356" s="26">
        <v>0</v>
      </c>
      <c r="CG356" s="26">
        <v>0</v>
      </c>
      <c r="CH356" s="26">
        <v>0</v>
      </c>
      <c r="CI356" s="26">
        <v>0</v>
      </c>
      <c r="CJ356" s="26">
        <v>0</v>
      </c>
      <c r="CK356" s="26">
        <v>0</v>
      </c>
      <c r="CL356" s="26">
        <v>0</v>
      </c>
      <c r="CM356" s="26">
        <v>0</v>
      </c>
      <c r="CN356" s="26">
        <v>0</v>
      </c>
      <c r="CO356" s="26">
        <v>0</v>
      </c>
      <c r="CP356" s="26">
        <v>0</v>
      </c>
      <c r="CQ356" s="26">
        <v>0</v>
      </c>
      <c r="CR356" s="26">
        <v>0</v>
      </c>
      <c r="CS356" s="26">
        <v>0</v>
      </c>
      <c r="CT356" s="26">
        <v>0</v>
      </c>
      <c r="CU356" s="26">
        <v>0</v>
      </c>
      <c r="CV356" s="26">
        <v>0</v>
      </c>
      <c r="CW356" s="26">
        <v>0</v>
      </c>
      <c r="CX356" s="26">
        <v>0</v>
      </c>
      <c r="CY356" s="26">
        <v>0</v>
      </c>
      <c r="CZ356" s="26">
        <v>0</v>
      </c>
      <c r="DA356" s="26">
        <v>0</v>
      </c>
      <c r="DB356" s="26">
        <v>0</v>
      </c>
      <c r="DC356" s="26">
        <v>0</v>
      </c>
      <c r="DD356" s="26">
        <v>0</v>
      </c>
      <c r="DE356" s="26">
        <v>0</v>
      </c>
      <c r="DF356" s="26">
        <v>0</v>
      </c>
      <c r="DG356" s="26">
        <v>0</v>
      </c>
      <c r="DH356" s="26">
        <v>0</v>
      </c>
      <c r="DI356" s="26">
        <v>0</v>
      </c>
      <c r="DJ356" s="26">
        <v>0</v>
      </c>
      <c r="DK356" s="26">
        <v>0</v>
      </c>
      <c r="DL356" s="26">
        <v>0</v>
      </c>
      <c r="DM356" s="26">
        <v>0</v>
      </c>
      <c r="DN356" s="26">
        <v>0</v>
      </c>
      <c r="DO356" s="26">
        <v>0</v>
      </c>
      <c r="DP356" s="26">
        <v>0</v>
      </c>
      <c r="DQ356" s="26">
        <v>0</v>
      </c>
      <c r="DR356" s="26">
        <v>0</v>
      </c>
      <c r="DS356" s="26">
        <v>0</v>
      </c>
      <c r="DT356" s="26">
        <v>0</v>
      </c>
      <c r="DU356" s="26">
        <v>0</v>
      </c>
      <c r="DV356" s="26">
        <v>0</v>
      </c>
      <c r="DW356" s="26">
        <v>0</v>
      </c>
      <c r="DX356" s="26">
        <v>0</v>
      </c>
      <c r="DY356" s="26">
        <v>0</v>
      </c>
      <c r="DZ356" s="26">
        <v>0</v>
      </c>
      <c r="EA356" s="26">
        <v>0</v>
      </c>
      <c r="EB356" s="26">
        <v>0</v>
      </c>
      <c r="EC356" s="26">
        <v>0</v>
      </c>
      <c r="ED356" s="26">
        <v>0</v>
      </c>
      <c r="EE356" s="26">
        <v>0</v>
      </c>
      <c r="EF356" s="26">
        <v>0</v>
      </c>
      <c r="EG356" s="26">
        <v>0</v>
      </c>
      <c r="EH356" s="26">
        <v>0</v>
      </c>
      <c r="EI356" s="26">
        <v>0</v>
      </c>
      <c r="EJ356" s="26">
        <v>0</v>
      </c>
      <c r="EK356" s="26">
        <v>0</v>
      </c>
      <c r="EL356" s="26">
        <v>0</v>
      </c>
      <c r="EM356" s="26">
        <v>0</v>
      </c>
      <c r="EN356" s="26">
        <v>0</v>
      </c>
      <c r="EO356" s="26">
        <v>0</v>
      </c>
      <c r="EP356" s="26">
        <v>0</v>
      </c>
      <c r="EQ356" s="26">
        <v>0</v>
      </c>
      <c r="ER356" s="26">
        <v>0</v>
      </c>
      <c r="ES356" s="26">
        <v>0</v>
      </c>
      <c r="ET356" s="26">
        <v>3.4</v>
      </c>
      <c r="EU356" s="26">
        <v>0</v>
      </c>
      <c r="EV356" s="26">
        <v>0</v>
      </c>
      <c r="EW356" s="26">
        <v>0</v>
      </c>
      <c r="EX356" s="26">
        <v>0</v>
      </c>
      <c r="EY356" s="26">
        <v>0</v>
      </c>
      <c r="EZ356" s="26">
        <v>0</v>
      </c>
      <c r="FA356" s="26">
        <v>0</v>
      </c>
      <c r="FB356" s="26">
        <v>0</v>
      </c>
      <c r="FC356" s="26">
        <v>0</v>
      </c>
      <c r="FD356" s="26">
        <v>0</v>
      </c>
      <c r="FE356" s="26">
        <v>0</v>
      </c>
      <c r="FF356" s="26">
        <v>0</v>
      </c>
      <c r="FG356" s="26">
        <v>0</v>
      </c>
      <c r="FH356" s="26">
        <v>-1066363898.1670001</v>
      </c>
      <c r="FI356" s="26">
        <v>0</v>
      </c>
      <c r="FJ356" s="26">
        <v>0</v>
      </c>
      <c r="FK356" s="26">
        <v>0</v>
      </c>
      <c r="FL356" s="26">
        <v>0</v>
      </c>
      <c r="FM356" s="26">
        <v>0</v>
      </c>
      <c r="FN356" s="26">
        <v>0</v>
      </c>
      <c r="FO356" s="26">
        <v>0</v>
      </c>
      <c r="FP356" s="26">
        <v>0</v>
      </c>
      <c r="FQ356" s="26">
        <v>0</v>
      </c>
      <c r="FR356" s="26">
        <v>0</v>
      </c>
      <c r="FS356" s="26">
        <v>0</v>
      </c>
      <c r="FT356" s="26">
        <v>0</v>
      </c>
      <c r="FU356" s="26">
        <v>0</v>
      </c>
      <c r="FV356" s="26">
        <v>0</v>
      </c>
      <c r="FW356" s="26">
        <v>0</v>
      </c>
      <c r="FX356" s="26">
        <v>0</v>
      </c>
      <c r="FY356" s="26">
        <v>0</v>
      </c>
      <c r="FZ356" s="26">
        <v>0</v>
      </c>
      <c r="GA356" s="26">
        <v>0</v>
      </c>
      <c r="GB356" s="26">
        <v>0</v>
      </c>
      <c r="GC356" s="26">
        <v>0</v>
      </c>
      <c r="GD356" s="26">
        <v>0</v>
      </c>
      <c r="GE356" s="26">
        <v>0</v>
      </c>
      <c r="GF356" s="26">
        <v>0</v>
      </c>
      <c r="GG356" s="26">
        <v>0</v>
      </c>
      <c r="GH356" s="26">
        <v>0</v>
      </c>
      <c r="GI356" s="26">
        <v>0</v>
      </c>
      <c r="GJ356" s="26">
        <v>0</v>
      </c>
      <c r="GK356" s="26">
        <v>0</v>
      </c>
      <c r="GL356" s="26">
        <v>0</v>
      </c>
      <c r="GM356" s="26">
        <v>0</v>
      </c>
      <c r="GN356" s="26">
        <v>0</v>
      </c>
      <c r="GO356" s="26">
        <v>0</v>
      </c>
      <c r="GP356" s="26">
        <v>0</v>
      </c>
      <c r="GQ356" s="26">
        <v>0</v>
      </c>
      <c r="GR356" s="26">
        <v>0</v>
      </c>
      <c r="GS356" s="26">
        <v>0</v>
      </c>
      <c r="GT356" s="26">
        <v>0</v>
      </c>
      <c r="GU356" s="26">
        <v>0</v>
      </c>
      <c r="GV356" s="26">
        <v>0</v>
      </c>
      <c r="GW356" s="26">
        <v>0</v>
      </c>
      <c r="GX356" s="26">
        <v>0</v>
      </c>
      <c r="GY356" s="26">
        <v>0</v>
      </c>
      <c r="GZ356" s="26">
        <v>0</v>
      </c>
      <c r="HA356" s="26">
        <v>0</v>
      </c>
      <c r="HB356" s="26">
        <v>0</v>
      </c>
      <c r="HC356" s="26">
        <v>0</v>
      </c>
      <c r="HD356" s="26">
        <v>0</v>
      </c>
      <c r="HE356" s="26">
        <v>0</v>
      </c>
      <c r="HF356" s="26">
        <v>0</v>
      </c>
      <c r="HG356" s="26">
        <v>0</v>
      </c>
      <c r="HH356" s="26">
        <v>0</v>
      </c>
      <c r="HI356" s="26">
        <v>0</v>
      </c>
      <c r="HJ356" s="26">
        <v>0</v>
      </c>
      <c r="HK356" s="26">
        <v>0</v>
      </c>
      <c r="HL356" s="26">
        <v>0</v>
      </c>
      <c r="HM356" s="26">
        <v>0</v>
      </c>
      <c r="HN356" s="26">
        <v>0</v>
      </c>
      <c r="HO356" s="26">
        <v>0</v>
      </c>
      <c r="HP356" s="26">
        <v>0</v>
      </c>
      <c r="HQ356" s="26">
        <v>0</v>
      </c>
      <c r="HR356" s="26">
        <v>0</v>
      </c>
      <c r="HS356" s="26">
        <v>0</v>
      </c>
      <c r="HT356" s="26">
        <v>0</v>
      </c>
    </row>
    <row r="357" spans="2:228" x14ac:dyDescent="0.2">
      <c r="B357" s="27" t="s">
        <v>1445</v>
      </c>
      <c r="C357" s="26">
        <v>35306.827799999999</v>
      </c>
      <c r="D357" s="26">
        <v>-133.50773799999999</v>
      </c>
      <c r="E357" s="26">
        <v>35306.827799999999</v>
      </c>
      <c r="F357" s="26">
        <v>0</v>
      </c>
      <c r="G357" s="26">
        <v>0</v>
      </c>
      <c r="H357" s="26">
        <v>0</v>
      </c>
      <c r="I357" s="26">
        <v>0</v>
      </c>
      <c r="J357" s="26">
        <v>0</v>
      </c>
      <c r="K357" s="26">
        <v>0</v>
      </c>
      <c r="L357" s="26">
        <v>0</v>
      </c>
      <c r="M357" s="26">
        <v>0</v>
      </c>
      <c r="N357" s="26">
        <v>0</v>
      </c>
      <c r="O357" s="26">
        <v>0</v>
      </c>
      <c r="P357" s="26">
        <v>0</v>
      </c>
      <c r="Q357" s="26">
        <v>0</v>
      </c>
      <c r="R357" s="26">
        <v>0</v>
      </c>
      <c r="S357" s="26">
        <v>0</v>
      </c>
      <c r="T357" s="26">
        <v>0</v>
      </c>
      <c r="U357" s="26">
        <v>0</v>
      </c>
      <c r="V357" s="26">
        <v>0</v>
      </c>
      <c r="W357" s="26">
        <v>0</v>
      </c>
      <c r="X357" s="26">
        <v>0</v>
      </c>
      <c r="Y357" s="26">
        <v>0</v>
      </c>
      <c r="Z357" s="26">
        <v>0</v>
      </c>
      <c r="AA357" s="26">
        <v>0</v>
      </c>
      <c r="AB357" s="26">
        <v>0</v>
      </c>
      <c r="AC357" s="26">
        <v>0</v>
      </c>
      <c r="AD357" s="26">
        <v>0</v>
      </c>
      <c r="AE357" s="26">
        <v>0</v>
      </c>
      <c r="AF357" s="26">
        <v>0</v>
      </c>
      <c r="AG357" s="26">
        <v>0</v>
      </c>
      <c r="AH357" s="26">
        <v>0</v>
      </c>
      <c r="AI357" s="26">
        <v>0</v>
      </c>
      <c r="AJ357" s="26">
        <v>0</v>
      </c>
      <c r="AK357" s="26">
        <v>0</v>
      </c>
      <c r="AL357" s="26">
        <v>0</v>
      </c>
      <c r="AM357" s="26">
        <v>0</v>
      </c>
      <c r="AN357" s="26">
        <v>0</v>
      </c>
      <c r="AO357" s="26">
        <v>0</v>
      </c>
      <c r="AP357" s="26">
        <v>0</v>
      </c>
      <c r="AQ357" s="26">
        <v>0</v>
      </c>
      <c r="AR357" s="26">
        <v>0</v>
      </c>
      <c r="AS357" s="26">
        <v>0</v>
      </c>
      <c r="AT357" s="26">
        <v>0</v>
      </c>
      <c r="AU357" s="26">
        <v>0</v>
      </c>
      <c r="AV357" s="26">
        <v>0</v>
      </c>
      <c r="AW357" s="26">
        <v>0</v>
      </c>
      <c r="AX357" s="26">
        <v>0</v>
      </c>
      <c r="AY357" s="26">
        <v>0</v>
      </c>
      <c r="AZ357" s="26">
        <v>0</v>
      </c>
      <c r="BA357" s="26">
        <v>0</v>
      </c>
      <c r="BB357" s="26">
        <v>0</v>
      </c>
      <c r="BC357" s="26">
        <v>0</v>
      </c>
      <c r="BD357" s="26">
        <v>0</v>
      </c>
      <c r="BE357" s="26">
        <v>0</v>
      </c>
      <c r="BF357" s="26">
        <v>0</v>
      </c>
      <c r="BG357" s="26">
        <v>0</v>
      </c>
      <c r="BH357" s="26">
        <v>0</v>
      </c>
      <c r="BI357" s="26">
        <v>0</v>
      </c>
      <c r="BJ357" s="26">
        <v>0</v>
      </c>
      <c r="BK357" s="26">
        <v>0</v>
      </c>
      <c r="BL357" s="26">
        <v>0</v>
      </c>
      <c r="BM357" s="26">
        <v>0</v>
      </c>
      <c r="BN357" s="26">
        <v>0</v>
      </c>
      <c r="BO357" s="26">
        <v>1959.8267599999997</v>
      </c>
      <c r="BP357" s="26">
        <v>35306.827799999999</v>
      </c>
      <c r="BQ357" s="26">
        <v>591.40094399999998</v>
      </c>
      <c r="BR357" s="26">
        <v>33</v>
      </c>
      <c r="BS357" s="26">
        <v>5.4</v>
      </c>
      <c r="BT357" s="26">
        <v>0</v>
      </c>
      <c r="BU357" s="26">
        <v>1</v>
      </c>
      <c r="BV357" s="26">
        <v>0</v>
      </c>
      <c r="BW357" s="26">
        <v>-68122.213600000003</v>
      </c>
      <c r="BX357" s="26">
        <v>-3781.3574699999999</v>
      </c>
      <c r="BY357" s="26">
        <v>-133.50773799999999</v>
      </c>
      <c r="BZ357" s="26">
        <v>-38.491611200000001</v>
      </c>
      <c r="CA357" s="26">
        <v>-2.1366090999999998</v>
      </c>
      <c r="CB357" s="26">
        <v>5.5231191700000001E-2</v>
      </c>
      <c r="CC357" s="26">
        <v>0.99500538299999997</v>
      </c>
      <c r="CD357" s="26">
        <v>18.015280000000001</v>
      </c>
      <c r="CE357" s="26">
        <v>589.58120899999994</v>
      </c>
      <c r="CF357" s="26">
        <v>0</v>
      </c>
      <c r="CG357" s="26">
        <v>0</v>
      </c>
      <c r="CH357" s="26">
        <v>0</v>
      </c>
      <c r="CI357" s="26">
        <v>0</v>
      </c>
      <c r="CJ357" s="26">
        <v>0</v>
      </c>
      <c r="CK357" s="26">
        <v>0</v>
      </c>
      <c r="CL357" s="26">
        <v>0</v>
      </c>
      <c r="CM357" s="26">
        <v>0</v>
      </c>
      <c r="CN357" s="26">
        <v>0</v>
      </c>
      <c r="CO357" s="26">
        <v>0</v>
      </c>
      <c r="CP357" s="26">
        <v>0</v>
      </c>
      <c r="CQ357" s="26">
        <v>0</v>
      </c>
      <c r="CR357" s="26">
        <v>0</v>
      </c>
      <c r="CS357" s="26">
        <v>0</v>
      </c>
      <c r="CT357" s="26">
        <v>0</v>
      </c>
      <c r="CU357" s="26">
        <v>0</v>
      </c>
      <c r="CV357" s="26">
        <v>0</v>
      </c>
      <c r="CW357" s="26">
        <v>0</v>
      </c>
      <c r="CX357" s="26">
        <v>0</v>
      </c>
      <c r="CY357" s="26">
        <v>0</v>
      </c>
      <c r="CZ357" s="26">
        <v>0</v>
      </c>
      <c r="DA357" s="26">
        <v>0</v>
      </c>
      <c r="DB357" s="26">
        <v>0</v>
      </c>
      <c r="DC357" s="26">
        <v>0</v>
      </c>
      <c r="DD357" s="26">
        <v>0</v>
      </c>
      <c r="DE357" s="26">
        <v>0</v>
      </c>
      <c r="DF357" s="26">
        <v>0</v>
      </c>
      <c r="DG357" s="26">
        <v>0</v>
      </c>
      <c r="DH357" s="26">
        <v>0</v>
      </c>
      <c r="DI357" s="26">
        <v>0</v>
      </c>
      <c r="DJ357" s="26">
        <v>0</v>
      </c>
      <c r="DK357" s="26">
        <v>0</v>
      </c>
      <c r="DL357" s="26">
        <v>0</v>
      </c>
      <c r="DM357" s="26">
        <v>0</v>
      </c>
      <c r="DN357" s="26">
        <v>0</v>
      </c>
      <c r="DO357" s="26">
        <v>0</v>
      </c>
      <c r="DP357" s="26">
        <v>0</v>
      </c>
      <c r="DQ357" s="26">
        <v>0</v>
      </c>
      <c r="DR357" s="26">
        <v>0</v>
      </c>
      <c r="DS357" s="26">
        <v>0</v>
      </c>
      <c r="DT357" s="26">
        <v>0</v>
      </c>
      <c r="DU357" s="26">
        <v>0</v>
      </c>
      <c r="DV357" s="26">
        <v>0</v>
      </c>
      <c r="DW357" s="26">
        <v>0</v>
      </c>
      <c r="DX357" s="26">
        <v>0</v>
      </c>
      <c r="DY357" s="26">
        <v>0</v>
      </c>
      <c r="DZ357" s="26">
        <v>0</v>
      </c>
      <c r="EA357" s="26">
        <v>0</v>
      </c>
      <c r="EB357" s="26">
        <v>0</v>
      </c>
      <c r="EC357" s="26">
        <v>0</v>
      </c>
      <c r="ED357" s="26">
        <v>0</v>
      </c>
      <c r="EE357" s="26">
        <v>0</v>
      </c>
      <c r="EF357" s="26">
        <v>0</v>
      </c>
      <c r="EG357" s="26">
        <v>0</v>
      </c>
      <c r="EH357" s="26">
        <v>0</v>
      </c>
      <c r="EI357" s="26">
        <v>0</v>
      </c>
      <c r="EJ357" s="26">
        <v>0</v>
      </c>
      <c r="EK357" s="26">
        <v>0</v>
      </c>
      <c r="EL357" s="26">
        <v>0</v>
      </c>
      <c r="EM357" s="26">
        <v>0</v>
      </c>
      <c r="EN357" s="26">
        <v>0</v>
      </c>
      <c r="EO357" s="26">
        <v>0</v>
      </c>
      <c r="EP357" s="26">
        <v>0</v>
      </c>
      <c r="EQ357" s="26">
        <v>0</v>
      </c>
      <c r="ER357" s="26">
        <v>0</v>
      </c>
      <c r="ES357" s="26">
        <v>0</v>
      </c>
      <c r="ET357" s="26">
        <v>5.4</v>
      </c>
      <c r="EU357" s="26">
        <v>0</v>
      </c>
      <c r="EV357" s="26">
        <v>0</v>
      </c>
      <c r="EW357" s="26">
        <v>0</v>
      </c>
      <c r="EX357" s="26">
        <v>0</v>
      </c>
      <c r="EY357" s="26">
        <v>0</v>
      </c>
      <c r="EZ357" s="26">
        <v>0</v>
      </c>
      <c r="FA357" s="26">
        <v>0</v>
      </c>
      <c r="FB357" s="26">
        <v>0</v>
      </c>
      <c r="FC357" s="26">
        <v>0</v>
      </c>
      <c r="FD357" s="26">
        <v>0</v>
      </c>
      <c r="FE357" s="26">
        <v>0</v>
      </c>
      <c r="FF357" s="26">
        <v>0</v>
      </c>
      <c r="FG357" s="26">
        <v>0</v>
      </c>
      <c r="FH357" s="26">
        <v>-155596804.71000001</v>
      </c>
      <c r="FI357" s="26">
        <v>0</v>
      </c>
      <c r="FJ357" s="26">
        <v>0</v>
      </c>
      <c r="FK357" s="26">
        <v>0</v>
      </c>
      <c r="FL357" s="26">
        <v>0</v>
      </c>
      <c r="FM357" s="26">
        <v>0</v>
      </c>
      <c r="FN357" s="26">
        <v>0</v>
      </c>
      <c r="FO357" s="26">
        <v>0</v>
      </c>
      <c r="FP357" s="26">
        <v>0</v>
      </c>
      <c r="FQ357" s="26">
        <v>0</v>
      </c>
      <c r="FR357" s="26">
        <v>0</v>
      </c>
      <c r="FS357" s="26">
        <v>0</v>
      </c>
      <c r="FT357" s="26">
        <v>0</v>
      </c>
      <c r="FU357" s="26">
        <v>0</v>
      </c>
      <c r="FV357" s="26">
        <v>0</v>
      </c>
      <c r="FW357" s="26">
        <v>0</v>
      </c>
      <c r="FX357" s="26">
        <v>0</v>
      </c>
      <c r="FY357" s="26">
        <v>0</v>
      </c>
      <c r="FZ357" s="26">
        <v>0</v>
      </c>
      <c r="GA357" s="26">
        <v>0</v>
      </c>
      <c r="GB357" s="26">
        <v>0</v>
      </c>
      <c r="GC357" s="26">
        <v>0</v>
      </c>
      <c r="GD357" s="26">
        <v>0</v>
      </c>
      <c r="GE357" s="26">
        <v>0</v>
      </c>
      <c r="GF357" s="26">
        <v>0</v>
      </c>
      <c r="GG357" s="26">
        <v>0</v>
      </c>
      <c r="GH357" s="26">
        <v>0</v>
      </c>
      <c r="GI357" s="26">
        <v>0</v>
      </c>
      <c r="GJ357" s="26">
        <v>0</v>
      </c>
      <c r="GK357" s="26">
        <v>0</v>
      </c>
      <c r="GL357" s="26">
        <v>0</v>
      </c>
      <c r="GM357" s="26">
        <v>0</v>
      </c>
      <c r="GN357" s="26">
        <v>0</v>
      </c>
      <c r="GO357" s="26">
        <v>0</v>
      </c>
      <c r="GP357" s="26">
        <v>0</v>
      </c>
      <c r="GQ357" s="26">
        <v>0</v>
      </c>
      <c r="GR357" s="26">
        <v>0</v>
      </c>
      <c r="GS357" s="26">
        <v>0</v>
      </c>
      <c r="GT357" s="26">
        <v>0</v>
      </c>
      <c r="GU357" s="26">
        <v>0</v>
      </c>
      <c r="GV357" s="26">
        <v>0</v>
      </c>
      <c r="GW357" s="26">
        <v>0</v>
      </c>
      <c r="GX357" s="26">
        <v>0</v>
      </c>
      <c r="GY357" s="26">
        <v>0</v>
      </c>
      <c r="GZ357" s="26">
        <v>0</v>
      </c>
      <c r="HA357" s="26">
        <v>0</v>
      </c>
      <c r="HB357" s="26">
        <v>0</v>
      </c>
      <c r="HC357" s="26">
        <v>0</v>
      </c>
      <c r="HD357" s="26">
        <v>0</v>
      </c>
      <c r="HE357" s="26">
        <v>0</v>
      </c>
      <c r="HF357" s="26">
        <v>0</v>
      </c>
      <c r="HG357" s="26">
        <v>0</v>
      </c>
      <c r="HH357" s="26">
        <v>0</v>
      </c>
      <c r="HI357" s="26">
        <v>0</v>
      </c>
      <c r="HJ357" s="26">
        <v>0</v>
      </c>
      <c r="HK357" s="26">
        <v>0</v>
      </c>
      <c r="HL357" s="26">
        <v>0</v>
      </c>
      <c r="HM357" s="26">
        <v>0</v>
      </c>
      <c r="HN357" s="26">
        <v>0</v>
      </c>
      <c r="HO357" s="26">
        <v>0</v>
      </c>
      <c r="HP357" s="26">
        <v>0</v>
      </c>
      <c r="HQ357" s="26">
        <v>0</v>
      </c>
      <c r="HR357" s="26">
        <v>0</v>
      </c>
      <c r="HS357" s="26">
        <v>0</v>
      </c>
      <c r="HT357" s="26">
        <v>0</v>
      </c>
    </row>
    <row r="358" spans="2:228" x14ac:dyDescent="0.2">
      <c r="B358" s="27" t="s">
        <v>1450</v>
      </c>
      <c r="C358" s="26">
        <v>206661.39</v>
      </c>
      <c r="D358" s="26">
        <v>-764.783861</v>
      </c>
      <c r="E358" s="26">
        <v>206661.39</v>
      </c>
      <c r="F358" s="26">
        <v>0</v>
      </c>
      <c r="G358" s="26">
        <v>0</v>
      </c>
      <c r="H358" s="26">
        <v>0</v>
      </c>
      <c r="I358" s="26">
        <v>0</v>
      </c>
      <c r="J358" s="26">
        <v>0</v>
      </c>
      <c r="K358" s="26">
        <v>0</v>
      </c>
      <c r="L358" s="26">
        <v>0</v>
      </c>
      <c r="M358" s="26">
        <v>0</v>
      </c>
      <c r="N358" s="26">
        <v>0</v>
      </c>
      <c r="O358" s="26">
        <v>0</v>
      </c>
      <c r="P358" s="26">
        <v>0</v>
      </c>
      <c r="Q358" s="26">
        <v>0</v>
      </c>
      <c r="R358" s="26">
        <v>0</v>
      </c>
      <c r="S358" s="26">
        <v>0</v>
      </c>
      <c r="T358" s="26">
        <v>0</v>
      </c>
      <c r="U358" s="26">
        <v>0</v>
      </c>
      <c r="V358" s="26">
        <v>0</v>
      </c>
      <c r="W358" s="26">
        <v>0</v>
      </c>
      <c r="X358" s="26">
        <v>0</v>
      </c>
      <c r="Y358" s="26">
        <v>0</v>
      </c>
      <c r="Z358" s="26">
        <v>0</v>
      </c>
      <c r="AA358" s="26">
        <v>0</v>
      </c>
      <c r="AB358" s="26">
        <v>0</v>
      </c>
      <c r="AC358" s="26">
        <v>0</v>
      </c>
      <c r="AD358" s="26">
        <v>0</v>
      </c>
      <c r="AE358" s="26">
        <v>0</v>
      </c>
      <c r="AF358" s="26">
        <v>0</v>
      </c>
      <c r="AG358" s="26">
        <v>0</v>
      </c>
      <c r="AH358" s="26">
        <v>0</v>
      </c>
      <c r="AI358" s="26">
        <v>0</v>
      </c>
      <c r="AJ358" s="26">
        <v>0</v>
      </c>
      <c r="AK358" s="26">
        <v>0</v>
      </c>
      <c r="AL358" s="26">
        <v>0</v>
      </c>
      <c r="AM358" s="26">
        <v>0</v>
      </c>
      <c r="AN358" s="26">
        <v>0</v>
      </c>
      <c r="AO358" s="26">
        <v>0</v>
      </c>
      <c r="AP358" s="26">
        <v>0</v>
      </c>
      <c r="AQ358" s="26">
        <v>0</v>
      </c>
      <c r="AR358" s="26">
        <v>0</v>
      </c>
      <c r="AS358" s="26">
        <v>0</v>
      </c>
      <c r="AT358" s="26">
        <v>0</v>
      </c>
      <c r="AU358" s="26">
        <v>0</v>
      </c>
      <c r="AV358" s="26">
        <v>0</v>
      </c>
      <c r="AW358" s="26">
        <v>0</v>
      </c>
      <c r="AX358" s="26">
        <v>0</v>
      </c>
      <c r="AY358" s="26">
        <v>0</v>
      </c>
      <c r="AZ358" s="26">
        <v>0</v>
      </c>
      <c r="BA358" s="26">
        <v>0</v>
      </c>
      <c r="BB358" s="26">
        <v>0</v>
      </c>
      <c r="BC358" s="26">
        <v>0</v>
      </c>
      <c r="BD358" s="26">
        <v>0</v>
      </c>
      <c r="BE358" s="26">
        <v>0</v>
      </c>
      <c r="BF358" s="26">
        <v>0</v>
      </c>
      <c r="BG358" s="26">
        <v>0</v>
      </c>
      <c r="BH358" s="26">
        <v>0</v>
      </c>
      <c r="BI358" s="26">
        <v>0</v>
      </c>
      <c r="BJ358" s="26">
        <v>0</v>
      </c>
      <c r="BK358" s="26">
        <v>0</v>
      </c>
      <c r="BL358" s="26">
        <v>0</v>
      </c>
      <c r="BM358" s="26">
        <v>0</v>
      </c>
      <c r="BN358" s="26">
        <v>0</v>
      </c>
      <c r="BO358" s="26">
        <v>11471.4504</v>
      </c>
      <c r="BP358" s="26">
        <v>206661.39</v>
      </c>
      <c r="BQ358" s="26">
        <v>3633.0766699999999</v>
      </c>
      <c r="BR358" s="26">
        <v>113.662352</v>
      </c>
      <c r="BS358" s="26">
        <v>5.2206894600000009</v>
      </c>
      <c r="BT358" s="26">
        <v>0</v>
      </c>
      <c r="BU358" s="26">
        <v>1</v>
      </c>
      <c r="BV358" s="26">
        <v>0</v>
      </c>
      <c r="BW358" s="26">
        <v>-66668.453399999999</v>
      </c>
      <c r="BX358" s="26">
        <v>-3700.6615200000001</v>
      </c>
      <c r="BY358" s="26">
        <v>-764.783861</v>
      </c>
      <c r="BZ358" s="26">
        <v>-34.2775234</v>
      </c>
      <c r="CA358" s="26">
        <v>-1.90269168</v>
      </c>
      <c r="CB358" s="26">
        <v>5.2625048899999999E-2</v>
      </c>
      <c r="CC358" s="26">
        <v>0.94805499100000001</v>
      </c>
      <c r="CD358" s="26">
        <v>18.015280000000001</v>
      </c>
      <c r="CE358" s="26">
        <v>3450.9946100000002</v>
      </c>
      <c r="CF358" s="26">
        <v>0</v>
      </c>
      <c r="CG358" s="26">
        <v>0</v>
      </c>
      <c r="CH358" s="26">
        <v>0</v>
      </c>
      <c r="CI358" s="26">
        <v>0</v>
      </c>
      <c r="CJ358" s="26">
        <v>0</v>
      </c>
      <c r="CK358" s="26">
        <v>0</v>
      </c>
      <c r="CL358" s="26">
        <v>0</v>
      </c>
      <c r="CM358" s="26">
        <v>0</v>
      </c>
      <c r="CN358" s="26">
        <v>0</v>
      </c>
      <c r="CO358" s="26">
        <v>0</v>
      </c>
      <c r="CP358" s="26">
        <v>0</v>
      </c>
      <c r="CQ358" s="26">
        <v>0</v>
      </c>
      <c r="CR358" s="26">
        <v>0</v>
      </c>
      <c r="CS358" s="26">
        <v>0</v>
      </c>
      <c r="CT358" s="26">
        <v>0</v>
      </c>
      <c r="CU358" s="26">
        <v>0</v>
      </c>
      <c r="CV358" s="26">
        <v>0</v>
      </c>
      <c r="CW358" s="26">
        <v>0</v>
      </c>
      <c r="CX358" s="26">
        <v>0</v>
      </c>
      <c r="CY358" s="26">
        <v>0</v>
      </c>
      <c r="CZ358" s="26">
        <v>0</v>
      </c>
      <c r="DA358" s="26">
        <v>0</v>
      </c>
      <c r="DB358" s="26">
        <v>0</v>
      </c>
      <c r="DC358" s="26">
        <v>0</v>
      </c>
      <c r="DD358" s="26">
        <v>0</v>
      </c>
      <c r="DE358" s="26">
        <v>0</v>
      </c>
      <c r="DF358" s="26">
        <v>0</v>
      </c>
      <c r="DG358" s="26">
        <v>0</v>
      </c>
      <c r="DH358" s="26">
        <v>0</v>
      </c>
      <c r="DI358" s="26">
        <v>0</v>
      </c>
      <c r="DJ358" s="26">
        <v>0</v>
      </c>
      <c r="DK358" s="26">
        <v>0</v>
      </c>
      <c r="DL358" s="26">
        <v>0</v>
      </c>
      <c r="DM358" s="26">
        <v>0</v>
      </c>
      <c r="DN358" s="26">
        <v>0</v>
      </c>
      <c r="DO358" s="26">
        <v>0</v>
      </c>
      <c r="DP358" s="26">
        <v>0</v>
      </c>
      <c r="DQ358" s="26">
        <v>0</v>
      </c>
      <c r="DR358" s="26">
        <v>0</v>
      </c>
      <c r="DS358" s="26">
        <v>0</v>
      </c>
      <c r="DT358" s="26">
        <v>0</v>
      </c>
      <c r="DU358" s="26">
        <v>0</v>
      </c>
      <c r="DV358" s="26">
        <v>0</v>
      </c>
      <c r="DW358" s="26">
        <v>0</v>
      </c>
      <c r="DX358" s="26">
        <v>0</v>
      </c>
      <c r="DY358" s="26">
        <v>0</v>
      </c>
      <c r="DZ358" s="26">
        <v>0</v>
      </c>
      <c r="EA358" s="26">
        <v>0</v>
      </c>
      <c r="EB358" s="26">
        <v>0</v>
      </c>
      <c r="EC358" s="26">
        <v>0</v>
      </c>
      <c r="ED358" s="26">
        <v>0</v>
      </c>
      <c r="EE358" s="26">
        <v>0</v>
      </c>
      <c r="EF358" s="26">
        <v>0</v>
      </c>
      <c r="EG358" s="26">
        <v>0</v>
      </c>
      <c r="EH358" s="26">
        <v>0</v>
      </c>
      <c r="EI358" s="26">
        <v>0</v>
      </c>
      <c r="EJ358" s="26">
        <v>0</v>
      </c>
      <c r="EK358" s="26">
        <v>0</v>
      </c>
      <c r="EL358" s="26">
        <v>0</v>
      </c>
      <c r="EM358" s="26">
        <v>0</v>
      </c>
      <c r="EN358" s="26">
        <v>0</v>
      </c>
      <c r="EO358" s="26">
        <v>0</v>
      </c>
      <c r="EP358" s="26">
        <v>0</v>
      </c>
      <c r="EQ358" s="26">
        <v>0</v>
      </c>
      <c r="ER358" s="26">
        <v>0</v>
      </c>
      <c r="ES358" s="26">
        <v>0</v>
      </c>
      <c r="ET358" s="26">
        <v>5.2206894600000009</v>
      </c>
      <c r="EU358" s="26">
        <v>0</v>
      </c>
      <c r="EV358" s="26">
        <v>0</v>
      </c>
      <c r="EW358" s="26">
        <v>0</v>
      </c>
      <c r="EX358" s="26">
        <v>0</v>
      </c>
      <c r="EY358" s="26">
        <v>0</v>
      </c>
      <c r="EZ358" s="26">
        <v>0</v>
      </c>
      <c r="FA358" s="26">
        <v>0</v>
      </c>
      <c r="FB358" s="26">
        <v>0</v>
      </c>
      <c r="FC358" s="26">
        <v>0</v>
      </c>
      <c r="FD358" s="26">
        <v>0</v>
      </c>
      <c r="FE358" s="26">
        <v>0</v>
      </c>
      <c r="FF358" s="26">
        <v>0</v>
      </c>
      <c r="FG358" s="26">
        <v>0</v>
      </c>
      <c r="FH358" s="26">
        <v>-910755457.64200008</v>
      </c>
      <c r="FI358" s="26">
        <v>0</v>
      </c>
      <c r="FJ358" s="26">
        <v>0</v>
      </c>
      <c r="FK358" s="26">
        <v>0</v>
      </c>
      <c r="FL358" s="26">
        <v>0</v>
      </c>
      <c r="FM358" s="26">
        <v>0</v>
      </c>
      <c r="FN358" s="26">
        <v>0</v>
      </c>
      <c r="FO358" s="26">
        <v>0</v>
      </c>
      <c r="FP358" s="26">
        <v>0</v>
      </c>
      <c r="FQ358" s="26">
        <v>0</v>
      </c>
      <c r="FR358" s="26">
        <v>0</v>
      </c>
      <c r="FS358" s="26">
        <v>0</v>
      </c>
      <c r="FT358" s="26">
        <v>0</v>
      </c>
      <c r="FU358" s="26">
        <v>0</v>
      </c>
      <c r="FV358" s="26">
        <v>0</v>
      </c>
      <c r="FW358" s="26">
        <v>0</v>
      </c>
      <c r="FX358" s="26">
        <v>0</v>
      </c>
      <c r="FY358" s="26">
        <v>0</v>
      </c>
      <c r="FZ358" s="26">
        <v>0</v>
      </c>
      <c r="GA358" s="26">
        <v>0</v>
      </c>
      <c r="GB358" s="26">
        <v>0</v>
      </c>
      <c r="GC358" s="26">
        <v>0</v>
      </c>
      <c r="GD358" s="26">
        <v>0</v>
      </c>
      <c r="GE358" s="26">
        <v>0</v>
      </c>
      <c r="GF358" s="26">
        <v>0</v>
      </c>
      <c r="GG358" s="26">
        <v>0</v>
      </c>
      <c r="GH358" s="26">
        <v>0</v>
      </c>
      <c r="GI358" s="26">
        <v>0</v>
      </c>
      <c r="GJ358" s="26">
        <v>0</v>
      </c>
      <c r="GK358" s="26">
        <v>0</v>
      </c>
      <c r="GL358" s="26">
        <v>0</v>
      </c>
      <c r="GM358" s="26">
        <v>0</v>
      </c>
      <c r="GN358" s="26">
        <v>0</v>
      </c>
      <c r="GO358" s="26">
        <v>0</v>
      </c>
      <c r="GP358" s="26">
        <v>0</v>
      </c>
      <c r="GQ358" s="26">
        <v>0</v>
      </c>
      <c r="GR358" s="26">
        <v>0</v>
      </c>
      <c r="GS358" s="26">
        <v>0</v>
      </c>
      <c r="GT358" s="26">
        <v>0</v>
      </c>
      <c r="GU358" s="26">
        <v>0</v>
      </c>
      <c r="GV358" s="26">
        <v>0</v>
      </c>
      <c r="GW358" s="26">
        <v>0</v>
      </c>
      <c r="GX358" s="26">
        <v>0</v>
      </c>
      <c r="GY358" s="26">
        <v>0</v>
      </c>
      <c r="GZ358" s="26">
        <v>0</v>
      </c>
      <c r="HA358" s="26">
        <v>0</v>
      </c>
      <c r="HB358" s="26">
        <v>0</v>
      </c>
      <c r="HC358" s="26">
        <v>0</v>
      </c>
      <c r="HD358" s="26">
        <v>0</v>
      </c>
      <c r="HE358" s="26">
        <v>0</v>
      </c>
      <c r="HF358" s="26">
        <v>0</v>
      </c>
      <c r="HG358" s="26">
        <v>0</v>
      </c>
      <c r="HH358" s="26">
        <v>0</v>
      </c>
      <c r="HI358" s="26">
        <v>0</v>
      </c>
      <c r="HJ358" s="26">
        <v>0</v>
      </c>
      <c r="HK358" s="26">
        <v>0</v>
      </c>
      <c r="HL358" s="26">
        <v>0</v>
      </c>
      <c r="HM358" s="26">
        <v>0</v>
      </c>
      <c r="HN358" s="26">
        <v>0</v>
      </c>
      <c r="HO358" s="26">
        <v>0</v>
      </c>
      <c r="HP358" s="26">
        <v>0</v>
      </c>
      <c r="HQ358" s="26">
        <v>0</v>
      </c>
      <c r="HR358" s="26">
        <v>0</v>
      </c>
      <c r="HS358" s="26">
        <v>0</v>
      </c>
      <c r="HT358" s="26">
        <v>0</v>
      </c>
    </row>
    <row r="359" spans="2:228" x14ac:dyDescent="0.2">
      <c r="B359" s="27" t="s">
        <v>1454</v>
      </c>
      <c r="C359" s="26">
        <v>241968.21799999999</v>
      </c>
      <c r="D359" s="26">
        <v>-896.09744999999998</v>
      </c>
      <c r="E359" s="26">
        <v>241968.21799999999</v>
      </c>
      <c r="F359" s="26">
        <v>0</v>
      </c>
      <c r="G359" s="26">
        <v>0</v>
      </c>
      <c r="H359" s="26">
        <v>0</v>
      </c>
      <c r="I359" s="26">
        <v>0</v>
      </c>
      <c r="J359" s="26">
        <v>0</v>
      </c>
      <c r="K359" s="26">
        <v>0</v>
      </c>
      <c r="L359" s="26">
        <v>0</v>
      </c>
      <c r="M359" s="26">
        <v>0</v>
      </c>
      <c r="N359" s="26">
        <v>0</v>
      </c>
      <c r="O359" s="26">
        <v>0</v>
      </c>
      <c r="P359" s="26">
        <v>0</v>
      </c>
      <c r="Q359" s="26">
        <v>0</v>
      </c>
      <c r="R359" s="26">
        <v>0</v>
      </c>
      <c r="S359" s="26">
        <v>0</v>
      </c>
      <c r="T359" s="26">
        <v>0</v>
      </c>
      <c r="U359" s="26">
        <v>0</v>
      </c>
      <c r="V359" s="26">
        <v>0</v>
      </c>
      <c r="W359" s="26">
        <v>0</v>
      </c>
      <c r="X359" s="26">
        <v>0</v>
      </c>
      <c r="Y359" s="26">
        <v>0</v>
      </c>
      <c r="Z359" s="26">
        <v>0</v>
      </c>
      <c r="AA359" s="26">
        <v>0</v>
      </c>
      <c r="AB359" s="26">
        <v>0</v>
      </c>
      <c r="AC359" s="26">
        <v>0</v>
      </c>
      <c r="AD359" s="26">
        <v>0</v>
      </c>
      <c r="AE359" s="26">
        <v>0</v>
      </c>
      <c r="AF359" s="26">
        <v>0</v>
      </c>
      <c r="AG359" s="26">
        <v>0</v>
      </c>
      <c r="AH359" s="26">
        <v>0</v>
      </c>
      <c r="AI359" s="26">
        <v>0</v>
      </c>
      <c r="AJ359" s="26">
        <v>0</v>
      </c>
      <c r="AK359" s="26">
        <v>0</v>
      </c>
      <c r="AL359" s="26">
        <v>0</v>
      </c>
      <c r="AM359" s="26">
        <v>0</v>
      </c>
      <c r="AN359" s="26">
        <v>0</v>
      </c>
      <c r="AO359" s="26">
        <v>0</v>
      </c>
      <c r="AP359" s="26">
        <v>0</v>
      </c>
      <c r="AQ359" s="26">
        <v>0</v>
      </c>
      <c r="AR359" s="26">
        <v>0</v>
      </c>
      <c r="AS359" s="26">
        <v>0</v>
      </c>
      <c r="AT359" s="26">
        <v>0</v>
      </c>
      <c r="AU359" s="26">
        <v>0</v>
      </c>
      <c r="AV359" s="26">
        <v>0</v>
      </c>
      <c r="AW359" s="26">
        <v>0</v>
      </c>
      <c r="AX359" s="26">
        <v>0</v>
      </c>
      <c r="AY359" s="26">
        <v>0</v>
      </c>
      <c r="AZ359" s="26">
        <v>0</v>
      </c>
      <c r="BA359" s="26">
        <v>0</v>
      </c>
      <c r="BB359" s="26">
        <v>0</v>
      </c>
      <c r="BC359" s="26">
        <v>0</v>
      </c>
      <c r="BD359" s="26">
        <v>0</v>
      </c>
      <c r="BE359" s="26">
        <v>0</v>
      </c>
      <c r="BF359" s="26">
        <v>0</v>
      </c>
      <c r="BG359" s="26">
        <v>0</v>
      </c>
      <c r="BH359" s="26">
        <v>0</v>
      </c>
      <c r="BI359" s="26">
        <v>0</v>
      </c>
      <c r="BJ359" s="26">
        <v>0</v>
      </c>
      <c r="BK359" s="26">
        <v>0</v>
      </c>
      <c r="BL359" s="26">
        <v>0</v>
      </c>
      <c r="BM359" s="26">
        <v>0</v>
      </c>
      <c r="BN359" s="26">
        <v>0</v>
      </c>
      <c r="BO359" s="26">
        <v>13431.277099999999</v>
      </c>
      <c r="BP359" s="26">
        <v>241968.21799999999</v>
      </c>
      <c r="BQ359" s="26">
        <v>4244.6705199999997</v>
      </c>
      <c r="BR359" s="26">
        <v>110.99383599999999</v>
      </c>
      <c r="BS359" s="26">
        <v>4.4206894600000002</v>
      </c>
      <c r="BT359" s="26">
        <v>0</v>
      </c>
      <c r="BU359" s="26">
        <v>1</v>
      </c>
      <c r="BV359" s="26">
        <v>0</v>
      </c>
      <c r="BW359" s="26">
        <v>-66717.217900000003</v>
      </c>
      <c r="BX359" s="26">
        <v>-3703.3683599999999</v>
      </c>
      <c r="BY359" s="26">
        <v>-896.09744999999998</v>
      </c>
      <c r="BZ359" s="26">
        <v>-34.4030086</v>
      </c>
      <c r="CA359" s="26">
        <v>-1.90965717</v>
      </c>
      <c r="CB359" s="26">
        <v>5.2737807400000003E-2</v>
      </c>
      <c r="CC359" s="26">
        <v>0.95008636700000004</v>
      </c>
      <c r="CD359" s="26">
        <v>18.015280000000001</v>
      </c>
      <c r="CE359" s="26">
        <v>4040.57582</v>
      </c>
      <c r="CF359" s="26">
        <v>0</v>
      </c>
      <c r="CG359" s="26">
        <v>0</v>
      </c>
      <c r="CH359" s="26">
        <v>0</v>
      </c>
      <c r="CI359" s="26">
        <v>0</v>
      </c>
      <c r="CJ359" s="26">
        <v>0</v>
      </c>
      <c r="CK359" s="26">
        <v>0</v>
      </c>
      <c r="CL359" s="26">
        <v>0</v>
      </c>
      <c r="CM359" s="26">
        <v>0</v>
      </c>
      <c r="CN359" s="26">
        <v>0</v>
      </c>
      <c r="CO359" s="26">
        <v>0</v>
      </c>
      <c r="CP359" s="26">
        <v>0</v>
      </c>
      <c r="CQ359" s="26">
        <v>0</v>
      </c>
      <c r="CR359" s="26">
        <v>0</v>
      </c>
      <c r="CS359" s="26">
        <v>0</v>
      </c>
      <c r="CT359" s="26">
        <v>0</v>
      </c>
      <c r="CU359" s="26">
        <v>0</v>
      </c>
      <c r="CV359" s="26">
        <v>0</v>
      </c>
      <c r="CW359" s="26">
        <v>0</v>
      </c>
      <c r="CX359" s="26">
        <v>0</v>
      </c>
      <c r="CY359" s="26">
        <v>0</v>
      </c>
      <c r="CZ359" s="26">
        <v>0</v>
      </c>
      <c r="DA359" s="26">
        <v>0</v>
      </c>
      <c r="DB359" s="26">
        <v>0</v>
      </c>
      <c r="DC359" s="26">
        <v>0</v>
      </c>
      <c r="DD359" s="26">
        <v>0</v>
      </c>
      <c r="DE359" s="26">
        <v>0</v>
      </c>
      <c r="DF359" s="26">
        <v>0</v>
      </c>
      <c r="DG359" s="26">
        <v>0</v>
      </c>
      <c r="DH359" s="26">
        <v>0</v>
      </c>
      <c r="DI359" s="26">
        <v>0</v>
      </c>
      <c r="DJ359" s="26">
        <v>0</v>
      </c>
      <c r="DK359" s="26">
        <v>0</v>
      </c>
      <c r="DL359" s="26">
        <v>0</v>
      </c>
      <c r="DM359" s="26">
        <v>0</v>
      </c>
      <c r="DN359" s="26">
        <v>0</v>
      </c>
      <c r="DO359" s="26">
        <v>0</v>
      </c>
      <c r="DP359" s="26">
        <v>0</v>
      </c>
      <c r="DQ359" s="26">
        <v>0</v>
      </c>
      <c r="DR359" s="26">
        <v>0</v>
      </c>
      <c r="DS359" s="26">
        <v>0</v>
      </c>
      <c r="DT359" s="26">
        <v>0</v>
      </c>
      <c r="DU359" s="26">
        <v>0</v>
      </c>
      <c r="DV359" s="26">
        <v>0</v>
      </c>
      <c r="DW359" s="26">
        <v>0</v>
      </c>
      <c r="DX359" s="26">
        <v>0</v>
      </c>
      <c r="DY359" s="26">
        <v>0</v>
      </c>
      <c r="DZ359" s="26">
        <v>0</v>
      </c>
      <c r="EA359" s="26">
        <v>0</v>
      </c>
      <c r="EB359" s="26">
        <v>0</v>
      </c>
      <c r="EC359" s="26">
        <v>0</v>
      </c>
      <c r="ED359" s="26">
        <v>0</v>
      </c>
      <c r="EE359" s="26">
        <v>0</v>
      </c>
      <c r="EF359" s="26">
        <v>0</v>
      </c>
      <c r="EG359" s="26">
        <v>0</v>
      </c>
      <c r="EH359" s="26">
        <v>0</v>
      </c>
      <c r="EI359" s="26">
        <v>0</v>
      </c>
      <c r="EJ359" s="26">
        <v>0</v>
      </c>
      <c r="EK359" s="26">
        <v>0</v>
      </c>
      <c r="EL359" s="26">
        <v>0</v>
      </c>
      <c r="EM359" s="26">
        <v>0</v>
      </c>
      <c r="EN359" s="26">
        <v>0</v>
      </c>
      <c r="EO359" s="26">
        <v>0</v>
      </c>
      <c r="EP359" s="26">
        <v>0</v>
      </c>
      <c r="EQ359" s="26">
        <v>0</v>
      </c>
      <c r="ER359" s="26">
        <v>0</v>
      </c>
      <c r="ES359" s="26">
        <v>0</v>
      </c>
      <c r="ET359" s="26">
        <v>4.4206894600000002</v>
      </c>
      <c r="EU359" s="26">
        <v>0</v>
      </c>
      <c r="EV359" s="26">
        <v>0</v>
      </c>
      <c r="EW359" s="26">
        <v>0</v>
      </c>
      <c r="EX359" s="26">
        <v>0</v>
      </c>
      <c r="EY359" s="26">
        <v>0</v>
      </c>
      <c r="EZ359" s="26">
        <v>0</v>
      </c>
      <c r="FA359" s="26">
        <v>0</v>
      </c>
      <c r="FB359" s="26">
        <v>0</v>
      </c>
      <c r="FC359" s="26">
        <v>0</v>
      </c>
      <c r="FD359" s="26">
        <v>0</v>
      </c>
      <c r="FE359" s="26">
        <v>0</v>
      </c>
      <c r="FF359" s="26">
        <v>0</v>
      </c>
      <c r="FG359" s="26">
        <v>0</v>
      </c>
      <c r="FH359" s="26">
        <v>-1066357466.777</v>
      </c>
      <c r="FI359" s="26">
        <v>0</v>
      </c>
      <c r="FJ359" s="26">
        <v>0</v>
      </c>
      <c r="FK359" s="26">
        <v>0</v>
      </c>
      <c r="FL359" s="26">
        <v>0</v>
      </c>
      <c r="FM359" s="26">
        <v>0</v>
      </c>
      <c r="FN359" s="26">
        <v>0</v>
      </c>
      <c r="FO359" s="26">
        <v>0</v>
      </c>
      <c r="FP359" s="26">
        <v>0</v>
      </c>
      <c r="FQ359" s="26">
        <v>0</v>
      </c>
      <c r="FR359" s="26">
        <v>0</v>
      </c>
      <c r="FS359" s="26">
        <v>0</v>
      </c>
      <c r="FT359" s="26">
        <v>0</v>
      </c>
      <c r="FU359" s="26">
        <v>0</v>
      </c>
      <c r="FV359" s="26">
        <v>0</v>
      </c>
      <c r="FW359" s="26">
        <v>0</v>
      </c>
      <c r="FX359" s="26">
        <v>0</v>
      </c>
      <c r="FY359" s="26">
        <v>0</v>
      </c>
      <c r="FZ359" s="26">
        <v>0</v>
      </c>
      <c r="GA359" s="26">
        <v>0</v>
      </c>
      <c r="GB359" s="26">
        <v>0</v>
      </c>
      <c r="GC359" s="26">
        <v>0</v>
      </c>
      <c r="GD359" s="26">
        <v>0</v>
      </c>
      <c r="GE359" s="26">
        <v>0</v>
      </c>
      <c r="GF359" s="26">
        <v>0</v>
      </c>
      <c r="GG359" s="26">
        <v>0</v>
      </c>
      <c r="GH359" s="26">
        <v>0</v>
      </c>
      <c r="GI359" s="26">
        <v>0</v>
      </c>
      <c r="GJ359" s="26">
        <v>0</v>
      </c>
      <c r="GK359" s="26">
        <v>0</v>
      </c>
      <c r="GL359" s="26">
        <v>0</v>
      </c>
      <c r="GM359" s="26">
        <v>0</v>
      </c>
      <c r="GN359" s="26">
        <v>0</v>
      </c>
      <c r="GO359" s="26">
        <v>0</v>
      </c>
      <c r="GP359" s="26">
        <v>0</v>
      </c>
      <c r="GQ359" s="26">
        <v>0</v>
      </c>
      <c r="GR359" s="26">
        <v>0</v>
      </c>
      <c r="GS359" s="26">
        <v>0</v>
      </c>
      <c r="GT359" s="26">
        <v>0</v>
      </c>
      <c r="GU359" s="26">
        <v>0</v>
      </c>
      <c r="GV359" s="26">
        <v>0</v>
      </c>
      <c r="GW359" s="26">
        <v>0</v>
      </c>
      <c r="GX359" s="26">
        <v>0</v>
      </c>
      <c r="GY359" s="26">
        <v>0</v>
      </c>
      <c r="GZ359" s="26">
        <v>0</v>
      </c>
      <c r="HA359" s="26">
        <v>0</v>
      </c>
      <c r="HB359" s="26">
        <v>0</v>
      </c>
      <c r="HC359" s="26">
        <v>0</v>
      </c>
      <c r="HD359" s="26">
        <v>0</v>
      </c>
      <c r="HE359" s="26">
        <v>0</v>
      </c>
      <c r="HF359" s="26">
        <v>0</v>
      </c>
      <c r="HG359" s="26">
        <v>0</v>
      </c>
      <c r="HH359" s="26">
        <v>0</v>
      </c>
      <c r="HI359" s="26">
        <v>0</v>
      </c>
      <c r="HJ359" s="26">
        <v>0</v>
      </c>
      <c r="HK359" s="26">
        <v>0</v>
      </c>
      <c r="HL359" s="26">
        <v>0</v>
      </c>
      <c r="HM359" s="26">
        <v>0</v>
      </c>
      <c r="HN359" s="26">
        <v>0</v>
      </c>
      <c r="HO359" s="26">
        <v>0</v>
      </c>
      <c r="HP359" s="26">
        <v>0</v>
      </c>
      <c r="HQ359" s="26">
        <v>0</v>
      </c>
      <c r="HR359" s="26">
        <v>0</v>
      </c>
      <c r="HS359" s="26">
        <v>0</v>
      </c>
      <c r="HT359" s="26">
        <v>0</v>
      </c>
    </row>
    <row r="360" spans="2:228" x14ac:dyDescent="0.2">
      <c r="B360" s="27" t="s">
        <v>1459</v>
      </c>
      <c r="C360" s="26">
        <v>35306.827799999999</v>
      </c>
      <c r="D360" s="26">
        <v>-131.32166599999999</v>
      </c>
      <c r="E360" s="26">
        <v>35306.827799999999</v>
      </c>
      <c r="F360" s="26">
        <v>0</v>
      </c>
      <c r="G360" s="26">
        <v>0</v>
      </c>
      <c r="H360" s="26">
        <v>0</v>
      </c>
      <c r="I360" s="26">
        <v>0</v>
      </c>
      <c r="J360" s="26">
        <v>0</v>
      </c>
      <c r="K360" s="26">
        <v>0</v>
      </c>
      <c r="L360" s="26">
        <v>0</v>
      </c>
      <c r="M360" s="26">
        <v>0</v>
      </c>
      <c r="N360" s="26">
        <v>0</v>
      </c>
      <c r="O360" s="26">
        <v>0</v>
      </c>
      <c r="P360" s="26">
        <v>0</v>
      </c>
      <c r="Q360" s="26">
        <v>0</v>
      </c>
      <c r="R360" s="26">
        <v>0</v>
      </c>
      <c r="S360" s="26">
        <v>0</v>
      </c>
      <c r="T360" s="26">
        <v>0</v>
      </c>
      <c r="U360" s="26">
        <v>0</v>
      </c>
      <c r="V360" s="26">
        <v>0</v>
      </c>
      <c r="W360" s="26">
        <v>0</v>
      </c>
      <c r="X360" s="26">
        <v>0</v>
      </c>
      <c r="Y360" s="26">
        <v>0</v>
      </c>
      <c r="Z360" s="26">
        <v>0</v>
      </c>
      <c r="AA360" s="26">
        <v>0</v>
      </c>
      <c r="AB360" s="26">
        <v>0</v>
      </c>
      <c r="AC360" s="26">
        <v>0</v>
      </c>
      <c r="AD360" s="26">
        <v>0</v>
      </c>
      <c r="AE360" s="26">
        <v>0</v>
      </c>
      <c r="AF360" s="26">
        <v>0</v>
      </c>
      <c r="AG360" s="26">
        <v>0</v>
      </c>
      <c r="AH360" s="26">
        <v>0</v>
      </c>
      <c r="AI360" s="26">
        <v>0</v>
      </c>
      <c r="AJ360" s="26">
        <v>0</v>
      </c>
      <c r="AK360" s="26">
        <v>0</v>
      </c>
      <c r="AL360" s="26">
        <v>0</v>
      </c>
      <c r="AM360" s="26">
        <v>0</v>
      </c>
      <c r="AN360" s="26">
        <v>0</v>
      </c>
      <c r="AO360" s="26">
        <v>0</v>
      </c>
      <c r="AP360" s="26">
        <v>0</v>
      </c>
      <c r="AQ360" s="26">
        <v>0</v>
      </c>
      <c r="AR360" s="26">
        <v>0</v>
      </c>
      <c r="AS360" s="26">
        <v>0</v>
      </c>
      <c r="AT360" s="26">
        <v>0</v>
      </c>
      <c r="AU360" s="26">
        <v>0</v>
      </c>
      <c r="AV360" s="26">
        <v>0</v>
      </c>
      <c r="AW360" s="26">
        <v>0</v>
      </c>
      <c r="AX360" s="26">
        <v>0</v>
      </c>
      <c r="AY360" s="26">
        <v>0</v>
      </c>
      <c r="AZ360" s="26">
        <v>0</v>
      </c>
      <c r="BA360" s="26">
        <v>0</v>
      </c>
      <c r="BB360" s="26">
        <v>0</v>
      </c>
      <c r="BC360" s="26">
        <v>0</v>
      </c>
      <c r="BD360" s="26">
        <v>0</v>
      </c>
      <c r="BE360" s="26">
        <v>0</v>
      </c>
      <c r="BF360" s="26">
        <v>0</v>
      </c>
      <c r="BG360" s="26">
        <v>0</v>
      </c>
      <c r="BH360" s="26">
        <v>0</v>
      </c>
      <c r="BI360" s="26">
        <v>0</v>
      </c>
      <c r="BJ360" s="26">
        <v>0</v>
      </c>
      <c r="BK360" s="26">
        <v>0</v>
      </c>
      <c r="BL360" s="26">
        <v>0</v>
      </c>
      <c r="BM360" s="26">
        <v>0</v>
      </c>
      <c r="BN360" s="26">
        <v>0</v>
      </c>
      <c r="BO360" s="26">
        <v>1959.8267599999997</v>
      </c>
      <c r="BP360" s="26">
        <v>35306.827799999999</v>
      </c>
      <c r="BQ360" s="26">
        <v>611.75438099999997</v>
      </c>
      <c r="BR360" s="26">
        <v>95</v>
      </c>
      <c r="BS360" s="26">
        <v>5.4</v>
      </c>
      <c r="BT360" s="26">
        <v>0</v>
      </c>
      <c r="BU360" s="26">
        <v>1</v>
      </c>
      <c r="BV360" s="26">
        <v>0</v>
      </c>
      <c r="BW360" s="26">
        <v>-67006.772100000002</v>
      </c>
      <c r="BX360" s="26">
        <v>-3719.4410600000001</v>
      </c>
      <c r="BY360" s="26">
        <v>-131.32166599999999</v>
      </c>
      <c r="BZ360" s="26">
        <v>-35.174167500000003</v>
      </c>
      <c r="CA360" s="26">
        <v>-1.9524629899999999</v>
      </c>
      <c r="CB360" s="26">
        <v>5.3393616599999999E-2</v>
      </c>
      <c r="CC360" s="26">
        <v>0.96190095399999997</v>
      </c>
      <c r="CD360" s="26">
        <v>18.015280000000001</v>
      </c>
      <c r="CE360" s="26">
        <v>589.58120899999994</v>
      </c>
      <c r="CF360" s="26">
        <v>0</v>
      </c>
      <c r="CG360" s="26">
        <v>0</v>
      </c>
      <c r="CH360" s="26">
        <v>0</v>
      </c>
      <c r="CI360" s="26">
        <v>0</v>
      </c>
      <c r="CJ360" s="26">
        <v>0</v>
      </c>
      <c r="CK360" s="26">
        <v>0</v>
      </c>
      <c r="CL360" s="26">
        <v>0</v>
      </c>
      <c r="CM360" s="26">
        <v>0</v>
      </c>
      <c r="CN360" s="26">
        <v>0</v>
      </c>
      <c r="CO360" s="26">
        <v>0</v>
      </c>
      <c r="CP360" s="26">
        <v>0</v>
      </c>
      <c r="CQ360" s="26">
        <v>0</v>
      </c>
      <c r="CR360" s="26">
        <v>0</v>
      </c>
      <c r="CS360" s="26">
        <v>0</v>
      </c>
      <c r="CT360" s="26">
        <v>0</v>
      </c>
      <c r="CU360" s="26">
        <v>0</v>
      </c>
      <c r="CV360" s="26">
        <v>0</v>
      </c>
      <c r="CW360" s="26">
        <v>0</v>
      </c>
      <c r="CX360" s="26">
        <v>0</v>
      </c>
      <c r="CY360" s="26">
        <v>0</v>
      </c>
      <c r="CZ360" s="26">
        <v>0</v>
      </c>
      <c r="DA360" s="26">
        <v>0</v>
      </c>
      <c r="DB360" s="26">
        <v>0</v>
      </c>
      <c r="DC360" s="26">
        <v>0</v>
      </c>
      <c r="DD360" s="26">
        <v>0</v>
      </c>
      <c r="DE360" s="26">
        <v>0</v>
      </c>
      <c r="DF360" s="26">
        <v>0</v>
      </c>
      <c r="DG360" s="26">
        <v>0</v>
      </c>
      <c r="DH360" s="26">
        <v>0</v>
      </c>
      <c r="DI360" s="26">
        <v>0</v>
      </c>
      <c r="DJ360" s="26">
        <v>0</v>
      </c>
      <c r="DK360" s="26">
        <v>0</v>
      </c>
      <c r="DL360" s="26">
        <v>0</v>
      </c>
      <c r="DM360" s="26">
        <v>0</v>
      </c>
      <c r="DN360" s="26">
        <v>0</v>
      </c>
      <c r="DO360" s="26">
        <v>0</v>
      </c>
      <c r="DP360" s="26">
        <v>0</v>
      </c>
      <c r="DQ360" s="26">
        <v>0</v>
      </c>
      <c r="DR360" s="26">
        <v>0</v>
      </c>
      <c r="DS360" s="26">
        <v>0</v>
      </c>
      <c r="DT360" s="26">
        <v>0</v>
      </c>
      <c r="DU360" s="26">
        <v>0</v>
      </c>
      <c r="DV360" s="26">
        <v>0</v>
      </c>
      <c r="DW360" s="26">
        <v>0</v>
      </c>
      <c r="DX360" s="26">
        <v>0</v>
      </c>
      <c r="DY360" s="26">
        <v>0</v>
      </c>
      <c r="DZ360" s="26">
        <v>0</v>
      </c>
      <c r="EA360" s="26">
        <v>0</v>
      </c>
      <c r="EB360" s="26">
        <v>0</v>
      </c>
      <c r="EC360" s="26">
        <v>0</v>
      </c>
      <c r="ED360" s="26">
        <v>0</v>
      </c>
      <c r="EE360" s="26">
        <v>0</v>
      </c>
      <c r="EF360" s="26">
        <v>0</v>
      </c>
      <c r="EG360" s="26">
        <v>0</v>
      </c>
      <c r="EH360" s="26">
        <v>0</v>
      </c>
      <c r="EI360" s="26">
        <v>0</v>
      </c>
      <c r="EJ360" s="26">
        <v>0</v>
      </c>
      <c r="EK360" s="26">
        <v>0</v>
      </c>
      <c r="EL360" s="26">
        <v>0</v>
      </c>
      <c r="EM360" s="26">
        <v>0</v>
      </c>
      <c r="EN360" s="26">
        <v>0</v>
      </c>
      <c r="EO360" s="26">
        <v>0</v>
      </c>
      <c r="EP360" s="26">
        <v>0</v>
      </c>
      <c r="EQ360" s="26">
        <v>0</v>
      </c>
      <c r="ER360" s="26">
        <v>0</v>
      </c>
      <c r="ES360" s="26">
        <v>0</v>
      </c>
      <c r="ET360" s="26">
        <v>5.4</v>
      </c>
      <c r="EU360" s="26">
        <v>0</v>
      </c>
      <c r="EV360" s="26">
        <v>0</v>
      </c>
      <c r="EW360" s="26">
        <v>0</v>
      </c>
      <c r="EX360" s="26">
        <v>0</v>
      </c>
      <c r="EY360" s="26">
        <v>0</v>
      </c>
      <c r="EZ360" s="26">
        <v>0</v>
      </c>
      <c r="FA360" s="26">
        <v>0</v>
      </c>
      <c r="FB360" s="26">
        <v>0</v>
      </c>
      <c r="FC360" s="26">
        <v>0</v>
      </c>
      <c r="FD360" s="26">
        <v>0</v>
      </c>
      <c r="FE360" s="26">
        <v>0</v>
      </c>
      <c r="FF360" s="26">
        <v>0</v>
      </c>
      <c r="FG360" s="26">
        <v>0</v>
      </c>
      <c r="FH360" s="26">
        <v>-155596804.71000001</v>
      </c>
      <c r="FI360" s="26">
        <v>0</v>
      </c>
      <c r="FJ360" s="26">
        <v>0</v>
      </c>
      <c r="FK360" s="26">
        <v>0</v>
      </c>
      <c r="FL360" s="26">
        <v>0</v>
      </c>
      <c r="FM360" s="26">
        <v>0</v>
      </c>
      <c r="FN360" s="26">
        <v>0</v>
      </c>
      <c r="FO360" s="26">
        <v>0</v>
      </c>
      <c r="FP360" s="26">
        <v>0</v>
      </c>
      <c r="FQ360" s="26">
        <v>0</v>
      </c>
      <c r="FR360" s="26">
        <v>0</v>
      </c>
      <c r="FS360" s="26">
        <v>0</v>
      </c>
      <c r="FT360" s="26">
        <v>0</v>
      </c>
      <c r="FU360" s="26">
        <v>0</v>
      </c>
      <c r="FV360" s="26">
        <v>0</v>
      </c>
      <c r="FW360" s="26">
        <v>0</v>
      </c>
      <c r="FX360" s="26">
        <v>0</v>
      </c>
      <c r="FY360" s="26">
        <v>0</v>
      </c>
      <c r="FZ360" s="26">
        <v>0</v>
      </c>
      <c r="GA360" s="26">
        <v>0</v>
      </c>
      <c r="GB360" s="26">
        <v>0</v>
      </c>
      <c r="GC360" s="26">
        <v>0</v>
      </c>
      <c r="GD360" s="26">
        <v>0</v>
      </c>
      <c r="GE360" s="26">
        <v>0</v>
      </c>
      <c r="GF360" s="26">
        <v>0</v>
      </c>
      <c r="GG360" s="26">
        <v>0</v>
      </c>
      <c r="GH360" s="26">
        <v>0</v>
      </c>
      <c r="GI360" s="26">
        <v>0</v>
      </c>
      <c r="GJ360" s="26">
        <v>0</v>
      </c>
      <c r="GK360" s="26">
        <v>0</v>
      </c>
      <c r="GL360" s="26">
        <v>0</v>
      </c>
      <c r="GM360" s="26">
        <v>0</v>
      </c>
      <c r="GN360" s="26">
        <v>0</v>
      </c>
      <c r="GO360" s="26">
        <v>0</v>
      </c>
      <c r="GP360" s="26">
        <v>0</v>
      </c>
      <c r="GQ360" s="26">
        <v>0</v>
      </c>
      <c r="GR360" s="26">
        <v>0</v>
      </c>
      <c r="GS360" s="26">
        <v>0</v>
      </c>
      <c r="GT360" s="26">
        <v>0</v>
      </c>
      <c r="GU360" s="26">
        <v>0</v>
      </c>
      <c r="GV360" s="26">
        <v>0</v>
      </c>
      <c r="GW360" s="26">
        <v>0</v>
      </c>
      <c r="GX360" s="26">
        <v>0</v>
      </c>
      <c r="GY360" s="26">
        <v>0</v>
      </c>
      <c r="GZ360" s="26">
        <v>0</v>
      </c>
      <c r="HA360" s="26">
        <v>0</v>
      </c>
      <c r="HB360" s="26">
        <v>0</v>
      </c>
      <c r="HC360" s="26">
        <v>0</v>
      </c>
      <c r="HD360" s="26">
        <v>0</v>
      </c>
      <c r="HE360" s="26">
        <v>0</v>
      </c>
      <c r="HF360" s="26">
        <v>0</v>
      </c>
      <c r="HG360" s="26">
        <v>0</v>
      </c>
      <c r="HH360" s="26">
        <v>0</v>
      </c>
      <c r="HI360" s="26">
        <v>0</v>
      </c>
      <c r="HJ360" s="26">
        <v>0</v>
      </c>
      <c r="HK360" s="26">
        <v>0</v>
      </c>
      <c r="HL360" s="26">
        <v>0</v>
      </c>
      <c r="HM360" s="26">
        <v>0</v>
      </c>
      <c r="HN360" s="26">
        <v>0</v>
      </c>
      <c r="HO360" s="26">
        <v>0</v>
      </c>
      <c r="HP360" s="26">
        <v>0</v>
      </c>
      <c r="HQ360" s="26">
        <v>0</v>
      </c>
      <c r="HR360" s="26">
        <v>0</v>
      </c>
      <c r="HS360" s="26">
        <v>0</v>
      </c>
      <c r="HT360" s="26">
        <v>0</v>
      </c>
    </row>
    <row r="361" spans="2:228" x14ac:dyDescent="0.2">
      <c r="B361" s="27" t="s">
        <v>1446</v>
      </c>
      <c r="C361" s="26">
        <v>234812.967</v>
      </c>
      <c r="D361" s="26">
        <v>-709.91885500000001</v>
      </c>
      <c r="E361" s="26">
        <v>234812.967</v>
      </c>
      <c r="F361" s="26">
        <v>0</v>
      </c>
      <c r="G361" s="26">
        <v>0</v>
      </c>
      <c r="H361" s="26">
        <v>0</v>
      </c>
      <c r="I361" s="26">
        <v>0</v>
      </c>
      <c r="J361" s="26">
        <v>0</v>
      </c>
      <c r="K361" s="26">
        <v>0</v>
      </c>
      <c r="L361" s="26">
        <v>0</v>
      </c>
      <c r="M361" s="26">
        <v>0</v>
      </c>
      <c r="N361" s="26">
        <v>0</v>
      </c>
      <c r="O361" s="26">
        <v>0</v>
      </c>
      <c r="P361" s="26">
        <v>0</v>
      </c>
      <c r="Q361" s="26">
        <v>0</v>
      </c>
      <c r="R361" s="26">
        <v>0</v>
      </c>
      <c r="S361" s="26">
        <v>0</v>
      </c>
      <c r="T361" s="26">
        <v>0</v>
      </c>
      <c r="U361" s="26">
        <v>0</v>
      </c>
      <c r="V361" s="26">
        <v>0</v>
      </c>
      <c r="W361" s="26">
        <v>0</v>
      </c>
      <c r="X361" s="26">
        <v>0</v>
      </c>
      <c r="Y361" s="26">
        <v>0</v>
      </c>
      <c r="Z361" s="26">
        <v>0</v>
      </c>
      <c r="AA361" s="26">
        <v>0</v>
      </c>
      <c r="AB361" s="26">
        <v>0</v>
      </c>
      <c r="AC361" s="26">
        <v>0</v>
      </c>
      <c r="AD361" s="26">
        <v>0</v>
      </c>
      <c r="AE361" s="26">
        <v>0</v>
      </c>
      <c r="AF361" s="26">
        <v>0</v>
      </c>
      <c r="AG361" s="26">
        <v>0</v>
      </c>
      <c r="AH361" s="26">
        <v>0</v>
      </c>
      <c r="AI361" s="26">
        <v>0</v>
      </c>
      <c r="AJ361" s="26">
        <v>0</v>
      </c>
      <c r="AK361" s="26">
        <v>0</v>
      </c>
      <c r="AL361" s="26">
        <v>0</v>
      </c>
      <c r="AM361" s="26">
        <v>0</v>
      </c>
      <c r="AN361" s="26">
        <v>0</v>
      </c>
      <c r="AO361" s="26">
        <v>0</v>
      </c>
      <c r="AP361" s="26">
        <v>0</v>
      </c>
      <c r="AQ361" s="26">
        <v>0</v>
      </c>
      <c r="AR361" s="26">
        <v>0</v>
      </c>
      <c r="AS361" s="26">
        <v>0</v>
      </c>
      <c r="AT361" s="26">
        <v>0</v>
      </c>
      <c r="AU361" s="26">
        <v>0</v>
      </c>
      <c r="AV361" s="26">
        <v>0</v>
      </c>
      <c r="AW361" s="26">
        <v>0</v>
      </c>
      <c r="AX361" s="26">
        <v>0</v>
      </c>
      <c r="AY361" s="26">
        <v>0</v>
      </c>
      <c r="AZ361" s="26">
        <v>0</v>
      </c>
      <c r="BA361" s="26">
        <v>0</v>
      </c>
      <c r="BB361" s="26">
        <v>0</v>
      </c>
      <c r="BC361" s="26">
        <v>0</v>
      </c>
      <c r="BD361" s="26">
        <v>0</v>
      </c>
      <c r="BE361" s="26">
        <v>0</v>
      </c>
      <c r="BF361" s="26">
        <v>0</v>
      </c>
      <c r="BG361" s="26">
        <v>0</v>
      </c>
      <c r="BH361" s="26">
        <v>0</v>
      </c>
      <c r="BI361" s="26">
        <v>0</v>
      </c>
      <c r="BJ361" s="26">
        <v>0</v>
      </c>
      <c r="BK361" s="26">
        <v>0</v>
      </c>
      <c r="BL361" s="26">
        <v>0</v>
      </c>
      <c r="BM361" s="26">
        <v>0</v>
      </c>
      <c r="BN361" s="26">
        <v>0</v>
      </c>
      <c r="BO361" s="26">
        <v>13034.100399999999</v>
      </c>
      <c r="BP361" s="26">
        <v>234812.967</v>
      </c>
      <c r="BQ361" s="26">
        <v>203128.022</v>
      </c>
      <c r="BR361" s="26">
        <v>454.44444600000008</v>
      </c>
      <c r="BS361" s="26">
        <v>59.861367599999994</v>
      </c>
      <c r="BT361" s="26">
        <v>1</v>
      </c>
      <c r="BU361" s="26">
        <v>0</v>
      </c>
      <c r="BV361" s="26">
        <v>0</v>
      </c>
      <c r="BW361" s="26">
        <v>-54466.2716</v>
      </c>
      <c r="BX361" s="26">
        <v>-3023.3375000000001</v>
      </c>
      <c r="BY361" s="26">
        <v>-709.91885500000001</v>
      </c>
      <c r="BZ361" s="26">
        <v>-11.5918242</v>
      </c>
      <c r="CA361" s="26">
        <v>-0.64344401799999995</v>
      </c>
      <c r="CB361" s="26">
        <v>1.0694487199999999E-3</v>
      </c>
      <c r="CC361" s="26">
        <v>1.9266418099999998E-2</v>
      </c>
      <c r="CD361" s="26">
        <v>18.015280000000001</v>
      </c>
      <c r="CE361" s="26">
        <v>3921.0918099999994</v>
      </c>
      <c r="CF361" s="26">
        <v>0</v>
      </c>
      <c r="CG361" s="26">
        <v>0</v>
      </c>
      <c r="CH361" s="26">
        <v>0</v>
      </c>
      <c r="CI361" s="26">
        <v>0</v>
      </c>
      <c r="CJ361" s="26">
        <v>0</v>
      </c>
      <c r="CK361" s="26">
        <v>0</v>
      </c>
      <c r="CL361" s="26">
        <v>0</v>
      </c>
      <c r="CM361" s="26">
        <v>0</v>
      </c>
      <c r="CN361" s="26">
        <v>0</v>
      </c>
      <c r="CO361" s="26">
        <v>0</v>
      </c>
      <c r="CP361" s="26">
        <v>0</v>
      </c>
      <c r="CQ361" s="26">
        <v>0</v>
      </c>
      <c r="CR361" s="26">
        <v>0</v>
      </c>
      <c r="CS361" s="26">
        <v>0</v>
      </c>
      <c r="CT361" s="26">
        <v>0</v>
      </c>
      <c r="CU361" s="26">
        <v>0</v>
      </c>
      <c r="CV361" s="26">
        <v>0</v>
      </c>
      <c r="CW361" s="26">
        <v>0</v>
      </c>
      <c r="CX361" s="26">
        <v>0</v>
      </c>
      <c r="CY361" s="26">
        <v>0</v>
      </c>
      <c r="CZ361" s="26">
        <v>0</v>
      </c>
      <c r="DA361" s="26">
        <v>0</v>
      </c>
      <c r="DB361" s="26">
        <v>0</v>
      </c>
      <c r="DC361" s="26">
        <v>0</v>
      </c>
      <c r="DD361" s="26">
        <v>0</v>
      </c>
      <c r="DE361" s="26">
        <v>0</v>
      </c>
      <c r="DF361" s="26">
        <v>0</v>
      </c>
      <c r="DG361" s="26">
        <v>0</v>
      </c>
      <c r="DH361" s="26">
        <v>0</v>
      </c>
      <c r="DI361" s="26">
        <v>0</v>
      </c>
      <c r="DJ361" s="26">
        <v>0</v>
      </c>
      <c r="DK361" s="26">
        <v>0</v>
      </c>
      <c r="DL361" s="26">
        <v>0</v>
      </c>
      <c r="DM361" s="26">
        <v>0</v>
      </c>
      <c r="DN361" s="26">
        <v>0</v>
      </c>
      <c r="DO361" s="26">
        <v>0</v>
      </c>
      <c r="DP361" s="26">
        <v>0</v>
      </c>
      <c r="DQ361" s="26">
        <v>0</v>
      </c>
      <c r="DR361" s="26">
        <v>0</v>
      </c>
      <c r="DS361" s="26">
        <v>0</v>
      </c>
      <c r="DT361" s="26">
        <v>0</v>
      </c>
      <c r="DU361" s="26">
        <v>0</v>
      </c>
      <c r="DV361" s="26">
        <v>0</v>
      </c>
      <c r="DW361" s="26">
        <v>0</v>
      </c>
      <c r="DX361" s="26">
        <v>0</v>
      </c>
      <c r="DY361" s="26">
        <v>0</v>
      </c>
      <c r="DZ361" s="26">
        <v>0</v>
      </c>
      <c r="EA361" s="26">
        <v>0</v>
      </c>
      <c r="EB361" s="26">
        <v>0</v>
      </c>
      <c r="EC361" s="26">
        <v>0</v>
      </c>
      <c r="ED361" s="26">
        <v>0</v>
      </c>
      <c r="EE361" s="26">
        <v>0</v>
      </c>
      <c r="EF361" s="26">
        <v>0</v>
      </c>
      <c r="EG361" s="26">
        <v>0</v>
      </c>
      <c r="EH361" s="26">
        <v>0</v>
      </c>
      <c r="EI361" s="26">
        <v>0</v>
      </c>
      <c r="EJ361" s="26">
        <v>0</v>
      </c>
      <c r="EK361" s="26">
        <v>0</v>
      </c>
      <c r="EL361" s="26">
        <v>0</v>
      </c>
      <c r="EM361" s="26">
        <v>0</v>
      </c>
      <c r="EN361" s="26">
        <v>0</v>
      </c>
      <c r="EO361" s="26">
        <v>0</v>
      </c>
      <c r="EP361" s="26">
        <v>0</v>
      </c>
      <c r="EQ361" s="26">
        <v>0</v>
      </c>
      <c r="ER361" s="26">
        <v>0</v>
      </c>
      <c r="ES361" s="26">
        <v>0</v>
      </c>
      <c r="ET361" s="26">
        <v>59.861367599999994</v>
      </c>
      <c r="EU361" s="26">
        <v>0</v>
      </c>
      <c r="EV361" s="26">
        <v>0</v>
      </c>
      <c r="EW361" s="26">
        <v>0</v>
      </c>
      <c r="EX361" s="26">
        <v>0</v>
      </c>
      <c r="EY361" s="26">
        <v>0</v>
      </c>
      <c r="EZ361" s="26">
        <v>0</v>
      </c>
      <c r="FA361" s="26">
        <v>0</v>
      </c>
      <c r="FB361" s="26">
        <v>0</v>
      </c>
      <c r="FC361" s="26">
        <v>0</v>
      </c>
      <c r="FD361" s="26">
        <v>0</v>
      </c>
      <c r="FE361" s="26">
        <v>0</v>
      </c>
      <c r="FF361" s="26">
        <v>0</v>
      </c>
      <c r="FG361" s="26">
        <v>0</v>
      </c>
      <c r="FH361" s="26">
        <v>-875565642.05700004</v>
      </c>
      <c r="FI361" s="26">
        <v>0</v>
      </c>
      <c r="FJ361" s="26">
        <v>3.6205834734091122</v>
      </c>
      <c r="FK361" s="26">
        <v>0</v>
      </c>
      <c r="FL361" s="26">
        <v>0</v>
      </c>
      <c r="FM361" s="26">
        <v>0</v>
      </c>
      <c r="FN361" s="26">
        <v>0</v>
      </c>
      <c r="FO361" s="26">
        <v>0</v>
      </c>
      <c r="FP361" s="26">
        <v>0</v>
      </c>
      <c r="FQ361" s="26">
        <v>0</v>
      </c>
      <c r="FR361" s="26">
        <v>0</v>
      </c>
      <c r="FS361" s="26">
        <v>0</v>
      </c>
      <c r="FT361" s="26">
        <v>0</v>
      </c>
      <c r="FU361" s="26">
        <v>0</v>
      </c>
      <c r="FV361" s="26">
        <v>0</v>
      </c>
      <c r="FW361" s="26">
        <v>0</v>
      </c>
      <c r="FX361" s="26">
        <v>0</v>
      </c>
      <c r="FY361" s="26">
        <v>0</v>
      </c>
      <c r="FZ361" s="26">
        <v>0</v>
      </c>
      <c r="GA361" s="26">
        <v>0</v>
      </c>
      <c r="GB361" s="26">
        <v>0</v>
      </c>
      <c r="GC361" s="26">
        <v>0</v>
      </c>
      <c r="GD361" s="26">
        <v>0</v>
      </c>
      <c r="GE361" s="26">
        <v>0</v>
      </c>
      <c r="GF361" s="26">
        <v>0</v>
      </c>
      <c r="GG361" s="26">
        <v>0</v>
      </c>
      <c r="GH361" s="26">
        <v>0</v>
      </c>
      <c r="GI361" s="26">
        <v>0</v>
      </c>
      <c r="GJ361" s="26">
        <v>0</v>
      </c>
      <c r="GK361" s="26">
        <v>0</v>
      </c>
      <c r="GL361" s="26">
        <v>0</v>
      </c>
      <c r="GM361" s="26">
        <v>0</v>
      </c>
      <c r="GN361" s="26">
        <v>0</v>
      </c>
      <c r="GO361" s="26">
        <v>0</v>
      </c>
      <c r="GP361" s="26">
        <v>0</v>
      </c>
      <c r="GQ361" s="26">
        <v>0</v>
      </c>
      <c r="GR361" s="26">
        <v>0</v>
      </c>
      <c r="GS361" s="26">
        <v>0</v>
      </c>
      <c r="GT361" s="26">
        <v>0</v>
      </c>
      <c r="GU361" s="26">
        <v>0</v>
      </c>
      <c r="GV361" s="26">
        <v>0</v>
      </c>
      <c r="GW361" s="26">
        <v>0</v>
      </c>
      <c r="GX361" s="26">
        <v>0</v>
      </c>
      <c r="GY361" s="26">
        <v>0</v>
      </c>
      <c r="GZ361" s="26">
        <v>0</v>
      </c>
      <c r="HA361" s="26">
        <v>0</v>
      </c>
      <c r="HB361" s="26">
        <v>0</v>
      </c>
      <c r="HC361" s="26">
        <v>0</v>
      </c>
      <c r="HD361" s="26">
        <v>0</v>
      </c>
      <c r="HE361" s="26">
        <v>0</v>
      </c>
      <c r="HF361" s="26">
        <v>0</v>
      </c>
      <c r="HG361" s="26">
        <v>0</v>
      </c>
      <c r="HH361" s="26">
        <v>0</v>
      </c>
      <c r="HI361" s="26">
        <v>0</v>
      </c>
      <c r="HJ361" s="26">
        <v>0</v>
      </c>
      <c r="HK361" s="26">
        <v>0</v>
      </c>
      <c r="HL361" s="26">
        <v>0</v>
      </c>
      <c r="HM361" s="26">
        <v>0</v>
      </c>
      <c r="HN361" s="26">
        <v>0</v>
      </c>
      <c r="HO361" s="26">
        <v>0</v>
      </c>
      <c r="HP361" s="26">
        <v>0</v>
      </c>
      <c r="HQ361" s="26">
        <v>0</v>
      </c>
      <c r="HR361" s="26">
        <v>0</v>
      </c>
      <c r="HS361" s="26">
        <v>0</v>
      </c>
      <c r="HT361" s="26">
        <v>0</v>
      </c>
    </row>
    <row r="362" spans="2:228" x14ac:dyDescent="0.2">
      <c r="B362" s="27" t="s">
        <v>2441</v>
      </c>
      <c r="C362" s="26">
        <v>234812.967</v>
      </c>
      <c r="D362" s="26">
        <v>-729.36166100000003</v>
      </c>
      <c r="E362" s="26">
        <v>234812.967</v>
      </c>
      <c r="F362" s="26">
        <v>0</v>
      </c>
      <c r="G362" s="26">
        <v>0</v>
      </c>
      <c r="H362" s="26">
        <v>0</v>
      </c>
      <c r="I362" s="26">
        <v>0</v>
      </c>
      <c r="J362" s="26">
        <v>0</v>
      </c>
      <c r="K362" s="26">
        <v>0</v>
      </c>
      <c r="L362" s="26">
        <v>0</v>
      </c>
      <c r="M362" s="26">
        <v>0</v>
      </c>
      <c r="N362" s="26">
        <v>0</v>
      </c>
      <c r="O362" s="26">
        <v>0</v>
      </c>
      <c r="P362" s="26">
        <v>0</v>
      </c>
      <c r="Q362" s="26">
        <v>0</v>
      </c>
      <c r="R362" s="26">
        <v>0</v>
      </c>
      <c r="S362" s="26">
        <v>0</v>
      </c>
      <c r="T362" s="26">
        <v>0</v>
      </c>
      <c r="U362" s="26">
        <v>0</v>
      </c>
      <c r="V362" s="26">
        <v>0</v>
      </c>
      <c r="W362" s="26">
        <v>0</v>
      </c>
      <c r="X362" s="26">
        <v>0</v>
      </c>
      <c r="Y362" s="26">
        <v>0</v>
      </c>
      <c r="Z362" s="26">
        <v>0</v>
      </c>
      <c r="AA362" s="26">
        <v>0</v>
      </c>
      <c r="AB362" s="26">
        <v>0</v>
      </c>
      <c r="AC362" s="26">
        <v>0</v>
      </c>
      <c r="AD362" s="26">
        <v>0</v>
      </c>
      <c r="AE362" s="26">
        <v>0</v>
      </c>
      <c r="AF362" s="26">
        <v>0</v>
      </c>
      <c r="AG362" s="26">
        <v>0</v>
      </c>
      <c r="AH362" s="26">
        <v>0</v>
      </c>
      <c r="AI362" s="26">
        <v>0</v>
      </c>
      <c r="AJ362" s="26">
        <v>0</v>
      </c>
      <c r="AK362" s="26">
        <v>0</v>
      </c>
      <c r="AL362" s="26">
        <v>0</v>
      </c>
      <c r="AM362" s="26">
        <v>0</v>
      </c>
      <c r="AN362" s="26">
        <v>0</v>
      </c>
      <c r="AO362" s="26">
        <v>0</v>
      </c>
      <c r="AP362" s="26">
        <v>0</v>
      </c>
      <c r="AQ362" s="26">
        <v>0</v>
      </c>
      <c r="AR362" s="26">
        <v>0</v>
      </c>
      <c r="AS362" s="26">
        <v>0</v>
      </c>
      <c r="AT362" s="26">
        <v>0</v>
      </c>
      <c r="AU362" s="26">
        <v>0</v>
      </c>
      <c r="AV362" s="26">
        <v>0</v>
      </c>
      <c r="AW362" s="26">
        <v>0</v>
      </c>
      <c r="AX362" s="26">
        <v>0</v>
      </c>
      <c r="AY362" s="26">
        <v>0</v>
      </c>
      <c r="AZ362" s="26">
        <v>0</v>
      </c>
      <c r="BA362" s="26">
        <v>0</v>
      </c>
      <c r="BB362" s="26">
        <v>0</v>
      </c>
      <c r="BC362" s="26">
        <v>0</v>
      </c>
      <c r="BD362" s="26">
        <v>0</v>
      </c>
      <c r="BE362" s="26">
        <v>0</v>
      </c>
      <c r="BF362" s="26">
        <v>0</v>
      </c>
      <c r="BG362" s="26">
        <v>0</v>
      </c>
      <c r="BH362" s="26">
        <v>0</v>
      </c>
      <c r="BI362" s="26">
        <v>0</v>
      </c>
      <c r="BJ362" s="26">
        <v>0</v>
      </c>
      <c r="BK362" s="26">
        <v>0</v>
      </c>
      <c r="BL362" s="26">
        <v>0</v>
      </c>
      <c r="BM362" s="26">
        <v>0</v>
      </c>
      <c r="BN362" s="26">
        <v>0</v>
      </c>
      <c r="BO362" s="26">
        <v>13034.100399999999</v>
      </c>
      <c r="BP362" s="26">
        <v>234812.967</v>
      </c>
      <c r="BQ362" s="26">
        <v>707391.723</v>
      </c>
      <c r="BR362" s="26">
        <v>265.65910599999995</v>
      </c>
      <c r="BS362" s="26">
        <v>13</v>
      </c>
      <c r="BT362" s="26">
        <v>1</v>
      </c>
      <c r="BU362" s="26">
        <v>0</v>
      </c>
      <c r="BV362" s="26">
        <v>0</v>
      </c>
      <c r="BW362" s="26">
        <v>-55957.959199999998</v>
      </c>
      <c r="BX362" s="26">
        <v>-3106.1387399999999</v>
      </c>
      <c r="BY362" s="26">
        <v>-729.36166100000003</v>
      </c>
      <c r="BZ362" s="26">
        <v>-11.0908775</v>
      </c>
      <c r="CA362" s="26">
        <v>-0.615637251</v>
      </c>
      <c r="CB362" s="26">
        <v>3.0709293900000001E-4</v>
      </c>
      <c r="CC362" s="26">
        <v>5.5323652799999998E-3</v>
      </c>
      <c r="CD362" s="26">
        <v>18.015280000000001</v>
      </c>
      <c r="CE362" s="26">
        <v>3921.0918099999994</v>
      </c>
      <c r="CF362" s="26">
        <v>0</v>
      </c>
      <c r="CG362" s="26">
        <v>0</v>
      </c>
      <c r="CH362" s="26">
        <v>0</v>
      </c>
      <c r="CI362" s="26">
        <v>0</v>
      </c>
      <c r="CJ362" s="26">
        <v>0</v>
      </c>
      <c r="CK362" s="26">
        <v>0</v>
      </c>
      <c r="CL362" s="26">
        <v>0</v>
      </c>
      <c r="CM362" s="26">
        <v>0</v>
      </c>
      <c r="CN362" s="26">
        <v>0</v>
      </c>
      <c r="CO362" s="26">
        <v>0</v>
      </c>
      <c r="CP362" s="26">
        <v>0</v>
      </c>
      <c r="CQ362" s="26">
        <v>0</v>
      </c>
      <c r="CR362" s="26">
        <v>0</v>
      </c>
      <c r="CS362" s="26">
        <v>0</v>
      </c>
      <c r="CT362" s="26">
        <v>0</v>
      </c>
      <c r="CU362" s="26">
        <v>0</v>
      </c>
      <c r="CV362" s="26">
        <v>0</v>
      </c>
      <c r="CW362" s="26">
        <v>0</v>
      </c>
      <c r="CX362" s="26">
        <v>0</v>
      </c>
      <c r="CY362" s="26">
        <v>0</v>
      </c>
      <c r="CZ362" s="26">
        <v>0</v>
      </c>
      <c r="DA362" s="26">
        <v>0</v>
      </c>
      <c r="DB362" s="26">
        <v>0</v>
      </c>
      <c r="DC362" s="26">
        <v>0</v>
      </c>
      <c r="DD362" s="26">
        <v>0</v>
      </c>
      <c r="DE362" s="26">
        <v>0</v>
      </c>
      <c r="DF362" s="26">
        <v>0</v>
      </c>
      <c r="DG362" s="26">
        <v>0</v>
      </c>
      <c r="DH362" s="26">
        <v>0</v>
      </c>
      <c r="DI362" s="26">
        <v>0</v>
      </c>
      <c r="DJ362" s="26">
        <v>0</v>
      </c>
      <c r="DK362" s="26">
        <v>0</v>
      </c>
      <c r="DL362" s="26">
        <v>0</v>
      </c>
      <c r="DM362" s="26">
        <v>0</v>
      </c>
      <c r="DN362" s="26">
        <v>0</v>
      </c>
      <c r="DO362" s="26">
        <v>0</v>
      </c>
      <c r="DP362" s="26">
        <v>0</v>
      </c>
      <c r="DQ362" s="26">
        <v>0</v>
      </c>
      <c r="DR362" s="26">
        <v>0</v>
      </c>
      <c r="DS362" s="26">
        <v>0</v>
      </c>
      <c r="DT362" s="26">
        <v>0</v>
      </c>
      <c r="DU362" s="26">
        <v>0</v>
      </c>
      <c r="DV362" s="26">
        <v>0</v>
      </c>
      <c r="DW362" s="26">
        <v>0</v>
      </c>
      <c r="DX362" s="26">
        <v>0</v>
      </c>
      <c r="DY362" s="26">
        <v>0</v>
      </c>
      <c r="DZ362" s="26">
        <v>0</v>
      </c>
      <c r="EA362" s="26">
        <v>0</v>
      </c>
      <c r="EB362" s="26">
        <v>0</v>
      </c>
      <c r="EC362" s="26">
        <v>0</v>
      </c>
      <c r="ED362" s="26">
        <v>0</v>
      </c>
      <c r="EE362" s="26">
        <v>0</v>
      </c>
      <c r="EF362" s="26">
        <v>0</v>
      </c>
      <c r="EG362" s="26">
        <v>0</v>
      </c>
      <c r="EH362" s="26">
        <v>0</v>
      </c>
      <c r="EI362" s="26">
        <v>0</v>
      </c>
      <c r="EJ362" s="26">
        <v>0</v>
      </c>
      <c r="EK362" s="26">
        <v>0</v>
      </c>
      <c r="EL362" s="26">
        <v>0</v>
      </c>
      <c r="EM362" s="26">
        <v>0</v>
      </c>
      <c r="EN362" s="26">
        <v>0</v>
      </c>
      <c r="EO362" s="26">
        <v>0</v>
      </c>
      <c r="EP362" s="26">
        <v>0</v>
      </c>
      <c r="EQ362" s="26">
        <v>0</v>
      </c>
      <c r="ER362" s="26">
        <v>0</v>
      </c>
      <c r="ES362" s="26">
        <v>0</v>
      </c>
      <c r="ET362" s="26">
        <v>13</v>
      </c>
      <c r="EU362" s="26">
        <v>0</v>
      </c>
      <c r="EV362" s="26">
        <v>0</v>
      </c>
      <c r="EW362" s="26">
        <v>0</v>
      </c>
      <c r="EX362" s="26">
        <v>0</v>
      </c>
      <c r="EY362" s="26">
        <v>0</v>
      </c>
      <c r="EZ362" s="26">
        <v>0</v>
      </c>
      <c r="FA362" s="26">
        <v>0</v>
      </c>
      <c r="FB362" s="26">
        <v>0</v>
      </c>
      <c r="FC362" s="26">
        <v>0</v>
      </c>
      <c r="FD362" s="26">
        <v>0</v>
      </c>
      <c r="FE362" s="26">
        <v>0</v>
      </c>
      <c r="FF362" s="26">
        <v>0</v>
      </c>
      <c r="FG362" s="26">
        <v>0</v>
      </c>
      <c r="FH362" s="26">
        <v>-875565642.05700004</v>
      </c>
      <c r="FI362" s="26">
        <v>0</v>
      </c>
      <c r="FJ362" s="26">
        <v>3.6205834734091122</v>
      </c>
      <c r="FK362" s="26">
        <v>0</v>
      </c>
      <c r="FL362" s="26">
        <v>0</v>
      </c>
      <c r="FM362" s="26">
        <v>0</v>
      </c>
      <c r="FN362" s="26">
        <v>0</v>
      </c>
      <c r="FO362" s="26">
        <v>0</v>
      </c>
      <c r="FP362" s="26">
        <v>0</v>
      </c>
      <c r="FQ362" s="26">
        <v>0</v>
      </c>
      <c r="FR362" s="26">
        <v>0</v>
      </c>
      <c r="FS362" s="26">
        <v>0</v>
      </c>
      <c r="FT362" s="26">
        <v>0</v>
      </c>
      <c r="FU362" s="26">
        <v>0</v>
      </c>
      <c r="FV362" s="26">
        <v>0</v>
      </c>
      <c r="FW362" s="26">
        <v>0</v>
      </c>
      <c r="FX362" s="26">
        <v>0</v>
      </c>
      <c r="FY362" s="26">
        <v>0</v>
      </c>
      <c r="FZ362" s="26">
        <v>0</v>
      </c>
      <c r="GA362" s="26">
        <v>0</v>
      </c>
      <c r="GB362" s="26">
        <v>0</v>
      </c>
      <c r="GC362" s="26">
        <v>0</v>
      </c>
      <c r="GD362" s="26">
        <v>0</v>
      </c>
      <c r="GE362" s="26">
        <v>0</v>
      </c>
      <c r="GF362" s="26">
        <v>0</v>
      </c>
      <c r="GG362" s="26">
        <v>0</v>
      </c>
      <c r="GH362" s="26">
        <v>0</v>
      </c>
      <c r="GI362" s="26">
        <v>0</v>
      </c>
      <c r="GJ362" s="26">
        <v>0</v>
      </c>
      <c r="GK362" s="26">
        <v>0</v>
      </c>
      <c r="GL362" s="26">
        <v>0</v>
      </c>
      <c r="GM362" s="26">
        <v>0</v>
      </c>
      <c r="GN362" s="26">
        <v>0</v>
      </c>
      <c r="GO362" s="26">
        <v>0</v>
      </c>
      <c r="GP362" s="26">
        <v>0</v>
      </c>
      <c r="GQ362" s="26">
        <v>0</v>
      </c>
      <c r="GR362" s="26">
        <v>0</v>
      </c>
      <c r="GS362" s="26">
        <v>0</v>
      </c>
      <c r="GT362" s="26">
        <v>0</v>
      </c>
      <c r="GU362" s="26">
        <v>0</v>
      </c>
      <c r="GV362" s="26">
        <v>0</v>
      </c>
      <c r="GW362" s="26">
        <v>0</v>
      </c>
      <c r="GX362" s="26">
        <v>0</v>
      </c>
      <c r="GY362" s="26">
        <v>0</v>
      </c>
      <c r="GZ362" s="26">
        <v>0</v>
      </c>
      <c r="HA362" s="26">
        <v>0</v>
      </c>
      <c r="HB362" s="26">
        <v>0</v>
      </c>
      <c r="HC362" s="26">
        <v>0</v>
      </c>
      <c r="HD362" s="26">
        <v>0</v>
      </c>
      <c r="HE362" s="26">
        <v>0</v>
      </c>
      <c r="HF362" s="26">
        <v>0</v>
      </c>
      <c r="HG362" s="26">
        <v>0</v>
      </c>
      <c r="HH362" s="26">
        <v>0</v>
      </c>
      <c r="HI362" s="26">
        <v>0</v>
      </c>
      <c r="HJ362" s="26">
        <v>0</v>
      </c>
      <c r="HK362" s="26">
        <v>0</v>
      </c>
      <c r="HL362" s="26">
        <v>0</v>
      </c>
      <c r="HM362" s="26">
        <v>0</v>
      </c>
      <c r="HN362" s="26">
        <v>0</v>
      </c>
      <c r="HO362" s="26">
        <v>0</v>
      </c>
      <c r="HP362" s="26">
        <v>0</v>
      </c>
      <c r="HQ362" s="26">
        <v>0</v>
      </c>
      <c r="HR362" s="26">
        <v>0</v>
      </c>
      <c r="HS362" s="26">
        <v>0</v>
      </c>
      <c r="HT362" s="26">
        <v>0</v>
      </c>
    </row>
    <row r="363" spans="2:228" x14ac:dyDescent="0.2">
      <c r="B363" s="27" t="s">
        <v>1455</v>
      </c>
      <c r="C363" s="26">
        <v>30113.032100000004</v>
      </c>
      <c r="D363" s="26">
        <v>-93.5352563</v>
      </c>
      <c r="E363" s="26">
        <v>30113.032100000004</v>
      </c>
      <c r="F363" s="26">
        <v>0</v>
      </c>
      <c r="G363" s="26">
        <v>0</v>
      </c>
      <c r="H363" s="26">
        <v>0</v>
      </c>
      <c r="I363" s="26">
        <v>0</v>
      </c>
      <c r="J363" s="26">
        <v>0</v>
      </c>
      <c r="K363" s="26">
        <v>0</v>
      </c>
      <c r="L363" s="26">
        <v>0</v>
      </c>
      <c r="M363" s="26">
        <v>0</v>
      </c>
      <c r="N363" s="26">
        <v>0</v>
      </c>
      <c r="O363" s="26">
        <v>0</v>
      </c>
      <c r="P363" s="26">
        <v>0</v>
      </c>
      <c r="Q363" s="26">
        <v>0</v>
      </c>
      <c r="R363" s="26">
        <v>0</v>
      </c>
      <c r="S363" s="26">
        <v>0</v>
      </c>
      <c r="T363" s="26">
        <v>0</v>
      </c>
      <c r="U363" s="26">
        <v>0</v>
      </c>
      <c r="V363" s="26">
        <v>0</v>
      </c>
      <c r="W363" s="26">
        <v>0</v>
      </c>
      <c r="X363" s="26">
        <v>0</v>
      </c>
      <c r="Y363" s="26">
        <v>0</v>
      </c>
      <c r="Z363" s="26">
        <v>0</v>
      </c>
      <c r="AA363" s="26">
        <v>0</v>
      </c>
      <c r="AB363" s="26">
        <v>0</v>
      </c>
      <c r="AC363" s="26">
        <v>0</v>
      </c>
      <c r="AD363" s="26">
        <v>0</v>
      </c>
      <c r="AE363" s="26">
        <v>0</v>
      </c>
      <c r="AF363" s="26">
        <v>0</v>
      </c>
      <c r="AG363" s="26">
        <v>0</v>
      </c>
      <c r="AH363" s="26">
        <v>0</v>
      </c>
      <c r="AI363" s="26">
        <v>0</v>
      </c>
      <c r="AJ363" s="26">
        <v>0</v>
      </c>
      <c r="AK363" s="26">
        <v>0</v>
      </c>
      <c r="AL363" s="26">
        <v>0</v>
      </c>
      <c r="AM363" s="26">
        <v>0</v>
      </c>
      <c r="AN363" s="26">
        <v>0</v>
      </c>
      <c r="AO363" s="26">
        <v>0</v>
      </c>
      <c r="AP363" s="26">
        <v>0</v>
      </c>
      <c r="AQ363" s="26">
        <v>0</v>
      </c>
      <c r="AR363" s="26">
        <v>0</v>
      </c>
      <c r="AS363" s="26">
        <v>0</v>
      </c>
      <c r="AT363" s="26">
        <v>0</v>
      </c>
      <c r="AU363" s="26">
        <v>0</v>
      </c>
      <c r="AV363" s="26">
        <v>0</v>
      </c>
      <c r="AW363" s="26">
        <v>0</v>
      </c>
      <c r="AX363" s="26">
        <v>0</v>
      </c>
      <c r="AY363" s="26">
        <v>0</v>
      </c>
      <c r="AZ363" s="26">
        <v>0</v>
      </c>
      <c r="BA363" s="26">
        <v>0</v>
      </c>
      <c r="BB363" s="26">
        <v>0</v>
      </c>
      <c r="BC363" s="26">
        <v>0</v>
      </c>
      <c r="BD363" s="26">
        <v>0</v>
      </c>
      <c r="BE363" s="26">
        <v>0</v>
      </c>
      <c r="BF363" s="26">
        <v>0</v>
      </c>
      <c r="BG363" s="26">
        <v>0</v>
      </c>
      <c r="BH363" s="26">
        <v>0</v>
      </c>
      <c r="BI363" s="26">
        <v>0</v>
      </c>
      <c r="BJ363" s="26">
        <v>0</v>
      </c>
      <c r="BK363" s="26">
        <v>0</v>
      </c>
      <c r="BL363" s="26">
        <v>0</v>
      </c>
      <c r="BM363" s="26">
        <v>0</v>
      </c>
      <c r="BN363" s="26">
        <v>0</v>
      </c>
      <c r="BO363" s="26">
        <v>1671.52728</v>
      </c>
      <c r="BP363" s="26">
        <v>30113.032100000004</v>
      </c>
      <c r="BQ363" s="26">
        <v>90717.773700000005</v>
      </c>
      <c r="BR363" s="26">
        <v>265.65910599999995</v>
      </c>
      <c r="BS363" s="26">
        <v>13</v>
      </c>
      <c r="BT363" s="26">
        <v>1</v>
      </c>
      <c r="BU363" s="26">
        <v>0</v>
      </c>
      <c r="BV363" s="26">
        <v>0</v>
      </c>
      <c r="BW363" s="26">
        <v>-55957.959199999998</v>
      </c>
      <c r="BX363" s="26">
        <v>-3106.1387399999999</v>
      </c>
      <c r="BY363" s="26">
        <v>-93.5352563</v>
      </c>
      <c r="BZ363" s="26">
        <v>-11.0908775</v>
      </c>
      <c r="CA363" s="26">
        <v>-0.615637251</v>
      </c>
      <c r="CB363" s="26">
        <v>3.0709293900000001E-4</v>
      </c>
      <c r="CC363" s="26">
        <v>5.5323652799999998E-3</v>
      </c>
      <c r="CD363" s="26">
        <v>18.015280000000001</v>
      </c>
      <c r="CE363" s="26">
        <v>502.85111899999998</v>
      </c>
      <c r="CF363" s="26">
        <v>0</v>
      </c>
      <c r="CG363" s="26">
        <v>0</v>
      </c>
      <c r="CH363" s="26">
        <v>0</v>
      </c>
      <c r="CI363" s="26">
        <v>0</v>
      </c>
      <c r="CJ363" s="26">
        <v>0</v>
      </c>
      <c r="CK363" s="26">
        <v>0</v>
      </c>
      <c r="CL363" s="26">
        <v>0</v>
      </c>
      <c r="CM363" s="26">
        <v>0</v>
      </c>
      <c r="CN363" s="26">
        <v>0</v>
      </c>
      <c r="CO363" s="26">
        <v>0</v>
      </c>
      <c r="CP363" s="26">
        <v>0</v>
      </c>
      <c r="CQ363" s="26">
        <v>0</v>
      </c>
      <c r="CR363" s="26">
        <v>0</v>
      </c>
      <c r="CS363" s="26">
        <v>0</v>
      </c>
      <c r="CT363" s="26">
        <v>0</v>
      </c>
      <c r="CU363" s="26">
        <v>0</v>
      </c>
      <c r="CV363" s="26">
        <v>0</v>
      </c>
      <c r="CW363" s="26">
        <v>0</v>
      </c>
      <c r="CX363" s="26">
        <v>0</v>
      </c>
      <c r="CY363" s="26">
        <v>0</v>
      </c>
      <c r="CZ363" s="26">
        <v>0</v>
      </c>
      <c r="DA363" s="26">
        <v>0</v>
      </c>
      <c r="DB363" s="26">
        <v>0</v>
      </c>
      <c r="DC363" s="26">
        <v>0</v>
      </c>
      <c r="DD363" s="26">
        <v>0</v>
      </c>
      <c r="DE363" s="26">
        <v>0</v>
      </c>
      <c r="DF363" s="26">
        <v>0</v>
      </c>
      <c r="DG363" s="26">
        <v>0</v>
      </c>
      <c r="DH363" s="26">
        <v>0</v>
      </c>
      <c r="DI363" s="26">
        <v>0</v>
      </c>
      <c r="DJ363" s="26">
        <v>0</v>
      </c>
      <c r="DK363" s="26">
        <v>0</v>
      </c>
      <c r="DL363" s="26">
        <v>0</v>
      </c>
      <c r="DM363" s="26">
        <v>0</v>
      </c>
      <c r="DN363" s="26">
        <v>0</v>
      </c>
      <c r="DO363" s="26">
        <v>0</v>
      </c>
      <c r="DP363" s="26">
        <v>0</v>
      </c>
      <c r="DQ363" s="26">
        <v>0</v>
      </c>
      <c r="DR363" s="26">
        <v>0</v>
      </c>
      <c r="DS363" s="26">
        <v>0</v>
      </c>
      <c r="DT363" s="26">
        <v>0</v>
      </c>
      <c r="DU363" s="26">
        <v>0</v>
      </c>
      <c r="DV363" s="26">
        <v>0</v>
      </c>
      <c r="DW363" s="26">
        <v>0</v>
      </c>
      <c r="DX363" s="26">
        <v>0</v>
      </c>
      <c r="DY363" s="26">
        <v>0</v>
      </c>
      <c r="DZ363" s="26">
        <v>0</v>
      </c>
      <c r="EA363" s="26">
        <v>0</v>
      </c>
      <c r="EB363" s="26">
        <v>0</v>
      </c>
      <c r="EC363" s="26">
        <v>0</v>
      </c>
      <c r="ED363" s="26">
        <v>0</v>
      </c>
      <c r="EE363" s="26">
        <v>0</v>
      </c>
      <c r="EF363" s="26">
        <v>0</v>
      </c>
      <c r="EG363" s="26">
        <v>0</v>
      </c>
      <c r="EH363" s="26">
        <v>0</v>
      </c>
      <c r="EI363" s="26">
        <v>0</v>
      </c>
      <c r="EJ363" s="26">
        <v>0</v>
      </c>
      <c r="EK363" s="26">
        <v>0</v>
      </c>
      <c r="EL363" s="26">
        <v>0</v>
      </c>
      <c r="EM363" s="26">
        <v>0</v>
      </c>
      <c r="EN363" s="26">
        <v>0</v>
      </c>
      <c r="EO363" s="26">
        <v>0</v>
      </c>
      <c r="EP363" s="26">
        <v>0</v>
      </c>
      <c r="EQ363" s="26">
        <v>0</v>
      </c>
      <c r="ER363" s="26">
        <v>0</v>
      </c>
      <c r="ES363" s="26">
        <v>0</v>
      </c>
      <c r="ET363" s="26">
        <v>13</v>
      </c>
      <c r="EU363" s="26">
        <v>0</v>
      </c>
      <c r="EV363" s="26">
        <v>0</v>
      </c>
      <c r="EW363" s="26">
        <v>0</v>
      </c>
      <c r="EX363" s="26">
        <v>0</v>
      </c>
      <c r="EY363" s="26">
        <v>0</v>
      </c>
      <c r="EZ363" s="26">
        <v>0</v>
      </c>
      <c r="FA363" s="26">
        <v>0</v>
      </c>
      <c r="FB363" s="26">
        <v>0</v>
      </c>
      <c r="FC363" s="26">
        <v>0</v>
      </c>
      <c r="FD363" s="26">
        <v>0</v>
      </c>
      <c r="FE363" s="26">
        <v>0</v>
      </c>
      <c r="FF363" s="26">
        <v>0</v>
      </c>
      <c r="FG363" s="26">
        <v>0</v>
      </c>
      <c r="FH363" s="26">
        <v>-112284839.029</v>
      </c>
      <c r="FI363" s="26">
        <v>0</v>
      </c>
      <c r="FJ363" s="26">
        <v>0.46431313704783844</v>
      </c>
      <c r="FK363" s="26">
        <v>0</v>
      </c>
      <c r="FL363" s="26">
        <v>0</v>
      </c>
      <c r="FM363" s="26">
        <v>0</v>
      </c>
      <c r="FN363" s="26">
        <v>0</v>
      </c>
      <c r="FO363" s="26">
        <v>0</v>
      </c>
      <c r="FP363" s="26">
        <v>0</v>
      </c>
      <c r="FQ363" s="26">
        <v>0</v>
      </c>
      <c r="FR363" s="26">
        <v>0</v>
      </c>
      <c r="FS363" s="26">
        <v>0</v>
      </c>
      <c r="FT363" s="26">
        <v>0</v>
      </c>
      <c r="FU363" s="26">
        <v>0</v>
      </c>
      <c r="FV363" s="26">
        <v>0</v>
      </c>
      <c r="FW363" s="26">
        <v>0</v>
      </c>
      <c r="FX363" s="26">
        <v>0</v>
      </c>
      <c r="FY363" s="26">
        <v>0</v>
      </c>
      <c r="FZ363" s="26">
        <v>0</v>
      </c>
      <c r="GA363" s="26">
        <v>0</v>
      </c>
      <c r="GB363" s="26">
        <v>0</v>
      </c>
      <c r="GC363" s="26">
        <v>0</v>
      </c>
      <c r="GD363" s="26">
        <v>0</v>
      </c>
      <c r="GE363" s="26">
        <v>0</v>
      </c>
      <c r="GF363" s="26">
        <v>0</v>
      </c>
      <c r="GG363" s="26">
        <v>0</v>
      </c>
      <c r="GH363" s="26">
        <v>0</v>
      </c>
      <c r="GI363" s="26">
        <v>0</v>
      </c>
      <c r="GJ363" s="26">
        <v>0</v>
      </c>
      <c r="GK363" s="26">
        <v>0</v>
      </c>
      <c r="GL363" s="26">
        <v>0</v>
      </c>
      <c r="GM363" s="26">
        <v>0</v>
      </c>
      <c r="GN363" s="26">
        <v>0</v>
      </c>
      <c r="GO363" s="26">
        <v>0</v>
      </c>
      <c r="GP363" s="26">
        <v>0</v>
      </c>
      <c r="GQ363" s="26">
        <v>0</v>
      </c>
      <c r="GR363" s="26">
        <v>0</v>
      </c>
      <c r="GS363" s="26">
        <v>0</v>
      </c>
      <c r="GT363" s="26">
        <v>0</v>
      </c>
      <c r="GU363" s="26">
        <v>0</v>
      </c>
      <c r="GV363" s="26">
        <v>0</v>
      </c>
      <c r="GW363" s="26">
        <v>0</v>
      </c>
      <c r="GX363" s="26">
        <v>0</v>
      </c>
      <c r="GY363" s="26">
        <v>0</v>
      </c>
      <c r="GZ363" s="26">
        <v>0</v>
      </c>
      <c r="HA363" s="26">
        <v>0</v>
      </c>
      <c r="HB363" s="26">
        <v>0</v>
      </c>
      <c r="HC363" s="26">
        <v>0</v>
      </c>
      <c r="HD363" s="26">
        <v>0</v>
      </c>
      <c r="HE363" s="26">
        <v>0</v>
      </c>
      <c r="HF363" s="26">
        <v>0</v>
      </c>
      <c r="HG363" s="26">
        <v>0</v>
      </c>
      <c r="HH363" s="26">
        <v>0</v>
      </c>
      <c r="HI363" s="26">
        <v>0</v>
      </c>
      <c r="HJ363" s="26">
        <v>0</v>
      </c>
      <c r="HK363" s="26">
        <v>0</v>
      </c>
      <c r="HL363" s="26">
        <v>0</v>
      </c>
      <c r="HM363" s="26">
        <v>0</v>
      </c>
      <c r="HN363" s="26">
        <v>0</v>
      </c>
      <c r="HO363" s="26">
        <v>0</v>
      </c>
      <c r="HP363" s="26">
        <v>0</v>
      </c>
      <c r="HQ363" s="26">
        <v>0</v>
      </c>
      <c r="HR363" s="26">
        <v>0</v>
      </c>
      <c r="HS363" s="26">
        <v>0</v>
      </c>
      <c r="HT363" s="26">
        <v>0</v>
      </c>
    </row>
    <row r="364" spans="2:228" x14ac:dyDescent="0.2">
      <c r="B364" s="27" t="s">
        <v>1457</v>
      </c>
      <c r="C364" s="26">
        <v>0</v>
      </c>
      <c r="D364" s="26">
        <v>0</v>
      </c>
      <c r="E364" s="26">
        <v>0</v>
      </c>
      <c r="F364" s="26">
        <v>0</v>
      </c>
      <c r="G364" s="26">
        <v>0</v>
      </c>
      <c r="H364" s="26">
        <v>0</v>
      </c>
      <c r="I364" s="26">
        <v>0</v>
      </c>
      <c r="J364" s="26">
        <v>0</v>
      </c>
      <c r="K364" s="26">
        <v>0</v>
      </c>
      <c r="L364" s="26">
        <v>0</v>
      </c>
      <c r="M364" s="26">
        <v>0</v>
      </c>
      <c r="N364" s="26">
        <v>0</v>
      </c>
      <c r="O364" s="26">
        <v>0</v>
      </c>
      <c r="P364" s="26">
        <v>0</v>
      </c>
      <c r="Q364" s="26">
        <v>0</v>
      </c>
      <c r="R364" s="26">
        <v>0</v>
      </c>
      <c r="S364" s="26">
        <v>0</v>
      </c>
      <c r="T364" s="26">
        <v>0</v>
      </c>
      <c r="U364" s="26">
        <v>0</v>
      </c>
      <c r="V364" s="26">
        <v>0</v>
      </c>
      <c r="W364" s="26">
        <v>0</v>
      </c>
      <c r="X364" s="26">
        <v>0</v>
      </c>
      <c r="Y364" s="26">
        <v>0</v>
      </c>
      <c r="Z364" s="26">
        <v>0</v>
      </c>
      <c r="AA364" s="26">
        <v>0</v>
      </c>
      <c r="AB364" s="26">
        <v>0</v>
      </c>
      <c r="AC364" s="26">
        <v>0</v>
      </c>
      <c r="AD364" s="26">
        <v>0</v>
      </c>
      <c r="AE364" s="26">
        <v>0</v>
      </c>
      <c r="AF364" s="26">
        <v>0</v>
      </c>
      <c r="AG364" s="26">
        <v>0</v>
      </c>
      <c r="AH364" s="26">
        <v>0</v>
      </c>
      <c r="AI364" s="26">
        <v>0</v>
      </c>
      <c r="AJ364" s="26">
        <v>0</v>
      </c>
      <c r="AK364" s="26">
        <v>0</v>
      </c>
      <c r="AL364" s="26">
        <v>0</v>
      </c>
      <c r="AM364" s="26">
        <v>0</v>
      </c>
      <c r="AN364" s="26">
        <v>0</v>
      </c>
      <c r="AO364" s="26">
        <v>0</v>
      </c>
      <c r="AP364" s="26">
        <v>0</v>
      </c>
      <c r="AQ364" s="26">
        <v>0</v>
      </c>
      <c r="AR364" s="26">
        <v>0</v>
      </c>
      <c r="AS364" s="26">
        <v>0</v>
      </c>
      <c r="AT364" s="26">
        <v>0</v>
      </c>
      <c r="AU364" s="26">
        <v>0</v>
      </c>
      <c r="AV364" s="26">
        <v>0</v>
      </c>
      <c r="AW364" s="26">
        <v>0</v>
      </c>
      <c r="AX364" s="26">
        <v>0</v>
      </c>
      <c r="AY364" s="26">
        <v>0</v>
      </c>
      <c r="AZ364" s="26">
        <v>0</v>
      </c>
      <c r="BA364" s="26">
        <v>0</v>
      </c>
      <c r="BB364" s="26">
        <v>0</v>
      </c>
      <c r="BC364" s="26">
        <v>0</v>
      </c>
      <c r="BD364" s="26">
        <v>0</v>
      </c>
      <c r="BE364" s="26">
        <v>0</v>
      </c>
      <c r="BF364" s="26">
        <v>0</v>
      </c>
      <c r="BG364" s="26">
        <v>0</v>
      </c>
      <c r="BH364" s="26">
        <v>0</v>
      </c>
      <c r="BI364" s="26">
        <v>0</v>
      </c>
      <c r="BJ364" s="26">
        <v>0</v>
      </c>
      <c r="BK364" s="26">
        <v>0</v>
      </c>
      <c r="BL364" s="26">
        <v>0</v>
      </c>
      <c r="BM364" s="26">
        <v>0</v>
      </c>
      <c r="BN364" s="26">
        <v>0</v>
      </c>
      <c r="BO364" s="26">
        <v>0</v>
      </c>
      <c r="BP364" s="26">
        <v>0</v>
      </c>
      <c r="BQ364" s="26">
        <v>0</v>
      </c>
      <c r="BR364" s="26">
        <v>0</v>
      </c>
      <c r="BS364" s="26">
        <v>1.5446433799999999</v>
      </c>
      <c r="BT364" s="26">
        <v>0</v>
      </c>
      <c r="BU364" s="26">
        <v>0</v>
      </c>
      <c r="BV364" s="26">
        <v>0</v>
      </c>
      <c r="BW364" s="26">
        <v>0</v>
      </c>
      <c r="BX364" s="26">
        <v>0</v>
      </c>
      <c r="BY364" s="26">
        <v>0</v>
      </c>
      <c r="BZ364" s="26">
        <v>0</v>
      </c>
      <c r="CA364" s="26">
        <v>0</v>
      </c>
      <c r="CB364" s="26">
        <v>0</v>
      </c>
      <c r="CC364" s="26">
        <v>0</v>
      </c>
      <c r="CD364" s="26">
        <v>0</v>
      </c>
      <c r="CE364" s="26">
        <v>0</v>
      </c>
      <c r="CF364" s="26">
        <v>0</v>
      </c>
      <c r="CG364" s="26">
        <v>0</v>
      </c>
      <c r="CH364" s="26">
        <v>0</v>
      </c>
      <c r="CI364" s="26">
        <v>0</v>
      </c>
      <c r="CJ364" s="26">
        <v>0</v>
      </c>
      <c r="CK364" s="26">
        <v>0</v>
      </c>
      <c r="CL364" s="26">
        <v>0</v>
      </c>
      <c r="CM364" s="26">
        <v>0</v>
      </c>
      <c r="CN364" s="26">
        <v>0</v>
      </c>
      <c r="CO364" s="26">
        <v>0</v>
      </c>
      <c r="CP364" s="26">
        <v>0</v>
      </c>
      <c r="CQ364" s="26">
        <v>0</v>
      </c>
      <c r="CR364" s="26">
        <v>0</v>
      </c>
      <c r="CS364" s="26">
        <v>0</v>
      </c>
      <c r="CT364" s="26">
        <v>0</v>
      </c>
      <c r="CU364" s="26">
        <v>0</v>
      </c>
      <c r="CV364" s="26">
        <v>0</v>
      </c>
      <c r="CW364" s="26">
        <v>0</v>
      </c>
      <c r="CX364" s="26">
        <v>0</v>
      </c>
      <c r="CY364" s="26">
        <v>0</v>
      </c>
      <c r="CZ364" s="26">
        <v>0</v>
      </c>
      <c r="DA364" s="26">
        <v>0</v>
      </c>
      <c r="DB364" s="26">
        <v>0</v>
      </c>
      <c r="DC364" s="26">
        <v>0</v>
      </c>
      <c r="DD364" s="26">
        <v>0</v>
      </c>
      <c r="DE364" s="26">
        <v>0</v>
      </c>
      <c r="DF364" s="26">
        <v>0</v>
      </c>
      <c r="DG364" s="26">
        <v>0</v>
      </c>
      <c r="DH364" s="26">
        <v>0</v>
      </c>
      <c r="DI364" s="26">
        <v>0</v>
      </c>
      <c r="DJ364" s="26">
        <v>0</v>
      </c>
      <c r="DK364" s="26">
        <v>0</v>
      </c>
      <c r="DL364" s="26">
        <v>0</v>
      </c>
      <c r="DM364" s="26">
        <v>0</v>
      </c>
      <c r="DN364" s="26">
        <v>0</v>
      </c>
      <c r="DO364" s="26">
        <v>0</v>
      </c>
      <c r="DP364" s="26">
        <v>0</v>
      </c>
      <c r="DQ364" s="26">
        <v>0</v>
      </c>
      <c r="DR364" s="26">
        <v>0</v>
      </c>
      <c r="DS364" s="26">
        <v>0</v>
      </c>
      <c r="DT364" s="26">
        <v>0</v>
      </c>
      <c r="DU364" s="26">
        <v>0</v>
      </c>
      <c r="DV364" s="26">
        <v>0</v>
      </c>
      <c r="DW364" s="26">
        <v>0</v>
      </c>
      <c r="DX364" s="26">
        <v>0</v>
      </c>
      <c r="DY364" s="26">
        <v>0</v>
      </c>
      <c r="DZ364" s="26">
        <v>0</v>
      </c>
      <c r="EA364" s="26">
        <v>0</v>
      </c>
      <c r="EB364" s="26">
        <v>0</v>
      </c>
      <c r="EC364" s="26">
        <v>0</v>
      </c>
      <c r="ED364" s="26">
        <v>0</v>
      </c>
      <c r="EE364" s="26">
        <v>0</v>
      </c>
      <c r="EF364" s="26">
        <v>0</v>
      </c>
      <c r="EG364" s="26">
        <v>0</v>
      </c>
      <c r="EH364" s="26">
        <v>0</v>
      </c>
      <c r="EI364" s="26">
        <v>0</v>
      </c>
      <c r="EJ364" s="26">
        <v>0</v>
      </c>
      <c r="EK364" s="26">
        <v>0</v>
      </c>
      <c r="EL364" s="26">
        <v>0</v>
      </c>
      <c r="EM364" s="26">
        <v>0</v>
      </c>
      <c r="EN364" s="26">
        <v>0</v>
      </c>
      <c r="EO364" s="26">
        <v>0</v>
      </c>
      <c r="EP364" s="26">
        <v>0</v>
      </c>
      <c r="EQ364" s="26">
        <v>0</v>
      </c>
      <c r="ER364" s="26">
        <v>0</v>
      </c>
      <c r="ES364" s="26">
        <v>0</v>
      </c>
      <c r="ET364" s="26">
        <v>1.5446433799999999</v>
      </c>
      <c r="EU364" s="26">
        <v>0</v>
      </c>
      <c r="EV364" s="26">
        <v>0</v>
      </c>
      <c r="EW364" s="26">
        <v>0</v>
      </c>
      <c r="EX364" s="26">
        <v>0</v>
      </c>
      <c r="EY364" s="26">
        <v>0</v>
      </c>
      <c r="EZ364" s="26">
        <v>0</v>
      </c>
      <c r="FA364" s="26">
        <v>0</v>
      </c>
      <c r="FB364" s="26">
        <v>0</v>
      </c>
      <c r="FC364" s="26">
        <v>0</v>
      </c>
      <c r="FD364" s="26">
        <v>0</v>
      </c>
      <c r="FE364" s="26">
        <v>0</v>
      </c>
      <c r="FF364" s="26">
        <v>0</v>
      </c>
      <c r="FG364" s="26">
        <v>0</v>
      </c>
      <c r="FH364" s="26">
        <v>0</v>
      </c>
      <c r="FI364" s="26">
        <v>0</v>
      </c>
      <c r="FJ364" s="26">
        <v>0</v>
      </c>
      <c r="FK364" s="26">
        <v>0</v>
      </c>
      <c r="FL364" s="26">
        <v>0</v>
      </c>
      <c r="FM364" s="26">
        <v>0</v>
      </c>
      <c r="FN364" s="26">
        <v>0</v>
      </c>
      <c r="FO364" s="26">
        <v>0</v>
      </c>
      <c r="FP364" s="26">
        <v>0</v>
      </c>
      <c r="FQ364" s="26">
        <v>0</v>
      </c>
      <c r="FR364" s="26">
        <v>0</v>
      </c>
      <c r="FS364" s="26">
        <v>0</v>
      </c>
      <c r="FT364" s="26">
        <v>0</v>
      </c>
      <c r="FU364" s="26">
        <v>0</v>
      </c>
      <c r="FV364" s="26">
        <v>0</v>
      </c>
      <c r="FW364" s="26">
        <v>0</v>
      </c>
      <c r="FX364" s="26">
        <v>0</v>
      </c>
      <c r="FY364" s="26">
        <v>0</v>
      </c>
      <c r="FZ364" s="26">
        <v>0</v>
      </c>
      <c r="GA364" s="26">
        <v>0</v>
      </c>
      <c r="GB364" s="26">
        <v>0</v>
      </c>
      <c r="GC364" s="26">
        <v>0</v>
      </c>
      <c r="GD364" s="26">
        <v>0</v>
      </c>
      <c r="GE364" s="26">
        <v>0</v>
      </c>
      <c r="GF364" s="26">
        <v>0</v>
      </c>
      <c r="GG364" s="26">
        <v>0</v>
      </c>
      <c r="GH364" s="26">
        <v>0</v>
      </c>
      <c r="GI364" s="26">
        <v>0</v>
      </c>
      <c r="GJ364" s="26">
        <v>0</v>
      </c>
      <c r="GK364" s="26">
        <v>0</v>
      </c>
      <c r="GL364" s="26">
        <v>0</v>
      </c>
      <c r="GM364" s="26">
        <v>0</v>
      </c>
      <c r="GN364" s="26">
        <v>0</v>
      </c>
      <c r="GO364" s="26">
        <v>0</v>
      </c>
      <c r="GP364" s="26">
        <v>0</v>
      </c>
      <c r="GQ364" s="26">
        <v>0</v>
      </c>
      <c r="GR364" s="26">
        <v>0</v>
      </c>
      <c r="GS364" s="26">
        <v>0</v>
      </c>
      <c r="GT364" s="26">
        <v>0</v>
      </c>
      <c r="GU364" s="26">
        <v>0</v>
      </c>
      <c r="GV364" s="26">
        <v>0</v>
      </c>
      <c r="GW364" s="26">
        <v>0</v>
      </c>
      <c r="GX364" s="26">
        <v>0</v>
      </c>
      <c r="GY364" s="26">
        <v>0</v>
      </c>
      <c r="GZ364" s="26">
        <v>0</v>
      </c>
      <c r="HA364" s="26">
        <v>0</v>
      </c>
      <c r="HB364" s="26">
        <v>0</v>
      </c>
      <c r="HC364" s="26">
        <v>0</v>
      </c>
      <c r="HD364" s="26">
        <v>0</v>
      </c>
      <c r="HE364" s="26">
        <v>0</v>
      </c>
      <c r="HF364" s="26">
        <v>0</v>
      </c>
      <c r="HG364" s="26">
        <v>0</v>
      </c>
      <c r="HH364" s="26">
        <v>0</v>
      </c>
      <c r="HI364" s="26">
        <v>0</v>
      </c>
      <c r="HJ364" s="26">
        <v>0</v>
      </c>
      <c r="HK364" s="26">
        <v>0</v>
      </c>
      <c r="HL364" s="26">
        <v>0</v>
      </c>
      <c r="HM364" s="26">
        <v>0</v>
      </c>
      <c r="HN364" s="26">
        <v>0</v>
      </c>
      <c r="HO364" s="26">
        <v>0</v>
      </c>
      <c r="HP364" s="26">
        <v>0</v>
      </c>
      <c r="HQ364" s="26">
        <v>0</v>
      </c>
      <c r="HR364" s="26">
        <v>0</v>
      </c>
      <c r="HS364" s="26">
        <v>0</v>
      </c>
      <c r="HT364" s="26">
        <v>0</v>
      </c>
    </row>
    <row r="365" spans="2:228" x14ac:dyDescent="0.2">
      <c r="B365" s="27" t="s">
        <v>1447</v>
      </c>
      <c r="C365" s="26">
        <v>242073.72100000002</v>
      </c>
      <c r="D365" s="26">
        <v>-896.09785299999999</v>
      </c>
      <c r="E365" s="26">
        <v>242073.72100000002</v>
      </c>
      <c r="F365" s="26">
        <v>0</v>
      </c>
      <c r="G365" s="26">
        <v>0</v>
      </c>
      <c r="H365" s="26">
        <v>0</v>
      </c>
      <c r="I365" s="26">
        <v>0</v>
      </c>
      <c r="J365" s="26">
        <v>0</v>
      </c>
      <c r="K365" s="26">
        <v>0</v>
      </c>
      <c r="L365" s="26">
        <v>0</v>
      </c>
      <c r="M365" s="26">
        <v>0</v>
      </c>
      <c r="N365" s="26">
        <v>0</v>
      </c>
      <c r="O365" s="26">
        <v>0</v>
      </c>
      <c r="P365" s="26">
        <v>0</v>
      </c>
      <c r="Q365" s="26">
        <v>0</v>
      </c>
      <c r="R365" s="26">
        <v>0</v>
      </c>
      <c r="S365" s="26">
        <v>0</v>
      </c>
      <c r="T365" s="26">
        <v>0</v>
      </c>
      <c r="U365" s="26">
        <v>0</v>
      </c>
      <c r="V365" s="26">
        <v>0</v>
      </c>
      <c r="W365" s="26">
        <v>0</v>
      </c>
      <c r="X365" s="26">
        <v>0</v>
      </c>
      <c r="Y365" s="26">
        <v>0</v>
      </c>
      <c r="Z365" s="26">
        <v>0</v>
      </c>
      <c r="AA365" s="26">
        <v>0</v>
      </c>
      <c r="AB365" s="26">
        <v>0</v>
      </c>
      <c r="AC365" s="26">
        <v>0</v>
      </c>
      <c r="AD365" s="26">
        <v>0</v>
      </c>
      <c r="AE365" s="26">
        <v>0</v>
      </c>
      <c r="AF365" s="26">
        <v>0</v>
      </c>
      <c r="AG365" s="26">
        <v>0</v>
      </c>
      <c r="AH365" s="26">
        <v>0</v>
      </c>
      <c r="AI365" s="26">
        <v>0</v>
      </c>
      <c r="AJ365" s="26">
        <v>0</v>
      </c>
      <c r="AK365" s="26">
        <v>0</v>
      </c>
      <c r="AL365" s="26">
        <v>0</v>
      </c>
      <c r="AM365" s="26">
        <v>0</v>
      </c>
      <c r="AN365" s="26">
        <v>0</v>
      </c>
      <c r="AO365" s="26">
        <v>0</v>
      </c>
      <c r="AP365" s="26">
        <v>0</v>
      </c>
      <c r="AQ365" s="26">
        <v>0</v>
      </c>
      <c r="AR365" s="26">
        <v>0</v>
      </c>
      <c r="AS365" s="26">
        <v>0</v>
      </c>
      <c r="AT365" s="26">
        <v>0</v>
      </c>
      <c r="AU365" s="26">
        <v>0</v>
      </c>
      <c r="AV365" s="26">
        <v>0</v>
      </c>
      <c r="AW365" s="26">
        <v>0</v>
      </c>
      <c r="AX365" s="26">
        <v>0</v>
      </c>
      <c r="AY365" s="26">
        <v>0</v>
      </c>
      <c r="AZ365" s="26">
        <v>0</v>
      </c>
      <c r="BA365" s="26">
        <v>0</v>
      </c>
      <c r="BB365" s="26">
        <v>0</v>
      </c>
      <c r="BC365" s="26">
        <v>0</v>
      </c>
      <c r="BD365" s="26">
        <v>0</v>
      </c>
      <c r="BE365" s="26">
        <v>0</v>
      </c>
      <c r="BF365" s="26">
        <v>0</v>
      </c>
      <c r="BG365" s="26">
        <v>0</v>
      </c>
      <c r="BH365" s="26">
        <v>0</v>
      </c>
      <c r="BI365" s="26">
        <v>0</v>
      </c>
      <c r="BJ365" s="26">
        <v>0</v>
      </c>
      <c r="BK365" s="26">
        <v>0</v>
      </c>
      <c r="BL365" s="26">
        <v>0</v>
      </c>
      <c r="BM365" s="26">
        <v>0</v>
      </c>
      <c r="BN365" s="26">
        <v>0</v>
      </c>
      <c r="BO365" s="26">
        <v>13437.133400000001</v>
      </c>
      <c r="BP365" s="26">
        <v>242073.72100000002</v>
      </c>
      <c r="BQ365" s="26">
        <v>4252.88951</v>
      </c>
      <c r="BR365" s="26">
        <v>112.64158299999997</v>
      </c>
      <c r="BS365" s="26">
        <v>1.5446433799999999</v>
      </c>
      <c r="BT365" s="26">
        <v>0</v>
      </c>
      <c r="BU365" s="26">
        <v>1</v>
      </c>
      <c r="BV365" s="26">
        <v>0</v>
      </c>
      <c r="BW365" s="26">
        <v>-66688.170499999993</v>
      </c>
      <c r="BX365" s="26">
        <v>-3701.7559799999999</v>
      </c>
      <c r="BY365" s="26">
        <v>-896.09785299999999</v>
      </c>
      <c r="BZ365" s="26">
        <v>-34.323707900000002</v>
      </c>
      <c r="CA365" s="26">
        <v>-1.90525531</v>
      </c>
      <c r="CB365" s="26">
        <v>5.2658838399999998E-2</v>
      </c>
      <c r="CC365" s="26">
        <v>0.94866371800000004</v>
      </c>
      <c r="CD365" s="26">
        <v>18.015280000000001</v>
      </c>
      <c r="CE365" s="26">
        <v>4042.3375999999998</v>
      </c>
      <c r="CF365" s="26">
        <v>0</v>
      </c>
      <c r="CG365" s="26">
        <v>0</v>
      </c>
      <c r="CH365" s="26">
        <v>0</v>
      </c>
      <c r="CI365" s="26">
        <v>0</v>
      </c>
      <c r="CJ365" s="26">
        <v>0</v>
      </c>
      <c r="CK365" s="26">
        <v>0</v>
      </c>
      <c r="CL365" s="26">
        <v>0</v>
      </c>
      <c r="CM365" s="26">
        <v>0</v>
      </c>
      <c r="CN365" s="26">
        <v>0</v>
      </c>
      <c r="CO365" s="26">
        <v>0</v>
      </c>
      <c r="CP365" s="26">
        <v>0</v>
      </c>
      <c r="CQ365" s="26">
        <v>0</v>
      </c>
      <c r="CR365" s="26">
        <v>0</v>
      </c>
      <c r="CS365" s="26">
        <v>0</v>
      </c>
      <c r="CT365" s="26">
        <v>0</v>
      </c>
      <c r="CU365" s="26">
        <v>0</v>
      </c>
      <c r="CV365" s="26">
        <v>0</v>
      </c>
      <c r="CW365" s="26">
        <v>0</v>
      </c>
      <c r="CX365" s="26">
        <v>0</v>
      </c>
      <c r="CY365" s="26">
        <v>0</v>
      </c>
      <c r="CZ365" s="26">
        <v>0</v>
      </c>
      <c r="DA365" s="26">
        <v>0</v>
      </c>
      <c r="DB365" s="26">
        <v>0</v>
      </c>
      <c r="DC365" s="26">
        <v>0</v>
      </c>
      <c r="DD365" s="26">
        <v>0</v>
      </c>
      <c r="DE365" s="26">
        <v>0</v>
      </c>
      <c r="DF365" s="26">
        <v>0</v>
      </c>
      <c r="DG365" s="26">
        <v>0</v>
      </c>
      <c r="DH365" s="26">
        <v>0</v>
      </c>
      <c r="DI365" s="26">
        <v>0</v>
      </c>
      <c r="DJ365" s="26">
        <v>0</v>
      </c>
      <c r="DK365" s="26">
        <v>0</v>
      </c>
      <c r="DL365" s="26">
        <v>0</v>
      </c>
      <c r="DM365" s="26">
        <v>0</v>
      </c>
      <c r="DN365" s="26">
        <v>0</v>
      </c>
      <c r="DO365" s="26">
        <v>0</v>
      </c>
      <c r="DP365" s="26">
        <v>0</v>
      </c>
      <c r="DQ365" s="26">
        <v>0</v>
      </c>
      <c r="DR365" s="26">
        <v>0</v>
      </c>
      <c r="DS365" s="26">
        <v>0</v>
      </c>
      <c r="DT365" s="26">
        <v>0</v>
      </c>
      <c r="DU365" s="26">
        <v>0</v>
      </c>
      <c r="DV365" s="26">
        <v>0</v>
      </c>
      <c r="DW365" s="26">
        <v>0</v>
      </c>
      <c r="DX365" s="26">
        <v>0</v>
      </c>
      <c r="DY365" s="26">
        <v>0</v>
      </c>
      <c r="DZ365" s="26">
        <v>0</v>
      </c>
      <c r="EA365" s="26">
        <v>0</v>
      </c>
      <c r="EB365" s="26">
        <v>0</v>
      </c>
      <c r="EC365" s="26">
        <v>0</v>
      </c>
      <c r="ED365" s="26">
        <v>0</v>
      </c>
      <c r="EE365" s="26">
        <v>0</v>
      </c>
      <c r="EF365" s="26">
        <v>0</v>
      </c>
      <c r="EG365" s="26">
        <v>0</v>
      </c>
      <c r="EH365" s="26">
        <v>0</v>
      </c>
      <c r="EI365" s="26">
        <v>0</v>
      </c>
      <c r="EJ365" s="26">
        <v>0</v>
      </c>
      <c r="EK365" s="26">
        <v>0</v>
      </c>
      <c r="EL365" s="26">
        <v>0</v>
      </c>
      <c r="EM365" s="26">
        <v>0</v>
      </c>
      <c r="EN365" s="26">
        <v>0</v>
      </c>
      <c r="EO365" s="26">
        <v>0</v>
      </c>
      <c r="EP365" s="26">
        <v>0</v>
      </c>
      <c r="EQ365" s="26">
        <v>0</v>
      </c>
      <c r="ER365" s="26">
        <v>0</v>
      </c>
      <c r="ES365" s="26">
        <v>0</v>
      </c>
      <c r="ET365" s="26">
        <v>1.5446433799999999</v>
      </c>
      <c r="EU365" s="26">
        <v>0</v>
      </c>
      <c r="EV365" s="26">
        <v>0</v>
      </c>
      <c r="EW365" s="26">
        <v>0</v>
      </c>
      <c r="EX365" s="26">
        <v>0</v>
      </c>
      <c r="EY365" s="26">
        <v>0</v>
      </c>
      <c r="EZ365" s="26">
        <v>0</v>
      </c>
      <c r="FA365" s="26">
        <v>0</v>
      </c>
      <c r="FB365" s="26">
        <v>0</v>
      </c>
      <c r="FC365" s="26">
        <v>0</v>
      </c>
      <c r="FD365" s="26">
        <v>0</v>
      </c>
      <c r="FE365" s="26">
        <v>0</v>
      </c>
      <c r="FF365" s="26">
        <v>0</v>
      </c>
      <c r="FG365" s="26">
        <v>0</v>
      </c>
      <c r="FH365" s="26">
        <v>-1066840551.391</v>
      </c>
      <c r="FI365" s="26">
        <v>0</v>
      </c>
      <c r="FJ365" s="26">
        <v>0</v>
      </c>
      <c r="FK365" s="26">
        <v>0</v>
      </c>
      <c r="FL365" s="26">
        <v>0</v>
      </c>
      <c r="FM365" s="26">
        <v>0</v>
      </c>
      <c r="FN365" s="26">
        <v>0</v>
      </c>
      <c r="FO365" s="26">
        <v>0</v>
      </c>
      <c r="FP365" s="26">
        <v>0</v>
      </c>
      <c r="FQ365" s="26">
        <v>0</v>
      </c>
      <c r="FR365" s="26">
        <v>0</v>
      </c>
      <c r="FS365" s="26">
        <v>0</v>
      </c>
      <c r="FT365" s="26">
        <v>0</v>
      </c>
      <c r="FU365" s="26">
        <v>0</v>
      </c>
      <c r="FV365" s="26">
        <v>0</v>
      </c>
      <c r="FW365" s="26">
        <v>0</v>
      </c>
      <c r="FX365" s="26">
        <v>0</v>
      </c>
      <c r="FY365" s="26">
        <v>0</v>
      </c>
      <c r="FZ365" s="26">
        <v>0</v>
      </c>
      <c r="GA365" s="26">
        <v>0</v>
      </c>
      <c r="GB365" s="26">
        <v>0</v>
      </c>
      <c r="GC365" s="26">
        <v>0</v>
      </c>
      <c r="GD365" s="26">
        <v>0</v>
      </c>
      <c r="GE365" s="26">
        <v>0</v>
      </c>
      <c r="GF365" s="26">
        <v>0</v>
      </c>
      <c r="GG365" s="26">
        <v>0</v>
      </c>
      <c r="GH365" s="26">
        <v>0</v>
      </c>
      <c r="GI365" s="26">
        <v>0</v>
      </c>
      <c r="GJ365" s="26">
        <v>0</v>
      </c>
      <c r="GK365" s="26">
        <v>0</v>
      </c>
      <c r="GL365" s="26">
        <v>0</v>
      </c>
      <c r="GM365" s="26">
        <v>0</v>
      </c>
      <c r="GN365" s="26">
        <v>0</v>
      </c>
      <c r="GO365" s="26">
        <v>0</v>
      </c>
      <c r="GP365" s="26">
        <v>0</v>
      </c>
      <c r="GQ365" s="26">
        <v>0</v>
      </c>
      <c r="GR365" s="26">
        <v>0</v>
      </c>
      <c r="GS365" s="26">
        <v>0</v>
      </c>
      <c r="GT365" s="26">
        <v>0</v>
      </c>
      <c r="GU365" s="26">
        <v>0</v>
      </c>
      <c r="GV365" s="26">
        <v>0</v>
      </c>
      <c r="GW365" s="26">
        <v>0</v>
      </c>
      <c r="GX365" s="26">
        <v>0</v>
      </c>
      <c r="GY365" s="26">
        <v>0</v>
      </c>
      <c r="GZ365" s="26">
        <v>0</v>
      </c>
      <c r="HA365" s="26">
        <v>0</v>
      </c>
      <c r="HB365" s="26">
        <v>0</v>
      </c>
      <c r="HC365" s="26">
        <v>0</v>
      </c>
      <c r="HD365" s="26">
        <v>0</v>
      </c>
      <c r="HE365" s="26">
        <v>0</v>
      </c>
      <c r="HF365" s="26">
        <v>0</v>
      </c>
      <c r="HG365" s="26">
        <v>0</v>
      </c>
      <c r="HH365" s="26">
        <v>0</v>
      </c>
      <c r="HI365" s="26">
        <v>0</v>
      </c>
      <c r="HJ365" s="26">
        <v>0</v>
      </c>
      <c r="HK365" s="26">
        <v>0</v>
      </c>
      <c r="HL365" s="26">
        <v>0</v>
      </c>
      <c r="HM365" s="26">
        <v>0</v>
      </c>
      <c r="HN365" s="26">
        <v>0</v>
      </c>
      <c r="HO365" s="26">
        <v>0</v>
      </c>
      <c r="HP365" s="26">
        <v>0</v>
      </c>
      <c r="HQ365" s="26">
        <v>0</v>
      </c>
      <c r="HR365" s="26">
        <v>0</v>
      </c>
      <c r="HS365" s="26">
        <v>0</v>
      </c>
      <c r="HT365" s="26">
        <v>0</v>
      </c>
    </row>
    <row r="366" spans="2:228" x14ac:dyDescent="0.2">
      <c r="B366" s="27" t="s">
        <v>1451</v>
      </c>
      <c r="C366" s="26">
        <v>242073.72100000002</v>
      </c>
      <c r="D366" s="26">
        <v>-895.61671799999999</v>
      </c>
      <c r="E366" s="26">
        <v>242073.72100000002</v>
      </c>
      <c r="F366" s="26">
        <v>0</v>
      </c>
      <c r="G366" s="26">
        <v>0</v>
      </c>
      <c r="H366" s="26">
        <v>0</v>
      </c>
      <c r="I366" s="26">
        <v>0</v>
      </c>
      <c r="J366" s="26">
        <v>0</v>
      </c>
      <c r="K366" s="26">
        <v>0</v>
      </c>
      <c r="L366" s="26">
        <v>0</v>
      </c>
      <c r="M366" s="26">
        <v>0</v>
      </c>
      <c r="N366" s="26">
        <v>0</v>
      </c>
      <c r="O366" s="26">
        <v>0</v>
      </c>
      <c r="P366" s="26">
        <v>0</v>
      </c>
      <c r="Q366" s="26">
        <v>0</v>
      </c>
      <c r="R366" s="26">
        <v>0</v>
      </c>
      <c r="S366" s="26">
        <v>0</v>
      </c>
      <c r="T366" s="26">
        <v>0</v>
      </c>
      <c r="U366" s="26">
        <v>0</v>
      </c>
      <c r="V366" s="26">
        <v>0</v>
      </c>
      <c r="W366" s="26">
        <v>0</v>
      </c>
      <c r="X366" s="26">
        <v>0</v>
      </c>
      <c r="Y366" s="26">
        <v>0</v>
      </c>
      <c r="Z366" s="26">
        <v>0</v>
      </c>
      <c r="AA366" s="26">
        <v>0</v>
      </c>
      <c r="AB366" s="26">
        <v>0</v>
      </c>
      <c r="AC366" s="26">
        <v>0</v>
      </c>
      <c r="AD366" s="26">
        <v>0</v>
      </c>
      <c r="AE366" s="26">
        <v>0</v>
      </c>
      <c r="AF366" s="26">
        <v>0</v>
      </c>
      <c r="AG366" s="26">
        <v>0</v>
      </c>
      <c r="AH366" s="26">
        <v>0</v>
      </c>
      <c r="AI366" s="26">
        <v>0</v>
      </c>
      <c r="AJ366" s="26">
        <v>0</v>
      </c>
      <c r="AK366" s="26">
        <v>0</v>
      </c>
      <c r="AL366" s="26">
        <v>0</v>
      </c>
      <c r="AM366" s="26">
        <v>0</v>
      </c>
      <c r="AN366" s="26">
        <v>0</v>
      </c>
      <c r="AO366" s="26">
        <v>0</v>
      </c>
      <c r="AP366" s="26">
        <v>0</v>
      </c>
      <c r="AQ366" s="26">
        <v>0</v>
      </c>
      <c r="AR366" s="26">
        <v>0</v>
      </c>
      <c r="AS366" s="26">
        <v>0</v>
      </c>
      <c r="AT366" s="26">
        <v>0</v>
      </c>
      <c r="AU366" s="26">
        <v>0</v>
      </c>
      <c r="AV366" s="26">
        <v>0</v>
      </c>
      <c r="AW366" s="26">
        <v>0</v>
      </c>
      <c r="AX366" s="26">
        <v>0</v>
      </c>
      <c r="AY366" s="26">
        <v>0</v>
      </c>
      <c r="AZ366" s="26">
        <v>0</v>
      </c>
      <c r="BA366" s="26">
        <v>0</v>
      </c>
      <c r="BB366" s="26">
        <v>0</v>
      </c>
      <c r="BC366" s="26">
        <v>0</v>
      </c>
      <c r="BD366" s="26">
        <v>0</v>
      </c>
      <c r="BE366" s="26">
        <v>0</v>
      </c>
      <c r="BF366" s="26">
        <v>0</v>
      </c>
      <c r="BG366" s="26">
        <v>0</v>
      </c>
      <c r="BH366" s="26">
        <v>0</v>
      </c>
      <c r="BI366" s="26">
        <v>0</v>
      </c>
      <c r="BJ366" s="26">
        <v>0</v>
      </c>
      <c r="BK366" s="26">
        <v>0</v>
      </c>
      <c r="BL366" s="26">
        <v>0</v>
      </c>
      <c r="BM366" s="26">
        <v>0</v>
      </c>
      <c r="BN366" s="26">
        <v>0</v>
      </c>
      <c r="BO366" s="26">
        <v>13437.133400000001</v>
      </c>
      <c r="BP366" s="26">
        <v>242073.72100000002</v>
      </c>
      <c r="BQ366" s="26">
        <v>4242.3712500000001</v>
      </c>
      <c r="BR366" s="26">
        <v>113.56303100000002</v>
      </c>
      <c r="BS366" s="26">
        <v>62.241367599999997</v>
      </c>
      <c r="BT366" s="26">
        <v>0</v>
      </c>
      <c r="BU366" s="26">
        <v>1</v>
      </c>
      <c r="BV366" s="26">
        <v>0</v>
      </c>
      <c r="BW366" s="26">
        <v>-66652.364100000006</v>
      </c>
      <c r="BX366" s="26">
        <v>-3699.7684300000001</v>
      </c>
      <c r="BY366" s="26">
        <v>-895.61671799999999</v>
      </c>
      <c r="BZ366" s="26">
        <v>-34.304586299999997</v>
      </c>
      <c r="CA366" s="26">
        <v>-1.9041939000000001</v>
      </c>
      <c r="CB366" s="26">
        <v>5.2789397299999999E-2</v>
      </c>
      <c r="CC366" s="26">
        <v>0.95101577400000004</v>
      </c>
      <c r="CD366" s="26">
        <v>18.015280000000001</v>
      </c>
      <c r="CE366" s="26">
        <v>4042.3375999999998</v>
      </c>
      <c r="CF366" s="26">
        <v>0</v>
      </c>
      <c r="CG366" s="26">
        <v>0</v>
      </c>
      <c r="CH366" s="26">
        <v>0</v>
      </c>
      <c r="CI366" s="26">
        <v>0</v>
      </c>
      <c r="CJ366" s="26">
        <v>0</v>
      </c>
      <c r="CK366" s="26">
        <v>0</v>
      </c>
      <c r="CL366" s="26">
        <v>0</v>
      </c>
      <c r="CM366" s="26">
        <v>0</v>
      </c>
      <c r="CN366" s="26">
        <v>0</v>
      </c>
      <c r="CO366" s="26">
        <v>0</v>
      </c>
      <c r="CP366" s="26">
        <v>0</v>
      </c>
      <c r="CQ366" s="26">
        <v>0</v>
      </c>
      <c r="CR366" s="26">
        <v>0</v>
      </c>
      <c r="CS366" s="26">
        <v>0</v>
      </c>
      <c r="CT366" s="26">
        <v>0</v>
      </c>
      <c r="CU366" s="26">
        <v>0</v>
      </c>
      <c r="CV366" s="26">
        <v>0</v>
      </c>
      <c r="CW366" s="26">
        <v>0</v>
      </c>
      <c r="CX366" s="26">
        <v>0</v>
      </c>
      <c r="CY366" s="26">
        <v>0</v>
      </c>
      <c r="CZ366" s="26">
        <v>0</v>
      </c>
      <c r="DA366" s="26">
        <v>0</v>
      </c>
      <c r="DB366" s="26">
        <v>0</v>
      </c>
      <c r="DC366" s="26">
        <v>0</v>
      </c>
      <c r="DD366" s="26">
        <v>0</v>
      </c>
      <c r="DE366" s="26">
        <v>0</v>
      </c>
      <c r="DF366" s="26">
        <v>0</v>
      </c>
      <c r="DG366" s="26">
        <v>0</v>
      </c>
      <c r="DH366" s="26">
        <v>0</v>
      </c>
      <c r="DI366" s="26">
        <v>0</v>
      </c>
      <c r="DJ366" s="26">
        <v>0</v>
      </c>
      <c r="DK366" s="26">
        <v>0</v>
      </c>
      <c r="DL366" s="26">
        <v>0</v>
      </c>
      <c r="DM366" s="26">
        <v>0</v>
      </c>
      <c r="DN366" s="26">
        <v>0</v>
      </c>
      <c r="DO366" s="26">
        <v>0</v>
      </c>
      <c r="DP366" s="26">
        <v>0</v>
      </c>
      <c r="DQ366" s="26">
        <v>0</v>
      </c>
      <c r="DR366" s="26">
        <v>0</v>
      </c>
      <c r="DS366" s="26">
        <v>0</v>
      </c>
      <c r="DT366" s="26">
        <v>0</v>
      </c>
      <c r="DU366" s="26">
        <v>0</v>
      </c>
      <c r="DV366" s="26">
        <v>0</v>
      </c>
      <c r="DW366" s="26">
        <v>0</v>
      </c>
      <c r="DX366" s="26">
        <v>0</v>
      </c>
      <c r="DY366" s="26">
        <v>0</v>
      </c>
      <c r="DZ366" s="26">
        <v>0</v>
      </c>
      <c r="EA366" s="26">
        <v>0</v>
      </c>
      <c r="EB366" s="26">
        <v>0</v>
      </c>
      <c r="EC366" s="26">
        <v>0</v>
      </c>
      <c r="ED366" s="26">
        <v>0</v>
      </c>
      <c r="EE366" s="26">
        <v>0</v>
      </c>
      <c r="EF366" s="26">
        <v>0</v>
      </c>
      <c r="EG366" s="26">
        <v>0</v>
      </c>
      <c r="EH366" s="26">
        <v>0</v>
      </c>
      <c r="EI366" s="26">
        <v>0</v>
      </c>
      <c r="EJ366" s="26">
        <v>0</v>
      </c>
      <c r="EK366" s="26">
        <v>0</v>
      </c>
      <c r="EL366" s="26">
        <v>0</v>
      </c>
      <c r="EM366" s="26">
        <v>0</v>
      </c>
      <c r="EN366" s="26">
        <v>0</v>
      </c>
      <c r="EO366" s="26">
        <v>0</v>
      </c>
      <c r="EP366" s="26">
        <v>0</v>
      </c>
      <c r="EQ366" s="26">
        <v>0</v>
      </c>
      <c r="ER366" s="26">
        <v>0</v>
      </c>
      <c r="ES366" s="26">
        <v>0</v>
      </c>
      <c r="ET366" s="26">
        <v>62.241367599999997</v>
      </c>
      <c r="EU366" s="26">
        <v>0</v>
      </c>
      <c r="EV366" s="26">
        <v>0</v>
      </c>
      <c r="EW366" s="26">
        <v>0</v>
      </c>
      <c r="EX366" s="26">
        <v>0</v>
      </c>
      <c r="EY366" s="26">
        <v>0</v>
      </c>
      <c r="EZ366" s="26">
        <v>0</v>
      </c>
      <c r="FA366" s="26">
        <v>0</v>
      </c>
      <c r="FB366" s="26">
        <v>0</v>
      </c>
      <c r="FC366" s="26">
        <v>0</v>
      </c>
      <c r="FD366" s="26">
        <v>0</v>
      </c>
      <c r="FE366" s="26">
        <v>0</v>
      </c>
      <c r="FF366" s="26">
        <v>0</v>
      </c>
      <c r="FG366" s="26">
        <v>0</v>
      </c>
      <c r="FH366" s="26">
        <v>-1066458776.87</v>
      </c>
      <c r="FI366" s="26">
        <v>0</v>
      </c>
      <c r="FJ366" s="26">
        <v>0</v>
      </c>
      <c r="FK366" s="26">
        <v>0</v>
      </c>
      <c r="FL366" s="26">
        <v>0</v>
      </c>
      <c r="FM366" s="26">
        <v>0</v>
      </c>
      <c r="FN366" s="26">
        <v>0</v>
      </c>
      <c r="FO366" s="26">
        <v>0</v>
      </c>
      <c r="FP366" s="26">
        <v>0</v>
      </c>
      <c r="FQ366" s="26">
        <v>0</v>
      </c>
      <c r="FR366" s="26">
        <v>0</v>
      </c>
      <c r="FS366" s="26">
        <v>0</v>
      </c>
      <c r="FT366" s="26">
        <v>0</v>
      </c>
      <c r="FU366" s="26">
        <v>0</v>
      </c>
      <c r="FV366" s="26">
        <v>0</v>
      </c>
      <c r="FW366" s="26">
        <v>0</v>
      </c>
      <c r="FX366" s="26">
        <v>0</v>
      </c>
      <c r="FY366" s="26">
        <v>0</v>
      </c>
      <c r="FZ366" s="26">
        <v>0</v>
      </c>
      <c r="GA366" s="26">
        <v>0</v>
      </c>
      <c r="GB366" s="26">
        <v>0</v>
      </c>
      <c r="GC366" s="26">
        <v>0</v>
      </c>
      <c r="GD366" s="26">
        <v>0</v>
      </c>
      <c r="GE366" s="26">
        <v>0</v>
      </c>
      <c r="GF366" s="26">
        <v>0</v>
      </c>
      <c r="GG366" s="26">
        <v>0</v>
      </c>
      <c r="GH366" s="26">
        <v>0</v>
      </c>
      <c r="GI366" s="26">
        <v>0</v>
      </c>
      <c r="GJ366" s="26">
        <v>0</v>
      </c>
      <c r="GK366" s="26">
        <v>0</v>
      </c>
      <c r="GL366" s="26">
        <v>0</v>
      </c>
      <c r="GM366" s="26">
        <v>0</v>
      </c>
      <c r="GN366" s="26">
        <v>0</v>
      </c>
      <c r="GO366" s="26">
        <v>0</v>
      </c>
      <c r="GP366" s="26">
        <v>0</v>
      </c>
      <c r="GQ366" s="26">
        <v>0</v>
      </c>
      <c r="GR366" s="26">
        <v>0</v>
      </c>
      <c r="GS366" s="26">
        <v>0</v>
      </c>
      <c r="GT366" s="26">
        <v>0</v>
      </c>
      <c r="GU366" s="26">
        <v>0</v>
      </c>
      <c r="GV366" s="26">
        <v>0</v>
      </c>
      <c r="GW366" s="26">
        <v>0</v>
      </c>
      <c r="GX366" s="26">
        <v>0</v>
      </c>
      <c r="GY366" s="26">
        <v>0</v>
      </c>
      <c r="GZ366" s="26">
        <v>0</v>
      </c>
      <c r="HA366" s="26">
        <v>0</v>
      </c>
      <c r="HB366" s="26">
        <v>0</v>
      </c>
      <c r="HC366" s="26">
        <v>0</v>
      </c>
      <c r="HD366" s="26">
        <v>0</v>
      </c>
      <c r="HE366" s="26">
        <v>0</v>
      </c>
      <c r="HF366" s="26">
        <v>0</v>
      </c>
      <c r="HG366" s="26">
        <v>0</v>
      </c>
      <c r="HH366" s="26">
        <v>0</v>
      </c>
      <c r="HI366" s="26">
        <v>0</v>
      </c>
      <c r="HJ366" s="26">
        <v>0</v>
      </c>
      <c r="HK366" s="26">
        <v>0</v>
      </c>
      <c r="HL366" s="26">
        <v>0</v>
      </c>
      <c r="HM366" s="26">
        <v>0</v>
      </c>
      <c r="HN366" s="26">
        <v>0</v>
      </c>
      <c r="HO366" s="26">
        <v>0</v>
      </c>
      <c r="HP366" s="26">
        <v>0</v>
      </c>
      <c r="HQ366" s="26">
        <v>0</v>
      </c>
      <c r="HR366" s="26">
        <v>0</v>
      </c>
      <c r="HS366" s="26">
        <v>0</v>
      </c>
      <c r="HT366" s="26">
        <v>0</v>
      </c>
    </row>
    <row r="367" spans="2:228" x14ac:dyDescent="0.2">
      <c r="B367" s="27" t="s">
        <v>1456</v>
      </c>
      <c r="C367" s="26">
        <v>242075.22399999999</v>
      </c>
      <c r="D367" s="26">
        <v>-880.16466700000001</v>
      </c>
      <c r="E367" s="26">
        <v>242075.22399999999</v>
      </c>
      <c r="F367" s="26">
        <v>0</v>
      </c>
      <c r="G367" s="26">
        <v>0</v>
      </c>
      <c r="H367" s="26">
        <v>0</v>
      </c>
      <c r="I367" s="26">
        <v>0</v>
      </c>
      <c r="J367" s="26">
        <v>0</v>
      </c>
      <c r="K367" s="26">
        <v>0</v>
      </c>
      <c r="L367" s="26">
        <v>0</v>
      </c>
      <c r="M367" s="26">
        <v>0</v>
      </c>
      <c r="N367" s="26">
        <v>0</v>
      </c>
      <c r="O367" s="26">
        <v>0</v>
      </c>
      <c r="P367" s="26">
        <v>0</v>
      </c>
      <c r="Q367" s="26">
        <v>0</v>
      </c>
      <c r="R367" s="26">
        <v>0</v>
      </c>
      <c r="S367" s="26">
        <v>0</v>
      </c>
      <c r="T367" s="26">
        <v>0</v>
      </c>
      <c r="U367" s="26">
        <v>0</v>
      </c>
      <c r="V367" s="26">
        <v>0</v>
      </c>
      <c r="W367" s="26">
        <v>0</v>
      </c>
      <c r="X367" s="26">
        <v>0</v>
      </c>
      <c r="Y367" s="26">
        <v>0</v>
      </c>
      <c r="Z367" s="26">
        <v>0</v>
      </c>
      <c r="AA367" s="26">
        <v>0</v>
      </c>
      <c r="AB367" s="26">
        <v>0</v>
      </c>
      <c r="AC367" s="26">
        <v>0</v>
      </c>
      <c r="AD367" s="26">
        <v>0</v>
      </c>
      <c r="AE367" s="26">
        <v>0</v>
      </c>
      <c r="AF367" s="26">
        <v>0</v>
      </c>
      <c r="AG367" s="26">
        <v>0</v>
      </c>
      <c r="AH367" s="26">
        <v>0</v>
      </c>
      <c r="AI367" s="26">
        <v>0</v>
      </c>
      <c r="AJ367" s="26">
        <v>0</v>
      </c>
      <c r="AK367" s="26">
        <v>0</v>
      </c>
      <c r="AL367" s="26">
        <v>0</v>
      </c>
      <c r="AM367" s="26">
        <v>0</v>
      </c>
      <c r="AN367" s="26">
        <v>0</v>
      </c>
      <c r="AO367" s="26">
        <v>0</v>
      </c>
      <c r="AP367" s="26">
        <v>0</v>
      </c>
      <c r="AQ367" s="26">
        <v>0</v>
      </c>
      <c r="AR367" s="26">
        <v>0</v>
      </c>
      <c r="AS367" s="26">
        <v>0</v>
      </c>
      <c r="AT367" s="26">
        <v>0</v>
      </c>
      <c r="AU367" s="26">
        <v>0</v>
      </c>
      <c r="AV367" s="26">
        <v>0</v>
      </c>
      <c r="AW367" s="26">
        <v>0</v>
      </c>
      <c r="AX367" s="26">
        <v>0</v>
      </c>
      <c r="AY367" s="26">
        <v>0</v>
      </c>
      <c r="AZ367" s="26">
        <v>0</v>
      </c>
      <c r="BA367" s="26">
        <v>0</v>
      </c>
      <c r="BB367" s="26">
        <v>0</v>
      </c>
      <c r="BC367" s="26">
        <v>0</v>
      </c>
      <c r="BD367" s="26">
        <v>0</v>
      </c>
      <c r="BE367" s="26">
        <v>0</v>
      </c>
      <c r="BF367" s="26">
        <v>0</v>
      </c>
      <c r="BG367" s="26">
        <v>0</v>
      </c>
      <c r="BH367" s="26">
        <v>0</v>
      </c>
      <c r="BI367" s="26">
        <v>0</v>
      </c>
      <c r="BJ367" s="26">
        <v>0</v>
      </c>
      <c r="BK367" s="26">
        <v>0</v>
      </c>
      <c r="BL367" s="26">
        <v>0</v>
      </c>
      <c r="BM367" s="26">
        <v>0</v>
      </c>
      <c r="BN367" s="26">
        <v>0</v>
      </c>
      <c r="BO367" s="26">
        <v>13437.216899999999</v>
      </c>
      <c r="BP367" s="26">
        <v>242075.22399999999</v>
      </c>
      <c r="BQ367" s="26">
        <v>4509.6971000000003</v>
      </c>
      <c r="BR367" s="26">
        <v>176.03846299999998</v>
      </c>
      <c r="BS367" s="26">
        <v>62.241367599999997</v>
      </c>
      <c r="BT367" s="26">
        <v>0</v>
      </c>
      <c r="BU367" s="26">
        <v>1</v>
      </c>
      <c r="BV367" s="26">
        <v>0</v>
      </c>
      <c r="BW367" s="26">
        <v>-65502.006000000008</v>
      </c>
      <c r="BX367" s="26">
        <v>-3635.9138499999999</v>
      </c>
      <c r="BY367" s="26">
        <v>-880.16466700000001</v>
      </c>
      <c r="BZ367" s="26">
        <v>-31.5482488</v>
      </c>
      <c r="CA367" s="26">
        <v>-1.75119392</v>
      </c>
      <c r="CB367" s="26">
        <v>4.9660455300000003E-2</v>
      </c>
      <c r="CC367" s="26">
        <v>0.89464700799999997</v>
      </c>
      <c r="CD367" s="26">
        <v>18.015280000000001</v>
      </c>
      <c r="CE367" s="26">
        <v>4042.3626899999999</v>
      </c>
      <c r="CF367" s="26">
        <v>0</v>
      </c>
      <c r="CG367" s="26">
        <v>0</v>
      </c>
      <c r="CH367" s="26">
        <v>0</v>
      </c>
      <c r="CI367" s="26">
        <v>0</v>
      </c>
      <c r="CJ367" s="26">
        <v>0</v>
      </c>
      <c r="CK367" s="26">
        <v>0</v>
      </c>
      <c r="CL367" s="26">
        <v>0</v>
      </c>
      <c r="CM367" s="26">
        <v>0</v>
      </c>
      <c r="CN367" s="26">
        <v>0</v>
      </c>
      <c r="CO367" s="26">
        <v>0</v>
      </c>
      <c r="CP367" s="26">
        <v>0</v>
      </c>
      <c r="CQ367" s="26">
        <v>0</v>
      </c>
      <c r="CR367" s="26">
        <v>0</v>
      </c>
      <c r="CS367" s="26">
        <v>0</v>
      </c>
      <c r="CT367" s="26">
        <v>0</v>
      </c>
      <c r="CU367" s="26">
        <v>0</v>
      </c>
      <c r="CV367" s="26">
        <v>0</v>
      </c>
      <c r="CW367" s="26">
        <v>0</v>
      </c>
      <c r="CX367" s="26">
        <v>0</v>
      </c>
      <c r="CY367" s="26">
        <v>0</v>
      </c>
      <c r="CZ367" s="26">
        <v>0</v>
      </c>
      <c r="DA367" s="26">
        <v>0</v>
      </c>
      <c r="DB367" s="26">
        <v>0</v>
      </c>
      <c r="DC367" s="26">
        <v>0</v>
      </c>
      <c r="DD367" s="26">
        <v>0</v>
      </c>
      <c r="DE367" s="26">
        <v>0</v>
      </c>
      <c r="DF367" s="26">
        <v>0</v>
      </c>
      <c r="DG367" s="26">
        <v>0</v>
      </c>
      <c r="DH367" s="26">
        <v>0</v>
      </c>
      <c r="DI367" s="26">
        <v>0</v>
      </c>
      <c r="DJ367" s="26">
        <v>0</v>
      </c>
      <c r="DK367" s="26">
        <v>0</v>
      </c>
      <c r="DL367" s="26">
        <v>0</v>
      </c>
      <c r="DM367" s="26">
        <v>0</v>
      </c>
      <c r="DN367" s="26">
        <v>0</v>
      </c>
      <c r="DO367" s="26">
        <v>0</v>
      </c>
      <c r="DP367" s="26">
        <v>0</v>
      </c>
      <c r="DQ367" s="26">
        <v>0</v>
      </c>
      <c r="DR367" s="26">
        <v>0</v>
      </c>
      <c r="DS367" s="26">
        <v>0</v>
      </c>
      <c r="DT367" s="26">
        <v>0</v>
      </c>
      <c r="DU367" s="26">
        <v>0</v>
      </c>
      <c r="DV367" s="26">
        <v>0</v>
      </c>
      <c r="DW367" s="26">
        <v>0</v>
      </c>
      <c r="DX367" s="26">
        <v>0</v>
      </c>
      <c r="DY367" s="26">
        <v>0</v>
      </c>
      <c r="DZ367" s="26">
        <v>0</v>
      </c>
      <c r="EA367" s="26">
        <v>0</v>
      </c>
      <c r="EB367" s="26">
        <v>0</v>
      </c>
      <c r="EC367" s="26">
        <v>0</v>
      </c>
      <c r="ED367" s="26">
        <v>0</v>
      </c>
      <c r="EE367" s="26">
        <v>0</v>
      </c>
      <c r="EF367" s="26">
        <v>0</v>
      </c>
      <c r="EG367" s="26">
        <v>0</v>
      </c>
      <c r="EH367" s="26">
        <v>0</v>
      </c>
      <c r="EI367" s="26">
        <v>0</v>
      </c>
      <c r="EJ367" s="26">
        <v>0</v>
      </c>
      <c r="EK367" s="26">
        <v>0</v>
      </c>
      <c r="EL367" s="26">
        <v>0</v>
      </c>
      <c r="EM367" s="26">
        <v>0</v>
      </c>
      <c r="EN367" s="26">
        <v>0</v>
      </c>
      <c r="EO367" s="26">
        <v>0</v>
      </c>
      <c r="EP367" s="26">
        <v>0</v>
      </c>
      <c r="EQ367" s="26">
        <v>0</v>
      </c>
      <c r="ER367" s="26">
        <v>0</v>
      </c>
      <c r="ES367" s="26">
        <v>0</v>
      </c>
      <c r="ET367" s="26">
        <v>0</v>
      </c>
      <c r="EU367" s="26">
        <v>0</v>
      </c>
      <c r="EV367" s="26">
        <v>0</v>
      </c>
      <c r="EW367" s="26">
        <v>0</v>
      </c>
      <c r="EX367" s="26">
        <v>0</v>
      </c>
      <c r="EY367" s="26">
        <v>0</v>
      </c>
      <c r="EZ367" s="26">
        <v>0</v>
      </c>
      <c r="FA367" s="26">
        <v>0</v>
      </c>
      <c r="FB367" s="26">
        <v>0</v>
      </c>
      <c r="FC367" s="26">
        <v>0</v>
      </c>
      <c r="FD367" s="26">
        <v>0</v>
      </c>
      <c r="FE367" s="26">
        <v>0</v>
      </c>
      <c r="FF367" s="26">
        <v>0</v>
      </c>
      <c r="FG367" s="26">
        <v>0</v>
      </c>
      <c r="FH367" s="26">
        <v>-1066465396.666</v>
      </c>
      <c r="FI367" s="26">
        <v>0</v>
      </c>
      <c r="FJ367" s="26">
        <v>0</v>
      </c>
      <c r="FK367" s="26">
        <v>0</v>
      </c>
      <c r="FL367" s="26">
        <v>0</v>
      </c>
      <c r="FM367" s="26">
        <v>0</v>
      </c>
      <c r="FN367" s="26">
        <v>0</v>
      </c>
      <c r="FO367" s="26">
        <v>0</v>
      </c>
      <c r="FP367" s="26">
        <v>0</v>
      </c>
      <c r="FQ367" s="26">
        <v>0</v>
      </c>
      <c r="FR367" s="26">
        <v>0</v>
      </c>
      <c r="FS367" s="26">
        <v>0</v>
      </c>
      <c r="FT367" s="26">
        <v>0</v>
      </c>
      <c r="FU367" s="26">
        <v>0</v>
      </c>
      <c r="FV367" s="26">
        <v>0</v>
      </c>
      <c r="FW367" s="26">
        <v>0</v>
      </c>
      <c r="FX367" s="26">
        <v>0</v>
      </c>
      <c r="FY367" s="26">
        <v>0</v>
      </c>
      <c r="FZ367" s="26">
        <v>0</v>
      </c>
      <c r="GA367" s="26">
        <v>0</v>
      </c>
      <c r="GB367" s="26">
        <v>0</v>
      </c>
      <c r="GC367" s="26">
        <v>0</v>
      </c>
      <c r="GD367" s="26">
        <v>0</v>
      </c>
      <c r="GE367" s="26">
        <v>0</v>
      </c>
      <c r="GF367" s="26">
        <v>0</v>
      </c>
      <c r="GG367" s="26">
        <v>0</v>
      </c>
      <c r="GH367" s="26">
        <v>0</v>
      </c>
      <c r="GI367" s="26">
        <v>0</v>
      </c>
      <c r="GJ367" s="26">
        <v>0</v>
      </c>
      <c r="GK367" s="26">
        <v>0</v>
      </c>
      <c r="GL367" s="26">
        <v>0</v>
      </c>
      <c r="GM367" s="26">
        <v>0</v>
      </c>
      <c r="GN367" s="26">
        <v>0</v>
      </c>
      <c r="GO367" s="26">
        <v>0</v>
      </c>
      <c r="GP367" s="26">
        <v>0</v>
      </c>
      <c r="GQ367" s="26">
        <v>0</v>
      </c>
      <c r="GR367" s="26">
        <v>0</v>
      </c>
      <c r="GS367" s="26">
        <v>0</v>
      </c>
      <c r="GT367" s="26">
        <v>0</v>
      </c>
      <c r="GU367" s="26">
        <v>0</v>
      </c>
      <c r="GV367" s="26">
        <v>0</v>
      </c>
      <c r="GW367" s="26">
        <v>0</v>
      </c>
      <c r="GX367" s="26">
        <v>0</v>
      </c>
      <c r="GY367" s="26">
        <v>0</v>
      </c>
      <c r="GZ367" s="26">
        <v>0</v>
      </c>
      <c r="HA367" s="26">
        <v>0</v>
      </c>
      <c r="HB367" s="26">
        <v>0</v>
      </c>
      <c r="HC367" s="26">
        <v>0</v>
      </c>
      <c r="HD367" s="26">
        <v>0</v>
      </c>
      <c r="HE367" s="26">
        <v>0</v>
      </c>
      <c r="HF367" s="26">
        <v>0</v>
      </c>
      <c r="HG367" s="26">
        <v>0</v>
      </c>
      <c r="HH367" s="26">
        <v>0</v>
      </c>
      <c r="HI367" s="26">
        <v>0</v>
      </c>
      <c r="HJ367" s="26">
        <v>0</v>
      </c>
      <c r="HK367" s="26">
        <v>0</v>
      </c>
      <c r="HL367" s="26">
        <v>0</v>
      </c>
      <c r="HM367" s="26">
        <v>0</v>
      </c>
      <c r="HN367" s="26">
        <v>0</v>
      </c>
      <c r="HO367" s="26">
        <v>0</v>
      </c>
      <c r="HP367" s="26">
        <v>0</v>
      </c>
      <c r="HQ367" s="26">
        <v>0</v>
      </c>
      <c r="HR367" s="26">
        <v>0</v>
      </c>
      <c r="HS367" s="26">
        <v>0</v>
      </c>
      <c r="HT367" s="26">
        <v>0</v>
      </c>
    </row>
    <row r="368" spans="2:228" x14ac:dyDescent="0.2">
      <c r="B368" s="27" t="s">
        <v>2445</v>
      </c>
      <c r="C368" s="26">
        <v>234812.967</v>
      </c>
      <c r="D368" s="26">
        <v>-739.63546399999996</v>
      </c>
      <c r="E368" s="26">
        <v>234812.967</v>
      </c>
      <c r="F368" s="26">
        <v>0</v>
      </c>
      <c r="G368" s="26">
        <v>0</v>
      </c>
      <c r="H368" s="26">
        <v>0</v>
      </c>
      <c r="I368" s="26">
        <v>0</v>
      </c>
      <c r="J368" s="26">
        <v>0</v>
      </c>
      <c r="K368" s="26">
        <v>0</v>
      </c>
      <c r="L368" s="26">
        <v>0</v>
      </c>
      <c r="M368" s="26">
        <v>0</v>
      </c>
      <c r="N368" s="26">
        <v>0</v>
      </c>
      <c r="O368" s="26">
        <v>0</v>
      </c>
      <c r="P368" s="26">
        <v>0</v>
      </c>
      <c r="Q368" s="26">
        <v>0</v>
      </c>
      <c r="R368" s="26">
        <v>0</v>
      </c>
      <c r="S368" s="26">
        <v>0</v>
      </c>
      <c r="T368" s="26">
        <v>0</v>
      </c>
      <c r="U368" s="26">
        <v>0</v>
      </c>
      <c r="V368" s="26">
        <v>0</v>
      </c>
      <c r="W368" s="26">
        <v>0</v>
      </c>
      <c r="X368" s="26">
        <v>0</v>
      </c>
      <c r="Y368" s="26">
        <v>0</v>
      </c>
      <c r="Z368" s="26">
        <v>0</v>
      </c>
      <c r="AA368" s="26">
        <v>0</v>
      </c>
      <c r="AB368" s="26">
        <v>0</v>
      </c>
      <c r="AC368" s="26">
        <v>0</v>
      </c>
      <c r="AD368" s="26">
        <v>0</v>
      </c>
      <c r="AE368" s="26">
        <v>0</v>
      </c>
      <c r="AF368" s="26">
        <v>0</v>
      </c>
      <c r="AG368" s="26">
        <v>0</v>
      </c>
      <c r="AH368" s="26">
        <v>0</v>
      </c>
      <c r="AI368" s="26">
        <v>0</v>
      </c>
      <c r="AJ368" s="26">
        <v>0</v>
      </c>
      <c r="AK368" s="26">
        <v>0</v>
      </c>
      <c r="AL368" s="26">
        <v>0</v>
      </c>
      <c r="AM368" s="26">
        <v>0</v>
      </c>
      <c r="AN368" s="26">
        <v>0</v>
      </c>
      <c r="AO368" s="26">
        <v>0</v>
      </c>
      <c r="AP368" s="26">
        <v>0</v>
      </c>
      <c r="AQ368" s="26">
        <v>0</v>
      </c>
      <c r="AR368" s="26">
        <v>0</v>
      </c>
      <c r="AS368" s="26">
        <v>0</v>
      </c>
      <c r="AT368" s="26">
        <v>0</v>
      </c>
      <c r="AU368" s="26">
        <v>0</v>
      </c>
      <c r="AV368" s="26">
        <v>0</v>
      </c>
      <c r="AW368" s="26">
        <v>0</v>
      </c>
      <c r="AX368" s="26">
        <v>0</v>
      </c>
      <c r="AY368" s="26">
        <v>0</v>
      </c>
      <c r="AZ368" s="26">
        <v>0</v>
      </c>
      <c r="BA368" s="26">
        <v>0</v>
      </c>
      <c r="BB368" s="26">
        <v>0</v>
      </c>
      <c r="BC368" s="26">
        <v>0</v>
      </c>
      <c r="BD368" s="26">
        <v>0</v>
      </c>
      <c r="BE368" s="26">
        <v>0</v>
      </c>
      <c r="BF368" s="26">
        <v>0</v>
      </c>
      <c r="BG368" s="26">
        <v>0</v>
      </c>
      <c r="BH368" s="26">
        <v>0</v>
      </c>
      <c r="BI368" s="26">
        <v>0</v>
      </c>
      <c r="BJ368" s="26">
        <v>0</v>
      </c>
      <c r="BK368" s="26">
        <v>0</v>
      </c>
      <c r="BL368" s="26">
        <v>0</v>
      </c>
      <c r="BM368" s="26">
        <v>0</v>
      </c>
      <c r="BN368" s="26">
        <v>0</v>
      </c>
      <c r="BO368" s="26">
        <v>13034.100399999999</v>
      </c>
      <c r="BP368" s="26">
        <v>234812.967</v>
      </c>
      <c r="BQ368" s="26">
        <v>123950.11899999999</v>
      </c>
      <c r="BR368" s="26">
        <v>277.03751899999997</v>
      </c>
      <c r="BS368" s="26">
        <v>60.541367600000001</v>
      </c>
      <c r="BT368" s="26">
        <v>1</v>
      </c>
      <c r="BU368" s="26">
        <v>0</v>
      </c>
      <c r="BV368" s="26">
        <v>0</v>
      </c>
      <c r="BW368" s="26">
        <v>-56746.184099999999</v>
      </c>
      <c r="BX368" s="26">
        <v>-3149.8918699999999</v>
      </c>
      <c r="BY368" s="26">
        <v>-739.63546399999996</v>
      </c>
      <c r="BZ368" s="26">
        <v>-15.2564592</v>
      </c>
      <c r="CA368" s="26">
        <v>-0.84686217200000002</v>
      </c>
      <c r="CB368" s="26">
        <v>1.7526002000000001E-3</v>
      </c>
      <c r="CC368" s="26">
        <v>3.1573583400000001E-2</v>
      </c>
      <c r="CD368" s="26">
        <v>18.015280000000001</v>
      </c>
      <c r="CE368" s="26">
        <v>3921.0918099999994</v>
      </c>
      <c r="CF368" s="26">
        <v>0</v>
      </c>
      <c r="CG368" s="26">
        <v>0</v>
      </c>
      <c r="CH368" s="26">
        <v>0</v>
      </c>
      <c r="CI368" s="26">
        <v>0</v>
      </c>
      <c r="CJ368" s="26">
        <v>0</v>
      </c>
      <c r="CK368" s="26">
        <v>0</v>
      </c>
      <c r="CL368" s="26">
        <v>0</v>
      </c>
      <c r="CM368" s="26">
        <v>0</v>
      </c>
      <c r="CN368" s="26">
        <v>0</v>
      </c>
      <c r="CO368" s="26">
        <v>0</v>
      </c>
      <c r="CP368" s="26">
        <v>0</v>
      </c>
      <c r="CQ368" s="26">
        <v>0</v>
      </c>
      <c r="CR368" s="26">
        <v>0</v>
      </c>
      <c r="CS368" s="26">
        <v>0</v>
      </c>
      <c r="CT368" s="26">
        <v>0</v>
      </c>
      <c r="CU368" s="26">
        <v>0</v>
      </c>
      <c r="CV368" s="26">
        <v>0</v>
      </c>
      <c r="CW368" s="26">
        <v>0</v>
      </c>
      <c r="CX368" s="26">
        <v>0</v>
      </c>
      <c r="CY368" s="26">
        <v>0</v>
      </c>
      <c r="CZ368" s="26">
        <v>0</v>
      </c>
      <c r="DA368" s="26">
        <v>0</v>
      </c>
      <c r="DB368" s="26">
        <v>0</v>
      </c>
      <c r="DC368" s="26">
        <v>0</v>
      </c>
      <c r="DD368" s="26">
        <v>0</v>
      </c>
      <c r="DE368" s="26">
        <v>0</v>
      </c>
      <c r="DF368" s="26">
        <v>0</v>
      </c>
      <c r="DG368" s="26">
        <v>0</v>
      </c>
      <c r="DH368" s="26">
        <v>0</v>
      </c>
      <c r="DI368" s="26">
        <v>0</v>
      </c>
      <c r="DJ368" s="26">
        <v>0</v>
      </c>
      <c r="DK368" s="26">
        <v>0</v>
      </c>
      <c r="DL368" s="26">
        <v>0</v>
      </c>
      <c r="DM368" s="26">
        <v>0</v>
      </c>
      <c r="DN368" s="26">
        <v>0</v>
      </c>
      <c r="DO368" s="26">
        <v>0</v>
      </c>
      <c r="DP368" s="26">
        <v>0</v>
      </c>
      <c r="DQ368" s="26">
        <v>0</v>
      </c>
      <c r="DR368" s="26">
        <v>0</v>
      </c>
      <c r="DS368" s="26">
        <v>0</v>
      </c>
      <c r="DT368" s="26">
        <v>0</v>
      </c>
      <c r="DU368" s="26">
        <v>0</v>
      </c>
      <c r="DV368" s="26">
        <v>0</v>
      </c>
      <c r="DW368" s="26">
        <v>0</v>
      </c>
      <c r="DX368" s="26">
        <v>0</v>
      </c>
      <c r="DY368" s="26">
        <v>0</v>
      </c>
      <c r="DZ368" s="26">
        <v>0</v>
      </c>
      <c r="EA368" s="26">
        <v>0</v>
      </c>
      <c r="EB368" s="26">
        <v>0</v>
      </c>
      <c r="EC368" s="26">
        <v>0</v>
      </c>
      <c r="ED368" s="26">
        <v>0</v>
      </c>
      <c r="EE368" s="26">
        <v>0</v>
      </c>
      <c r="EF368" s="26">
        <v>0</v>
      </c>
      <c r="EG368" s="26">
        <v>0</v>
      </c>
      <c r="EH368" s="26">
        <v>0</v>
      </c>
      <c r="EI368" s="26">
        <v>0</v>
      </c>
      <c r="EJ368" s="26">
        <v>0</v>
      </c>
      <c r="EK368" s="26">
        <v>0</v>
      </c>
      <c r="EL368" s="26">
        <v>0</v>
      </c>
      <c r="EM368" s="26">
        <v>0</v>
      </c>
      <c r="EN368" s="26">
        <v>0</v>
      </c>
      <c r="EO368" s="26">
        <v>0</v>
      </c>
      <c r="EP368" s="26">
        <v>0</v>
      </c>
      <c r="EQ368" s="26">
        <v>0</v>
      </c>
      <c r="ER368" s="26">
        <v>0</v>
      </c>
      <c r="ES368" s="26">
        <v>0</v>
      </c>
      <c r="ET368" s="26">
        <v>60.541367600000001</v>
      </c>
      <c r="EU368" s="26">
        <v>0</v>
      </c>
      <c r="EV368" s="26">
        <v>0</v>
      </c>
      <c r="EW368" s="26">
        <v>0</v>
      </c>
      <c r="EX368" s="26">
        <v>0</v>
      </c>
      <c r="EY368" s="26">
        <v>0</v>
      </c>
      <c r="EZ368" s="26">
        <v>0</v>
      </c>
      <c r="FA368" s="26">
        <v>0</v>
      </c>
      <c r="FB368" s="26">
        <v>0</v>
      </c>
      <c r="FC368" s="26">
        <v>0</v>
      </c>
      <c r="FD368" s="26">
        <v>0</v>
      </c>
      <c r="FE368" s="26">
        <v>0</v>
      </c>
      <c r="FF368" s="26">
        <v>0</v>
      </c>
      <c r="FG368" s="26">
        <v>0</v>
      </c>
      <c r="FH368" s="26">
        <v>-875565642.05700004</v>
      </c>
      <c r="FI368" s="26">
        <v>0</v>
      </c>
      <c r="FJ368" s="26">
        <v>3.6205834734091122</v>
      </c>
      <c r="FK368" s="26">
        <v>0</v>
      </c>
      <c r="FL368" s="26">
        <v>0</v>
      </c>
      <c r="FM368" s="26">
        <v>0</v>
      </c>
      <c r="FN368" s="26">
        <v>0</v>
      </c>
      <c r="FO368" s="26">
        <v>0</v>
      </c>
      <c r="FP368" s="26">
        <v>0</v>
      </c>
      <c r="FQ368" s="26">
        <v>0</v>
      </c>
      <c r="FR368" s="26">
        <v>0</v>
      </c>
      <c r="FS368" s="26">
        <v>0</v>
      </c>
      <c r="FT368" s="26">
        <v>0</v>
      </c>
      <c r="FU368" s="26">
        <v>0</v>
      </c>
      <c r="FV368" s="26">
        <v>0</v>
      </c>
      <c r="FW368" s="26">
        <v>0</v>
      </c>
      <c r="FX368" s="26">
        <v>0</v>
      </c>
      <c r="FY368" s="26">
        <v>0</v>
      </c>
      <c r="FZ368" s="26">
        <v>0</v>
      </c>
      <c r="GA368" s="26">
        <v>0</v>
      </c>
      <c r="GB368" s="26">
        <v>0</v>
      </c>
      <c r="GC368" s="26">
        <v>0</v>
      </c>
      <c r="GD368" s="26">
        <v>0</v>
      </c>
      <c r="GE368" s="26">
        <v>0</v>
      </c>
      <c r="GF368" s="26">
        <v>0</v>
      </c>
      <c r="GG368" s="26">
        <v>0</v>
      </c>
      <c r="GH368" s="26">
        <v>0</v>
      </c>
      <c r="GI368" s="26">
        <v>0</v>
      </c>
      <c r="GJ368" s="26">
        <v>0</v>
      </c>
      <c r="GK368" s="26">
        <v>0</v>
      </c>
      <c r="GL368" s="26">
        <v>0</v>
      </c>
      <c r="GM368" s="26">
        <v>0</v>
      </c>
      <c r="GN368" s="26">
        <v>0</v>
      </c>
      <c r="GO368" s="26">
        <v>0</v>
      </c>
      <c r="GP368" s="26">
        <v>0</v>
      </c>
      <c r="GQ368" s="26">
        <v>0</v>
      </c>
      <c r="GR368" s="26">
        <v>0</v>
      </c>
      <c r="GS368" s="26">
        <v>0</v>
      </c>
      <c r="GT368" s="26">
        <v>0</v>
      </c>
      <c r="GU368" s="26">
        <v>0</v>
      </c>
      <c r="GV368" s="26">
        <v>0</v>
      </c>
      <c r="GW368" s="26">
        <v>0</v>
      </c>
      <c r="GX368" s="26">
        <v>0</v>
      </c>
      <c r="GY368" s="26">
        <v>0</v>
      </c>
      <c r="GZ368" s="26">
        <v>0</v>
      </c>
      <c r="HA368" s="26">
        <v>0</v>
      </c>
      <c r="HB368" s="26">
        <v>0</v>
      </c>
      <c r="HC368" s="26">
        <v>0</v>
      </c>
      <c r="HD368" s="26">
        <v>0</v>
      </c>
      <c r="HE368" s="26">
        <v>0</v>
      </c>
      <c r="HF368" s="26">
        <v>0</v>
      </c>
      <c r="HG368" s="26">
        <v>0</v>
      </c>
      <c r="HH368" s="26">
        <v>0</v>
      </c>
      <c r="HI368" s="26">
        <v>0</v>
      </c>
      <c r="HJ368" s="26">
        <v>0</v>
      </c>
      <c r="HK368" s="26">
        <v>0</v>
      </c>
      <c r="HL368" s="26">
        <v>0</v>
      </c>
      <c r="HM368" s="26">
        <v>0</v>
      </c>
      <c r="HN368" s="26">
        <v>0</v>
      </c>
      <c r="HO368" s="26">
        <v>0</v>
      </c>
      <c r="HP368" s="26">
        <v>0</v>
      </c>
      <c r="HQ368" s="26">
        <v>0</v>
      </c>
      <c r="HR368" s="26">
        <v>0</v>
      </c>
      <c r="HS368" s="26">
        <v>0</v>
      </c>
      <c r="HT368" s="26">
        <v>0</v>
      </c>
    </row>
    <row r="369" spans="2:228" x14ac:dyDescent="0.2">
      <c r="B369" s="27" t="s">
        <v>2442</v>
      </c>
      <c r="C369" s="26">
        <v>176653.86199999999</v>
      </c>
      <c r="D369" s="26">
        <v>-548.71140800000001</v>
      </c>
      <c r="E369" s="26">
        <v>176653.86199999999</v>
      </c>
      <c r="F369" s="26">
        <v>0</v>
      </c>
      <c r="G369" s="26">
        <v>0</v>
      </c>
      <c r="H369" s="26">
        <v>0</v>
      </c>
      <c r="I369" s="26">
        <v>0</v>
      </c>
      <c r="J369" s="26">
        <v>0</v>
      </c>
      <c r="K369" s="26">
        <v>0</v>
      </c>
      <c r="L369" s="26">
        <v>0</v>
      </c>
      <c r="M369" s="26">
        <v>0</v>
      </c>
      <c r="N369" s="26">
        <v>0</v>
      </c>
      <c r="O369" s="26">
        <v>0</v>
      </c>
      <c r="P369" s="26">
        <v>0</v>
      </c>
      <c r="Q369" s="26">
        <v>0</v>
      </c>
      <c r="R369" s="26">
        <v>0</v>
      </c>
      <c r="S369" s="26">
        <v>0</v>
      </c>
      <c r="T369" s="26">
        <v>0</v>
      </c>
      <c r="U369" s="26">
        <v>0</v>
      </c>
      <c r="V369" s="26">
        <v>0</v>
      </c>
      <c r="W369" s="26">
        <v>0</v>
      </c>
      <c r="X369" s="26">
        <v>0</v>
      </c>
      <c r="Y369" s="26">
        <v>0</v>
      </c>
      <c r="Z369" s="26">
        <v>0</v>
      </c>
      <c r="AA369" s="26">
        <v>0</v>
      </c>
      <c r="AB369" s="26">
        <v>0</v>
      </c>
      <c r="AC369" s="26">
        <v>0</v>
      </c>
      <c r="AD369" s="26">
        <v>0</v>
      </c>
      <c r="AE369" s="26">
        <v>0</v>
      </c>
      <c r="AF369" s="26">
        <v>0</v>
      </c>
      <c r="AG369" s="26">
        <v>0</v>
      </c>
      <c r="AH369" s="26">
        <v>0</v>
      </c>
      <c r="AI369" s="26">
        <v>0</v>
      </c>
      <c r="AJ369" s="26">
        <v>0</v>
      </c>
      <c r="AK369" s="26">
        <v>0</v>
      </c>
      <c r="AL369" s="26">
        <v>0</v>
      </c>
      <c r="AM369" s="26">
        <v>0</v>
      </c>
      <c r="AN369" s="26">
        <v>0</v>
      </c>
      <c r="AO369" s="26">
        <v>0</v>
      </c>
      <c r="AP369" s="26">
        <v>0</v>
      </c>
      <c r="AQ369" s="26">
        <v>0</v>
      </c>
      <c r="AR369" s="26">
        <v>0</v>
      </c>
      <c r="AS369" s="26">
        <v>0</v>
      </c>
      <c r="AT369" s="26">
        <v>0</v>
      </c>
      <c r="AU369" s="26">
        <v>0</v>
      </c>
      <c r="AV369" s="26">
        <v>0</v>
      </c>
      <c r="AW369" s="26">
        <v>0</v>
      </c>
      <c r="AX369" s="26">
        <v>0</v>
      </c>
      <c r="AY369" s="26">
        <v>0</v>
      </c>
      <c r="AZ369" s="26">
        <v>0</v>
      </c>
      <c r="BA369" s="26">
        <v>0</v>
      </c>
      <c r="BB369" s="26">
        <v>0</v>
      </c>
      <c r="BC369" s="26">
        <v>0</v>
      </c>
      <c r="BD369" s="26">
        <v>0</v>
      </c>
      <c r="BE369" s="26">
        <v>0</v>
      </c>
      <c r="BF369" s="26">
        <v>0</v>
      </c>
      <c r="BG369" s="26">
        <v>0</v>
      </c>
      <c r="BH369" s="26">
        <v>0</v>
      </c>
      <c r="BI369" s="26">
        <v>0</v>
      </c>
      <c r="BJ369" s="26">
        <v>0</v>
      </c>
      <c r="BK369" s="26">
        <v>0</v>
      </c>
      <c r="BL369" s="26">
        <v>0</v>
      </c>
      <c r="BM369" s="26">
        <v>0</v>
      </c>
      <c r="BN369" s="26">
        <v>0</v>
      </c>
      <c r="BO369" s="26">
        <v>9805.7793999999994</v>
      </c>
      <c r="BP369" s="26">
        <v>176653.86199999999</v>
      </c>
      <c r="BQ369" s="26">
        <v>532183.04299999995</v>
      </c>
      <c r="BR369" s="26">
        <v>265.65910599999995</v>
      </c>
      <c r="BS369" s="26">
        <v>13</v>
      </c>
      <c r="BT369" s="26">
        <v>1</v>
      </c>
      <c r="BU369" s="26">
        <v>0</v>
      </c>
      <c r="BV369" s="26">
        <v>0</v>
      </c>
      <c r="BW369" s="26">
        <v>-55957.959199999998</v>
      </c>
      <c r="BX369" s="26">
        <v>-3106.1387399999999</v>
      </c>
      <c r="BY369" s="26">
        <v>-548.71140800000001</v>
      </c>
      <c r="BZ369" s="26">
        <v>-11.0908775</v>
      </c>
      <c r="CA369" s="26">
        <v>-0.615637251</v>
      </c>
      <c r="CB369" s="26">
        <v>3.0709293900000001E-4</v>
      </c>
      <c r="CC369" s="26">
        <v>5.5323652799999998E-3</v>
      </c>
      <c r="CD369" s="26">
        <v>18.015280000000001</v>
      </c>
      <c r="CE369" s="26">
        <v>2949.9052700000002</v>
      </c>
      <c r="CF369" s="26">
        <v>0</v>
      </c>
      <c r="CG369" s="26">
        <v>0</v>
      </c>
      <c r="CH369" s="26">
        <v>0</v>
      </c>
      <c r="CI369" s="26">
        <v>0</v>
      </c>
      <c r="CJ369" s="26">
        <v>0</v>
      </c>
      <c r="CK369" s="26">
        <v>0</v>
      </c>
      <c r="CL369" s="26">
        <v>0</v>
      </c>
      <c r="CM369" s="26">
        <v>0</v>
      </c>
      <c r="CN369" s="26">
        <v>0</v>
      </c>
      <c r="CO369" s="26">
        <v>0</v>
      </c>
      <c r="CP369" s="26">
        <v>0</v>
      </c>
      <c r="CQ369" s="26">
        <v>0</v>
      </c>
      <c r="CR369" s="26">
        <v>0</v>
      </c>
      <c r="CS369" s="26">
        <v>0</v>
      </c>
      <c r="CT369" s="26">
        <v>0</v>
      </c>
      <c r="CU369" s="26">
        <v>0</v>
      </c>
      <c r="CV369" s="26">
        <v>0</v>
      </c>
      <c r="CW369" s="26">
        <v>0</v>
      </c>
      <c r="CX369" s="26">
        <v>0</v>
      </c>
      <c r="CY369" s="26">
        <v>0</v>
      </c>
      <c r="CZ369" s="26">
        <v>0</v>
      </c>
      <c r="DA369" s="26">
        <v>0</v>
      </c>
      <c r="DB369" s="26">
        <v>0</v>
      </c>
      <c r="DC369" s="26">
        <v>0</v>
      </c>
      <c r="DD369" s="26">
        <v>0</v>
      </c>
      <c r="DE369" s="26">
        <v>0</v>
      </c>
      <c r="DF369" s="26">
        <v>0</v>
      </c>
      <c r="DG369" s="26">
        <v>0</v>
      </c>
      <c r="DH369" s="26">
        <v>0</v>
      </c>
      <c r="DI369" s="26">
        <v>0</v>
      </c>
      <c r="DJ369" s="26">
        <v>0</v>
      </c>
      <c r="DK369" s="26">
        <v>0</v>
      </c>
      <c r="DL369" s="26">
        <v>0</v>
      </c>
      <c r="DM369" s="26">
        <v>0</v>
      </c>
      <c r="DN369" s="26">
        <v>0</v>
      </c>
      <c r="DO369" s="26">
        <v>0</v>
      </c>
      <c r="DP369" s="26">
        <v>0</v>
      </c>
      <c r="DQ369" s="26">
        <v>0</v>
      </c>
      <c r="DR369" s="26">
        <v>0</v>
      </c>
      <c r="DS369" s="26">
        <v>0</v>
      </c>
      <c r="DT369" s="26">
        <v>0</v>
      </c>
      <c r="DU369" s="26">
        <v>0</v>
      </c>
      <c r="DV369" s="26">
        <v>0</v>
      </c>
      <c r="DW369" s="26">
        <v>0</v>
      </c>
      <c r="DX369" s="26">
        <v>0</v>
      </c>
      <c r="DY369" s="26">
        <v>0</v>
      </c>
      <c r="DZ369" s="26">
        <v>0</v>
      </c>
      <c r="EA369" s="26">
        <v>0</v>
      </c>
      <c r="EB369" s="26">
        <v>0</v>
      </c>
      <c r="EC369" s="26">
        <v>0</v>
      </c>
      <c r="ED369" s="26">
        <v>0</v>
      </c>
      <c r="EE369" s="26">
        <v>0</v>
      </c>
      <c r="EF369" s="26">
        <v>0</v>
      </c>
      <c r="EG369" s="26">
        <v>0</v>
      </c>
      <c r="EH369" s="26">
        <v>0</v>
      </c>
      <c r="EI369" s="26">
        <v>0</v>
      </c>
      <c r="EJ369" s="26">
        <v>0</v>
      </c>
      <c r="EK369" s="26">
        <v>0</v>
      </c>
      <c r="EL369" s="26">
        <v>0</v>
      </c>
      <c r="EM369" s="26">
        <v>0</v>
      </c>
      <c r="EN369" s="26">
        <v>0</v>
      </c>
      <c r="EO369" s="26">
        <v>0</v>
      </c>
      <c r="EP369" s="26">
        <v>0</v>
      </c>
      <c r="EQ369" s="26">
        <v>0</v>
      </c>
      <c r="ER369" s="26">
        <v>0</v>
      </c>
      <c r="ES369" s="26">
        <v>0</v>
      </c>
      <c r="ET369" s="26">
        <v>13</v>
      </c>
      <c r="EU369" s="26">
        <v>0</v>
      </c>
      <c r="EV369" s="26">
        <v>0</v>
      </c>
      <c r="EW369" s="26">
        <v>0</v>
      </c>
      <c r="EX369" s="26">
        <v>0</v>
      </c>
      <c r="EY369" s="26">
        <v>0</v>
      </c>
      <c r="EZ369" s="26">
        <v>0</v>
      </c>
      <c r="FA369" s="26">
        <v>0</v>
      </c>
      <c r="FB369" s="26">
        <v>0</v>
      </c>
      <c r="FC369" s="26">
        <v>0</v>
      </c>
      <c r="FD369" s="26">
        <v>0</v>
      </c>
      <c r="FE369" s="26">
        <v>0</v>
      </c>
      <c r="FF369" s="26">
        <v>0</v>
      </c>
      <c r="FG369" s="26">
        <v>0</v>
      </c>
      <c r="FH369" s="26">
        <v>-658703194.074</v>
      </c>
      <c r="FI369" s="26">
        <v>0</v>
      </c>
      <c r="FJ369" s="26">
        <v>2.7238276329017319</v>
      </c>
      <c r="FK369" s="26">
        <v>0</v>
      </c>
      <c r="FL369" s="26">
        <v>0</v>
      </c>
      <c r="FM369" s="26">
        <v>0</v>
      </c>
      <c r="FN369" s="26">
        <v>0</v>
      </c>
      <c r="FO369" s="26">
        <v>0</v>
      </c>
      <c r="FP369" s="26">
        <v>0</v>
      </c>
      <c r="FQ369" s="26">
        <v>0</v>
      </c>
      <c r="FR369" s="26">
        <v>0</v>
      </c>
      <c r="FS369" s="26">
        <v>0</v>
      </c>
      <c r="FT369" s="26">
        <v>0</v>
      </c>
      <c r="FU369" s="26">
        <v>0</v>
      </c>
      <c r="FV369" s="26">
        <v>0</v>
      </c>
      <c r="FW369" s="26">
        <v>0</v>
      </c>
      <c r="FX369" s="26">
        <v>0</v>
      </c>
      <c r="FY369" s="26">
        <v>0</v>
      </c>
      <c r="FZ369" s="26">
        <v>0</v>
      </c>
      <c r="GA369" s="26">
        <v>0</v>
      </c>
      <c r="GB369" s="26">
        <v>0</v>
      </c>
      <c r="GC369" s="26">
        <v>0</v>
      </c>
      <c r="GD369" s="26">
        <v>0</v>
      </c>
      <c r="GE369" s="26">
        <v>0</v>
      </c>
      <c r="GF369" s="26">
        <v>0</v>
      </c>
      <c r="GG369" s="26">
        <v>0</v>
      </c>
      <c r="GH369" s="26">
        <v>0</v>
      </c>
      <c r="GI369" s="26">
        <v>0</v>
      </c>
      <c r="GJ369" s="26">
        <v>0</v>
      </c>
      <c r="GK369" s="26">
        <v>0</v>
      </c>
      <c r="GL369" s="26">
        <v>0</v>
      </c>
      <c r="GM369" s="26">
        <v>0</v>
      </c>
      <c r="GN369" s="26">
        <v>0</v>
      </c>
      <c r="GO369" s="26">
        <v>0</v>
      </c>
      <c r="GP369" s="26">
        <v>0</v>
      </c>
      <c r="GQ369" s="26">
        <v>0</v>
      </c>
      <c r="GR369" s="26">
        <v>0</v>
      </c>
      <c r="GS369" s="26">
        <v>0</v>
      </c>
      <c r="GT369" s="26">
        <v>0</v>
      </c>
      <c r="GU369" s="26">
        <v>0</v>
      </c>
      <c r="GV369" s="26">
        <v>0</v>
      </c>
      <c r="GW369" s="26">
        <v>0</v>
      </c>
      <c r="GX369" s="26">
        <v>0</v>
      </c>
      <c r="GY369" s="26">
        <v>0</v>
      </c>
      <c r="GZ369" s="26">
        <v>0</v>
      </c>
      <c r="HA369" s="26">
        <v>0</v>
      </c>
      <c r="HB369" s="26">
        <v>0</v>
      </c>
      <c r="HC369" s="26">
        <v>0</v>
      </c>
      <c r="HD369" s="26">
        <v>0</v>
      </c>
      <c r="HE369" s="26">
        <v>0</v>
      </c>
      <c r="HF369" s="26">
        <v>0</v>
      </c>
      <c r="HG369" s="26">
        <v>0</v>
      </c>
      <c r="HH369" s="26">
        <v>0</v>
      </c>
      <c r="HI369" s="26">
        <v>0</v>
      </c>
      <c r="HJ369" s="26">
        <v>0</v>
      </c>
      <c r="HK369" s="26">
        <v>0</v>
      </c>
      <c r="HL369" s="26">
        <v>0</v>
      </c>
      <c r="HM369" s="26">
        <v>0</v>
      </c>
      <c r="HN369" s="26">
        <v>0</v>
      </c>
      <c r="HO369" s="26">
        <v>0</v>
      </c>
      <c r="HP369" s="26">
        <v>0</v>
      </c>
      <c r="HQ369" s="26">
        <v>0</v>
      </c>
      <c r="HR369" s="26">
        <v>0</v>
      </c>
      <c r="HS369" s="26">
        <v>0</v>
      </c>
      <c r="HT369" s="26">
        <v>0</v>
      </c>
    </row>
    <row r="370" spans="2:228" x14ac:dyDescent="0.2">
      <c r="B370" s="27" t="s">
        <v>2443</v>
      </c>
      <c r="C370" s="26">
        <v>176653.86199999999</v>
      </c>
      <c r="D370" s="26">
        <v>-551.29153899999994</v>
      </c>
      <c r="E370" s="26">
        <v>176653.86199999999</v>
      </c>
      <c r="F370" s="26">
        <v>0</v>
      </c>
      <c r="G370" s="26">
        <v>0</v>
      </c>
      <c r="H370" s="26">
        <v>0</v>
      </c>
      <c r="I370" s="26">
        <v>0</v>
      </c>
      <c r="J370" s="26">
        <v>0</v>
      </c>
      <c r="K370" s="26">
        <v>0</v>
      </c>
      <c r="L370" s="26">
        <v>0</v>
      </c>
      <c r="M370" s="26">
        <v>0</v>
      </c>
      <c r="N370" s="26">
        <v>0</v>
      </c>
      <c r="O370" s="26">
        <v>0</v>
      </c>
      <c r="P370" s="26">
        <v>0</v>
      </c>
      <c r="Q370" s="26">
        <v>0</v>
      </c>
      <c r="R370" s="26">
        <v>0</v>
      </c>
      <c r="S370" s="26">
        <v>0</v>
      </c>
      <c r="T370" s="26">
        <v>0</v>
      </c>
      <c r="U370" s="26">
        <v>0</v>
      </c>
      <c r="V370" s="26">
        <v>0</v>
      </c>
      <c r="W370" s="26">
        <v>0</v>
      </c>
      <c r="X370" s="26">
        <v>0</v>
      </c>
      <c r="Y370" s="26">
        <v>0</v>
      </c>
      <c r="Z370" s="26">
        <v>0</v>
      </c>
      <c r="AA370" s="26">
        <v>0</v>
      </c>
      <c r="AB370" s="26">
        <v>0</v>
      </c>
      <c r="AC370" s="26">
        <v>0</v>
      </c>
      <c r="AD370" s="26">
        <v>0</v>
      </c>
      <c r="AE370" s="26">
        <v>0</v>
      </c>
      <c r="AF370" s="26">
        <v>0</v>
      </c>
      <c r="AG370" s="26">
        <v>0</v>
      </c>
      <c r="AH370" s="26">
        <v>0</v>
      </c>
      <c r="AI370" s="26">
        <v>0</v>
      </c>
      <c r="AJ370" s="26">
        <v>0</v>
      </c>
      <c r="AK370" s="26">
        <v>0</v>
      </c>
      <c r="AL370" s="26">
        <v>0</v>
      </c>
      <c r="AM370" s="26">
        <v>0</v>
      </c>
      <c r="AN370" s="26">
        <v>0</v>
      </c>
      <c r="AO370" s="26">
        <v>0</v>
      </c>
      <c r="AP370" s="26">
        <v>0</v>
      </c>
      <c r="AQ370" s="26">
        <v>0</v>
      </c>
      <c r="AR370" s="26">
        <v>0</v>
      </c>
      <c r="AS370" s="26">
        <v>0</v>
      </c>
      <c r="AT370" s="26">
        <v>0</v>
      </c>
      <c r="AU370" s="26">
        <v>0</v>
      </c>
      <c r="AV370" s="26">
        <v>0</v>
      </c>
      <c r="AW370" s="26">
        <v>0</v>
      </c>
      <c r="AX370" s="26">
        <v>0</v>
      </c>
      <c r="AY370" s="26">
        <v>0</v>
      </c>
      <c r="AZ370" s="26">
        <v>0</v>
      </c>
      <c r="BA370" s="26">
        <v>0</v>
      </c>
      <c r="BB370" s="26">
        <v>0</v>
      </c>
      <c r="BC370" s="26">
        <v>0</v>
      </c>
      <c r="BD370" s="26">
        <v>0</v>
      </c>
      <c r="BE370" s="26">
        <v>0</v>
      </c>
      <c r="BF370" s="26">
        <v>0</v>
      </c>
      <c r="BG370" s="26">
        <v>0</v>
      </c>
      <c r="BH370" s="26">
        <v>0</v>
      </c>
      <c r="BI370" s="26">
        <v>0</v>
      </c>
      <c r="BJ370" s="26">
        <v>0</v>
      </c>
      <c r="BK370" s="26">
        <v>0</v>
      </c>
      <c r="BL370" s="26">
        <v>0</v>
      </c>
      <c r="BM370" s="26">
        <v>0</v>
      </c>
      <c r="BN370" s="26">
        <v>0</v>
      </c>
      <c r="BO370" s="26">
        <v>9805.7793999999994</v>
      </c>
      <c r="BP370" s="26">
        <v>176653.86199999999</v>
      </c>
      <c r="BQ370" s="26">
        <v>685236.027</v>
      </c>
      <c r="BR370" s="26">
        <v>232.83522500000004</v>
      </c>
      <c r="BS370" s="26">
        <v>9.5057454999999997</v>
      </c>
      <c r="BT370" s="26">
        <v>1</v>
      </c>
      <c r="BU370" s="26">
        <v>0</v>
      </c>
      <c r="BV370" s="26">
        <v>0</v>
      </c>
      <c r="BW370" s="26">
        <v>-56221.082699999999</v>
      </c>
      <c r="BX370" s="26">
        <v>-3120.7443199999998</v>
      </c>
      <c r="BY370" s="26">
        <v>-551.29153899999994</v>
      </c>
      <c r="BZ370" s="26">
        <v>-10.9986765</v>
      </c>
      <c r="CA370" s="26">
        <v>-0.61051932200000003</v>
      </c>
      <c r="CB370" s="26">
        <v>2.3850125800000001E-4</v>
      </c>
      <c r="CC370" s="26">
        <v>4.2966669499999999E-3</v>
      </c>
      <c r="CD370" s="26">
        <v>18.015280000000001</v>
      </c>
      <c r="CE370" s="26">
        <v>2949.9052700000002</v>
      </c>
      <c r="CF370" s="26">
        <v>0</v>
      </c>
      <c r="CG370" s="26">
        <v>0</v>
      </c>
      <c r="CH370" s="26">
        <v>0</v>
      </c>
      <c r="CI370" s="26">
        <v>0</v>
      </c>
      <c r="CJ370" s="26">
        <v>0</v>
      </c>
      <c r="CK370" s="26">
        <v>0</v>
      </c>
      <c r="CL370" s="26">
        <v>0</v>
      </c>
      <c r="CM370" s="26">
        <v>0</v>
      </c>
      <c r="CN370" s="26">
        <v>0</v>
      </c>
      <c r="CO370" s="26">
        <v>0</v>
      </c>
      <c r="CP370" s="26">
        <v>0</v>
      </c>
      <c r="CQ370" s="26">
        <v>0</v>
      </c>
      <c r="CR370" s="26">
        <v>0</v>
      </c>
      <c r="CS370" s="26">
        <v>0</v>
      </c>
      <c r="CT370" s="26">
        <v>0</v>
      </c>
      <c r="CU370" s="26">
        <v>0</v>
      </c>
      <c r="CV370" s="26">
        <v>0</v>
      </c>
      <c r="CW370" s="26">
        <v>0</v>
      </c>
      <c r="CX370" s="26">
        <v>0</v>
      </c>
      <c r="CY370" s="26">
        <v>0</v>
      </c>
      <c r="CZ370" s="26">
        <v>0</v>
      </c>
      <c r="DA370" s="26">
        <v>0</v>
      </c>
      <c r="DB370" s="26">
        <v>0</v>
      </c>
      <c r="DC370" s="26">
        <v>0</v>
      </c>
      <c r="DD370" s="26">
        <v>0</v>
      </c>
      <c r="DE370" s="26">
        <v>0</v>
      </c>
      <c r="DF370" s="26">
        <v>0</v>
      </c>
      <c r="DG370" s="26">
        <v>0</v>
      </c>
      <c r="DH370" s="26">
        <v>0</v>
      </c>
      <c r="DI370" s="26">
        <v>0</v>
      </c>
      <c r="DJ370" s="26">
        <v>0</v>
      </c>
      <c r="DK370" s="26">
        <v>0</v>
      </c>
      <c r="DL370" s="26">
        <v>0</v>
      </c>
      <c r="DM370" s="26">
        <v>0</v>
      </c>
      <c r="DN370" s="26">
        <v>0</v>
      </c>
      <c r="DO370" s="26">
        <v>0</v>
      </c>
      <c r="DP370" s="26">
        <v>0</v>
      </c>
      <c r="DQ370" s="26">
        <v>0</v>
      </c>
      <c r="DR370" s="26">
        <v>0</v>
      </c>
      <c r="DS370" s="26">
        <v>0</v>
      </c>
      <c r="DT370" s="26">
        <v>0</v>
      </c>
      <c r="DU370" s="26">
        <v>0</v>
      </c>
      <c r="DV370" s="26">
        <v>0</v>
      </c>
      <c r="DW370" s="26">
        <v>0</v>
      </c>
      <c r="DX370" s="26">
        <v>0</v>
      </c>
      <c r="DY370" s="26">
        <v>0</v>
      </c>
      <c r="DZ370" s="26">
        <v>0</v>
      </c>
      <c r="EA370" s="26">
        <v>0</v>
      </c>
      <c r="EB370" s="26">
        <v>0</v>
      </c>
      <c r="EC370" s="26">
        <v>0</v>
      </c>
      <c r="ED370" s="26">
        <v>0</v>
      </c>
      <c r="EE370" s="26">
        <v>0</v>
      </c>
      <c r="EF370" s="26">
        <v>0</v>
      </c>
      <c r="EG370" s="26">
        <v>0</v>
      </c>
      <c r="EH370" s="26">
        <v>0</v>
      </c>
      <c r="EI370" s="26">
        <v>0</v>
      </c>
      <c r="EJ370" s="26">
        <v>0</v>
      </c>
      <c r="EK370" s="26">
        <v>0</v>
      </c>
      <c r="EL370" s="26">
        <v>0</v>
      </c>
      <c r="EM370" s="26">
        <v>0</v>
      </c>
      <c r="EN370" s="26">
        <v>0</v>
      </c>
      <c r="EO370" s="26">
        <v>0</v>
      </c>
      <c r="EP370" s="26">
        <v>0</v>
      </c>
      <c r="EQ370" s="26">
        <v>0</v>
      </c>
      <c r="ER370" s="26">
        <v>0</v>
      </c>
      <c r="ES370" s="26">
        <v>0</v>
      </c>
      <c r="ET370" s="26">
        <v>9.5057454999999997</v>
      </c>
      <c r="EU370" s="26">
        <v>0</v>
      </c>
      <c r="EV370" s="26">
        <v>0</v>
      </c>
      <c r="EW370" s="26">
        <v>0</v>
      </c>
      <c r="EX370" s="26">
        <v>0</v>
      </c>
      <c r="EY370" s="26">
        <v>0</v>
      </c>
      <c r="EZ370" s="26">
        <v>0</v>
      </c>
      <c r="FA370" s="26">
        <v>0</v>
      </c>
      <c r="FB370" s="26">
        <v>0</v>
      </c>
      <c r="FC370" s="26">
        <v>0</v>
      </c>
      <c r="FD370" s="26">
        <v>0</v>
      </c>
      <c r="FE370" s="26">
        <v>0</v>
      </c>
      <c r="FF370" s="26">
        <v>0</v>
      </c>
      <c r="FG370" s="26">
        <v>0</v>
      </c>
      <c r="FH370" s="26">
        <v>-658703194.074</v>
      </c>
      <c r="FI370" s="26">
        <v>0</v>
      </c>
      <c r="FJ370" s="26">
        <v>2.7238276329017319</v>
      </c>
      <c r="FK370" s="26">
        <v>0</v>
      </c>
      <c r="FL370" s="26">
        <v>0</v>
      </c>
      <c r="FM370" s="26">
        <v>0</v>
      </c>
      <c r="FN370" s="26">
        <v>0</v>
      </c>
      <c r="FO370" s="26">
        <v>0</v>
      </c>
      <c r="FP370" s="26">
        <v>0</v>
      </c>
      <c r="FQ370" s="26">
        <v>0</v>
      </c>
      <c r="FR370" s="26">
        <v>0</v>
      </c>
      <c r="FS370" s="26">
        <v>0</v>
      </c>
      <c r="FT370" s="26">
        <v>0</v>
      </c>
      <c r="FU370" s="26">
        <v>0</v>
      </c>
      <c r="FV370" s="26">
        <v>0</v>
      </c>
      <c r="FW370" s="26">
        <v>0</v>
      </c>
      <c r="FX370" s="26">
        <v>0</v>
      </c>
      <c r="FY370" s="26">
        <v>0</v>
      </c>
      <c r="FZ370" s="26">
        <v>0</v>
      </c>
      <c r="GA370" s="26">
        <v>0</v>
      </c>
      <c r="GB370" s="26">
        <v>0</v>
      </c>
      <c r="GC370" s="26">
        <v>0</v>
      </c>
      <c r="GD370" s="26">
        <v>0</v>
      </c>
      <c r="GE370" s="26">
        <v>0</v>
      </c>
      <c r="GF370" s="26">
        <v>0</v>
      </c>
      <c r="GG370" s="26">
        <v>0</v>
      </c>
      <c r="GH370" s="26">
        <v>0</v>
      </c>
      <c r="GI370" s="26">
        <v>0</v>
      </c>
      <c r="GJ370" s="26">
        <v>0</v>
      </c>
      <c r="GK370" s="26">
        <v>0</v>
      </c>
      <c r="GL370" s="26">
        <v>0</v>
      </c>
      <c r="GM370" s="26">
        <v>0</v>
      </c>
      <c r="GN370" s="26">
        <v>0</v>
      </c>
      <c r="GO370" s="26">
        <v>0</v>
      </c>
      <c r="GP370" s="26">
        <v>0</v>
      </c>
      <c r="GQ370" s="26">
        <v>0</v>
      </c>
      <c r="GR370" s="26">
        <v>0</v>
      </c>
      <c r="GS370" s="26">
        <v>0</v>
      </c>
      <c r="GT370" s="26">
        <v>0</v>
      </c>
      <c r="GU370" s="26">
        <v>0</v>
      </c>
      <c r="GV370" s="26">
        <v>0</v>
      </c>
      <c r="GW370" s="26">
        <v>0</v>
      </c>
      <c r="GX370" s="26">
        <v>0</v>
      </c>
      <c r="GY370" s="26">
        <v>0</v>
      </c>
      <c r="GZ370" s="26">
        <v>0</v>
      </c>
      <c r="HA370" s="26">
        <v>0</v>
      </c>
      <c r="HB370" s="26">
        <v>0</v>
      </c>
      <c r="HC370" s="26">
        <v>0</v>
      </c>
      <c r="HD370" s="26">
        <v>0</v>
      </c>
      <c r="HE370" s="26">
        <v>0</v>
      </c>
      <c r="HF370" s="26">
        <v>0</v>
      </c>
      <c r="HG370" s="26">
        <v>0</v>
      </c>
      <c r="HH370" s="26">
        <v>0</v>
      </c>
      <c r="HI370" s="26">
        <v>0</v>
      </c>
      <c r="HJ370" s="26">
        <v>0</v>
      </c>
      <c r="HK370" s="26">
        <v>0</v>
      </c>
      <c r="HL370" s="26">
        <v>0</v>
      </c>
      <c r="HM370" s="26">
        <v>0</v>
      </c>
      <c r="HN370" s="26">
        <v>0</v>
      </c>
      <c r="HO370" s="26">
        <v>0</v>
      </c>
      <c r="HP370" s="26">
        <v>0</v>
      </c>
      <c r="HQ370" s="26">
        <v>0</v>
      </c>
      <c r="HR370" s="26">
        <v>0</v>
      </c>
      <c r="HS370" s="26">
        <v>0</v>
      </c>
      <c r="HT370" s="26">
        <v>0</v>
      </c>
    </row>
    <row r="371" spans="2:228" x14ac:dyDescent="0.2">
      <c r="B371" s="27" t="s">
        <v>1448</v>
      </c>
      <c r="C371" s="26">
        <v>75054.059099999999</v>
      </c>
      <c r="D371" s="26">
        <v>-234.22453100000004</v>
      </c>
      <c r="E371" s="26">
        <v>75054.059099999999</v>
      </c>
      <c r="F371" s="26">
        <v>0</v>
      </c>
      <c r="G371" s="26">
        <v>0</v>
      </c>
      <c r="H371" s="26">
        <v>0</v>
      </c>
      <c r="I371" s="26">
        <v>0</v>
      </c>
      <c r="J371" s="26">
        <v>0</v>
      </c>
      <c r="K371" s="26">
        <v>0</v>
      </c>
      <c r="L371" s="26">
        <v>0</v>
      </c>
      <c r="M371" s="26">
        <v>0</v>
      </c>
      <c r="N371" s="26">
        <v>0</v>
      </c>
      <c r="O371" s="26">
        <v>0</v>
      </c>
      <c r="P371" s="26">
        <v>0</v>
      </c>
      <c r="Q371" s="26">
        <v>0</v>
      </c>
      <c r="R371" s="26">
        <v>0</v>
      </c>
      <c r="S371" s="26">
        <v>0</v>
      </c>
      <c r="T371" s="26">
        <v>0</v>
      </c>
      <c r="U371" s="26">
        <v>0</v>
      </c>
      <c r="V371" s="26">
        <v>0</v>
      </c>
      <c r="W371" s="26">
        <v>0</v>
      </c>
      <c r="X371" s="26">
        <v>0</v>
      </c>
      <c r="Y371" s="26">
        <v>0</v>
      </c>
      <c r="Z371" s="26">
        <v>0</v>
      </c>
      <c r="AA371" s="26">
        <v>0</v>
      </c>
      <c r="AB371" s="26">
        <v>0</v>
      </c>
      <c r="AC371" s="26">
        <v>0</v>
      </c>
      <c r="AD371" s="26">
        <v>0</v>
      </c>
      <c r="AE371" s="26">
        <v>0</v>
      </c>
      <c r="AF371" s="26">
        <v>0</v>
      </c>
      <c r="AG371" s="26">
        <v>0</v>
      </c>
      <c r="AH371" s="26">
        <v>0</v>
      </c>
      <c r="AI371" s="26">
        <v>0</v>
      </c>
      <c r="AJ371" s="26">
        <v>0</v>
      </c>
      <c r="AK371" s="26">
        <v>0</v>
      </c>
      <c r="AL371" s="26">
        <v>0</v>
      </c>
      <c r="AM371" s="26">
        <v>0</v>
      </c>
      <c r="AN371" s="26">
        <v>0</v>
      </c>
      <c r="AO371" s="26">
        <v>0</v>
      </c>
      <c r="AP371" s="26">
        <v>0</v>
      </c>
      <c r="AQ371" s="26">
        <v>0</v>
      </c>
      <c r="AR371" s="26">
        <v>0</v>
      </c>
      <c r="AS371" s="26">
        <v>0</v>
      </c>
      <c r="AT371" s="26">
        <v>0</v>
      </c>
      <c r="AU371" s="26">
        <v>0</v>
      </c>
      <c r="AV371" s="26">
        <v>0</v>
      </c>
      <c r="AW371" s="26">
        <v>0</v>
      </c>
      <c r="AX371" s="26">
        <v>0</v>
      </c>
      <c r="AY371" s="26">
        <v>0</v>
      </c>
      <c r="AZ371" s="26">
        <v>0</v>
      </c>
      <c r="BA371" s="26">
        <v>0</v>
      </c>
      <c r="BB371" s="26">
        <v>0</v>
      </c>
      <c r="BC371" s="26">
        <v>0</v>
      </c>
      <c r="BD371" s="26">
        <v>0</v>
      </c>
      <c r="BE371" s="26">
        <v>0</v>
      </c>
      <c r="BF371" s="26">
        <v>0</v>
      </c>
      <c r="BG371" s="26">
        <v>0</v>
      </c>
      <c r="BH371" s="26">
        <v>0</v>
      </c>
      <c r="BI371" s="26">
        <v>0</v>
      </c>
      <c r="BJ371" s="26">
        <v>0</v>
      </c>
      <c r="BK371" s="26">
        <v>0</v>
      </c>
      <c r="BL371" s="26">
        <v>0</v>
      </c>
      <c r="BM371" s="26">
        <v>0</v>
      </c>
      <c r="BN371" s="26">
        <v>0</v>
      </c>
      <c r="BO371" s="26">
        <v>4166.1333699999996</v>
      </c>
      <c r="BP371" s="26">
        <v>75054.059099999999</v>
      </c>
      <c r="BQ371" s="26">
        <v>291132.86800000002</v>
      </c>
      <c r="BR371" s="26">
        <v>232.83522500000004</v>
      </c>
      <c r="BS371" s="26">
        <v>9.5057454999999997</v>
      </c>
      <c r="BT371" s="26">
        <v>1</v>
      </c>
      <c r="BU371" s="26">
        <v>0</v>
      </c>
      <c r="BV371" s="26">
        <v>0</v>
      </c>
      <c r="BW371" s="26">
        <v>-56221.082699999999</v>
      </c>
      <c r="BX371" s="26">
        <v>-3120.7443199999998</v>
      </c>
      <c r="BY371" s="26">
        <v>-234.22453100000004</v>
      </c>
      <c r="BZ371" s="26">
        <v>-10.9986765</v>
      </c>
      <c r="CA371" s="26">
        <v>-0.61051932200000003</v>
      </c>
      <c r="CB371" s="26">
        <v>2.3850125800000001E-4</v>
      </c>
      <c r="CC371" s="26">
        <v>4.2966669499999999E-3</v>
      </c>
      <c r="CD371" s="26">
        <v>18.015280000000001</v>
      </c>
      <c r="CE371" s="26">
        <v>1253.31177</v>
      </c>
      <c r="CF371" s="26">
        <v>0</v>
      </c>
      <c r="CG371" s="26">
        <v>0</v>
      </c>
      <c r="CH371" s="26">
        <v>0</v>
      </c>
      <c r="CI371" s="26">
        <v>0</v>
      </c>
      <c r="CJ371" s="26">
        <v>0</v>
      </c>
      <c r="CK371" s="26">
        <v>0</v>
      </c>
      <c r="CL371" s="26">
        <v>0</v>
      </c>
      <c r="CM371" s="26">
        <v>0</v>
      </c>
      <c r="CN371" s="26">
        <v>0</v>
      </c>
      <c r="CO371" s="26">
        <v>0</v>
      </c>
      <c r="CP371" s="26">
        <v>0</v>
      </c>
      <c r="CQ371" s="26">
        <v>0</v>
      </c>
      <c r="CR371" s="26">
        <v>0</v>
      </c>
      <c r="CS371" s="26">
        <v>0</v>
      </c>
      <c r="CT371" s="26">
        <v>0</v>
      </c>
      <c r="CU371" s="26">
        <v>0</v>
      </c>
      <c r="CV371" s="26">
        <v>0</v>
      </c>
      <c r="CW371" s="26">
        <v>0</v>
      </c>
      <c r="CX371" s="26">
        <v>0</v>
      </c>
      <c r="CY371" s="26">
        <v>0</v>
      </c>
      <c r="CZ371" s="26">
        <v>0</v>
      </c>
      <c r="DA371" s="26">
        <v>0</v>
      </c>
      <c r="DB371" s="26">
        <v>0</v>
      </c>
      <c r="DC371" s="26">
        <v>0</v>
      </c>
      <c r="DD371" s="26">
        <v>0</v>
      </c>
      <c r="DE371" s="26">
        <v>0</v>
      </c>
      <c r="DF371" s="26">
        <v>0</v>
      </c>
      <c r="DG371" s="26">
        <v>0</v>
      </c>
      <c r="DH371" s="26">
        <v>0</v>
      </c>
      <c r="DI371" s="26">
        <v>0</v>
      </c>
      <c r="DJ371" s="26">
        <v>0</v>
      </c>
      <c r="DK371" s="26">
        <v>0</v>
      </c>
      <c r="DL371" s="26">
        <v>0</v>
      </c>
      <c r="DM371" s="26">
        <v>0</v>
      </c>
      <c r="DN371" s="26">
        <v>0</v>
      </c>
      <c r="DO371" s="26">
        <v>0</v>
      </c>
      <c r="DP371" s="26">
        <v>0</v>
      </c>
      <c r="DQ371" s="26">
        <v>0</v>
      </c>
      <c r="DR371" s="26">
        <v>0</v>
      </c>
      <c r="DS371" s="26">
        <v>0</v>
      </c>
      <c r="DT371" s="26">
        <v>0</v>
      </c>
      <c r="DU371" s="26">
        <v>0</v>
      </c>
      <c r="DV371" s="26">
        <v>0</v>
      </c>
      <c r="DW371" s="26">
        <v>0</v>
      </c>
      <c r="DX371" s="26">
        <v>0</v>
      </c>
      <c r="DY371" s="26">
        <v>0</v>
      </c>
      <c r="DZ371" s="26">
        <v>0</v>
      </c>
      <c r="EA371" s="26">
        <v>0</v>
      </c>
      <c r="EB371" s="26">
        <v>0</v>
      </c>
      <c r="EC371" s="26">
        <v>0</v>
      </c>
      <c r="ED371" s="26">
        <v>0</v>
      </c>
      <c r="EE371" s="26">
        <v>0</v>
      </c>
      <c r="EF371" s="26">
        <v>0</v>
      </c>
      <c r="EG371" s="26">
        <v>0</v>
      </c>
      <c r="EH371" s="26">
        <v>0</v>
      </c>
      <c r="EI371" s="26">
        <v>0</v>
      </c>
      <c r="EJ371" s="26">
        <v>0</v>
      </c>
      <c r="EK371" s="26">
        <v>0</v>
      </c>
      <c r="EL371" s="26">
        <v>0</v>
      </c>
      <c r="EM371" s="26">
        <v>0</v>
      </c>
      <c r="EN371" s="26">
        <v>0</v>
      </c>
      <c r="EO371" s="26">
        <v>0</v>
      </c>
      <c r="EP371" s="26">
        <v>0</v>
      </c>
      <c r="EQ371" s="26">
        <v>0</v>
      </c>
      <c r="ER371" s="26">
        <v>0</v>
      </c>
      <c r="ES371" s="26">
        <v>0</v>
      </c>
      <c r="ET371" s="26">
        <v>9.5057454999999997</v>
      </c>
      <c r="EU371" s="26">
        <v>0</v>
      </c>
      <c r="EV371" s="26">
        <v>0</v>
      </c>
      <c r="EW371" s="26">
        <v>0</v>
      </c>
      <c r="EX371" s="26">
        <v>0</v>
      </c>
      <c r="EY371" s="26">
        <v>0</v>
      </c>
      <c r="EZ371" s="26">
        <v>0</v>
      </c>
      <c r="FA371" s="26">
        <v>0</v>
      </c>
      <c r="FB371" s="26">
        <v>0</v>
      </c>
      <c r="FC371" s="26">
        <v>0</v>
      </c>
      <c r="FD371" s="26">
        <v>0</v>
      </c>
      <c r="FE371" s="26">
        <v>0</v>
      </c>
      <c r="FF371" s="26">
        <v>0</v>
      </c>
      <c r="FG371" s="26">
        <v>0</v>
      </c>
      <c r="FH371" s="26">
        <v>-279859993.63999999</v>
      </c>
      <c r="FI371" s="26">
        <v>0</v>
      </c>
      <c r="FJ371" s="26">
        <v>1.1572592787025187</v>
      </c>
      <c r="FK371" s="26">
        <v>0</v>
      </c>
      <c r="FL371" s="26">
        <v>0</v>
      </c>
      <c r="FM371" s="26">
        <v>0</v>
      </c>
      <c r="FN371" s="26">
        <v>0</v>
      </c>
      <c r="FO371" s="26">
        <v>0</v>
      </c>
      <c r="FP371" s="26">
        <v>0</v>
      </c>
      <c r="FQ371" s="26">
        <v>0</v>
      </c>
      <c r="FR371" s="26">
        <v>0</v>
      </c>
      <c r="FS371" s="26">
        <v>0</v>
      </c>
      <c r="FT371" s="26">
        <v>0</v>
      </c>
      <c r="FU371" s="26">
        <v>0</v>
      </c>
      <c r="FV371" s="26">
        <v>0</v>
      </c>
      <c r="FW371" s="26">
        <v>0</v>
      </c>
      <c r="FX371" s="26">
        <v>0</v>
      </c>
      <c r="FY371" s="26">
        <v>0</v>
      </c>
      <c r="FZ371" s="26">
        <v>0</v>
      </c>
      <c r="GA371" s="26">
        <v>0</v>
      </c>
      <c r="GB371" s="26">
        <v>0</v>
      </c>
      <c r="GC371" s="26">
        <v>0</v>
      </c>
      <c r="GD371" s="26">
        <v>0</v>
      </c>
      <c r="GE371" s="26">
        <v>0</v>
      </c>
      <c r="GF371" s="26">
        <v>0</v>
      </c>
      <c r="GG371" s="26">
        <v>0</v>
      </c>
      <c r="GH371" s="26">
        <v>0</v>
      </c>
      <c r="GI371" s="26">
        <v>0</v>
      </c>
      <c r="GJ371" s="26">
        <v>0</v>
      </c>
      <c r="GK371" s="26">
        <v>0</v>
      </c>
      <c r="GL371" s="26">
        <v>0</v>
      </c>
      <c r="GM371" s="26">
        <v>0</v>
      </c>
      <c r="GN371" s="26">
        <v>0</v>
      </c>
      <c r="GO371" s="26">
        <v>0</v>
      </c>
      <c r="GP371" s="26">
        <v>0</v>
      </c>
      <c r="GQ371" s="26">
        <v>0</v>
      </c>
      <c r="GR371" s="26">
        <v>0</v>
      </c>
      <c r="GS371" s="26">
        <v>0</v>
      </c>
      <c r="GT371" s="26">
        <v>0</v>
      </c>
      <c r="GU371" s="26">
        <v>0</v>
      </c>
      <c r="GV371" s="26">
        <v>0</v>
      </c>
      <c r="GW371" s="26">
        <v>0</v>
      </c>
      <c r="GX371" s="26">
        <v>0</v>
      </c>
      <c r="GY371" s="26">
        <v>0</v>
      </c>
      <c r="GZ371" s="26">
        <v>0</v>
      </c>
      <c r="HA371" s="26">
        <v>0</v>
      </c>
      <c r="HB371" s="26">
        <v>0</v>
      </c>
      <c r="HC371" s="26">
        <v>0</v>
      </c>
      <c r="HD371" s="26">
        <v>0</v>
      </c>
      <c r="HE371" s="26">
        <v>0</v>
      </c>
      <c r="HF371" s="26">
        <v>0</v>
      </c>
      <c r="HG371" s="26">
        <v>0</v>
      </c>
      <c r="HH371" s="26">
        <v>0</v>
      </c>
      <c r="HI371" s="26">
        <v>0</v>
      </c>
      <c r="HJ371" s="26">
        <v>0</v>
      </c>
      <c r="HK371" s="26">
        <v>0</v>
      </c>
      <c r="HL371" s="26">
        <v>0</v>
      </c>
      <c r="HM371" s="26">
        <v>0</v>
      </c>
      <c r="HN371" s="26">
        <v>0</v>
      </c>
      <c r="HO371" s="26">
        <v>0</v>
      </c>
      <c r="HP371" s="26">
        <v>0</v>
      </c>
      <c r="HQ371" s="26">
        <v>0</v>
      </c>
      <c r="HR371" s="26">
        <v>0</v>
      </c>
      <c r="HS371" s="26">
        <v>0</v>
      </c>
      <c r="HT371" s="26">
        <v>0</v>
      </c>
    </row>
    <row r="372" spans="2:228" x14ac:dyDescent="0.2">
      <c r="B372" s="27" t="s">
        <v>1452</v>
      </c>
      <c r="C372" s="26">
        <v>105.503152</v>
      </c>
      <c r="D372" s="26">
        <v>-0.32924836600000001</v>
      </c>
      <c r="E372" s="26">
        <v>105.503152</v>
      </c>
      <c r="F372" s="26">
        <v>0</v>
      </c>
      <c r="G372" s="26">
        <v>0</v>
      </c>
      <c r="H372" s="26">
        <v>0</v>
      </c>
      <c r="I372" s="26">
        <v>0</v>
      </c>
      <c r="J372" s="26">
        <v>0</v>
      </c>
      <c r="K372" s="26">
        <v>0</v>
      </c>
      <c r="L372" s="26">
        <v>0</v>
      </c>
      <c r="M372" s="26">
        <v>0</v>
      </c>
      <c r="N372" s="26">
        <v>0</v>
      </c>
      <c r="O372" s="26">
        <v>0</v>
      </c>
      <c r="P372" s="26">
        <v>0</v>
      </c>
      <c r="Q372" s="26">
        <v>0</v>
      </c>
      <c r="R372" s="26">
        <v>0</v>
      </c>
      <c r="S372" s="26">
        <v>0</v>
      </c>
      <c r="T372" s="26">
        <v>0</v>
      </c>
      <c r="U372" s="26">
        <v>0</v>
      </c>
      <c r="V372" s="26">
        <v>0</v>
      </c>
      <c r="W372" s="26">
        <v>0</v>
      </c>
      <c r="X372" s="26">
        <v>0</v>
      </c>
      <c r="Y372" s="26">
        <v>0</v>
      </c>
      <c r="Z372" s="26">
        <v>0</v>
      </c>
      <c r="AA372" s="26">
        <v>0</v>
      </c>
      <c r="AB372" s="26">
        <v>0</v>
      </c>
      <c r="AC372" s="26">
        <v>0</v>
      </c>
      <c r="AD372" s="26">
        <v>0</v>
      </c>
      <c r="AE372" s="26">
        <v>0</v>
      </c>
      <c r="AF372" s="26">
        <v>0</v>
      </c>
      <c r="AG372" s="26">
        <v>0</v>
      </c>
      <c r="AH372" s="26">
        <v>0</v>
      </c>
      <c r="AI372" s="26">
        <v>0</v>
      </c>
      <c r="AJ372" s="26">
        <v>0</v>
      </c>
      <c r="AK372" s="26">
        <v>0</v>
      </c>
      <c r="AL372" s="26">
        <v>0</v>
      </c>
      <c r="AM372" s="26">
        <v>0</v>
      </c>
      <c r="AN372" s="26">
        <v>0</v>
      </c>
      <c r="AO372" s="26">
        <v>0</v>
      </c>
      <c r="AP372" s="26">
        <v>0</v>
      </c>
      <c r="AQ372" s="26">
        <v>0</v>
      </c>
      <c r="AR372" s="26">
        <v>0</v>
      </c>
      <c r="AS372" s="26">
        <v>0</v>
      </c>
      <c r="AT372" s="26">
        <v>0</v>
      </c>
      <c r="AU372" s="26">
        <v>0</v>
      </c>
      <c r="AV372" s="26">
        <v>0</v>
      </c>
      <c r="AW372" s="26">
        <v>0</v>
      </c>
      <c r="AX372" s="26">
        <v>0</v>
      </c>
      <c r="AY372" s="26">
        <v>0</v>
      </c>
      <c r="AZ372" s="26">
        <v>0</v>
      </c>
      <c r="BA372" s="26">
        <v>0</v>
      </c>
      <c r="BB372" s="26">
        <v>0</v>
      </c>
      <c r="BC372" s="26">
        <v>0</v>
      </c>
      <c r="BD372" s="26">
        <v>0</v>
      </c>
      <c r="BE372" s="26">
        <v>0</v>
      </c>
      <c r="BF372" s="26">
        <v>0</v>
      </c>
      <c r="BG372" s="26">
        <v>0</v>
      </c>
      <c r="BH372" s="26">
        <v>0</v>
      </c>
      <c r="BI372" s="26">
        <v>0</v>
      </c>
      <c r="BJ372" s="26">
        <v>0</v>
      </c>
      <c r="BK372" s="26">
        <v>0</v>
      </c>
      <c r="BL372" s="26">
        <v>0</v>
      </c>
      <c r="BM372" s="26">
        <v>0</v>
      </c>
      <c r="BN372" s="26">
        <v>0</v>
      </c>
      <c r="BO372" s="26">
        <v>5.8563148900000002</v>
      </c>
      <c r="BP372" s="26">
        <v>105.503152</v>
      </c>
      <c r="BQ372" s="26">
        <v>409.24415900000002</v>
      </c>
      <c r="BR372" s="26">
        <v>232.83522500000004</v>
      </c>
      <c r="BS372" s="26">
        <v>9.5057454999999997</v>
      </c>
      <c r="BT372" s="26">
        <v>1</v>
      </c>
      <c r="BU372" s="26">
        <v>0</v>
      </c>
      <c r="BV372" s="26">
        <v>0</v>
      </c>
      <c r="BW372" s="26">
        <v>-56221.082699999999</v>
      </c>
      <c r="BX372" s="26">
        <v>-3120.7443199999998</v>
      </c>
      <c r="BY372" s="26">
        <v>-0.32924836600000001</v>
      </c>
      <c r="BZ372" s="26">
        <v>-10.9986765</v>
      </c>
      <c r="CA372" s="26">
        <v>-0.61051932200000003</v>
      </c>
      <c r="CB372" s="26">
        <v>2.3850125800000001E-4</v>
      </c>
      <c r="CC372" s="26">
        <v>4.2966669499999999E-3</v>
      </c>
      <c r="CD372" s="26">
        <v>18.015280000000001</v>
      </c>
      <c r="CE372" s="26">
        <v>1.7617747100000001</v>
      </c>
      <c r="CF372" s="26">
        <v>0</v>
      </c>
      <c r="CG372" s="26">
        <v>0</v>
      </c>
      <c r="CH372" s="26">
        <v>0</v>
      </c>
      <c r="CI372" s="26">
        <v>0</v>
      </c>
      <c r="CJ372" s="26">
        <v>0</v>
      </c>
      <c r="CK372" s="26">
        <v>0</v>
      </c>
      <c r="CL372" s="26">
        <v>0</v>
      </c>
      <c r="CM372" s="26">
        <v>0</v>
      </c>
      <c r="CN372" s="26">
        <v>0</v>
      </c>
      <c r="CO372" s="26">
        <v>0</v>
      </c>
      <c r="CP372" s="26">
        <v>0</v>
      </c>
      <c r="CQ372" s="26">
        <v>0</v>
      </c>
      <c r="CR372" s="26">
        <v>0</v>
      </c>
      <c r="CS372" s="26">
        <v>0</v>
      </c>
      <c r="CT372" s="26">
        <v>0</v>
      </c>
      <c r="CU372" s="26">
        <v>0</v>
      </c>
      <c r="CV372" s="26">
        <v>0</v>
      </c>
      <c r="CW372" s="26">
        <v>0</v>
      </c>
      <c r="CX372" s="26">
        <v>0</v>
      </c>
      <c r="CY372" s="26">
        <v>0</v>
      </c>
      <c r="CZ372" s="26">
        <v>0</v>
      </c>
      <c r="DA372" s="26">
        <v>0</v>
      </c>
      <c r="DB372" s="26">
        <v>0</v>
      </c>
      <c r="DC372" s="26">
        <v>0</v>
      </c>
      <c r="DD372" s="26">
        <v>0</v>
      </c>
      <c r="DE372" s="26">
        <v>0</v>
      </c>
      <c r="DF372" s="26">
        <v>0</v>
      </c>
      <c r="DG372" s="26">
        <v>0</v>
      </c>
      <c r="DH372" s="26">
        <v>0</v>
      </c>
      <c r="DI372" s="26">
        <v>0</v>
      </c>
      <c r="DJ372" s="26">
        <v>0</v>
      </c>
      <c r="DK372" s="26">
        <v>0</v>
      </c>
      <c r="DL372" s="26">
        <v>0</v>
      </c>
      <c r="DM372" s="26">
        <v>0</v>
      </c>
      <c r="DN372" s="26">
        <v>0</v>
      </c>
      <c r="DO372" s="26">
        <v>0</v>
      </c>
      <c r="DP372" s="26">
        <v>0</v>
      </c>
      <c r="DQ372" s="26">
        <v>0</v>
      </c>
      <c r="DR372" s="26">
        <v>0</v>
      </c>
      <c r="DS372" s="26">
        <v>0</v>
      </c>
      <c r="DT372" s="26">
        <v>0</v>
      </c>
      <c r="DU372" s="26">
        <v>0</v>
      </c>
      <c r="DV372" s="26">
        <v>0</v>
      </c>
      <c r="DW372" s="26">
        <v>0</v>
      </c>
      <c r="DX372" s="26">
        <v>0</v>
      </c>
      <c r="DY372" s="26">
        <v>0</v>
      </c>
      <c r="DZ372" s="26">
        <v>0</v>
      </c>
      <c r="EA372" s="26">
        <v>0</v>
      </c>
      <c r="EB372" s="26">
        <v>0</v>
      </c>
      <c r="EC372" s="26">
        <v>0</v>
      </c>
      <c r="ED372" s="26">
        <v>0</v>
      </c>
      <c r="EE372" s="26">
        <v>0</v>
      </c>
      <c r="EF372" s="26">
        <v>0</v>
      </c>
      <c r="EG372" s="26">
        <v>0</v>
      </c>
      <c r="EH372" s="26">
        <v>0</v>
      </c>
      <c r="EI372" s="26">
        <v>0</v>
      </c>
      <c r="EJ372" s="26">
        <v>0</v>
      </c>
      <c r="EK372" s="26">
        <v>0</v>
      </c>
      <c r="EL372" s="26">
        <v>0</v>
      </c>
      <c r="EM372" s="26">
        <v>0</v>
      </c>
      <c r="EN372" s="26">
        <v>0</v>
      </c>
      <c r="EO372" s="26">
        <v>0</v>
      </c>
      <c r="EP372" s="26">
        <v>0</v>
      </c>
      <c r="EQ372" s="26">
        <v>0</v>
      </c>
      <c r="ER372" s="26">
        <v>0</v>
      </c>
      <c r="ES372" s="26">
        <v>0</v>
      </c>
      <c r="ET372" s="26">
        <v>9.5057454999999997</v>
      </c>
      <c r="EU372" s="26">
        <v>0</v>
      </c>
      <c r="EV372" s="26">
        <v>0</v>
      </c>
      <c r="EW372" s="26">
        <v>0</v>
      </c>
      <c r="EX372" s="26">
        <v>0</v>
      </c>
      <c r="EY372" s="26">
        <v>0</v>
      </c>
      <c r="EZ372" s="26">
        <v>0</v>
      </c>
      <c r="FA372" s="26">
        <v>0</v>
      </c>
      <c r="FB372" s="26">
        <v>0</v>
      </c>
      <c r="FC372" s="26">
        <v>0</v>
      </c>
      <c r="FD372" s="26">
        <v>0</v>
      </c>
      <c r="FE372" s="26">
        <v>0</v>
      </c>
      <c r="FF372" s="26">
        <v>0</v>
      </c>
      <c r="FG372" s="26">
        <v>0</v>
      </c>
      <c r="FH372" s="26">
        <v>-393397.93027900002</v>
      </c>
      <c r="FI372" s="26">
        <v>0</v>
      </c>
      <c r="FJ372" s="26">
        <v>1.6267541491251443E-3</v>
      </c>
      <c r="FK372" s="26">
        <v>0</v>
      </c>
      <c r="FL372" s="26">
        <v>0</v>
      </c>
      <c r="FM372" s="26">
        <v>0</v>
      </c>
      <c r="FN372" s="26">
        <v>0</v>
      </c>
      <c r="FO372" s="26">
        <v>0</v>
      </c>
      <c r="FP372" s="26">
        <v>0</v>
      </c>
      <c r="FQ372" s="26">
        <v>0</v>
      </c>
      <c r="FR372" s="26">
        <v>0</v>
      </c>
      <c r="FS372" s="26">
        <v>0</v>
      </c>
      <c r="FT372" s="26">
        <v>0</v>
      </c>
      <c r="FU372" s="26">
        <v>0</v>
      </c>
      <c r="FV372" s="26">
        <v>0</v>
      </c>
      <c r="FW372" s="26">
        <v>0</v>
      </c>
      <c r="FX372" s="26">
        <v>0</v>
      </c>
      <c r="FY372" s="26">
        <v>0</v>
      </c>
      <c r="FZ372" s="26">
        <v>0</v>
      </c>
      <c r="GA372" s="26">
        <v>0</v>
      </c>
      <c r="GB372" s="26">
        <v>0</v>
      </c>
      <c r="GC372" s="26">
        <v>0</v>
      </c>
      <c r="GD372" s="26">
        <v>0</v>
      </c>
      <c r="GE372" s="26">
        <v>0</v>
      </c>
      <c r="GF372" s="26">
        <v>0</v>
      </c>
      <c r="GG372" s="26">
        <v>0</v>
      </c>
      <c r="GH372" s="26">
        <v>0</v>
      </c>
      <c r="GI372" s="26">
        <v>0</v>
      </c>
      <c r="GJ372" s="26">
        <v>0</v>
      </c>
      <c r="GK372" s="26">
        <v>0</v>
      </c>
      <c r="GL372" s="26">
        <v>0</v>
      </c>
      <c r="GM372" s="26">
        <v>0</v>
      </c>
      <c r="GN372" s="26">
        <v>0</v>
      </c>
      <c r="GO372" s="26">
        <v>0</v>
      </c>
      <c r="GP372" s="26">
        <v>0</v>
      </c>
      <c r="GQ372" s="26">
        <v>0</v>
      </c>
      <c r="GR372" s="26">
        <v>0</v>
      </c>
      <c r="GS372" s="26">
        <v>0</v>
      </c>
      <c r="GT372" s="26">
        <v>0</v>
      </c>
      <c r="GU372" s="26">
        <v>0</v>
      </c>
      <c r="GV372" s="26">
        <v>0</v>
      </c>
      <c r="GW372" s="26">
        <v>0</v>
      </c>
      <c r="GX372" s="26">
        <v>0</v>
      </c>
      <c r="GY372" s="26">
        <v>0</v>
      </c>
      <c r="GZ372" s="26">
        <v>0</v>
      </c>
      <c r="HA372" s="26">
        <v>0</v>
      </c>
      <c r="HB372" s="26">
        <v>0</v>
      </c>
      <c r="HC372" s="26">
        <v>0</v>
      </c>
      <c r="HD372" s="26">
        <v>0</v>
      </c>
      <c r="HE372" s="26">
        <v>0</v>
      </c>
      <c r="HF372" s="26">
        <v>0</v>
      </c>
      <c r="HG372" s="26">
        <v>0</v>
      </c>
      <c r="HH372" s="26">
        <v>0</v>
      </c>
      <c r="HI372" s="26">
        <v>0</v>
      </c>
      <c r="HJ372" s="26">
        <v>0</v>
      </c>
      <c r="HK372" s="26">
        <v>0</v>
      </c>
      <c r="HL372" s="26">
        <v>0</v>
      </c>
      <c r="HM372" s="26">
        <v>0</v>
      </c>
      <c r="HN372" s="26">
        <v>0</v>
      </c>
      <c r="HO372" s="26">
        <v>0</v>
      </c>
      <c r="HP372" s="26">
        <v>0</v>
      </c>
      <c r="HQ372" s="26">
        <v>0</v>
      </c>
      <c r="HR372" s="26">
        <v>0</v>
      </c>
      <c r="HS372" s="26">
        <v>0</v>
      </c>
      <c r="HT372" s="26">
        <v>0</v>
      </c>
    </row>
    <row r="373" spans="2:228" x14ac:dyDescent="0.2">
      <c r="B373" s="27" t="s">
        <v>2444</v>
      </c>
      <c r="C373" s="26">
        <v>101494.299</v>
      </c>
      <c r="D373" s="26">
        <v>-316.73775999999998</v>
      </c>
      <c r="E373" s="26">
        <v>101494.299</v>
      </c>
      <c r="F373" s="26">
        <v>0</v>
      </c>
      <c r="G373" s="26">
        <v>0</v>
      </c>
      <c r="H373" s="26">
        <v>0</v>
      </c>
      <c r="I373" s="26">
        <v>0</v>
      </c>
      <c r="J373" s="26">
        <v>0</v>
      </c>
      <c r="K373" s="26">
        <v>0</v>
      </c>
      <c r="L373" s="26">
        <v>0</v>
      </c>
      <c r="M373" s="26">
        <v>0</v>
      </c>
      <c r="N373" s="26">
        <v>0</v>
      </c>
      <c r="O373" s="26">
        <v>0</v>
      </c>
      <c r="P373" s="26">
        <v>0</v>
      </c>
      <c r="Q373" s="26">
        <v>0</v>
      </c>
      <c r="R373" s="26">
        <v>0</v>
      </c>
      <c r="S373" s="26">
        <v>0</v>
      </c>
      <c r="T373" s="26">
        <v>0</v>
      </c>
      <c r="U373" s="26">
        <v>0</v>
      </c>
      <c r="V373" s="26">
        <v>0</v>
      </c>
      <c r="W373" s="26">
        <v>0</v>
      </c>
      <c r="X373" s="26">
        <v>0</v>
      </c>
      <c r="Y373" s="26">
        <v>0</v>
      </c>
      <c r="Z373" s="26">
        <v>0</v>
      </c>
      <c r="AA373" s="26">
        <v>0</v>
      </c>
      <c r="AB373" s="26">
        <v>0</v>
      </c>
      <c r="AC373" s="26">
        <v>0</v>
      </c>
      <c r="AD373" s="26">
        <v>0</v>
      </c>
      <c r="AE373" s="26">
        <v>0</v>
      </c>
      <c r="AF373" s="26">
        <v>0</v>
      </c>
      <c r="AG373" s="26">
        <v>0</v>
      </c>
      <c r="AH373" s="26">
        <v>0</v>
      </c>
      <c r="AI373" s="26">
        <v>0</v>
      </c>
      <c r="AJ373" s="26">
        <v>0</v>
      </c>
      <c r="AK373" s="26">
        <v>0</v>
      </c>
      <c r="AL373" s="26">
        <v>0</v>
      </c>
      <c r="AM373" s="26">
        <v>0</v>
      </c>
      <c r="AN373" s="26">
        <v>0</v>
      </c>
      <c r="AO373" s="26">
        <v>0</v>
      </c>
      <c r="AP373" s="26">
        <v>0</v>
      </c>
      <c r="AQ373" s="26">
        <v>0</v>
      </c>
      <c r="AR373" s="26">
        <v>0</v>
      </c>
      <c r="AS373" s="26">
        <v>0</v>
      </c>
      <c r="AT373" s="26">
        <v>0</v>
      </c>
      <c r="AU373" s="26">
        <v>0</v>
      </c>
      <c r="AV373" s="26">
        <v>0</v>
      </c>
      <c r="AW373" s="26">
        <v>0</v>
      </c>
      <c r="AX373" s="26">
        <v>0</v>
      </c>
      <c r="AY373" s="26">
        <v>0</v>
      </c>
      <c r="AZ373" s="26">
        <v>0</v>
      </c>
      <c r="BA373" s="26">
        <v>0</v>
      </c>
      <c r="BB373" s="26">
        <v>0</v>
      </c>
      <c r="BC373" s="26">
        <v>0</v>
      </c>
      <c r="BD373" s="26">
        <v>0</v>
      </c>
      <c r="BE373" s="26">
        <v>0</v>
      </c>
      <c r="BF373" s="26">
        <v>0</v>
      </c>
      <c r="BG373" s="26">
        <v>0</v>
      </c>
      <c r="BH373" s="26">
        <v>0</v>
      </c>
      <c r="BI373" s="26">
        <v>0</v>
      </c>
      <c r="BJ373" s="26">
        <v>0</v>
      </c>
      <c r="BK373" s="26">
        <v>0</v>
      </c>
      <c r="BL373" s="26">
        <v>0</v>
      </c>
      <c r="BM373" s="26">
        <v>0</v>
      </c>
      <c r="BN373" s="26">
        <v>0</v>
      </c>
      <c r="BO373" s="26">
        <v>5633.7897199999998</v>
      </c>
      <c r="BP373" s="26">
        <v>101494.299</v>
      </c>
      <c r="BQ373" s="26">
        <v>393693.91499999998</v>
      </c>
      <c r="BR373" s="26">
        <v>232.83522500000004</v>
      </c>
      <c r="BS373" s="26">
        <v>9.5057454999999997</v>
      </c>
      <c r="BT373" s="26">
        <v>1</v>
      </c>
      <c r="BU373" s="26">
        <v>0</v>
      </c>
      <c r="BV373" s="26">
        <v>0</v>
      </c>
      <c r="BW373" s="26">
        <v>-56221.082699999999</v>
      </c>
      <c r="BX373" s="26">
        <v>-3120.7443199999998</v>
      </c>
      <c r="BY373" s="26">
        <v>-316.73775999999998</v>
      </c>
      <c r="BZ373" s="26">
        <v>-10.9986765</v>
      </c>
      <c r="CA373" s="26">
        <v>-0.61051932200000003</v>
      </c>
      <c r="CB373" s="26">
        <v>2.3850125800000001E-4</v>
      </c>
      <c r="CC373" s="26">
        <v>4.2966669499999999E-3</v>
      </c>
      <c r="CD373" s="26">
        <v>18.015280000000001</v>
      </c>
      <c r="CE373" s="26">
        <v>1694.8317199999999</v>
      </c>
      <c r="CF373" s="26">
        <v>0</v>
      </c>
      <c r="CG373" s="26">
        <v>0</v>
      </c>
      <c r="CH373" s="26">
        <v>0</v>
      </c>
      <c r="CI373" s="26">
        <v>0</v>
      </c>
      <c r="CJ373" s="26">
        <v>0</v>
      </c>
      <c r="CK373" s="26">
        <v>0</v>
      </c>
      <c r="CL373" s="26">
        <v>0</v>
      </c>
      <c r="CM373" s="26">
        <v>0</v>
      </c>
      <c r="CN373" s="26">
        <v>0</v>
      </c>
      <c r="CO373" s="26">
        <v>0</v>
      </c>
      <c r="CP373" s="26">
        <v>0</v>
      </c>
      <c r="CQ373" s="26">
        <v>0</v>
      </c>
      <c r="CR373" s="26">
        <v>0</v>
      </c>
      <c r="CS373" s="26">
        <v>0</v>
      </c>
      <c r="CT373" s="26">
        <v>0</v>
      </c>
      <c r="CU373" s="26">
        <v>0</v>
      </c>
      <c r="CV373" s="26">
        <v>0</v>
      </c>
      <c r="CW373" s="26">
        <v>0</v>
      </c>
      <c r="CX373" s="26">
        <v>0</v>
      </c>
      <c r="CY373" s="26">
        <v>0</v>
      </c>
      <c r="CZ373" s="26">
        <v>0</v>
      </c>
      <c r="DA373" s="26">
        <v>0</v>
      </c>
      <c r="DB373" s="26">
        <v>0</v>
      </c>
      <c r="DC373" s="26">
        <v>0</v>
      </c>
      <c r="DD373" s="26">
        <v>0</v>
      </c>
      <c r="DE373" s="26">
        <v>0</v>
      </c>
      <c r="DF373" s="26">
        <v>0</v>
      </c>
      <c r="DG373" s="26">
        <v>0</v>
      </c>
      <c r="DH373" s="26">
        <v>0</v>
      </c>
      <c r="DI373" s="26">
        <v>0</v>
      </c>
      <c r="DJ373" s="26">
        <v>0</v>
      </c>
      <c r="DK373" s="26">
        <v>0</v>
      </c>
      <c r="DL373" s="26">
        <v>0</v>
      </c>
      <c r="DM373" s="26">
        <v>0</v>
      </c>
      <c r="DN373" s="26">
        <v>0</v>
      </c>
      <c r="DO373" s="26">
        <v>0</v>
      </c>
      <c r="DP373" s="26">
        <v>0</v>
      </c>
      <c r="DQ373" s="26">
        <v>0</v>
      </c>
      <c r="DR373" s="26">
        <v>0</v>
      </c>
      <c r="DS373" s="26">
        <v>0</v>
      </c>
      <c r="DT373" s="26">
        <v>0</v>
      </c>
      <c r="DU373" s="26">
        <v>0</v>
      </c>
      <c r="DV373" s="26">
        <v>0</v>
      </c>
      <c r="DW373" s="26">
        <v>0</v>
      </c>
      <c r="DX373" s="26">
        <v>0</v>
      </c>
      <c r="DY373" s="26">
        <v>0</v>
      </c>
      <c r="DZ373" s="26">
        <v>0</v>
      </c>
      <c r="EA373" s="26">
        <v>0</v>
      </c>
      <c r="EB373" s="26">
        <v>0</v>
      </c>
      <c r="EC373" s="26">
        <v>0</v>
      </c>
      <c r="ED373" s="26">
        <v>0</v>
      </c>
      <c r="EE373" s="26">
        <v>0</v>
      </c>
      <c r="EF373" s="26">
        <v>0</v>
      </c>
      <c r="EG373" s="26">
        <v>0</v>
      </c>
      <c r="EH373" s="26">
        <v>0</v>
      </c>
      <c r="EI373" s="26">
        <v>0</v>
      </c>
      <c r="EJ373" s="26">
        <v>0</v>
      </c>
      <c r="EK373" s="26">
        <v>0</v>
      </c>
      <c r="EL373" s="26">
        <v>0</v>
      </c>
      <c r="EM373" s="26">
        <v>0</v>
      </c>
      <c r="EN373" s="26">
        <v>0</v>
      </c>
      <c r="EO373" s="26">
        <v>0</v>
      </c>
      <c r="EP373" s="26">
        <v>0</v>
      </c>
      <c r="EQ373" s="26">
        <v>0</v>
      </c>
      <c r="ER373" s="26">
        <v>0</v>
      </c>
      <c r="ES373" s="26">
        <v>0</v>
      </c>
      <c r="ET373" s="26">
        <v>9.5057454999999997</v>
      </c>
      <c r="EU373" s="26">
        <v>0</v>
      </c>
      <c r="EV373" s="26">
        <v>0</v>
      </c>
      <c r="EW373" s="26">
        <v>0</v>
      </c>
      <c r="EX373" s="26">
        <v>0</v>
      </c>
      <c r="EY373" s="26">
        <v>0</v>
      </c>
      <c r="EZ373" s="26">
        <v>0</v>
      </c>
      <c r="FA373" s="26">
        <v>0</v>
      </c>
      <c r="FB373" s="26">
        <v>0</v>
      </c>
      <c r="FC373" s="26">
        <v>0</v>
      </c>
      <c r="FD373" s="26">
        <v>0</v>
      </c>
      <c r="FE373" s="26">
        <v>0</v>
      </c>
      <c r="FF373" s="26">
        <v>0</v>
      </c>
      <c r="FG373" s="26">
        <v>0</v>
      </c>
      <c r="FH373" s="26">
        <v>-378449802.89099997</v>
      </c>
      <c r="FI373" s="26">
        <v>0</v>
      </c>
      <c r="FJ373" s="26">
        <v>1.5649416014084216</v>
      </c>
      <c r="FK373" s="26">
        <v>0</v>
      </c>
      <c r="FL373" s="26">
        <v>0</v>
      </c>
      <c r="FM373" s="26">
        <v>0</v>
      </c>
      <c r="FN373" s="26">
        <v>0</v>
      </c>
      <c r="FO373" s="26">
        <v>0</v>
      </c>
      <c r="FP373" s="26">
        <v>0</v>
      </c>
      <c r="FQ373" s="26">
        <v>0</v>
      </c>
      <c r="FR373" s="26">
        <v>0</v>
      </c>
      <c r="FS373" s="26">
        <v>0</v>
      </c>
      <c r="FT373" s="26">
        <v>0</v>
      </c>
      <c r="FU373" s="26">
        <v>0</v>
      </c>
      <c r="FV373" s="26">
        <v>0</v>
      </c>
      <c r="FW373" s="26">
        <v>0</v>
      </c>
      <c r="FX373" s="26">
        <v>0</v>
      </c>
      <c r="FY373" s="26">
        <v>0</v>
      </c>
      <c r="FZ373" s="26">
        <v>0</v>
      </c>
      <c r="GA373" s="26">
        <v>0</v>
      </c>
      <c r="GB373" s="26">
        <v>0</v>
      </c>
      <c r="GC373" s="26">
        <v>0</v>
      </c>
      <c r="GD373" s="26">
        <v>0</v>
      </c>
      <c r="GE373" s="26">
        <v>0</v>
      </c>
      <c r="GF373" s="26">
        <v>0</v>
      </c>
      <c r="GG373" s="26">
        <v>0</v>
      </c>
      <c r="GH373" s="26">
        <v>0</v>
      </c>
      <c r="GI373" s="26">
        <v>0</v>
      </c>
      <c r="GJ373" s="26">
        <v>0</v>
      </c>
      <c r="GK373" s="26">
        <v>0</v>
      </c>
      <c r="GL373" s="26">
        <v>0</v>
      </c>
      <c r="GM373" s="26">
        <v>0</v>
      </c>
      <c r="GN373" s="26">
        <v>0</v>
      </c>
      <c r="GO373" s="26">
        <v>0</v>
      </c>
      <c r="GP373" s="26">
        <v>0</v>
      </c>
      <c r="GQ373" s="26">
        <v>0</v>
      </c>
      <c r="GR373" s="26">
        <v>0</v>
      </c>
      <c r="GS373" s="26">
        <v>0</v>
      </c>
      <c r="GT373" s="26">
        <v>0</v>
      </c>
      <c r="GU373" s="26">
        <v>0</v>
      </c>
      <c r="GV373" s="26">
        <v>0</v>
      </c>
      <c r="GW373" s="26">
        <v>0</v>
      </c>
      <c r="GX373" s="26">
        <v>0</v>
      </c>
      <c r="GY373" s="26">
        <v>0</v>
      </c>
      <c r="GZ373" s="26">
        <v>0</v>
      </c>
      <c r="HA373" s="26">
        <v>0</v>
      </c>
      <c r="HB373" s="26">
        <v>0</v>
      </c>
      <c r="HC373" s="26">
        <v>0</v>
      </c>
      <c r="HD373" s="26">
        <v>0</v>
      </c>
      <c r="HE373" s="26">
        <v>0</v>
      </c>
      <c r="HF373" s="26">
        <v>0</v>
      </c>
      <c r="HG373" s="26">
        <v>0</v>
      </c>
      <c r="HH373" s="26">
        <v>0</v>
      </c>
      <c r="HI373" s="26">
        <v>0</v>
      </c>
      <c r="HJ373" s="26">
        <v>0</v>
      </c>
      <c r="HK373" s="26">
        <v>0</v>
      </c>
      <c r="HL373" s="26">
        <v>0</v>
      </c>
      <c r="HM373" s="26">
        <v>0</v>
      </c>
      <c r="HN373" s="26">
        <v>0</v>
      </c>
      <c r="HO373" s="26">
        <v>0</v>
      </c>
      <c r="HP373" s="26">
        <v>0</v>
      </c>
      <c r="HQ373" s="26">
        <v>0</v>
      </c>
      <c r="HR373" s="26">
        <v>0</v>
      </c>
      <c r="HS373" s="26">
        <v>0</v>
      </c>
      <c r="HT373" s="26">
        <v>0</v>
      </c>
    </row>
    <row r="374" spans="2:228" x14ac:dyDescent="0.2">
      <c r="B374" s="27" t="s">
        <v>1458</v>
      </c>
      <c r="C374" s="26">
        <v>101494.299</v>
      </c>
      <c r="D374" s="26">
        <v>-331.73664200000002</v>
      </c>
      <c r="E374" s="26">
        <v>101494.299</v>
      </c>
      <c r="F374" s="26">
        <v>0</v>
      </c>
      <c r="G374" s="26">
        <v>0</v>
      </c>
      <c r="H374" s="26">
        <v>0</v>
      </c>
      <c r="I374" s="26">
        <v>0</v>
      </c>
      <c r="J374" s="26">
        <v>0</v>
      </c>
      <c r="K374" s="26">
        <v>0</v>
      </c>
      <c r="L374" s="26">
        <v>0</v>
      </c>
      <c r="M374" s="26">
        <v>0</v>
      </c>
      <c r="N374" s="26">
        <v>0</v>
      </c>
      <c r="O374" s="26">
        <v>0</v>
      </c>
      <c r="P374" s="26">
        <v>0</v>
      </c>
      <c r="Q374" s="26">
        <v>0</v>
      </c>
      <c r="R374" s="26">
        <v>0</v>
      </c>
      <c r="S374" s="26">
        <v>0</v>
      </c>
      <c r="T374" s="26">
        <v>0</v>
      </c>
      <c r="U374" s="26">
        <v>0</v>
      </c>
      <c r="V374" s="26">
        <v>0</v>
      </c>
      <c r="W374" s="26">
        <v>0</v>
      </c>
      <c r="X374" s="26">
        <v>0</v>
      </c>
      <c r="Y374" s="26">
        <v>0</v>
      </c>
      <c r="Z374" s="26">
        <v>0</v>
      </c>
      <c r="AA374" s="26">
        <v>0</v>
      </c>
      <c r="AB374" s="26">
        <v>0</v>
      </c>
      <c r="AC374" s="26">
        <v>0</v>
      </c>
      <c r="AD374" s="26">
        <v>0</v>
      </c>
      <c r="AE374" s="26">
        <v>0</v>
      </c>
      <c r="AF374" s="26">
        <v>0</v>
      </c>
      <c r="AG374" s="26">
        <v>0</v>
      </c>
      <c r="AH374" s="26">
        <v>0</v>
      </c>
      <c r="AI374" s="26">
        <v>0</v>
      </c>
      <c r="AJ374" s="26">
        <v>0</v>
      </c>
      <c r="AK374" s="26">
        <v>0</v>
      </c>
      <c r="AL374" s="26">
        <v>0</v>
      </c>
      <c r="AM374" s="26">
        <v>0</v>
      </c>
      <c r="AN374" s="26">
        <v>0</v>
      </c>
      <c r="AO374" s="26">
        <v>0</v>
      </c>
      <c r="AP374" s="26">
        <v>0</v>
      </c>
      <c r="AQ374" s="26">
        <v>0</v>
      </c>
      <c r="AR374" s="26">
        <v>0</v>
      </c>
      <c r="AS374" s="26">
        <v>0</v>
      </c>
      <c r="AT374" s="26">
        <v>0</v>
      </c>
      <c r="AU374" s="26">
        <v>0</v>
      </c>
      <c r="AV374" s="26">
        <v>0</v>
      </c>
      <c r="AW374" s="26">
        <v>0</v>
      </c>
      <c r="AX374" s="26">
        <v>0</v>
      </c>
      <c r="AY374" s="26">
        <v>0</v>
      </c>
      <c r="AZ374" s="26">
        <v>0</v>
      </c>
      <c r="BA374" s="26">
        <v>0</v>
      </c>
      <c r="BB374" s="26">
        <v>0</v>
      </c>
      <c r="BC374" s="26">
        <v>0</v>
      </c>
      <c r="BD374" s="26">
        <v>0</v>
      </c>
      <c r="BE374" s="26">
        <v>0</v>
      </c>
      <c r="BF374" s="26">
        <v>0</v>
      </c>
      <c r="BG374" s="26">
        <v>0</v>
      </c>
      <c r="BH374" s="26">
        <v>0</v>
      </c>
      <c r="BI374" s="26">
        <v>0</v>
      </c>
      <c r="BJ374" s="26">
        <v>0</v>
      </c>
      <c r="BK374" s="26">
        <v>0</v>
      </c>
      <c r="BL374" s="26">
        <v>0</v>
      </c>
      <c r="BM374" s="26">
        <v>0</v>
      </c>
      <c r="BN374" s="26">
        <v>0</v>
      </c>
      <c r="BO374" s="26">
        <v>5633.7897199999998</v>
      </c>
      <c r="BP374" s="26">
        <v>101494.299</v>
      </c>
      <c r="BQ374" s="26">
        <v>21455207.5</v>
      </c>
      <c r="BR374" s="26">
        <v>46.089356399999986</v>
      </c>
      <c r="BS374" s="26">
        <v>0.1</v>
      </c>
      <c r="BT374" s="26">
        <v>0.87504087799999997</v>
      </c>
      <c r="BU374" s="26">
        <v>0.12495912200000001</v>
      </c>
      <c r="BV374" s="26">
        <v>0</v>
      </c>
      <c r="BW374" s="26">
        <v>-58883.390399999997</v>
      </c>
      <c r="BX374" s="26">
        <v>-3268.5248499999998</v>
      </c>
      <c r="BY374" s="26">
        <v>-331.73664200000002</v>
      </c>
      <c r="BZ374" s="26">
        <v>-9.5269883400000008</v>
      </c>
      <c r="CA374" s="26">
        <v>-0.52882821400000002</v>
      </c>
      <c r="CB374" s="26">
        <v>4.3763964700000003E-6</v>
      </c>
      <c r="CC374" s="26">
        <v>7.88420078E-5</v>
      </c>
      <c r="CD374" s="26">
        <v>18.015280000000001</v>
      </c>
      <c r="CE374" s="26">
        <v>1694.8317199999999</v>
      </c>
      <c r="CF374" s="26">
        <v>0</v>
      </c>
      <c r="CG374" s="26">
        <v>0</v>
      </c>
      <c r="CH374" s="26">
        <v>0</v>
      </c>
      <c r="CI374" s="26">
        <v>0</v>
      </c>
      <c r="CJ374" s="26">
        <v>0</v>
      </c>
      <c r="CK374" s="26">
        <v>0</v>
      </c>
      <c r="CL374" s="26">
        <v>0</v>
      </c>
      <c r="CM374" s="26">
        <v>0</v>
      </c>
      <c r="CN374" s="26">
        <v>0</v>
      </c>
      <c r="CO374" s="26">
        <v>0</v>
      </c>
      <c r="CP374" s="26">
        <v>0</v>
      </c>
      <c r="CQ374" s="26">
        <v>0</v>
      </c>
      <c r="CR374" s="26">
        <v>0</v>
      </c>
      <c r="CS374" s="26">
        <v>0</v>
      </c>
      <c r="CT374" s="26">
        <v>0</v>
      </c>
      <c r="CU374" s="26">
        <v>0</v>
      </c>
      <c r="CV374" s="26">
        <v>0</v>
      </c>
      <c r="CW374" s="26">
        <v>0</v>
      </c>
      <c r="CX374" s="26">
        <v>0</v>
      </c>
      <c r="CY374" s="26">
        <v>0</v>
      </c>
      <c r="CZ374" s="26">
        <v>0</v>
      </c>
      <c r="DA374" s="26">
        <v>0</v>
      </c>
      <c r="DB374" s="26">
        <v>0</v>
      </c>
      <c r="DC374" s="26">
        <v>0</v>
      </c>
      <c r="DD374" s="26">
        <v>0</v>
      </c>
      <c r="DE374" s="26">
        <v>0</v>
      </c>
      <c r="DF374" s="26">
        <v>0</v>
      </c>
      <c r="DG374" s="26">
        <v>0</v>
      </c>
      <c r="DH374" s="26">
        <v>0</v>
      </c>
      <c r="DI374" s="26">
        <v>0</v>
      </c>
      <c r="DJ374" s="26">
        <v>0</v>
      </c>
      <c r="DK374" s="26">
        <v>0</v>
      </c>
      <c r="DL374" s="26">
        <v>0</v>
      </c>
      <c r="DM374" s="26">
        <v>0</v>
      </c>
      <c r="DN374" s="26">
        <v>0</v>
      </c>
      <c r="DO374" s="26">
        <v>0</v>
      </c>
      <c r="DP374" s="26">
        <v>0</v>
      </c>
      <c r="DQ374" s="26">
        <v>0</v>
      </c>
      <c r="DR374" s="26">
        <v>0</v>
      </c>
      <c r="DS374" s="26">
        <v>0</v>
      </c>
      <c r="DT374" s="26">
        <v>0</v>
      </c>
      <c r="DU374" s="26">
        <v>0</v>
      </c>
      <c r="DV374" s="26">
        <v>0</v>
      </c>
      <c r="DW374" s="26">
        <v>0</v>
      </c>
      <c r="DX374" s="26">
        <v>0</v>
      </c>
      <c r="DY374" s="26">
        <v>0</v>
      </c>
      <c r="DZ374" s="26">
        <v>0</v>
      </c>
      <c r="EA374" s="26">
        <v>0</v>
      </c>
      <c r="EB374" s="26">
        <v>0</v>
      </c>
      <c r="EC374" s="26">
        <v>0</v>
      </c>
      <c r="ED374" s="26">
        <v>0</v>
      </c>
      <c r="EE374" s="26">
        <v>0</v>
      </c>
      <c r="EF374" s="26">
        <v>0</v>
      </c>
      <c r="EG374" s="26">
        <v>0</v>
      </c>
      <c r="EH374" s="26">
        <v>0</v>
      </c>
      <c r="EI374" s="26">
        <v>0</v>
      </c>
      <c r="EJ374" s="26">
        <v>0</v>
      </c>
      <c r="EK374" s="26">
        <v>0</v>
      </c>
      <c r="EL374" s="26">
        <v>0</v>
      </c>
      <c r="EM374" s="26">
        <v>0</v>
      </c>
      <c r="EN374" s="26">
        <v>0</v>
      </c>
      <c r="EO374" s="26">
        <v>0</v>
      </c>
      <c r="EP374" s="26">
        <v>0</v>
      </c>
      <c r="EQ374" s="26">
        <v>0</v>
      </c>
      <c r="ER374" s="26">
        <v>0</v>
      </c>
      <c r="ES374" s="26">
        <v>0</v>
      </c>
      <c r="ET374" s="26">
        <v>0.1</v>
      </c>
      <c r="EU374" s="26">
        <v>0</v>
      </c>
      <c r="EV374" s="26">
        <v>0</v>
      </c>
      <c r="EW374" s="26">
        <v>0</v>
      </c>
      <c r="EX374" s="26">
        <v>0</v>
      </c>
      <c r="EY374" s="26">
        <v>0</v>
      </c>
      <c r="EZ374" s="26">
        <v>0</v>
      </c>
      <c r="FA374" s="26">
        <v>0</v>
      </c>
      <c r="FB374" s="26">
        <v>0</v>
      </c>
      <c r="FC374" s="26">
        <v>0</v>
      </c>
      <c r="FD374" s="26">
        <v>0</v>
      </c>
      <c r="FE374" s="26">
        <v>0</v>
      </c>
      <c r="FF374" s="26">
        <v>0</v>
      </c>
      <c r="FG374" s="26">
        <v>0</v>
      </c>
      <c r="FH374" s="26">
        <v>-387053047.708</v>
      </c>
      <c r="FI374" s="26">
        <v>0</v>
      </c>
      <c r="FJ374" s="26">
        <v>1.369387872066214</v>
      </c>
      <c r="FK374" s="26">
        <v>0</v>
      </c>
      <c r="FL374" s="26">
        <v>0</v>
      </c>
      <c r="FM374" s="26">
        <v>0</v>
      </c>
      <c r="FN374" s="26">
        <v>0</v>
      </c>
      <c r="FO374" s="26">
        <v>0</v>
      </c>
      <c r="FP374" s="26">
        <v>0</v>
      </c>
      <c r="FQ374" s="26">
        <v>0</v>
      </c>
      <c r="FR374" s="26">
        <v>0</v>
      </c>
      <c r="FS374" s="26">
        <v>0</v>
      </c>
      <c r="FT374" s="26">
        <v>0</v>
      </c>
      <c r="FU374" s="26">
        <v>0</v>
      </c>
      <c r="FV374" s="26">
        <v>0</v>
      </c>
      <c r="FW374" s="26">
        <v>0</v>
      </c>
      <c r="FX374" s="26">
        <v>0</v>
      </c>
      <c r="FY374" s="26">
        <v>0</v>
      </c>
      <c r="FZ374" s="26">
        <v>0</v>
      </c>
      <c r="GA374" s="26">
        <v>0</v>
      </c>
      <c r="GB374" s="26">
        <v>0</v>
      </c>
      <c r="GC374" s="26">
        <v>0</v>
      </c>
      <c r="GD374" s="26">
        <v>0</v>
      </c>
      <c r="GE374" s="26">
        <v>0</v>
      </c>
      <c r="GF374" s="26">
        <v>0</v>
      </c>
      <c r="GG374" s="26">
        <v>0</v>
      </c>
      <c r="GH374" s="26">
        <v>0</v>
      </c>
      <c r="GI374" s="26">
        <v>0</v>
      </c>
      <c r="GJ374" s="26">
        <v>0</v>
      </c>
      <c r="GK374" s="26">
        <v>0</v>
      </c>
      <c r="GL374" s="26">
        <v>0</v>
      </c>
      <c r="GM374" s="26">
        <v>0</v>
      </c>
      <c r="GN374" s="26">
        <v>0</v>
      </c>
      <c r="GO374" s="26">
        <v>0</v>
      </c>
      <c r="GP374" s="26">
        <v>0</v>
      </c>
      <c r="GQ374" s="26">
        <v>0</v>
      </c>
      <c r="GR374" s="26">
        <v>0</v>
      </c>
      <c r="GS374" s="26">
        <v>0</v>
      </c>
      <c r="GT374" s="26">
        <v>0</v>
      </c>
      <c r="GU374" s="26">
        <v>0</v>
      </c>
      <c r="GV374" s="26">
        <v>0</v>
      </c>
      <c r="GW374" s="26">
        <v>0</v>
      </c>
      <c r="GX374" s="26">
        <v>0</v>
      </c>
      <c r="GY374" s="26">
        <v>0</v>
      </c>
      <c r="GZ374" s="26">
        <v>0</v>
      </c>
      <c r="HA374" s="26">
        <v>0</v>
      </c>
      <c r="HB374" s="26">
        <v>0</v>
      </c>
      <c r="HC374" s="26">
        <v>0</v>
      </c>
      <c r="HD374" s="26">
        <v>0</v>
      </c>
      <c r="HE374" s="26">
        <v>0</v>
      </c>
      <c r="HF374" s="26">
        <v>0</v>
      </c>
      <c r="HG374" s="26">
        <v>0</v>
      </c>
      <c r="HH374" s="26">
        <v>0</v>
      </c>
      <c r="HI374" s="26">
        <v>0</v>
      </c>
      <c r="HJ374" s="26">
        <v>0</v>
      </c>
      <c r="HK374" s="26">
        <v>0</v>
      </c>
      <c r="HL374" s="26">
        <v>0</v>
      </c>
      <c r="HM374" s="26">
        <v>0</v>
      </c>
      <c r="HN374" s="26">
        <v>0</v>
      </c>
      <c r="HO374" s="26">
        <v>0</v>
      </c>
      <c r="HP374" s="26">
        <v>0</v>
      </c>
      <c r="HQ374" s="26">
        <v>0</v>
      </c>
      <c r="HR374" s="26">
        <v>0</v>
      </c>
      <c r="HS374" s="26">
        <v>0</v>
      </c>
      <c r="HT374" s="26">
        <v>0</v>
      </c>
    </row>
    <row r="375" spans="2:228" x14ac:dyDescent="0.2">
      <c r="B375" s="27" t="s">
        <v>1449</v>
      </c>
      <c r="C375" s="26">
        <v>101494.299</v>
      </c>
      <c r="D375" s="26">
        <v>-382.47395699999998</v>
      </c>
      <c r="E375" s="26">
        <v>101494.299</v>
      </c>
      <c r="F375" s="26">
        <v>0</v>
      </c>
      <c r="G375" s="26">
        <v>0</v>
      </c>
      <c r="H375" s="26">
        <v>0</v>
      </c>
      <c r="I375" s="26">
        <v>0</v>
      </c>
      <c r="J375" s="26">
        <v>0</v>
      </c>
      <c r="K375" s="26">
        <v>0</v>
      </c>
      <c r="L375" s="26">
        <v>0</v>
      </c>
      <c r="M375" s="26">
        <v>0</v>
      </c>
      <c r="N375" s="26">
        <v>0</v>
      </c>
      <c r="O375" s="26">
        <v>0</v>
      </c>
      <c r="P375" s="26">
        <v>0</v>
      </c>
      <c r="Q375" s="26">
        <v>0</v>
      </c>
      <c r="R375" s="26">
        <v>0</v>
      </c>
      <c r="S375" s="26">
        <v>0</v>
      </c>
      <c r="T375" s="26">
        <v>0</v>
      </c>
      <c r="U375" s="26">
        <v>0</v>
      </c>
      <c r="V375" s="26">
        <v>0</v>
      </c>
      <c r="W375" s="26">
        <v>0</v>
      </c>
      <c r="X375" s="26">
        <v>0</v>
      </c>
      <c r="Y375" s="26">
        <v>0</v>
      </c>
      <c r="Z375" s="26">
        <v>0</v>
      </c>
      <c r="AA375" s="26">
        <v>0</v>
      </c>
      <c r="AB375" s="26">
        <v>0</v>
      </c>
      <c r="AC375" s="26">
        <v>0</v>
      </c>
      <c r="AD375" s="26">
        <v>0</v>
      </c>
      <c r="AE375" s="26">
        <v>0</v>
      </c>
      <c r="AF375" s="26">
        <v>0</v>
      </c>
      <c r="AG375" s="26">
        <v>0</v>
      </c>
      <c r="AH375" s="26">
        <v>0</v>
      </c>
      <c r="AI375" s="26">
        <v>0</v>
      </c>
      <c r="AJ375" s="26">
        <v>0</v>
      </c>
      <c r="AK375" s="26">
        <v>0</v>
      </c>
      <c r="AL375" s="26">
        <v>0</v>
      </c>
      <c r="AM375" s="26">
        <v>0</v>
      </c>
      <c r="AN375" s="26">
        <v>0</v>
      </c>
      <c r="AO375" s="26">
        <v>0</v>
      </c>
      <c r="AP375" s="26">
        <v>0</v>
      </c>
      <c r="AQ375" s="26">
        <v>0</v>
      </c>
      <c r="AR375" s="26">
        <v>0</v>
      </c>
      <c r="AS375" s="26">
        <v>0</v>
      </c>
      <c r="AT375" s="26">
        <v>0</v>
      </c>
      <c r="AU375" s="26">
        <v>0</v>
      </c>
      <c r="AV375" s="26">
        <v>0</v>
      </c>
      <c r="AW375" s="26">
        <v>0</v>
      </c>
      <c r="AX375" s="26">
        <v>0</v>
      </c>
      <c r="AY375" s="26">
        <v>0</v>
      </c>
      <c r="AZ375" s="26">
        <v>0</v>
      </c>
      <c r="BA375" s="26">
        <v>0</v>
      </c>
      <c r="BB375" s="26">
        <v>0</v>
      </c>
      <c r="BC375" s="26">
        <v>0</v>
      </c>
      <c r="BD375" s="26">
        <v>0</v>
      </c>
      <c r="BE375" s="26">
        <v>0</v>
      </c>
      <c r="BF375" s="26">
        <v>0</v>
      </c>
      <c r="BG375" s="26">
        <v>0</v>
      </c>
      <c r="BH375" s="26">
        <v>0</v>
      </c>
      <c r="BI375" s="26">
        <v>0</v>
      </c>
      <c r="BJ375" s="26">
        <v>0</v>
      </c>
      <c r="BK375" s="26">
        <v>0</v>
      </c>
      <c r="BL375" s="26">
        <v>0</v>
      </c>
      <c r="BM375" s="26">
        <v>0</v>
      </c>
      <c r="BN375" s="26">
        <v>0</v>
      </c>
      <c r="BO375" s="26">
        <v>5633.7897199999998</v>
      </c>
      <c r="BP375" s="26">
        <v>101494.299</v>
      </c>
      <c r="BQ375" s="26">
        <v>1709.0524499999999</v>
      </c>
      <c r="BR375" s="26">
        <v>46.089356399999986</v>
      </c>
      <c r="BS375" s="26">
        <v>0.1</v>
      </c>
      <c r="BT375" s="26">
        <v>0</v>
      </c>
      <c r="BU375" s="26">
        <v>1</v>
      </c>
      <c r="BV375" s="26">
        <v>0</v>
      </c>
      <c r="BW375" s="26">
        <v>-67889.284700000004</v>
      </c>
      <c r="BX375" s="26">
        <v>-3768.4279499999998</v>
      </c>
      <c r="BY375" s="26">
        <v>-382.47395699999998</v>
      </c>
      <c r="BZ375" s="26">
        <v>-37.737572</v>
      </c>
      <c r="CA375" s="26">
        <v>-2.09475356</v>
      </c>
      <c r="CB375" s="26">
        <v>5.49406744E-2</v>
      </c>
      <c r="CC375" s="26">
        <v>0.98977163300000004</v>
      </c>
      <c r="CD375" s="26">
        <v>18.015280000000001</v>
      </c>
      <c r="CE375" s="26">
        <v>1694.8317199999999</v>
      </c>
      <c r="CF375" s="26">
        <v>0</v>
      </c>
      <c r="CG375" s="26">
        <v>0</v>
      </c>
      <c r="CH375" s="26">
        <v>0</v>
      </c>
      <c r="CI375" s="26">
        <v>0</v>
      </c>
      <c r="CJ375" s="26">
        <v>0</v>
      </c>
      <c r="CK375" s="26">
        <v>0</v>
      </c>
      <c r="CL375" s="26">
        <v>0</v>
      </c>
      <c r="CM375" s="26">
        <v>0</v>
      </c>
      <c r="CN375" s="26">
        <v>0</v>
      </c>
      <c r="CO375" s="26">
        <v>0</v>
      </c>
      <c r="CP375" s="26">
        <v>0</v>
      </c>
      <c r="CQ375" s="26">
        <v>0</v>
      </c>
      <c r="CR375" s="26">
        <v>0</v>
      </c>
      <c r="CS375" s="26">
        <v>0</v>
      </c>
      <c r="CT375" s="26">
        <v>0</v>
      </c>
      <c r="CU375" s="26">
        <v>0</v>
      </c>
      <c r="CV375" s="26">
        <v>0</v>
      </c>
      <c r="CW375" s="26">
        <v>0</v>
      </c>
      <c r="CX375" s="26">
        <v>0</v>
      </c>
      <c r="CY375" s="26">
        <v>0</v>
      </c>
      <c r="CZ375" s="26">
        <v>0</v>
      </c>
      <c r="DA375" s="26">
        <v>0</v>
      </c>
      <c r="DB375" s="26">
        <v>0</v>
      </c>
      <c r="DC375" s="26">
        <v>0</v>
      </c>
      <c r="DD375" s="26">
        <v>0</v>
      </c>
      <c r="DE375" s="26">
        <v>0</v>
      </c>
      <c r="DF375" s="26">
        <v>0</v>
      </c>
      <c r="DG375" s="26">
        <v>0</v>
      </c>
      <c r="DH375" s="26">
        <v>0</v>
      </c>
      <c r="DI375" s="26">
        <v>0</v>
      </c>
      <c r="DJ375" s="26">
        <v>0</v>
      </c>
      <c r="DK375" s="26">
        <v>0</v>
      </c>
      <c r="DL375" s="26">
        <v>0</v>
      </c>
      <c r="DM375" s="26">
        <v>0</v>
      </c>
      <c r="DN375" s="26">
        <v>0</v>
      </c>
      <c r="DO375" s="26">
        <v>0</v>
      </c>
      <c r="DP375" s="26">
        <v>0</v>
      </c>
      <c r="DQ375" s="26">
        <v>0</v>
      </c>
      <c r="DR375" s="26">
        <v>0</v>
      </c>
      <c r="DS375" s="26">
        <v>0</v>
      </c>
      <c r="DT375" s="26">
        <v>0</v>
      </c>
      <c r="DU375" s="26">
        <v>0</v>
      </c>
      <c r="DV375" s="26">
        <v>0</v>
      </c>
      <c r="DW375" s="26">
        <v>0</v>
      </c>
      <c r="DX375" s="26">
        <v>0</v>
      </c>
      <c r="DY375" s="26">
        <v>0</v>
      </c>
      <c r="DZ375" s="26">
        <v>0</v>
      </c>
      <c r="EA375" s="26">
        <v>0</v>
      </c>
      <c r="EB375" s="26">
        <v>0</v>
      </c>
      <c r="EC375" s="26">
        <v>0</v>
      </c>
      <c r="ED375" s="26">
        <v>0</v>
      </c>
      <c r="EE375" s="26">
        <v>0</v>
      </c>
      <c r="EF375" s="26">
        <v>0</v>
      </c>
      <c r="EG375" s="26">
        <v>0</v>
      </c>
      <c r="EH375" s="26">
        <v>0</v>
      </c>
      <c r="EI375" s="26">
        <v>0</v>
      </c>
      <c r="EJ375" s="26">
        <v>0</v>
      </c>
      <c r="EK375" s="26">
        <v>0</v>
      </c>
      <c r="EL375" s="26">
        <v>0</v>
      </c>
      <c r="EM375" s="26">
        <v>0</v>
      </c>
      <c r="EN375" s="26">
        <v>0</v>
      </c>
      <c r="EO375" s="26">
        <v>0</v>
      </c>
      <c r="EP375" s="26">
        <v>0</v>
      </c>
      <c r="EQ375" s="26">
        <v>0</v>
      </c>
      <c r="ER375" s="26">
        <v>0</v>
      </c>
      <c r="ES375" s="26">
        <v>0</v>
      </c>
      <c r="ET375" s="26">
        <v>0.1</v>
      </c>
      <c r="EU375" s="26">
        <v>0</v>
      </c>
      <c r="EV375" s="26">
        <v>0</v>
      </c>
      <c r="EW375" s="26">
        <v>0</v>
      </c>
      <c r="EX375" s="26">
        <v>0</v>
      </c>
      <c r="EY375" s="26">
        <v>0</v>
      </c>
      <c r="EZ375" s="26">
        <v>0</v>
      </c>
      <c r="FA375" s="26">
        <v>0</v>
      </c>
      <c r="FB375" s="26">
        <v>0</v>
      </c>
      <c r="FC375" s="26">
        <v>0</v>
      </c>
      <c r="FD375" s="26">
        <v>0</v>
      </c>
      <c r="FE375" s="26">
        <v>0</v>
      </c>
      <c r="FF375" s="26">
        <v>0</v>
      </c>
      <c r="FG375" s="26">
        <v>0</v>
      </c>
      <c r="FH375" s="26">
        <v>-447298277.10699999</v>
      </c>
      <c r="FI375" s="26">
        <v>0</v>
      </c>
      <c r="FJ375" s="26">
        <v>0</v>
      </c>
      <c r="FK375" s="26">
        <v>0</v>
      </c>
      <c r="FL375" s="26">
        <v>0</v>
      </c>
      <c r="FM375" s="26">
        <v>0</v>
      </c>
      <c r="FN375" s="26">
        <v>0</v>
      </c>
      <c r="FO375" s="26">
        <v>0</v>
      </c>
      <c r="FP375" s="26">
        <v>0</v>
      </c>
      <c r="FQ375" s="26">
        <v>0</v>
      </c>
      <c r="FR375" s="26">
        <v>0</v>
      </c>
      <c r="FS375" s="26">
        <v>0</v>
      </c>
      <c r="FT375" s="26">
        <v>0</v>
      </c>
      <c r="FU375" s="26">
        <v>0</v>
      </c>
      <c r="FV375" s="26">
        <v>0</v>
      </c>
      <c r="FW375" s="26">
        <v>0</v>
      </c>
      <c r="FX375" s="26">
        <v>0</v>
      </c>
      <c r="FY375" s="26">
        <v>0</v>
      </c>
      <c r="FZ375" s="26">
        <v>0</v>
      </c>
      <c r="GA375" s="26">
        <v>0</v>
      </c>
      <c r="GB375" s="26">
        <v>0</v>
      </c>
      <c r="GC375" s="26">
        <v>0</v>
      </c>
      <c r="GD375" s="26">
        <v>0</v>
      </c>
      <c r="GE375" s="26">
        <v>0</v>
      </c>
      <c r="GF375" s="26">
        <v>0</v>
      </c>
      <c r="GG375" s="26">
        <v>0</v>
      </c>
      <c r="GH375" s="26">
        <v>0</v>
      </c>
      <c r="GI375" s="26">
        <v>0</v>
      </c>
      <c r="GJ375" s="26">
        <v>0</v>
      </c>
      <c r="GK375" s="26">
        <v>0</v>
      </c>
      <c r="GL375" s="26">
        <v>0</v>
      </c>
      <c r="GM375" s="26">
        <v>0</v>
      </c>
      <c r="GN375" s="26">
        <v>0</v>
      </c>
      <c r="GO375" s="26">
        <v>0</v>
      </c>
      <c r="GP375" s="26">
        <v>0</v>
      </c>
      <c r="GQ375" s="26">
        <v>0</v>
      </c>
      <c r="GR375" s="26">
        <v>0</v>
      </c>
      <c r="GS375" s="26">
        <v>0</v>
      </c>
      <c r="GT375" s="26">
        <v>0</v>
      </c>
      <c r="GU375" s="26">
        <v>0</v>
      </c>
      <c r="GV375" s="26">
        <v>0</v>
      </c>
      <c r="GW375" s="26">
        <v>0</v>
      </c>
      <c r="GX375" s="26">
        <v>0</v>
      </c>
      <c r="GY375" s="26">
        <v>0</v>
      </c>
      <c r="GZ375" s="26">
        <v>0</v>
      </c>
      <c r="HA375" s="26">
        <v>0</v>
      </c>
      <c r="HB375" s="26">
        <v>0</v>
      </c>
      <c r="HC375" s="26">
        <v>0</v>
      </c>
      <c r="HD375" s="26">
        <v>0</v>
      </c>
      <c r="HE375" s="26">
        <v>0</v>
      </c>
      <c r="HF375" s="26">
        <v>0</v>
      </c>
      <c r="HG375" s="26">
        <v>0</v>
      </c>
      <c r="HH375" s="26">
        <v>0</v>
      </c>
      <c r="HI375" s="26">
        <v>0</v>
      </c>
      <c r="HJ375" s="26">
        <v>0</v>
      </c>
      <c r="HK375" s="26">
        <v>0</v>
      </c>
      <c r="HL375" s="26">
        <v>0</v>
      </c>
      <c r="HM375" s="26">
        <v>0</v>
      </c>
      <c r="HN375" s="26">
        <v>0</v>
      </c>
      <c r="HO375" s="26">
        <v>0</v>
      </c>
      <c r="HP375" s="26">
        <v>0</v>
      </c>
      <c r="HQ375" s="26">
        <v>0</v>
      </c>
      <c r="HR375" s="26">
        <v>0</v>
      </c>
      <c r="HS375" s="26">
        <v>0</v>
      </c>
      <c r="HT375" s="26">
        <v>0</v>
      </c>
    </row>
    <row r="376" spans="2:228" x14ac:dyDescent="0.2">
      <c r="B376" s="27" t="s">
        <v>1453</v>
      </c>
      <c r="C376" s="26">
        <v>101494.299</v>
      </c>
      <c r="D376" s="26">
        <v>-382.45667700000001</v>
      </c>
      <c r="E376" s="26">
        <v>101494.299</v>
      </c>
      <c r="F376" s="26">
        <v>0</v>
      </c>
      <c r="G376" s="26">
        <v>0</v>
      </c>
      <c r="H376" s="26">
        <v>0</v>
      </c>
      <c r="I376" s="26">
        <v>0</v>
      </c>
      <c r="J376" s="26">
        <v>0</v>
      </c>
      <c r="K376" s="26">
        <v>0</v>
      </c>
      <c r="L376" s="26">
        <v>0</v>
      </c>
      <c r="M376" s="26">
        <v>0</v>
      </c>
      <c r="N376" s="26">
        <v>0</v>
      </c>
      <c r="O376" s="26">
        <v>0</v>
      </c>
      <c r="P376" s="26">
        <v>0</v>
      </c>
      <c r="Q376" s="26">
        <v>0</v>
      </c>
      <c r="R376" s="26">
        <v>0</v>
      </c>
      <c r="S376" s="26">
        <v>0</v>
      </c>
      <c r="T376" s="26">
        <v>0</v>
      </c>
      <c r="U376" s="26">
        <v>0</v>
      </c>
      <c r="V376" s="26">
        <v>0</v>
      </c>
      <c r="W376" s="26">
        <v>0</v>
      </c>
      <c r="X376" s="26">
        <v>0</v>
      </c>
      <c r="Y376" s="26">
        <v>0</v>
      </c>
      <c r="Z376" s="26">
        <v>0</v>
      </c>
      <c r="AA376" s="26">
        <v>0</v>
      </c>
      <c r="AB376" s="26">
        <v>0</v>
      </c>
      <c r="AC376" s="26">
        <v>0</v>
      </c>
      <c r="AD376" s="26">
        <v>0</v>
      </c>
      <c r="AE376" s="26">
        <v>0</v>
      </c>
      <c r="AF376" s="26">
        <v>0</v>
      </c>
      <c r="AG376" s="26">
        <v>0</v>
      </c>
      <c r="AH376" s="26">
        <v>0</v>
      </c>
      <c r="AI376" s="26">
        <v>0</v>
      </c>
      <c r="AJ376" s="26">
        <v>0</v>
      </c>
      <c r="AK376" s="26">
        <v>0</v>
      </c>
      <c r="AL376" s="26">
        <v>0</v>
      </c>
      <c r="AM376" s="26">
        <v>0</v>
      </c>
      <c r="AN376" s="26">
        <v>0</v>
      </c>
      <c r="AO376" s="26">
        <v>0</v>
      </c>
      <c r="AP376" s="26">
        <v>0</v>
      </c>
      <c r="AQ376" s="26">
        <v>0</v>
      </c>
      <c r="AR376" s="26">
        <v>0</v>
      </c>
      <c r="AS376" s="26">
        <v>0</v>
      </c>
      <c r="AT376" s="26">
        <v>0</v>
      </c>
      <c r="AU376" s="26">
        <v>0</v>
      </c>
      <c r="AV376" s="26">
        <v>0</v>
      </c>
      <c r="AW376" s="26">
        <v>0</v>
      </c>
      <c r="AX376" s="26">
        <v>0</v>
      </c>
      <c r="AY376" s="26">
        <v>0</v>
      </c>
      <c r="AZ376" s="26">
        <v>0</v>
      </c>
      <c r="BA376" s="26">
        <v>0</v>
      </c>
      <c r="BB376" s="26">
        <v>0</v>
      </c>
      <c r="BC376" s="26">
        <v>0</v>
      </c>
      <c r="BD376" s="26">
        <v>0</v>
      </c>
      <c r="BE376" s="26">
        <v>0</v>
      </c>
      <c r="BF376" s="26">
        <v>0</v>
      </c>
      <c r="BG376" s="26">
        <v>0</v>
      </c>
      <c r="BH376" s="26">
        <v>0</v>
      </c>
      <c r="BI376" s="26">
        <v>0</v>
      </c>
      <c r="BJ376" s="26">
        <v>0</v>
      </c>
      <c r="BK376" s="26">
        <v>0</v>
      </c>
      <c r="BL376" s="26">
        <v>0</v>
      </c>
      <c r="BM376" s="26">
        <v>0</v>
      </c>
      <c r="BN376" s="26">
        <v>0</v>
      </c>
      <c r="BO376" s="26">
        <v>5633.7897199999998</v>
      </c>
      <c r="BP376" s="26">
        <v>101494.299</v>
      </c>
      <c r="BQ376" s="26">
        <v>1708.72642</v>
      </c>
      <c r="BR376" s="26">
        <v>46.156680199999983</v>
      </c>
      <c r="BS376" s="26">
        <v>5</v>
      </c>
      <c r="BT376" s="26">
        <v>0</v>
      </c>
      <c r="BU376" s="26">
        <v>1</v>
      </c>
      <c r="BV376" s="26">
        <v>0</v>
      </c>
      <c r="BW376" s="26">
        <v>-67886.217499999999</v>
      </c>
      <c r="BX376" s="26">
        <v>-3768.2577000000001</v>
      </c>
      <c r="BY376" s="26">
        <v>-382.45667700000001</v>
      </c>
      <c r="BZ376" s="26">
        <v>-37.736272599999999</v>
      </c>
      <c r="CA376" s="26">
        <v>-2.09468144</v>
      </c>
      <c r="CB376" s="26">
        <v>5.4951157299999998E-2</v>
      </c>
      <c r="CC376" s="26">
        <v>0.989960485</v>
      </c>
      <c r="CD376" s="26">
        <v>18.015280000000001</v>
      </c>
      <c r="CE376" s="26">
        <v>1694.8317199999999</v>
      </c>
      <c r="CF376" s="26">
        <v>0</v>
      </c>
      <c r="CG376" s="26">
        <v>0</v>
      </c>
      <c r="CH376" s="26">
        <v>0</v>
      </c>
      <c r="CI376" s="26">
        <v>0</v>
      </c>
      <c r="CJ376" s="26">
        <v>0</v>
      </c>
      <c r="CK376" s="26">
        <v>0</v>
      </c>
      <c r="CL376" s="26">
        <v>0</v>
      </c>
      <c r="CM376" s="26">
        <v>0</v>
      </c>
      <c r="CN376" s="26">
        <v>0</v>
      </c>
      <c r="CO376" s="26">
        <v>0</v>
      </c>
      <c r="CP376" s="26">
        <v>0</v>
      </c>
      <c r="CQ376" s="26">
        <v>0</v>
      </c>
      <c r="CR376" s="26">
        <v>0</v>
      </c>
      <c r="CS376" s="26">
        <v>0</v>
      </c>
      <c r="CT376" s="26">
        <v>0</v>
      </c>
      <c r="CU376" s="26">
        <v>0</v>
      </c>
      <c r="CV376" s="26">
        <v>0</v>
      </c>
      <c r="CW376" s="26">
        <v>0</v>
      </c>
      <c r="CX376" s="26">
        <v>0</v>
      </c>
      <c r="CY376" s="26">
        <v>0</v>
      </c>
      <c r="CZ376" s="26">
        <v>0</v>
      </c>
      <c r="DA376" s="26">
        <v>0</v>
      </c>
      <c r="DB376" s="26">
        <v>0</v>
      </c>
      <c r="DC376" s="26">
        <v>0</v>
      </c>
      <c r="DD376" s="26">
        <v>0</v>
      </c>
      <c r="DE376" s="26">
        <v>0</v>
      </c>
      <c r="DF376" s="26">
        <v>0</v>
      </c>
      <c r="DG376" s="26">
        <v>0</v>
      </c>
      <c r="DH376" s="26">
        <v>0</v>
      </c>
      <c r="DI376" s="26">
        <v>0</v>
      </c>
      <c r="DJ376" s="26">
        <v>0</v>
      </c>
      <c r="DK376" s="26">
        <v>0</v>
      </c>
      <c r="DL376" s="26">
        <v>0</v>
      </c>
      <c r="DM376" s="26">
        <v>0</v>
      </c>
      <c r="DN376" s="26">
        <v>0</v>
      </c>
      <c r="DO376" s="26">
        <v>0</v>
      </c>
      <c r="DP376" s="26">
        <v>0</v>
      </c>
      <c r="DQ376" s="26">
        <v>0</v>
      </c>
      <c r="DR376" s="26">
        <v>0</v>
      </c>
      <c r="DS376" s="26">
        <v>0</v>
      </c>
      <c r="DT376" s="26">
        <v>0</v>
      </c>
      <c r="DU376" s="26">
        <v>0</v>
      </c>
      <c r="DV376" s="26">
        <v>0</v>
      </c>
      <c r="DW376" s="26">
        <v>0</v>
      </c>
      <c r="DX376" s="26">
        <v>0</v>
      </c>
      <c r="DY376" s="26">
        <v>0</v>
      </c>
      <c r="DZ376" s="26">
        <v>0</v>
      </c>
      <c r="EA376" s="26">
        <v>0</v>
      </c>
      <c r="EB376" s="26">
        <v>0</v>
      </c>
      <c r="EC376" s="26">
        <v>0</v>
      </c>
      <c r="ED376" s="26">
        <v>0</v>
      </c>
      <c r="EE376" s="26">
        <v>0</v>
      </c>
      <c r="EF376" s="26">
        <v>0</v>
      </c>
      <c r="EG376" s="26">
        <v>0</v>
      </c>
      <c r="EH376" s="26">
        <v>0</v>
      </c>
      <c r="EI376" s="26">
        <v>0</v>
      </c>
      <c r="EJ376" s="26">
        <v>0</v>
      </c>
      <c r="EK376" s="26">
        <v>0</v>
      </c>
      <c r="EL376" s="26">
        <v>0</v>
      </c>
      <c r="EM376" s="26">
        <v>0</v>
      </c>
      <c r="EN376" s="26">
        <v>0</v>
      </c>
      <c r="EO376" s="26">
        <v>0</v>
      </c>
      <c r="EP376" s="26">
        <v>0</v>
      </c>
      <c r="EQ376" s="26">
        <v>0</v>
      </c>
      <c r="ER376" s="26">
        <v>0</v>
      </c>
      <c r="ES376" s="26">
        <v>0</v>
      </c>
      <c r="ET376" s="26">
        <v>5</v>
      </c>
      <c r="EU376" s="26">
        <v>0</v>
      </c>
      <c r="EV376" s="26">
        <v>0</v>
      </c>
      <c r="EW376" s="26">
        <v>0</v>
      </c>
      <c r="EX376" s="26">
        <v>0</v>
      </c>
      <c r="EY376" s="26">
        <v>0</v>
      </c>
      <c r="EZ376" s="26">
        <v>0</v>
      </c>
      <c r="FA376" s="26">
        <v>0</v>
      </c>
      <c r="FB376" s="26">
        <v>0</v>
      </c>
      <c r="FC376" s="26">
        <v>0</v>
      </c>
      <c r="FD376" s="26">
        <v>0</v>
      </c>
      <c r="FE376" s="26">
        <v>0</v>
      </c>
      <c r="FF376" s="26">
        <v>0</v>
      </c>
      <c r="FG376" s="26">
        <v>0</v>
      </c>
      <c r="FH376" s="26">
        <v>-447285325.93900001</v>
      </c>
      <c r="FI376" s="26">
        <v>0</v>
      </c>
      <c r="FJ376" s="26">
        <v>0</v>
      </c>
      <c r="FK376" s="26">
        <v>0</v>
      </c>
      <c r="FL376" s="26">
        <v>0</v>
      </c>
      <c r="FM376" s="26">
        <v>0</v>
      </c>
      <c r="FN376" s="26">
        <v>0</v>
      </c>
      <c r="FO376" s="26">
        <v>0</v>
      </c>
      <c r="FP376" s="26">
        <v>0</v>
      </c>
      <c r="FQ376" s="26">
        <v>0</v>
      </c>
      <c r="FR376" s="26">
        <v>0</v>
      </c>
      <c r="FS376" s="26">
        <v>0</v>
      </c>
      <c r="FT376" s="26">
        <v>0</v>
      </c>
      <c r="FU376" s="26">
        <v>0</v>
      </c>
      <c r="FV376" s="26">
        <v>0</v>
      </c>
      <c r="FW376" s="26">
        <v>0</v>
      </c>
      <c r="FX376" s="26">
        <v>0</v>
      </c>
      <c r="FY376" s="26">
        <v>0</v>
      </c>
      <c r="FZ376" s="26">
        <v>0</v>
      </c>
      <c r="GA376" s="26">
        <v>0</v>
      </c>
      <c r="GB376" s="26">
        <v>0</v>
      </c>
      <c r="GC376" s="26">
        <v>0</v>
      </c>
      <c r="GD376" s="26">
        <v>0</v>
      </c>
      <c r="GE376" s="26">
        <v>0</v>
      </c>
      <c r="GF376" s="26">
        <v>0</v>
      </c>
      <c r="GG376" s="26">
        <v>0</v>
      </c>
      <c r="GH376" s="26">
        <v>0</v>
      </c>
      <c r="GI376" s="26">
        <v>0</v>
      </c>
      <c r="GJ376" s="26">
        <v>0</v>
      </c>
      <c r="GK376" s="26">
        <v>0</v>
      </c>
      <c r="GL376" s="26">
        <v>0</v>
      </c>
      <c r="GM376" s="26">
        <v>0</v>
      </c>
      <c r="GN376" s="26">
        <v>0</v>
      </c>
      <c r="GO376" s="26">
        <v>0</v>
      </c>
      <c r="GP376" s="26">
        <v>0</v>
      </c>
      <c r="GQ376" s="26">
        <v>0</v>
      </c>
      <c r="GR376" s="26">
        <v>0</v>
      </c>
      <c r="GS376" s="26">
        <v>0</v>
      </c>
      <c r="GT376" s="26">
        <v>0</v>
      </c>
      <c r="GU376" s="26">
        <v>0</v>
      </c>
      <c r="GV376" s="26">
        <v>0</v>
      </c>
      <c r="GW376" s="26">
        <v>0</v>
      </c>
      <c r="GX376" s="26">
        <v>0</v>
      </c>
      <c r="GY376" s="26">
        <v>0</v>
      </c>
      <c r="GZ376" s="26">
        <v>0</v>
      </c>
      <c r="HA376" s="26">
        <v>0</v>
      </c>
      <c r="HB376" s="26">
        <v>0</v>
      </c>
      <c r="HC376" s="26">
        <v>0</v>
      </c>
      <c r="HD376" s="26">
        <v>0</v>
      </c>
      <c r="HE376" s="26">
        <v>0</v>
      </c>
      <c r="HF376" s="26">
        <v>0</v>
      </c>
      <c r="HG376" s="26">
        <v>0</v>
      </c>
      <c r="HH376" s="26">
        <v>0</v>
      </c>
      <c r="HI376" s="26">
        <v>0</v>
      </c>
      <c r="HJ376" s="26">
        <v>0</v>
      </c>
      <c r="HK376" s="26">
        <v>0</v>
      </c>
      <c r="HL376" s="26">
        <v>0</v>
      </c>
      <c r="HM376" s="26">
        <v>0</v>
      </c>
      <c r="HN376" s="26">
        <v>0</v>
      </c>
      <c r="HO376" s="26">
        <v>0</v>
      </c>
      <c r="HP376" s="26">
        <v>0</v>
      </c>
      <c r="HQ376" s="26">
        <v>0</v>
      </c>
      <c r="HR376" s="26">
        <v>0</v>
      </c>
      <c r="HS376" s="26">
        <v>0</v>
      </c>
      <c r="HT376" s="26">
        <v>0</v>
      </c>
    </row>
    <row r="377" spans="2:228" x14ac:dyDescent="0.2">
      <c r="B377" s="27" t="s">
        <v>1460</v>
      </c>
      <c r="C377" s="26">
        <v>4681.6149400000004</v>
      </c>
      <c r="D377" s="26">
        <v>-17.3882002</v>
      </c>
      <c r="E377" s="26">
        <v>4681.6149400000004</v>
      </c>
      <c r="F377" s="26">
        <v>0</v>
      </c>
      <c r="G377" s="26">
        <v>0</v>
      </c>
      <c r="H377" s="26">
        <v>0</v>
      </c>
      <c r="I377" s="26">
        <v>0</v>
      </c>
      <c r="J377" s="26">
        <v>0</v>
      </c>
      <c r="K377" s="26">
        <v>0</v>
      </c>
      <c r="L377" s="26">
        <v>0</v>
      </c>
      <c r="M377" s="26">
        <v>0</v>
      </c>
      <c r="N377" s="26">
        <v>0</v>
      </c>
      <c r="O377" s="26">
        <v>0</v>
      </c>
      <c r="P377" s="26">
        <v>0</v>
      </c>
      <c r="Q377" s="26">
        <v>0</v>
      </c>
      <c r="R377" s="26">
        <v>0</v>
      </c>
      <c r="S377" s="26">
        <v>0</v>
      </c>
      <c r="T377" s="26">
        <v>0</v>
      </c>
      <c r="U377" s="26">
        <v>0</v>
      </c>
      <c r="V377" s="26">
        <v>0</v>
      </c>
      <c r="W377" s="26">
        <v>0</v>
      </c>
      <c r="X377" s="26">
        <v>0</v>
      </c>
      <c r="Y377" s="26">
        <v>0</v>
      </c>
      <c r="Z377" s="26">
        <v>0</v>
      </c>
      <c r="AA377" s="26">
        <v>0</v>
      </c>
      <c r="AB377" s="26">
        <v>0</v>
      </c>
      <c r="AC377" s="26">
        <v>0</v>
      </c>
      <c r="AD377" s="26">
        <v>0</v>
      </c>
      <c r="AE377" s="26">
        <v>0</v>
      </c>
      <c r="AF377" s="26">
        <v>0</v>
      </c>
      <c r="AG377" s="26">
        <v>0</v>
      </c>
      <c r="AH377" s="26">
        <v>0</v>
      </c>
      <c r="AI377" s="26">
        <v>0</v>
      </c>
      <c r="AJ377" s="26">
        <v>0</v>
      </c>
      <c r="AK377" s="26">
        <v>0</v>
      </c>
      <c r="AL377" s="26">
        <v>0</v>
      </c>
      <c r="AM377" s="26">
        <v>0</v>
      </c>
      <c r="AN377" s="26">
        <v>0</v>
      </c>
      <c r="AO377" s="26">
        <v>0</v>
      </c>
      <c r="AP377" s="26">
        <v>0</v>
      </c>
      <c r="AQ377" s="26">
        <v>0</v>
      </c>
      <c r="AR377" s="26">
        <v>0</v>
      </c>
      <c r="AS377" s="26">
        <v>0</v>
      </c>
      <c r="AT377" s="26">
        <v>0</v>
      </c>
      <c r="AU377" s="26">
        <v>0</v>
      </c>
      <c r="AV377" s="26">
        <v>0</v>
      </c>
      <c r="AW377" s="26">
        <v>0</v>
      </c>
      <c r="AX377" s="26">
        <v>0</v>
      </c>
      <c r="AY377" s="26">
        <v>0</v>
      </c>
      <c r="AZ377" s="26">
        <v>0</v>
      </c>
      <c r="BA377" s="26">
        <v>0</v>
      </c>
      <c r="BB377" s="26">
        <v>0</v>
      </c>
      <c r="BC377" s="26">
        <v>0</v>
      </c>
      <c r="BD377" s="26">
        <v>0</v>
      </c>
      <c r="BE377" s="26">
        <v>0</v>
      </c>
      <c r="BF377" s="26">
        <v>0</v>
      </c>
      <c r="BG377" s="26">
        <v>0</v>
      </c>
      <c r="BH377" s="26">
        <v>0</v>
      </c>
      <c r="BI377" s="26">
        <v>0</v>
      </c>
      <c r="BJ377" s="26">
        <v>0</v>
      </c>
      <c r="BK377" s="26">
        <v>0</v>
      </c>
      <c r="BL377" s="26">
        <v>0</v>
      </c>
      <c r="BM377" s="26">
        <v>0</v>
      </c>
      <c r="BN377" s="26">
        <v>0</v>
      </c>
      <c r="BO377" s="26">
        <v>259.86911900000001</v>
      </c>
      <c r="BP377" s="26">
        <v>4681.6149400000004</v>
      </c>
      <c r="BQ377" s="26">
        <v>81.435013100000006</v>
      </c>
      <c r="BR377" s="26">
        <v>100.271837</v>
      </c>
      <c r="BS377" s="26">
        <v>5.4229876600000013</v>
      </c>
      <c r="BT377" s="26">
        <v>0</v>
      </c>
      <c r="BU377" s="26">
        <v>1</v>
      </c>
      <c r="BV377" s="26">
        <v>0</v>
      </c>
      <c r="BW377" s="26">
        <v>-66911.374800000005</v>
      </c>
      <c r="BX377" s="26">
        <v>-3714.1457</v>
      </c>
      <c r="BY377" s="26">
        <v>-17.3882002</v>
      </c>
      <c r="BZ377" s="26">
        <v>-34.916909500000003</v>
      </c>
      <c r="CA377" s="26">
        <v>-1.938183</v>
      </c>
      <c r="CB377" s="26">
        <v>5.3185377700000001E-2</v>
      </c>
      <c r="CC377" s="26">
        <v>0.95814947199999989</v>
      </c>
      <c r="CD377" s="26">
        <v>18.015280000000001</v>
      </c>
      <c r="CE377" s="26">
        <v>78.177292399999999</v>
      </c>
      <c r="CF377" s="26">
        <v>0</v>
      </c>
      <c r="CG377" s="26">
        <v>0</v>
      </c>
      <c r="CH377" s="26">
        <v>0</v>
      </c>
      <c r="CI377" s="26">
        <v>0</v>
      </c>
      <c r="CJ377" s="26">
        <v>0</v>
      </c>
      <c r="CK377" s="26">
        <v>0</v>
      </c>
      <c r="CL377" s="26">
        <v>0</v>
      </c>
      <c r="CM377" s="26">
        <v>0</v>
      </c>
      <c r="CN377" s="26">
        <v>0</v>
      </c>
      <c r="CO377" s="26">
        <v>0</v>
      </c>
      <c r="CP377" s="26">
        <v>0</v>
      </c>
      <c r="CQ377" s="26">
        <v>0</v>
      </c>
      <c r="CR377" s="26">
        <v>0</v>
      </c>
      <c r="CS377" s="26">
        <v>0</v>
      </c>
      <c r="CT377" s="26">
        <v>0</v>
      </c>
      <c r="CU377" s="26">
        <v>0</v>
      </c>
      <c r="CV377" s="26">
        <v>0</v>
      </c>
      <c r="CW377" s="26">
        <v>0</v>
      </c>
      <c r="CX377" s="26">
        <v>0</v>
      </c>
      <c r="CY377" s="26">
        <v>0</v>
      </c>
      <c r="CZ377" s="26">
        <v>0</v>
      </c>
      <c r="DA377" s="26">
        <v>0</v>
      </c>
      <c r="DB377" s="26">
        <v>0</v>
      </c>
      <c r="DC377" s="26">
        <v>0</v>
      </c>
      <c r="DD377" s="26">
        <v>0</v>
      </c>
      <c r="DE377" s="26">
        <v>0</v>
      </c>
      <c r="DF377" s="26">
        <v>0</v>
      </c>
      <c r="DG377" s="26">
        <v>0</v>
      </c>
      <c r="DH377" s="26">
        <v>0</v>
      </c>
      <c r="DI377" s="26">
        <v>0</v>
      </c>
      <c r="DJ377" s="26">
        <v>0</v>
      </c>
      <c r="DK377" s="26">
        <v>0</v>
      </c>
      <c r="DL377" s="26">
        <v>0</v>
      </c>
      <c r="DM377" s="26">
        <v>0</v>
      </c>
      <c r="DN377" s="26">
        <v>0</v>
      </c>
      <c r="DO377" s="26">
        <v>0</v>
      </c>
      <c r="DP377" s="26">
        <v>0</v>
      </c>
      <c r="DQ377" s="26">
        <v>0</v>
      </c>
      <c r="DR377" s="26">
        <v>0</v>
      </c>
      <c r="DS377" s="26">
        <v>0</v>
      </c>
      <c r="DT377" s="26">
        <v>0</v>
      </c>
      <c r="DU377" s="26">
        <v>0</v>
      </c>
      <c r="DV377" s="26">
        <v>0</v>
      </c>
      <c r="DW377" s="26">
        <v>0</v>
      </c>
      <c r="DX377" s="26">
        <v>0</v>
      </c>
      <c r="DY377" s="26">
        <v>0</v>
      </c>
      <c r="DZ377" s="26">
        <v>0</v>
      </c>
      <c r="EA377" s="26">
        <v>0</v>
      </c>
      <c r="EB377" s="26">
        <v>0</v>
      </c>
      <c r="EC377" s="26">
        <v>0</v>
      </c>
      <c r="ED377" s="26">
        <v>0</v>
      </c>
      <c r="EE377" s="26">
        <v>0</v>
      </c>
      <c r="EF377" s="26">
        <v>0</v>
      </c>
      <c r="EG377" s="26">
        <v>0</v>
      </c>
      <c r="EH377" s="26">
        <v>0</v>
      </c>
      <c r="EI377" s="26">
        <v>0</v>
      </c>
      <c r="EJ377" s="26">
        <v>0</v>
      </c>
      <c r="EK377" s="26">
        <v>0</v>
      </c>
      <c r="EL377" s="26">
        <v>0</v>
      </c>
      <c r="EM377" s="26">
        <v>0</v>
      </c>
      <c r="EN377" s="26">
        <v>0</v>
      </c>
      <c r="EO377" s="26">
        <v>0</v>
      </c>
      <c r="EP377" s="26">
        <v>0</v>
      </c>
      <c r="EQ377" s="26">
        <v>0</v>
      </c>
      <c r="ER377" s="26">
        <v>0</v>
      </c>
      <c r="ES377" s="26">
        <v>0</v>
      </c>
      <c r="ET377" s="26">
        <v>5.4229876600000013</v>
      </c>
      <c r="EU377" s="26">
        <v>0</v>
      </c>
      <c r="EV377" s="26">
        <v>0</v>
      </c>
      <c r="EW377" s="26">
        <v>0</v>
      </c>
      <c r="EX377" s="26">
        <v>0</v>
      </c>
      <c r="EY377" s="26">
        <v>0</v>
      </c>
      <c r="EZ377" s="26">
        <v>0</v>
      </c>
      <c r="FA377" s="26">
        <v>0</v>
      </c>
      <c r="FB377" s="26">
        <v>0</v>
      </c>
      <c r="FC377" s="26">
        <v>0</v>
      </c>
      <c r="FD377" s="26">
        <v>0</v>
      </c>
      <c r="FE377" s="26">
        <v>0</v>
      </c>
      <c r="FF377" s="26">
        <v>0</v>
      </c>
      <c r="FG377" s="26">
        <v>0</v>
      </c>
      <c r="FH377" s="26">
        <v>-20631823.176100001</v>
      </c>
      <c r="FI377" s="26">
        <v>0</v>
      </c>
      <c r="FJ377" s="26">
        <v>0</v>
      </c>
      <c r="FK377" s="26">
        <v>0</v>
      </c>
      <c r="FL377" s="26">
        <v>0</v>
      </c>
      <c r="FM377" s="26">
        <v>0</v>
      </c>
      <c r="FN377" s="26">
        <v>0</v>
      </c>
      <c r="FO377" s="26">
        <v>0</v>
      </c>
      <c r="FP377" s="26">
        <v>0</v>
      </c>
      <c r="FQ377" s="26">
        <v>0</v>
      </c>
      <c r="FR377" s="26">
        <v>0</v>
      </c>
      <c r="FS377" s="26">
        <v>0</v>
      </c>
      <c r="FT377" s="26">
        <v>0</v>
      </c>
      <c r="FU377" s="26">
        <v>0</v>
      </c>
      <c r="FV377" s="26">
        <v>0</v>
      </c>
      <c r="FW377" s="26">
        <v>0</v>
      </c>
      <c r="FX377" s="26">
        <v>0</v>
      </c>
      <c r="FY377" s="26">
        <v>0</v>
      </c>
      <c r="FZ377" s="26">
        <v>0</v>
      </c>
      <c r="GA377" s="26">
        <v>0</v>
      </c>
      <c r="GB377" s="26">
        <v>0</v>
      </c>
      <c r="GC377" s="26">
        <v>0</v>
      </c>
      <c r="GD377" s="26">
        <v>0</v>
      </c>
      <c r="GE377" s="26">
        <v>0</v>
      </c>
      <c r="GF377" s="26">
        <v>0</v>
      </c>
      <c r="GG377" s="26">
        <v>0</v>
      </c>
      <c r="GH377" s="26">
        <v>0</v>
      </c>
      <c r="GI377" s="26">
        <v>0</v>
      </c>
      <c r="GJ377" s="26">
        <v>0</v>
      </c>
      <c r="GK377" s="26">
        <v>0</v>
      </c>
      <c r="GL377" s="26">
        <v>0</v>
      </c>
      <c r="GM377" s="26">
        <v>0</v>
      </c>
      <c r="GN377" s="26">
        <v>0</v>
      </c>
      <c r="GO377" s="26">
        <v>0</v>
      </c>
      <c r="GP377" s="26">
        <v>0</v>
      </c>
      <c r="GQ377" s="26">
        <v>0</v>
      </c>
      <c r="GR377" s="26">
        <v>0</v>
      </c>
      <c r="GS377" s="26">
        <v>0</v>
      </c>
      <c r="GT377" s="26">
        <v>0</v>
      </c>
      <c r="GU377" s="26">
        <v>0</v>
      </c>
      <c r="GV377" s="26">
        <v>0</v>
      </c>
      <c r="GW377" s="26">
        <v>0</v>
      </c>
      <c r="GX377" s="26">
        <v>0</v>
      </c>
      <c r="GY377" s="26">
        <v>0</v>
      </c>
      <c r="GZ377" s="26">
        <v>0</v>
      </c>
      <c r="HA377" s="26">
        <v>0</v>
      </c>
      <c r="HB377" s="26">
        <v>0</v>
      </c>
      <c r="HC377" s="26">
        <v>0</v>
      </c>
      <c r="HD377" s="26">
        <v>0</v>
      </c>
      <c r="HE377" s="26">
        <v>0</v>
      </c>
      <c r="HF377" s="26">
        <v>0</v>
      </c>
      <c r="HG377" s="26">
        <v>0</v>
      </c>
      <c r="HH377" s="26">
        <v>0</v>
      </c>
      <c r="HI377" s="26">
        <v>0</v>
      </c>
      <c r="HJ377" s="26">
        <v>0</v>
      </c>
      <c r="HK377" s="26">
        <v>0</v>
      </c>
      <c r="HL377" s="26">
        <v>0</v>
      </c>
      <c r="HM377" s="26">
        <v>0</v>
      </c>
      <c r="HN377" s="26">
        <v>0</v>
      </c>
      <c r="HO377" s="26">
        <v>0</v>
      </c>
      <c r="HP377" s="26">
        <v>0</v>
      </c>
      <c r="HQ377" s="26">
        <v>0</v>
      </c>
      <c r="HR377" s="26">
        <v>0</v>
      </c>
      <c r="HS377" s="26">
        <v>0</v>
      </c>
      <c r="HT377" s="26">
        <v>0</v>
      </c>
    </row>
    <row r="378" spans="2:228" x14ac:dyDescent="0.2">
      <c r="B378" s="27" t="s">
        <v>2446</v>
      </c>
      <c r="C378" s="26">
        <v>7262.2567200000003</v>
      </c>
      <c r="D378" s="26">
        <v>-25.584835200000001</v>
      </c>
      <c r="E378" s="26">
        <v>7262.2567200000003</v>
      </c>
      <c r="F378" s="26">
        <v>0</v>
      </c>
      <c r="G378" s="26">
        <v>0</v>
      </c>
      <c r="H378" s="26">
        <v>0</v>
      </c>
      <c r="I378" s="26">
        <v>0</v>
      </c>
      <c r="J378" s="26">
        <v>0</v>
      </c>
      <c r="K378" s="26">
        <v>0</v>
      </c>
      <c r="L378" s="26">
        <v>0</v>
      </c>
      <c r="M378" s="26">
        <v>0</v>
      </c>
      <c r="N378" s="26">
        <v>0</v>
      </c>
      <c r="O378" s="26">
        <v>0</v>
      </c>
      <c r="P378" s="26">
        <v>0</v>
      </c>
      <c r="Q378" s="26">
        <v>0</v>
      </c>
      <c r="R378" s="26">
        <v>0</v>
      </c>
      <c r="S378" s="26">
        <v>0</v>
      </c>
      <c r="T378" s="26">
        <v>0</v>
      </c>
      <c r="U378" s="26">
        <v>0</v>
      </c>
      <c r="V378" s="26">
        <v>0</v>
      </c>
      <c r="W378" s="26">
        <v>0</v>
      </c>
      <c r="X378" s="26">
        <v>0</v>
      </c>
      <c r="Y378" s="26">
        <v>0</v>
      </c>
      <c r="Z378" s="26">
        <v>0</v>
      </c>
      <c r="AA378" s="26">
        <v>0</v>
      </c>
      <c r="AB378" s="26">
        <v>0</v>
      </c>
      <c r="AC378" s="26">
        <v>0</v>
      </c>
      <c r="AD378" s="26">
        <v>0</v>
      </c>
      <c r="AE378" s="26">
        <v>0</v>
      </c>
      <c r="AF378" s="26">
        <v>0</v>
      </c>
      <c r="AG378" s="26">
        <v>0</v>
      </c>
      <c r="AH378" s="26">
        <v>0</v>
      </c>
      <c r="AI378" s="26">
        <v>0</v>
      </c>
      <c r="AJ378" s="26">
        <v>0</v>
      </c>
      <c r="AK378" s="26">
        <v>0</v>
      </c>
      <c r="AL378" s="26">
        <v>0</v>
      </c>
      <c r="AM378" s="26">
        <v>0</v>
      </c>
      <c r="AN378" s="26">
        <v>0</v>
      </c>
      <c r="AO378" s="26">
        <v>0</v>
      </c>
      <c r="AP378" s="26">
        <v>0</v>
      </c>
      <c r="AQ378" s="26">
        <v>0</v>
      </c>
      <c r="AR378" s="26">
        <v>0</v>
      </c>
      <c r="AS378" s="26">
        <v>0</v>
      </c>
      <c r="AT378" s="26">
        <v>0</v>
      </c>
      <c r="AU378" s="26">
        <v>0</v>
      </c>
      <c r="AV378" s="26">
        <v>0</v>
      </c>
      <c r="AW378" s="26">
        <v>0</v>
      </c>
      <c r="AX378" s="26">
        <v>0</v>
      </c>
      <c r="AY378" s="26">
        <v>0</v>
      </c>
      <c r="AZ378" s="26">
        <v>0</v>
      </c>
      <c r="BA378" s="26">
        <v>0</v>
      </c>
      <c r="BB378" s="26">
        <v>0</v>
      </c>
      <c r="BC378" s="26">
        <v>0</v>
      </c>
      <c r="BD378" s="26">
        <v>0</v>
      </c>
      <c r="BE378" s="26">
        <v>0</v>
      </c>
      <c r="BF378" s="26">
        <v>0</v>
      </c>
      <c r="BG378" s="26">
        <v>0</v>
      </c>
      <c r="BH378" s="26">
        <v>0</v>
      </c>
      <c r="BI378" s="26">
        <v>0</v>
      </c>
      <c r="BJ378" s="26">
        <v>0</v>
      </c>
      <c r="BK378" s="26">
        <v>0</v>
      </c>
      <c r="BL378" s="26">
        <v>0</v>
      </c>
      <c r="BM378" s="26">
        <v>0</v>
      </c>
      <c r="BN378" s="26">
        <v>0</v>
      </c>
      <c r="BO378" s="26">
        <v>403.11650600000002</v>
      </c>
      <c r="BP378" s="26">
        <v>7262.2567200000003</v>
      </c>
      <c r="BQ378" s="26">
        <v>160.15418500000001</v>
      </c>
      <c r="BR378" s="26">
        <v>277.03751899999997</v>
      </c>
      <c r="BS378" s="26">
        <v>60.541367600000001</v>
      </c>
      <c r="BT378" s="26">
        <v>0</v>
      </c>
      <c r="BU378" s="26">
        <v>1</v>
      </c>
      <c r="BV378" s="26">
        <v>0</v>
      </c>
      <c r="BW378" s="26">
        <v>-63467.594799999999</v>
      </c>
      <c r="BX378" s="26">
        <v>-3522.98686</v>
      </c>
      <c r="BY378" s="26">
        <v>-25.584835200000001</v>
      </c>
      <c r="BZ378" s="26">
        <v>-27.473079200000001</v>
      </c>
      <c r="CA378" s="26">
        <v>-1.52498763</v>
      </c>
      <c r="CB378" s="26">
        <v>4.1950875800000002E-2</v>
      </c>
      <c r="CC378" s="26">
        <v>0.75575677500000005</v>
      </c>
      <c r="CD378" s="26">
        <v>18.015280000000001</v>
      </c>
      <c r="CE378" s="26">
        <v>121.27088099999999</v>
      </c>
      <c r="CF378" s="26">
        <v>0</v>
      </c>
      <c r="CG378" s="26">
        <v>0</v>
      </c>
      <c r="CH378" s="26">
        <v>0</v>
      </c>
      <c r="CI378" s="26">
        <v>0</v>
      </c>
      <c r="CJ378" s="26">
        <v>0</v>
      </c>
      <c r="CK378" s="26">
        <v>0</v>
      </c>
      <c r="CL378" s="26">
        <v>0</v>
      </c>
      <c r="CM378" s="26">
        <v>0</v>
      </c>
      <c r="CN378" s="26">
        <v>0</v>
      </c>
      <c r="CO378" s="26">
        <v>0</v>
      </c>
      <c r="CP378" s="26">
        <v>0</v>
      </c>
      <c r="CQ378" s="26">
        <v>0</v>
      </c>
      <c r="CR378" s="26">
        <v>0</v>
      </c>
      <c r="CS378" s="26">
        <v>0</v>
      </c>
      <c r="CT378" s="26">
        <v>0</v>
      </c>
      <c r="CU378" s="26">
        <v>0</v>
      </c>
      <c r="CV378" s="26">
        <v>0</v>
      </c>
      <c r="CW378" s="26">
        <v>0</v>
      </c>
      <c r="CX378" s="26">
        <v>0</v>
      </c>
      <c r="CY378" s="26">
        <v>0</v>
      </c>
      <c r="CZ378" s="26">
        <v>0</v>
      </c>
      <c r="DA378" s="26">
        <v>0</v>
      </c>
      <c r="DB378" s="26">
        <v>0</v>
      </c>
      <c r="DC378" s="26">
        <v>0</v>
      </c>
      <c r="DD378" s="26">
        <v>0</v>
      </c>
      <c r="DE378" s="26">
        <v>0</v>
      </c>
      <c r="DF378" s="26">
        <v>0</v>
      </c>
      <c r="DG378" s="26">
        <v>0</v>
      </c>
      <c r="DH378" s="26">
        <v>0</v>
      </c>
      <c r="DI378" s="26">
        <v>0</v>
      </c>
      <c r="DJ378" s="26">
        <v>0</v>
      </c>
      <c r="DK378" s="26">
        <v>0</v>
      </c>
      <c r="DL378" s="26">
        <v>0</v>
      </c>
      <c r="DM378" s="26">
        <v>0</v>
      </c>
      <c r="DN378" s="26">
        <v>0</v>
      </c>
      <c r="DO378" s="26">
        <v>0</v>
      </c>
      <c r="DP378" s="26">
        <v>0</v>
      </c>
      <c r="DQ378" s="26">
        <v>0</v>
      </c>
      <c r="DR378" s="26">
        <v>0</v>
      </c>
      <c r="DS378" s="26">
        <v>0</v>
      </c>
      <c r="DT378" s="26">
        <v>0</v>
      </c>
      <c r="DU378" s="26">
        <v>0</v>
      </c>
      <c r="DV378" s="26">
        <v>0</v>
      </c>
      <c r="DW378" s="26">
        <v>0</v>
      </c>
      <c r="DX378" s="26">
        <v>0</v>
      </c>
      <c r="DY378" s="26">
        <v>0</v>
      </c>
      <c r="DZ378" s="26">
        <v>0</v>
      </c>
      <c r="EA378" s="26">
        <v>0</v>
      </c>
      <c r="EB378" s="26">
        <v>0</v>
      </c>
      <c r="EC378" s="26">
        <v>0</v>
      </c>
      <c r="ED378" s="26">
        <v>0</v>
      </c>
      <c r="EE378" s="26">
        <v>0</v>
      </c>
      <c r="EF378" s="26">
        <v>0</v>
      </c>
      <c r="EG378" s="26">
        <v>0</v>
      </c>
      <c r="EH378" s="26">
        <v>0</v>
      </c>
      <c r="EI378" s="26">
        <v>0</v>
      </c>
      <c r="EJ378" s="26">
        <v>0</v>
      </c>
      <c r="EK378" s="26">
        <v>0</v>
      </c>
      <c r="EL378" s="26">
        <v>0</v>
      </c>
      <c r="EM378" s="26">
        <v>0</v>
      </c>
      <c r="EN378" s="26">
        <v>0</v>
      </c>
      <c r="EO378" s="26">
        <v>0</v>
      </c>
      <c r="EP378" s="26">
        <v>0</v>
      </c>
      <c r="EQ378" s="26">
        <v>0</v>
      </c>
      <c r="ER378" s="26">
        <v>0</v>
      </c>
      <c r="ES378" s="26">
        <v>0</v>
      </c>
      <c r="ET378" s="26">
        <v>60.541367600000001</v>
      </c>
      <c r="EU378" s="26">
        <v>0</v>
      </c>
      <c r="EV378" s="26">
        <v>0</v>
      </c>
      <c r="EW378" s="26">
        <v>0</v>
      </c>
      <c r="EX378" s="26">
        <v>0</v>
      </c>
      <c r="EY378" s="26">
        <v>0</v>
      </c>
      <c r="EZ378" s="26">
        <v>0</v>
      </c>
      <c r="FA378" s="26">
        <v>0</v>
      </c>
      <c r="FB378" s="26">
        <v>0</v>
      </c>
      <c r="FC378" s="26">
        <v>0</v>
      </c>
      <c r="FD378" s="26">
        <v>0</v>
      </c>
      <c r="FE378" s="26">
        <v>0</v>
      </c>
      <c r="FF378" s="26">
        <v>0</v>
      </c>
      <c r="FG378" s="26">
        <v>0</v>
      </c>
      <c r="FH378" s="26">
        <v>-31994282.004100002</v>
      </c>
      <c r="FI378" s="26">
        <v>0</v>
      </c>
      <c r="FJ378" s="26">
        <v>0</v>
      </c>
      <c r="FK378" s="26">
        <v>0</v>
      </c>
      <c r="FL378" s="26">
        <v>0</v>
      </c>
      <c r="FM378" s="26">
        <v>0</v>
      </c>
      <c r="FN378" s="26">
        <v>0</v>
      </c>
      <c r="FO378" s="26">
        <v>0</v>
      </c>
      <c r="FP378" s="26">
        <v>0</v>
      </c>
      <c r="FQ378" s="26">
        <v>0</v>
      </c>
      <c r="FR378" s="26">
        <v>0</v>
      </c>
      <c r="FS378" s="26">
        <v>0</v>
      </c>
      <c r="FT378" s="26">
        <v>0</v>
      </c>
      <c r="FU378" s="26">
        <v>0</v>
      </c>
      <c r="FV378" s="26">
        <v>0</v>
      </c>
      <c r="FW378" s="26">
        <v>0</v>
      </c>
      <c r="FX378" s="26">
        <v>0</v>
      </c>
      <c r="FY378" s="26">
        <v>0</v>
      </c>
      <c r="FZ378" s="26">
        <v>0</v>
      </c>
      <c r="GA378" s="26">
        <v>0</v>
      </c>
      <c r="GB378" s="26">
        <v>0</v>
      </c>
      <c r="GC378" s="26">
        <v>0</v>
      </c>
      <c r="GD378" s="26">
        <v>0</v>
      </c>
      <c r="GE378" s="26">
        <v>0</v>
      </c>
      <c r="GF378" s="26">
        <v>0</v>
      </c>
      <c r="GG378" s="26">
        <v>0</v>
      </c>
      <c r="GH378" s="26">
        <v>0</v>
      </c>
      <c r="GI378" s="26">
        <v>0</v>
      </c>
      <c r="GJ378" s="26">
        <v>0</v>
      </c>
      <c r="GK378" s="26">
        <v>0</v>
      </c>
      <c r="GL378" s="26">
        <v>0</v>
      </c>
      <c r="GM378" s="26">
        <v>0</v>
      </c>
      <c r="GN378" s="26">
        <v>0</v>
      </c>
      <c r="GO378" s="26">
        <v>0</v>
      </c>
      <c r="GP378" s="26">
        <v>0</v>
      </c>
      <c r="GQ378" s="26">
        <v>0</v>
      </c>
      <c r="GR378" s="26">
        <v>0</v>
      </c>
      <c r="GS378" s="26">
        <v>0</v>
      </c>
      <c r="GT378" s="26">
        <v>0</v>
      </c>
      <c r="GU378" s="26">
        <v>0</v>
      </c>
      <c r="GV378" s="26">
        <v>0</v>
      </c>
      <c r="GW378" s="26">
        <v>0</v>
      </c>
      <c r="GX378" s="26">
        <v>0</v>
      </c>
      <c r="GY378" s="26">
        <v>0</v>
      </c>
      <c r="GZ378" s="26">
        <v>0</v>
      </c>
      <c r="HA378" s="26">
        <v>0</v>
      </c>
      <c r="HB378" s="26">
        <v>0</v>
      </c>
      <c r="HC378" s="26">
        <v>0</v>
      </c>
      <c r="HD378" s="26">
        <v>0</v>
      </c>
      <c r="HE378" s="26">
        <v>0</v>
      </c>
      <c r="HF378" s="26">
        <v>0</v>
      </c>
      <c r="HG378" s="26">
        <v>0</v>
      </c>
      <c r="HH378" s="26">
        <v>0</v>
      </c>
      <c r="HI378" s="26">
        <v>0</v>
      </c>
      <c r="HJ378" s="26">
        <v>0</v>
      </c>
      <c r="HK378" s="26">
        <v>0</v>
      </c>
      <c r="HL378" s="26">
        <v>0</v>
      </c>
      <c r="HM378" s="26">
        <v>0</v>
      </c>
      <c r="HN378" s="26">
        <v>0</v>
      </c>
      <c r="HO378" s="26">
        <v>0</v>
      </c>
      <c r="HP378" s="26">
        <v>0</v>
      </c>
      <c r="HQ378" s="26">
        <v>0</v>
      </c>
      <c r="HR378" s="26">
        <v>0</v>
      </c>
      <c r="HS378" s="26">
        <v>0</v>
      </c>
      <c r="HT378" s="26">
        <v>0</v>
      </c>
    </row>
    <row r="379" spans="2:228" x14ac:dyDescent="0.2">
      <c r="B379" s="27" t="s">
        <v>2914</v>
      </c>
      <c r="C379" s="26">
        <v>4681.6149400000004</v>
      </c>
      <c r="D379" s="26">
        <v>-17.389899</v>
      </c>
      <c r="E379" s="26">
        <v>4681.6149400000004</v>
      </c>
      <c r="F379" s="26">
        <v>0</v>
      </c>
      <c r="G379" s="26">
        <v>0</v>
      </c>
      <c r="H379" s="26">
        <v>0</v>
      </c>
      <c r="I379" s="26">
        <v>0</v>
      </c>
      <c r="J379" s="26">
        <v>0</v>
      </c>
      <c r="K379" s="26">
        <v>0</v>
      </c>
      <c r="L379" s="26">
        <v>0</v>
      </c>
      <c r="M379" s="26">
        <v>0</v>
      </c>
      <c r="N379" s="26">
        <v>0</v>
      </c>
      <c r="O379" s="26">
        <v>0</v>
      </c>
      <c r="P379" s="26">
        <v>0</v>
      </c>
      <c r="Q379" s="26">
        <v>0</v>
      </c>
      <c r="R379" s="26">
        <v>0</v>
      </c>
      <c r="S379" s="26">
        <v>0</v>
      </c>
      <c r="T379" s="26">
        <v>0</v>
      </c>
      <c r="U379" s="26">
        <v>0</v>
      </c>
      <c r="V379" s="26">
        <v>0</v>
      </c>
      <c r="W379" s="26">
        <v>0</v>
      </c>
      <c r="X379" s="26">
        <v>0</v>
      </c>
      <c r="Y379" s="26">
        <v>0</v>
      </c>
      <c r="Z379" s="26">
        <v>0</v>
      </c>
      <c r="AA379" s="26">
        <v>0</v>
      </c>
      <c r="AB379" s="26">
        <v>0</v>
      </c>
      <c r="AC379" s="26">
        <v>0</v>
      </c>
      <c r="AD379" s="26">
        <v>0</v>
      </c>
      <c r="AE379" s="26">
        <v>0</v>
      </c>
      <c r="AF379" s="26">
        <v>0</v>
      </c>
      <c r="AG379" s="26">
        <v>0</v>
      </c>
      <c r="AH379" s="26">
        <v>0</v>
      </c>
      <c r="AI379" s="26">
        <v>0</v>
      </c>
      <c r="AJ379" s="26">
        <v>0</v>
      </c>
      <c r="AK379" s="26">
        <v>0</v>
      </c>
      <c r="AL379" s="26">
        <v>0</v>
      </c>
      <c r="AM379" s="26">
        <v>0</v>
      </c>
      <c r="AN379" s="26">
        <v>0</v>
      </c>
      <c r="AO379" s="26">
        <v>0</v>
      </c>
      <c r="AP379" s="26">
        <v>0</v>
      </c>
      <c r="AQ379" s="26">
        <v>0</v>
      </c>
      <c r="AR379" s="26">
        <v>0</v>
      </c>
      <c r="AS379" s="26">
        <v>0</v>
      </c>
      <c r="AT379" s="26">
        <v>0</v>
      </c>
      <c r="AU379" s="26">
        <v>0</v>
      </c>
      <c r="AV379" s="26">
        <v>0</v>
      </c>
      <c r="AW379" s="26">
        <v>0</v>
      </c>
      <c r="AX379" s="26">
        <v>0</v>
      </c>
      <c r="AY379" s="26">
        <v>0</v>
      </c>
      <c r="AZ379" s="26">
        <v>0</v>
      </c>
      <c r="BA379" s="26">
        <v>0</v>
      </c>
      <c r="BB379" s="26">
        <v>0</v>
      </c>
      <c r="BC379" s="26">
        <v>0</v>
      </c>
      <c r="BD379" s="26">
        <v>0</v>
      </c>
      <c r="BE379" s="26">
        <v>0</v>
      </c>
      <c r="BF379" s="26">
        <v>0</v>
      </c>
      <c r="BG379" s="26">
        <v>0</v>
      </c>
      <c r="BH379" s="26">
        <v>0</v>
      </c>
      <c r="BI379" s="26">
        <v>0</v>
      </c>
      <c r="BJ379" s="26">
        <v>0</v>
      </c>
      <c r="BK379" s="26">
        <v>0</v>
      </c>
      <c r="BL379" s="26">
        <v>0</v>
      </c>
      <c r="BM379" s="26">
        <v>0</v>
      </c>
      <c r="BN379" s="26">
        <v>0</v>
      </c>
      <c r="BO379" s="26">
        <v>259.86911900000001</v>
      </c>
      <c r="BP379" s="26">
        <v>4681.6149400000004</v>
      </c>
      <c r="BQ379" s="26">
        <v>81.436128600000004</v>
      </c>
      <c r="BR379" s="26">
        <v>99.990642100000002</v>
      </c>
      <c r="BS379" s="26">
        <v>1</v>
      </c>
      <c r="BT379" s="26">
        <v>0</v>
      </c>
      <c r="BU379" s="26">
        <v>1</v>
      </c>
      <c r="BV379" s="26">
        <v>0</v>
      </c>
      <c r="BW379" s="26">
        <v>-66917.912200000006</v>
      </c>
      <c r="BX379" s="26">
        <v>-3714.5085800000002</v>
      </c>
      <c r="BY379" s="26">
        <v>-17.389899</v>
      </c>
      <c r="BZ379" s="26">
        <v>-34.9283626</v>
      </c>
      <c r="CA379" s="26">
        <v>-1.93881875</v>
      </c>
      <c r="CB379" s="26">
        <v>5.3184649200000003E-2</v>
      </c>
      <c r="CC379" s="26">
        <v>0.95813634700000005</v>
      </c>
      <c r="CD379" s="26">
        <v>18.015280000000001</v>
      </c>
      <c r="CE379" s="26">
        <v>78.177292399999999</v>
      </c>
      <c r="CF379" s="26">
        <v>0</v>
      </c>
      <c r="CG379" s="26">
        <v>0</v>
      </c>
      <c r="CH379" s="26">
        <v>0</v>
      </c>
      <c r="CI379" s="26">
        <v>0</v>
      </c>
      <c r="CJ379" s="26">
        <v>0</v>
      </c>
      <c r="CK379" s="26">
        <v>0</v>
      </c>
      <c r="CL379" s="26">
        <v>0</v>
      </c>
      <c r="CM379" s="26">
        <v>0</v>
      </c>
      <c r="CN379" s="26">
        <v>0</v>
      </c>
      <c r="CO379" s="26">
        <v>0</v>
      </c>
      <c r="CP379" s="26">
        <v>0</v>
      </c>
      <c r="CQ379" s="26">
        <v>0</v>
      </c>
      <c r="CR379" s="26">
        <v>0</v>
      </c>
      <c r="CS379" s="26">
        <v>0</v>
      </c>
      <c r="CT379" s="26">
        <v>0</v>
      </c>
      <c r="CU379" s="26">
        <v>0</v>
      </c>
      <c r="CV379" s="26">
        <v>0</v>
      </c>
      <c r="CW379" s="26">
        <v>0</v>
      </c>
      <c r="CX379" s="26">
        <v>0</v>
      </c>
      <c r="CY379" s="26">
        <v>0</v>
      </c>
      <c r="CZ379" s="26">
        <v>0</v>
      </c>
      <c r="DA379" s="26">
        <v>0</v>
      </c>
      <c r="DB379" s="26">
        <v>0</v>
      </c>
      <c r="DC379" s="26">
        <v>0</v>
      </c>
      <c r="DD379" s="26">
        <v>0</v>
      </c>
      <c r="DE379" s="26">
        <v>0</v>
      </c>
      <c r="DF379" s="26">
        <v>0</v>
      </c>
      <c r="DG379" s="26">
        <v>0</v>
      </c>
      <c r="DH379" s="26">
        <v>0</v>
      </c>
      <c r="DI379" s="26">
        <v>0</v>
      </c>
      <c r="DJ379" s="26">
        <v>0</v>
      </c>
      <c r="DK379" s="26">
        <v>0</v>
      </c>
      <c r="DL379" s="26">
        <v>0</v>
      </c>
      <c r="DM379" s="26">
        <v>0</v>
      </c>
      <c r="DN379" s="26">
        <v>0</v>
      </c>
      <c r="DO379" s="26">
        <v>0</v>
      </c>
      <c r="DP379" s="26">
        <v>0</v>
      </c>
      <c r="DQ379" s="26">
        <v>0</v>
      </c>
      <c r="DR379" s="26">
        <v>0</v>
      </c>
      <c r="DS379" s="26">
        <v>0</v>
      </c>
      <c r="DT379" s="26">
        <v>0</v>
      </c>
      <c r="DU379" s="26">
        <v>0</v>
      </c>
      <c r="DV379" s="26">
        <v>0</v>
      </c>
      <c r="DW379" s="26">
        <v>0</v>
      </c>
      <c r="DX379" s="26">
        <v>0</v>
      </c>
      <c r="DY379" s="26">
        <v>0</v>
      </c>
      <c r="DZ379" s="26">
        <v>0</v>
      </c>
      <c r="EA379" s="26">
        <v>0</v>
      </c>
      <c r="EB379" s="26">
        <v>0</v>
      </c>
      <c r="EC379" s="26">
        <v>0</v>
      </c>
      <c r="ED379" s="26">
        <v>0</v>
      </c>
      <c r="EE379" s="26">
        <v>0</v>
      </c>
      <c r="EF379" s="26">
        <v>0</v>
      </c>
      <c r="EG379" s="26">
        <v>0</v>
      </c>
      <c r="EH379" s="26">
        <v>0</v>
      </c>
      <c r="EI379" s="26">
        <v>0</v>
      </c>
      <c r="EJ379" s="26">
        <v>0</v>
      </c>
      <c r="EK379" s="26">
        <v>0</v>
      </c>
      <c r="EL379" s="26">
        <v>0</v>
      </c>
      <c r="EM379" s="26">
        <v>0</v>
      </c>
      <c r="EN379" s="26">
        <v>0</v>
      </c>
      <c r="EO379" s="26">
        <v>0</v>
      </c>
      <c r="EP379" s="26">
        <v>0</v>
      </c>
      <c r="EQ379" s="26">
        <v>0</v>
      </c>
      <c r="ER379" s="26">
        <v>0</v>
      </c>
      <c r="ES379" s="26">
        <v>0</v>
      </c>
      <c r="ET379" s="26">
        <v>1</v>
      </c>
      <c r="EU379" s="26">
        <v>0</v>
      </c>
      <c r="EV379" s="26">
        <v>0</v>
      </c>
      <c r="EW379" s="26">
        <v>0</v>
      </c>
      <c r="EX379" s="26">
        <v>0</v>
      </c>
      <c r="EY379" s="26">
        <v>0</v>
      </c>
      <c r="EZ379" s="26">
        <v>0</v>
      </c>
      <c r="FA379" s="26">
        <v>0</v>
      </c>
      <c r="FB379" s="26">
        <v>0</v>
      </c>
      <c r="FC379" s="26">
        <v>0</v>
      </c>
      <c r="FD379" s="26">
        <v>0</v>
      </c>
      <c r="FE379" s="26">
        <v>0</v>
      </c>
      <c r="FF379" s="26">
        <v>0</v>
      </c>
      <c r="FG379" s="26">
        <v>0</v>
      </c>
      <c r="FH379" s="26">
        <v>-20632362.342900001</v>
      </c>
      <c r="FI379" s="26">
        <v>0</v>
      </c>
      <c r="FJ379" s="26">
        <v>0</v>
      </c>
      <c r="FK379" s="26">
        <v>0</v>
      </c>
      <c r="FL379" s="26">
        <v>0</v>
      </c>
      <c r="FM379" s="26">
        <v>0</v>
      </c>
      <c r="FN379" s="26">
        <v>0</v>
      </c>
      <c r="FO379" s="26">
        <v>0</v>
      </c>
      <c r="FP379" s="26">
        <v>0</v>
      </c>
      <c r="FQ379" s="26">
        <v>0</v>
      </c>
      <c r="FR379" s="26">
        <v>0</v>
      </c>
      <c r="FS379" s="26">
        <v>0</v>
      </c>
      <c r="FT379" s="26">
        <v>0</v>
      </c>
      <c r="FU379" s="26">
        <v>0</v>
      </c>
      <c r="FV379" s="26">
        <v>0</v>
      </c>
      <c r="FW379" s="26">
        <v>0</v>
      </c>
      <c r="FX379" s="26">
        <v>0</v>
      </c>
      <c r="FY379" s="26">
        <v>0</v>
      </c>
      <c r="FZ379" s="26">
        <v>0</v>
      </c>
      <c r="GA379" s="26">
        <v>0</v>
      </c>
      <c r="GB379" s="26">
        <v>0</v>
      </c>
      <c r="GC379" s="26">
        <v>0</v>
      </c>
      <c r="GD379" s="26">
        <v>0</v>
      </c>
      <c r="GE379" s="26">
        <v>0</v>
      </c>
      <c r="GF379" s="26">
        <v>0</v>
      </c>
      <c r="GG379" s="26">
        <v>0</v>
      </c>
      <c r="GH379" s="26">
        <v>0</v>
      </c>
      <c r="GI379" s="26">
        <v>0</v>
      </c>
      <c r="GJ379" s="26">
        <v>0</v>
      </c>
      <c r="GK379" s="26">
        <v>0</v>
      </c>
      <c r="GL379" s="26">
        <v>0</v>
      </c>
      <c r="GM379" s="26">
        <v>0</v>
      </c>
      <c r="GN379" s="26">
        <v>0</v>
      </c>
      <c r="GO379" s="26">
        <v>0</v>
      </c>
      <c r="GP379" s="26">
        <v>0</v>
      </c>
      <c r="GQ379" s="26">
        <v>0</v>
      </c>
      <c r="GR379" s="26">
        <v>0</v>
      </c>
      <c r="GS379" s="26">
        <v>0</v>
      </c>
      <c r="GT379" s="26">
        <v>0</v>
      </c>
      <c r="GU379" s="26">
        <v>0</v>
      </c>
      <c r="GV379" s="26">
        <v>0</v>
      </c>
      <c r="GW379" s="26">
        <v>0</v>
      </c>
      <c r="GX379" s="26">
        <v>0</v>
      </c>
      <c r="GY379" s="26">
        <v>0</v>
      </c>
      <c r="GZ379" s="26">
        <v>0</v>
      </c>
      <c r="HA379" s="26">
        <v>0</v>
      </c>
      <c r="HB379" s="26">
        <v>0</v>
      </c>
      <c r="HC379" s="26">
        <v>0</v>
      </c>
      <c r="HD379" s="26">
        <v>0</v>
      </c>
      <c r="HE379" s="26">
        <v>0</v>
      </c>
      <c r="HF379" s="26">
        <v>0</v>
      </c>
      <c r="HG379" s="26">
        <v>0</v>
      </c>
      <c r="HH379" s="26">
        <v>0</v>
      </c>
      <c r="HI379" s="26">
        <v>0</v>
      </c>
      <c r="HJ379" s="26">
        <v>0</v>
      </c>
      <c r="HK379" s="26">
        <v>0</v>
      </c>
      <c r="HL379" s="26">
        <v>0</v>
      </c>
      <c r="HM379" s="26">
        <v>0</v>
      </c>
      <c r="HN379" s="26">
        <v>0</v>
      </c>
      <c r="HO379" s="26">
        <v>0</v>
      </c>
      <c r="HP379" s="26">
        <v>0</v>
      </c>
      <c r="HQ379" s="26">
        <v>0</v>
      </c>
      <c r="HR379" s="26">
        <v>0</v>
      </c>
      <c r="HS379" s="26">
        <v>0</v>
      </c>
      <c r="HT379" s="26">
        <v>0</v>
      </c>
    </row>
    <row r="380" spans="2:228" x14ac:dyDescent="0.2">
      <c r="B380" s="27" t="s">
        <v>1462</v>
      </c>
      <c r="C380" s="26">
        <v>2580.6417799999999</v>
      </c>
      <c r="D380" s="26">
        <v>-8.1949362200000007</v>
      </c>
      <c r="E380" s="26">
        <v>2580.6417799999999</v>
      </c>
      <c r="F380" s="26">
        <v>0</v>
      </c>
      <c r="G380" s="26">
        <v>0</v>
      </c>
      <c r="H380" s="26">
        <v>0</v>
      </c>
      <c r="I380" s="26">
        <v>0</v>
      </c>
      <c r="J380" s="26">
        <v>0</v>
      </c>
      <c r="K380" s="26">
        <v>0</v>
      </c>
      <c r="L380" s="26">
        <v>0</v>
      </c>
      <c r="M380" s="26">
        <v>0</v>
      </c>
      <c r="N380" s="26">
        <v>0</v>
      </c>
      <c r="O380" s="26">
        <v>0</v>
      </c>
      <c r="P380" s="26">
        <v>0</v>
      </c>
      <c r="Q380" s="26">
        <v>0</v>
      </c>
      <c r="R380" s="26">
        <v>0</v>
      </c>
      <c r="S380" s="26">
        <v>0</v>
      </c>
      <c r="T380" s="26">
        <v>0</v>
      </c>
      <c r="U380" s="26">
        <v>0</v>
      </c>
      <c r="V380" s="26">
        <v>0</v>
      </c>
      <c r="W380" s="26">
        <v>0</v>
      </c>
      <c r="X380" s="26">
        <v>0</v>
      </c>
      <c r="Y380" s="26">
        <v>0</v>
      </c>
      <c r="Z380" s="26">
        <v>0</v>
      </c>
      <c r="AA380" s="26">
        <v>0</v>
      </c>
      <c r="AB380" s="26">
        <v>0</v>
      </c>
      <c r="AC380" s="26">
        <v>0</v>
      </c>
      <c r="AD380" s="26">
        <v>0</v>
      </c>
      <c r="AE380" s="26">
        <v>0</v>
      </c>
      <c r="AF380" s="26">
        <v>0</v>
      </c>
      <c r="AG380" s="26">
        <v>0</v>
      </c>
      <c r="AH380" s="26">
        <v>0</v>
      </c>
      <c r="AI380" s="26">
        <v>0</v>
      </c>
      <c r="AJ380" s="26">
        <v>0</v>
      </c>
      <c r="AK380" s="26">
        <v>0</v>
      </c>
      <c r="AL380" s="26">
        <v>0</v>
      </c>
      <c r="AM380" s="26">
        <v>0</v>
      </c>
      <c r="AN380" s="26">
        <v>0</v>
      </c>
      <c r="AO380" s="26">
        <v>0</v>
      </c>
      <c r="AP380" s="26">
        <v>0</v>
      </c>
      <c r="AQ380" s="26">
        <v>0</v>
      </c>
      <c r="AR380" s="26">
        <v>0</v>
      </c>
      <c r="AS380" s="26">
        <v>0</v>
      </c>
      <c r="AT380" s="26">
        <v>0</v>
      </c>
      <c r="AU380" s="26">
        <v>0</v>
      </c>
      <c r="AV380" s="26">
        <v>0</v>
      </c>
      <c r="AW380" s="26">
        <v>0</v>
      </c>
      <c r="AX380" s="26">
        <v>0</v>
      </c>
      <c r="AY380" s="26">
        <v>0</v>
      </c>
      <c r="AZ380" s="26">
        <v>0</v>
      </c>
      <c r="BA380" s="26">
        <v>0</v>
      </c>
      <c r="BB380" s="26">
        <v>0</v>
      </c>
      <c r="BC380" s="26">
        <v>0</v>
      </c>
      <c r="BD380" s="26">
        <v>0</v>
      </c>
      <c r="BE380" s="26">
        <v>0</v>
      </c>
      <c r="BF380" s="26">
        <v>0</v>
      </c>
      <c r="BG380" s="26">
        <v>0</v>
      </c>
      <c r="BH380" s="26">
        <v>0</v>
      </c>
      <c r="BI380" s="26">
        <v>0</v>
      </c>
      <c r="BJ380" s="26">
        <v>0</v>
      </c>
      <c r="BK380" s="26">
        <v>0</v>
      </c>
      <c r="BL380" s="26">
        <v>0</v>
      </c>
      <c r="BM380" s="26">
        <v>0</v>
      </c>
      <c r="BN380" s="26">
        <v>0</v>
      </c>
      <c r="BO380" s="26">
        <v>143.247387</v>
      </c>
      <c r="BP380" s="26">
        <v>2580.6417799999999</v>
      </c>
      <c r="BQ380" s="26">
        <v>71978.701000000001</v>
      </c>
      <c r="BR380" s="26">
        <v>99.990642100000002</v>
      </c>
      <c r="BS380" s="26">
        <v>1</v>
      </c>
      <c r="BT380" s="26">
        <v>1</v>
      </c>
      <c r="BU380" s="26">
        <v>0</v>
      </c>
      <c r="BV380" s="26">
        <v>0</v>
      </c>
      <c r="BW380" s="26">
        <v>-57208.276899999997</v>
      </c>
      <c r="BX380" s="26">
        <v>-3175.5419200000001</v>
      </c>
      <c r="BY380" s="26">
        <v>-8.1949362200000007</v>
      </c>
      <c r="BZ380" s="26">
        <v>-8.9063221200000005</v>
      </c>
      <c r="CA380" s="26">
        <v>-0.49437600300000001</v>
      </c>
      <c r="CB380" s="26">
        <v>3.3168928900000001E-5</v>
      </c>
      <c r="CC380" s="26">
        <v>5.9754754200000003E-4</v>
      </c>
      <c r="CD380" s="26">
        <v>18.015280000000001</v>
      </c>
      <c r="CE380" s="26">
        <v>43.0935883</v>
      </c>
      <c r="CF380" s="26">
        <v>0</v>
      </c>
      <c r="CG380" s="26">
        <v>0</v>
      </c>
      <c r="CH380" s="26">
        <v>0</v>
      </c>
      <c r="CI380" s="26">
        <v>0</v>
      </c>
      <c r="CJ380" s="26">
        <v>0</v>
      </c>
      <c r="CK380" s="26">
        <v>0</v>
      </c>
      <c r="CL380" s="26">
        <v>0</v>
      </c>
      <c r="CM380" s="26">
        <v>0</v>
      </c>
      <c r="CN380" s="26">
        <v>0</v>
      </c>
      <c r="CO380" s="26">
        <v>0</v>
      </c>
      <c r="CP380" s="26">
        <v>0</v>
      </c>
      <c r="CQ380" s="26">
        <v>0</v>
      </c>
      <c r="CR380" s="26">
        <v>0</v>
      </c>
      <c r="CS380" s="26">
        <v>0</v>
      </c>
      <c r="CT380" s="26">
        <v>0</v>
      </c>
      <c r="CU380" s="26">
        <v>0</v>
      </c>
      <c r="CV380" s="26">
        <v>0</v>
      </c>
      <c r="CW380" s="26">
        <v>0</v>
      </c>
      <c r="CX380" s="26">
        <v>0</v>
      </c>
      <c r="CY380" s="26">
        <v>0</v>
      </c>
      <c r="CZ380" s="26">
        <v>0</v>
      </c>
      <c r="DA380" s="26">
        <v>0</v>
      </c>
      <c r="DB380" s="26">
        <v>0</v>
      </c>
      <c r="DC380" s="26">
        <v>0</v>
      </c>
      <c r="DD380" s="26">
        <v>0</v>
      </c>
      <c r="DE380" s="26">
        <v>0</v>
      </c>
      <c r="DF380" s="26">
        <v>0</v>
      </c>
      <c r="DG380" s="26">
        <v>0</v>
      </c>
      <c r="DH380" s="26">
        <v>0</v>
      </c>
      <c r="DI380" s="26">
        <v>0</v>
      </c>
      <c r="DJ380" s="26">
        <v>0</v>
      </c>
      <c r="DK380" s="26">
        <v>0</v>
      </c>
      <c r="DL380" s="26">
        <v>0</v>
      </c>
      <c r="DM380" s="26">
        <v>0</v>
      </c>
      <c r="DN380" s="26">
        <v>0</v>
      </c>
      <c r="DO380" s="26">
        <v>0</v>
      </c>
      <c r="DP380" s="26">
        <v>0</v>
      </c>
      <c r="DQ380" s="26">
        <v>0</v>
      </c>
      <c r="DR380" s="26">
        <v>0</v>
      </c>
      <c r="DS380" s="26">
        <v>0</v>
      </c>
      <c r="DT380" s="26">
        <v>0</v>
      </c>
      <c r="DU380" s="26">
        <v>0</v>
      </c>
      <c r="DV380" s="26">
        <v>0</v>
      </c>
      <c r="DW380" s="26">
        <v>0</v>
      </c>
      <c r="DX380" s="26">
        <v>0</v>
      </c>
      <c r="DY380" s="26">
        <v>0</v>
      </c>
      <c r="DZ380" s="26">
        <v>0</v>
      </c>
      <c r="EA380" s="26">
        <v>0</v>
      </c>
      <c r="EB380" s="26">
        <v>0</v>
      </c>
      <c r="EC380" s="26">
        <v>0</v>
      </c>
      <c r="ED380" s="26">
        <v>0</v>
      </c>
      <c r="EE380" s="26">
        <v>0</v>
      </c>
      <c r="EF380" s="26">
        <v>0</v>
      </c>
      <c r="EG380" s="26">
        <v>0</v>
      </c>
      <c r="EH380" s="26">
        <v>0</v>
      </c>
      <c r="EI380" s="26">
        <v>0</v>
      </c>
      <c r="EJ380" s="26">
        <v>0</v>
      </c>
      <c r="EK380" s="26">
        <v>0</v>
      </c>
      <c r="EL380" s="26">
        <v>0</v>
      </c>
      <c r="EM380" s="26">
        <v>0</v>
      </c>
      <c r="EN380" s="26">
        <v>0</v>
      </c>
      <c r="EO380" s="26">
        <v>0</v>
      </c>
      <c r="EP380" s="26">
        <v>0</v>
      </c>
      <c r="EQ380" s="26">
        <v>0</v>
      </c>
      <c r="ER380" s="26">
        <v>0</v>
      </c>
      <c r="ES380" s="26">
        <v>0</v>
      </c>
      <c r="ET380" s="26">
        <v>1</v>
      </c>
      <c r="EU380" s="26">
        <v>0</v>
      </c>
      <c r="EV380" s="26">
        <v>0</v>
      </c>
      <c r="EW380" s="26">
        <v>0</v>
      </c>
      <c r="EX380" s="26">
        <v>0</v>
      </c>
      <c r="EY380" s="26">
        <v>0</v>
      </c>
      <c r="EZ380" s="26">
        <v>0</v>
      </c>
      <c r="FA380" s="26">
        <v>0</v>
      </c>
      <c r="FB380" s="26">
        <v>0</v>
      </c>
      <c r="FC380" s="26">
        <v>0</v>
      </c>
      <c r="FD380" s="26">
        <v>0</v>
      </c>
      <c r="FE380" s="26">
        <v>0</v>
      </c>
      <c r="FF380" s="26">
        <v>0</v>
      </c>
      <c r="FG380" s="26">
        <v>0</v>
      </c>
      <c r="FH380" s="26">
        <v>-9622642.65931</v>
      </c>
      <c r="FI380" s="26">
        <v>0</v>
      </c>
      <c r="FJ380" s="26">
        <v>3.9790941151660861E-2</v>
      </c>
      <c r="FK380" s="26">
        <v>0</v>
      </c>
      <c r="FL380" s="26">
        <v>0</v>
      </c>
      <c r="FM380" s="26">
        <v>0</v>
      </c>
      <c r="FN380" s="26">
        <v>0</v>
      </c>
      <c r="FO380" s="26">
        <v>0</v>
      </c>
      <c r="FP380" s="26">
        <v>0</v>
      </c>
      <c r="FQ380" s="26">
        <v>0</v>
      </c>
      <c r="FR380" s="26">
        <v>0</v>
      </c>
      <c r="FS380" s="26">
        <v>0</v>
      </c>
      <c r="FT380" s="26">
        <v>0</v>
      </c>
      <c r="FU380" s="26">
        <v>0</v>
      </c>
      <c r="FV380" s="26">
        <v>0</v>
      </c>
      <c r="FW380" s="26">
        <v>0</v>
      </c>
      <c r="FX380" s="26">
        <v>0</v>
      </c>
      <c r="FY380" s="26">
        <v>0</v>
      </c>
      <c r="FZ380" s="26">
        <v>0</v>
      </c>
      <c r="GA380" s="26">
        <v>0</v>
      </c>
      <c r="GB380" s="26">
        <v>0</v>
      </c>
      <c r="GC380" s="26">
        <v>0</v>
      </c>
      <c r="GD380" s="26">
        <v>0</v>
      </c>
      <c r="GE380" s="26">
        <v>0</v>
      </c>
      <c r="GF380" s="26">
        <v>0</v>
      </c>
      <c r="GG380" s="26">
        <v>0</v>
      </c>
      <c r="GH380" s="26">
        <v>0</v>
      </c>
      <c r="GI380" s="26">
        <v>0</v>
      </c>
      <c r="GJ380" s="26">
        <v>0</v>
      </c>
      <c r="GK380" s="26">
        <v>0</v>
      </c>
      <c r="GL380" s="26">
        <v>0</v>
      </c>
      <c r="GM380" s="26">
        <v>0</v>
      </c>
      <c r="GN380" s="26">
        <v>0</v>
      </c>
      <c r="GO380" s="26">
        <v>0</v>
      </c>
      <c r="GP380" s="26">
        <v>0</v>
      </c>
      <c r="GQ380" s="26">
        <v>0</v>
      </c>
      <c r="GR380" s="26">
        <v>0</v>
      </c>
      <c r="GS380" s="26">
        <v>0</v>
      </c>
      <c r="GT380" s="26">
        <v>0</v>
      </c>
      <c r="GU380" s="26">
        <v>0</v>
      </c>
      <c r="GV380" s="26">
        <v>0</v>
      </c>
      <c r="GW380" s="26">
        <v>0</v>
      </c>
      <c r="GX380" s="26">
        <v>0</v>
      </c>
      <c r="GY380" s="26">
        <v>0</v>
      </c>
      <c r="GZ380" s="26">
        <v>0</v>
      </c>
      <c r="HA380" s="26">
        <v>0</v>
      </c>
      <c r="HB380" s="26">
        <v>0</v>
      </c>
      <c r="HC380" s="26">
        <v>0</v>
      </c>
      <c r="HD380" s="26">
        <v>0</v>
      </c>
      <c r="HE380" s="26">
        <v>0</v>
      </c>
      <c r="HF380" s="26">
        <v>0</v>
      </c>
      <c r="HG380" s="26">
        <v>0</v>
      </c>
      <c r="HH380" s="26">
        <v>0</v>
      </c>
      <c r="HI380" s="26">
        <v>0</v>
      </c>
      <c r="HJ380" s="26">
        <v>0</v>
      </c>
      <c r="HK380" s="26">
        <v>0</v>
      </c>
      <c r="HL380" s="26">
        <v>0</v>
      </c>
      <c r="HM380" s="26">
        <v>0</v>
      </c>
      <c r="HN380" s="26">
        <v>0</v>
      </c>
      <c r="HO380" s="26">
        <v>0</v>
      </c>
      <c r="HP380" s="26">
        <v>0</v>
      </c>
      <c r="HQ380" s="26">
        <v>0</v>
      </c>
      <c r="HR380" s="26">
        <v>0</v>
      </c>
      <c r="HS380" s="26">
        <v>0</v>
      </c>
      <c r="HT380" s="26">
        <v>0</v>
      </c>
    </row>
    <row r="381" spans="2:228" x14ac:dyDescent="0.2">
      <c r="B381" s="27" t="s">
        <v>1461</v>
      </c>
      <c r="C381" s="26">
        <v>30113.032100000004</v>
      </c>
      <c r="D381" s="26">
        <v>-108.992986</v>
      </c>
      <c r="E381" s="26">
        <v>30113.032100000004</v>
      </c>
      <c r="F381" s="26">
        <v>0</v>
      </c>
      <c r="G381" s="26">
        <v>0</v>
      </c>
      <c r="H381" s="26">
        <v>0</v>
      </c>
      <c r="I381" s="26">
        <v>0</v>
      </c>
      <c r="J381" s="26">
        <v>0</v>
      </c>
      <c r="K381" s="26">
        <v>0</v>
      </c>
      <c r="L381" s="26">
        <v>0</v>
      </c>
      <c r="M381" s="26">
        <v>0</v>
      </c>
      <c r="N381" s="26">
        <v>0</v>
      </c>
      <c r="O381" s="26">
        <v>0</v>
      </c>
      <c r="P381" s="26">
        <v>0</v>
      </c>
      <c r="Q381" s="26">
        <v>0</v>
      </c>
      <c r="R381" s="26">
        <v>0</v>
      </c>
      <c r="S381" s="26">
        <v>0</v>
      </c>
      <c r="T381" s="26">
        <v>0</v>
      </c>
      <c r="U381" s="26">
        <v>0</v>
      </c>
      <c r="V381" s="26">
        <v>0</v>
      </c>
      <c r="W381" s="26">
        <v>0</v>
      </c>
      <c r="X381" s="26">
        <v>0</v>
      </c>
      <c r="Y381" s="26">
        <v>0</v>
      </c>
      <c r="Z381" s="26">
        <v>0</v>
      </c>
      <c r="AA381" s="26">
        <v>0</v>
      </c>
      <c r="AB381" s="26">
        <v>0</v>
      </c>
      <c r="AC381" s="26">
        <v>0</v>
      </c>
      <c r="AD381" s="26">
        <v>0</v>
      </c>
      <c r="AE381" s="26">
        <v>0</v>
      </c>
      <c r="AF381" s="26">
        <v>0</v>
      </c>
      <c r="AG381" s="26">
        <v>0</v>
      </c>
      <c r="AH381" s="26">
        <v>0</v>
      </c>
      <c r="AI381" s="26">
        <v>0</v>
      </c>
      <c r="AJ381" s="26">
        <v>0</v>
      </c>
      <c r="AK381" s="26">
        <v>0</v>
      </c>
      <c r="AL381" s="26">
        <v>0</v>
      </c>
      <c r="AM381" s="26">
        <v>0</v>
      </c>
      <c r="AN381" s="26">
        <v>0</v>
      </c>
      <c r="AO381" s="26">
        <v>0</v>
      </c>
      <c r="AP381" s="26">
        <v>0</v>
      </c>
      <c r="AQ381" s="26">
        <v>0</v>
      </c>
      <c r="AR381" s="26">
        <v>0</v>
      </c>
      <c r="AS381" s="26">
        <v>0</v>
      </c>
      <c r="AT381" s="26">
        <v>0</v>
      </c>
      <c r="AU381" s="26">
        <v>0</v>
      </c>
      <c r="AV381" s="26">
        <v>0</v>
      </c>
      <c r="AW381" s="26">
        <v>0</v>
      </c>
      <c r="AX381" s="26">
        <v>0</v>
      </c>
      <c r="AY381" s="26">
        <v>0</v>
      </c>
      <c r="AZ381" s="26">
        <v>0</v>
      </c>
      <c r="BA381" s="26">
        <v>0</v>
      </c>
      <c r="BB381" s="26">
        <v>0</v>
      </c>
      <c r="BC381" s="26">
        <v>0</v>
      </c>
      <c r="BD381" s="26">
        <v>0</v>
      </c>
      <c r="BE381" s="26">
        <v>0</v>
      </c>
      <c r="BF381" s="26">
        <v>0</v>
      </c>
      <c r="BG381" s="26">
        <v>0</v>
      </c>
      <c r="BH381" s="26">
        <v>0</v>
      </c>
      <c r="BI381" s="26">
        <v>0</v>
      </c>
      <c r="BJ381" s="26">
        <v>0</v>
      </c>
      <c r="BK381" s="26">
        <v>0</v>
      </c>
      <c r="BL381" s="26">
        <v>0</v>
      </c>
      <c r="BM381" s="26">
        <v>0</v>
      </c>
      <c r="BN381" s="26">
        <v>0</v>
      </c>
      <c r="BO381" s="26">
        <v>1671.52728</v>
      </c>
      <c r="BP381" s="26">
        <v>30113.032100000004</v>
      </c>
      <c r="BQ381" s="26">
        <v>574.52101600000003</v>
      </c>
      <c r="BR381" s="26">
        <v>192.21641599999998</v>
      </c>
      <c r="BS381" s="26">
        <v>13</v>
      </c>
      <c r="BT381" s="26">
        <v>0</v>
      </c>
      <c r="BU381" s="26">
        <v>1</v>
      </c>
      <c r="BV381" s="26">
        <v>0</v>
      </c>
      <c r="BW381" s="26">
        <v>-65205.6276</v>
      </c>
      <c r="BX381" s="26">
        <v>-3619.46234</v>
      </c>
      <c r="BY381" s="26">
        <v>-108.992986</v>
      </c>
      <c r="BZ381" s="26">
        <v>-30.8464247</v>
      </c>
      <c r="CA381" s="26">
        <v>-1.7122367599999999</v>
      </c>
      <c r="CB381" s="26">
        <v>4.8490459E-2</v>
      </c>
      <c r="CC381" s="26">
        <v>0.87356919600000005</v>
      </c>
      <c r="CD381" s="26">
        <v>18.015280000000001</v>
      </c>
      <c r="CE381" s="26">
        <v>502.85111899999998</v>
      </c>
      <c r="CF381" s="26">
        <v>0</v>
      </c>
      <c r="CG381" s="26">
        <v>0</v>
      </c>
      <c r="CH381" s="26">
        <v>0</v>
      </c>
      <c r="CI381" s="26">
        <v>0</v>
      </c>
      <c r="CJ381" s="26">
        <v>0</v>
      </c>
      <c r="CK381" s="26">
        <v>0</v>
      </c>
      <c r="CL381" s="26">
        <v>0</v>
      </c>
      <c r="CM381" s="26">
        <v>0</v>
      </c>
      <c r="CN381" s="26">
        <v>0</v>
      </c>
      <c r="CO381" s="26">
        <v>0</v>
      </c>
      <c r="CP381" s="26">
        <v>0</v>
      </c>
      <c r="CQ381" s="26">
        <v>0</v>
      </c>
      <c r="CR381" s="26">
        <v>0</v>
      </c>
      <c r="CS381" s="26">
        <v>0</v>
      </c>
      <c r="CT381" s="26">
        <v>0</v>
      </c>
      <c r="CU381" s="26">
        <v>0</v>
      </c>
      <c r="CV381" s="26">
        <v>0</v>
      </c>
      <c r="CW381" s="26">
        <v>0</v>
      </c>
      <c r="CX381" s="26">
        <v>0</v>
      </c>
      <c r="CY381" s="26">
        <v>0</v>
      </c>
      <c r="CZ381" s="26">
        <v>0</v>
      </c>
      <c r="DA381" s="26">
        <v>0</v>
      </c>
      <c r="DB381" s="26">
        <v>0</v>
      </c>
      <c r="DC381" s="26">
        <v>0</v>
      </c>
      <c r="DD381" s="26">
        <v>0</v>
      </c>
      <c r="DE381" s="26">
        <v>0</v>
      </c>
      <c r="DF381" s="26">
        <v>0</v>
      </c>
      <c r="DG381" s="26">
        <v>0</v>
      </c>
      <c r="DH381" s="26">
        <v>0</v>
      </c>
      <c r="DI381" s="26">
        <v>0</v>
      </c>
      <c r="DJ381" s="26">
        <v>0</v>
      </c>
      <c r="DK381" s="26">
        <v>0</v>
      </c>
      <c r="DL381" s="26">
        <v>0</v>
      </c>
      <c r="DM381" s="26">
        <v>0</v>
      </c>
      <c r="DN381" s="26">
        <v>0</v>
      </c>
      <c r="DO381" s="26">
        <v>0</v>
      </c>
      <c r="DP381" s="26">
        <v>0</v>
      </c>
      <c r="DQ381" s="26">
        <v>0</v>
      </c>
      <c r="DR381" s="26">
        <v>0</v>
      </c>
      <c r="DS381" s="26">
        <v>0</v>
      </c>
      <c r="DT381" s="26">
        <v>0</v>
      </c>
      <c r="DU381" s="26">
        <v>0</v>
      </c>
      <c r="DV381" s="26">
        <v>0</v>
      </c>
      <c r="DW381" s="26">
        <v>0</v>
      </c>
      <c r="DX381" s="26">
        <v>0</v>
      </c>
      <c r="DY381" s="26">
        <v>0</v>
      </c>
      <c r="DZ381" s="26">
        <v>0</v>
      </c>
      <c r="EA381" s="26">
        <v>0</v>
      </c>
      <c r="EB381" s="26">
        <v>0</v>
      </c>
      <c r="EC381" s="26">
        <v>0</v>
      </c>
      <c r="ED381" s="26">
        <v>0</v>
      </c>
      <c r="EE381" s="26">
        <v>0</v>
      </c>
      <c r="EF381" s="26">
        <v>0</v>
      </c>
      <c r="EG381" s="26">
        <v>0</v>
      </c>
      <c r="EH381" s="26">
        <v>0</v>
      </c>
      <c r="EI381" s="26">
        <v>0</v>
      </c>
      <c r="EJ381" s="26">
        <v>0</v>
      </c>
      <c r="EK381" s="26">
        <v>0</v>
      </c>
      <c r="EL381" s="26">
        <v>0</v>
      </c>
      <c r="EM381" s="26">
        <v>0</v>
      </c>
      <c r="EN381" s="26">
        <v>0</v>
      </c>
      <c r="EO381" s="26">
        <v>0</v>
      </c>
      <c r="EP381" s="26">
        <v>0</v>
      </c>
      <c r="EQ381" s="26">
        <v>0</v>
      </c>
      <c r="ER381" s="26">
        <v>0</v>
      </c>
      <c r="ES381" s="26">
        <v>0</v>
      </c>
      <c r="ET381" s="26">
        <v>13</v>
      </c>
      <c r="EU381" s="26">
        <v>0</v>
      </c>
      <c r="EV381" s="26">
        <v>0</v>
      </c>
      <c r="EW381" s="26">
        <v>0</v>
      </c>
      <c r="EX381" s="26">
        <v>0</v>
      </c>
      <c r="EY381" s="26">
        <v>0</v>
      </c>
      <c r="EZ381" s="26">
        <v>0</v>
      </c>
      <c r="FA381" s="26">
        <v>0</v>
      </c>
      <c r="FB381" s="26">
        <v>0</v>
      </c>
      <c r="FC381" s="26">
        <v>0</v>
      </c>
      <c r="FD381" s="26">
        <v>0</v>
      </c>
      <c r="FE381" s="26">
        <v>0</v>
      </c>
      <c r="FF381" s="26">
        <v>0</v>
      </c>
      <c r="FG381" s="26">
        <v>0</v>
      </c>
      <c r="FH381" s="26">
        <v>-132701847.14999999</v>
      </c>
      <c r="FI381" s="26">
        <v>0</v>
      </c>
      <c r="FJ381" s="26">
        <v>0</v>
      </c>
      <c r="FK381" s="26">
        <v>0</v>
      </c>
      <c r="FL381" s="26">
        <v>0</v>
      </c>
      <c r="FM381" s="26">
        <v>0</v>
      </c>
      <c r="FN381" s="26">
        <v>0</v>
      </c>
      <c r="FO381" s="26">
        <v>0</v>
      </c>
      <c r="FP381" s="26">
        <v>0</v>
      </c>
      <c r="FQ381" s="26">
        <v>0</v>
      </c>
      <c r="FR381" s="26">
        <v>0</v>
      </c>
      <c r="FS381" s="26">
        <v>0</v>
      </c>
      <c r="FT381" s="26">
        <v>0</v>
      </c>
      <c r="FU381" s="26">
        <v>0</v>
      </c>
      <c r="FV381" s="26">
        <v>0</v>
      </c>
      <c r="FW381" s="26">
        <v>0</v>
      </c>
      <c r="FX381" s="26">
        <v>0</v>
      </c>
      <c r="FY381" s="26">
        <v>0</v>
      </c>
      <c r="FZ381" s="26">
        <v>0</v>
      </c>
      <c r="GA381" s="26">
        <v>0</v>
      </c>
      <c r="GB381" s="26">
        <v>0</v>
      </c>
      <c r="GC381" s="26">
        <v>0</v>
      </c>
      <c r="GD381" s="26">
        <v>0</v>
      </c>
      <c r="GE381" s="26">
        <v>0</v>
      </c>
      <c r="GF381" s="26">
        <v>0</v>
      </c>
      <c r="GG381" s="26">
        <v>0</v>
      </c>
      <c r="GH381" s="26">
        <v>0</v>
      </c>
      <c r="GI381" s="26">
        <v>0</v>
      </c>
      <c r="GJ381" s="26">
        <v>0</v>
      </c>
      <c r="GK381" s="26">
        <v>0</v>
      </c>
      <c r="GL381" s="26">
        <v>0</v>
      </c>
      <c r="GM381" s="26">
        <v>0</v>
      </c>
      <c r="GN381" s="26">
        <v>0</v>
      </c>
      <c r="GO381" s="26">
        <v>0</v>
      </c>
      <c r="GP381" s="26">
        <v>0</v>
      </c>
      <c r="GQ381" s="26">
        <v>0</v>
      </c>
      <c r="GR381" s="26">
        <v>0</v>
      </c>
      <c r="GS381" s="26">
        <v>0</v>
      </c>
      <c r="GT381" s="26">
        <v>0</v>
      </c>
      <c r="GU381" s="26">
        <v>0</v>
      </c>
      <c r="GV381" s="26">
        <v>0</v>
      </c>
      <c r="GW381" s="26">
        <v>0</v>
      </c>
      <c r="GX381" s="26">
        <v>0</v>
      </c>
      <c r="GY381" s="26">
        <v>0</v>
      </c>
      <c r="GZ381" s="26">
        <v>0</v>
      </c>
      <c r="HA381" s="26">
        <v>0</v>
      </c>
      <c r="HB381" s="26">
        <v>0</v>
      </c>
      <c r="HC381" s="26">
        <v>0</v>
      </c>
      <c r="HD381" s="26">
        <v>0</v>
      </c>
      <c r="HE381" s="26">
        <v>0</v>
      </c>
      <c r="HF381" s="26">
        <v>0</v>
      </c>
      <c r="HG381" s="26">
        <v>0</v>
      </c>
      <c r="HH381" s="26">
        <v>0</v>
      </c>
      <c r="HI381" s="26">
        <v>0</v>
      </c>
      <c r="HJ381" s="26">
        <v>0</v>
      </c>
      <c r="HK381" s="26">
        <v>0</v>
      </c>
      <c r="HL381" s="26">
        <v>0</v>
      </c>
      <c r="HM381" s="26">
        <v>0</v>
      </c>
      <c r="HN381" s="26">
        <v>0</v>
      </c>
      <c r="HO381" s="26">
        <v>0</v>
      </c>
      <c r="HP381" s="26">
        <v>0</v>
      </c>
      <c r="HQ381" s="26">
        <v>0</v>
      </c>
      <c r="HR381" s="26">
        <v>0</v>
      </c>
      <c r="HS381" s="26">
        <v>0</v>
      </c>
      <c r="HT381" s="26">
        <v>0</v>
      </c>
    </row>
    <row r="382" spans="2:228" x14ac:dyDescent="0.2">
      <c r="B382" s="27" t="s">
        <v>1463</v>
      </c>
      <c r="C382" s="26">
        <v>75054.059099999999</v>
      </c>
      <c r="D382" s="26">
        <v>-273.34121299999998</v>
      </c>
      <c r="E382" s="26">
        <v>75054.059099999999</v>
      </c>
      <c r="F382" s="26">
        <v>0</v>
      </c>
      <c r="G382" s="26">
        <v>0</v>
      </c>
      <c r="H382" s="26">
        <v>0</v>
      </c>
      <c r="I382" s="26">
        <v>0</v>
      </c>
      <c r="J382" s="26">
        <v>0</v>
      </c>
      <c r="K382" s="26">
        <v>0</v>
      </c>
      <c r="L382" s="26">
        <v>0</v>
      </c>
      <c r="M382" s="26">
        <v>0</v>
      </c>
      <c r="N382" s="26">
        <v>0</v>
      </c>
      <c r="O382" s="26">
        <v>0</v>
      </c>
      <c r="P382" s="26">
        <v>0</v>
      </c>
      <c r="Q382" s="26">
        <v>0</v>
      </c>
      <c r="R382" s="26">
        <v>0</v>
      </c>
      <c r="S382" s="26">
        <v>0</v>
      </c>
      <c r="T382" s="26">
        <v>0</v>
      </c>
      <c r="U382" s="26">
        <v>0</v>
      </c>
      <c r="V382" s="26">
        <v>0</v>
      </c>
      <c r="W382" s="26">
        <v>0</v>
      </c>
      <c r="X382" s="26">
        <v>0</v>
      </c>
      <c r="Y382" s="26">
        <v>0</v>
      </c>
      <c r="Z382" s="26">
        <v>0</v>
      </c>
      <c r="AA382" s="26">
        <v>0</v>
      </c>
      <c r="AB382" s="26">
        <v>0</v>
      </c>
      <c r="AC382" s="26">
        <v>0</v>
      </c>
      <c r="AD382" s="26">
        <v>0</v>
      </c>
      <c r="AE382" s="26">
        <v>0</v>
      </c>
      <c r="AF382" s="26">
        <v>0</v>
      </c>
      <c r="AG382" s="26">
        <v>0</v>
      </c>
      <c r="AH382" s="26">
        <v>0</v>
      </c>
      <c r="AI382" s="26">
        <v>0</v>
      </c>
      <c r="AJ382" s="26">
        <v>0</v>
      </c>
      <c r="AK382" s="26">
        <v>0</v>
      </c>
      <c r="AL382" s="26">
        <v>0</v>
      </c>
      <c r="AM382" s="26">
        <v>0</v>
      </c>
      <c r="AN382" s="26">
        <v>0</v>
      </c>
      <c r="AO382" s="26">
        <v>0</v>
      </c>
      <c r="AP382" s="26">
        <v>0</v>
      </c>
      <c r="AQ382" s="26">
        <v>0</v>
      </c>
      <c r="AR382" s="26">
        <v>0</v>
      </c>
      <c r="AS382" s="26">
        <v>0</v>
      </c>
      <c r="AT382" s="26">
        <v>0</v>
      </c>
      <c r="AU382" s="26">
        <v>0</v>
      </c>
      <c r="AV382" s="26">
        <v>0</v>
      </c>
      <c r="AW382" s="26">
        <v>0</v>
      </c>
      <c r="AX382" s="26">
        <v>0</v>
      </c>
      <c r="AY382" s="26">
        <v>0</v>
      </c>
      <c r="AZ382" s="26">
        <v>0</v>
      </c>
      <c r="BA382" s="26">
        <v>0</v>
      </c>
      <c r="BB382" s="26">
        <v>0</v>
      </c>
      <c r="BC382" s="26">
        <v>0</v>
      </c>
      <c r="BD382" s="26">
        <v>0</v>
      </c>
      <c r="BE382" s="26">
        <v>0</v>
      </c>
      <c r="BF382" s="26">
        <v>0</v>
      </c>
      <c r="BG382" s="26">
        <v>0</v>
      </c>
      <c r="BH382" s="26">
        <v>0</v>
      </c>
      <c r="BI382" s="26">
        <v>0</v>
      </c>
      <c r="BJ382" s="26">
        <v>0</v>
      </c>
      <c r="BK382" s="26">
        <v>0</v>
      </c>
      <c r="BL382" s="26">
        <v>0</v>
      </c>
      <c r="BM382" s="26">
        <v>0</v>
      </c>
      <c r="BN382" s="26">
        <v>0</v>
      </c>
      <c r="BO382" s="26">
        <v>4166.1333699999996</v>
      </c>
      <c r="BP382" s="26">
        <v>75054.059099999999</v>
      </c>
      <c r="BQ382" s="26">
        <v>1395.5788600000001</v>
      </c>
      <c r="BR382" s="26">
        <v>170.95566400000001</v>
      </c>
      <c r="BS382" s="26">
        <v>8</v>
      </c>
      <c r="BT382" s="26">
        <v>0</v>
      </c>
      <c r="BU382" s="26">
        <v>1</v>
      </c>
      <c r="BV382" s="26">
        <v>0</v>
      </c>
      <c r="BW382" s="26">
        <v>-65610.288199999995</v>
      </c>
      <c r="BX382" s="26">
        <v>-3641.9244199999998</v>
      </c>
      <c r="BY382" s="26">
        <v>-273.34121299999998</v>
      </c>
      <c r="BZ382" s="26">
        <v>-31.730792999999995</v>
      </c>
      <c r="CA382" s="26">
        <v>-1.7613266599999999</v>
      </c>
      <c r="CB382" s="26">
        <v>4.9753946E-2</v>
      </c>
      <c r="CC382" s="26">
        <v>0.89633126799999996</v>
      </c>
      <c r="CD382" s="26">
        <v>18.015280000000001</v>
      </c>
      <c r="CE382" s="26">
        <v>1253.31177</v>
      </c>
      <c r="CF382" s="26">
        <v>0</v>
      </c>
      <c r="CG382" s="26">
        <v>0</v>
      </c>
      <c r="CH382" s="26">
        <v>0</v>
      </c>
      <c r="CI382" s="26">
        <v>0</v>
      </c>
      <c r="CJ382" s="26">
        <v>0</v>
      </c>
      <c r="CK382" s="26">
        <v>0</v>
      </c>
      <c r="CL382" s="26">
        <v>0</v>
      </c>
      <c r="CM382" s="26">
        <v>0</v>
      </c>
      <c r="CN382" s="26">
        <v>0</v>
      </c>
      <c r="CO382" s="26">
        <v>0</v>
      </c>
      <c r="CP382" s="26">
        <v>0</v>
      </c>
      <c r="CQ382" s="26">
        <v>0</v>
      </c>
      <c r="CR382" s="26">
        <v>0</v>
      </c>
      <c r="CS382" s="26">
        <v>0</v>
      </c>
      <c r="CT382" s="26">
        <v>0</v>
      </c>
      <c r="CU382" s="26">
        <v>0</v>
      </c>
      <c r="CV382" s="26">
        <v>0</v>
      </c>
      <c r="CW382" s="26">
        <v>0</v>
      </c>
      <c r="CX382" s="26">
        <v>0</v>
      </c>
      <c r="CY382" s="26">
        <v>0</v>
      </c>
      <c r="CZ382" s="26">
        <v>0</v>
      </c>
      <c r="DA382" s="26">
        <v>0</v>
      </c>
      <c r="DB382" s="26">
        <v>0</v>
      </c>
      <c r="DC382" s="26">
        <v>0</v>
      </c>
      <c r="DD382" s="26">
        <v>0</v>
      </c>
      <c r="DE382" s="26">
        <v>0</v>
      </c>
      <c r="DF382" s="26">
        <v>0</v>
      </c>
      <c r="DG382" s="26">
        <v>0</v>
      </c>
      <c r="DH382" s="26">
        <v>0</v>
      </c>
      <c r="DI382" s="26">
        <v>0</v>
      </c>
      <c r="DJ382" s="26">
        <v>0</v>
      </c>
      <c r="DK382" s="26">
        <v>0</v>
      </c>
      <c r="DL382" s="26">
        <v>0</v>
      </c>
      <c r="DM382" s="26">
        <v>0</v>
      </c>
      <c r="DN382" s="26">
        <v>0</v>
      </c>
      <c r="DO382" s="26">
        <v>0</v>
      </c>
      <c r="DP382" s="26">
        <v>0</v>
      </c>
      <c r="DQ382" s="26">
        <v>0</v>
      </c>
      <c r="DR382" s="26">
        <v>0</v>
      </c>
      <c r="DS382" s="26">
        <v>0</v>
      </c>
      <c r="DT382" s="26">
        <v>0</v>
      </c>
      <c r="DU382" s="26">
        <v>0</v>
      </c>
      <c r="DV382" s="26">
        <v>0</v>
      </c>
      <c r="DW382" s="26">
        <v>0</v>
      </c>
      <c r="DX382" s="26">
        <v>0</v>
      </c>
      <c r="DY382" s="26">
        <v>0</v>
      </c>
      <c r="DZ382" s="26">
        <v>0</v>
      </c>
      <c r="EA382" s="26">
        <v>0</v>
      </c>
      <c r="EB382" s="26">
        <v>0</v>
      </c>
      <c r="EC382" s="26">
        <v>0</v>
      </c>
      <c r="ED382" s="26">
        <v>0</v>
      </c>
      <c r="EE382" s="26">
        <v>0</v>
      </c>
      <c r="EF382" s="26">
        <v>0</v>
      </c>
      <c r="EG382" s="26">
        <v>0</v>
      </c>
      <c r="EH382" s="26">
        <v>0</v>
      </c>
      <c r="EI382" s="26">
        <v>0</v>
      </c>
      <c r="EJ382" s="26">
        <v>0</v>
      </c>
      <c r="EK382" s="26">
        <v>0</v>
      </c>
      <c r="EL382" s="26">
        <v>0</v>
      </c>
      <c r="EM382" s="26">
        <v>0</v>
      </c>
      <c r="EN382" s="26">
        <v>0</v>
      </c>
      <c r="EO382" s="26">
        <v>0</v>
      </c>
      <c r="EP382" s="26">
        <v>0</v>
      </c>
      <c r="EQ382" s="26">
        <v>0</v>
      </c>
      <c r="ER382" s="26">
        <v>0</v>
      </c>
      <c r="ES382" s="26">
        <v>0</v>
      </c>
      <c r="ET382" s="26">
        <v>8</v>
      </c>
      <c r="EU382" s="26">
        <v>0</v>
      </c>
      <c r="EV382" s="26">
        <v>0</v>
      </c>
      <c r="EW382" s="26">
        <v>0</v>
      </c>
      <c r="EX382" s="26">
        <v>0</v>
      </c>
      <c r="EY382" s="26">
        <v>0</v>
      </c>
      <c r="EZ382" s="26">
        <v>0</v>
      </c>
      <c r="FA382" s="26">
        <v>0</v>
      </c>
      <c r="FB382" s="26">
        <v>0</v>
      </c>
      <c r="FC382" s="26">
        <v>0</v>
      </c>
      <c r="FD382" s="26">
        <v>0</v>
      </c>
      <c r="FE382" s="26">
        <v>0</v>
      </c>
      <c r="FF382" s="26">
        <v>0</v>
      </c>
      <c r="FG382" s="26">
        <v>0</v>
      </c>
      <c r="FH382" s="26">
        <v>-330757339.56</v>
      </c>
      <c r="FI382" s="26">
        <v>0</v>
      </c>
      <c r="FJ382" s="26">
        <v>0</v>
      </c>
      <c r="FK382" s="26">
        <v>0</v>
      </c>
      <c r="FL382" s="26">
        <v>0</v>
      </c>
      <c r="FM382" s="26">
        <v>0</v>
      </c>
      <c r="FN382" s="26">
        <v>0</v>
      </c>
      <c r="FO382" s="26">
        <v>0</v>
      </c>
      <c r="FP382" s="26">
        <v>0</v>
      </c>
      <c r="FQ382" s="26">
        <v>0</v>
      </c>
      <c r="FR382" s="26">
        <v>0</v>
      </c>
      <c r="FS382" s="26">
        <v>0</v>
      </c>
      <c r="FT382" s="26">
        <v>0</v>
      </c>
      <c r="FU382" s="26">
        <v>0</v>
      </c>
      <c r="FV382" s="26">
        <v>0</v>
      </c>
      <c r="FW382" s="26">
        <v>0</v>
      </c>
      <c r="FX382" s="26">
        <v>0</v>
      </c>
      <c r="FY382" s="26">
        <v>0</v>
      </c>
      <c r="FZ382" s="26">
        <v>0</v>
      </c>
      <c r="GA382" s="26">
        <v>0</v>
      </c>
      <c r="GB382" s="26">
        <v>0</v>
      </c>
      <c r="GC382" s="26">
        <v>0</v>
      </c>
      <c r="GD382" s="26">
        <v>0</v>
      </c>
      <c r="GE382" s="26">
        <v>0</v>
      </c>
      <c r="GF382" s="26">
        <v>0</v>
      </c>
      <c r="GG382" s="26">
        <v>0</v>
      </c>
      <c r="GH382" s="26">
        <v>0</v>
      </c>
      <c r="GI382" s="26">
        <v>0</v>
      </c>
      <c r="GJ382" s="26">
        <v>0</v>
      </c>
      <c r="GK382" s="26">
        <v>0</v>
      </c>
      <c r="GL382" s="26">
        <v>0</v>
      </c>
      <c r="GM382" s="26">
        <v>0</v>
      </c>
      <c r="GN382" s="26">
        <v>0</v>
      </c>
      <c r="GO382" s="26">
        <v>0</v>
      </c>
      <c r="GP382" s="26">
        <v>0</v>
      </c>
      <c r="GQ382" s="26">
        <v>0</v>
      </c>
      <c r="GR382" s="26">
        <v>0</v>
      </c>
      <c r="GS382" s="26">
        <v>0</v>
      </c>
      <c r="GT382" s="26">
        <v>0</v>
      </c>
      <c r="GU382" s="26">
        <v>0</v>
      </c>
      <c r="GV382" s="26">
        <v>0</v>
      </c>
      <c r="GW382" s="26">
        <v>0</v>
      </c>
      <c r="GX382" s="26">
        <v>0</v>
      </c>
      <c r="GY382" s="26">
        <v>0</v>
      </c>
      <c r="GZ382" s="26">
        <v>0</v>
      </c>
      <c r="HA382" s="26">
        <v>0</v>
      </c>
      <c r="HB382" s="26">
        <v>0</v>
      </c>
      <c r="HC382" s="26">
        <v>0</v>
      </c>
      <c r="HD382" s="26">
        <v>0</v>
      </c>
      <c r="HE382" s="26">
        <v>0</v>
      </c>
      <c r="HF382" s="26">
        <v>0</v>
      </c>
      <c r="HG382" s="26">
        <v>0</v>
      </c>
      <c r="HH382" s="26">
        <v>0</v>
      </c>
      <c r="HI382" s="26">
        <v>0</v>
      </c>
      <c r="HJ382" s="26">
        <v>0</v>
      </c>
      <c r="HK382" s="26">
        <v>0</v>
      </c>
      <c r="HL382" s="26">
        <v>0</v>
      </c>
      <c r="HM382" s="26">
        <v>0</v>
      </c>
      <c r="HN382" s="26">
        <v>0</v>
      </c>
      <c r="HO382" s="26">
        <v>0</v>
      </c>
      <c r="HP382" s="26">
        <v>0</v>
      </c>
      <c r="HQ382" s="26">
        <v>0</v>
      </c>
      <c r="HR382" s="26">
        <v>0</v>
      </c>
      <c r="HS382" s="26">
        <v>0</v>
      </c>
      <c r="HT382" s="26">
        <v>0</v>
      </c>
    </row>
    <row r="383" spans="2:228" x14ac:dyDescent="0.2">
      <c r="B383" s="27" t="s">
        <v>2916</v>
      </c>
      <c r="C383" s="26">
        <v>5724.06574</v>
      </c>
      <c r="D383" s="26">
        <v>-14.851019900000001</v>
      </c>
      <c r="E383" s="26">
        <v>0</v>
      </c>
      <c r="F383" s="26">
        <v>0</v>
      </c>
      <c r="G383" s="26">
        <v>0</v>
      </c>
      <c r="H383" s="26">
        <v>0</v>
      </c>
      <c r="I383" s="26">
        <v>0</v>
      </c>
      <c r="J383" s="26">
        <v>0</v>
      </c>
      <c r="K383" s="26">
        <v>0</v>
      </c>
      <c r="L383" s="26">
        <v>0</v>
      </c>
      <c r="M383" s="26">
        <v>0</v>
      </c>
      <c r="N383" s="26">
        <v>0</v>
      </c>
      <c r="O383" s="26">
        <v>0</v>
      </c>
      <c r="P383" s="26">
        <v>0</v>
      </c>
      <c r="Q383" s="26">
        <v>0</v>
      </c>
      <c r="R383" s="26">
        <v>0</v>
      </c>
      <c r="S383" s="26">
        <v>0</v>
      </c>
      <c r="T383" s="26">
        <v>0</v>
      </c>
      <c r="U383" s="26">
        <v>0</v>
      </c>
      <c r="V383" s="26">
        <v>0</v>
      </c>
      <c r="W383" s="26">
        <v>0</v>
      </c>
      <c r="X383" s="26">
        <v>0</v>
      </c>
      <c r="Y383" s="26">
        <v>0</v>
      </c>
      <c r="Z383" s="26">
        <v>0</v>
      </c>
      <c r="AA383" s="26">
        <v>0</v>
      </c>
      <c r="AB383" s="26">
        <v>0</v>
      </c>
      <c r="AC383" s="26">
        <v>0</v>
      </c>
      <c r="AD383" s="26">
        <v>0</v>
      </c>
      <c r="AE383" s="26">
        <v>0</v>
      </c>
      <c r="AF383" s="26">
        <v>0</v>
      </c>
      <c r="AG383" s="26">
        <v>0</v>
      </c>
      <c r="AH383" s="26">
        <v>0</v>
      </c>
      <c r="AI383" s="26">
        <v>0</v>
      </c>
      <c r="AJ383" s="26">
        <v>0</v>
      </c>
      <c r="AK383" s="26">
        <v>0</v>
      </c>
      <c r="AL383" s="26">
        <v>0</v>
      </c>
      <c r="AM383" s="26">
        <v>0</v>
      </c>
      <c r="AN383" s="26">
        <v>0</v>
      </c>
      <c r="AO383" s="26">
        <v>0</v>
      </c>
      <c r="AP383" s="26">
        <v>0</v>
      </c>
      <c r="AQ383" s="26">
        <v>0</v>
      </c>
      <c r="AR383" s="26">
        <v>0</v>
      </c>
      <c r="AS383" s="26">
        <v>0</v>
      </c>
      <c r="AT383" s="26">
        <v>0</v>
      </c>
      <c r="AU383" s="26">
        <v>0</v>
      </c>
      <c r="AV383" s="26">
        <v>0</v>
      </c>
      <c r="AW383" s="26">
        <v>0</v>
      </c>
      <c r="AX383" s="26">
        <v>0</v>
      </c>
      <c r="AY383" s="26">
        <v>0</v>
      </c>
      <c r="AZ383" s="26">
        <v>0</v>
      </c>
      <c r="BA383" s="26">
        <v>0</v>
      </c>
      <c r="BB383" s="26">
        <v>0</v>
      </c>
      <c r="BC383" s="26">
        <v>0</v>
      </c>
      <c r="BD383" s="26">
        <v>0</v>
      </c>
      <c r="BE383" s="26">
        <v>0</v>
      </c>
      <c r="BF383" s="26">
        <v>0</v>
      </c>
      <c r="BG383" s="26">
        <v>0</v>
      </c>
      <c r="BH383" s="26">
        <v>0</v>
      </c>
      <c r="BI383" s="26">
        <v>0</v>
      </c>
      <c r="BJ383" s="26">
        <v>0</v>
      </c>
      <c r="BK383" s="26">
        <v>0</v>
      </c>
      <c r="BL383" s="26">
        <v>0</v>
      </c>
      <c r="BM383" s="26">
        <v>0</v>
      </c>
      <c r="BN383" s="26">
        <v>0</v>
      </c>
      <c r="BO383" s="26">
        <v>0</v>
      </c>
      <c r="BP383" s="26">
        <v>0</v>
      </c>
      <c r="BQ383" s="26">
        <v>0</v>
      </c>
      <c r="BR383" s="26">
        <v>0</v>
      </c>
      <c r="BS383" s="26">
        <v>0</v>
      </c>
      <c r="BT383" s="26">
        <v>0</v>
      </c>
      <c r="BU383" s="26">
        <v>0</v>
      </c>
      <c r="BV383" s="26">
        <v>0</v>
      </c>
      <c r="BW383" s="26">
        <v>0</v>
      </c>
      <c r="BX383" s="26">
        <v>0</v>
      </c>
      <c r="BY383" s="26">
        <v>0</v>
      </c>
      <c r="BZ383" s="26">
        <v>0</v>
      </c>
      <c r="CA383" s="26">
        <v>0</v>
      </c>
      <c r="CB383" s="26">
        <v>0</v>
      </c>
      <c r="CC383" s="26">
        <v>0</v>
      </c>
      <c r="CD383" s="26">
        <v>0</v>
      </c>
      <c r="CE383" s="26">
        <v>0</v>
      </c>
      <c r="CF383" s="26">
        <v>0</v>
      </c>
      <c r="CG383" s="26">
        <v>0</v>
      </c>
      <c r="CH383" s="26">
        <v>0</v>
      </c>
      <c r="CI383" s="26">
        <v>0</v>
      </c>
      <c r="CJ383" s="26">
        <v>0</v>
      </c>
      <c r="CK383" s="26">
        <v>0</v>
      </c>
      <c r="CL383" s="26">
        <v>0</v>
      </c>
      <c r="CM383" s="26">
        <v>0</v>
      </c>
      <c r="CN383" s="26">
        <v>0</v>
      </c>
      <c r="CO383" s="26">
        <v>0</v>
      </c>
      <c r="CP383" s="26">
        <v>0</v>
      </c>
      <c r="CQ383" s="26">
        <v>0</v>
      </c>
      <c r="CR383" s="26">
        <v>0</v>
      </c>
      <c r="CS383" s="26">
        <v>0</v>
      </c>
      <c r="CT383" s="26">
        <v>0</v>
      </c>
      <c r="CU383" s="26">
        <v>0</v>
      </c>
      <c r="CV383" s="26">
        <v>0</v>
      </c>
      <c r="CW383" s="26">
        <v>0</v>
      </c>
      <c r="CX383" s="26">
        <v>0</v>
      </c>
      <c r="CY383" s="26">
        <v>0</v>
      </c>
      <c r="CZ383" s="26">
        <v>0</v>
      </c>
      <c r="DA383" s="26">
        <v>0</v>
      </c>
      <c r="DB383" s="26">
        <v>0</v>
      </c>
      <c r="DC383" s="26">
        <v>0</v>
      </c>
      <c r="DD383" s="26">
        <v>0</v>
      </c>
      <c r="DE383" s="26">
        <v>0</v>
      </c>
      <c r="DF383" s="26">
        <v>0</v>
      </c>
      <c r="DG383" s="26">
        <v>0</v>
      </c>
      <c r="DH383" s="26">
        <v>0</v>
      </c>
      <c r="DI383" s="26">
        <v>0</v>
      </c>
      <c r="DJ383" s="26">
        <v>0</v>
      </c>
      <c r="DK383" s="26">
        <v>0</v>
      </c>
      <c r="DL383" s="26">
        <v>0</v>
      </c>
      <c r="DM383" s="26">
        <v>0</v>
      </c>
      <c r="DN383" s="26">
        <v>0</v>
      </c>
      <c r="DO383" s="26">
        <v>0</v>
      </c>
      <c r="DP383" s="26">
        <v>0</v>
      </c>
      <c r="DQ383" s="26">
        <v>0</v>
      </c>
      <c r="DR383" s="26">
        <v>0</v>
      </c>
      <c r="DS383" s="26">
        <v>0</v>
      </c>
      <c r="DT383" s="26">
        <v>0</v>
      </c>
      <c r="DU383" s="26">
        <v>0</v>
      </c>
      <c r="DV383" s="26">
        <v>0</v>
      </c>
      <c r="DW383" s="26">
        <v>0</v>
      </c>
      <c r="DX383" s="26">
        <v>0</v>
      </c>
      <c r="DY383" s="26">
        <v>0</v>
      </c>
      <c r="DZ383" s="26">
        <v>0</v>
      </c>
      <c r="EA383" s="26">
        <v>0</v>
      </c>
      <c r="EB383" s="26">
        <v>0</v>
      </c>
      <c r="EC383" s="26">
        <v>0</v>
      </c>
      <c r="ED383" s="26">
        <v>0</v>
      </c>
      <c r="EE383" s="26">
        <v>0</v>
      </c>
      <c r="EF383" s="26">
        <v>4107.8476600000004</v>
      </c>
      <c r="EG383" s="26">
        <v>0</v>
      </c>
      <c r="EH383" s="26">
        <v>0</v>
      </c>
      <c r="EI383" s="26">
        <v>0</v>
      </c>
      <c r="EJ383" s="26">
        <v>0</v>
      </c>
      <c r="EK383" s="26">
        <v>0</v>
      </c>
      <c r="EL383" s="26">
        <v>0</v>
      </c>
      <c r="EM383" s="26">
        <v>178.89025899999999</v>
      </c>
      <c r="EN383" s="26">
        <v>1314.8076799999999</v>
      </c>
      <c r="EO383" s="26">
        <v>122.52014800000001</v>
      </c>
      <c r="EP383" s="26">
        <v>95.525898100000006</v>
      </c>
      <c r="EQ383" s="26">
        <v>5724.06574</v>
      </c>
      <c r="ER383" s="26">
        <v>30.546050600000001</v>
      </c>
      <c r="ES383" s="26">
        <v>140.26315099999999</v>
      </c>
      <c r="ET383" s="26">
        <v>0.96597701999999996</v>
      </c>
      <c r="EU383" s="26">
        <v>0</v>
      </c>
      <c r="EV383" s="26">
        <v>0</v>
      </c>
      <c r="EW383" s="26">
        <v>1</v>
      </c>
      <c r="EX383" s="26">
        <v>-155465.90100000001</v>
      </c>
      <c r="EY383" s="26">
        <v>-2594.4879900000001</v>
      </c>
      <c r="EZ383" s="26">
        <v>-14.851019900000001</v>
      </c>
      <c r="FA383" s="26">
        <v>-24.698195299999998</v>
      </c>
      <c r="FB383" s="26">
        <v>-0.412175085</v>
      </c>
      <c r="FC383" s="26">
        <v>5.2121248100000003E-2</v>
      </c>
      <c r="FD383" s="26">
        <v>3.1231891699999998</v>
      </c>
      <c r="FE383" s="26">
        <v>59.921611400000003</v>
      </c>
      <c r="FF383" s="26">
        <v>0</v>
      </c>
      <c r="FG383" s="26">
        <v>5.7026105200000003E-2</v>
      </c>
      <c r="FH383" s="26">
        <v>-17431453.376000002</v>
      </c>
      <c r="FI383" s="26">
        <v>0</v>
      </c>
      <c r="FJ383" s="26">
        <v>0</v>
      </c>
      <c r="FK383" s="26">
        <v>0</v>
      </c>
      <c r="FL383" s="26">
        <v>0</v>
      </c>
      <c r="FM383" s="26">
        <v>0</v>
      </c>
      <c r="FN383" s="26">
        <v>0</v>
      </c>
      <c r="FO383" s="26">
        <v>0</v>
      </c>
      <c r="FP383" s="26">
        <v>0</v>
      </c>
      <c r="FQ383" s="26">
        <v>0</v>
      </c>
      <c r="FR383" s="26">
        <v>0</v>
      </c>
      <c r="FS383" s="26">
        <v>0</v>
      </c>
      <c r="FT383" s="26">
        <v>0</v>
      </c>
      <c r="FU383" s="26">
        <v>0</v>
      </c>
      <c r="FV383" s="26">
        <v>0</v>
      </c>
      <c r="FW383" s="26">
        <v>0</v>
      </c>
      <c r="FX383" s="26">
        <v>0</v>
      </c>
      <c r="FY383" s="26">
        <v>0</v>
      </c>
      <c r="FZ383" s="26">
        <v>0</v>
      </c>
      <c r="GA383" s="26">
        <v>0</v>
      </c>
      <c r="GB383" s="26">
        <v>0</v>
      </c>
      <c r="GC383" s="26">
        <v>0</v>
      </c>
      <c r="GD383" s="26">
        <v>0</v>
      </c>
      <c r="GE383" s="26">
        <v>0</v>
      </c>
      <c r="GF383" s="26">
        <v>0</v>
      </c>
      <c r="GG383" s="26">
        <v>0</v>
      </c>
      <c r="GH383" s="26">
        <v>0</v>
      </c>
      <c r="GI383" s="26">
        <v>0</v>
      </c>
      <c r="GJ383" s="26">
        <v>0</v>
      </c>
      <c r="GK383" s="26">
        <v>0</v>
      </c>
      <c r="GL383" s="26">
        <v>0</v>
      </c>
      <c r="GM383" s="26">
        <v>0</v>
      </c>
      <c r="GN383" s="26">
        <v>0</v>
      </c>
      <c r="GO383" s="26">
        <v>0</v>
      </c>
      <c r="GP383" s="26">
        <v>0</v>
      </c>
      <c r="GQ383" s="26">
        <v>0</v>
      </c>
      <c r="GR383" s="26">
        <v>0</v>
      </c>
      <c r="GS383" s="26">
        <v>0</v>
      </c>
      <c r="GT383" s="26">
        <v>0</v>
      </c>
      <c r="GU383" s="26">
        <v>0</v>
      </c>
      <c r="GV383" s="26">
        <v>0</v>
      </c>
      <c r="GW383" s="26">
        <v>0</v>
      </c>
      <c r="GX383" s="26">
        <v>0</v>
      </c>
      <c r="GY383" s="26">
        <v>0</v>
      </c>
      <c r="GZ383" s="26">
        <v>0</v>
      </c>
      <c r="HA383" s="26">
        <v>0</v>
      </c>
      <c r="HB383" s="26">
        <v>0</v>
      </c>
      <c r="HC383" s="26">
        <v>0</v>
      </c>
      <c r="HD383" s="26">
        <v>0</v>
      </c>
      <c r="HE383" s="26">
        <v>0</v>
      </c>
      <c r="HF383" s="26">
        <v>0</v>
      </c>
      <c r="HG383" s="26">
        <v>0</v>
      </c>
      <c r="HH383" s="26">
        <v>0</v>
      </c>
      <c r="HI383" s="26">
        <v>0</v>
      </c>
      <c r="HJ383" s="26">
        <v>0</v>
      </c>
      <c r="HK383" s="26">
        <v>0</v>
      </c>
      <c r="HL383" s="26">
        <v>0</v>
      </c>
      <c r="HM383" s="26">
        <v>0</v>
      </c>
      <c r="HN383" s="26">
        <v>0</v>
      </c>
      <c r="HO383" s="26">
        <v>0</v>
      </c>
      <c r="HP383" s="26">
        <v>0</v>
      </c>
      <c r="HQ383" s="26">
        <v>0</v>
      </c>
      <c r="HR383" s="26">
        <v>0</v>
      </c>
      <c r="HS383" s="26">
        <v>0</v>
      </c>
      <c r="HT383" s="26">
        <v>2.8335171615570262E-3</v>
      </c>
    </row>
    <row r="384" spans="2:228" x14ac:dyDescent="0.2">
      <c r="B384" s="27" t="s">
        <v>3043</v>
      </c>
      <c r="C384" s="26">
        <v>523776.42099999991</v>
      </c>
      <c r="D384" s="26">
        <v>-1979.92345</v>
      </c>
      <c r="E384" s="26">
        <v>523776.42099999991</v>
      </c>
      <c r="F384" s="26">
        <v>0</v>
      </c>
      <c r="G384" s="26">
        <v>0</v>
      </c>
      <c r="H384" s="26">
        <v>0</v>
      </c>
      <c r="I384" s="26">
        <v>0</v>
      </c>
      <c r="J384" s="26">
        <v>0</v>
      </c>
      <c r="K384" s="26">
        <v>0</v>
      </c>
      <c r="L384" s="26">
        <v>0</v>
      </c>
      <c r="M384" s="26">
        <v>0</v>
      </c>
      <c r="N384" s="26">
        <v>0</v>
      </c>
      <c r="O384" s="26">
        <v>0</v>
      </c>
      <c r="P384" s="26">
        <v>0</v>
      </c>
      <c r="Q384" s="26">
        <v>0</v>
      </c>
      <c r="R384" s="26">
        <v>0</v>
      </c>
      <c r="S384" s="26">
        <v>0</v>
      </c>
      <c r="T384" s="26">
        <v>0</v>
      </c>
      <c r="U384" s="26">
        <v>0</v>
      </c>
      <c r="V384" s="26">
        <v>0</v>
      </c>
      <c r="W384" s="26">
        <v>0</v>
      </c>
      <c r="X384" s="26">
        <v>0</v>
      </c>
      <c r="Y384" s="26">
        <v>0</v>
      </c>
      <c r="Z384" s="26">
        <v>0</v>
      </c>
      <c r="AA384" s="26">
        <v>0</v>
      </c>
      <c r="AB384" s="26">
        <v>0</v>
      </c>
      <c r="AC384" s="26">
        <v>0</v>
      </c>
      <c r="AD384" s="26">
        <v>0</v>
      </c>
      <c r="AE384" s="26">
        <v>0</v>
      </c>
      <c r="AF384" s="26">
        <v>0</v>
      </c>
      <c r="AG384" s="26">
        <v>0</v>
      </c>
      <c r="AH384" s="26">
        <v>0</v>
      </c>
      <c r="AI384" s="26">
        <v>0</v>
      </c>
      <c r="AJ384" s="26">
        <v>0</v>
      </c>
      <c r="AK384" s="26">
        <v>0</v>
      </c>
      <c r="AL384" s="26">
        <v>0</v>
      </c>
      <c r="AM384" s="26">
        <v>0</v>
      </c>
      <c r="AN384" s="26">
        <v>0</v>
      </c>
      <c r="AO384" s="26">
        <v>0</v>
      </c>
      <c r="AP384" s="26">
        <v>0</v>
      </c>
      <c r="AQ384" s="26">
        <v>0</v>
      </c>
      <c r="AR384" s="26">
        <v>0</v>
      </c>
      <c r="AS384" s="26">
        <v>0</v>
      </c>
      <c r="AT384" s="26">
        <v>0</v>
      </c>
      <c r="AU384" s="26">
        <v>0</v>
      </c>
      <c r="AV384" s="26">
        <v>0</v>
      </c>
      <c r="AW384" s="26">
        <v>0</v>
      </c>
      <c r="AX384" s="26">
        <v>0</v>
      </c>
      <c r="AY384" s="26">
        <v>0</v>
      </c>
      <c r="AZ384" s="26">
        <v>0</v>
      </c>
      <c r="BA384" s="26">
        <v>0</v>
      </c>
      <c r="BB384" s="26">
        <v>0</v>
      </c>
      <c r="BC384" s="26">
        <v>0</v>
      </c>
      <c r="BD384" s="26">
        <v>0</v>
      </c>
      <c r="BE384" s="26">
        <v>0</v>
      </c>
      <c r="BF384" s="26">
        <v>0</v>
      </c>
      <c r="BG384" s="26">
        <v>0</v>
      </c>
      <c r="BH384" s="26">
        <v>0</v>
      </c>
      <c r="BI384" s="26">
        <v>0</v>
      </c>
      <c r="BJ384" s="26">
        <v>0</v>
      </c>
      <c r="BK384" s="26">
        <v>0</v>
      </c>
      <c r="BL384" s="26">
        <v>0</v>
      </c>
      <c r="BM384" s="26">
        <v>0</v>
      </c>
      <c r="BN384" s="26">
        <v>0</v>
      </c>
      <c r="BO384" s="26">
        <v>29074.009400000003</v>
      </c>
      <c r="BP384" s="26">
        <v>523776.42099999991</v>
      </c>
      <c r="BQ384" s="26">
        <v>8851.7036499999995</v>
      </c>
      <c r="BR384" s="26">
        <v>33</v>
      </c>
      <c r="BS384" s="26">
        <v>1</v>
      </c>
      <c r="BT384" s="26">
        <v>0</v>
      </c>
      <c r="BU384" s="26">
        <v>1</v>
      </c>
      <c r="BV384" s="26">
        <v>0</v>
      </c>
      <c r="BW384" s="26">
        <v>-68099.428700000004</v>
      </c>
      <c r="BX384" s="26">
        <v>-3780.0927200000001</v>
      </c>
      <c r="BY384" s="26">
        <v>-1979.92345</v>
      </c>
      <c r="BZ384" s="26">
        <v>-38.4147356</v>
      </c>
      <c r="CA384" s="26">
        <v>-2.1323418599999999</v>
      </c>
      <c r="CB384" s="26">
        <v>5.4742774600000002E-2</v>
      </c>
      <c r="CC384" s="26">
        <v>0.986206413</v>
      </c>
      <c r="CD384" s="26">
        <v>18.015280000000001</v>
      </c>
      <c r="CE384" s="26">
        <v>8746.4310700000005</v>
      </c>
      <c r="CF384" s="26">
        <v>0</v>
      </c>
      <c r="CG384" s="26">
        <v>0</v>
      </c>
      <c r="CH384" s="26">
        <v>0</v>
      </c>
      <c r="CI384" s="26">
        <v>0</v>
      </c>
      <c r="CJ384" s="26">
        <v>0</v>
      </c>
      <c r="CK384" s="26">
        <v>0</v>
      </c>
      <c r="CL384" s="26">
        <v>0</v>
      </c>
      <c r="CM384" s="26">
        <v>0</v>
      </c>
      <c r="CN384" s="26">
        <v>0</v>
      </c>
      <c r="CO384" s="26">
        <v>0</v>
      </c>
      <c r="CP384" s="26">
        <v>0</v>
      </c>
      <c r="CQ384" s="26">
        <v>0</v>
      </c>
      <c r="CR384" s="26">
        <v>0</v>
      </c>
      <c r="CS384" s="26">
        <v>0</v>
      </c>
      <c r="CT384" s="26">
        <v>0</v>
      </c>
      <c r="CU384" s="26">
        <v>0</v>
      </c>
      <c r="CV384" s="26">
        <v>0</v>
      </c>
      <c r="CW384" s="26">
        <v>0</v>
      </c>
      <c r="CX384" s="26">
        <v>0</v>
      </c>
      <c r="CY384" s="26">
        <v>0</v>
      </c>
      <c r="CZ384" s="26">
        <v>0</v>
      </c>
      <c r="DA384" s="26">
        <v>0</v>
      </c>
      <c r="DB384" s="26">
        <v>0</v>
      </c>
      <c r="DC384" s="26">
        <v>0</v>
      </c>
      <c r="DD384" s="26">
        <v>0</v>
      </c>
      <c r="DE384" s="26">
        <v>0</v>
      </c>
      <c r="DF384" s="26">
        <v>0</v>
      </c>
      <c r="DG384" s="26">
        <v>0</v>
      </c>
      <c r="DH384" s="26">
        <v>0</v>
      </c>
      <c r="DI384" s="26">
        <v>0</v>
      </c>
      <c r="DJ384" s="26">
        <v>0</v>
      </c>
      <c r="DK384" s="26">
        <v>0</v>
      </c>
      <c r="DL384" s="26">
        <v>0</v>
      </c>
      <c r="DM384" s="26">
        <v>0</v>
      </c>
      <c r="DN384" s="26">
        <v>0</v>
      </c>
      <c r="DO384" s="26">
        <v>0</v>
      </c>
      <c r="DP384" s="26">
        <v>0</v>
      </c>
      <c r="DQ384" s="26">
        <v>0</v>
      </c>
      <c r="DR384" s="26">
        <v>0</v>
      </c>
      <c r="DS384" s="26">
        <v>0</v>
      </c>
      <c r="DT384" s="26">
        <v>0</v>
      </c>
      <c r="DU384" s="26">
        <v>0</v>
      </c>
      <c r="DV384" s="26">
        <v>0</v>
      </c>
      <c r="DW384" s="26">
        <v>0</v>
      </c>
      <c r="DX384" s="26">
        <v>0</v>
      </c>
      <c r="DY384" s="26">
        <v>0</v>
      </c>
      <c r="DZ384" s="26">
        <v>0</v>
      </c>
      <c r="EA384" s="26">
        <v>0</v>
      </c>
      <c r="EB384" s="26">
        <v>0</v>
      </c>
      <c r="EC384" s="26">
        <v>0</v>
      </c>
      <c r="ED384" s="26">
        <v>0</v>
      </c>
      <c r="EE384" s="26">
        <v>0</v>
      </c>
      <c r="EF384" s="26">
        <v>0</v>
      </c>
      <c r="EG384" s="26">
        <v>0</v>
      </c>
      <c r="EH384" s="26">
        <v>0</v>
      </c>
      <c r="EI384" s="26">
        <v>0</v>
      </c>
      <c r="EJ384" s="26">
        <v>0</v>
      </c>
      <c r="EK384" s="26">
        <v>0</v>
      </c>
      <c r="EL384" s="26">
        <v>0</v>
      </c>
      <c r="EM384" s="26">
        <v>0</v>
      </c>
      <c r="EN384" s="26">
        <v>0</v>
      </c>
      <c r="EO384" s="26">
        <v>0</v>
      </c>
      <c r="EP384" s="26">
        <v>0</v>
      </c>
      <c r="EQ384" s="26">
        <v>0</v>
      </c>
      <c r="ER384" s="26">
        <v>0</v>
      </c>
      <c r="ES384" s="26">
        <v>0</v>
      </c>
      <c r="ET384" s="26">
        <v>1</v>
      </c>
      <c r="EU384" s="26">
        <v>0</v>
      </c>
      <c r="EV384" s="26">
        <v>0</v>
      </c>
      <c r="EW384" s="26">
        <v>0</v>
      </c>
      <c r="EX384" s="26">
        <v>0</v>
      </c>
      <c r="EY384" s="26">
        <v>0</v>
      </c>
      <c r="EZ384" s="26">
        <v>0</v>
      </c>
      <c r="FA384" s="26">
        <v>0</v>
      </c>
      <c r="FB384" s="26">
        <v>0</v>
      </c>
      <c r="FC384" s="26">
        <v>0</v>
      </c>
      <c r="FD384" s="26">
        <v>0</v>
      </c>
      <c r="FE384" s="26">
        <v>0</v>
      </c>
      <c r="FF384" s="26">
        <v>0</v>
      </c>
      <c r="FG384" s="26">
        <v>0</v>
      </c>
      <c r="FH384" s="26">
        <v>-2307139594.1100001</v>
      </c>
      <c r="FI384" s="26">
        <v>0</v>
      </c>
      <c r="FJ384" s="26">
        <v>0</v>
      </c>
      <c r="FK384" s="26">
        <v>0</v>
      </c>
      <c r="FL384" s="26">
        <v>0</v>
      </c>
      <c r="FM384" s="26">
        <v>0</v>
      </c>
      <c r="FN384" s="26">
        <v>0</v>
      </c>
      <c r="FO384" s="26">
        <v>0</v>
      </c>
      <c r="FP384" s="26">
        <v>0</v>
      </c>
      <c r="FQ384" s="26">
        <v>0</v>
      </c>
      <c r="FR384" s="26">
        <v>0</v>
      </c>
      <c r="FS384" s="26">
        <v>0</v>
      </c>
      <c r="FT384" s="26">
        <v>0</v>
      </c>
      <c r="FU384" s="26">
        <v>0</v>
      </c>
      <c r="FV384" s="26">
        <v>0</v>
      </c>
      <c r="FW384" s="26">
        <v>0</v>
      </c>
      <c r="FX384" s="26">
        <v>0</v>
      </c>
      <c r="FY384" s="26">
        <v>0</v>
      </c>
      <c r="FZ384" s="26">
        <v>0</v>
      </c>
      <c r="GA384" s="26">
        <v>0</v>
      </c>
      <c r="GB384" s="26">
        <v>0</v>
      </c>
      <c r="GC384" s="26">
        <v>0</v>
      </c>
      <c r="GD384" s="26">
        <v>0</v>
      </c>
      <c r="GE384" s="26">
        <v>0</v>
      </c>
      <c r="GF384" s="26">
        <v>0</v>
      </c>
      <c r="GG384" s="26">
        <v>0</v>
      </c>
      <c r="GH384" s="26">
        <v>0</v>
      </c>
      <c r="GI384" s="26">
        <v>0</v>
      </c>
      <c r="GJ384" s="26">
        <v>0</v>
      </c>
      <c r="GK384" s="26">
        <v>0</v>
      </c>
      <c r="GL384" s="26">
        <v>0</v>
      </c>
      <c r="GM384" s="26">
        <v>0</v>
      </c>
      <c r="GN384" s="26">
        <v>0</v>
      </c>
      <c r="GO384" s="26">
        <v>0</v>
      </c>
      <c r="GP384" s="26">
        <v>0</v>
      </c>
      <c r="GQ384" s="26">
        <v>0</v>
      </c>
      <c r="GR384" s="26">
        <v>0</v>
      </c>
      <c r="GS384" s="26">
        <v>0</v>
      </c>
      <c r="GT384" s="26">
        <v>0</v>
      </c>
      <c r="GU384" s="26">
        <v>0</v>
      </c>
      <c r="GV384" s="26">
        <v>0</v>
      </c>
      <c r="GW384" s="26">
        <v>0</v>
      </c>
      <c r="GX384" s="26">
        <v>0</v>
      </c>
      <c r="GY384" s="26">
        <v>0</v>
      </c>
      <c r="GZ384" s="26">
        <v>0</v>
      </c>
      <c r="HA384" s="26">
        <v>0</v>
      </c>
      <c r="HB384" s="26">
        <v>0</v>
      </c>
      <c r="HC384" s="26">
        <v>0</v>
      </c>
      <c r="HD384" s="26">
        <v>0</v>
      </c>
      <c r="HE384" s="26">
        <v>0</v>
      </c>
      <c r="HF384" s="26">
        <v>0</v>
      </c>
      <c r="HG384" s="26">
        <v>0</v>
      </c>
      <c r="HH384" s="26">
        <v>0</v>
      </c>
      <c r="HI384" s="26">
        <v>0</v>
      </c>
      <c r="HJ384" s="26">
        <v>0</v>
      </c>
      <c r="HK384" s="26">
        <v>0</v>
      </c>
      <c r="HL384" s="26">
        <v>0</v>
      </c>
      <c r="HM384" s="26">
        <v>0</v>
      </c>
      <c r="HN384" s="26">
        <v>0</v>
      </c>
      <c r="HO384" s="26">
        <v>0</v>
      </c>
      <c r="HP384" s="26">
        <v>0</v>
      </c>
      <c r="HQ384" s="26">
        <v>0</v>
      </c>
      <c r="HR384" s="26">
        <v>0</v>
      </c>
      <c r="HS384" s="26">
        <v>0</v>
      </c>
      <c r="HT384" s="26">
        <v>0</v>
      </c>
    </row>
    <row r="385" spans="2:228" x14ac:dyDescent="0.2">
      <c r="B385" s="27" t="s">
        <v>2917</v>
      </c>
      <c r="C385" s="26">
        <v>147136.25899999999</v>
      </c>
      <c r="D385" s="26">
        <v>-552.51530600000001</v>
      </c>
      <c r="E385" s="26">
        <v>147136.25899999999</v>
      </c>
      <c r="F385" s="26">
        <v>0</v>
      </c>
      <c r="G385" s="26">
        <v>0</v>
      </c>
      <c r="H385" s="26">
        <v>0</v>
      </c>
      <c r="I385" s="26">
        <v>0</v>
      </c>
      <c r="J385" s="26">
        <v>0</v>
      </c>
      <c r="K385" s="26">
        <v>0</v>
      </c>
      <c r="L385" s="26">
        <v>0</v>
      </c>
      <c r="M385" s="26">
        <v>0</v>
      </c>
      <c r="N385" s="26">
        <v>0</v>
      </c>
      <c r="O385" s="26">
        <v>0</v>
      </c>
      <c r="P385" s="26">
        <v>0</v>
      </c>
      <c r="Q385" s="26">
        <v>0</v>
      </c>
      <c r="R385" s="26">
        <v>0</v>
      </c>
      <c r="S385" s="26">
        <v>0</v>
      </c>
      <c r="T385" s="26">
        <v>0</v>
      </c>
      <c r="U385" s="26">
        <v>0</v>
      </c>
      <c r="V385" s="26">
        <v>0</v>
      </c>
      <c r="W385" s="26">
        <v>0</v>
      </c>
      <c r="X385" s="26">
        <v>0</v>
      </c>
      <c r="Y385" s="26">
        <v>0</v>
      </c>
      <c r="Z385" s="26">
        <v>0</v>
      </c>
      <c r="AA385" s="26">
        <v>0</v>
      </c>
      <c r="AB385" s="26">
        <v>0</v>
      </c>
      <c r="AC385" s="26">
        <v>0</v>
      </c>
      <c r="AD385" s="26">
        <v>0</v>
      </c>
      <c r="AE385" s="26">
        <v>0</v>
      </c>
      <c r="AF385" s="26">
        <v>0</v>
      </c>
      <c r="AG385" s="26">
        <v>0</v>
      </c>
      <c r="AH385" s="26">
        <v>0</v>
      </c>
      <c r="AI385" s="26">
        <v>0</v>
      </c>
      <c r="AJ385" s="26">
        <v>0</v>
      </c>
      <c r="AK385" s="26">
        <v>0</v>
      </c>
      <c r="AL385" s="26">
        <v>0</v>
      </c>
      <c r="AM385" s="26">
        <v>0</v>
      </c>
      <c r="AN385" s="26">
        <v>0</v>
      </c>
      <c r="AO385" s="26">
        <v>0</v>
      </c>
      <c r="AP385" s="26">
        <v>0</v>
      </c>
      <c r="AQ385" s="26">
        <v>0</v>
      </c>
      <c r="AR385" s="26">
        <v>0</v>
      </c>
      <c r="AS385" s="26">
        <v>0</v>
      </c>
      <c r="AT385" s="26">
        <v>0</v>
      </c>
      <c r="AU385" s="26">
        <v>0</v>
      </c>
      <c r="AV385" s="26">
        <v>0</v>
      </c>
      <c r="AW385" s="26">
        <v>0</v>
      </c>
      <c r="AX385" s="26">
        <v>0</v>
      </c>
      <c r="AY385" s="26">
        <v>0</v>
      </c>
      <c r="AZ385" s="26">
        <v>0</v>
      </c>
      <c r="BA385" s="26">
        <v>0</v>
      </c>
      <c r="BB385" s="26">
        <v>0</v>
      </c>
      <c r="BC385" s="26">
        <v>0</v>
      </c>
      <c r="BD385" s="26">
        <v>0</v>
      </c>
      <c r="BE385" s="26">
        <v>0</v>
      </c>
      <c r="BF385" s="26">
        <v>0</v>
      </c>
      <c r="BG385" s="26">
        <v>0</v>
      </c>
      <c r="BH385" s="26">
        <v>0</v>
      </c>
      <c r="BI385" s="26">
        <v>0</v>
      </c>
      <c r="BJ385" s="26">
        <v>0</v>
      </c>
      <c r="BK385" s="26">
        <v>0</v>
      </c>
      <c r="BL385" s="26">
        <v>0</v>
      </c>
      <c r="BM385" s="26">
        <v>0</v>
      </c>
      <c r="BN385" s="26">
        <v>0</v>
      </c>
      <c r="BO385" s="26">
        <v>8167.3034899999993</v>
      </c>
      <c r="BP385" s="26">
        <v>147136.25899999999</v>
      </c>
      <c r="BQ385" s="26">
        <v>2553.66266</v>
      </c>
      <c r="BR385" s="26">
        <v>59.229510000000005</v>
      </c>
      <c r="BS385" s="26">
        <v>4.2455168099999998</v>
      </c>
      <c r="BT385" s="26">
        <v>0</v>
      </c>
      <c r="BU385" s="26">
        <v>1</v>
      </c>
      <c r="BV385" s="26">
        <v>0</v>
      </c>
      <c r="BW385" s="26">
        <v>-67649.659700000004</v>
      </c>
      <c r="BX385" s="26">
        <v>-3755.1267400000002</v>
      </c>
      <c r="BY385" s="26">
        <v>-552.51530600000001</v>
      </c>
      <c r="BZ385" s="26">
        <v>-37.0140818</v>
      </c>
      <c r="CA385" s="26">
        <v>-2.0545937599999999</v>
      </c>
      <c r="CB385" s="26">
        <v>5.3304504599999997E-2</v>
      </c>
      <c r="CC385" s="26">
        <v>0.96029557599999993</v>
      </c>
      <c r="CD385" s="26">
        <v>18.015280000000001</v>
      </c>
      <c r="CE385" s="26">
        <v>2456.9971</v>
      </c>
      <c r="CF385" s="26">
        <v>0</v>
      </c>
      <c r="CG385" s="26">
        <v>0</v>
      </c>
      <c r="CH385" s="26">
        <v>0</v>
      </c>
      <c r="CI385" s="26">
        <v>0</v>
      </c>
      <c r="CJ385" s="26">
        <v>0</v>
      </c>
      <c r="CK385" s="26">
        <v>0</v>
      </c>
      <c r="CL385" s="26">
        <v>0</v>
      </c>
      <c r="CM385" s="26">
        <v>0</v>
      </c>
      <c r="CN385" s="26">
        <v>0</v>
      </c>
      <c r="CO385" s="26">
        <v>0</v>
      </c>
      <c r="CP385" s="26">
        <v>0</v>
      </c>
      <c r="CQ385" s="26">
        <v>0</v>
      </c>
      <c r="CR385" s="26">
        <v>0</v>
      </c>
      <c r="CS385" s="26">
        <v>0</v>
      </c>
      <c r="CT385" s="26">
        <v>0</v>
      </c>
      <c r="CU385" s="26">
        <v>0</v>
      </c>
      <c r="CV385" s="26">
        <v>0</v>
      </c>
      <c r="CW385" s="26">
        <v>0</v>
      </c>
      <c r="CX385" s="26">
        <v>0</v>
      </c>
      <c r="CY385" s="26">
        <v>0</v>
      </c>
      <c r="CZ385" s="26">
        <v>0</v>
      </c>
      <c r="DA385" s="26">
        <v>0</v>
      </c>
      <c r="DB385" s="26">
        <v>0</v>
      </c>
      <c r="DC385" s="26">
        <v>0</v>
      </c>
      <c r="DD385" s="26">
        <v>0</v>
      </c>
      <c r="DE385" s="26">
        <v>0</v>
      </c>
      <c r="DF385" s="26">
        <v>0</v>
      </c>
      <c r="DG385" s="26">
        <v>0</v>
      </c>
      <c r="DH385" s="26">
        <v>0</v>
      </c>
      <c r="DI385" s="26">
        <v>0</v>
      </c>
      <c r="DJ385" s="26">
        <v>0</v>
      </c>
      <c r="DK385" s="26">
        <v>0</v>
      </c>
      <c r="DL385" s="26">
        <v>0</v>
      </c>
      <c r="DM385" s="26">
        <v>0</v>
      </c>
      <c r="DN385" s="26">
        <v>0</v>
      </c>
      <c r="DO385" s="26">
        <v>0</v>
      </c>
      <c r="DP385" s="26">
        <v>0</v>
      </c>
      <c r="DQ385" s="26">
        <v>0</v>
      </c>
      <c r="DR385" s="26">
        <v>0</v>
      </c>
      <c r="DS385" s="26">
        <v>0</v>
      </c>
      <c r="DT385" s="26">
        <v>0</v>
      </c>
      <c r="DU385" s="26">
        <v>0</v>
      </c>
      <c r="DV385" s="26">
        <v>0</v>
      </c>
      <c r="DW385" s="26">
        <v>0</v>
      </c>
      <c r="DX385" s="26">
        <v>0</v>
      </c>
      <c r="DY385" s="26">
        <v>0</v>
      </c>
      <c r="DZ385" s="26">
        <v>0</v>
      </c>
      <c r="EA385" s="26">
        <v>0</v>
      </c>
      <c r="EB385" s="26">
        <v>0</v>
      </c>
      <c r="EC385" s="26">
        <v>0</v>
      </c>
      <c r="ED385" s="26">
        <v>0</v>
      </c>
      <c r="EE385" s="26">
        <v>0</v>
      </c>
      <c r="EF385" s="26">
        <v>0</v>
      </c>
      <c r="EG385" s="26">
        <v>0</v>
      </c>
      <c r="EH385" s="26">
        <v>0</v>
      </c>
      <c r="EI385" s="26">
        <v>0</v>
      </c>
      <c r="EJ385" s="26">
        <v>0</v>
      </c>
      <c r="EK385" s="26">
        <v>0</v>
      </c>
      <c r="EL385" s="26">
        <v>0</v>
      </c>
      <c r="EM385" s="26">
        <v>0</v>
      </c>
      <c r="EN385" s="26">
        <v>0</v>
      </c>
      <c r="EO385" s="26">
        <v>0</v>
      </c>
      <c r="EP385" s="26">
        <v>0</v>
      </c>
      <c r="EQ385" s="26">
        <v>0</v>
      </c>
      <c r="ER385" s="26">
        <v>0</v>
      </c>
      <c r="ES385" s="26">
        <v>0</v>
      </c>
      <c r="ET385" s="26">
        <v>4.2455168099999998</v>
      </c>
      <c r="EU385" s="26">
        <v>0</v>
      </c>
      <c r="EV385" s="26">
        <v>0</v>
      </c>
      <c r="EW385" s="26">
        <v>0</v>
      </c>
      <c r="EX385" s="26">
        <v>0</v>
      </c>
      <c r="EY385" s="26">
        <v>0</v>
      </c>
      <c r="EZ385" s="26">
        <v>0</v>
      </c>
      <c r="FA385" s="26">
        <v>0</v>
      </c>
      <c r="FB385" s="26">
        <v>0</v>
      </c>
      <c r="FC385" s="26">
        <v>0</v>
      </c>
      <c r="FD385" s="26">
        <v>0</v>
      </c>
      <c r="FE385" s="26">
        <v>0</v>
      </c>
      <c r="FF385" s="26">
        <v>0</v>
      </c>
      <c r="FG385" s="26">
        <v>0</v>
      </c>
      <c r="FH385" s="26">
        <v>-648108383.86300004</v>
      </c>
      <c r="FI385" s="26">
        <v>0</v>
      </c>
      <c r="FJ385" s="26">
        <v>0</v>
      </c>
      <c r="FK385" s="26">
        <v>0</v>
      </c>
      <c r="FL385" s="26">
        <v>0</v>
      </c>
      <c r="FM385" s="26">
        <v>0</v>
      </c>
      <c r="FN385" s="26">
        <v>0</v>
      </c>
      <c r="FO385" s="26">
        <v>0</v>
      </c>
      <c r="FP385" s="26">
        <v>0</v>
      </c>
      <c r="FQ385" s="26">
        <v>0</v>
      </c>
      <c r="FR385" s="26">
        <v>0</v>
      </c>
      <c r="FS385" s="26">
        <v>0</v>
      </c>
      <c r="FT385" s="26">
        <v>0</v>
      </c>
      <c r="FU385" s="26">
        <v>0</v>
      </c>
      <c r="FV385" s="26">
        <v>0</v>
      </c>
      <c r="FW385" s="26">
        <v>0</v>
      </c>
      <c r="FX385" s="26">
        <v>0</v>
      </c>
      <c r="FY385" s="26">
        <v>0</v>
      </c>
      <c r="FZ385" s="26">
        <v>0</v>
      </c>
      <c r="GA385" s="26">
        <v>0</v>
      </c>
      <c r="GB385" s="26">
        <v>0</v>
      </c>
      <c r="GC385" s="26">
        <v>0</v>
      </c>
      <c r="GD385" s="26">
        <v>0</v>
      </c>
      <c r="GE385" s="26">
        <v>0</v>
      </c>
      <c r="GF385" s="26">
        <v>0</v>
      </c>
      <c r="GG385" s="26">
        <v>0</v>
      </c>
      <c r="GH385" s="26">
        <v>0</v>
      </c>
      <c r="GI385" s="26">
        <v>0</v>
      </c>
      <c r="GJ385" s="26">
        <v>0</v>
      </c>
      <c r="GK385" s="26">
        <v>0</v>
      </c>
      <c r="GL385" s="26">
        <v>0</v>
      </c>
      <c r="GM385" s="26">
        <v>0</v>
      </c>
      <c r="GN385" s="26">
        <v>0</v>
      </c>
      <c r="GO385" s="26">
        <v>0</v>
      </c>
      <c r="GP385" s="26">
        <v>0</v>
      </c>
      <c r="GQ385" s="26">
        <v>0</v>
      </c>
      <c r="GR385" s="26">
        <v>0</v>
      </c>
      <c r="GS385" s="26">
        <v>0</v>
      </c>
      <c r="GT385" s="26">
        <v>0</v>
      </c>
      <c r="GU385" s="26">
        <v>0</v>
      </c>
      <c r="GV385" s="26">
        <v>0</v>
      </c>
      <c r="GW385" s="26">
        <v>0</v>
      </c>
      <c r="GX385" s="26">
        <v>0</v>
      </c>
      <c r="GY385" s="26">
        <v>0</v>
      </c>
      <c r="GZ385" s="26">
        <v>0</v>
      </c>
      <c r="HA385" s="26">
        <v>0</v>
      </c>
      <c r="HB385" s="26">
        <v>0</v>
      </c>
      <c r="HC385" s="26">
        <v>0</v>
      </c>
      <c r="HD385" s="26">
        <v>0</v>
      </c>
      <c r="HE385" s="26">
        <v>0</v>
      </c>
      <c r="HF385" s="26">
        <v>0</v>
      </c>
      <c r="HG385" s="26">
        <v>0</v>
      </c>
      <c r="HH385" s="26">
        <v>0</v>
      </c>
      <c r="HI385" s="26">
        <v>0</v>
      </c>
      <c r="HJ385" s="26">
        <v>0</v>
      </c>
      <c r="HK385" s="26">
        <v>0</v>
      </c>
      <c r="HL385" s="26">
        <v>0</v>
      </c>
      <c r="HM385" s="26">
        <v>0</v>
      </c>
      <c r="HN385" s="26">
        <v>0</v>
      </c>
      <c r="HO385" s="26">
        <v>0</v>
      </c>
      <c r="HP385" s="26">
        <v>0</v>
      </c>
      <c r="HQ385" s="26">
        <v>0</v>
      </c>
      <c r="HR385" s="26">
        <v>0</v>
      </c>
      <c r="HS385" s="26">
        <v>0</v>
      </c>
      <c r="HT385" s="26">
        <v>0</v>
      </c>
    </row>
    <row r="386" spans="2:228" x14ac:dyDescent="0.2">
      <c r="B386" s="27" t="s">
        <v>1472</v>
      </c>
      <c r="C386" s="26">
        <v>140999.443</v>
      </c>
      <c r="D386" s="26">
        <v>-532.974199</v>
      </c>
      <c r="E386" s="26">
        <v>140999.443</v>
      </c>
      <c r="F386" s="26">
        <v>0</v>
      </c>
      <c r="G386" s="26">
        <v>0</v>
      </c>
      <c r="H386" s="26">
        <v>0</v>
      </c>
      <c r="I386" s="26">
        <v>0</v>
      </c>
      <c r="J386" s="26">
        <v>0</v>
      </c>
      <c r="K386" s="26">
        <v>0</v>
      </c>
      <c r="L386" s="26">
        <v>0</v>
      </c>
      <c r="M386" s="26">
        <v>0</v>
      </c>
      <c r="N386" s="26">
        <v>0</v>
      </c>
      <c r="O386" s="26">
        <v>0</v>
      </c>
      <c r="P386" s="26">
        <v>0</v>
      </c>
      <c r="Q386" s="26">
        <v>0</v>
      </c>
      <c r="R386" s="26">
        <v>0</v>
      </c>
      <c r="S386" s="26">
        <v>0</v>
      </c>
      <c r="T386" s="26">
        <v>0</v>
      </c>
      <c r="U386" s="26">
        <v>0</v>
      </c>
      <c r="V386" s="26">
        <v>0</v>
      </c>
      <c r="W386" s="26">
        <v>0</v>
      </c>
      <c r="X386" s="26">
        <v>0</v>
      </c>
      <c r="Y386" s="26">
        <v>0</v>
      </c>
      <c r="Z386" s="26">
        <v>0</v>
      </c>
      <c r="AA386" s="26">
        <v>0</v>
      </c>
      <c r="AB386" s="26">
        <v>0</v>
      </c>
      <c r="AC386" s="26">
        <v>0</v>
      </c>
      <c r="AD386" s="26">
        <v>0</v>
      </c>
      <c r="AE386" s="26">
        <v>0</v>
      </c>
      <c r="AF386" s="26">
        <v>0</v>
      </c>
      <c r="AG386" s="26">
        <v>0</v>
      </c>
      <c r="AH386" s="26">
        <v>0</v>
      </c>
      <c r="AI386" s="26">
        <v>0</v>
      </c>
      <c r="AJ386" s="26">
        <v>0</v>
      </c>
      <c r="AK386" s="26">
        <v>0</v>
      </c>
      <c r="AL386" s="26">
        <v>0</v>
      </c>
      <c r="AM386" s="26">
        <v>0</v>
      </c>
      <c r="AN386" s="26">
        <v>0</v>
      </c>
      <c r="AO386" s="26">
        <v>0</v>
      </c>
      <c r="AP386" s="26">
        <v>0</v>
      </c>
      <c r="AQ386" s="26">
        <v>0</v>
      </c>
      <c r="AR386" s="26">
        <v>0</v>
      </c>
      <c r="AS386" s="26">
        <v>0</v>
      </c>
      <c r="AT386" s="26">
        <v>0</v>
      </c>
      <c r="AU386" s="26">
        <v>0</v>
      </c>
      <c r="AV386" s="26">
        <v>0</v>
      </c>
      <c r="AW386" s="26">
        <v>0</v>
      </c>
      <c r="AX386" s="26">
        <v>0</v>
      </c>
      <c r="AY386" s="26">
        <v>0</v>
      </c>
      <c r="AZ386" s="26">
        <v>0</v>
      </c>
      <c r="BA386" s="26">
        <v>0</v>
      </c>
      <c r="BB386" s="26">
        <v>0</v>
      </c>
      <c r="BC386" s="26">
        <v>0</v>
      </c>
      <c r="BD386" s="26">
        <v>0</v>
      </c>
      <c r="BE386" s="26">
        <v>0</v>
      </c>
      <c r="BF386" s="26">
        <v>0</v>
      </c>
      <c r="BG386" s="26">
        <v>0</v>
      </c>
      <c r="BH386" s="26">
        <v>0</v>
      </c>
      <c r="BI386" s="26">
        <v>0</v>
      </c>
      <c r="BJ386" s="26">
        <v>0</v>
      </c>
      <c r="BK386" s="26">
        <v>0</v>
      </c>
      <c r="BL386" s="26">
        <v>0</v>
      </c>
      <c r="BM386" s="26">
        <v>0</v>
      </c>
      <c r="BN386" s="26">
        <v>0</v>
      </c>
      <c r="BO386" s="26">
        <v>7826.6584200000007</v>
      </c>
      <c r="BP386" s="26">
        <v>140999.443</v>
      </c>
      <c r="BQ386" s="26">
        <v>2383.1603</v>
      </c>
      <c r="BR386" s="26">
        <v>33.128185400000007</v>
      </c>
      <c r="BS386" s="26">
        <v>5</v>
      </c>
      <c r="BT386" s="26">
        <v>0</v>
      </c>
      <c r="BU386" s="26">
        <v>1</v>
      </c>
      <c r="BV386" s="26">
        <v>0</v>
      </c>
      <c r="BW386" s="26">
        <v>-68097.285699999993</v>
      </c>
      <c r="BX386" s="26">
        <v>-3779.9737599999999</v>
      </c>
      <c r="BY386" s="26">
        <v>-532.974199</v>
      </c>
      <c r="BZ386" s="26">
        <v>-38.407792600000001</v>
      </c>
      <c r="CA386" s="26">
        <v>-2.1319564600000001</v>
      </c>
      <c r="CB386" s="26">
        <v>5.47358503E-2</v>
      </c>
      <c r="CC386" s="26">
        <v>0.98608166900000005</v>
      </c>
      <c r="CD386" s="26">
        <v>18.015280000000001</v>
      </c>
      <c r="CE386" s="26">
        <v>2354.51971</v>
      </c>
      <c r="CF386" s="26">
        <v>0</v>
      </c>
      <c r="CG386" s="26">
        <v>0</v>
      </c>
      <c r="CH386" s="26">
        <v>0</v>
      </c>
      <c r="CI386" s="26">
        <v>0</v>
      </c>
      <c r="CJ386" s="26">
        <v>0</v>
      </c>
      <c r="CK386" s="26">
        <v>0</v>
      </c>
      <c r="CL386" s="26">
        <v>0</v>
      </c>
      <c r="CM386" s="26">
        <v>0</v>
      </c>
      <c r="CN386" s="26">
        <v>0</v>
      </c>
      <c r="CO386" s="26">
        <v>0</v>
      </c>
      <c r="CP386" s="26">
        <v>0</v>
      </c>
      <c r="CQ386" s="26">
        <v>0</v>
      </c>
      <c r="CR386" s="26">
        <v>0</v>
      </c>
      <c r="CS386" s="26">
        <v>0</v>
      </c>
      <c r="CT386" s="26">
        <v>0</v>
      </c>
      <c r="CU386" s="26">
        <v>0</v>
      </c>
      <c r="CV386" s="26">
        <v>0</v>
      </c>
      <c r="CW386" s="26">
        <v>0</v>
      </c>
      <c r="CX386" s="26">
        <v>0</v>
      </c>
      <c r="CY386" s="26">
        <v>0</v>
      </c>
      <c r="CZ386" s="26">
        <v>0</v>
      </c>
      <c r="DA386" s="26">
        <v>0</v>
      </c>
      <c r="DB386" s="26">
        <v>0</v>
      </c>
      <c r="DC386" s="26">
        <v>0</v>
      </c>
      <c r="DD386" s="26">
        <v>0</v>
      </c>
      <c r="DE386" s="26">
        <v>0</v>
      </c>
      <c r="DF386" s="26">
        <v>0</v>
      </c>
      <c r="DG386" s="26">
        <v>0</v>
      </c>
      <c r="DH386" s="26">
        <v>0</v>
      </c>
      <c r="DI386" s="26">
        <v>0</v>
      </c>
      <c r="DJ386" s="26">
        <v>0</v>
      </c>
      <c r="DK386" s="26">
        <v>0</v>
      </c>
      <c r="DL386" s="26">
        <v>0</v>
      </c>
      <c r="DM386" s="26">
        <v>0</v>
      </c>
      <c r="DN386" s="26">
        <v>0</v>
      </c>
      <c r="DO386" s="26">
        <v>0</v>
      </c>
      <c r="DP386" s="26">
        <v>0</v>
      </c>
      <c r="DQ386" s="26">
        <v>0</v>
      </c>
      <c r="DR386" s="26">
        <v>0</v>
      </c>
      <c r="DS386" s="26">
        <v>0</v>
      </c>
      <c r="DT386" s="26">
        <v>0</v>
      </c>
      <c r="DU386" s="26">
        <v>0</v>
      </c>
      <c r="DV386" s="26">
        <v>0</v>
      </c>
      <c r="DW386" s="26">
        <v>0</v>
      </c>
      <c r="DX386" s="26">
        <v>0</v>
      </c>
      <c r="DY386" s="26">
        <v>0</v>
      </c>
      <c r="DZ386" s="26">
        <v>0</v>
      </c>
      <c r="EA386" s="26">
        <v>0</v>
      </c>
      <c r="EB386" s="26">
        <v>0</v>
      </c>
      <c r="EC386" s="26">
        <v>0</v>
      </c>
      <c r="ED386" s="26">
        <v>0</v>
      </c>
      <c r="EE386" s="26">
        <v>0</v>
      </c>
      <c r="EF386" s="26">
        <v>0</v>
      </c>
      <c r="EG386" s="26">
        <v>0</v>
      </c>
      <c r="EH386" s="26">
        <v>0</v>
      </c>
      <c r="EI386" s="26">
        <v>0</v>
      </c>
      <c r="EJ386" s="26">
        <v>0</v>
      </c>
      <c r="EK386" s="26">
        <v>0</v>
      </c>
      <c r="EL386" s="26">
        <v>0</v>
      </c>
      <c r="EM386" s="26">
        <v>0</v>
      </c>
      <c r="EN386" s="26">
        <v>0</v>
      </c>
      <c r="EO386" s="26">
        <v>0</v>
      </c>
      <c r="EP386" s="26">
        <v>0</v>
      </c>
      <c r="EQ386" s="26">
        <v>0</v>
      </c>
      <c r="ER386" s="26">
        <v>0</v>
      </c>
      <c r="ES386" s="26">
        <v>0</v>
      </c>
      <c r="ET386" s="26">
        <v>5</v>
      </c>
      <c r="EU386" s="26">
        <v>0</v>
      </c>
      <c r="EV386" s="26">
        <v>0</v>
      </c>
      <c r="EW386" s="26">
        <v>0</v>
      </c>
      <c r="EX386" s="26">
        <v>0</v>
      </c>
      <c r="EY386" s="26">
        <v>0</v>
      </c>
      <c r="EZ386" s="26">
        <v>0</v>
      </c>
      <c r="FA386" s="26">
        <v>0</v>
      </c>
      <c r="FB386" s="26">
        <v>0</v>
      </c>
      <c r="FC386" s="26">
        <v>0</v>
      </c>
      <c r="FD386" s="26">
        <v>0</v>
      </c>
      <c r="FE386" s="26">
        <v>0</v>
      </c>
      <c r="FF386" s="26">
        <v>0</v>
      </c>
      <c r="FG386" s="26">
        <v>0</v>
      </c>
      <c r="FH386" s="26">
        <v>-621076828.36099994</v>
      </c>
      <c r="FI386" s="26">
        <v>0</v>
      </c>
      <c r="FJ386" s="26">
        <v>0</v>
      </c>
      <c r="FK386" s="26">
        <v>0</v>
      </c>
      <c r="FL386" s="26">
        <v>0</v>
      </c>
      <c r="FM386" s="26">
        <v>0</v>
      </c>
      <c r="FN386" s="26">
        <v>0</v>
      </c>
      <c r="FO386" s="26">
        <v>0</v>
      </c>
      <c r="FP386" s="26">
        <v>0</v>
      </c>
      <c r="FQ386" s="26">
        <v>0</v>
      </c>
      <c r="FR386" s="26">
        <v>0</v>
      </c>
      <c r="FS386" s="26">
        <v>0</v>
      </c>
      <c r="FT386" s="26">
        <v>0</v>
      </c>
      <c r="FU386" s="26">
        <v>0</v>
      </c>
      <c r="FV386" s="26">
        <v>0</v>
      </c>
      <c r="FW386" s="26">
        <v>0</v>
      </c>
      <c r="FX386" s="26">
        <v>0</v>
      </c>
      <c r="FY386" s="26">
        <v>0</v>
      </c>
      <c r="FZ386" s="26">
        <v>0</v>
      </c>
      <c r="GA386" s="26">
        <v>0</v>
      </c>
      <c r="GB386" s="26">
        <v>0</v>
      </c>
      <c r="GC386" s="26">
        <v>0</v>
      </c>
      <c r="GD386" s="26">
        <v>0</v>
      </c>
      <c r="GE386" s="26">
        <v>0</v>
      </c>
      <c r="GF386" s="26">
        <v>0</v>
      </c>
      <c r="GG386" s="26">
        <v>0</v>
      </c>
      <c r="GH386" s="26">
        <v>0</v>
      </c>
      <c r="GI386" s="26">
        <v>0</v>
      </c>
      <c r="GJ386" s="26">
        <v>0</v>
      </c>
      <c r="GK386" s="26">
        <v>0</v>
      </c>
      <c r="GL386" s="26">
        <v>0</v>
      </c>
      <c r="GM386" s="26">
        <v>0</v>
      </c>
      <c r="GN386" s="26">
        <v>0</v>
      </c>
      <c r="GO386" s="26">
        <v>0</v>
      </c>
      <c r="GP386" s="26">
        <v>0</v>
      </c>
      <c r="GQ386" s="26">
        <v>0</v>
      </c>
      <c r="GR386" s="26">
        <v>0</v>
      </c>
      <c r="GS386" s="26">
        <v>0</v>
      </c>
      <c r="GT386" s="26">
        <v>0</v>
      </c>
      <c r="GU386" s="26">
        <v>0</v>
      </c>
      <c r="GV386" s="26">
        <v>0</v>
      </c>
      <c r="GW386" s="26">
        <v>0</v>
      </c>
      <c r="GX386" s="26">
        <v>0</v>
      </c>
      <c r="GY386" s="26">
        <v>0</v>
      </c>
      <c r="GZ386" s="26">
        <v>0</v>
      </c>
      <c r="HA386" s="26">
        <v>0</v>
      </c>
      <c r="HB386" s="26">
        <v>0</v>
      </c>
      <c r="HC386" s="26">
        <v>0</v>
      </c>
      <c r="HD386" s="26">
        <v>0</v>
      </c>
      <c r="HE386" s="26">
        <v>0</v>
      </c>
      <c r="HF386" s="26">
        <v>0</v>
      </c>
      <c r="HG386" s="26">
        <v>0</v>
      </c>
      <c r="HH386" s="26">
        <v>0</v>
      </c>
      <c r="HI386" s="26">
        <v>0</v>
      </c>
      <c r="HJ386" s="26">
        <v>0</v>
      </c>
      <c r="HK386" s="26">
        <v>0</v>
      </c>
      <c r="HL386" s="26">
        <v>0</v>
      </c>
      <c r="HM386" s="26">
        <v>0</v>
      </c>
      <c r="HN386" s="26">
        <v>0</v>
      </c>
      <c r="HO386" s="26">
        <v>0</v>
      </c>
      <c r="HP386" s="26">
        <v>0</v>
      </c>
      <c r="HQ386" s="26">
        <v>0</v>
      </c>
      <c r="HR386" s="26">
        <v>0</v>
      </c>
      <c r="HS386" s="26">
        <v>0</v>
      </c>
      <c r="HT386" s="26">
        <v>0</v>
      </c>
    </row>
    <row r="387" spans="2:228" x14ac:dyDescent="0.2">
      <c r="B387" s="27" t="s">
        <v>1480</v>
      </c>
      <c r="C387" s="26">
        <v>150458.399</v>
      </c>
      <c r="D387" s="26">
        <v>-568.72880599999996</v>
      </c>
      <c r="E387" s="26">
        <v>150458.399</v>
      </c>
      <c r="F387" s="26">
        <v>0</v>
      </c>
      <c r="G387" s="26">
        <v>0</v>
      </c>
      <c r="H387" s="26">
        <v>0</v>
      </c>
      <c r="I387" s="26">
        <v>0</v>
      </c>
      <c r="J387" s="26">
        <v>0</v>
      </c>
      <c r="K387" s="26">
        <v>0</v>
      </c>
      <c r="L387" s="26">
        <v>0</v>
      </c>
      <c r="M387" s="26">
        <v>0</v>
      </c>
      <c r="N387" s="26">
        <v>0</v>
      </c>
      <c r="O387" s="26">
        <v>0</v>
      </c>
      <c r="P387" s="26">
        <v>0</v>
      </c>
      <c r="Q387" s="26">
        <v>0</v>
      </c>
      <c r="R387" s="26">
        <v>0</v>
      </c>
      <c r="S387" s="26">
        <v>0</v>
      </c>
      <c r="T387" s="26">
        <v>0</v>
      </c>
      <c r="U387" s="26">
        <v>0</v>
      </c>
      <c r="V387" s="26">
        <v>0</v>
      </c>
      <c r="W387" s="26">
        <v>0</v>
      </c>
      <c r="X387" s="26">
        <v>0</v>
      </c>
      <c r="Y387" s="26">
        <v>0</v>
      </c>
      <c r="Z387" s="26">
        <v>0</v>
      </c>
      <c r="AA387" s="26">
        <v>0</v>
      </c>
      <c r="AB387" s="26">
        <v>0</v>
      </c>
      <c r="AC387" s="26">
        <v>0</v>
      </c>
      <c r="AD387" s="26">
        <v>0</v>
      </c>
      <c r="AE387" s="26">
        <v>0</v>
      </c>
      <c r="AF387" s="26">
        <v>0</v>
      </c>
      <c r="AG387" s="26">
        <v>0</v>
      </c>
      <c r="AH387" s="26">
        <v>0</v>
      </c>
      <c r="AI387" s="26">
        <v>0</v>
      </c>
      <c r="AJ387" s="26">
        <v>0</v>
      </c>
      <c r="AK387" s="26">
        <v>0</v>
      </c>
      <c r="AL387" s="26">
        <v>0</v>
      </c>
      <c r="AM387" s="26">
        <v>0</v>
      </c>
      <c r="AN387" s="26">
        <v>0</v>
      </c>
      <c r="AO387" s="26">
        <v>0</v>
      </c>
      <c r="AP387" s="26">
        <v>0</v>
      </c>
      <c r="AQ387" s="26">
        <v>0</v>
      </c>
      <c r="AR387" s="26">
        <v>0</v>
      </c>
      <c r="AS387" s="26">
        <v>0</v>
      </c>
      <c r="AT387" s="26">
        <v>0</v>
      </c>
      <c r="AU387" s="26">
        <v>0</v>
      </c>
      <c r="AV387" s="26">
        <v>0</v>
      </c>
      <c r="AW387" s="26">
        <v>0</v>
      </c>
      <c r="AX387" s="26">
        <v>0</v>
      </c>
      <c r="AY387" s="26">
        <v>0</v>
      </c>
      <c r="AZ387" s="26">
        <v>0</v>
      </c>
      <c r="BA387" s="26">
        <v>0</v>
      </c>
      <c r="BB387" s="26">
        <v>0</v>
      </c>
      <c r="BC387" s="26">
        <v>0</v>
      </c>
      <c r="BD387" s="26">
        <v>0</v>
      </c>
      <c r="BE387" s="26">
        <v>0</v>
      </c>
      <c r="BF387" s="26">
        <v>0</v>
      </c>
      <c r="BG387" s="26">
        <v>0</v>
      </c>
      <c r="BH387" s="26">
        <v>0</v>
      </c>
      <c r="BI387" s="26">
        <v>0</v>
      </c>
      <c r="BJ387" s="26">
        <v>0</v>
      </c>
      <c r="BK387" s="26">
        <v>0</v>
      </c>
      <c r="BL387" s="26">
        <v>0</v>
      </c>
      <c r="BM387" s="26">
        <v>0</v>
      </c>
      <c r="BN387" s="26">
        <v>0</v>
      </c>
      <c r="BO387" s="26">
        <v>8351.7102900000009</v>
      </c>
      <c r="BP387" s="26">
        <v>150458.399</v>
      </c>
      <c r="BQ387" s="26">
        <v>2543.03476</v>
      </c>
      <c r="BR387" s="26">
        <v>33.128185400000007</v>
      </c>
      <c r="BS387" s="26">
        <v>5</v>
      </c>
      <c r="BT387" s="26">
        <v>0</v>
      </c>
      <c r="BU387" s="26">
        <v>1</v>
      </c>
      <c r="BV387" s="26">
        <v>0</v>
      </c>
      <c r="BW387" s="26">
        <v>-68097.285699999993</v>
      </c>
      <c r="BX387" s="26">
        <v>-3779.9737599999999</v>
      </c>
      <c r="BY387" s="26">
        <v>-568.72880599999996</v>
      </c>
      <c r="BZ387" s="26">
        <v>-38.407792600000001</v>
      </c>
      <c r="CA387" s="26">
        <v>-2.1319564600000001</v>
      </c>
      <c r="CB387" s="26">
        <v>5.47358503E-2</v>
      </c>
      <c r="CC387" s="26">
        <v>0.98608166900000005</v>
      </c>
      <c r="CD387" s="26">
        <v>18.015280000000001</v>
      </c>
      <c r="CE387" s="26">
        <v>2512.47282</v>
      </c>
      <c r="CF387" s="26">
        <v>0</v>
      </c>
      <c r="CG387" s="26">
        <v>0</v>
      </c>
      <c r="CH387" s="26">
        <v>0</v>
      </c>
      <c r="CI387" s="26">
        <v>0</v>
      </c>
      <c r="CJ387" s="26">
        <v>0</v>
      </c>
      <c r="CK387" s="26">
        <v>0</v>
      </c>
      <c r="CL387" s="26">
        <v>0</v>
      </c>
      <c r="CM387" s="26">
        <v>0</v>
      </c>
      <c r="CN387" s="26">
        <v>0</v>
      </c>
      <c r="CO387" s="26">
        <v>0</v>
      </c>
      <c r="CP387" s="26">
        <v>0</v>
      </c>
      <c r="CQ387" s="26">
        <v>0</v>
      </c>
      <c r="CR387" s="26">
        <v>0</v>
      </c>
      <c r="CS387" s="26">
        <v>0</v>
      </c>
      <c r="CT387" s="26">
        <v>0</v>
      </c>
      <c r="CU387" s="26">
        <v>0</v>
      </c>
      <c r="CV387" s="26">
        <v>0</v>
      </c>
      <c r="CW387" s="26">
        <v>0</v>
      </c>
      <c r="CX387" s="26">
        <v>0</v>
      </c>
      <c r="CY387" s="26">
        <v>0</v>
      </c>
      <c r="CZ387" s="26">
        <v>0</v>
      </c>
      <c r="DA387" s="26">
        <v>0</v>
      </c>
      <c r="DB387" s="26">
        <v>0</v>
      </c>
      <c r="DC387" s="26">
        <v>0</v>
      </c>
      <c r="DD387" s="26">
        <v>0</v>
      </c>
      <c r="DE387" s="26">
        <v>0</v>
      </c>
      <c r="DF387" s="26">
        <v>0</v>
      </c>
      <c r="DG387" s="26">
        <v>0</v>
      </c>
      <c r="DH387" s="26">
        <v>0</v>
      </c>
      <c r="DI387" s="26">
        <v>0</v>
      </c>
      <c r="DJ387" s="26">
        <v>0</v>
      </c>
      <c r="DK387" s="26">
        <v>0</v>
      </c>
      <c r="DL387" s="26">
        <v>0</v>
      </c>
      <c r="DM387" s="26">
        <v>0</v>
      </c>
      <c r="DN387" s="26">
        <v>0</v>
      </c>
      <c r="DO387" s="26">
        <v>0</v>
      </c>
      <c r="DP387" s="26">
        <v>0</v>
      </c>
      <c r="DQ387" s="26">
        <v>0</v>
      </c>
      <c r="DR387" s="26">
        <v>0</v>
      </c>
      <c r="DS387" s="26">
        <v>0</v>
      </c>
      <c r="DT387" s="26">
        <v>0</v>
      </c>
      <c r="DU387" s="26">
        <v>0</v>
      </c>
      <c r="DV387" s="26">
        <v>0</v>
      </c>
      <c r="DW387" s="26">
        <v>0</v>
      </c>
      <c r="DX387" s="26">
        <v>0</v>
      </c>
      <c r="DY387" s="26">
        <v>0</v>
      </c>
      <c r="DZ387" s="26">
        <v>0</v>
      </c>
      <c r="EA387" s="26">
        <v>0</v>
      </c>
      <c r="EB387" s="26">
        <v>0</v>
      </c>
      <c r="EC387" s="26">
        <v>0</v>
      </c>
      <c r="ED387" s="26">
        <v>0</v>
      </c>
      <c r="EE387" s="26">
        <v>0</v>
      </c>
      <c r="EF387" s="26">
        <v>0</v>
      </c>
      <c r="EG387" s="26">
        <v>0</v>
      </c>
      <c r="EH387" s="26">
        <v>0</v>
      </c>
      <c r="EI387" s="26">
        <v>0</v>
      </c>
      <c r="EJ387" s="26">
        <v>0</v>
      </c>
      <c r="EK387" s="26">
        <v>0</v>
      </c>
      <c r="EL387" s="26">
        <v>0</v>
      </c>
      <c r="EM387" s="26">
        <v>0</v>
      </c>
      <c r="EN387" s="26">
        <v>0</v>
      </c>
      <c r="EO387" s="26">
        <v>0</v>
      </c>
      <c r="EP387" s="26">
        <v>0</v>
      </c>
      <c r="EQ387" s="26">
        <v>0</v>
      </c>
      <c r="ER387" s="26">
        <v>0</v>
      </c>
      <c r="ES387" s="26">
        <v>0</v>
      </c>
      <c r="ET387" s="26">
        <v>5</v>
      </c>
      <c r="EU387" s="26">
        <v>0</v>
      </c>
      <c r="EV387" s="26">
        <v>0</v>
      </c>
      <c r="EW387" s="26">
        <v>0</v>
      </c>
      <c r="EX387" s="26">
        <v>0</v>
      </c>
      <c r="EY387" s="26">
        <v>0</v>
      </c>
      <c r="EZ387" s="26">
        <v>0</v>
      </c>
      <c r="FA387" s="26">
        <v>0</v>
      </c>
      <c r="FB387" s="26">
        <v>0</v>
      </c>
      <c r="FC387" s="26">
        <v>0</v>
      </c>
      <c r="FD387" s="26">
        <v>0</v>
      </c>
      <c r="FE387" s="26">
        <v>0</v>
      </c>
      <c r="FF387" s="26">
        <v>0</v>
      </c>
      <c r="FG387" s="26">
        <v>0</v>
      </c>
      <c r="FH387" s="26">
        <v>-662741805.77699995</v>
      </c>
      <c r="FI387" s="26">
        <v>0</v>
      </c>
      <c r="FJ387" s="26">
        <v>0</v>
      </c>
      <c r="FK387" s="26">
        <v>0</v>
      </c>
      <c r="FL387" s="26">
        <v>0</v>
      </c>
      <c r="FM387" s="26">
        <v>0</v>
      </c>
      <c r="FN387" s="26">
        <v>0</v>
      </c>
      <c r="FO387" s="26">
        <v>0</v>
      </c>
      <c r="FP387" s="26">
        <v>0</v>
      </c>
      <c r="FQ387" s="26">
        <v>0</v>
      </c>
      <c r="FR387" s="26">
        <v>0</v>
      </c>
      <c r="FS387" s="26">
        <v>0</v>
      </c>
      <c r="FT387" s="26">
        <v>0</v>
      </c>
      <c r="FU387" s="26">
        <v>0</v>
      </c>
      <c r="FV387" s="26">
        <v>0</v>
      </c>
      <c r="FW387" s="26">
        <v>0</v>
      </c>
      <c r="FX387" s="26">
        <v>0</v>
      </c>
      <c r="FY387" s="26">
        <v>0</v>
      </c>
      <c r="FZ387" s="26">
        <v>0</v>
      </c>
      <c r="GA387" s="26">
        <v>0</v>
      </c>
      <c r="GB387" s="26">
        <v>0</v>
      </c>
      <c r="GC387" s="26">
        <v>0</v>
      </c>
      <c r="GD387" s="26">
        <v>0</v>
      </c>
      <c r="GE387" s="26">
        <v>0</v>
      </c>
      <c r="GF387" s="26">
        <v>0</v>
      </c>
      <c r="GG387" s="26">
        <v>0</v>
      </c>
      <c r="GH387" s="26">
        <v>0</v>
      </c>
      <c r="GI387" s="26">
        <v>0</v>
      </c>
      <c r="GJ387" s="26">
        <v>0</v>
      </c>
      <c r="GK387" s="26">
        <v>0</v>
      </c>
      <c r="GL387" s="26">
        <v>0</v>
      </c>
      <c r="GM387" s="26">
        <v>0</v>
      </c>
      <c r="GN387" s="26">
        <v>0</v>
      </c>
      <c r="GO387" s="26">
        <v>0</v>
      </c>
      <c r="GP387" s="26">
        <v>0</v>
      </c>
      <c r="GQ387" s="26">
        <v>0</v>
      </c>
      <c r="GR387" s="26">
        <v>0</v>
      </c>
      <c r="GS387" s="26">
        <v>0</v>
      </c>
      <c r="GT387" s="26">
        <v>0</v>
      </c>
      <c r="GU387" s="26">
        <v>0</v>
      </c>
      <c r="GV387" s="26">
        <v>0</v>
      </c>
      <c r="GW387" s="26">
        <v>0</v>
      </c>
      <c r="GX387" s="26">
        <v>0</v>
      </c>
      <c r="GY387" s="26">
        <v>0</v>
      </c>
      <c r="GZ387" s="26">
        <v>0</v>
      </c>
      <c r="HA387" s="26">
        <v>0</v>
      </c>
      <c r="HB387" s="26">
        <v>0</v>
      </c>
      <c r="HC387" s="26">
        <v>0</v>
      </c>
      <c r="HD387" s="26">
        <v>0</v>
      </c>
      <c r="HE387" s="26">
        <v>0</v>
      </c>
      <c r="HF387" s="26">
        <v>0</v>
      </c>
      <c r="HG387" s="26">
        <v>0</v>
      </c>
      <c r="HH387" s="26">
        <v>0</v>
      </c>
      <c r="HI387" s="26">
        <v>0</v>
      </c>
      <c r="HJ387" s="26">
        <v>0</v>
      </c>
      <c r="HK387" s="26">
        <v>0</v>
      </c>
      <c r="HL387" s="26">
        <v>0</v>
      </c>
      <c r="HM387" s="26">
        <v>0</v>
      </c>
      <c r="HN387" s="26">
        <v>0</v>
      </c>
      <c r="HO387" s="26">
        <v>0</v>
      </c>
      <c r="HP387" s="26">
        <v>0</v>
      </c>
      <c r="HQ387" s="26">
        <v>0</v>
      </c>
      <c r="HR387" s="26">
        <v>0</v>
      </c>
      <c r="HS387" s="26">
        <v>0</v>
      </c>
      <c r="HT387" s="26">
        <v>0</v>
      </c>
    </row>
    <row r="388" spans="2:228" x14ac:dyDescent="0.2">
      <c r="B388" s="27" t="s">
        <v>1469</v>
      </c>
      <c r="C388" s="26">
        <v>11419.2086</v>
      </c>
      <c r="D388" s="26">
        <v>-43.164309199999998</v>
      </c>
      <c r="E388" s="26">
        <v>11419.2086</v>
      </c>
      <c r="F388" s="26">
        <v>0</v>
      </c>
      <c r="G388" s="26">
        <v>0</v>
      </c>
      <c r="H388" s="26">
        <v>0</v>
      </c>
      <c r="I388" s="26">
        <v>0</v>
      </c>
      <c r="J388" s="26">
        <v>0</v>
      </c>
      <c r="K388" s="26">
        <v>0</v>
      </c>
      <c r="L388" s="26">
        <v>0</v>
      </c>
      <c r="M388" s="26">
        <v>0</v>
      </c>
      <c r="N388" s="26">
        <v>0</v>
      </c>
      <c r="O388" s="26">
        <v>0</v>
      </c>
      <c r="P388" s="26">
        <v>0</v>
      </c>
      <c r="Q388" s="26">
        <v>0</v>
      </c>
      <c r="R388" s="26">
        <v>0</v>
      </c>
      <c r="S388" s="26">
        <v>0</v>
      </c>
      <c r="T388" s="26">
        <v>0</v>
      </c>
      <c r="U388" s="26">
        <v>0</v>
      </c>
      <c r="V388" s="26">
        <v>0</v>
      </c>
      <c r="W388" s="26">
        <v>0</v>
      </c>
      <c r="X388" s="26">
        <v>0</v>
      </c>
      <c r="Y388" s="26">
        <v>0</v>
      </c>
      <c r="Z388" s="26">
        <v>0</v>
      </c>
      <c r="AA388" s="26">
        <v>0</v>
      </c>
      <c r="AB388" s="26">
        <v>0</v>
      </c>
      <c r="AC388" s="26">
        <v>0</v>
      </c>
      <c r="AD388" s="26">
        <v>0</v>
      </c>
      <c r="AE388" s="26">
        <v>0</v>
      </c>
      <c r="AF388" s="26">
        <v>0</v>
      </c>
      <c r="AG388" s="26">
        <v>0</v>
      </c>
      <c r="AH388" s="26">
        <v>0</v>
      </c>
      <c r="AI388" s="26">
        <v>0</v>
      </c>
      <c r="AJ388" s="26">
        <v>0</v>
      </c>
      <c r="AK388" s="26">
        <v>0</v>
      </c>
      <c r="AL388" s="26">
        <v>0</v>
      </c>
      <c r="AM388" s="26">
        <v>0</v>
      </c>
      <c r="AN388" s="26">
        <v>0</v>
      </c>
      <c r="AO388" s="26">
        <v>0</v>
      </c>
      <c r="AP388" s="26">
        <v>0</v>
      </c>
      <c r="AQ388" s="26">
        <v>0</v>
      </c>
      <c r="AR388" s="26">
        <v>0</v>
      </c>
      <c r="AS388" s="26">
        <v>0</v>
      </c>
      <c r="AT388" s="26">
        <v>0</v>
      </c>
      <c r="AU388" s="26">
        <v>0</v>
      </c>
      <c r="AV388" s="26">
        <v>0</v>
      </c>
      <c r="AW388" s="26">
        <v>0</v>
      </c>
      <c r="AX388" s="26">
        <v>0</v>
      </c>
      <c r="AY388" s="26">
        <v>0</v>
      </c>
      <c r="AZ388" s="26">
        <v>0</v>
      </c>
      <c r="BA388" s="26">
        <v>0</v>
      </c>
      <c r="BB388" s="26">
        <v>0</v>
      </c>
      <c r="BC388" s="26">
        <v>0</v>
      </c>
      <c r="BD388" s="26">
        <v>0</v>
      </c>
      <c r="BE388" s="26">
        <v>0</v>
      </c>
      <c r="BF388" s="26">
        <v>0</v>
      </c>
      <c r="BG388" s="26">
        <v>0</v>
      </c>
      <c r="BH388" s="26">
        <v>0</v>
      </c>
      <c r="BI388" s="26">
        <v>0</v>
      </c>
      <c r="BJ388" s="26">
        <v>0</v>
      </c>
      <c r="BK388" s="26">
        <v>0</v>
      </c>
      <c r="BL388" s="26">
        <v>0</v>
      </c>
      <c r="BM388" s="26">
        <v>0</v>
      </c>
      <c r="BN388" s="26">
        <v>0</v>
      </c>
      <c r="BO388" s="26">
        <v>633.86239799999998</v>
      </c>
      <c r="BP388" s="26">
        <v>11419.2086</v>
      </c>
      <c r="BQ388" s="26">
        <v>193.00646900000001</v>
      </c>
      <c r="BR388" s="26">
        <v>33.128185400000007</v>
      </c>
      <c r="BS388" s="26">
        <v>5</v>
      </c>
      <c r="BT388" s="26">
        <v>0</v>
      </c>
      <c r="BU388" s="26">
        <v>1</v>
      </c>
      <c r="BV388" s="26">
        <v>0</v>
      </c>
      <c r="BW388" s="26">
        <v>-68097.285699999993</v>
      </c>
      <c r="BX388" s="26">
        <v>-3779.9737599999999</v>
      </c>
      <c r="BY388" s="26">
        <v>-43.164309199999998</v>
      </c>
      <c r="BZ388" s="26">
        <v>-38.407792600000001</v>
      </c>
      <c r="CA388" s="26">
        <v>-2.1319564600000001</v>
      </c>
      <c r="CB388" s="26">
        <v>5.47358503E-2</v>
      </c>
      <c r="CC388" s="26">
        <v>0.98608166900000005</v>
      </c>
      <c r="CD388" s="26">
        <v>18.015280000000001</v>
      </c>
      <c r="CE388" s="26">
        <v>190.686936</v>
      </c>
      <c r="CF388" s="26">
        <v>0</v>
      </c>
      <c r="CG388" s="26">
        <v>0</v>
      </c>
      <c r="CH388" s="26">
        <v>0</v>
      </c>
      <c r="CI388" s="26">
        <v>0</v>
      </c>
      <c r="CJ388" s="26">
        <v>0</v>
      </c>
      <c r="CK388" s="26">
        <v>0</v>
      </c>
      <c r="CL388" s="26">
        <v>0</v>
      </c>
      <c r="CM388" s="26">
        <v>0</v>
      </c>
      <c r="CN388" s="26">
        <v>0</v>
      </c>
      <c r="CO388" s="26">
        <v>0</v>
      </c>
      <c r="CP388" s="26">
        <v>0</v>
      </c>
      <c r="CQ388" s="26">
        <v>0</v>
      </c>
      <c r="CR388" s="26">
        <v>0</v>
      </c>
      <c r="CS388" s="26">
        <v>0</v>
      </c>
      <c r="CT388" s="26">
        <v>0</v>
      </c>
      <c r="CU388" s="26">
        <v>0</v>
      </c>
      <c r="CV388" s="26">
        <v>0</v>
      </c>
      <c r="CW388" s="26">
        <v>0</v>
      </c>
      <c r="CX388" s="26">
        <v>0</v>
      </c>
      <c r="CY388" s="26">
        <v>0</v>
      </c>
      <c r="CZ388" s="26">
        <v>0</v>
      </c>
      <c r="DA388" s="26">
        <v>0</v>
      </c>
      <c r="DB388" s="26">
        <v>0</v>
      </c>
      <c r="DC388" s="26">
        <v>0</v>
      </c>
      <c r="DD388" s="26">
        <v>0</v>
      </c>
      <c r="DE388" s="26">
        <v>0</v>
      </c>
      <c r="DF388" s="26">
        <v>0</v>
      </c>
      <c r="DG388" s="26">
        <v>0</v>
      </c>
      <c r="DH388" s="26">
        <v>0</v>
      </c>
      <c r="DI388" s="26">
        <v>0</v>
      </c>
      <c r="DJ388" s="26">
        <v>0</v>
      </c>
      <c r="DK388" s="26">
        <v>0</v>
      </c>
      <c r="DL388" s="26">
        <v>0</v>
      </c>
      <c r="DM388" s="26">
        <v>0</v>
      </c>
      <c r="DN388" s="26">
        <v>0</v>
      </c>
      <c r="DO388" s="26">
        <v>0</v>
      </c>
      <c r="DP388" s="26">
        <v>0</v>
      </c>
      <c r="DQ388" s="26">
        <v>0</v>
      </c>
      <c r="DR388" s="26">
        <v>0</v>
      </c>
      <c r="DS388" s="26">
        <v>0</v>
      </c>
      <c r="DT388" s="26">
        <v>0</v>
      </c>
      <c r="DU388" s="26">
        <v>0</v>
      </c>
      <c r="DV388" s="26">
        <v>0</v>
      </c>
      <c r="DW388" s="26">
        <v>0</v>
      </c>
      <c r="DX388" s="26">
        <v>0</v>
      </c>
      <c r="DY388" s="26">
        <v>0</v>
      </c>
      <c r="DZ388" s="26">
        <v>0</v>
      </c>
      <c r="EA388" s="26">
        <v>0</v>
      </c>
      <c r="EB388" s="26">
        <v>0</v>
      </c>
      <c r="EC388" s="26">
        <v>0</v>
      </c>
      <c r="ED388" s="26">
        <v>0</v>
      </c>
      <c r="EE388" s="26">
        <v>0</v>
      </c>
      <c r="EF388" s="26">
        <v>0</v>
      </c>
      <c r="EG388" s="26">
        <v>0</v>
      </c>
      <c r="EH388" s="26">
        <v>0</v>
      </c>
      <c r="EI388" s="26">
        <v>0</v>
      </c>
      <c r="EJ388" s="26">
        <v>0</v>
      </c>
      <c r="EK388" s="26">
        <v>0</v>
      </c>
      <c r="EL388" s="26">
        <v>0</v>
      </c>
      <c r="EM388" s="26">
        <v>0</v>
      </c>
      <c r="EN388" s="26">
        <v>0</v>
      </c>
      <c r="EO388" s="26">
        <v>0</v>
      </c>
      <c r="EP388" s="26">
        <v>0</v>
      </c>
      <c r="EQ388" s="26">
        <v>0</v>
      </c>
      <c r="ER388" s="26">
        <v>0</v>
      </c>
      <c r="ES388" s="26">
        <v>0</v>
      </c>
      <c r="ET388" s="26">
        <v>5</v>
      </c>
      <c r="EU388" s="26">
        <v>0</v>
      </c>
      <c r="EV388" s="26">
        <v>0</v>
      </c>
      <c r="EW388" s="26">
        <v>0</v>
      </c>
      <c r="EX388" s="26">
        <v>0</v>
      </c>
      <c r="EY388" s="26">
        <v>0</v>
      </c>
      <c r="EZ388" s="26">
        <v>0</v>
      </c>
      <c r="FA388" s="26">
        <v>0</v>
      </c>
      <c r="FB388" s="26">
        <v>0</v>
      </c>
      <c r="FC388" s="26">
        <v>0</v>
      </c>
      <c r="FD388" s="26">
        <v>0</v>
      </c>
      <c r="FE388" s="26">
        <v>0</v>
      </c>
      <c r="FF388" s="26">
        <v>0</v>
      </c>
      <c r="FG388" s="26">
        <v>0</v>
      </c>
      <c r="FH388" s="26">
        <v>-50299531.007100001</v>
      </c>
      <c r="FI388" s="26">
        <v>0</v>
      </c>
      <c r="FJ388" s="26">
        <v>0</v>
      </c>
      <c r="FK388" s="26">
        <v>0</v>
      </c>
      <c r="FL388" s="26">
        <v>0</v>
      </c>
      <c r="FM388" s="26">
        <v>0</v>
      </c>
      <c r="FN388" s="26">
        <v>0</v>
      </c>
      <c r="FO388" s="26">
        <v>0</v>
      </c>
      <c r="FP388" s="26">
        <v>0</v>
      </c>
      <c r="FQ388" s="26">
        <v>0</v>
      </c>
      <c r="FR388" s="26">
        <v>0</v>
      </c>
      <c r="FS388" s="26">
        <v>0</v>
      </c>
      <c r="FT388" s="26">
        <v>0</v>
      </c>
      <c r="FU388" s="26">
        <v>0</v>
      </c>
      <c r="FV388" s="26">
        <v>0</v>
      </c>
      <c r="FW388" s="26">
        <v>0</v>
      </c>
      <c r="FX388" s="26">
        <v>0</v>
      </c>
      <c r="FY388" s="26">
        <v>0</v>
      </c>
      <c r="FZ388" s="26">
        <v>0</v>
      </c>
      <c r="GA388" s="26">
        <v>0</v>
      </c>
      <c r="GB388" s="26">
        <v>0</v>
      </c>
      <c r="GC388" s="26">
        <v>0</v>
      </c>
      <c r="GD388" s="26">
        <v>0</v>
      </c>
      <c r="GE388" s="26">
        <v>0</v>
      </c>
      <c r="GF388" s="26">
        <v>0</v>
      </c>
      <c r="GG388" s="26">
        <v>0</v>
      </c>
      <c r="GH388" s="26">
        <v>0</v>
      </c>
      <c r="GI388" s="26">
        <v>0</v>
      </c>
      <c r="GJ388" s="26">
        <v>0</v>
      </c>
      <c r="GK388" s="26">
        <v>0</v>
      </c>
      <c r="GL388" s="26">
        <v>0</v>
      </c>
      <c r="GM388" s="26">
        <v>0</v>
      </c>
      <c r="GN388" s="26">
        <v>0</v>
      </c>
      <c r="GO388" s="26">
        <v>0</v>
      </c>
      <c r="GP388" s="26">
        <v>0</v>
      </c>
      <c r="GQ388" s="26">
        <v>0</v>
      </c>
      <c r="GR388" s="26">
        <v>0</v>
      </c>
      <c r="GS388" s="26">
        <v>0</v>
      </c>
      <c r="GT388" s="26">
        <v>0</v>
      </c>
      <c r="GU388" s="26">
        <v>0</v>
      </c>
      <c r="GV388" s="26">
        <v>0</v>
      </c>
      <c r="GW388" s="26">
        <v>0</v>
      </c>
      <c r="GX388" s="26">
        <v>0</v>
      </c>
      <c r="GY388" s="26">
        <v>0</v>
      </c>
      <c r="GZ388" s="26">
        <v>0</v>
      </c>
      <c r="HA388" s="26">
        <v>0</v>
      </c>
      <c r="HB388" s="26">
        <v>0</v>
      </c>
      <c r="HC388" s="26">
        <v>0</v>
      </c>
      <c r="HD388" s="26">
        <v>0</v>
      </c>
      <c r="HE388" s="26">
        <v>0</v>
      </c>
      <c r="HF388" s="26">
        <v>0</v>
      </c>
      <c r="HG388" s="26">
        <v>0</v>
      </c>
      <c r="HH388" s="26">
        <v>0</v>
      </c>
      <c r="HI388" s="26">
        <v>0</v>
      </c>
      <c r="HJ388" s="26">
        <v>0</v>
      </c>
      <c r="HK388" s="26">
        <v>0</v>
      </c>
      <c r="HL388" s="26">
        <v>0</v>
      </c>
      <c r="HM388" s="26">
        <v>0</v>
      </c>
      <c r="HN388" s="26">
        <v>0</v>
      </c>
      <c r="HO388" s="26">
        <v>0</v>
      </c>
      <c r="HP388" s="26">
        <v>0</v>
      </c>
      <c r="HQ388" s="26">
        <v>0</v>
      </c>
      <c r="HR388" s="26">
        <v>0</v>
      </c>
      <c r="HS388" s="26">
        <v>0</v>
      </c>
      <c r="HT388" s="26">
        <v>0</v>
      </c>
    </row>
    <row r="389" spans="2:228" x14ac:dyDescent="0.2">
      <c r="B389" s="27" t="s">
        <v>1478</v>
      </c>
      <c r="C389" s="26">
        <v>26830.853200000001</v>
      </c>
      <c r="D389" s="26">
        <v>-101.419922</v>
      </c>
      <c r="E389" s="26">
        <v>26830.853200000001</v>
      </c>
      <c r="F389" s="26">
        <v>0</v>
      </c>
      <c r="G389" s="26">
        <v>0</v>
      </c>
      <c r="H389" s="26">
        <v>0</v>
      </c>
      <c r="I389" s="26">
        <v>0</v>
      </c>
      <c r="J389" s="26">
        <v>0</v>
      </c>
      <c r="K389" s="26">
        <v>0</v>
      </c>
      <c r="L389" s="26">
        <v>0</v>
      </c>
      <c r="M389" s="26">
        <v>0</v>
      </c>
      <c r="N389" s="26">
        <v>0</v>
      </c>
      <c r="O389" s="26">
        <v>0</v>
      </c>
      <c r="P389" s="26">
        <v>0</v>
      </c>
      <c r="Q389" s="26">
        <v>0</v>
      </c>
      <c r="R389" s="26">
        <v>0</v>
      </c>
      <c r="S389" s="26">
        <v>0</v>
      </c>
      <c r="T389" s="26">
        <v>0</v>
      </c>
      <c r="U389" s="26">
        <v>0</v>
      </c>
      <c r="V389" s="26">
        <v>0</v>
      </c>
      <c r="W389" s="26">
        <v>0</v>
      </c>
      <c r="X389" s="26">
        <v>0</v>
      </c>
      <c r="Y389" s="26">
        <v>0</v>
      </c>
      <c r="Z389" s="26">
        <v>0</v>
      </c>
      <c r="AA389" s="26">
        <v>0</v>
      </c>
      <c r="AB389" s="26">
        <v>0</v>
      </c>
      <c r="AC389" s="26">
        <v>0</v>
      </c>
      <c r="AD389" s="26">
        <v>0</v>
      </c>
      <c r="AE389" s="26">
        <v>0</v>
      </c>
      <c r="AF389" s="26">
        <v>0</v>
      </c>
      <c r="AG389" s="26">
        <v>0</v>
      </c>
      <c r="AH389" s="26">
        <v>0</v>
      </c>
      <c r="AI389" s="26">
        <v>0</v>
      </c>
      <c r="AJ389" s="26">
        <v>0</v>
      </c>
      <c r="AK389" s="26">
        <v>0</v>
      </c>
      <c r="AL389" s="26">
        <v>0</v>
      </c>
      <c r="AM389" s="26">
        <v>0</v>
      </c>
      <c r="AN389" s="26">
        <v>0</v>
      </c>
      <c r="AO389" s="26">
        <v>0</v>
      </c>
      <c r="AP389" s="26">
        <v>0</v>
      </c>
      <c r="AQ389" s="26">
        <v>0</v>
      </c>
      <c r="AR389" s="26">
        <v>0</v>
      </c>
      <c r="AS389" s="26">
        <v>0</v>
      </c>
      <c r="AT389" s="26">
        <v>0</v>
      </c>
      <c r="AU389" s="26">
        <v>0</v>
      </c>
      <c r="AV389" s="26">
        <v>0</v>
      </c>
      <c r="AW389" s="26">
        <v>0</v>
      </c>
      <c r="AX389" s="26">
        <v>0</v>
      </c>
      <c r="AY389" s="26">
        <v>0</v>
      </c>
      <c r="AZ389" s="26">
        <v>0</v>
      </c>
      <c r="BA389" s="26">
        <v>0</v>
      </c>
      <c r="BB389" s="26">
        <v>0</v>
      </c>
      <c r="BC389" s="26">
        <v>0</v>
      </c>
      <c r="BD389" s="26">
        <v>0</v>
      </c>
      <c r="BE389" s="26">
        <v>0</v>
      </c>
      <c r="BF389" s="26">
        <v>0</v>
      </c>
      <c r="BG389" s="26">
        <v>0</v>
      </c>
      <c r="BH389" s="26">
        <v>0</v>
      </c>
      <c r="BI389" s="26">
        <v>0</v>
      </c>
      <c r="BJ389" s="26">
        <v>0</v>
      </c>
      <c r="BK389" s="26">
        <v>0</v>
      </c>
      <c r="BL389" s="26">
        <v>0</v>
      </c>
      <c r="BM389" s="26">
        <v>0</v>
      </c>
      <c r="BN389" s="26">
        <v>0</v>
      </c>
      <c r="BO389" s="26">
        <v>1489.3386700000001</v>
      </c>
      <c r="BP389" s="26">
        <v>26830.853200000001</v>
      </c>
      <c r="BQ389" s="26">
        <v>453.49274300000002</v>
      </c>
      <c r="BR389" s="26">
        <v>33.128185400000007</v>
      </c>
      <c r="BS389" s="26">
        <v>5</v>
      </c>
      <c r="BT389" s="26">
        <v>0</v>
      </c>
      <c r="BU389" s="26">
        <v>1</v>
      </c>
      <c r="BV389" s="26">
        <v>0</v>
      </c>
      <c r="BW389" s="26">
        <v>-68097.285699999993</v>
      </c>
      <c r="BX389" s="26">
        <v>-3779.9737599999999</v>
      </c>
      <c r="BY389" s="26">
        <v>-101.419922</v>
      </c>
      <c r="BZ389" s="26">
        <v>-38.407792600000001</v>
      </c>
      <c r="CA389" s="26">
        <v>-2.1319564600000001</v>
      </c>
      <c r="CB389" s="26">
        <v>5.47358503E-2</v>
      </c>
      <c r="CC389" s="26">
        <v>0.98608166900000005</v>
      </c>
      <c r="CD389" s="26">
        <v>18.015280000000001</v>
      </c>
      <c r="CE389" s="26">
        <v>448.04271199999999</v>
      </c>
      <c r="CF389" s="26">
        <v>0</v>
      </c>
      <c r="CG389" s="26">
        <v>0</v>
      </c>
      <c r="CH389" s="26">
        <v>0</v>
      </c>
      <c r="CI389" s="26">
        <v>0</v>
      </c>
      <c r="CJ389" s="26">
        <v>0</v>
      </c>
      <c r="CK389" s="26">
        <v>0</v>
      </c>
      <c r="CL389" s="26">
        <v>0</v>
      </c>
      <c r="CM389" s="26">
        <v>0</v>
      </c>
      <c r="CN389" s="26">
        <v>0</v>
      </c>
      <c r="CO389" s="26">
        <v>0</v>
      </c>
      <c r="CP389" s="26">
        <v>0</v>
      </c>
      <c r="CQ389" s="26">
        <v>0</v>
      </c>
      <c r="CR389" s="26">
        <v>0</v>
      </c>
      <c r="CS389" s="26">
        <v>0</v>
      </c>
      <c r="CT389" s="26">
        <v>0</v>
      </c>
      <c r="CU389" s="26">
        <v>0</v>
      </c>
      <c r="CV389" s="26">
        <v>0</v>
      </c>
      <c r="CW389" s="26">
        <v>0</v>
      </c>
      <c r="CX389" s="26">
        <v>0</v>
      </c>
      <c r="CY389" s="26">
        <v>0</v>
      </c>
      <c r="CZ389" s="26">
        <v>0</v>
      </c>
      <c r="DA389" s="26">
        <v>0</v>
      </c>
      <c r="DB389" s="26">
        <v>0</v>
      </c>
      <c r="DC389" s="26">
        <v>0</v>
      </c>
      <c r="DD389" s="26">
        <v>0</v>
      </c>
      <c r="DE389" s="26">
        <v>0</v>
      </c>
      <c r="DF389" s="26">
        <v>0</v>
      </c>
      <c r="DG389" s="26">
        <v>0</v>
      </c>
      <c r="DH389" s="26">
        <v>0</v>
      </c>
      <c r="DI389" s="26">
        <v>0</v>
      </c>
      <c r="DJ389" s="26">
        <v>0</v>
      </c>
      <c r="DK389" s="26">
        <v>0</v>
      </c>
      <c r="DL389" s="26">
        <v>0</v>
      </c>
      <c r="DM389" s="26">
        <v>0</v>
      </c>
      <c r="DN389" s="26">
        <v>0</v>
      </c>
      <c r="DO389" s="26">
        <v>0</v>
      </c>
      <c r="DP389" s="26">
        <v>0</v>
      </c>
      <c r="DQ389" s="26">
        <v>0</v>
      </c>
      <c r="DR389" s="26">
        <v>0</v>
      </c>
      <c r="DS389" s="26">
        <v>0</v>
      </c>
      <c r="DT389" s="26">
        <v>0</v>
      </c>
      <c r="DU389" s="26">
        <v>0</v>
      </c>
      <c r="DV389" s="26">
        <v>0</v>
      </c>
      <c r="DW389" s="26">
        <v>0</v>
      </c>
      <c r="DX389" s="26">
        <v>0</v>
      </c>
      <c r="DY389" s="26">
        <v>0</v>
      </c>
      <c r="DZ389" s="26">
        <v>0</v>
      </c>
      <c r="EA389" s="26">
        <v>0</v>
      </c>
      <c r="EB389" s="26">
        <v>0</v>
      </c>
      <c r="EC389" s="26">
        <v>0</v>
      </c>
      <c r="ED389" s="26">
        <v>0</v>
      </c>
      <c r="EE389" s="26">
        <v>0</v>
      </c>
      <c r="EF389" s="26">
        <v>0</v>
      </c>
      <c r="EG389" s="26">
        <v>0</v>
      </c>
      <c r="EH389" s="26">
        <v>0</v>
      </c>
      <c r="EI389" s="26">
        <v>0</v>
      </c>
      <c r="EJ389" s="26">
        <v>0</v>
      </c>
      <c r="EK389" s="26">
        <v>0</v>
      </c>
      <c r="EL389" s="26">
        <v>0</v>
      </c>
      <c r="EM389" s="26">
        <v>0</v>
      </c>
      <c r="EN389" s="26">
        <v>0</v>
      </c>
      <c r="EO389" s="26">
        <v>0</v>
      </c>
      <c r="EP389" s="26">
        <v>0</v>
      </c>
      <c r="EQ389" s="26">
        <v>0</v>
      </c>
      <c r="ER389" s="26">
        <v>0</v>
      </c>
      <c r="ES389" s="26">
        <v>0</v>
      </c>
      <c r="ET389" s="26">
        <v>5</v>
      </c>
      <c r="EU389" s="26">
        <v>0</v>
      </c>
      <c r="EV389" s="26">
        <v>0</v>
      </c>
      <c r="EW389" s="26">
        <v>0</v>
      </c>
      <c r="EX389" s="26">
        <v>0</v>
      </c>
      <c r="EY389" s="26">
        <v>0</v>
      </c>
      <c r="EZ389" s="26">
        <v>0</v>
      </c>
      <c r="FA389" s="26">
        <v>0</v>
      </c>
      <c r="FB389" s="26">
        <v>0</v>
      </c>
      <c r="FC389" s="26">
        <v>0</v>
      </c>
      <c r="FD389" s="26">
        <v>0</v>
      </c>
      <c r="FE389" s="26">
        <v>0</v>
      </c>
      <c r="FF389" s="26">
        <v>0</v>
      </c>
      <c r="FG389" s="26">
        <v>0</v>
      </c>
      <c r="FH389" s="26">
        <v>-118185014.82300001</v>
      </c>
      <c r="FI389" s="26">
        <v>0</v>
      </c>
      <c r="FJ389" s="26">
        <v>0</v>
      </c>
      <c r="FK389" s="26">
        <v>0</v>
      </c>
      <c r="FL389" s="26">
        <v>0</v>
      </c>
      <c r="FM389" s="26">
        <v>0</v>
      </c>
      <c r="FN389" s="26">
        <v>0</v>
      </c>
      <c r="FO389" s="26">
        <v>0</v>
      </c>
      <c r="FP389" s="26">
        <v>0</v>
      </c>
      <c r="FQ389" s="26">
        <v>0</v>
      </c>
      <c r="FR389" s="26">
        <v>0</v>
      </c>
      <c r="FS389" s="26">
        <v>0</v>
      </c>
      <c r="FT389" s="26">
        <v>0</v>
      </c>
      <c r="FU389" s="26">
        <v>0</v>
      </c>
      <c r="FV389" s="26">
        <v>0</v>
      </c>
      <c r="FW389" s="26">
        <v>0</v>
      </c>
      <c r="FX389" s="26">
        <v>0</v>
      </c>
      <c r="FY389" s="26">
        <v>0</v>
      </c>
      <c r="FZ389" s="26">
        <v>0</v>
      </c>
      <c r="GA389" s="26">
        <v>0</v>
      </c>
      <c r="GB389" s="26">
        <v>0</v>
      </c>
      <c r="GC389" s="26">
        <v>0</v>
      </c>
      <c r="GD389" s="26">
        <v>0</v>
      </c>
      <c r="GE389" s="26">
        <v>0</v>
      </c>
      <c r="GF389" s="26">
        <v>0</v>
      </c>
      <c r="GG389" s="26">
        <v>0</v>
      </c>
      <c r="GH389" s="26">
        <v>0</v>
      </c>
      <c r="GI389" s="26">
        <v>0</v>
      </c>
      <c r="GJ389" s="26">
        <v>0</v>
      </c>
      <c r="GK389" s="26">
        <v>0</v>
      </c>
      <c r="GL389" s="26">
        <v>0</v>
      </c>
      <c r="GM389" s="26">
        <v>0</v>
      </c>
      <c r="GN389" s="26">
        <v>0</v>
      </c>
      <c r="GO389" s="26">
        <v>0</v>
      </c>
      <c r="GP389" s="26">
        <v>0</v>
      </c>
      <c r="GQ389" s="26">
        <v>0</v>
      </c>
      <c r="GR389" s="26">
        <v>0</v>
      </c>
      <c r="GS389" s="26">
        <v>0</v>
      </c>
      <c r="GT389" s="26">
        <v>0</v>
      </c>
      <c r="GU389" s="26">
        <v>0</v>
      </c>
      <c r="GV389" s="26">
        <v>0</v>
      </c>
      <c r="GW389" s="26">
        <v>0</v>
      </c>
      <c r="GX389" s="26">
        <v>0</v>
      </c>
      <c r="GY389" s="26">
        <v>0</v>
      </c>
      <c r="GZ389" s="26">
        <v>0</v>
      </c>
      <c r="HA389" s="26">
        <v>0</v>
      </c>
      <c r="HB389" s="26">
        <v>0</v>
      </c>
      <c r="HC389" s="26">
        <v>0</v>
      </c>
      <c r="HD389" s="26">
        <v>0</v>
      </c>
      <c r="HE389" s="26">
        <v>0</v>
      </c>
      <c r="HF389" s="26">
        <v>0</v>
      </c>
      <c r="HG389" s="26">
        <v>0</v>
      </c>
      <c r="HH389" s="26">
        <v>0</v>
      </c>
      <c r="HI389" s="26">
        <v>0</v>
      </c>
      <c r="HJ389" s="26">
        <v>0</v>
      </c>
      <c r="HK389" s="26">
        <v>0</v>
      </c>
      <c r="HL389" s="26">
        <v>0</v>
      </c>
      <c r="HM389" s="26">
        <v>0</v>
      </c>
      <c r="HN389" s="26">
        <v>0</v>
      </c>
      <c r="HO389" s="26">
        <v>0</v>
      </c>
      <c r="HP389" s="26">
        <v>0</v>
      </c>
      <c r="HQ389" s="26">
        <v>0</v>
      </c>
      <c r="HR389" s="26">
        <v>0</v>
      </c>
      <c r="HS389" s="26">
        <v>0</v>
      </c>
      <c r="HT389" s="26">
        <v>0</v>
      </c>
    </row>
    <row r="390" spans="2:228" x14ac:dyDescent="0.2">
      <c r="B390" s="27" t="s">
        <v>2918</v>
      </c>
      <c r="C390" s="26">
        <v>376640.16100000002</v>
      </c>
      <c r="D390" s="26">
        <v>-1425.7897700000001</v>
      </c>
      <c r="E390" s="26">
        <v>376640.16100000002</v>
      </c>
      <c r="F390" s="26">
        <v>0</v>
      </c>
      <c r="G390" s="26">
        <v>0</v>
      </c>
      <c r="H390" s="26">
        <v>0</v>
      </c>
      <c r="I390" s="26">
        <v>0</v>
      </c>
      <c r="J390" s="26">
        <v>0</v>
      </c>
      <c r="K390" s="26">
        <v>0</v>
      </c>
      <c r="L390" s="26">
        <v>0</v>
      </c>
      <c r="M390" s="26">
        <v>0</v>
      </c>
      <c r="N390" s="26">
        <v>0</v>
      </c>
      <c r="O390" s="26">
        <v>0</v>
      </c>
      <c r="P390" s="26">
        <v>0</v>
      </c>
      <c r="Q390" s="26">
        <v>0</v>
      </c>
      <c r="R390" s="26">
        <v>0</v>
      </c>
      <c r="S390" s="26">
        <v>0</v>
      </c>
      <c r="T390" s="26">
        <v>0</v>
      </c>
      <c r="U390" s="26">
        <v>0</v>
      </c>
      <c r="V390" s="26">
        <v>0</v>
      </c>
      <c r="W390" s="26">
        <v>0</v>
      </c>
      <c r="X390" s="26">
        <v>0</v>
      </c>
      <c r="Y390" s="26">
        <v>0</v>
      </c>
      <c r="Z390" s="26">
        <v>0</v>
      </c>
      <c r="AA390" s="26">
        <v>0</v>
      </c>
      <c r="AB390" s="26">
        <v>0</v>
      </c>
      <c r="AC390" s="26">
        <v>0</v>
      </c>
      <c r="AD390" s="26">
        <v>0</v>
      </c>
      <c r="AE390" s="26">
        <v>0</v>
      </c>
      <c r="AF390" s="26">
        <v>0</v>
      </c>
      <c r="AG390" s="26">
        <v>0</v>
      </c>
      <c r="AH390" s="26">
        <v>0</v>
      </c>
      <c r="AI390" s="26">
        <v>0</v>
      </c>
      <c r="AJ390" s="26">
        <v>0</v>
      </c>
      <c r="AK390" s="26">
        <v>0</v>
      </c>
      <c r="AL390" s="26">
        <v>0</v>
      </c>
      <c r="AM390" s="26">
        <v>0</v>
      </c>
      <c r="AN390" s="26">
        <v>0</v>
      </c>
      <c r="AO390" s="26">
        <v>0</v>
      </c>
      <c r="AP390" s="26">
        <v>0</v>
      </c>
      <c r="AQ390" s="26">
        <v>0</v>
      </c>
      <c r="AR390" s="26">
        <v>0</v>
      </c>
      <c r="AS390" s="26">
        <v>0</v>
      </c>
      <c r="AT390" s="26">
        <v>0</v>
      </c>
      <c r="AU390" s="26">
        <v>0</v>
      </c>
      <c r="AV390" s="26">
        <v>0</v>
      </c>
      <c r="AW390" s="26">
        <v>0</v>
      </c>
      <c r="AX390" s="26">
        <v>0</v>
      </c>
      <c r="AY390" s="26">
        <v>0</v>
      </c>
      <c r="AZ390" s="26">
        <v>0</v>
      </c>
      <c r="BA390" s="26">
        <v>0</v>
      </c>
      <c r="BB390" s="26">
        <v>0</v>
      </c>
      <c r="BC390" s="26">
        <v>0</v>
      </c>
      <c r="BD390" s="26">
        <v>0</v>
      </c>
      <c r="BE390" s="26">
        <v>0</v>
      </c>
      <c r="BF390" s="26">
        <v>0</v>
      </c>
      <c r="BG390" s="26">
        <v>0</v>
      </c>
      <c r="BH390" s="26">
        <v>0</v>
      </c>
      <c r="BI390" s="26">
        <v>0</v>
      </c>
      <c r="BJ390" s="26">
        <v>0</v>
      </c>
      <c r="BK390" s="26">
        <v>0</v>
      </c>
      <c r="BL390" s="26">
        <v>0</v>
      </c>
      <c r="BM390" s="26">
        <v>0</v>
      </c>
      <c r="BN390" s="26">
        <v>0</v>
      </c>
      <c r="BO390" s="26">
        <v>20906.705900000001</v>
      </c>
      <c r="BP390" s="26">
        <v>376640.16100000002</v>
      </c>
      <c r="BQ390" s="26">
        <v>6328.3357699999997</v>
      </c>
      <c r="BR390" s="26">
        <v>27.087556000000006</v>
      </c>
      <c r="BS390" s="26">
        <v>1</v>
      </c>
      <c r="BT390" s="26">
        <v>0</v>
      </c>
      <c r="BU390" s="26">
        <v>1</v>
      </c>
      <c r="BV390" s="26">
        <v>0</v>
      </c>
      <c r="BW390" s="26">
        <v>-68197.723800000007</v>
      </c>
      <c r="BX390" s="26">
        <v>-3785.5489200000002</v>
      </c>
      <c r="BY390" s="26">
        <v>-1425.7897700000001</v>
      </c>
      <c r="BZ390" s="26">
        <v>-38.736080999999999</v>
      </c>
      <c r="CA390" s="26">
        <v>-2.1501792399999999</v>
      </c>
      <c r="CB390" s="26">
        <v>5.50610947E-2</v>
      </c>
      <c r="CC390" s="26">
        <v>0.991941038</v>
      </c>
      <c r="CD390" s="26">
        <v>18.015280000000001</v>
      </c>
      <c r="CE390" s="26">
        <v>6289.4339600000003</v>
      </c>
      <c r="CF390" s="26">
        <v>0</v>
      </c>
      <c r="CG390" s="26">
        <v>0</v>
      </c>
      <c r="CH390" s="26">
        <v>0</v>
      </c>
      <c r="CI390" s="26">
        <v>0</v>
      </c>
      <c r="CJ390" s="26">
        <v>0</v>
      </c>
      <c r="CK390" s="26">
        <v>0</v>
      </c>
      <c r="CL390" s="26">
        <v>0</v>
      </c>
      <c r="CM390" s="26">
        <v>0</v>
      </c>
      <c r="CN390" s="26">
        <v>0</v>
      </c>
      <c r="CO390" s="26">
        <v>0</v>
      </c>
      <c r="CP390" s="26">
        <v>0</v>
      </c>
      <c r="CQ390" s="26">
        <v>0</v>
      </c>
      <c r="CR390" s="26">
        <v>0</v>
      </c>
      <c r="CS390" s="26">
        <v>0</v>
      </c>
      <c r="CT390" s="26">
        <v>0</v>
      </c>
      <c r="CU390" s="26">
        <v>0</v>
      </c>
      <c r="CV390" s="26">
        <v>0</v>
      </c>
      <c r="CW390" s="26">
        <v>0</v>
      </c>
      <c r="CX390" s="26">
        <v>0</v>
      </c>
      <c r="CY390" s="26">
        <v>0</v>
      </c>
      <c r="CZ390" s="26">
        <v>0</v>
      </c>
      <c r="DA390" s="26">
        <v>0</v>
      </c>
      <c r="DB390" s="26">
        <v>0</v>
      </c>
      <c r="DC390" s="26">
        <v>0</v>
      </c>
      <c r="DD390" s="26">
        <v>0</v>
      </c>
      <c r="DE390" s="26">
        <v>0</v>
      </c>
      <c r="DF390" s="26">
        <v>0</v>
      </c>
      <c r="DG390" s="26">
        <v>0</v>
      </c>
      <c r="DH390" s="26">
        <v>0</v>
      </c>
      <c r="DI390" s="26">
        <v>0</v>
      </c>
      <c r="DJ390" s="26">
        <v>0</v>
      </c>
      <c r="DK390" s="26">
        <v>0</v>
      </c>
      <c r="DL390" s="26">
        <v>0</v>
      </c>
      <c r="DM390" s="26">
        <v>0</v>
      </c>
      <c r="DN390" s="26">
        <v>0</v>
      </c>
      <c r="DO390" s="26">
        <v>0</v>
      </c>
      <c r="DP390" s="26">
        <v>0</v>
      </c>
      <c r="DQ390" s="26">
        <v>0</v>
      </c>
      <c r="DR390" s="26">
        <v>0</v>
      </c>
      <c r="DS390" s="26">
        <v>0</v>
      </c>
      <c r="DT390" s="26">
        <v>0</v>
      </c>
      <c r="DU390" s="26">
        <v>0</v>
      </c>
      <c r="DV390" s="26">
        <v>0</v>
      </c>
      <c r="DW390" s="26">
        <v>0</v>
      </c>
      <c r="DX390" s="26">
        <v>0</v>
      </c>
      <c r="DY390" s="26">
        <v>0</v>
      </c>
      <c r="DZ390" s="26">
        <v>0</v>
      </c>
      <c r="EA390" s="26">
        <v>0</v>
      </c>
      <c r="EB390" s="26">
        <v>0</v>
      </c>
      <c r="EC390" s="26">
        <v>0</v>
      </c>
      <c r="ED390" s="26">
        <v>0</v>
      </c>
      <c r="EE390" s="26">
        <v>0</v>
      </c>
      <c r="EF390" s="26">
        <v>0</v>
      </c>
      <c r="EG390" s="26">
        <v>0</v>
      </c>
      <c r="EH390" s="26">
        <v>0</v>
      </c>
      <c r="EI390" s="26">
        <v>0</v>
      </c>
      <c r="EJ390" s="26">
        <v>0</v>
      </c>
      <c r="EK390" s="26">
        <v>0</v>
      </c>
      <c r="EL390" s="26">
        <v>0</v>
      </c>
      <c r="EM390" s="26">
        <v>0</v>
      </c>
      <c r="EN390" s="26">
        <v>0</v>
      </c>
      <c r="EO390" s="26">
        <v>0</v>
      </c>
      <c r="EP390" s="26">
        <v>0</v>
      </c>
      <c r="EQ390" s="26">
        <v>0</v>
      </c>
      <c r="ER390" s="26">
        <v>0</v>
      </c>
      <c r="ES390" s="26">
        <v>0</v>
      </c>
      <c r="ET390" s="26">
        <v>1</v>
      </c>
      <c r="EU390" s="26">
        <v>0</v>
      </c>
      <c r="EV390" s="26">
        <v>0</v>
      </c>
      <c r="EW390" s="26">
        <v>0</v>
      </c>
      <c r="EX390" s="26">
        <v>0</v>
      </c>
      <c r="EY390" s="26">
        <v>0</v>
      </c>
      <c r="EZ390" s="26">
        <v>0</v>
      </c>
      <c r="FA390" s="26">
        <v>0</v>
      </c>
      <c r="FB390" s="26">
        <v>0</v>
      </c>
      <c r="FC390" s="26">
        <v>0</v>
      </c>
      <c r="FD390" s="26">
        <v>0</v>
      </c>
      <c r="FE390" s="26">
        <v>0</v>
      </c>
      <c r="FF390" s="26">
        <v>0</v>
      </c>
      <c r="FG390" s="26">
        <v>0</v>
      </c>
      <c r="FH390" s="26">
        <v>-1659031211.4100001</v>
      </c>
      <c r="FI390" s="26">
        <v>0</v>
      </c>
      <c r="FJ390" s="26">
        <v>0</v>
      </c>
      <c r="FK390" s="26">
        <v>0</v>
      </c>
      <c r="FL390" s="26">
        <v>0</v>
      </c>
      <c r="FM390" s="26">
        <v>0</v>
      </c>
      <c r="FN390" s="26">
        <v>0</v>
      </c>
      <c r="FO390" s="26">
        <v>0</v>
      </c>
      <c r="FP390" s="26">
        <v>0</v>
      </c>
      <c r="FQ390" s="26">
        <v>0</v>
      </c>
      <c r="FR390" s="26">
        <v>0</v>
      </c>
      <c r="FS390" s="26">
        <v>0</v>
      </c>
      <c r="FT390" s="26">
        <v>0</v>
      </c>
      <c r="FU390" s="26">
        <v>0</v>
      </c>
      <c r="FV390" s="26">
        <v>0</v>
      </c>
      <c r="FW390" s="26">
        <v>0</v>
      </c>
      <c r="FX390" s="26">
        <v>0</v>
      </c>
      <c r="FY390" s="26">
        <v>0</v>
      </c>
      <c r="FZ390" s="26">
        <v>0</v>
      </c>
      <c r="GA390" s="26">
        <v>0</v>
      </c>
      <c r="GB390" s="26">
        <v>0</v>
      </c>
      <c r="GC390" s="26">
        <v>0</v>
      </c>
      <c r="GD390" s="26">
        <v>0</v>
      </c>
      <c r="GE390" s="26">
        <v>0</v>
      </c>
      <c r="GF390" s="26">
        <v>0</v>
      </c>
      <c r="GG390" s="26">
        <v>0</v>
      </c>
      <c r="GH390" s="26">
        <v>0</v>
      </c>
      <c r="GI390" s="26">
        <v>0</v>
      </c>
      <c r="GJ390" s="26">
        <v>0</v>
      </c>
      <c r="GK390" s="26">
        <v>0</v>
      </c>
      <c r="GL390" s="26">
        <v>0</v>
      </c>
      <c r="GM390" s="26">
        <v>0</v>
      </c>
      <c r="GN390" s="26">
        <v>0</v>
      </c>
      <c r="GO390" s="26">
        <v>0</v>
      </c>
      <c r="GP390" s="26">
        <v>0</v>
      </c>
      <c r="GQ390" s="26">
        <v>0</v>
      </c>
      <c r="GR390" s="26">
        <v>0</v>
      </c>
      <c r="GS390" s="26">
        <v>0</v>
      </c>
      <c r="GT390" s="26">
        <v>0</v>
      </c>
      <c r="GU390" s="26">
        <v>0</v>
      </c>
      <c r="GV390" s="26">
        <v>0</v>
      </c>
      <c r="GW390" s="26">
        <v>0</v>
      </c>
      <c r="GX390" s="26">
        <v>0</v>
      </c>
      <c r="GY390" s="26">
        <v>0</v>
      </c>
      <c r="GZ390" s="26">
        <v>0</v>
      </c>
      <c r="HA390" s="26">
        <v>0</v>
      </c>
      <c r="HB390" s="26">
        <v>0</v>
      </c>
      <c r="HC390" s="26">
        <v>0</v>
      </c>
      <c r="HD390" s="26">
        <v>0</v>
      </c>
      <c r="HE390" s="26">
        <v>0</v>
      </c>
      <c r="HF390" s="26">
        <v>0</v>
      </c>
      <c r="HG390" s="26">
        <v>0</v>
      </c>
      <c r="HH390" s="26">
        <v>0</v>
      </c>
      <c r="HI390" s="26">
        <v>0</v>
      </c>
      <c r="HJ390" s="26">
        <v>0</v>
      </c>
      <c r="HK390" s="26">
        <v>0</v>
      </c>
      <c r="HL390" s="26">
        <v>0</v>
      </c>
      <c r="HM390" s="26">
        <v>0</v>
      </c>
      <c r="HN390" s="26">
        <v>0</v>
      </c>
      <c r="HO390" s="26">
        <v>0</v>
      </c>
      <c r="HP390" s="26">
        <v>0</v>
      </c>
      <c r="HQ390" s="26">
        <v>0</v>
      </c>
      <c r="HR390" s="26">
        <v>0</v>
      </c>
      <c r="HS390" s="26">
        <v>0</v>
      </c>
      <c r="HT390" s="26">
        <v>0</v>
      </c>
    </row>
    <row r="391" spans="2:228" x14ac:dyDescent="0.2">
      <c r="B391" s="27" t="s">
        <v>1473</v>
      </c>
      <c r="C391" s="26">
        <v>35306.827799999999</v>
      </c>
      <c r="D391" s="26">
        <v>-133.45888400000001</v>
      </c>
      <c r="E391" s="26">
        <v>35306.827799999999</v>
      </c>
      <c r="F391" s="26">
        <v>0</v>
      </c>
      <c r="G391" s="26">
        <v>0</v>
      </c>
      <c r="H391" s="26">
        <v>0</v>
      </c>
      <c r="I391" s="26">
        <v>0</v>
      </c>
      <c r="J391" s="26">
        <v>0</v>
      </c>
      <c r="K391" s="26">
        <v>0</v>
      </c>
      <c r="L391" s="26">
        <v>0</v>
      </c>
      <c r="M391" s="26">
        <v>0</v>
      </c>
      <c r="N391" s="26">
        <v>0</v>
      </c>
      <c r="O391" s="26">
        <v>0</v>
      </c>
      <c r="P391" s="26">
        <v>0</v>
      </c>
      <c r="Q391" s="26">
        <v>0</v>
      </c>
      <c r="R391" s="26">
        <v>0</v>
      </c>
      <c r="S391" s="26">
        <v>0</v>
      </c>
      <c r="T391" s="26">
        <v>0</v>
      </c>
      <c r="U391" s="26">
        <v>0</v>
      </c>
      <c r="V391" s="26">
        <v>0</v>
      </c>
      <c r="W391" s="26">
        <v>0</v>
      </c>
      <c r="X391" s="26">
        <v>0</v>
      </c>
      <c r="Y391" s="26">
        <v>0</v>
      </c>
      <c r="Z391" s="26">
        <v>0</v>
      </c>
      <c r="AA391" s="26">
        <v>0</v>
      </c>
      <c r="AB391" s="26">
        <v>0</v>
      </c>
      <c r="AC391" s="26">
        <v>0</v>
      </c>
      <c r="AD391" s="26">
        <v>0</v>
      </c>
      <c r="AE391" s="26">
        <v>0</v>
      </c>
      <c r="AF391" s="26">
        <v>0</v>
      </c>
      <c r="AG391" s="26">
        <v>0</v>
      </c>
      <c r="AH391" s="26">
        <v>0</v>
      </c>
      <c r="AI391" s="26">
        <v>0</v>
      </c>
      <c r="AJ391" s="26">
        <v>0</v>
      </c>
      <c r="AK391" s="26">
        <v>0</v>
      </c>
      <c r="AL391" s="26">
        <v>0</v>
      </c>
      <c r="AM391" s="26">
        <v>0</v>
      </c>
      <c r="AN391" s="26">
        <v>0</v>
      </c>
      <c r="AO391" s="26">
        <v>0</v>
      </c>
      <c r="AP391" s="26">
        <v>0</v>
      </c>
      <c r="AQ391" s="26">
        <v>0</v>
      </c>
      <c r="AR391" s="26">
        <v>0</v>
      </c>
      <c r="AS391" s="26">
        <v>0</v>
      </c>
      <c r="AT391" s="26">
        <v>0</v>
      </c>
      <c r="AU391" s="26">
        <v>0</v>
      </c>
      <c r="AV391" s="26">
        <v>0</v>
      </c>
      <c r="AW391" s="26">
        <v>0</v>
      </c>
      <c r="AX391" s="26">
        <v>0</v>
      </c>
      <c r="AY391" s="26">
        <v>0</v>
      </c>
      <c r="AZ391" s="26">
        <v>0</v>
      </c>
      <c r="BA391" s="26">
        <v>0</v>
      </c>
      <c r="BB391" s="26">
        <v>0</v>
      </c>
      <c r="BC391" s="26">
        <v>0</v>
      </c>
      <c r="BD391" s="26">
        <v>0</v>
      </c>
      <c r="BE391" s="26">
        <v>0</v>
      </c>
      <c r="BF391" s="26">
        <v>0</v>
      </c>
      <c r="BG391" s="26">
        <v>0</v>
      </c>
      <c r="BH391" s="26">
        <v>0</v>
      </c>
      <c r="BI391" s="26">
        <v>0</v>
      </c>
      <c r="BJ391" s="26">
        <v>0</v>
      </c>
      <c r="BK391" s="26">
        <v>0</v>
      </c>
      <c r="BL391" s="26">
        <v>0</v>
      </c>
      <c r="BM391" s="26">
        <v>0</v>
      </c>
      <c r="BN391" s="26">
        <v>0</v>
      </c>
      <c r="BO391" s="26">
        <v>1959.8267599999997</v>
      </c>
      <c r="BP391" s="26">
        <v>35306.827799999999</v>
      </c>
      <c r="BQ391" s="26">
        <v>596.752927</v>
      </c>
      <c r="BR391" s="26">
        <v>33.128185400000007</v>
      </c>
      <c r="BS391" s="26">
        <v>5</v>
      </c>
      <c r="BT391" s="26">
        <v>0</v>
      </c>
      <c r="BU391" s="26">
        <v>1</v>
      </c>
      <c r="BV391" s="26">
        <v>0</v>
      </c>
      <c r="BW391" s="26">
        <v>-68097.285699999993</v>
      </c>
      <c r="BX391" s="26">
        <v>-3779.9737599999999</v>
      </c>
      <c r="BY391" s="26">
        <v>-133.45888400000001</v>
      </c>
      <c r="BZ391" s="26">
        <v>-38.407792600000001</v>
      </c>
      <c r="CA391" s="26">
        <v>-2.1319564600000001</v>
      </c>
      <c r="CB391" s="26">
        <v>5.47358503E-2</v>
      </c>
      <c r="CC391" s="26">
        <v>0.98608166900000005</v>
      </c>
      <c r="CD391" s="26">
        <v>18.015280000000001</v>
      </c>
      <c r="CE391" s="26">
        <v>589.58120899999994</v>
      </c>
      <c r="CF391" s="26">
        <v>0</v>
      </c>
      <c r="CG391" s="26">
        <v>0</v>
      </c>
      <c r="CH391" s="26">
        <v>0</v>
      </c>
      <c r="CI391" s="26">
        <v>0</v>
      </c>
      <c r="CJ391" s="26">
        <v>0</v>
      </c>
      <c r="CK391" s="26">
        <v>0</v>
      </c>
      <c r="CL391" s="26">
        <v>0</v>
      </c>
      <c r="CM391" s="26">
        <v>0</v>
      </c>
      <c r="CN391" s="26">
        <v>0</v>
      </c>
      <c r="CO391" s="26">
        <v>0</v>
      </c>
      <c r="CP391" s="26">
        <v>0</v>
      </c>
      <c r="CQ391" s="26">
        <v>0</v>
      </c>
      <c r="CR391" s="26">
        <v>0</v>
      </c>
      <c r="CS391" s="26">
        <v>0</v>
      </c>
      <c r="CT391" s="26">
        <v>0</v>
      </c>
      <c r="CU391" s="26">
        <v>0</v>
      </c>
      <c r="CV391" s="26">
        <v>0</v>
      </c>
      <c r="CW391" s="26">
        <v>0</v>
      </c>
      <c r="CX391" s="26">
        <v>0</v>
      </c>
      <c r="CY391" s="26">
        <v>0</v>
      </c>
      <c r="CZ391" s="26">
        <v>0</v>
      </c>
      <c r="DA391" s="26">
        <v>0</v>
      </c>
      <c r="DB391" s="26">
        <v>0</v>
      </c>
      <c r="DC391" s="26">
        <v>0</v>
      </c>
      <c r="DD391" s="26">
        <v>0</v>
      </c>
      <c r="DE391" s="26">
        <v>0</v>
      </c>
      <c r="DF391" s="26">
        <v>0</v>
      </c>
      <c r="DG391" s="26">
        <v>0</v>
      </c>
      <c r="DH391" s="26">
        <v>0</v>
      </c>
      <c r="DI391" s="26">
        <v>0</v>
      </c>
      <c r="DJ391" s="26">
        <v>0</v>
      </c>
      <c r="DK391" s="26">
        <v>0</v>
      </c>
      <c r="DL391" s="26">
        <v>0</v>
      </c>
      <c r="DM391" s="26">
        <v>0</v>
      </c>
      <c r="DN391" s="26">
        <v>0</v>
      </c>
      <c r="DO391" s="26">
        <v>0</v>
      </c>
      <c r="DP391" s="26">
        <v>0</v>
      </c>
      <c r="DQ391" s="26">
        <v>0</v>
      </c>
      <c r="DR391" s="26">
        <v>0</v>
      </c>
      <c r="DS391" s="26">
        <v>0</v>
      </c>
      <c r="DT391" s="26">
        <v>0</v>
      </c>
      <c r="DU391" s="26">
        <v>0</v>
      </c>
      <c r="DV391" s="26">
        <v>0</v>
      </c>
      <c r="DW391" s="26">
        <v>0</v>
      </c>
      <c r="DX391" s="26">
        <v>0</v>
      </c>
      <c r="DY391" s="26">
        <v>0</v>
      </c>
      <c r="DZ391" s="26">
        <v>0</v>
      </c>
      <c r="EA391" s="26">
        <v>0</v>
      </c>
      <c r="EB391" s="26">
        <v>0</v>
      </c>
      <c r="EC391" s="26">
        <v>0</v>
      </c>
      <c r="ED391" s="26">
        <v>0</v>
      </c>
      <c r="EE391" s="26">
        <v>0</v>
      </c>
      <c r="EF391" s="26">
        <v>0</v>
      </c>
      <c r="EG391" s="26">
        <v>0</v>
      </c>
      <c r="EH391" s="26">
        <v>0</v>
      </c>
      <c r="EI391" s="26">
        <v>0</v>
      </c>
      <c r="EJ391" s="26">
        <v>0</v>
      </c>
      <c r="EK391" s="26">
        <v>0</v>
      </c>
      <c r="EL391" s="26">
        <v>0</v>
      </c>
      <c r="EM391" s="26">
        <v>0</v>
      </c>
      <c r="EN391" s="26">
        <v>0</v>
      </c>
      <c r="EO391" s="26">
        <v>0</v>
      </c>
      <c r="EP391" s="26">
        <v>0</v>
      </c>
      <c r="EQ391" s="26">
        <v>0</v>
      </c>
      <c r="ER391" s="26">
        <v>0</v>
      </c>
      <c r="ES391" s="26">
        <v>0</v>
      </c>
      <c r="ET391" s="26">
        <v>5</v>
      </c>
      <c r="EU391" s="26">
        <v>0</v>
      </c>
      <c r="EV391" s="26">
        <v>0</v>
      </c>
      <c r="EW391" s="26">
        <v>0</v>
      </c>
      <c r="EX391" s="26">
        <v>0</v>
      </c>
      <c r="EY391" s="26">
        <v>0</v>
      </c>
      <c r="EZ391" s="26">
        <v>0</v>
      </c>
      <c r="FA391" s="26">
        <v>0</v>
      </c>
      <c r="FB391" s="26">
        <v>0</v>
      </c>
      <c r="FC391" s="26">
        <v>0</v>
      </c>
      <c r="FD391" s="26">
        <v>0</v>
      </c>
      <c r="FE391" s="26">
        <v>0</v>
      </c>
      <c r="FF391" s="26">
        <v>0</v>
      </c>
      <c r="FG391" s="26">
        <v>0</v>
      </c>
      <c r="FH391" s="26">
        <v>-155520136.26099998</v>
      </c>
      <c r="FI391" s="26">
        <v>0</v>
      </c>
      <c r="FJ391" s="26">
        <v>0</v>
      </c>
      <c r="FK391" s="26">
        <v>0</v>
      </c>
      <c r="FL391" s="26">
        <v>0</v>
      </c>
      <c r="FM391" s="26">
        <v>0</v>
      </c>
      <c r="FN391" s="26">
        <v>0</v>
      </c>
      <c r="FO391" s="26">
        <v>0</v>
      </c>
      <c r="FP391" s="26">
        <v>0</v>
      </c>
      <c r="FQ391" s="26">
        <v>0</v>
      </c>
      <c r="FR391" s="26">
        <v>0</v>
      </c>
      <c r="FS391" s="26">
        <v>0</v>
      </c>
      <c r="FT391" s="26">
        <v>0</v>
      </c>
      <c r="FU391" s="26">
        <v>0</v>
      </c>
      <c r="FV391" s="26">
        <v>0</v>
      </c>
      <c r="FW391" s="26">
        <v>0</v>
      </c>
      <c r="FX391" s="26">
        <v>0</v>
      </c>
      <c r="FY391" s="26">
        <v>0</v>
      </c>
      <c r="FZ391" s="26">
        <v>0</v>
      </c>
      <c r="GA391" s="26">
        <v>0</v>
      </c>
      <c r="GB391" s="26">
        <v>0</v>
      </c>
      <c r="GC391" s="26">
        <v>0</v>
      </c>
      <c r="GD391" s="26">
        <v>0</v>
      </c>
      <c r="GE391" s="26">
        <v>0</v>
      </c>
      <c r="GF391" s="26">
        <v>0</v>
      </c>
      <c r="GG391" s="26">
        <v>0</v>
      </c>
      <c r="GH391" s="26">
        <v>0</v>
      </c>
      <c r="GI391" s="26">
        <v>0</v>
      </c>
      <c r="GJ391" s="26">
        <v>0</v>
      </c>
      <c r="GK391" s="26">
        <v>0</v>
      </c>
      <c r="GL391" s="26">
        <v>0</v>
      </c>
      <c r="GM391" s="26">
        <v>0</v>
      </c>
      <c r="GN391" s="26">
        <v>0</v>
      </c>
      <c r="GO391" s="26">
        <v>0</v>
      </c>
      <c r="GP391" s="26">
        <v>0</v>
      </c>
      <c r="GQ391" s="26">
        <v>0</v>
      </c>
      <c r="GR391" s="26">
        <v>0</v>
      </c>
      <c r="GS391" s="26">
        <v>0</v>
      </c>
      <c r="GT391" s="26">
        <v>0</v>
      </c>
      <c r="GU391" s="26">
        <v>0</v>
      </c>
      <c r="GV391" s="26">
        <v>0</v>
      </c>
      <c r="GW391" s="26">
        <v>0</v>
      </c>
      <c r="GX391" s="26">
        <v>0</v>
      </c>
      <c r="GY391" s="26">
        <v>0</v>
      </c>
      <c r="GZ391" s="26">
        <v>0</v>
      </c>
      <c r="HA391" s="26">
        <v>0</v>
      </c>
      <c r="HB391" s="26">
        <v>0</v>
      </c>
      <c r="HC391" s="26">
        <v>0</v>
      </c>
      <c r="HD391" s="26">
        <v>0</v>
      </c>
      <c r="HE391" s="26">
        <v>0</v>
      </c>
      <c r="HF391" s="26">
        <v>0</v>
      </c>
      <c r="HG391" s="26">
        <v>0</v>
      </c>
      <c r="HH391" s="26">
        <v>0</v>
      </c>
      <c r="HI391" s="26">
        <v>0</v>
      </c>
      <c r="HJ391" s="26">
        <v>0</v>
      </c>
      <c r="HK391" s="26">
        <v>0</v>
      </c>
      <c r="HL391" s="26">
        <v>0</v>
      </c>
      <c r="HM391" s="26">
        <v>0</v>
      </c>
      <c r="HN391" s="26">
        <v>0</v>
      </c>
      <c r="HO391" s="26">
        <v>0</v>
      </c>
      <c r="HP391" s="26">
        <v>0</v>
      </c>
      <c r="HQ391" s="26">
        <v>0</v>
      </c>
      <c r="HR391" s="26">
        <v>0</v>
      </c>
      <c r="HS391" s="26">
        <v>0</v>
      </c>
      <c r="HT391" s="26">
        <v>0</v>
      </c>
    </row>
    <row r="392" spans="2:228" x14ac:dyDescent="0.2">
      <c r="B392" s="27" t="s">
        <v>3182</v>
      </c>
      <c r="C392" s="26">
        <v>3577.80519</v>
      </c>
      <c r="D392" s="26">
        <v>-13.5240098</v>
      </c>
      <c r="E392" s="26">
        <v>3577.80519</v>
      </c>
      <c r="F392" s="26">
        <v>0</v>
      </c>
      <c r="G392" s="26">
        <v>0</v>
      </c>
      <c r="H392" s="26">
        <v>0</v>
      </c>
      <c r="I392" s="26">
        <v>0</v>
      </c>
      <c r="J392" s="26">
        <v>0</v>
      </c>
      <c r="K392" s="26">
        <v>0</v>
      </c>
      <c r="L392" s="26">
        <v>0</v>
      </c>
      <c r="M392" s="26">
        <v>0</v>
      </c>
      <c r="N392" s="26">
        <v>0</v>
      </c>
      <c r="O392" s="26">
        <v>0</v>
      </c>
      <c r="P392" s="26">
        <v>0</v>
      </c>
      <c r="Q392" s="26">
        <v>0</v>
      </c>
      <c r="R392" s="26">
        <v>0</v>
      </c>
      <c r="S392" s="26">
        <v>0</v>
      </c>
      <c r="T392" s="26">
        <v>0</v>
      </c>
      <c r="U392" s="26">
        <v>0</v>
      </c>
      <c r="V392" s="26">
        <v>0</v>
      </c>
      <c r="W392" s="26">
        <v>0</v>
      </c>
      <c r="X392" s="26">
        <v>0</v>
      </c>
      <c r="Y392" s="26">
        <v>0</v>
      </c>
      <c r="Z392" s="26">
        <v>0</v>
      </c>
      <c r="AA392" s="26">
        <v>0</v>
      </c>
      <c r="AB392" s="26">
        <v>0</v>
      </c>
      <c r="AC392" s="26">
        <v>0</v>
      </c>
      <c r="AD392" s="26">
        <v>0</v>
      </c>
      <c r="AE392" s="26">
        <v>0</v>
      </c>
      <c r="AF392" s="26">
        <v>0</v>
      </c>
      <c r="AG392" s="26">
        <v>0</v>
      </c>
      <c r="AH392" s="26">
        <v>0</v>
      </c>
      <c r="AI392" s="26">
        <v>0</v>
      </c>
      <c r="AJ392" s="26">
        <v>0</v>
      </c>
      <c r="AK392" s="26">
        <v>0</v>
      </c>
      <c r="AL392" s="26">
        <v>0</v>
      </c>
      <c r="AM392" s="26">
        <v>0</v>
      </c>
      <c r="AN392" s="26">
        <v>0</v>
      </c>
      <c r="AO392" s="26">
        <v>0</v>
      </c>
      <c r="AP392" s="26">
        <v>0</v>
      </c>
      <c r="AQ392" s="26">
        <v>0</v>
      </c>
      <c r="AR392" s="26">
        <v>0</v>
      </c>
      <c r="AS392" s="26">
        <v>0</v>
      </c>
      <c r="AT392" s="26">
        <v>0</v>
      </c>
      <c r="AU392" s="26">
        <v>0</v>
      </c>
      <c r="AV392" s="26">
        <v>0</v>
      </c>
      <c r="AW392" s="26">
        <v>0</v>
      </c>
      <c r="AX392" s="26">
        <v>0</v>
      </c>
      <c r="AY392" s="26">
        <v>0</v>
      </c>
      <c r="AZ392" s="26">
        <v>0</v>
      </c>
      <c r="BA392" s="26">
        <v>0</v>
      </c>
      <c r="BB392" s="26">
        <v>0</v>
      </c>
      <c r="BC392" s="26">
        <v>0</v>
      </c>
      <c r="BD392" s="26">
        <v>0</v>
      </c>
      <c r="BE392" s="26">
        <v>0</v>
      </c>
      <c r="BF392" s="26">
        <v>0</v>
      </c>
      <c r="BG392" s="26">
        <v>0</v>
      </c>
      <c r="BH392" s="26">
        <v>0</v>
      </c>
      <c r="BI392" s="26">
        <v>0</v>
      </c>
      <c r="BJ392" s="26">
        <v>0</v>
      </c>
      <c r="BK392" s="26">
        <v>0</v>
      </c>
      <c r="BL392" s="26">
        <v>0</v>
      </c>
      <c r="BM392" s="26">
        <v>0</v>
      </c>
      <c r="BN392" s="26">
        <v>0</v>
      </c>
      <c r="BO392" s="26">
        <v>198.598367</v>
      </c>
      <c r="BP392" s="26">
        <v>3577.80519</v>
      </c>
      <c r="BQ392" s="26">
        <v>60.471751499999996</v>
      </c>
      <c r="BR392" s="26">
        <v>33.128185400000007</v>
      </c>
      <c r="BS392" s="26">
        <v>5</v>
      </c>
      <c r="BT392" s="26">
        <v>0</v>
      </c>
      <c r="BU392" s="26">
        <v>1</v>
      </c>
      <c r="BV392" s="26">
        <v>0</v>
      </c>
      <c r="BW392" s="26">
        <v>-68097.285699999993</v>
      </c>
      <c r="BX392" s="26">
        <v>-3779.9737599999999</v>
      </c>
      <c r="BY392" s="26">
        <v>-13.5240098</v>
      </c>
      <c r="BZ392" s="26">
        <v>-38.407792600000001</v>
      </c>
      <c r="CA392" s="26">
        <v>-2.1319564600000001</v>
      </c>
      <c r="CB392" s="26">
        <v>5.47358503E-2</v>
      </c>
      <c r="CC392" s="26">
        <v>0.98608166900000005</v>
      </c>
      <c r="CD392" s="26">
        <v>18.015280000000001</v>
      </c>
      <c r="CE392" s="26">
        <v>59.745007999999999</v>
      </c>
      <c r="CF392" s="26">
        <v>0</v>
      </c>
      <c r="CG392" s="26">
        <v>0</v>
      </c>
      <c r="CH392" s="26">
        <v>0</v>
      </c>
      <c r="CI392" s="26">
        <v>0</v>
      </c>
      <c r="CJ392" s="26">
        <v>0</v>
      </c>
      <c r="CK392" s="26">
        <v>0</v>
      </c>
      <c r="CL392" s="26">
        <v>0</v>
      </c>
      <c r="CM392" s="26">
        <v>0</v>
      </c>
      <c r="CN392" s="26">
        <v>0</v>
      </c>
      <c r="CO392" s="26">
        <v>0</v>
      </c>
      <c r="CP392" s="26">
        <v>0</v>
      </c>
      <c r="CQ392" s="26">
        <v>0</v>
      </c>
      <c r="CR392" s="26">
        <v>0</v>
      </c>
      <c r="CS392" s="26">
        <v>0</v>
      </c>
      <c r="CT392" s="26">
        <v>0</v>
      </c>
      <c r="CU392" s="26">
        <v>0</v>
      </c>
      <c r="CV392" s="26">
        <v>0</v>
      </c>
      <c r="CW392" s="26">
        <v>0</v>
      </c>
      <c r="CX392" s="26">
        <v>0</v>
      </c>
      <c r="CY392" s="26">
        <v>0</v>
      </c>
      <c r="CZ392" s="26">
        <v>0</v>
      </c>
      <c r="DA392" s="26">
        <v>0</v>
      </c>
      <c r="DB392" s="26">
        <v>0</v>
      </c>
      <c r="DC392" s="26">
        <v>0</v>
      </c>
      <c r="DD392" s="26">
        <v>0</v>
      </c>
      <c r="DE392" s="26">
        <v>0</v>
      </c>
      <c r="DF392" s="26">
        <v>0</v>
      </c>
      <c r="DG392" s="26">
        <v>0</v>
      </c>
      <c r="DH392" s="26">
        <v>0</v>
      </c>
      <c r="DI392" s="26">
        <v>0</v>
      </c>
      <c r="DJ392" s="26">
        <v>0</v>
      </c>
      <c r="DK392" s="26">
        <v>0</v>
      </c>
      <c r="DL392" s="26">
        <v>0</v>
      </c>
      <c r="DM392" s="26">
        <v>0</v>
      </c>
      <c r="DN392" s="26">
        <v>0</v>
      </c>
      <c r="DO392" s="26">
        <v>0</v>
      </c>
      <c r="DP392" s="26">
        <v>0</v>
      </c>
      <c r="DQ392" s="26">
        <v>0</v>
      </c>
      <c r="DR392" s="26">
        <v>0</v>
      </c>
      <c r="DS392" s="26">
        <v>0</v>
      </c>
      <c r="DT392" s="26">
        <v>0</v>
      </c>
      <c r="DU392" s="26">
        <v>0</v>
      </c>
      <c r="DV392" s="26">
        <v>0</v>
      </c>
      <c r="DW392" s="26">
        <v>0</v>
      </c>
      <c r="DX392" s="26">
        <v>0</v>
      </c>
      <c r="DY392" s="26">
        <v>0</v>
      </c>
      <c r="DZ392" s="26">
        <v>0</v>
      </c>
      <c r="EA392" s="26">
        <v>0</v>
      </c>
      <c r="EB392" s="26">
        <v>0</v>
      </c>
      <c r="EC392" s="26">
        <v>0</v>
      </c>
      <c r="ED392" s="26">
        <v>0</v>
      </c>
      <c r="EE392" s="26">
        <v>0</v>
      </c>
      <c r="EF392" s="26">
        <v>0</v>
      </c>
      <c r="EG392" s="26">
        <v>0</v>
      </c>
      <c r="EH392" s="26">
        <v>0</v>
      </c>
      <c r="EI392" s="26">
        <v>0</v>
      </c>
      <c r="EJ392" s="26">
        <v>0</v>
      </c>
      <c r="EK392" s="26">
        <v>0</v>
      </c>
      <c r="EL392" s="26">
        <v>0</v>
      </c>
      <c r="EM392" s="26">
        <v>0</v>
      </c>
      <c r="EN392" s="26">
        <v>0</v>
      </c>
      <c r="EO392" s="26">
        <v>0</v>
      </c>
      <c r="EP392" s="26">
        <v>0</v>
      </c>
      <c r="EQ392" s="26">
        <v>0</v>
      </c>
      <c r="ER392" s="26">
        <v>0</v>
      </c>
      <c r="ES392" s="26">
        <v>0</v>
      </c>
      <c r="ET392" s="26">
        <v>5</v>
      </c>
      <c r="EU392" s="26">
        <v>0</v>
      </c>
      <c r="EV392" s="26">
        <v>0</v>
      </c>
      <c r="EW392" s="26">
        <v>0</v>
      </c>
      <c r="EX392" s="26">
        <v>0</v>
      </c>
      <c r="EY392" s="26">
        <v>0</v>
      </c>
      <c r="EZ392" s="26">
        <v>0</v>
      </c>
      <c r="FA392" s="26">
        <v>0</v>
      </c>
      <c r="FB392" s="26">
        <v>0</v>
      </c>
      <c r="FC392" s="26">
        <v>0</v>
      </c>
      <c r="FD392" s="26">
        <v>0</v>
      </c>
      <c r="FE392" s="26">
        <v>0</v>
      </c>
      <c r="FF392" s="26">
        <v>0</v>
      </c>
      <c r="FG392" s="26">
        <v>0</v>
      </c>
      <c r="FH392" s="26">
        <v>-15759579.237</v>
      </c>
      <c r="FI392" s="26">
        <v>0</v>
      </c>
      <c r="FJ392" s="26">
        <v>0</v>
      </c>
      <c r="FK392" s="26">
        <v>0</v>
      </c>
      <c r="FL392" s="26">
        <v>0</v>
      </c>
      <c r="FM392" s="26">
        <v>0</v>
      </c>
      <c r="FN392" s="26">
        <v>0</v>
      </c>
      <c r="FO392" s="26">
        <v>0</v>
      </c>
      <c r="FP392" s="26">
        <v>0</v>
      </c>
      <c r="FQ392" s="26">
        <v>0</v>
      </c>
      <c r="FR392" s="26">
        <v>0</v>
      </c>
      <c r="FS392" s="26">
        <v>0</v>
      </c>
      <c r="FT392" s="26">
        <v>0</v>
      </c>
      <c r="FU392" s="26">
        <v>0</v>
      </c>
      <c r="FV392" s="26">
        <v>0</v>
      </c>
      <c r="FW392" s="26">
        <v>0</v>
      </c>
      <c r="FX392" s="26">
        <v>0</v>
      </c>
      <c r="FY392" s="26">
        <v>0</v>
      </c>
      <c r="FZ392" s="26">
        <v>0</v>
      </c>
      <c r="GA392" s="26">
        <v>0</v>
      </c>
      <c r="GB392" s="26">
        <v>0</v>
      </c>
      <c r="GC392" s="26">
        <v>0</v>
      </c>
      <c r="GD392" s="26">
        <v>0</v>
      </c>
      <c r="GE392" s="26">
        <v>0</v>
      </c>
      <c r="GF392" s="26">
        <v>0</v>
      </c>
      <c r="GG392" s="26">
        <v>0</v>
      </c>
      <c r="GH392" s="26">
        <v>0</v>
      </c>
      <c r="GI392" s="26">
        <v>0</v>
      </c>
      <c r="GJ392" s="26">
        <v>0</v>
      </c>
      <c r="GK392" s="26">
        <v>0</v>
      </c>
      <c r="GL392" s="26">
        <v>0</v>
      </c>
      <c r="GM392" s="26">
        <v>0</v>
      </c>
      <c r="GN392" s="26">
        <v>0</v>
      </c>
      <c r="GO392" s="26">
        <v>0</v>
      </c>
      <c r="GP392" s="26">
        <v>0</v>
      </c>
      <c r="GQ392" s="26">
        <v>0</v>
      </c>
      <c r="GR392" s="26">
        <v>0</v>
      </c>
      <c r="GS392" s="26">
        <v>0</v>
      </c>
      <c r="GT392" s="26">
        <v>0</v>
      </c>
      <c r="GU392" s="26">
        <v>0</v>
      </c>
      <c r="GV392" s="26">
        <v>0</v>
      </c>
      <c r="GW392" s="26">
        <v>0</v>
      </c>
      <c r="GX392" s="26">
        <v>0</v>
      </c>
      <c r="GY392" s="26">
        <v>0</v>
      </c>
      <c r="GZ392" s="26">
        <v>0</v>
      </c>
      <c r="HA392" s="26">
        <v>0</v>
      </c>
      <c r="HB392" s="26">
        <v>0</v>
      </c>
      <c r="HC392" s="26">
        <v>0</v>
      </c>
      <c r="HD392" s="26">
        <v>0</v>
      </c>
      <c r="HE392" s="26">
        <v>0</v>
      </c>
      <c r="HF392" s="26">
        <v>0</v>
      </c>
      <c r="HG392" s="26">
        <v>0</v>
      </c>
      <c r="HH392" s="26">
        <v>0</v>
      </c>
      <c r="HI392" s="26">
        <v>0</v>
      </c>
      <c r="HJ392" s="26">
        <v>0</v>
      </c>
      <c r="HK392" s="26">
        <v>0</v>
      </c>
      <c r="HL392" s="26">
        <v>0</v>
      </c>
      <c r="HM392" s="26">
        <v>0</v>
      </c>
      <c r="HN392" s="26">
        <v>0</v>
      </c>
      <c r="HO392" s="26">
        <v>0</v>
      </c>
      <c r="HP392" s="26">
        <v>0</v>
      </c>
      <c r="HQ392" s="26">
        <v>0</v>
      </c>
      <c r="HR392" s="26">
        <v>0</v>
      </c>
      <c r="HS392" s="26">
        <v>0</v>
      </c>
      <c r="HT392" s="26">
        <v>0</v>
      </c>
    </row>
    <row r="393" spans="2:228" x14ac:dyDescent="0.2">
      <c r="B393" s="27" t="s">
        <v>2452</v>
      </c>
      <c r="C393" s="26">
        <v>147136.25899999999</v>
      </c>
      <c r="D393" s="26">
        <v>-558.87039600000003</v>
      </c>
      <c r="E393" s="26">
        <v>147136.25899999999</v>
      </c>
      <c r="F393" s="26">
        <v>0</v>
      </c>
      <c r="G393" s="26">
        <v>0</v>
      </c>
      <c r="H393" s="26">
        <v>0</v>
      </c>
      <c r="I393" s="26">
        <v>0</v>
      </c>
      <c r="J393" s="26">
        <v>0</v>
      </c>
      <c r="K393" s="26">
        <v>0</v>
      </c>
      <c r="L393" s="26">
        <v>0</v>
      </c>
      <c r="M393" s="26">
        <v>0</v>
      </c>
      <c r="N393" s="26">
        <v>0</v>
      </c>
      <c r="O393" s="26">
        <v>0</v>
      </c>
      <c r="P393" s="26">
        <v>0</v>
      </c>
      <c r="Q393" s="26">
        <v>0</v>
      </c>
      <c r="R393" s="26">
        <v>0</v>
      </c>
      <c r="S393" s="26">
        <v>0</v>
      </c>
      <c r="T393" s="26">
        <v>0</v>
      </c>
      <c r="U393" s="26">
        <v>0</v>
      </c>
      <c r="V393" s="26">
        <v>0</v>
      </c>
      <c r="W393" s="26">
        <v>0</v>
      </c>
      <c r="X393" s="26">
        <v>0</v>
      </c>
      <c r="Y393" s="26">
        <v>0</v>
      </c>
      <c r="Z393" s="26">
        <v>0</v>
      </c>
      <c r="AA393" s="26">
        <v>0</v>
      </c>
      <c r="AB393" s="26">
        <v>0</v>
      </c>
      <c r="AC393" s="26">
        <v>0</v>
      </c>
      <c r="AD393" s="26">
        <v>0</v>
      </c>
      <c r="AE393" s="26">
        <v>0</v>
      </c>
      <c r="AF393" s="26">
        <v>0</v>
      </c>
      <c r="AG393" s="26">
        <v>0</v>
      </c>
      <c r="AH393" s="26">
        <v>0</v>
      </c>
      <c r="AI393" s="26">
        <v>0</v>
      </c>
      <c r="AJ393" s="26">
        <v>0</v>
      </c>
      <c r="AK393" s="26">
        <v>0</v>
      </c>
      <c r="AL393" s="26">
        <v>0</v>
      </c>
      <c r="AM393" s="26">
        <v>0</v>
      </c>
      <c r="AN393" s="26">
        <v>0</v>
      </c>
      <c r="AO393" s="26">
        <v>0</v>
      </c>
      <c r="AP393" s="26">
        <v>0</v>
      </c>
      <c r="AQ393" s="26">
        <v>0</v>
      </c>
      <c r="AR393" s="26">
        <v>0</v>
      </c>
      <c r="AS393" s="26">
        <v>0</v>
      </c>
      <c r="AT393" s="26">
        <v>0</v>
      </c>
      <c r="AU393" s="26">
        <v>0</v>
      </c>
      <c r="AV393" s="26">
        <v>0</v>
      </c>
      <c r="AW393" s="26">
        <v>0</v>
      </c>
      <c r="AX393" s="26">
        <v>0</v>
      </c>
      <c r="AY393" s="26">
        <v>0</v>
      </c>
      <c r="AZ393" s="26">
        <v>0</v>
      </c>
      <c r="BA393" s="26">
        <v>0</v>
      </c>
      <c r="BB393" s="26">
        <v>0</v>
      </c>
      <c r="BC393" s="26">
        <v>0</v>
      </c>
      <c r="BD393" s="26">
        <v>0</v>
      </c>
      <c r="BE393" s="26">
        <v>0</v>
      </c>
      <c r="BF393" s="26">
        <v>0</v>
      </c>
      <c r="BG393" s="26">
        <v>0</v>
      </c>
      <c r="BH393" s="26">
        <v>0</v>
      </c>
      <c r="BI393" s="26">
        <v>0</v>
      </c>
      <c r="BJ393" s="26">
        <v>0</v>
      </c>
      <c r="BK393" s="26">
        <v>0</v>
      </c>
      <c r="BL393" s="26">
        <v>0</v>
      </c>
      <c r="BM393" s="26">
        <v>0</v>
      </c>
      <c r="BN393" s="26">
        <v>0</v>
      </c>
      <c r="BO393" s="26">
        <v>8167.3034899999993</v>
      </c>
      <c r="BP393" s="26">
        <v>147136.25899999999</v>
      </c>
      <c r="BQ393" s="26">
        <v>2438.95667</v>
      </c>
      <c r="BR393" s="26">
        <v>13</v>
      </c>
      <c r="BS393" s="26">
        <v>4</v>
      </c>
      <c r="BT393" s="26">
        <v>0</v>
      </c>
      <c r="BU393" s="26">
        <v>1</v>
      </c>
      <c r="BV393" s="26">
        <v>0</v>
      </c>
      <c r="BW393" s="26">
        <v>-68427.773300000001</v>
      </c>
      <c r="BX393" s="26">
        <v>-3798.3186099999998</v>
      </c>
      <c r="BY393" s="26">
        <v>-558.87039600000003</v>
      </c>
      <c r="BZ393" s="26">
        <v>-39.510725399999998</v>
      </c>
      <c r="CA393" s="26">
        <v>-2.19317853</v>
      </c>
      <c r="CB393" s="26">
        <v>5.5811456099999997E-2</v>
      </c>
      <c r="CC393" s="26">
        <v>1.00545901</v>
      </c>
      <c r="CD393" s="26">
        <v>18.015280000000001</v>
      </c>
      <c r="CE393" s="26">
        <v>2456.9971</v>
      </c>
      <c r="CF393" s="26">
        <v>0</v>
      </c>
      <c r="CG393" s="26">
        <v>0</v>
      </c>
      <c r="CH393" s="26">
        <v>0</v>
      </c>
      <c r="CI393" s="26">
        <v>0</v>
      </c>
      <c r="CJ393" s="26">
        <v>0</v>
      </c>
      <c r="CK393" s="26">
        <v>0</v>
      </c>
      <c r="CL393" s="26">
        <v>0</v>
      </c>
      <c r="CM393" s="26">
        <v>0</v>
      </c>
      <c r="CN393" s="26">
        <v>0</v>
      </c>
      <c r="CO393" s="26">
        <v>0</v>
      </c>
      <c r="CP393" s="26">
        <v>0</v>
      </c>
      <c r="CQ393" s="26">
        <v>0</v>
      </c>
      <c r="CR393" s="26">
        <v>0</v>
      </c>
      <c r="CS393" s="26">
        <v>0</v>
      </c>
      <c r="CT393" s="26">
        <v>0</v>
      </c>
      <c r="CU393" s="26">
        <v>0</v>
      </c>
      <c r="CV393" s="26">
        <v>0</v>
      </c>
      <c r="CW393" s="26">
        <v>0</v>
      </c>
      <c r="CX393" s="26">
        <v>0</v>
      </c>
      <c r="CY393" s="26">
        <v>0</v>
      </c>
      <c r="CZ393" s="26">
        <v>0</v>
      </c>
      <c r="DA393" s="26">
        <v>0</v>
      </c>
      <c r="DB393" s="26">
        <v>0</v>
      </c>
      <c r="DC393" s="26">
        <v>0</v>
      </c>
      <c r="DD393" s="26">
        <v>0</v>
      </c>
      <c r="DE393" s="26">
        <v>0</v>
      </c>
      <c r="DF393" s="26">
        <v>0</v>
      </c>
      <c r="DG393" s="26">
        <v>0</v>
      </c>
      <c r="DH393" s="26">
        <v>0</v>
      </c>
      <c r="DI393" s="26">
        <v>0</v>
      </c>
      <c r="DJ393" s="26">
        <v>0</v>
      </c>
      <c r="DK393" s="26">
        <v>0</v>
      </c>
      <c r="DL393" s="26">
        <v>0</v>
      </c>
      <c r="DM393" s="26">
        <v>0</v>
      </c>
      <c r="DN393" s="26">
        <v>0</v>
      </c>
      <c r="DO393" s="26">
        <v>0</v>
      </c>
      <c r="DP393" s="26">
        <v>0</v>
      </c>
      <c r="DQ393" s="26">
        <v>0</v>
      </c>
      <c r="DR393" s="26">
        <v>0</v>
      </c>
      <c r="DS393" s="26">
        <v>0</v>
      </c>
      <c r="DT393" s="26">
        <v>0</v>
      </c>
      <c r="DU393" s="26">
        <v>0</v>
      </c>
      <c r="DV393" s="26">
        <v>0</v>
      </c>
      <c r="DW393" s="26">
        <v>0</v>
      </c>
      <c r="DX393" s="26">
        <v>0</v>
      </c>
      <c r="DY393" s="26">
        <v>0</v>
      </c>
      <c r="DZ393" s="26">
        <v>0</v>
      </c>
      <c r="EA393" s="26">
        <v>0</v>
      </c>
      <c r="EB393" s="26">
        <v>0</v>
      </c>
      <c r="EC393" s="26">
        <v>0</v>
      </c>
      <c r="ED393" s="26">
        <v>0</v>
      </c>
      <c r="EE393" s="26">
        <v>0</v>
      </c>
      <c r="EF393" s="26">
        <v>0</v>
      </c>
      <c r="EG393" s="26">
        <v>0</v>
      </c>
      <c r="EH393" s="26">
        <v>0</v>
      </c>
      <c r="EI393" s="26">
        <v>0</v>
      </c>
      <c r="EJ393" s="26">
        <v>0</v>
      </c>
      <c r="EK393" s="26">
        <v>0</v>
      </c>
      <c r="EL393" s="26">
        <v>0</v>
      </c>
      <c r="EM393" s="26">
        <v>0</v>
      </c>
      <c r="EN393" s="26">
        <v>0</v>
      </c>
      <c r="EO393" s="26">
        <v>0</v>
      </c>
      <c r="EP393" s="26">
        <v>0</v>
      </c>
      <c r="EQ393" s="26">
        <v>0</v>
      </c>
      <c r="ER393" s="26">
        <v>0</v>
      </c>
      <c r="ES393" s="26">
        <v>0</v>
      </c>
      <c r="ET393" s="26">
        <v>4</v>
      </c>
      <c r="EU393" s="26">
        <v>0</v>
      </c>
      <c r="EV393" s="26">
        <v>0</v>
      </c>
      <c r="EW393" s="26">
        <v>0</v>
      </c>
      <c r="EX393" s="26">
        <v>0</v>
      </c>
      <c r="EY393" s="26">
        <v>0</v>
      </c>
      <c r="EZ393" s="26">
        <v>0</v>
      </c>
      <c r="FA393" s="26">
        <v>0</v>
      </c>
      <c r="FB393" s="26">
        <v>0</v>
      </c>
      <c r="FC393" s="26">
        <v>0</v>
      </c>
      <c r="FD393" s="26">
        <v>0</v>
      </c>
      <c r="FE393" s="26">
        <v>0</v>
      </c>
      <c r="FF393" s="26">
        <v>0</v>
      </c>
      <c r="FG393" s="26">
        <v>0</v>
      </c>
      <c r="FH393" s="26">
        <v>-648108383.86300004</v>
      </c>
      <c r="FI393" s="26">
        <v>0</v>
      </c>
      <c r="FJ393" s="26">
        <v>0</v>
      </c>
      <c r="FK393" s="26">
        <v>0</v>
      </c>
      <c r="FL393" s="26">
        <v>0</v>
      </c>
      <c r="FM393" s="26">
        <v>0</v>
      </c>
      <c r="FN393" s="26">
        <v>0</v>
      </c>
      <c r="FO393" s="26">
        <v>0</v>
      </c>
      <c r="FP393" s="26">
        <v>0</v>
      </c>
      <c r="FQ393" s="26">
        <v>0</v>
      </c>
      <c r="FR393" s="26">
        <v>0</v>
      </c>
      <c r="FS393" s="26">
        <v>0</v>
      </c>
      <c r="FT393" s="26">
        <v>0</v>
      </c>
      <c r="FU393" s="26">
        <v>0</v>
      </c>
      <c r="FV393" s="26">
        <v>0</v>
      </c>
      <c r="FW393" s="26">
        <v>0</v>
      </c>
      <c r="FX393" s="26">
        <v>0</v>
      </c>
      <c r="FY393" s="26">
        <v>0</v>
      </c>
      <c r="FZ393" s="26">
        <v>0</v>
      </c>
      <c r="GA393" s="26">
        <v>0</v>
      </c>
      <c r="GB393" s="26">
        <v>0</v>
      </c>
      <c r="GC393" s="26">
        <v>0</v>
      </c>
      <c r="GD393" s="26">
        <v>0</v>
      </c>
      <c r="GE393" s="26">
        <v>0</v>
      </c>
      <c r="GF393" s="26">
        <v>0</v>
      </c>
      <c r="GG393" s="26">
        <v>0</v>
      </c>
      <c r="GH393" s="26">
        <v>0</v>
      </c>
      <c r="GI393" s="26">
        <v>0</v>
      </c>
      <c r="GJ393" s="26">
        <v>0</v>
      </c>
      <c r="GK393" s="26">
        <v>0</v>
      </c>
      <c r="GL393" s="26">
        <v>0</v>
      </c>
      <c r="GM393" s="26">
        <v>0</v>
      </c>
      <c r="GN393" s="26">
        <v>0</v>
      </c>
      <c r="GO393" s="26">
        <v>0</v>
      </c>
      <c r="GP393" s="26">
        <v>0</v>
      </c>
      <c r="GQ393" s="26">
        <v>0</v>
      </c>
      <c r="GR393" s="26">
        <v>0</v>
      </c>
      <c r="GS393" s="26">
        <v>0</v>
      </c>
      <c r="GT393" s="26">
        <v>0</v>
      </c>
      <c r="GU393" s="26">
        <v>0</v>
      </c>
      <c r="GV393" s="26">
        <v>0</v>
      </c>
      <c r="GW393" s="26">
        <v>0</v>
      </c>
      <c r="GX393" s="26">
        <v>0</v>
      </c>
      <c r="GY393" s="26">
        <v>0</v>
      </c>
      <c r="GZ393" s="26">
        <v>0</v>
      </c>
      <c r="HA393" s="26">
        <v>0</v>
      </c>
      <c r="HB393" s="26">
        <v>0</v>
      </c>
      <c r="HC393" s="26">
        <v>0</v>
      </c>
      <c r="HD393" s="26">
        <v>0</v>
      </c>
      <c r="HE393" s="26">
        <v>0</v>
      </c>
      <c r="HF393" s="26">
        <v>0</v>
      </c>
      <c r="HG393" s="26">
        <v>0</v>
      </c>
      <c r="HH393" s="26">
        <v>0</v>
      </c>
      <c r="HI393" s="26">
        <v>0</v>
      </c>
      <c r="HJ393" s="26">
        <v>0</v>
      </c>
      <c r="HK393" s="26">
        <v>0</v>
      </c>
      <c r="HL393" s="26">
        <v>0</v>
      </c>
      <c r="HM393" s="26">
        <v>0</v>
      </c>
      <c r="HN393" s="26">
        <v>0</v>
      </c>
      <c r="HO393" s="26">
        <v>0</v>
      </c>
      <c r="HP393" s="26">
        <v>0</v>
      </c>
      <c r="HQ393" s="26">
        <v>0</v>
      </c>
      <c r="HR393" s="26">
        <v>0</v>
      </c>
      <c r="HS393" s="26">
        <v>0</v>
      </c>
      <c r="HT393" s="26">
        <v>0</v>
      </c>
    </row>
    <row r="394" spans="2:228" x14ac:dyDescent="0.2">
      <c r="B394" s="27" t="s">
        <v>1476</v>
      </c>
      <c r="C394" s="26">
        <v>147136.25899999999</v>
      </c>
      <c r="D394" s="26">
        <v>-552.526567</v>
      </c>
      <c r="E394" s="26">
        <v>147136.25899999999</v>
      </c>
      <c r="F394" s="26">
        <v>0</v>
      </c>
      <c r="G394" s="26">
        <v>0</v>
      </c>
      <c r="H394" s="26">
        <v>0</v>
      </c>
      <c r="I394" s="26">
        <v>0</v>
      </c>
      <c r="J394" s="26">
        <v>0</v>
      </c>
      <c r="K394" s="26">
        <v>0</v>
      </c>
      <c r="L394" s="26">
        <v>0</v>
      </c>
      <c r="M394" s="26">
        <v>0</v>
      </c>
      <c r="N394" s="26">
        <v>0</v>
      </c>
      <c r="O394" s="26">
        <v>0</v>
      </c>
      <c r="P394" s="26">
        <v>0</v>
      </c>
      <c r="Q394" s="26">
        <v>0</v>
      </c>
      <c r="R394" s="26">
        <v>0</v>
      </c>
      <c r="S394" s="26">
        <v>0</v>
      </c>
      <c r="T394" s="26">
        <v>0</v>
      </c>
      <c r="U394" s="26">
        <v>0</v>
      </c>
      <c r="V394" s="26">
        <v>0</v>
      </c>
      <c r="W394" s="26">
        <v>0</v>
      </c>
      <c r="X394" s="26">
        <v>0</v>
      </c>
      <c r="Y394" s="26">
        <v>0</v>
      </c>
      <c r="Z394" s="26">
        <v>0</v>
      </c>
      <c r="AA394" s="26">
        <v>0</v>
      </c>
      <c r="AB394" s="26">
        <v>0</v>
      </c>
      <c r="AC394" s="26">
        <v>0</v>
      </c>
      <c r="AD394" s="26">
        <v>0</v>
      </c>
      <c r="AE394" s="26">
        <v>0</v>
      </c>
      <c r="AF394" s="26">
        <v>0</v>
      </c>
      <c r="AG394" s="26">
        <v>0</v>
      </c>
      <c r="AH394" s="26">
        <v>0</v>
      </c>
      <c r="AI394" s="26">
        <v>0</v>
      </c>
      <c r="AJ394" s="26">
        <v>0</v>
      </c>
      <c r="AK394" s="26">
        <v>0</v>
      </c>
      <c r="AL394" s="26">
        <v>0</v>
      </c>
      <c r="AM394" s="26">
        <v>0</v>
      </c>
      <c r="AN394" s="26">
        <v>0</v>
      </c>
      <c r="AO394" s="26">
        <v>0</v>
      </c>
      <c r="AP394" s="26">
        <v>0</v>
      </c>
      <c r="AQ394" s="26">
        <v>0</v>
      </c>
      <c r="AR394" s="26">
        <v>0</v>
      </c>
      <c r="AS394" s="26">
        <v>0</v>
      </c>
      <c r="AT394" s="26">
        <v>0</v>
      </c>
      <c r="AU394" s="26">
        <v>0</v>
      </c>
      <c r="AV394" s="26">
        <v>0</v>
      </c>
      <c r="AW394" s="26">
        <v>0</v>
      </c>
      <c r="AX394" s="26">
        <v>0</v>
      </c>
      <c r="AY394" s="26">
        <v>0</v>
      </c>
      <c r="AZ394" s="26">
        <v>0</v>
      </c>
      <c r="BA394" s="26">
        <v>0</v>
      </c>
      <c r="BB394" s="26">
        <v>0</v>
      </c>
      <c r="BC394" s="26">
        <v>0</v>
      </c>
      <c r="BD394" s="26">
        <v>0</v>
      </c>
      <c r="BE394" s="26">
        <v>0</v>
      </c>
      <c r="BF394" s="26">
        <v>0</v>
      </c>
      <c r="BG394" s="26">
        <v>0</v>
      </c>
      <c r="BH394" s="26">
        <v>0</v>
      </c>
      <c r="BI394" s="26">
        <v>0</v>
      </c>
      <c r="BJ394" s="26">
        <v>0</v>
      </c>
      <c r="BK394" s="26">
        <v>0</v>
      </c>
      <c r="BL394" s="26">
        <v>0</v>
      </c>
      <c r="BM394" s="26">
        <v>0</v>
      </c>
      <c r="BN394" s="26">
        <v>0</v>
      </c>
      <c r="BO394" s="26">
        <v>8167.3034899999993</v>
      </c>
      <c r="BP394" s="26">
        <v>147136.25899999999</v>
      </c>
      <c r="BQ394" s="26">
        <v>2553.4536899999998</v>
      </c>
      <c r="BR394" s="26">
        <v>59.151174400000002</v>
      </c>
      <c r="BS394" s="26">
        <v>2</v>
      </c>
      <c r="BT394" s="26">
        <v>0</v>
      </c>
      <c r="BU394" s="26">
        <v>1</v>
      </c>
      <c r="BV394" s="26">
        <v>0</v>
      </c>
      <c r="BW394" s="26">
        <v>-67651.038499999995</v>
      </c>
      <c r="BX394" s="26">
        <v>-3755.2032800000002</v>
      </c>
      <c r="BY394" s="26">
        <v>-552.526567</v>
      </c>
      <c r="BZ394" s="26">
        <v>-37.018208000000001</v>
      </c>
      <c r="CA394" s="26">
        <v>-2.0548228000000002</v>
      </c>
      <c r="CB394" s="26">
        <v>5.3308866999999996E-2</v>
      </c>
      <c r="CC394" s="26">
        <v>0.96037416499999995</v>
      </c>
      <c r="CD394" s="26">
        <v>18.015280000000001</v>
      </c>
      <c r="CE394" s="26">
        <v>2456.9971</v>
      </c>
      <c r="CF394" s="26">
        <v>0</v>
      </c>
      <c r="CG394" s="26">
        <v>0</v>
      </c>
      <c r="CH394" s="26">
        <v>0</v>
      </c>
      <c r="CI394" s="26">
        <v>0</v>
      </c>
      <c r="CJ394" s="26">
        <v>0</v>
      </c>
      <c r="CK394" s="26">
        <v>0</v>
      </c>
      <c r="CL394" s="26">
        <v>0</v>
      </c>
      <c r="CM394" s="26">
        <v>0</v>
      </c>
      <c r="CN394" s="26">
        <v>0</v>
      </c>
      <c r="CO394" s="26">
        <v>0</v>
      </c>
      <c r="CP394" s="26">
        <v>0</v>
      </c>
      <c r="CQ394" s="26">
        <v>0</v>
      </c>
      <c r="CR394" s="26">
        <v>0</v>
      </c>
      <c r="CS394" s="26">
        <v>0</v>
      </c>
      <c r="CT394" s="26">
        <v>0</v>
      </c>
      <c r="CU394" s="26">
        <v>0</v>
      </c>
      <c r="CV394" s="26">
        <v>0</v>
      </c>
      <c r="CW394" s="26">
        <v>0</v>
      </c>
      <c r="CX394" s="26">
        <v>0</v>
      </c>
      <c r="CY394" s="26">
        <v>0</v>
      </c>
      <c r="CZ394" s="26">
        <v>0</v>
      </c>
      <c r="DA394" s="26">
        <v>0</v>
      </c>
      <c r="DB394" s="26">
        <v>0</v>
      </c>
      <c r="DC394" s="26">
        <v>0</v>
      </c>
      <c r="DD394" s="26">
        <v>0</v>
      </c>
      <c r="DE394" s="26">
        <v>0</v>
      </c>
      <c r="DF394" s="26">
        <v>0</v>
      </c>
      <c r="DG394" s="26">
        <v>0</v>
      </c>
      <c r="DH394" s="26">
        <v>0</v>
      </c>
      <c r="DI394" s="26">
        <v>0</v>
      </c>
      <c r="DJ394" s="26">
        <v>0</v>
      </c>
      <c r="DK394" s="26">
        <v>0</v>
      </c>
      <c r="DL394" s="26">
        <v>0</v>
      </c>
      <c r="DM394" s="26">
        <v>0</v>
      </c>
      <c r="DN394" s="26">
        <v>0</v>
      </c>
      <c r="DO394" s="26">
        <v>0</v>
      </c>
      <c r="DP394" s="26">
        <v>0</v>
      </c>
      <c r="DQ394" s="26">
        <v>0</v>
      </c>
      <c r="DR394" s="26">
        <v>0</v>
      </c>
      <c r="DS394" s="26">
        <v>0</v>
      </c>
      <c r="DT394" s="26">
        <v>0</v>
      </c>
      <c r="DU394" s="26">
        <v>0</v>
      </c>
      <c r="DV394" s="26">
        <v>0</v>
      </c>
      <c r="DW394" s="26">
        <v>0</v>
      </c>
      <c r="DX394" s="26">
        <v>0</v>
      </c>
      <c r="DY394" s="26">
        <v>0</v>
      </c>
      <c r="DZ394" s="26">
        <v>0</v>
      </c>
      <c r="EA394" s="26">
        <v>0</v>
      </c>
      <c r="EB394" s="26">
        <v>0</v>
      </c>
      <c r="EC394" s="26">
        <v>0</v>
      </c>
      <c r="ED394" s="26">
        <v>0</v>
      </c>
      <c r="EE394" s="26">
        <v>0</v>
      </c>
      <c r="EF394" s="26">
        <v>0</v>
      </c>
      <c r="EG394" s="26">
        <v>0</v>
      </c>
      <c r="EH394" s="26">
        <v>0</v>
      </c>
      <c r="EI394" s="26">
        <v>0</v>
      </c>
      <c r="EJ394" s="26">
        <v>0</v>
      </c>
      <c r="EK394" s="26">
        <v>0</v>
      </c>
      <c r="EL394" s="26">
        <v>0</v>
      </c>
      <c r="EM394" s="26">
        <v>0</v>
      </c>
      <c r="EN394" s="26">
        <v>0</v>
      </c>
      <c r="EO394" s="26">
        <v>0</v>
      </c>
      <c r="EP394" s="26">
        <v>0</v>
      </c>
      <c r="EQ394" s="26">
        <v>0</v>
      </c>
      <c r="ER394" s="26">
        <v>0</v>
      </c>
      <c r="ES394" s="26">
        <v>0</v>
      </c>
      <c r="ET394" s="26">
        <v>2</v>
      </c>
      <c r="EU394" s="26">
        <v>0</v>
      </c>
      <c r="EV394" s="26">
        <v>0</v>
      </c>
      <c r="EW394" s="26">
        <v>0</v>
      </c>
      <c r="EX394" s="26">
        <v>0</v>
      </c>
      <c r="EY394" s="26">
        <v>0</v>
      </c>
      <c r="EZ394" s="26">
        <v>0</v>
      </c>
      <c r="FA394" s="26">
        <v>0</v>
      </c>
      <c r="FB394" s="26">
        <v>0</v>
      </c>
      <c r="FC394" s="26">
        <v>0</v>
      </c>
      <c r="FD394" s="26">
        <v>0</v>
      </c>
      <c r="FE394" s="26">
        <v>0</v>
      </c>
      <c r="FF394" s="26">
        <v>0</v>
      </c>
      <c r="FG394" s="26">
        <v>0</v>
      </c>
      <c r="FH394" s="26">
        <v>-648108383.86300004</v>
      </c>
      <c r="FI394" s="26">
        <v>0</v>
      </c>
      <c r="FJ394" s="26">
        <v>0</v>
      </c>
      <c r="FK394" s="26">
        <v>0</v>
      </c>
      <c r="FL394" s="26">
        <v>0</v>
      </c>
      <c r="FM394" s="26">
        <v>0</v>
      </c>
      <c r="FN394" s="26">
        <v>0</v>
      </c>
      <c r="FO394" s="26">
        <v>0</v>
      </c>
      <c r="FP394" s="26">
        <v>0</v>
      </c>
      <c r="FQ394" s="26">
        <v>0</v>
      </c>
      <c r="FR394" s="26">
        <v>0</v>
      </c>
      <c r="FS394" s="26">
        <v>0</v>
      </c>
      <c r="FT394" s="26">
        <v>0</v>
      </c>
      <c r="FU394" s="26">
        <v>0</v>
      </c>
      <c r="FV394" s="26">
        <v>0</v>
      </c>
      <c r="FW394" s="26">
        <v>0</v>
      </c>
      <c r="FX394" s="26">
        <v>0</v>
      </c>
      <c r="FY394" s="26">
        <v>0</v>
      </c>
      <c r="FZ394" s="26">
        <v>0</v>
      </c>
      <c r="GA394" s="26">
        <v>0</v>
      </c>
      <c r="GB394" s="26">
        <v>0</v>
      </c>
      <c r="GC394" s="26">
        <v>0</v>
      </c>
      <c r="GD394" s="26">
        <v>0</v>
      </c>
      <c r="GE394" s="26">
        <v>0</v>
      </c>
      <c r="GF394" s="26">
        <v>0</v>
      </c>
      <c r="GG394" s="26">
        <v>0</v>
      </c>
      <c r="GH394" s="26">
        <v>0</v>
      </c>
      <c r="GI394" s="26">
        <v>0</v>
      </c>
      <c r="GJ394" s="26">
        <v>0</v>
      </c>
      <c r="GK394" s="26">
        <v>0</v>
      </c>
      <c r="GL394" s="26">
        <v>0</v>
      </c>
      <c r="GM394" s="26">
        <v>0</v>
      </c>
      <c r="GN394" s="26">
        <v>0</v>
      </c>
      <c r="GO394" s="26">
        <v>0</v>
      </c>
      <c r="GP394" s="26">
        <v>0</v>
      </c>
      <c r="GQ394" s="26">
        <v>0</v>
      </c>
      <c r="GR394" s="26">
        <v>0</v>
      </c>
      <c r="GS394" s="26">
        <v>0</v>
      </c>
      <c r="GT394" s="26">
        <v>0</v>
      </c>
      <c r="GU394" s="26">
        <v>0</v>
      </c>
      <c r="GV394" s="26">
        <v>0</v>
      </c>
      <c r="GW394" s="26">
        <v>0</v>
      </c>
      <c r="GX394" s="26">
        <v>0</v>
      </c>
      <c r="GY394" s="26">
        <v>0</v>
      </c>
      <c r="GZ394" s="26">
        <v>0</v>
      </c>
      <c r="HA394" s="26">
        <v>0</v>
      </c>
      <c r="HB394" s="26">
        <v>0</v>
      </c>
      <c r="HC394" s="26">
        <v>0</v>
      </c>
      <c r="HD394" s="26">
        <v>0</v>
      </c>
      <c r="HE394" s="26">
        <v>0</v>
      </c>
      <c r="HF394" s="26">
        <v>0</v>
      </c>
      <c r="HG394" s="26">
        <v>0</v>
      </c>
      <c r="HH394" s="26">
        <v>0</v>
      </c>
      <c r="HI394" s="26">
        <v>0</v>
      </c>
      <c r="HJ394" s="26">
        <v>0</v>
      </c>
      <c r="HK394" s="26">
        <v>0</v>
      </c>
      <c r="HL394" s="26">
        <v>0</v>
      </c>
      <c r="HM394" s="26">
        <v>0</v>
      </c>
      <c r="HN394" s="26">
        <v>0</v>
      </c>
      <c r="HO394" s="26">
        <v>0</v>
      </c>
      <c r="HP394" s="26">
        <v>0</v>
      </c>
      <c r="HQ394" s="26">
        <v>0</v>
      </c>
      <c r="HR394" s="26">
        <v>0</v>
      </c>
      <c r="HS394" s="26">
        <v>0</v>
      </c>
      <c r="HT394" s="26">
        <v>0</v>
      </c>
    </row>
    <row r="395" spans="2:228" x14ac:dyDescent="0.2">
      <c r="B395" s="27" t="s">
        <v>1481</v>
      </c>
      <c r="C395" s="26">
        <v>523776.42099999991</v>
      </c>
      <c r="D395" s="26">
        <v>-1979.8611400000002</v>
      </c>
      <c r="E395" s="26">
        <v>523776.42099999991</v>
      </c>
      <c r="F395" s="26">
        <v>0</v>
      </c>
      <c r="G395" s="26">
        <v>0</v>
      </c>
      <c r="H395" s="26">
        <v>0</v>
      </c>
      <c r="I395" s="26">
        <v>0</v>
      </c>
      <c r="J395" s="26">
        <v>0</v>
      </c>
      <c r="K395" s="26">
        <v>0</v>
      </c>
      <c r="L395" s="26">
        <v>0</v>
      </c>
      <c r="M395" s="26">
        <v>0</v>
      </c>
      <c r="N395" s="26">
        <v>0</v>
      </c>
      <c r="O395" s="26">
        <v>0</v>
      </c>
      <c r="P395" s="26">
        <v>0</v>
      </c>
      <c r="Q395" s="26">
        <v>0</v>
      </c>
      <c r="R395" s="26">
        <v>0</v>
      </c>
      <c r="S395" s="26">
        <v>0</v>
      </c>
      <c r="T395" s="26">
        <v>0</v>
      </c>
      <c r="U395" s="26">
        <v>0</v>
      </c>
      <c r="V395" s="26">
        <v>0</v>
      </c>
      <c r="W395" s="26">
        <v>0</v>
      </c>
      <c r="X395" s="26">
        <v>0</v>
      </c>
      <c r="Y395" s="26">
        <v>0</v>
      </c>
      <c r="Z395" s="26">
        <v>0</v>
      </c>
      <c r="AA395" s="26">
        <v>0</v>
      </c>
      <c r="AB395" s="26">
        <v>0</v>
      </c>
      <c r="AC395" s="26">
        <v>0</v>
      </c>
      <c r="AD395" s="26">
        <v>0</v>
      </c>
      <c r="AE395" s="26">
        <v>0</v>
      </c>
      <c r="AF395" s="26">
        <v>0</v>
      </c>
      <c r="AG395" s="26">
        <v>0</v>
      </c>
      <c r="AH395" s="26">
        <v>0</v>
      </c>
      <c r="AI395" s="26">
        <v>0</v>
      </c>
      <c r="AJ395" s="26">
        <v>0</v>
      </c>
      <c r="AK395" s="26">
        <v>0</v>
      </c>
      <c r="AL395" s="26">
        <v>0</v>
      </c>
      <c r="AM395" s="26">
        <v>0</v>
      </c>
      <c r="AN395" s="26">
        <v>0</v>
      </c>
      <c r="AO395" s="26">
        <v>0</v>
      </c>
      <c r="AP395" s="26">
        <v>0</v>
      </c>
      <c r="AQ395" s="26">
        <v>0</v>
      </c>
      <c r="AR395" s="26">
        <v>0</v>
      </c>
      <c r="AS395" s="26">
        <v>0</v>
      </c>
      <c r="AT395" s="26">
        <v>0</v>
      </c>
      <c r="AU395" s="26">
        <v>0</v>
      </c>
      <c r="AV395" s="26">
        <v>0</v>
      </c>
      <c r="AW395" s="26">
        <v>0</v>
      </c>
      <c r="AX395" s="26">
        <v>0</v>
      </c>
      <c r="AY395" s="26">
        <v>0</v>
      </c>
      <c r="AZ395" s="26">
        <v>0</v>
      </c>
      <c r="BA395" s="26">
        <v>0</v>
      </c>
      <c r="BB395" s="26">
        <v>0</v>
      </c>
      <c r="BC395" s="26">
        <v>0</v>
      </c>
      <c r="BD395" s="26">
        <v>0</v>
      </c>
      <c r="BE395" s="26">
        <v>0</v>
      </c>
      <c r="BF395" s="26">
        <v>0</v>
      </c>
      <c r="BG395" s="26">
        <v>0</v>
      </c>
      <c r="BH395" s="26">
        <v>0</v>
      </c>
      <c r="BI395" s="26">
        <v>0</v>
      </c>
      <c r="BJ395" s="26">
        <v>0</v>
      </c>
      <c r="BK395" s="26">
        <v>0</v>
      </c>
      <c r="BL395" s="26">
        <v>0</v>
      </c>
      <c r="BM395" s="26">
        <v>0</v>
      </c>
      <c r="BN395" s="26">
        <v>0</v>
      </c>
      <c r="BO395" s="26">
        <v>29074.009400000003</v>
      </c>
      <c r="BP395" s="26">
        <v>523776.42099999991</v>
      </c>
      <c r="BQ395" s="26">
        <v>8852.8234300000004</v>
      </c>
      <c r="BR395" s="26">
        <v>33.128185400000007</v>
      </c>
      <c r="BS395" s="26">
        <v>5</v>
      </c>
      <c r="BT395" s="26">
        <v>0</v>
      </c>
      <c r="BU395" s="26">
        <v>1</v>
      </c>
      <c r="BV395" s="26">
        <v>0</v>
      </c>
      <c r="BW395" s="26">
        <v>-68097.285699999993</v>
      </c>
      <c r="BX395" s="26">
        <v>-3779.9737599999999</v>
      </c>
      <c r="BY395" s="26">
        <v>-1979.8611400000002</v>
      </c>
      <c r="BZ395" s="26">
        <v>-38.407792600000001</v>
      </c>
      <c r="CA395" s="26">
        <v>-2.1319564600000001</v>
      </c>
      <c r="CB395" s="26">
        <v>5.47358503E-2</v>
      </c>
      <c r="CC395" s="26">
        <v>0.98608166900000005</v>
      </c>
      <c r="CD395" s="26">
        <v>18.015280000000001</v>
      </c>
      <c r="CE395" s="26">
        <v>8746.4310700000005</v>
      </c>
      <c r="CF395" s="26">
        <v>0</v>
      </c>
      <c r="CG395" s="26">
        <v>0</v>
      </c>
      <c r="CH395" s="26">
        <v>0</v>
      </c>
      <c r="CI395" s="26">
        <v>0</v>
      </c>
      <c r="CJ395" s="26">
        <v>0</v>
      </c>
      <c r="CK395" s="26">
        <v>0</v>
      </c>
      <c r="CL395" s="26">
        <v>0</v>
      </c>
      <c r="CM395" s="26">
        <v>0</v>
      </c>
      <c r="CN395" s="26">
        <v>0</v>
      </c>
      <c r="CO395" s="26">
        <v>0</v>
      </c>
      <c r="CP395" s="26">
        <v>0</v>
      </c>
      <c r="CQ395" s="26">
        <v>0</v>
      </c>
      <c r="CR395" s="26">
        <v>0</v>
      </c>
      <c r="CS395" s="26">
        <v>0</v>
      </c>
      <c r="CT395" s="26">
        <v>0</v>
      </c>
      <c r="CU395" s="26">
        <v>0</v>
      </c>
      <c r="CV395" s="26">
        <v>0</v>
      </c>
      <c r="CW395" s="26">
        <v>0</v>
      </c>
      <c r="CX395" s="26">
        <v>0</v>
      </c>
      <c r="CY395" s="26">
        <v>0</v>
      </c>
      <c r="CZ395" s="26">
        <v>0</v>
      </c>
      <c r="DA395" s="26">
        <v>0</v>
      </c>
      <c r="DB395" s="26">
        <v>0</v>
      </c>
      <c r="DC395" s="26">
        <v>0</v>
      </c>
      <c r="DD395" s="26">
        <v>0</v>
      </c>
      <c r="DE395" s="26">
        <v>0</v>
      </c>
      <c r="DF395" s="26">
        <v>0</v>
      </c>
      <c r="DG395" s="26">
        <v>0</v>
      </c>
      <c r="DH395" s="26">
        <v>0</v>
      </c>
      <c r="DI395" s="26">
        <v>0</v>
      </c>
      <c r="DJ395" s="26">
        <v>0</v>
      </c>
      <c r="DK395" s="26">
        <v>0</v>
      </c>
      <c r="DL395" s="26">
        <v>0</v>
      </c>
      <c r="DM395" s="26">
        <v>0</v>
      </c>
      <c r="DN395" s="26">
        <v>0</v>
      </c>
      <c r="DO395" s="26">
        <v>0</v>
      </c>
      <c r="DP395" s="26">
        <v>0</v>
      </c>
      <c r="DQ395" s="26">
        <v>0</v>
      </c>
      <c r="DR395" s="26">
        <v>0</v>
      </c>
      <c r="DS395" s="26">
        <v>0</v>
      </c>
      <c r="DT395" s="26">
        <v>0</v>
      </c>
      <c r="DU395" s="26">
        <v>0</v>
      </c>
      <c r="DV395" s="26">
        <v>0</v>
      </c>
      <c r="DW395" s="26">
        <v>0</v>
      </c>
      <c r="DX395" s="26">
        <v>0</v>
      </c>
      <c r="DY395" s="26">
        <v>0</v>
      </c>
      <c r="DZ395" s="26">
        <v>0</v>
      </c>
      <c r="EA395" s="26">
        <v>0</v>
      </c>
      <c r="EB395" s="26">
        <v>0</v>
      </c>
      <c r="EC395" s="26">
        <v>0</v>
      </c>
      <c r="ED395" s="26">
        <v>0</v>
      </c>
      <c r="EE395" s="26">
        <v>0</v>
      </c>
      <c r="EF395" s="26">
        <v>0</v>
      </c>
      <c r="EG395" s="26">
        <v>0</v>
      </c>
      <c r="EH395" s="26">
        <v>0</v>
      </c>
      <c r="EI395" s="26">
        <v>0</v>
      </c>
      <c r="EJ395" s="26">
        <v>0</v>
      </c>
      <c r="EK395" s="26">
        <v>0</v>
      </c>
      <c r="EL395" s="26">
        <v>0</v>
      </c>
      <c r="EM395" s="26">
        <v>0</v>
      </c>
      <c r="EN395" s="26">
        <v>0</v>
      </c>
      <c r="EO395" s="26">
        <v>0</v>
      </c>
      <c r="EP395" s="26">
        <v>0</v>
      </c>
      <c r="EQ395" s="26">
        <v>0</v>
      </c>
      <c r="ER395" s="26">
        <v>0</v>
      </c>
      <c r="ES395" s="26">
        <v>0</v>
      </c>
      <c r="ET395" s="26">
        <v>5</v>
      </c>
      <c r="EU395" s="26">
        <v>0</v>
      </c>
      <c r="EV395" s="26">
        <v>0</v>
      </c>
      <c r="EW395" s="26">
        <v>0</v>
      </c>
      <c r="EX395" s="26">
        <v>0</v>
      </c>
      <c r="EY395" s="26">
        <v>0</v>
      </c>
      <c r="EZ395" s="26">
        <v>0</v>
      </c>
      <c r="FA395" s="26">
        <v>0</v>
      </c>
      <c r="FB395" s="26">
        <v>0</v>
      </c>
      <c r="FC395" s="26">
        <v>0</v>
      </c>
      <c r="FD395" s="26">
        <v>0</v>
      </c>
      <c r="FE395" s="26">
        <v>0</v>
      </c>
      <c r="FF395" s="26">
        <v>0</v>
      </c>
      <c r="FG395" s="26">
        <v>0</v>
      </c>
      <c r="FH395" s="26">
        <v>-2307139594.1100001</v>
      </c>
      <c r="FI395" s="26">
        <v>0</v>
      </c>
      <c r="FJ395" s="26">
        <v>0</v>
      </c>
      <c r="FK395" s="26">
        <v>0</v>
      </c>
      <c r="FL395" s="26">
        <v>0</v>
      </c>
      <c r="FM395" s="26">
        <v>0</v>
      </c>
      <c r="FN395" s="26">
        <v>0</v>
      </c>
      <c r="FO395" s="26">
        <v>0</v>
      </c>
      <c r="FP395" s="26">
        <v>0</v>
      </c>
      <c r="FQ395" s="26">
        <v>0</v>
      </c>
      <c r="FR395" s="26">
        <v>0</v>
      </c>
      <c r="FS395" s="26">
        <v>0</v>
      </c>
      <c r="FT395" s="26">
        <v>0</v>
      </c>
      <c r="FU395" s="26">
        <v>0</v>
      </c>
      <c r="FV395" s="26">
        <v>0</v>
      </c>
      <c r="FW395" s="26">
        <v>0</v>
      </c>
      <c r="FX395" s="26">
        <v>0</v>
      </c>
      <c r="FY395" s="26">
        <v>0</v>
      </c>
      <c r="FZ395" s="26">
        <v>0</v>
      </c>
      <c r="GA395" s="26">
        <v>0</v>
      </c>
      <c r="GB395" s="26">
        <v>0</v>
      </c>
      <c r="GC395" s="26">
        <v>0</v>
      </c>
      <c r="GD395" s="26">
        <v>0</v>
      </c>
      <c r="GE395" s="26">
        <v>0</v>
      </c>
      <c r="GF395" s="26">
        <v>0</v>
      </c>
      <c r="GG395" s="26">
        <v>0</v>
      </c>
      <c r="GH395" s="26">
        <v>0</v>
      </c>
      <c r="GI395" s="26">
        <v>0</v>
      </c>
      <c r="GJ395" s="26">
        <v>0</v>
      </c>
      <c r="GK395" s="26">
        <v>0</v>
      </c>
      <c r="GL395" s="26">
        <v>0</v>
      </c>
      <c r="GM395" s="26">
        <v>0</v>
      </c>
      <c r="GN395" s="26">
        <v>0</v>
      </c>
      <c r="GO395" s="26">
        <v>0</v>
      </c>
      <c r="GP395" s="26">
        <v>0</v>
      </c>
      <c r="GQ395" s="26">
        <v>0</v>
      </c>
      <c r="GR395" s="26">
        <v>0</v>
      </c>
      <c r="GS395" s="26">
        <v>0</v>
      </c>
      <c r="GT395" s="26">
        <v>0</v>
      </c>
      <c r="GU395" s="26">
        <v>0</v>
      </c>
      <c r="GV395" s="26">
        <v>0</v>
      </c>
      <c r="GW395" s="26">
        <v>0</v>
      </c>
      <c r="GX395" s="26">
        <v>0</v>
      </c>
      <c r="GY395" s="26">
        <v>0</v>
      </c>
      <c r="GZ395" s="26">
        <v>0</v>
      </c>
      <c r="HA395" s="26">
        <v>0</v>
      </c>
      <c r="HB395" s="26">
        <v>0</v>
      </c>
      <c r="HC395" s="26">
        <v>0</v>
      </c>
      <c r="HD395" s="26">
        <v>0</v>
      </c>
      <c r="HE395" s="26">
        <v>0</v>
      </c>
      <c r="HF395" s="26">
        <v>0</v>
      </c>
      <c r="HG395" s="26">
        <v>0</v>
      </c>
      <c r="HH395" s="26">
        <v>0</v>
      </c>
      <c r="HI395" s="26">
        <v>0</v>
      </c>
      <c r="HJ395" s="26">
        <v>0</v>
      </c>
      <c r="HK395" s="26">
        <v>0</v>
      </c>
      <c r="HL395" s="26">
        <v>0</v>
      </c>
      <c r="HM395" s="26">
        <v>0</v>
      </c>
      <c r="HN395" s="26">
        <v>0</v>
      </c>
      <c r="HO395" s="26">
        <v>0</v>
      </c>
      <c r="HP395" s="26">
        <v>0</v>
      </c>
      <c r="HQ395" s="26">
        <v>0</v>
      </c>
      <c r="HR395" s="26">
        <v>0</v>
      </c>
      <c r="HS395" s="26">
        <v>0</v>
      </c>
      <c r="HT395" s="26">
        <v>0</v>
      </c>
    </row>
    <row r="396" spans="2:228" x14ac:dyDescent="0.2">
      <c r="B396" s="27" t="s">
        <v>1483</v>
      </c>
      <c r="C396" s="26">
        <v>145</v>
      </c>
      <c r="D396" s="26">
        <v>-0.54984188700000003</v>
      </c>
      <c r="E396" s="26">
        <v>145</v>
      </c>
      <c r="F396" s="26">
        <v>0</v>
      </c>
      <c r="G396" s="26">
        <v>0</v>
      </c>
      <c r="H396" s="26">
        <v>0</v>
      </c>
      <c r="I396" s="26">
        <v>0</v>
      </c>
      <c r="J396" s="26">
        <v>0</v>
      </c>
      <c r="K396" s="26">
        <v>0</v>
      </c>
      <c r="L396" s="26">
        <v>0</v>
      </c>
      <c r="M396" s="26">
        <v>0</v>
      </c>
      <c r="N396" s="26">
        <v>0</v>
      </c>
      <c r="O396" s="26">
        <v>0</v>
      </c>
      <c r="P396" s="26">
        <v>0</v>
      </c>
      <c r="Q396" s="26">
        <v>0</v>
      </c>
      <c r="R396" s="26">
        <v>0</v>
      </c>
      <c r="S396" s="26">
        <v>0</v>
      </c>
      <c r="T396" s="26">
        <v>0</v>
      </c>
      <c r="U396" s="26">
        <v>0</v>
      </c>
      <c r="V396" s="26">
        <v>0</v>
      </c>
      <c r="W396" s="26">
        <v>0</v>
      </c>
      <c r="X396" s="26">
        <v>0</v>
      </c>
      <c r="Y396" s="26">
        <v>0</v>
      </c>
      <c r="Z396" s="26">
        <v>0</v>
      </c>
      <c r="AA396" s="26">
        <v>0</v>
      </c>
      <c r="AB396" s="26">
        <v>0</v>
      </c>
      <c r="AC396" s="26">
        <v>0</v>
      </c>
      <c r="AD396" s="26">
        <v>0</v>
      </c>
      <c r="AE396" s="26">
        <v>0</v>
      </c>
      <c r="AF396" s="26">
        <v>0</v>
      </c>
      <c r="AG396" s="26">
        <v>0</v>
      </c>
      <c r="AH396" s="26">
        <v>0</v>
      </c>
      <c r="AI396" s="26">
        <v>0</v>
      </c>
      <c r="AJ396" s="26">
        <v>0</v>
      </c>
      <c r="AK396" s="26">
        <v>0</v>
      </c>
      <c r="AL396" s="26">
        <v>0</v>
      </c>
      <c r="AM396" s="26">
        <v>0</v>
      </c>
      <c r="AN396" s="26">
        <v>0</v>
      </c>
      <c r="AO396" s="26">
        <v>0</v>
      </c>
      <c r="AP396" s="26">
        <v>0</v>
      </c>
      <c r="AQ396" s="26">
        <v>0</v>
      </c>
      <c r="AR396" s="26">
        <v>0</v>
      </c>
      <c r="AS396" s="26">
        <v>0</v>
      </c>
      <c r="AT396" s="26">
        <v>0</v>
      </c>
      <c r="AU396" s="26">
        <v>0</v>
      </c>
      <c r="AV396" s="26">
        <v>0</v>
      </c>
      <c r="AW396" s="26">
        <v>0</v>
      </c>
      <c r="AX396" s="26">
        <v>0</v>
      </c>
      <c r="AY396" s="26">
        <v>0</v>
      </c>
      <c r="AZ396" s="26">
        <v>0</v>
      </c>
      <c r="BA396" s="26">
        <v>0</v>
      </c>
      <c r="BB396" s="26">
        <v>0</v>
      </c>
      <c r="BC396" s="26">
        <v>0</v>
      </c>
      <c r="BD396" s="26">
        <v>0</v>
      </c>
      <c r="BE396" s="26">
        <v>0</v>
      </c>
      <c r="BF396" s="26">
        <v>0</v>
      </c>
      <c r="BG396" s="26">
        <v>0</v>
      </c>
      <c r="BH396" s="26">
        <v>0</v>
      </c>
      <c r="BI396" s="26">
        <v>0</v>
      </c>
      <c r="BJ396" s="26">
        <v>0</v>
      </c>
      <c r="BK396" s="26">
        <v>0</v>
      </c>
      <c r="BL396" s="26">
        <v>0</v>
      </c>
      <c r="BM396" s="26">
        <v>0</v>
      </c>
      <c r="BN396" s="26">
        <v>0</v>
      </c>
      <c r="BO396" s="26">
        <v>8.0487230800000003</v>
      </c>
      <c r="BP396" s="26">
        <v>145</v>
      </c>
      <c r="BQ396" s="26">
        <v>2.4196495699999998</v>
      </c>
      <c r="BR396" s="26">
        <v>20</v>
      </c>
      <c r="BS396" s="26">
        <v>1</v>
      </c>
      <c r="BT396" s="26">
        <v>0</v>
      </c>
      <c r="BU396" s="26">
        <v>1</v>
      </c>
      <c r="BV396" s="26">
        <v>0</v>
      </c>
      <c r="BW396" s="26">
        <v>-68314.175600000002</v>
      </c>
      <c r="BX396" s="26">
        <v>-3792.01298</v>
      </c>
      <c r="BY396" s="26">
        <v>-0.54984188700000003</v>
      </c>
      <c r="BZ396" s="26">
        <v>-39.124202799999999</v>
      </c>
      <c r="CA396" s="26">
        <v>-2.1717232700000002</v>
      </c>
      <c r="CB396" s="26">
        <v>5.5440004600000002E-2</v>
      </c>
      <c r="CC396" s="26">
        <v>0.99876720600000002</v>
      </c>
      <c r="CD396" s="26">
        <v>18.015280000000001</v>
      </c>
      <c r="CE396" s="26">
        <v>2.4213241700000001</v>
      </c>
      <c r="CF396" s="26">
        <v>0</v>
      </c>
      <c r="CG396" s="26">
        <v>0</v>
      </c>
      <c r="CH396" s="26">
        <v>0</v>
      </c>
      <c r="CI396" s="26">
        <v>0</v>
      </c>
      <c r="CJ396" s="26">
        <v>0</v>
      </c>
      <c r="CK396" s="26">
        <v>0</v>
      </c>
      <c r="CL396" s="26">
        <v>0</v>
      </c>
      <c r="CM396" s="26">
        <v>0</v>
      </c>
      <c r="CN396" s="26">
        <v>0</v>
      </c>
      <c r="CO396" s="26">
        <v>0</v>
      </c>
      <c r="CP396" s="26">
        <v>0</v>
      </c>
      <c r="CQ396" s="26">
        <v>0</v>
      </c>
      <c r="CR396" s="26">
        <v>0</v>
      </c>
      <c r="CS396" s="26">
        <v>0</v>
      </c>
      <c r="CT396" s="26">
        <v>0</v>
      </c>
      <c r="CU396" s="26">
        <v>0</v>
      </c>
      <c r="CV396" s="26">
        <v>0</v>
      </c>
      <c r="CW396" s="26">
        <v>0</v>
      </c>
      <c r="CX396" s="26">
        <v>0</v>
      </c>
      <c r="CY396" s="26">
        <v>0</v>
      </c>
      <c r="CZ396" s="26">
        <v>0</v>
      </c>
      <c r="DA396" s="26">
        <v>0</v>
      </c>
      <c r="DB396" s="26">
        <v>0</v>
      </c>
      <c r="DC396" s="26">
        <v>0</v>
      </c>
      <c r="DD396" s="26">
        <v>0</v>
      </c>
      <c r="DE396" s="26">
        <v>0</v>
      </c>
      <c r="DF396" s="26">
        <v>0</v>
      </c>
      <c r="DG396" s="26">
        <v>0</v>
      </c>
      <c r="DH396" s="26">
        <v>0</v>
      </c>
      <c r="DI396" s="26">
        <v>0</v>
      </c>
      <c r="DJ396" s="26">
        <v>0</v>
      </c>
      <c r="DK396" s="26">
        <v>0</v>
      </c>
      <c r="DL396" s="26">
        <v>0</v>
      </c>
      <c r="DM396" s="26">
        <v>0</v>
      </c>
      <c r="DN396" s="26">
        <v>0</v>
      </c>
      <c r="DO396" s="26">
        <v>0</v>
      </c>
      <c r="DP396" s="26">
        <v>0</v>
      </c>
      <c r="DQ396" s="26">
        <v>0</v>
      </c>
      <c r="DR396" s="26">
        <v>0</v>
      </c>
      <c r="DS396" s="26">
        <v>0</v>
      </c>
      <c r="DT396" s="26">
        <v>0</v>
      </c>
      <c r="DU396" s="26">
        <v>0</v>
      </c>
      <c r="DV396" s="26">
        <v>0</v>
      </c>
      <c r="DW396" s="26">
        <v>0</v>
      </c>
      <c r="DX396" s="26">
        <v>0</v>
      </c>
      <c r="DY396" s="26">
        <v>0</v>
      </c>
      <c r="DZ396" s="26">
        <v>0</v>
      </c>
      <c r="EA396" s="26">
        <v>0</v>
      </c>
      <c r="EB396" s="26">
        <v>0</v>
      </c>
      <c r="EC396" s="26">
        <v>0</v>
      </c>
      <c r="ED396" s="26">
        <v>0</v>
      </c>
      <c r="EE396" s="26">
        <v>0</v>
      </c>
      <c r="EF396" s="26">
        <v>0</v>
      </c>
      <c r="EG396" s="26">
        <v>0</v>
      </c>
      <c r="EH396" s="26">
        <v>0</v>
      </c>
      <c r="EI396" s="26">
        <v>0</v>
      </c>
      <c r="EJ396" s="26">
        <v>0</v>
      </c>
      <c r="EK396" s="26">
        <v>0</v>
      </c>
      <c r="EL396" s="26">
        <v>0</v>
      </c>
      <c r="EM396" s="26">
        <v>0</v>
      </c>
      <c r="EN396" s="26">
        <v>0</v>
      </c>
      <c r="EO396" s="26">
        <v>0</v>
      </c>
      <c r="EP396" s="26">
        <v>0</v>
      </c>
      <c r="EQ396" s="26">
        <v>0</v>
      </c>
      <c r="ER396" s="26">
        <v>0</v>
      </c>
      <c r="ES396" s="26">
        <v>0</v>
      </c>
      <c r="ET396" s="26">
        <v>1</v>
      </c>
      <c r="EU396" s="26">
        <v>0</v>
      </c>
      <c r="EV396" s="26">
        <v>0</v>
      </c>
      <c r="EW396" s="26">
        <v>0</v>
      </c>
      <c r="EX396" s="26">
        <v>0</v>
      </c>
      <c r="EY396" s="26">
        <v>0</v>
      </c>
      <c r="EZ396" s="26">
        <v>0</v>
      </c>
      <c r="FA396" s="26">
        <v>0</v>
      </c>
      <c r="FB396" s="26">
        <v>0</v>
      </c>
      <c r="FC396" s="26">
        <v>0</v>
      </c>
      <c r="FD396" s="26">
        <v>0</v>
      </c>
      <c r="FE396" s="26">
        <v>0</v>
      </c>
      <c r="FF396" s="26">
        <v>0</v>
      </c>
      <c r="FG396" s="26">
        <v>0</v>
      </c>
      <c r="FH396" s="26">
        <v>-638698.55202600011</v>
      </c>
      <c r="FI396" s="26">
        <v>0</v>
      </c>
      <c r="FJ396" s="26">
        <v>0</v>
      </c>
      <c r="FK396" s="26">
        <v>0</v>
      </c>
      <c r="FL396" s="26">
        <v>0</v>
      </c>
      <c r="FM396" s="26">
        <v>0</v>
      </c>
      <c r="FN396" s="26">
        <v>0</v>
      </c>
      <c r="FO396" s="26">
        <v>0</v>
      </c>
      <c r="FP396" s="26">
        <v>0</v>
      </c>
      <c r="FQ396" s="26">
        <v>0</v>
      </c>
      <c r="FR396" s="26">
        <v>0</v>
      </c>
      <c r="FS396" s="26">
        <v>0</v>
      </c>
      <c r="FT396" s="26">
        <v>0</v>
      </c>
      <c r="FU396" s="26">
        <v>0</v>
      </c>
      <c r="FV396" s="26">
        <v>0</v>
      </c>
      <c r="FW396" s="26">
        <v>0</v>
      </c>
      <c r="FX396" s="26">
        <v>0</v>
      </c>
      <c r="FY396" s="26">
        <v>0</v>
      </c>
      <c r="FZ396" s="26">
        <v>0</v>
      </c>
      <c r="GA396" s="26">
        <v>0</v>
      </c>
      <c r="GB396" s="26">
        <v>0</v>
      </c>
      <c r="GC396" s="26">
        <v>0</v>
      </c>
      <c r="GD396" s="26">
        <v>0</v>
      </c>
      <c r="GE396" s="26">
        <v>0</v>
      </c>
      <c r="GF396" s="26">
        <v>0</v>
      </c>
      <c r="GG396" s="26">
        <v>0</v>
      </c>
      <c r="GH396" s="26">
        <v>0</v>
      </c>
      <c r="GI396" s="26">
        <v>0</v>
      </c>
      <c r="GJ396" s="26">
        <v>0</v>
      </c>
      <c r="GK396" s="26">
        <v>0</v>
      </c>
      <c r="GL396" s="26">
        <v>0</v>
      </c>
      <c r="GM396" s="26">
        <v>0</v>
      </c>
      <c r="GN396" s="26">
        <v>0</v>
      </c>
      <c r="GO396" s="26">
        <v>0</v>
      </c>
      <c r="GP396" s="26">
        <v>0</v>
      </c>
      <c r="GQ396" s="26">
        <v>0</v>
      </c>
      <c r="GR396" s="26">
        <v>0</v>
      </c>
      <c r="GS396" s="26">
        <v>0</v>
      </c>
      <c r="GT396" s="26">
        <v>0</v>
      </c>
      <c r="GU396" s="26">
        <v>0</v>
      </c>
      <c r="GV396" s="26">
        <v>0</v>
      </c>
      <c r="GW396" s="26">
        <v>0</v>
      </c>
      <c r="GX396" s="26">
        <v>0</v>
      </c>
      <c r="GY396" s="26">
        <v>0</v>
      </c>
      <c r="GZ396" s="26">
        <v>0</v>
      </c>
      <c r="HA396" s="26">
        <v>0</v>
      </c>
      <c r="HB396" s="26">
        <v>0</v>
      </c>
      <c r="HC396" s="26">
        <v>0</v>
      </c>
      <c r="HD396" s="26">
        <v>0</v>
      </c>
      <c r="HE396" s="26">
        <v>0</v>
      </c>
      <c r="HF396" s="26">
        <v>0</v>
      </c>
      <c r="HG396" s="26">
        <v>0</v>
      </c>
      <c r="HH396" s="26">
        <v>0</v>
      </c>
      <c r="HI396" s="26">
        <v>0</v>
      </c>
      <c r="HJ396" s="26">
        <v>0</v>
      </c>
      <c r="HK396" s="26">
        <v>0</v>
      </c>
      <c r="HL396" s="26">
        <v>0</v>
      </c>
      <c r="HM396" s="26">
        <v>0</v>
      </c>
      <c r="HN396" s="26">
        <v>0</v>
      </c>
      <c r="HO396" s="26">
        <v>0</v>
      </c>
      <c r="HP396" s="26">
        <v>0</v>
      </c>
      <c r="HQ396" s="26">
        <v>0</v>
      </c>
      <c r="HR396" s="26">
        <v>0</v>
      </c>
      <c r="HS396" s="26">
        <v>0</v>
      </c>
      <c r="HT396" s="26">
        <v>0</v>
      </c>
    </row>
    <row r="397" spans="2:228" x14ac:dyDescent="0.2">
      <c r="B397" s="27" t="s">
        <v>1484</v>
      </c>
      <c r="C397" s="26">
        <v>145</v>
      </c>
      <c r="D397" s="26">
        <v>-0.54809620000000003</v>
      </c>
      <c r="E397" s="26">
        <v>145</v>
      </c>
      <c r="F397" s="26">
        <v>0</v>
      </c>
      <c r="G397" s="26">
        <v>0</v>
      </c>
      <c r="H397" s="26">
        <v>0</v>
      </c>
      <c r="I397" s="26">
        <v>0</v>
      </c>
      <c r="J397" s="26">
        <v>0</v>
      </c>
      <c r="K397" s="26">
        <v>0</v>
      </c>
      <c r="L397" s="26">
        <v>0</v>
      </c>
      <c r="M397" s="26">
        <v>0</v>
      </c>
      <c r="N397" s="26">
        <v>0</v>
      </c>
      <c r="O397" s="26">
        <v>0</v>
      </c>
      <c r="P397" s="26">
        <v>0</v>
      </c>
      <c r="Q397" s="26">
        <v>0</v>
      </c>
      <c r="R397" s="26">
        <v>0</v>
      </c>
      <c r="S397" s="26">
        <v>0</v>
      </c>
      <c r="T397" s="26">
        <v>0</v>
      </c>
      <c r="U397" s="26">
        <v>0</v>
      </c>
      <c r="V397" s="26">
        <v>0</v>
      </c>
      <c r="W397" s="26">
        <v>0</v>
      </c>
      <c r="X397" s="26">
        <v>0</v>
      </c>
      <c r="Y397" s="26">
        <v>0</v>
      </c>
      <c r="Z397" s="26">
        <v>0</v>
      </c>
      <c r="AA397" s="26">
        <v>0</v>
      </c>
      <c r="AB397" s="26">
        <v>0</v>
      </c>
      <c r="AC397" s="26">
        <v>0</v>
      </c>
      <c r="AD397" s="26">
        <v>0</v>
      </c>
      <c r="AE397" s="26">
        <v>0</v>
      </c>
      <c r="AF397" s="26">
        <v>0</v>
      </c>
      <c r="AG397" s="26">
        <v>0</v>
      </c>
      <c r="AH397" s="26">
        <v>0</v>
      </c>
      <c r="AI397" s="26">
        <v>0</v>
      </c>
      <c r="AJ397" s="26">
        <v>0</v>
      </c>
      <c r="AK397" s="26">
        <v>0</v>
      </c>
      <c r="AL397" s="26">
        <v>0</v>
      </c>
      <c r="AM397" s="26">
        <v>0</v>
      </c>
      <c r="AN397" s="26">
        <v>0</v>
      </c>
      <c r="AO397" s="26">
        <v>0</v>
      </c>
      <c r="AP397" s="26">
        <v>0</v>
      </c>
      <c r="AQ397" s="26">
        <v>0</v>
      </c>
      <c r="AR397" s="26">
        <v>0</v>
      </c>
      <c r="AS397" s="26">
        <v>0</v>
      </c>
      <c r="AT397" s="26">
        <v>0</v>
      </c>
      <c r="AU397" s="26">
        <v>0</v>
      </c>
      <c r="AV397" s="26">
        <v>0</v>
      </c>
      <c r="AW397" s="26">
        <v>0</v>
      </c>
      <c r="AX397" s="26">
        <v>0</v>
      </c>
      <c r="AY397" s="26">
        <v>0</v>
      </c>
      <c r="AZ397" s="26">
        <v>0</v>
      </c>
      <c r="BA397" s="26">
        <v>0</v>
      </c>
      <c r="BB397" s="26">
        <v>0</v>
      </c>
      <c r="BC397" s="26">
        <v>0</v>
      </c>
      <c r="BD397" s="26">
        <v>0</v>
      </c>
      <c r="BE397" s="26">
        <v>0</v>
      </c>
      <c r="BF397" s="26">
        <v>0</v>
      </c>
      <c r="BG397" s="26">
        <v>0</v>
      </c>
      <c r="BH397" s="26">
        <v>0</v>
      </c>
      <c r="BI397" s="26">
        <v>0</v>
      </c>
      <c r="BJ397" s="26">
        <v>0</v>
      </c>
      <c r="BK397" s="26">
        <v>0</v>
      </c>
      <c r="BL397" s="26">
        <v>0</v>
      </c>
      <c r="BM397" s="26">
        <v>0</v>
      </c>
      <c r="BN397" s="26">
        <v>0</v>
      </c>
      <c r="BO397" s="26">
        <v>8.0487230800000003</v>
      </c>
      <c r="BP397" s="26">
        <v>145</v>
      </c>
      <c r="BQ397" s="26">
        <v>2.45077737</v>
      </c>
      <c r="BR397" s="26">
        <v>33.128185400000007</v>
      </c>
      <c r="BS397" s="26">
        <v>5</v>
      </c>
      <c r="BT397" s="26">
        <v>0</v>
      </c>
      <c r="BU397" s="26">
        <v>1</v>
      </c>
      <c r="BV397" s="26">
        <v>0</v>
      </c>
      <c r="BW397" s="26">
        <v>-68097.285699999993</v>
      </c>
      <c r="BX397" s="26">
        <v>-3779.9737599999999</v>
      </c>
      <c r="BY397" s="26">
        <v>-0.54809620000000003</v>
      </c>
      <c r="BZ397" s="26">
        <v>-38.407792600000001</v>
      </c>
      <c r="CA397" s="26">
        <v>-2.1319564600000001</v>
      </c>
      <c r="CB397" s="26">
        <v>5.47358503E-2</v>
      </c>
      <c r="CC397" s="26">
        <v>0.98608166900000005</v>
      </c>
      <c r="CD397" s="26">
        <v>18.015280000000001</v>
      </c>
      <c r="CE397" s="26">
        <v>2.4213241700000001</v>
      </c>
      <c r="CF397" s="26">
        <v>0</v>
      </c>
      <c r="CG397" s="26">
        <v>0</v>
      </c>
      <c r="CH397" s="26">
        <v>0</v>
      </c>
      <c r="CI397" s="26">
        <v>0</v>
      </c>
      <c r="CJ397" s="26">
        <v>0</v>
      </c>
      <c r="CK397" s="26">
        <v>0</v>
      </c>
      <c r="CL397" s="26">
        <v>0</v>
      </c>
      <c r="CM397" s="26">
        <v>0</v>
      </c>
      <c r="CN397" s="26">
        <v>0</v>
      </c>
      <c r="CO397" s="26">
        <v>0</v>
      </c>
      <c r="CP397" s="26">
        <v>0</v>
      </c>
      <c r="CQ397" s="26">
        <v>0</v>
      </c>
      <c r="CR397" s="26">
        <v>0</v>
      </c>
      <c r="CS397" s="26">
        <v>0</v>
      </c>
      <c r="CT397" s="26">
        <v>0</v>
      </c>
      <c r="CU397" s="26">
        <v>0</v>
      </c>
      <c r="CV397" s="26">
        <v>0</v>
      </c>
      <c r="CW397" s="26">
        <v>0</v>
      </c>
      <c r="CX397" s="26">
        <v>0</v>
      </c>
      <c r="CY397" s="26">
        <v>0</v>
      </c>
      <c r="CZ397" s="26">
        <v>0</v>
      </c>
      <c r="DA397" s="26">
        <v>0</v>
      </c>
      <c r="DB397" s="26">
        <v>0</v>
      </c>
      <c r="DC397" s="26">
        <v>0</v>
      </c>
      <c r="DD397" s="26">
        <v>0</v>
      </c>
      <c r="DE397" s="26">
        <v>0</v>
      </c>
      <c r="DF397" s="26">
        <v>0</v>
      </c>
      <c r="DG397" s="26">
        <v>0</v>
      </c>
      <c r="DH397" s="26">
        <v>0</v>
      </c>
      <c r="DI397" s="26">
        <v>0</v>
      </c>
      <c r="DJ397" s="26">
        <v>0</v>
      </c>
      <c r="DK397" s="26">
        <v>0</v>
      </c>
      <c r="DL397" s="26">
        <v>0</v>
      </c>
      <c r="DM397" s="26">
        <v>0</v>
      </c>
      <c r="DN397" s="26">
        <v>0</v>
      </c>
      <c r="DO397" s="26">
        <v>0</v>
      </c>
      <c r="DP397" s="26">
        <v>0</v>
      </c>
      <c r="DQ397" s="26">
        <v>0</v>
      </c>
      <c r="DR397" s="26">
        <v>0</v>
      </c>
      <c r="DS397" s="26">
        <v>0</v>
      </c>
      <c r="DT397" s="26">
        <v>0</v>
      </c>
      <c r="DU397" s="26">
        <v>0</v>
      </c>
      <c r="DV397" s="26">
        <v>0</v>
      </c>
      <c r="DW397" s="26">
        <v>0</v>
      </c>
      <c r="DX397" s="26">
        <v>0</v>
      </c>
      <c r="DY397" s="26">
        <v>0</v>
      </c>
      <c r="DZ397" s="26">
        <v>0</v>
      </c>
      <c r="EA397" s="26">
        <v>0</v>
      </c>
      <c r="EB397" s="26">
        <v>0</v>
      </c>
      <c r="EC397" s="26">
        <v>0</v>
      </c>
      <c r="ED397" s="26">
        <v>0</v>
      </c>
      <c r="EE397" s="26">
        <v>0</v>
      </c>
      <c r="EF397" s="26">
        <v>0</v>
      </c>
      <c r="EG397" s="26">
        <v>0</v>
      </c>
      <c r="EH397" s="26">
        <v>0</v>
      </c>
      <c r="EI397" s="26">
        <v>0</v>
      </c>
      <c r="EJ397" s="26">
        <v>0</v>
      </c>
      <c r="EK397" s="26">
        <v>0</v>
      </c>
      <c r="EL397" s="26">
        <v>0</v>
      </c>
      <c r="EM397" s="26">
        <v>0</v>
      </c>
      <c r="EN397" s="26">
        <v>0</v>
      </c>
      <c r="EO397" s="26">
        <v>0</v>
      </c>
      <c r="EP397" s="26">
        <v>0</v>
      </c>
      <c r="EQ397" s="26">
        <v>0</v>
      </c>
      <c r="ER397" s="26">
        <v>0</v>
      </c>
      <c r="ES397" s="26">
        <v>0</v>
      </c>
      <c r="ET397" s="26">
        <v>5</v>
      </c>
      <c r="EU397" s="26">
        <v>0</v>
      </c>
      <c r="EV397" s="26">
        <v>0</v>
      </c>
      <c r="EW397" s="26">
        <v>0</v>
      </c>
      <c r="EX397" s="26">
        <v>0</v>
      </c>
      <c r="EY397" s="26">
        <v>0</v>
      </c>
      <c r="EZ397" s="26">
        <v>0</v>
      </c>
      <c r="FA397" s="26">
        <v>0</v>
      </c>
      <c r="FB397" s="26">
        <v>0</v>
      </c>
      <c r="FC397" s="26">
        <v>0</v>
      </c>
      <c r="FD397" s="26">
        <v>0</v>
      </c>
      <c r="FE397" s="26">
        <v>0</v>
      </c>
      <c r="FF397" s="26">
        <v>0</v>
      </c>
      <c r="FG397" s="26">
        <v>0</v>
      </c>
      <c r="FH397" s="26">
        <v>-638698.55202600011</v>
      </c>
      <c r="FI397" s="26">
        <v>0</v>
      </c>
      <c r="FJ397" s="26">
        <v>0</v>
      </c>
      <c r="FK397" s="26">
        <v>0</v>
      </c>
      <c r="FL397" s="26">
        <v>0</v>
      </c>
      <c r="FM397" s="26">
        <v>0</v>
      </c>
      <c r="FN397" s="26">
        <v>0</v>
      </c>
      <c r="FO397" s="26">
        <v>0</v>
      </c>
      <c r="FP397" s="26">
        <v>0</v>
      </c>
      <c r="FQ397" s="26">
        <v>0</v>
      </c>
      <c r="FR397" s="26">
        <v>0</v>
      </c>
      <c r="FS397" s="26">
        <v>0</v>
      </c>
      <c r="FT397" s="26">
        <v>0</v>
      </c>
      <c r="FU397" s="26">
        <v>0</v>
      </c>
      <c r="FV397" s="26">
        <v>0</v>
      </c>
      <c r="FW397" s="26">
        <v>0</v>
      </c>
      <c r="FX397" s="26">
        <v>0</v>
      </c>
      <c r="FY397" s="26">
        <v>0</v>
      </c>
      <c r="FZ397" s="26">
        <v>0</v>
      </c>
      <c r="GA397" s="26">
        <v>0</v>
      </c>
      <c r="GB397" s="26">
        <v>0</v>
      </c>
      <c r="GC397" s="26">
        <v>0</v>
      </c>
      <c r="GD397" s="26">
        <v>0</v>
      </c>
      <c r="GE397" s="26">
        <v>0</v>
      </c>
      <c r="GF397" s="26">
        <v>0</v>
      </c>
      <c r="GG397" s="26">
        <v>0</v>
      </c>
      <c r="GH397" s="26">
        <v>0</v>
      </c>
      <c r="GI397" s="26">
        <v>0</v>
      </c>
      <c r="GJ397" s="26">
        <v>0</v>
      </c>
      <c r="GK397" s="26">
        <v>0</v>
      </c>
      <c r="GL397" s="26">
        <v>0</v>
      </c>
      <c r="GM397" s="26">
        <v>0</v>
      </c>
      <c r="GN397" s="26">
        <v>0</v>
      </c>
      <c r="GO397" s="26">
        <v>0</v>
      </c>
      <c r="GP397" s="26">
        <v>0</v>
      </c>
      <c r="GQ397" s="26">
        <v>0</v>
      </c>
      <c r="GR397" s="26">
        <v>0</v>
      </c>
      <c r="GS397" s="26">
        <v>0</v>
      </c>
      <c r="GT397" s="26">
        <v>0</v>
      </c>
      <c r="GU397" s="26">
        <v>0</v>
      </c>
      <c r="GV397" s="26">
        <v>0</v>
      </c>
      <c r="GW397" s="26">
        <v>0</v>
      </c>
      <c r="GX397" s="26">
        <v>0</v>
      </c>
      <c r="GY397" s="26">
        <v>0</v>
      </c>
      <c r="GZ397" s="26">
        <v>0</v>
      </c>
      <c r="HA397" s="26">
        <v>0</v>
      </c>
      <c r="HB397" s="26">
        <v>0</v>
      </c>
      <c r="HC397" s="26">
        <v>0</v>
      </c>
      <c r="HD397" s="26">
        <v>0</v>
      </c>
      <c r="HE397" s="26">
        <v>0</v>
      </c>
      <c r="HF397" s="26">
        <v>0</v>
      </c>
      <c r="HG397" s="26">
        <v>0</v>
      </c>
      <c r="HH397" s="26">
        <v>0</v>
      </c>
      <c r="HI397" s="26">
        <v>0</v>
      </c>
      <c r="HJ397" s="26">
        <v>0</v>
      </c>
      <c r="HK397" s="26">
        <v>0</v>
      </c>
      <c r="HL397" s="26">
        <v>0</v>
      </c>
      <c r="HM397" s="26">
        <v>0</v>
      </c>
      <c r="HN397" s="26">
        <v>0</v>
      </c>
      <c r="HO397" s="26">
        <v>0</v>
      </c>
      <c r="HP397" s="26">
        <v>0</v>
      </c>
      <c r="HQ397" s="26">
        <v>0</v>
      </c>
      <c r="HR397" s="26">
        <v>0</v>
      </c>
      <c r="HS397" s="26">
        <v>0</v>
      </c>
      <c r="HT397" s="26">
        <v>0</v>
      </c>
    </row>
    <row r="398" spans="2:228" x14ac:dyDescent="0.2">
      <c r="B398" s="27" t="s">
        <v>1486</v>
      </c>
      <c r="C398" s="26">
        <v>145</v>
      </c>
      <c r="D398" s="26">
        <v>-0.45861656200000006</v>
      </c>
      <c r="E398" s="26">
        <v>145</v>
      </c>
      <c r="F398" s="26">
        <v>0</v>
      </c>
      <c r="G398" s="26">
        <v>0</v>
      </c>
      <c r="H398" s="26">
        <v>0</v>
      </c>
      <c r="I398" s="26">
        <v>0</v>
      </c>
      <c r="J398" s="26">
        <v>0</v>
      </c>
      <c r="K398" s="26">
        <v>0</v>
      </c>
      <c r="L398" s="26">
        <v>0</v>
      </c>
      <c r="M398" s="26">
        <v>0</v>
      </c>
      <c r="N398" s="26">
        <v>0</v>
      </c>
      <c r="O398" s="26">
        <v>0</v>
      </c>
      <c r="P398" s="26">
        <v>0</v>
      </c>
      <c r="Q398" s="26">
        <v>0</v>
      </c>
      <c r="R398" s="26">
        <v>0</v>
      </c>
      <c r="S398" s="26">
        <v>0</v>
      </c>
      <c r="T398" s="26">
        <v>0</v>
      </c>
      <c r="U398" s="26">
        <v>0</v>
      </c>
      <c r="V398" s="26">
        <v>0</v>
      </c>
      <c r="W398" s="26">
        <v>0</v>
      </c>
      <c r="X398" s="26">
        <v>0</v>
      </c>
      <c r="Y398" s="26">
        <v>0</v>
      </c>
      <c r="Z398" s="26">
        <v>0</v>
      </c>
      <c r="AA398" s="26">
        <v>0</v>
      </c>
      <c r="AB398" s="26">
        <v>0</v>
      </c>
      <c r="AC398" s="26">
        <v>0</v>
      </c>
      <c r="AD398" s="26">
        <v>0</v>
      </c>
      <c r="AE398" s="26">
        <v>0</v>
      </c>
      <c r="AF398" s="26">
        <v>0</v>
      </c>
      <c r="AG398" s="26">
        <v>0</v>
      </c>
      <c r="AH398" s="26">
        <v>0</v>
      </c>
      <c r="AI398" s="26">
        <v>0</v>
      </c>
      <c r="AJ398" s="26">
        <v>0</v>
      </c>
      <c r="AK398" s="26">
        <v>0</v>
      </c>
      <c r="AL398" s="26">
        <v>0</v>
      </c>
      <c r="AM398" s="26">
        <v>0</v>
      </c>
      <c r="AN398" s="26">
        <v>0</v>
      </c>
      <c r="AO398" s="26">
        <v>0</v>
      </c>
      <c r="AP398" s="26">
        <v>0</v>
      </c>
      <c r="AQ398" s="26">
        <v>0</v>
      </c>
      <c r="AR398" s="26">
        <v>0</v>
      </c>
      <c r="AS398" s="26">
        <v>0</v>
      </c>
      <c r="AT398" s="26">
        <v>0</v>
      </c>
      <c r="AU398" s="26">
        <v>0</v>
      </c>
      <c r="AV398" s="26">
        <v>0</v>
      </c>
      <c r="AW398" s="26">
        <v>0</v>
      </c>
      <c r="AX398" s="26">
        <v>0</v>
      </c>
      <c r="AY398" s="26">
        <v>0</v>
      </c>
      <c r="AZ398" s="26">
        <v>0</v>
      </c>
      <c r="BA398" s="26">
        <v>0</v>
      </c>
      <c r="BB398" s="26">
        <v>0</v>
      </c>
      <c r="BC398" s="26">
        <v>0</v>
      </c>
      <c r="BD398" s="26">
        <v>0</v>
      </c>
      <c r="BE398" s="26">
        <v>0</v>
      </c>
      <c r="BF398" s="26">
        <v>0</v>
      </c>
      <c r="BG398" s="26">
        <v>0</v>
      </c>
      <c r="BH398" s="26">
        <v>0</v>
      </c>
      <c r="BI398" s="26">
        <v>0</v>
      </c>
      <c r="BJ398" s="26">
        <v>0</v>
      </c>
      <c r="BK398" s="26">
        <v>0</v>
      </c>
      <c r="BL398" s="26">
        <v>0</v>
      </c>
      <c r="BM398" s="26">
        <v>0</v>
      </c>
      <c r="BN398" s="26">
        <v>0</v>
      </c>
      <c r="BO398" s="26">
        <v>8.0487230800000003</v>
      </c>
      <c r="BP398" s="26">
        <v>145</v>
      </c>
      <c r="BQ398" s="26">
        <v>4338.5829599999997</v>
      </c>
      <c r="BR398" s="26">
        <v>121</v>
      </c>
      <c r="BS398" s="26">
        <v>1</v>
      </c>
      <c r="BT398" s="26">
        <v>1</v>
      </c>
      <c r="BU398" s="26">
        <v>0</v>
      </c>
      <c r="BV398" s="26">
        <v>0</v>
      </c>
      <c r="BW398" s="26">
        <v>-56980.039299999997</v>
      </c>
      <c r="BX398" s="26">
        <v>-3162.8728099999998</v>
      </c>
      <c r="BY398" s="26">
        <v>-0.45861656200000006</v>
      </c>
      <c r="BZ398" s="26">
        <v>-8.3375681499999992</v>
      </c>
      <c r="CA398" s="26">
        <v>-0.46280536</v>
      </c>
      <c r="CB398" s="26">
        <v>3.0919169800000002E-5</v>
      </c>
      <c r="CC398" s="26">
        <v>5.5701749999999999E-4</v>
      </c>
      <c r="CD398" s="26">
        <v>18.015280000000001</v>
      </c>
      <c r="CE398" s="26">
        <v>2.4213241700000001</v>
      </c>
      <c r="CF398" s="26">
        <v>0</v>
      </c>
      <c r="CG398" s="26">
        <v>0</v>
      </c>
      <c r="CH398" s="26">
        <v>0</v>
      </c>
      <c r="CI398" s="26">
        <v>0</v>
      </c>
      <c r="CJ398" s="26">
        <v>0</v>
      </c>
      <c r="CK398" s="26">
        <v>0</v>
      </c>
      <c r="CL398" s="26">
        <v>0</v>
      </c>
      <c r="CM398" s="26">
        <v>0</v>
      </c>
      <c r="CN398" s="26">
        <v>0</v>
      </c>
      <c r="CO398" s="26">
        <v>0</v>
      </c>
      <c r="CP398" s="26">
        <v>0</v>
      </c>
      <c r="CQ398" s="26">
        <v>0</v>
      </c>
      <c r="CR398" s="26">
        <v>0</v>
      </c>
      <c r="CS398" s="26">
        <v>0</v>
      </c>
      <c r="CT398" s="26">
        <v>0</v>
      </c>
      <c r="CU398" s="26">
        <v>0</v>
      </c>
      <c r="CV398" s="26">
        <v>0</v>
      </c>
      <c r="CW398" s="26">
        <v>0</v>
      </c>
      <c r="CX398" s="26">
        <v>0</v>
      </c>
      <c r="CY398" s="26">
        <v>0</v>
      </c>
      <c r="CZ398" s="26">
        <v>0</v>
      </c>
      <c r="DA398" s="26">
        <v>0</v>
      </c>
      <c r="DB398" s="26">
        <v>0</v>
      </c>
      <c r="DC398" s="26">
        <v>0</v>
      </c>
      <c r="DD398" s="26">
        <v>0</v>
      </c>
      <c r="DE398" s="26">
        <v>0</v>
      </c>
      <c r="DF398" s="26">
        <v>0</v>
      </c>
      <c r="DG398" s="26">
        <v>0</v>
      </c>
      <c r="DH398" s="26">
        <v>0</v>
      </c>
      <c r="DI398" s="26">
        <v>0</v>
      </c>
      <c r="DJ398" s="26">
        <v>0</v>
      </c>
      <c r="DK398" s="26">
        <v>0</v>
      </c>
      <c r="DL398" s="26">
        <v>0</v>
      </c>
      <c r="DM398" s="26">
        <v>0</v>
      </c>
      <c r="DN398" s="26">
        <v>0</v>
      </c>
      <c r="DO398" s="26">
        <v>0</v>
      </c>
      <c r="DP398" s="26">
        <v>0</v>
      </c>
      <c r="DQ398" s="26">
        <v>0</v>
      </c>
      <c r="DR398" s="26">
        <v>0</v>
      </c>
      <c r="DS398" s="26">
        <v>0</v>
      </c>
      <c r="DT398" s="26">
        <v>0</v>
      </c>
      <c r="DU398" s="26">
        <v>0</v>
      </c>
      <c r="DV398" s="26">
        <v>0</v>
      </c>
      <c r="DW398" s="26">
        <v>0</v>
      </c>
      <c r="DX398" s="26">
        <v>0</v>
      </c>
      <c r="DY398" s="26">
        <v>0</v>
      </c>
      <c r="DZ398" s="26">
        <v>0</v>
      </c>
      <c r="EA398" s="26">
        <v>0</v>
      </c>
      <c r="EB398" s="26">
        <v>0</v>
      </c>
      <c r="EC398" s="26">
        <v>0</v>
      </c>
      <c r="ED398" s="26">
        <v>0</v>
      </c>
      <c r="EE398" s="26">
        <v>0</v>
      </c>
      <c r="EF398" s="26">
        <v>0</v>
      </c>
      <c r="EG398" s="26">
        <v>0</v>
      </c>
      <c r="EH398" s="26">
        <v>0</v>
      </c>
      <c r="EI398" s="26">
        <v>0</v>
      </c>
      <c r="EJ398" s="26">
        <v>0</v>
      </c>
      <c r="EK398" s="26">
        <v>0</v>
      </c>
      <c r="EL398" s="26">
        <v>0</v>
      </c>
      <c r="EM398" s="26">
        <v>0</v>
      </c>
      <c r="EN398" s="26">
        <v>0</v>
      </c>
      <c r="EO398" s="26">
        <v>0</v>
      </c>
      <c r="EP398" s="26">
        <v>0</v>
      </c>
      <c r="EQ398" s="26">
        <v>0</v>
      </c>
      <c r="ER398" s="26">
        <v>0</v>
      </c>
      <c r="ES398" s="26">
        <v>0</v>
      </c>
      <c r="ET398" s="26">
        <v>1</v>
      </c>
      <c r="EU398" s="26">
        <v>0</v>
      </c>
      <c r="EV398" s="26">
        <v>0</v>
      </c>
      <c r="EW398" s="26">
        <v>0</v>
      </c>
      <c r="EX398" s="26">
        <v>0</v>
      </c>
      <c r="EY398" s="26">
        <v>0</v>
      </c>
      <c r="EZ398" s="26">
        <v>0</v>
      </c>
      <c r="FA398" s="26">
        <v>0</v>
      </c>
      <c r="FB398" s="26">
        <v>0</v>
      </c>
      <c r="FC398" s="26">
        <v>0</v>
      </c>
      <c r="FD398" s="26">
        <v>0</v>
      </c>
      <c r="FE398" s="26">
        <v>0</v>
      </c>
      <c r="FF398" s="26">
        <v>0</v>
      </c>
      <c r="FG398" s="26">
        <v>0</v>
      </c>
      <c r="FH398" s="26">
        <v>-540637.20532299997</v>
      </c>
      <c r="FI398" s="26">
        <v>0</v>
      </c>
      <c r="FJ398" s="26">
        <v>2.2357564289971626E-3</v>
      </c>
      <c r="FK398" s="26">
        <v>0</v>
      </c>
      <c r="FL398" s="26">
        <v>0</v>
      </c>
      <c r="FM398" s="26">
        <v>0</v>
      </c>
      <c r="FN398" s="26">
        <v>0</v>
      </c>
      <c r="FO398" s="26">
        <v>0</v>
      </c>
      <c r="FP398" s="26">
        <v>0</v>
      </c>
      <c r="FQ398" s="26">
        <v>0</v>
      </c>
      <c r="FR398" s="26">
        <v>0</v>
      </c>
      <c r="FS398" s="26">
        <v>0</v>
      </c>
      <c r="FT398" s="26">
        <v>0</v>
      </c>
      <c r="FU398" s="26">
        <v>0</v>
      </c>
      <c r="FV398" s="26">
        <v>0</v>
      </c>
      <c r="FW398" s="26">
        <v>0</v>
      </c>
      <c r="FX398" s="26">
        <v>0</v>
      </c>
      <c r="FY398" s="26">
        <v>0</v>
      </c>
      <c r="FZ398" s="26">
        <v>0</v>
      </c>
      <c r="GA398" s="26">
        <v>0</v>
      </c>
      <c r="GB398" s="26">
        <v>0</v>
      </c>
      <c r="GC398" s="26">
        <v>0</v>
      </c>
      <c r="GD398" s="26">
        <v>0</v>
      </c>
      <c r="GE398" s="26">
        <v>0</v>
      </c>
      <c r="GF398" s="26">
        <v>0</v>
      </c>
      <c r="GG398" s="26">
        <v>0</v>
      </c>
      <c r="GH398" s="26">
        <v>0</v>
      </c>
      <c r="GI398" s="26">
        <v>0</v>
      </c>
      <c r="GJ398" s="26">
        <v>0</v>
      </c>
      <c r="GK398" s="26">
        <v>0</v>
      </c>
      <c r="GL398" s="26">
        <v>0</v>
      </c>
      <c r="GM398" s="26">
        <v>0</v>
      </c>
      <c r="GN398" s="26">
        <v>0</v>
      </c>
      <c r="GO398" s="26">
        <v>0</v>
      </c>
      <c r="GP398" s="26">
        <v>0</v>
      </c>
      <c r="GQ398" s="26">
        <v>0</v>
      </c>
      <c r="GR398" s="26">
        <v>0</v>
      </c>
      <c r="GS398" s="26">
        <v>0</v>
      </c>
      <c r="GT398" s="26">
        <v>0</v>
      </c>
      <c r="GU398" s="26">
        <v>0</v>
      </c>
      <c r="GV398" s="26">
        <v>0</v>
      </c>
      <c r="GW398" s="26">
        <v>0</v>
      </c>
      <c r="GX398" s="26">
        <v>0</v>
      </c>
      <c r="GY398" s="26">
        <v>0</v>
      </c>
      <c r="GZ398" s="26">
        <v>0</v>
      </c>
      <c r="HA398" s="26">
        <v>0</v>
      </c>
      <c r="HB398" s="26">
        <v>0</v>
      </c>
      <c r="HC398" s="26">
        <v>0</v>
      </c>
      <c r="HD398" s="26">
        <v>0</v>
      </c>
      <c r="HE398" s="26">
        <v>0</v>
      </c>
      <c r="HF398" s="26">
        <v>0</v>
      </c>
      <c r="HG398" s="26">
        <v>0</v>
      </c>
      <c r="HH398" s="26">
        <v>0</v>
      </c>
      <c r="HI398" s="26">
        <v>0</v>
      </c>
      <c r="HJ398" s="26">
        <v>0</v>
      </c>
      <c r="HK398" s="26">
        <v>0</v>
      </c>
      <c r="HL398" s="26">
        <v>0</v>
      </c>
      <c r="HM398" s="26">
        <v>0</v>
      </c>
      <c r="HN398" s="26">
        <v>0</v>
      </c>
      <c r="HO398" s="26">
        <v>0</v>
      </c>
      <c r="HP398" s="26">
        <v>0</v>
      </c>
      <c r="HQ398" s="26">
        <v>0</v>
      </c>
      <c r="HR398" s="26">
        <v>0</v>
      </c>
      <c r="HS398" s="26">
        <v>0</v>
      </c>
      <c r="HT398" s="26">
        <v>0</v>
      </c>
    </row>
    <row r="399" spans="2:228" x14ac:dyDescent="0.2">
      <c r="B399" s="27" t="s">
        <v>1477</v>
      </c>
      <c r="C399" s="26">
        <v>145</v>
      </c>
      <c r="D399" s="26">
        <v>-0.54984188700000003</v>
      </c>
      <c r="E399" s="26">
        <v>145</v>
      </c>
      <c r="F399" s="26">
        <v>0</v>
      </c>
      <c r="G399" s="26">
        <v>0</v>
      </c>
      <c r="H399" s="26">
        <v>0</v>
      </c>
      <c r="I399" s="26">
        <v>0</v>
      </c>
      <c r="J399" s="26">
        <v>0</v>
      </c>
      <c r="K399" s="26">
        <v>0</v>
      </c>
      <c r="L399" s="26">
        <v>0</v>
      </c>
      <c r="M399" s="26">
        <v>0</v>
      </c>
      <c r="N399" s="26">
        <v>0</v>
      </c>
      <c r="O399" s="26">
        <v>0</v>
      </c>
      <c r="P399" s="26">
        <v>0</v>
      </c>
      <c r="Q399" s="26">
        <v>0</v>
      </c>
      <c r="R399" s="26">
        <v>0</v>
      </c>
      <c r="S399" s="26">
        <v>0</v>
      </c>
      <c r="T399" s="26">
        <v>0</v>
      </c>
      <c r="U399" s="26">
        <v>0</v>
      </c>
      <c r="V399" s="26">
        <v>0</v>
      </c>
      <c r="W399" s="26">
        <v>0</v>
      </c>
      <c r="X399" s="26">
        <v>0</v>
      </c>
      <c r="Y399" s="26">
        <v>0</v>
      </c>
      <c r="Z399" s="26">
        <v>0</v>
      </c>
      <c r="AA399" s="26">
        <v>0</v>
      </c>
      <c r="AB399" s="26">
        <v>0</v>
      </c>
      <c r="AC399" s="26">
        <v>0</v>
      </c>
      <c r="AD399" s="26">
        <v>0</v>
      </c>
      <c r="AE399" s="26">
        <v>0</v>
      </c>
      <c r="AF399" s="26">
        <v>0</v>
      </c>
      <c r="AG399" s="26">
        <v>0</v>
      </c>
      <c r="AH399" s="26">
        <v>0</v>
      </c>
      <c r="AI399" s="26">
        <v>0</v>
      </c>
      <c r="AJ399" s="26">
        <v>0</v>
      </c>
      <c r="AK399" s="26">
        <v>0</v>
      </c>
      <c r="AL399" s="26">
        <v>0</v>
      </c>
      <c r="AM399" s="26">
        <v>0</v>
      </c>
      <c r="AN399" s="26">
        <v>0</v>
      </c>
      <c r="AO399" s="26">
        <v>0</v>
      </c>
      <c r="AP399" s="26">
        <v>0</v>
      </c>
      <c r="AQ399" s="26">
        <v>0</v>
      </c>
      <c r="AR399" s="26">
        <v>0</v>
      </c>
      <c r="AS399" s="26">
        <v>0</v>
      </c>
      <c r="AT399" s="26">
        <v>0</v>
      </c>
      <c r="AU399" s="26">
        <v>0</v>
      </c>
      <c r="AV399" s="26">
        <v>0</v>
      </c>
      <c r="AW399" s="26">
        <v>0</v>
      </c>
      <c r="AX399" s="26">
        <v>0</v>
      </c>
      <c r="AY399" s="26">
        <v>0</v>
      </c>
      <c r="AZ399" s="26">
        <v>0</v>
      </c>
      <c r="BA399" s="26">
        <v>0</v>
      </c>
      <c r="BB399" s="26">
        <v>0</v>
      </c>
      <c r="BC399" s="26">
        <v>0</v>
      </c>
      <c r="BD399" s="26">
        <v>0</v>
      </c>
      <c r="BE399" s="26">
        <v>0</v>
      </c>
      <c r="BF399" s="26">
        <v>0</v>
      </c>
      <c r="BG399" s="26">
        <v>0</v>
      </c>
      <c r="BH399" s="26">
        <v>0</v>
      </c>
      <c r="BI399" s="26">
        <v>0</v>
      </c>
      <c r="BJ399" s="26">
        <v>0</v>
      </c>
      <c r="BK399" s="26">
        <v>0</v>
      </c>
      <c r="BL399" s="26">
        <v>0</v>
      </c>
      <c r="BM399" s="26">
        <v>0</v>
      </c>
      <c r="BN399" s="26">
        <v>0</v>
      </c>
      <c r="BO399" s="26">
        <v>8.0487230800000003</v>
      </c>
      <c r="BP399" s="26">
        <v>145</v>
      </c>
      <c r="BQ399" s="26">
        <v>2.4196495699999998</v>
      </c>
      <c r="BR399" s="26">
        <v>20</v>
      </c>
      <c r="BS399" s="26">
        <v>1</v>
      </c>
      <c r="BT399" s="26">
        <v>0</v>
      </c>
      <c r="BU399" s="26">
        <v>1</v>
      </c>
      <c r="BV399" s="26">
        <v>0</v>
      </c>
      <c r="BW399" s="26">
        <v>-68314.175600000002</v>
      </c>
      <c r="BX399" s="26">
        <v>-3792.01298</v>
      </c>
      <c r="BY399" s="26">
        <v>-0.54984188700000003</v>
      </c>
      <c r="BZ399" s="26">
        <v>-39.124202799999999</v>
      </c>
      <c r="CA399" s="26">
        <v>-2.1717232700000002</v>
      </c>
      <c r="CB399" s="26">
        <v>5.5440004600000002E-2</v>
      </c>
      <c r="CC399" s="26">
        <v>0.99876720600000002</v>
      </c>
      <c r="CD399" s="26">
        <v>18.015280000000001</v>
      </c>
      <c r="CE399" s="26">
        <v>2.4213241700000001</v>
      </c>
      <c r="CF399" s="26">
        <v>0</v>
      </c>
      <c r="CG399" s="26">
        <v>0</v>
      </c>
      <c r="CH399" s="26">
        <v>0</v>
      </c>
      <c r="CI399" s="26">
        <v>0</v>
      </c>
      <c r="CJ399" s="26">
        <v>0</v>
      </c>
      <c r="CK399" s="26">
        <v>0</v>
      </c>
      <c r="CL399" s="26">
        <v>0</v>
      </c>
      <c r="CM399" s="26">
        <v>0</v>
      </c>
      <c r="CN399" s="26">
        <v>0</v>
      </c>
      <c r="CO399" s="26">
        <v>0</v>
      </c>
      <c r="CP399" s="26">
        <v>0</v>
      </c>
      <c r="CQ399" s="26">
        <v>0</v>
      </c>
      <c r="CR399" s="26">
        <v>0</v>
      </c>
      <c r="CS399" s="26">
        <v>0</v>
      </c>
      <c r="CT399" s="26">
        <v>0</v>
      </c>
      <c r="CU399" s="26">
        <v>0</v>
      </c>
      <c r="CV399" s="26">
        <v>0</v>
      </c>
      <c r="CW399" s="26">
        <v>0</v>
      </c>
      <c r="CX399" s="26">
        <v>0</v>
      </c>
      <c r="CY399" s="26">
        <v>0</v>
      </c>
      <c r="CZ399" s="26">
        <v>0</v>
      </c>
      <c r="DA399" s="26">
        <v>0</v>
      </c>
      <c r="DB399" s="26">
        <v>0</v>
      </c>
      <c r="DC399" s="26">
        <v>0</v>
      </c>
      <c r="DD399" s="26">
        <v>0</v>
      </c>
      <c r="DE399" s="26">
        <v>0</v>
      </c>
      <c r="DF399" s="26">
        <v>0</v>
      </c>
      <c r="DG399" s="26">
        <v>0</v>
      </c>
      <c r="DH399" s="26">
        <v>0</v>
      </c>
      <c r="DI399" s="26">
        <v>0</v>
      </c>
      <c r="DJ399" s="26">
        <v>0</v>
      </c>
      <c r="DK399" s="26">
        <v>0</v>
      </c>
      <c r="DL399" s="26">
        <v>0</v>
      </c>
      <c r="DM399" s="26">
        <v>0</v>
      </c>
      <c r="DN399" s="26">
        <v>0</v>
      </c>
      <c r="DO399" s="26">
        <v>0</v>
      </c>
      <c r="DP399" s="26">
        <v>0</v>
      </c>
      <c r="DQ399" s="26">
        <v>0</v>
      </c>
      <c r="DR399" s="26">
        <v>0</v>
      </c>
      <c r="DS399" s="26">
        <v>0</v>
      </c>
      <c r="DT399" s="26">
        <v>0</v>
      </c>
      <c r="DU399" s="26">
        <v>0</v>
      </c>
      <c r="DV399" s="26">
        <v>0</v>
      </c>
      <c r="DW399" s="26">
        <v>0</v>
      </c>
      <c r="DX399" s="26">
        <v>0</v>
      </c>
      <c r="DY399" s="26">
        <v>0</v>
      </c>
      <c r="DZ399" s="26">
        <v>0</v>
      </c>
      <c r="EA399" s="26">
        <v>0</v>
      </c>
      <c r="EB399" s="26">
        <v>0</v>
      </c>
      <c r="EC399" s="26">
        <v>0</v>
      </c>
      <c r="ED399" s="26">
        <v>0</v>
      </c>
      <c r="EE399" s="26">
        <v>0</v>
      </c>
      <c r="EF399" s="26">
        <v>0</v>
      </c>
      <c r="EG399" s="26">
        <v>0</v>
      </c>
      <c r="EH399" s="26">
        <v>0</v>
      </c>
      <c r="EI399" s="26">
        <v>0</v>
      </c>
      <c r="EJ399" s="26">
        <v>0</v>
      </c>
      <c r="EK399" s="26">
        <v>0</v>
      </c>
      <c r="EL399" s="26">
        <v>0</v>
      </c>
      <c r="EM399" s="26">
        <v>0</v>
      </c>
      <c r="EN399" s="26">
        <v>0</v>
      </c>
      <c r="EO399" s="26">
        <v>0</v>
      </c>
      <c r="EP399" s="26">
        <v>0</v>
      </c>
      <c r="EQ399" s="26">
        <v>0</v>
      </c>
      <c r="ER399" s="26">
        <v>0</v>
      </c>
      <c r="ES399" s="26">
        <v>0</v>
      </c>
      <c r="ET399" s="26">
        <v>1</v>
      </c>
      <c r="EU399" s="26">
        <v>0</v>
      </c>
      <c r="EV399" s="26">
        <v>0</v>
      </c>
      <c r="EW399" s="26">
        <v>0</v>
      </c>
      <c r="EX399" s="26">
        <v>0</v>
      </c>
      <c r="EY399" s="26">
        <v>0</v>
      </c>
      <c r="EZ399" s="26">
        <v>0</v>
      </c>
      <c r="FA399" s="26">
        <v>0</v>
      </c>
      <c r="FB399" s="26">
        <v>0</v>
      </c>
      <c r="FC399" s="26">
        <v>0</v>
      </c>
      <c r="FD399" s="26">
        <v>0</v>
      </c>
      <c r="FE399" s="26">
        <v>0</v>
      </c>
      <c r="FF399" s="26">
        <v>0</v>
      </c>
      <c r="FG399" s="26">
        <v>0</v>
      </c>
      <c r="FH399" s="26">
        <v>-638698.55202600011</v>
      </c>
      <c r="FI399" s="26">
        <v>0</v>
      </c>
      <c r="FJ399" s="26">
        <v>0</v>
      </c>
      <c r="FK399" s="26">
        <v>0</v>
      </c>
      <c r="FL399" s="26">
        <v>0</v>
      </c>
      <c r="FM399" s="26">
        <v>0</v>
      </c>
      <c r="FN399" s="26">
        <v>0</v>
      </c>
      <c r="FO399" s="26">
        <v>0</v>
      </c>
      <c r="FP399" s="26">
        <v>0</v>
      </c>
      <c r="FQ399" s="26">
        <v>0</v>
      </c>
      <c r="FR399" s="26">
        <v>0</v>
      </c>
      <c r="FS399" s="26">
        <v>0</v>
      </c>
      <c r="FT399" s="26">
        <v>0</v>
      </c>
      <c r="FU399" s="26">
        <v>0</v>
      </c>
      <c r="FV399" s="26">
        <v>0</v>
      </c>
      <c r="FW399" s="26">
        <v>0</v>
      </c>
      <c r="FX399" s="26">
        <v>0</v>
      </c>
      <c r="FY399" s="26">
        <v>0</v>
      </c>
      <c r="FZ399" s="26">
        <v>0</v>
      </c>
      <c r="GA399" s="26">
        <v>0</v>
      </c>
      <c r="GB399" s="26">
        <v>0</v>
      </c>
      <c r="GC399" s="26">
        <v>0</v>
      </c>
      <c r="GD399" s="26">
        <v>0</v>
      </c>
      <c r="GE399" s="26">
        <v>0</v>
      </c>
      <c r="GF399" s="26">
        <v>0</v>
      </c>
      <c r="GG399" s="26">
        <v>0</v>
      </c>
      <c r="GH399" s="26">
        <v>0</v>
      </c>
      <c r="GI399" s="26">
        <v>0</v>
      </c>
      <c r="GJ399" s="26">
        <v>0</v>
      </c>
      <c r="GK399" s="26">
        <v>0</v>
      </c>
      <c r="GL399" s="26">
        <v>0</v>
      </c>
      <c r="GM399" s="26">
        <v>0</v>
      </c>
      <c r="GN399" s="26">
        <v>0</v>
      </c>
      <c r="GO399" s="26">
        <v>0</v>
      </c>
      <c r="GP399" s="26">
        <v>0</v>
      </c>
      <c r="GQ399" s="26">
        <v>0</v>
      </c>
      <c r="GR399" s="26">
        <v>0</v>
      </c>
      <c r="GS399" s="26">
        <v>0</v>
      </c>
      <c r="GT399" s="26">
        <v>0</v>
      </c>
      <c r="GU399" s="26">
        <v>0</v>
      </c>
      <c r="GV399" s="26">
        <v>0</v>
      </c>
      <c r="GW399" s="26">
        <v>0</v>
      </c>
      <c r="GX399" s="26">
        <v>0</v>
      </c>
      <c r="GY399" s="26">
        <v>0</v>
      </c>
      <c r="GZ399" s="26">
        <v>0</v>
      </c>
      <c r="HA399" s="26">
        <v>0</v>
      </c>
      <c r="HB399" s="26">
        <v>0</v>
      </c>
      <c r="HC399" s="26">
        <v>0</v>
      </c>
      <c r="HD399" s="26">
        <v>0</v>
      </c>
      <c r="HE399" s="26">
        <v>0</v>
      </c>
      <c r="HF399" s="26">
        <v>0</v>
      </c>
      <c r="HG399" s="26">
        <v>0</v>
      </c>
      <c r="HH399" s="26">
        <v>0</v>
      </c>
      <c r="HI399" s="26">
        <v>0</v>
      </c>
      <c r="HJ399" s="26">
        <v>0</v>
      </c>
      <c r="HK399" s="26">
        <v>0</v>
      </c>
      <c r="HL399" s="26">
        <v>0</v>
      </c>
      <c r="HM399" s="26">
        <v>0</v>
      </c>
      <c r="HN399" s="26">
        <v>0</v>
      </c>
      <c r="HO399" s="26">
        <v>0</v>
      </c>
      <c r="HP399" s="26">
        <v>0</v>
      </c>
      <c r="HQ399" s="26">
        <v>0</v>
      </c>
      <c r="HR399" s="26">
        <v>0</v>
      </c>
      <c r="HS399" s="26">
        <v>0</v>
      </c>
      <c r="HT399" s="26">
        <v>0</v>
      </c>
    </row>
    <row r="400" spans="2:228" x14ac:dyDescent="0.2">
      <c r="B400" s="27" t="s">
        <v>1485</v>
      </c>
      <c r="C400" s="26">
        <v>145</v>
      </c>
      <c r="D400" s="26">
        <v>-0.54984188700000003</v>
      </c>
      <c r="E400" s="26">
        <v>145</v>
      </c>
      <c r="F400" s="26">
        <v>0</v>
      </c>
      <c r="G400" s="26">
        <v>0</v>
      </c>
      <c r="H400" s="26">
        <v>0</v>
      </c>
      <c r="I400" s="26">
        <v>0</v>
      </c>
      <c r="J400" s="26">
        <v>0</v>
      </c>
      <c r="K400" s="26">
        <v>0</v>
      </c>
      <c r="L400" s="26">
        <v>0</v>
      </c>
      <c r="M400" s="26">
        <v>0</v>
      </c>
      <c r="N400" s="26">
        <v>0</v>
      </c>
      <c r="O400" s="26">
        <v>0</v>
      </c>
      <c r="P400" s="26">
        <v>0</v>
      </c>
      <c r="Q400" s="26">
        <v>0</v>
      </c>
      <c r="R400" s="26">
        <v>0</v>
      </c>
      <c r="S400" s="26">
        <v>0</v>
      </c>
      <c r="T400" s="26">
        <v>0</v>
      </c>
      <c r="U400" s="26">
        <v>0</v>
      </c>
      <c r="V400" s="26">
        <v>0</v>
      </c>
      <c r="W400" s="26">
        <v>0</v>
      </c>
      <c r="X400" s="26">
        <v>0</v>
      </c>
      <c r="Y400" s="26">
        <v>0</v>
      </c>
      <c r="Z400" s="26">
        <v>0</v>
      </c>
      <c r="AA400" s="26">
        <v>0</v>
      </c>
      <c r="AB400" s="26">
        <v>0</v>
      </c>
      <c r="AC400" s="26">
        <v>0</v>
      </c>
      <c r="AD400" s="26">
        <v>0</v>
      </c>
      <c r="AE400" s="26">
        <v>0</v>
      </c>
      <c r="AF400" s="26">
        <v>0</v>
      </c>
      <c r="AG400" s="26">
        <v>0</v>
      </c>
      <c r="AH400" s="26">
        <v>0</v>
      </c>
      <c r="AI400" s="26">
        <v>0</v>
      </c>
      <c r="AJ400" s="26">
        <v>0</v>
      </c>
      <c r="AK400" s="26">
        <v>0</v>
      </c>
      <c r="AL400" s="26">
        <v>0</v>
      </c>
      <c r="AM400" s="26">
        <v>0</v>
      </c>
      <c r="AN400" s="26">
        <v>0</v>
      </c>
      <c r="AO400" s="26">
        <v>0</v>
      </c>
      <c r="AP400" s="26">
        <v>0</v>
      </c>
      <c r="AQ400" s="26">
        <v>0</v>
      </c>
      <c r="AR400" s="26">
        <v>0</v>
      </c>
      <c r="AS400" s="26">
        <v>0</v>
      </c>
      <c r="AT400" s="26">
        <v>0</v>
      </c>
      <c r="AU400" s="26">
        <v>0</v>
      </c>
      <c r="AV400" s="26">
        <v>0</v>
      </c>
      <c r="AW400" s="26">
        <v>0</v>
      </c>
      <c r="AX400" s="26">
        <v>0</v>
      </c>
      <c r="AY400" s="26">
        <v>0</v>
      </c>
      <c r="AZ400" s="26">
        <v>0</v>
      </c>
      <c r="BA400" s="26">
        <v>0</v>
      </c>
      <c r="BB400" s="26">
        <v>0</v>
      </c>
      <c r="BC400" s="26">
        <v>0</v>
      </c>
      <c r="BD400" s="26">
        <v>0</v>
      </c>
      <c r="BE400" s="26">
        <v>0</v>
      </c>
      <c r="BF400" s="26">
        <v>0</v>
      </c>
      <c r="BG400" s="26">
        <v>0</v>
      </c>
      <c r="BH400" s="26">
        <v>0</v>
      </c>
      <c r="BI400" s="26">
        <v>0</v>
      </c>
      <c r="BJ400" s="26">
        <v>0</v>
      </c>
      <c r="BK400" s="26">
        <v>0</v>
      </c>
      <c r="BL400" s="26">
        <v>0</v>
      </c>
      <c r="BM400" s="26">
        <v>0</v>
      </c>
      <c r="BN400" s="26">
        <v>0</v>
      </c>
      <c r="BO400" s="26">
        <v>8.0487230800000003</v>
      </c>
      <c r="BP400" s="26">
        <v>145</v>
      </c>
      <c r="BQ400" s="26">
        <v>2.4196495699999998</v>
      </c>
      <c r="BR400" s="26">
        <v>20</v>
      </c>
      <c r="BS400" s="26">
        <v>1</v>
      </c>
      <c r="BT400" s="26">
        <v>0</v>
      </c>
      <c r="BU400" s="26">
        <v>1</v>
      </c>
      <c r="BV400" s="26">
        <v>0</v>
      </c>
      <c r="BW400" s="26">
        <v>-68314.175600000002</v>
      </c>
      <c r="BX400" s="26">
        <v>-3792.01298</v>
      </c>
      <c r="BY400" s="26">
        <v>-0.54984188700000003</v>
      </c>
      <c r="BZ400" s="26">
        <v>-39.124202799999999</v>
      </c>
      <c r="CA400" s="26">
        <v>-2.1717232700000002</v>
      </c>
      <c r="CB400" s="26">
        <v>5.5440004600000002E-2</v>
      </c>
      <c r="CC400" s="26">
        <v>0.99876720600000002</v>
      </c>
      <c r="CD400" s="26">
        <v>18.015280000000001</v>
      </c>
      <c r="CE400" s="26">
        <v>2.4213241700000001</v>
      </c>
      <c r="CF400" s="26">
        <v>0</v>
      </c>
      <c r="CG400" s="26">
        <v>0</v>
      </c>
      <c r="CH400" s="26">
        <v>0</v>
      </c>
      <c r="CI400" s="26">
        <v>0</v>
      </c>
      <c r="CJ400" s="26">
        <v>0</v>
      </c>
      <c r="CK400" s="26">
        <v>0</v>
      </c>
      <c r="CL400" s="26">
        <v>0</v>
      </c>
      <c r="CM400" s="26">
        <v>0</v>
      </c>
      <c r="CN400" s="26">
        <v>0</v>
      </c>
      <c r="CO400" s="26">
        <v>0</v>
      </c>
      <c r="CP400" s="26">
        <v>0</v>
      </c>
      <c r="CQ400" s="26">
        <v>0</v>
      </c>
      <c r="CR400" s="26">
        <v>0</v>
      </c>
      <c r="CS400" s="26">
        <v>0</v>
      </c>
      <c r="CT400" s="26">
        <v>0</v>
      </c>
      <c r="CU400" s="26">
        <v>0</v>
      </c>
      <c r="CV400" s="26">
        <v>0</v>
      </c>
      <c r="CW400" s="26">
        <v>0</v>
      </c>
      <c r="CX400" s="26">
        <v>0</v>
      </c>
      <c r="CY400" s="26">
        <v>0</v>
      </c>
      <c r="CZ400" s="26">
        <v>0</v>
      </c>
      <c r="DA400" s="26">
        <v>0</v>
      </c>
      <c r="DB400" s="26">
        <v>0</v>
      </c>
      <c r="DC400" s="26">
        <v>0</v>
      </c>
      <c r="DD400" s="26">
        <v>0</v>
      </c>
      <c r="DE400" s="26">
        <v>0</v>
      </c>
      <c r="DF400" s="26">
        <v>0</v>
      </c>
      <c r="DG400" s="26">
        <v>0</v>
      </c>
      <c r="DH400" s="26">
        <v>0</v>
      </c>
      <c r="DI400" s="26">
        <v>0</v>
      </c>
      <c r="DJ400" s="26">
        <v>0</v>
      </c>
      <c r="DK400" s="26">
        <v>0</v>
      </c>
      <c r="DL400" s="26">
        <v>0</v>
      </c>
      <c r="DM400" s="26">
        <v>0</v>
      </c>
      <c r="DN400" s="26">
        <v>0</v>
      </c>
      <c r="DO400" s="26">
        <v>0</v>
      </c>
      <c r="DP400" s="26">
        <v>0</v>
      </c>
      <c r="DQ400" s="26">
        <v>0</v>
      </c>
      <c r="DR400" s="26">
        <v>0</v>
      </c>
      <c r="DS400" s="26">
        <v>0</v>
      </c>
      <c r="DT400" s="26">
        <v>0</v>
      </c>
      <c r="DU400" s="26">
        <v>0</v>
      </c>
      <c r="DV400" s="26">
        <v>0</v>
      </c>
      <c r="DW400" s="26">
        <v>0</v>
      </c>
      <c r="DX400" s="26">
        <v>0</v>
      </c>
      <c r="DY400" s="26">
        <v>0</v>
      </c>
      <c r="DZ400" s="26">
        <v>0</v>
      </c>
      <c r="EA400" s="26">
        <v>0</v>
      </c>
      <c r="EB400" s="26">
        <v>0</v>
      </c>
      <c r="EC400" s="26">
        <v>0</v>
      </c>
      <c r="ED400" s="26">
        <v>0</v>
      </c>
      <c r="EE400" s="26">
        <v>0</v>
      </c>
      <c r="EF400" s="26">
        <v>0</v>
      </c>
      <c r="EG400" s="26">
        <v>0</v>
      </c>
      <c r="EH400" s="26">
        <v>0</v>
      </c>
      <c r="EI400" s="26">
        <v>0</v>
      </c>
      <c r="EJ400" s="26">
        <v>0</v>
      </c>
      <c r="EK400" s="26">
        <v>0</v>
      </c>
      <c r="EL400" s="26">
        <v>0</v>
      </c>
      <c r="EM400" s="26">
        <v>0</v>
      </c>
      <c r="EN400" s="26">
        <v>0</v>
      </c>
      <c r="EO400" s="26">
        <v>0</v>
      </c>
      <c r="EP400" s="26">
        <v>0</v>
      </c>
      <c r="EQ400" s="26">
        <v>0</v>
      </c>
      <c r="ER400" s="26">
        <v>0</v>
      </c>
      <c r="ES400" s="26">
        <v>0</v>
      </c>
      <c r="ET400" s="26">
        <v>1</v>
      </c>
      <c r="EU400" s="26">
        <v>0</v>
      </c>
      <c r="EV400" s="26">
        <v>0</v>
      </c>
      <c r="EW400" s="26">
        <v>0</v>
      </c>
      <c r="EX400" s="26">
        <v>0</v>
      </c>
      <c r="EY400" s="26">
        <v>0</v>
      </c>
      <c r="EZ400" s="26">
        <v>0</v>
      </c>
      <c r="FA400" s="26">
        <v>0</v>
      </c>
      <c r="FB400" s="26">
        <v>0</v>
      </c>
      <c r="FC400" s="26">
        <v>0</v>
      </c>
      <c r="FD400" s="26">
        <v>0</v>
      </c>
      <c r="FE400" s="26">
        <v>0</v>
      </c>
      <c r="FF400" s="26">
        <v>0</v>
      </c>
      <c r="FG400" s="26">
        <v>0</v>
      </c>
      <c r="FH400" s="26">
        <v>-638698.55202600011</v>
      </c>
      <c r="FI400" s="26">
        <v>0</v>
      </c>
      <c r="FJ400" s="26">
        <v>0</v>
      </c>
      <c r="FK400" s="26">
        <v>0</v>
      </c>
      <c r="FL400" s="26">
        <v>0</v>
      </c>
      <c r="FM400" s="26">
        <v>0</v>
      </c>
      <c r="FN400" s="26">
        <v>0</v>
      </c>
      <c r="FO400" s="26">
        <v>0</v>
      </c>
      <c r="FP400" s="26">
        <v>0</v>
      </c>
      <c r="FQ400" s="26">
        <v>0</v>
      </c>
      <c r="FR400" s="26">
        <v>0</v>
      </c>
      <c r="FS400" s="26">
        <v>0</v>
      </c>
      <c r="FT400" s="26">
        <v>0</v>
      </c>
      <c r="FU400" s="26">
        <v>0</v>
      </c>
      <c r="FV400" s="26">
        <v>0</v>
      </c>
      <c r="FW400" s="26">
        <v>0</v>
      </c>
      <c r="FX400" s="26">
        <v>0</v>
      </c>
      <c r="FY400" s="26">
        <v>0</v>
      </c>
      <c r="FZ400" s="26">
        <v>0</v>
      </c>
      <c r="GA400" s="26">
        <v>0</v>
      </c>
      <c r="GB400" s="26">
        <v>0</v>
      </c>
      <c r="GC400" s="26">
        <v>0</v>
      </c>
      <c r="GD400" s="26">
        <v>0</v>
      </c>
      <c r="GE400" s="26">
        <v>0</v>
      </c>
      <c r="GF400" s="26">
        <v>0</v>
      </c>
      <c r="GG400" s="26">
        <v>0</v>
      </c>
      <c r="GH400" s="26">
        <v>0</v>
      </c>
      <c r="GI400" s="26">
        <v>0</v>
      </c>
      <c r="GJ400" s="26">
        <v>0</v>
      </c>
      <c r="GK400" s="26">
        <v>0</v>
      </c>
      <c r="GL400" s="26">
        <v>0</v>
      </c>
      <c r="GM400" s="26">
        <v>0</v>
      </c>
      <c r="GN400" s="26">
        <v>0</v>
      </c>
      <c r="GO400" s="26">
        <v>0</v>
      </c>
      <c r="GP400" s="26">
        <v>0</v>
      </c>
      <c r="GQ400" s="26">
        <v>0</v>
      </c>
      <c r="GR400" s="26">
        <v>0</v>
      </c>
      <c r="GS400" s="26">
        <v>0</v>
      </c>
      <c r="GT400" s="26">
        <v>0</v>
      </c>
      <c r="GU400" s="26">
        <v>0</v>
      </c>
      <c r="GV400" s="26">
        <v>0</v>
      </c>
      <c r="GW400" s="26">
        <v>0</v>
      </c>
      <c r="GX400" s="26">
        <v>0</v>
      </c>
      <c r="GY400" s="26">
        <v>0</v>
      </c>
      <c r="GZ400" s="26">
        <v>0</v>
      </c>
      <c r="HA400" s="26">
        <v>0</v>
      </c>
      <c r="HB400" s="26">
        <v>0</v>
      </c>
      <c r="HC400" s="26">
        <v>0</v>
      </c>
      <c r="HD400" s="26">
        <v>0</v>
      </c>
      <c r="HE400" s="26">
        <v>0</v>
      </c>
      <c r="HF400" s="26">
        <v>0</v>
      </c>
      <c r="HG400" s="26">
        <v>0</v>
      </c>
      <c r="HH400" s="26">
        <v>0</v>
      </c>
      <c r="HI400" s="26">
        <v>0</v>
      </c>
      <c r="HJ400" s="26">
        <v>0</v>
      </c>
      <c r="HK400" s="26">
        <v>0</v>
      </c>
      <c r="HL400" s="26">
        <v>0</v>
      </c>
      <c r="HM400" s="26">
        <v>0</v>
      </c>
      <c r="HN400" s="26">
        <v>0</v>
      </c>
      <c r="HO400" s="26">
        <v>0</v>
      </c>
      <c r="HP400" s="26">
        <v>0</v>
      </c>
      <c r="HQ400" s="26">
        <v>0</v>
      </c>
      <c r="HR400" s="26">
        <v>0</v>
      </c>
      <c r="HS400" s="26">
        <v>0</v>
      </c>
      <c r="HT400" s="26">
        <v>0</v>
      </c>
    </row>
    <row r="401" spans="2:228" x14ac:dyDescent="0.2">
      <c r="B401" s="27" t="s">
        <v>2449</v>
      </c>
      <c r="C401" s="26">
        <v>0.24714779499999998</v>
      </c>
      <c r="D401" s="26">
        <v>-9.3718765300000002E-4</v>
      </c>
      <c r="E401" s="26">
        <v>0.24714779499999998</v>
      </c>
      <c r="F401" s="26">
        <v>0</v>
      </c>
      <c r="G401" s="26">
        <v>0</v>
      </c>
      <c r="H401" s="26">
        <v>0</v>
      </c>
      <c r="I401" s="26">
        <v>0</v>
      </c>
      <c r="J401" s="26">
        <v>0</v>
      </c>
      <c r="K401" s="26">
        <v>0</v>
      </c>
      <c r="L401" s="26">
        <v>0</v>
      </c>
      <c r="M401" s="26">
        <v>0</v>
      </c>
      <c r="N401" s="26">
        <v>0</v>
      </c>
      <c r="O401" s="26">
        <v>0</v>
      </c>
      <c r="P401" s="26">
        <v>0</v>
      </c>
      <c r="Q401" s="26">
        <v>0</v>
      </c>
      <c r="R401" s="26">
        <v>0</v>
      </c>
      <c r="S401" s="26">
        <v>0</v>
      </c>
      <c r="T401" s="26">
        <v>0</v>
      </c>
      <c r="U401" s="26">
        <v>0</v>
      </c>
      <c r="V401" s="26">
        <v>0</v>
      </c>
      <c r="W401" s="26">
        <v>0</v>
      </c>
      <c r="X401" s="26">
        <v>0</v>
      </c>
      <c r="Y401" s="26">
        <v>0</v>
      </c>
      <c r="Z401" s="26">
        <v>0</v>
      </c>
      <c r="AA401" s="26">
        <v>0</v>
      </c>
      <c r="AB401" s="26">
        <v>0</v>
      </c>
      <c r="AC401" s="26">
        <v>0</v>
      </c>
      <c r="AD401" s="26">
        <v>0</v>
      </c>
      <c r="AE401" s="26">
        <v>0</v>
      </c>
      <c r="AF401" s="26">
        <v>0</v>
      </c>
      <c r="AG401" s="26">
        <v>0</v>
      </c>
      <c r="AH401" s="26">
        <v>0</v>
      </c>
      <c r="AI401" s="26">
        <v>0</v>
      </c>
      <c r="AJ401" s="26">
        <v>0</v>
      </c>
      <c r="AK401" s="26">
        <v>0</v>
      </c>
      <c r="AL401" s="26">
        <v>0</v>
      </c>
      <c r="AM401" s="26">
        <v>0</v>
      </c>
      <c r="AN401" s="26">
        <v>0</v>
      </c>
      <c r="AO401" s="26">
        <v>0</v>
      </c>
      <c r="AP401" s="26">
        <v>0</v>
      </c>
      <c r="AQ401" s="26">
        <v>0</v>
      </c>
      <c r="AR401" s="26">
        <v>0</v>
      </c>
      <c r="AS401" s="26">
        <v>0</v>
      </c>
      <c r="AT401" s="26">
        <v>0</v>
      </c>
      <c r="AU401" s="26">
        <v>0</v>
      </c>
      <c r="AV401" s="26">
        <v>0</v>
      </c>
      <c r="AW401" s="26">
        <v>0</v>
      </c>
      <c r="AX401" s="26">
        <v>0</v>
      </c>
      <c r="AY401" s="26">
        <v>0</v>
      </c>
      <c r="AZ401" s="26">
        <v>0</v>
      </c>
      <c r="BA401" s="26">
        <v>0</v>
      </c>
      <c r="BB401" s="26">
        <v>0</v>
      </c>
      <c r="BC401" s="26">
        <v>0</v>
      </c>
      <c r="BD401" s="26">
        <v>0</v>
      </c>
      <c r="BE401" s="26">
        <v>0</v>
      </c>
      <c r="BF401" s="26">
        <v>0</v>
      </c>
      <c r="BG401" s="26">
        <v>0</v>
      </c>
      <c r="BH401" s="26">
        <v>0</v>
      </c>
      <c r="BI401" s="26">
        <v>0</v>
      </c>
      <c r="BJ401" s="26">
        <v>0</v>
      </c>
      <c r="BK401" s="26">
        <v>0</v>
      </c>
      <c r="BL401" s="26">
        <v>0</v>
      </c>
      <c r="BM401" s="26">
        <v>0</v>
      </c>
      <c r="BN401" s="26">
        <v>0</v>
      </c>
      <c r="BO401" s="26">
        <v>1.37187873E-2</v>
      </c>
      <c r="BP401" s="26">
        <v>0.24714779499999998</v>
      </c>
      <c r="BQ401" s="26">
        <v>4.1242141700000004E-3</v>
      </c>
      <c r="BR401" s="26">
        <v>20</v>
      </c>
      <c r="BS401" s="26">
        <v>1</v>
      </c>
      <c r="BT401" s="26">
        <v>0</v>
      </c>
      <c r="BU401" s="26">
        <v>1</v>
      </c>
      <c r="BV401" s="26">
        <v>0</v>
      </c>
      <c r="BW401" s="26">
        <v>-68314.175600000002</v>
      </c>
      <c r="BX401" s="26">
        <v>-3792.01298</v>
      </c>
      <c r="BY401" s="26">
        <v>-9.3718765300000002E-4</v>
      </c>
      <c r="BZ401" s="26">
        <v>-39.124202799999999</v>
      </c>
      <c r="CA401" s="26">
        <v>-2.1717232700000002</v>
      </c>
      <c r="CB401" s="26">
        <v>5.5440004600000002E-2</v>
      </c>
      <c r="CC401" s="26">
        <v>0.99876720600000002</v>
      </c>
      <c r="CD401" s="26">
        <v>18.015280000000001</v>
      </c>
      <c r="CE401" s="26">
        <v>4.1270684600000001E-3</v>
      </c>
      <c r="CF401" s="26">
        <v>0</v>
      </c>
      <c r="CG401" s="26">
        <v>0</v>
      </c>
      <c r="CH401" s="26">
        <v>0</v>
      </c>
      <c r="CI401" s="26">
        <v>0</v>
      </c>
      <c r="CJ401" s="26">
        <v>0</v>
      </c>
      <c r="CK401" s="26">
        <v>0</v>
      </c>
      <c r="CL401" s="26">
        <v>0</v>
      </c>
      <c r="CM401" s="26">
        <v>0</v>
      </c>
      <c r="CN401" s="26">
        <v>0</v>
      </c>
      <c r="CO401" s="26">
        <v>0</v>
      </c>
      <c r="CP401" s="26">
        <v>0</v>
      </c>
      <c r="CQ401" s="26">
        <v>0</v>
      </c>
      <c r="CR401" s="26">
        <v>0</v>
      </c>
      <c r="CS401" s="26">
        <v>0</v>
      </c>
      <c r="CT401" s="26">
        <v>0</v>
      </c>
      <c r="CU401" s="26">
        <v>0</v>
      </c>
      <c r="CV401" s="26">
        <v>0</v>
      </c>
      <c r="CW401" s="26">
        <v>0</v>
      </c>
      <c r="CX401" s="26">
        <v>0</v>
      </c>
      <c r="CY401" s="26">
        <v>0</v>
      </c>
      <c r="CZ401" s="26">
        <v>0</v>
      </c>
      <c r="DA401" s="26">
        <v>0</v>
      </c>
      <c r="DB401" s="26">
        <v>0</v>
      </c>
      <c r="DC401" s="26">
        <v>0</v>
      </c>
      <c r="DD401" s="26">
        <v>0</v>
      </c>
      <c r="DE401" s="26">
        <v>0</v>
      </c>
      <c r="DF401" s="26">
        <v>0</v>
      </c>
      <c r="DG401" s="26">
        <v>0</v>
      </c>
      <c r="DH401" s="26">
        <v>0</v>
      </c>
      <c r="DI401" s="26">
        <v>0</v>
      </c>
      <c r="DJ401" s="26">
        <v>0</v>
      </c>
      <c r="DK401" s="26">
        <v>0</v>
      </c>
      <c r="DL401" s="26">
        <v>0</v>
      </c>
      <c r="DM401" s="26">
        <v>0</v>
      </c>
      <c r="DN401" s="26">
        <v>0</v>
      </c>
      <c r="DO401" s="26">
        <v>0</v>
      </c>
      <c r="DP401" s="26">
        <v>0</v>
      </c>
      <c r="DQ401" s="26">
        <v>0</v>
      </c>
      <c r="DR401" s="26">
        <v>0</v>
      </c>
      <c r="DS401" s="26">
        <v>0</v>
      </c>
      <c r="DT401" s="26">
        <v>0</v>
      </c>
      <c r="DU401" s="26">
        <v>0</v>
      </c>
      <c r="DV401" s="26">
        <v>0</v>
      </c>
      <c r="DW401" s="26">
        <v>0</v>
      </c>
      <c r="DX401" s="26">
        <v>0</v>
      </c>
      <c r="DY401" s="26">
        <v>0</v>
      </c>
      <c r="DZ401" s="26">
        <v>0</v>
      </c>
      <c r="EA401" s="26">
        <v>0</v>
      </c>
      <c r="EB401" s="26">
        <v>0</v>
      </c>
      <c r="EC401" s="26">
        <v>0</v>
      </c>
      <c r="ED401" s="26">
        <v>0</v>
      </c>
      <c r="EE401" s="26">
        <v>0</v>
      </c>
      <c r="EF401" s="26">
        <v>0</v>
      </c>
      <c r="EG401" s="26">
        <v>0</v>
      </c>
      <c r="EH401" s="26">
        <v>0</v>
      </c>
      <c r="EI401" s="26">
        <v>0</v>
      </c>
      <c r="EJ401" s="26">
        <v>0</v>
      </c>
      <c r="EK401" s="26">
        <v>0</v>
      </c>
      <c r="EL401" s="26">
        <v>0</v>
      </c>
      <c r="EM401" s="26">
        <v>0</v>
      </c>
      <c r="EN401" s="26">
        <v>0</v>
      </c>
      <c r="EO401" s="26">
        <v>0</v>
      </c>
      <c r="EP401" s="26">
        <v>0</v>
      </c>
      <c r="EQ401" s="26">
        <v>0</v>
      </c>
      <c r="ER401" s="26">
        <v>0</v>
      </c>
      <c r="ES401" s="26">
        <v>0</v>
      </c>
      <c r="ET401" s="26">
        <v>1</v>
      </c>
      <c r="EU401" s="26">
        <v>0</v>
      </c>
      <c r="EV401" s="26">
        <v>0</v>
      </c>
      <c r="EW401" s="26">
        <v>0</v>
      </c>
      <c r="EX401" s="26">
        <v>0</v>
      </c>
      <c r="EY401" s="26">
        <v>0</v>
      </c>
      <c r="EZ401" s="26">
        <v>0</v>
      </c>
      <c r="FA401" s="26">
        <v>0</v>
      </c>
      <c r="FB401" s="26">
        <v>0</v>
      </c>
      <c r="FC401" s="26">
        <v>0</v>
      </c>
      <c r="FD401" s="26">
        <v>0</v>
      </c>
      <c r="FE401" s="26">
        <v>0</v>
      </c>
      <c r="FF401" s="26">
        <v>0</v>
      </c>
      <c r="FG401" s="26">
        <v>0</v>
      </c>
      <c r="FH401" s="26">
        <v>-1088.6409561529999</v>
      </c>
      <c r="FI401" s="26">
        <v>0</v>
      </c>
      <c r="FJ401" s="26">
        <v>0</v>
      </c>
      <c r="FK401" s="26">
        <v>0</v>
      </c>
      <c r="FL401" s="26">
        <v>0</v>
      </c>
      <c r="FM401" s="26">
        <v>0</v>
      </c>
      <c r="FN401" s="26">
        <v>0</v>
      </c>
      <c r="FO401" s="26">
        <v>0</v>
      </c>
      <c r="FP401" s="26">
        <v>0</v>
      </c>
      <c r="FQ401" s="26">
        <v>0</v>
      </c>
      <c r="FR401" s="26">
        <v>0</v>
      </c>
      <c r="FS401" s="26">
        <v>0</v>
      </c>
      <c r="FT401" s="26">
        <v>0</v>
      </c>
      <c r="FU401" s="26">
        <v>0</v>
      </c>
      <c r="FV401" s="26">
        <v>0</v>
      </c>
      <c r="FW401" s="26">
        <v>0</v>
      </c>
      <c r="FX401" s="26">
        <v>0</v>
      </c>
      <c r="FY401" s="26">
        <v>0</v>
      </c>
      <c r="FZ401" s="26">
        <v>0</v>
      </c>
      <c r="GA401" s="26">
        <v>0</v>
      </c>
      <c r="GB401" s="26">
        <v>0</v>
      </c>
      <c r="GC401" s="26">
        <v>0</v>
      </c>
      <c r="GD401" s="26">
        <v>0</v>
      </c>
      <c r="GE401" s="26">
        <v>0</v>
      </c>
      <c r="GF401" s="26">
        <v>0</v>
      </c>
      <c r="GG401" s="26">
        <v>0</v>
      </c>
      <c r="GH401" s="26">
        <v>0</v>
      </c>
      <c r="GI401" s="26">
        <v>0</v>
      </c>
      <c r="GJ401" s="26">
        <v>0</v>
      </c>
      <c r="GK401" s="26">
        <v>0</v>
      </c>
      <c r="GL401" s="26">
        <v>0</v>
      </c>
      <c r="GM401" s="26">
        <v>0</v>
      </c>
      <c r="GN401" s="26">
        <v>0</v>
      </c>
      <c r="GO401" s="26">
        <v>0</v>
      </c>
      <c r="GP401" s="26">
        <v>0</v>
      </c>
      <c r="GQ401" s="26">
        <v>0</v>
      </c>
      <c r="GR401" s="26">
        <v>0</v>
      </c>
      <c r="GS401" s="26">
        <v>0</v>
      </c>
      <c r="GT401" s="26">
        <v>0</v>
      </c>
      <c r="GU401" s="26">
        <v>0</v>
      </c>
      <c r="GV401" s="26">
        <v>0</v>
      </c>
      <c r="GW401" s="26">
        <v>0</v>
      </c>
      <c r="GX401" s="26">
        <v>0</v>
      </c>
      <c r="GY401" s="26">
        <v>0</v>
      </c>
      <c r="GZ401" s="26">
        <v>0</v>
      </c>
      <c r="HA401" s="26">
        <v>0</v>
      </c>
      <c r="HB401" s="26">
        <v>0</v>
      </c>
      <c r="HC401" s="26">
        <v>0</v>
      </c>
      <c r="HD401" s="26">
        <v>0</v>
      </c>
      <c r="HE401" s="26">
        <v>0</v>
      </c>
      <c r="HF401" s="26">
        <v>0</v>
      </c>
      <c r="HG401" s="26">
        <v>0</v>
      </c>
      <c r="HH401" s="26">
        <v>0</v>
      </c>
      <c r="HI401" s="26">
        <v>0</v>
      </c>
      <c r="HJ401" s="26">
        <v>0</v>
      </c>
      <c r="HK401" s="26">
        <v>0</v>
      </c>
      <c r="HL401" s="26">
        <v>0</v>
      </c>
      <c r="HM401" s="26">
        <v>0</v>
      </c>
      <c r="HN401" s="26">
        <v>0</v>
      </c>
      <c r="HO401" s="26">
        <v>0</v>
      </c>
      <c r="HP401" s="26">
        <v>0</v>
      </c>
      <c r="HQ401" s="26">
        <v>0</v>
      </c>
      <c r="HR401" s="26">
        <v>0</v>
      </c>
      <c r="HS401" s="26">
        <v>0</v>
      </c>
      <c r="HT401" s="26">
        <v>0</v>
      </c>
    </row>
    <row r="402" spans="2:228" x14ac:dyDescent="0.2">
      <c r="B402" s="27" t="s">
        <v>2451</v>
      </c>
      <c r="C402" s="26">
        <v>2.3844717499999999</v>
      </c>
      <c r="D402" s="26">
        <v>-9.0419479100000005E-3</v>
      </c>
      <c r="E402" s="26">
        <v>2.3844717499999999</v>
      </c>
      <c r="F402" s="26">
        <v>0</v>
      </c>
      <c r="G402" s="26">
        <v>0</v>
      </c>
      <c r="H402" s="26">
        <v>0</v>
      </c>
      <c r="I402" s="26">
        <v>0</v>
      </c>
      <c r="J402" s="26">
        <v>0</v>
      </c>
      <c r="K402" s="26">
        <v>0</v>
      </c>
      <c r="L402" s="26">
        <v>0</v>
      </c>
      <c r="M402" s="26">
        <v>0</v>
      </c>
      <c r="N402" s="26">
        <v>0</v>
      </c>
      <c r="O402" s="26">
        <v>0</v>
      </c>
      <c r="P402" s="26">
        <v>0</v>
      </c>
      <c r="Q402" s="26">
        <v>0</v>
      </c>
      <c r="R402" s="26">
        <v>0</v>
      </c>
      <c r="S402" s="26">
        <v>0</v>
      </c>
      <c r="T402" s="26">
        <v>0</v>
      </c>
      <c r="U402" s="26">
        <v>0</v>
      </c>
      <c r="V402" s="26">
        <v>0</v>
      </c>
      <c r="W402" s="26">
        <v>0</v>
      </c>
      <c r="X402" s="26">
        <v>0</v>
      </c>
      <c r="Y402" s="26">
        <v>0</v>
      </c>
      <c r="Z402" s="26">
        <v>0</v>
      </c>
      <c r="AA402" s="26">
        <v>0</v>
      </c>
      <c r="AB402" s="26">
        <v>0</v>
      </c>
      <c r="AC402" s="26">
        <v>0</v>
      </c>
      <c r="AD402" s="26">
        <v>0</v>
      </c>
      <c r="AE402" s="26">
        <v>0</v>
      </c>
      <c r="AF402" s="26">
        <v>0</v>
      </c>
      <c r="AG402" s="26">
        <v>0</v>
      </c>
      <c r="AH402" s="26">
        <v>0</v>
      </c>
      <c r="AI402" s="26">
        <v>0</v>
      </c>
      <c r="AJ402" s="26">
        <v>0</v>
      </c>
      <c r="AK402" s="26">
        <v>0</v>
      </c>
      <c r="AL402" s="26">
        <v>0</v>
      </c>
      <c r="AM402" s="26">
        <v>0</v>
      </c>
      <c r="AN402" s="26">
        <v>0</v>
      </c>
      <c r="AO402" s="26">
        <v>0</v>
      </c>
      <c r="AP402" s="26">
        <v>0</v>
      </c>
      <c r="AQ402" s="26">
        <v>0</v>
      </c>
      <c r="AR402" s="26">
        <v>0</v>
      </c>
      <c r="AS402" s="26">
        <v>0</v>
      </c>
      <c r="AT402" s="26">
        <v>0</v>
      </c>
      <c r="AU402" s="26">
        <v>0</v>
      </c>
      <c r="AV402" s="26">
        <v>0</v>
      </c>
      <c r="AW402" s="26">
        <v>0</v>
      </c>
      <c r="AX402" s="26">
        <v>0</v>
      </c>
      <c r="AY402" s="26">
        <v>0</v>
      </c>
      <c r="AZ402" s="26">
        <v>0</v>
      </c>
      <c r="BA402" s="26">
        <v>0</v>
      </c>
      <c r="BB402" s="26">
        <v>0</v>
      </c>
      <c r="BC402" s="26">
        <v>0</v>
      </c>
      <c r="BD402" s="26">
        <v>0</v>
      </c>
      <c r="BE402" s="26">
        <v>0</v>
      </c>
      <c r="BF402" s="26">
        <v>0</v>
      </c>
      <c r="BG402" s="26">
        <v>0</v>
      </c>
      <c r="BH402" s="26">
        <v>0</v>
      </c>
      <c r="BI402" s="26">
        <v>0</v>
      </c>
      <c r="BJ402" s="26">
        <v>0</v>
      </c>
      <c r="BK402" s="26">
        <v>0</v>
      </c>
      <c r="BL402" s="26">
        <v>0</v>
      </c>
      <c r="BM402" s="26">
        <v>0</v>
      </c>
      <c r="BN402" s="26">
        <v>0</v>
      </c>
      <c r="BO402" s="26">
        <v>0.13235829499999999</v>
      </c>
      <c r="BP402" s="26">
        <v>2.3844717499999999</v>
      </c>
      <c r="BQ402" s="26">
        <v>3.9790248600000001E-2</v>
      </c>
      <c r="BR402" s="26">
        <v>20</v>
      </c>
      <c r="BS402" s="26">
        <v>1</v>
      </c>
      <c r="BT402" s="26">
        <v>0</v>
      </c>
      <c r="BU402" s="26">
        <v>1</v>
      </c>
      <c r="BV402" s="26">
        <v>0</v>
      </c>
      <c r="BW402" s="26">
        <v>-68314.175600000002</v>
      </c>
      <c r="BX402" s="26">
        <v>-3792.01298</v>
      </c>
      <c r="BY402" s="26">
        <v>-9.0419479100000005E-3</v>
      </c>
      <c r="BZ402" s="26">
        <v>-39.124202799999999</v>
      </c>
      <c r="CA402" s="26">
        <v>-2.1717232700000002</v>
      </c>
      <c r="CB402" s="26">
        <v>5.5440004600000002E-2</v>
      </c>
      <c r="CC402" s="26">
        <v>0.99876720600000002</v>
      </c>
      <c r="CD402" s="26">
        <v>18.015280000000001</v>
      </c>
      <c r="CE402" s="26">
        <v>3.9817786700000003E-2</v>
      </c>
      <c r="CF402" s="26">
        <v>0</v>
      </c>
      <c r="CG402" s="26">
        <v>0</v>
      </c>
      <c r="CH402" s="26">
        <v>0</v>
      </c>
      <c r="CI402" s="26">
        <v>0</v>
      </c>
      <c r="CJ402" s="26">
        <v>0</v>
      </c>
      <c r="CK402" s="26">
        <v>0</v>
      </c>
      <c r="CL402" s="26">
        <v>0</v>
      </c>
      <c r="CM402" s="26">
        <v>0</v>
      </c>
      <c r="CN402" s="26">
        <v>0</v>
      </c>
      <c r="CO402" s="26">
        <v>0</v>
      </c>
      <c r="CP402" s="26">
        <v>0</v>
      </c>
      <c r="CQ402" s="26">
        <v>0</v>
      </c>
      <c r="CR402" s="26">
        <v>0</v>
      </c>
      <c r="CS402" s="26">
        <v>0</v>
      </c>
      <c r="CT402" s="26">
        <v>0</v>
      </c>
      <c r="CU402" s="26">
        <v>0</v>
      </c>
      <c r="CV402" s="26">
        <v>0</v>
      </c>
      <c r="CW402" s="26">
        <v>0</v>
      </c>
      <c r="CX402" s="26">
        <v>0</v>
      </c>
      <c r="CY402" s="26">
        <v>0</v>
      </c>
      <c r="CZ402" s="26">
        <v>0</v>
      </c>
      <c r="DA402" s="26">
        <v>0</v>
      </c>
      <c r="DB402" s="26">
        <v>0</v>
      </c>
      <c r="DC402" s="26">
        <v>0</v>
      </c>
      <c r="DD402" s="26">
        <v>0</v>
      </c>
      <c r="DE402" s="26">
        <v>0</v>
      </c>
      <c r="DF402" s="26">
        <v>0</v>
      </c>
      <c r="DG402" s="26">
        <v>0</v>
      </c>
      <c r="DH402" s="26">
        <v>0</v>
      </c>
      <c r="DI402" s="26">
        <v>0</v>
      </c>
      <c r="DJ402" s="26">
        <v>0</v>
      </c>
      <c r="DK402" s="26">
        <v>0</v>
      </c>
      <c r="DL402" s="26">
        <v>0</v>
      </c>
      <c r="DM402" s="26">
        <v>0</v>
      </c>
      <c r="DN402" s="26">
        <v>0</v>
      </c>
      <c r="DO402" s="26">
        <v>0</v>
      </c>
      <c r="DP402" s="26">
        <v>0</v>
      </c>
      <c r="DQ402" s="26">
        <v>0</v>
      </c>
      <c r="DR402" s="26">
        <v>0</v>
      </c>
      <c r="DS402" s="26">
        <v>0</v>
      </c>
      <c r="DT402" s="26">
        <v>0</v>
      </c>
      <c r="DU402" s="26">
        <v>0</v>
      </c>
      <c r="DV402" s="26">
        <v>0</v>
      </c>
      <c r="DW402" s="26">
        <v>0</v>
      </c>
      <c r="DX402" s="26">
        <v>0</v>
      </c>
      <c r="DY402" s="26">
        <v>0</v>
      </c>
      <c r="DZ402" s="26">
        <v>0</v>
      </c>
      <c r="EA402" s="26">
        <v>0</v>
      </c>
      <c r="EB402" s="26">
        <v>0</v>
      </c>
      <c r="EC402" s="26">
        <v>0</v>
      </c>
      <c r="ED402" s="26">
        <v>0</v>
      </c>
      <c r="EE402" s="26">
        <v>0</v>
      </c>
      <c r="EF402" s="26">
        <v>0</v>
      </c>
      <c r="EG402" s="26">
        <v>0</v>
      </c>
      <c r="EH402" s="26">
        <v>0</v>
      </c>
      <c r="EI402" s="26">
        <v>0</v>
      </c>
      <c r="EJ402" s="26">
        <v>0</v>
      </c>
      <c r="EK402" s="26">
        <v>0</v>
      </c>
      <c r="EL402" s="26">
        <v>0</v>
      </c>
      <c r="EM402" s="26">
        <v>0</v>
      </c>
      <c r="EN402" s="26">
        <v>0</v>
      </c>
      <c r="EO402" s="26">
        <v>0</v>
      </c>
      <c r="EP402" s="26">
        <v>0</v>
      </c>
      <c r="EQ402" s="26">
        <v>0</v>
      </c>
      <c r="ER402" s="26">
        <v>0</v>
      </c>
      <c r="ES402" s="26">
        <v>0</v>
      </c>
      <c r="ET402" s="26">
        <v>1</v>
      </c>
      <c r="EU402" s="26">
        <v>0</v>
      </c>
      <c r="EV402" s="26">
        <v>0</v>
      </c>
      <c r="EW402" s="26">
        <v>0</v>
      </c>
      <c r="EX402" s="26">
        <v>0</v>
      </c>
      <c r="EY402" s="26">
        <v>0</v>
      </c>
      <c r="EZ402" s="26">
        <v>0</v>
      </c>
      <c r="FA402" s="26">
        <v>0</v>
      </c>
      <c r="FB402" s="26">
        <v>0</v>
      </c>
      <c r="FC402" s="26">
        <v>0</v>
      </c>
      <c r="FD402" s="26">
        <v>0</v>
      </c>
      <c r="FE402" s="26">
        <v>0</v>
      </c>
      <c r="FF402" s="26">
        <v>0</v>
      </c>
      <c r="FG402" s="26">
        <v>0</v>
      </c>
      <c r="FH402" s="26">
        <v>-10503.16314773</v>
      </c>
      <c r="FI402" s="26">
        <v>0</v>
      </c>
      <c r="FJ402" s="26">
        <v>0</v>
      </c>
      <c r="FK402" s="26">
        <v>0</v>
      </c>
      <c r="FL402" s="26">
        <v>0</v>
      </c>
      <c r="FM402" s="26">
        <v>0</v>
      </c>
      <c r="FN402" s="26">
        <v>0</v>
      </c>
      <c r="FO402" s="26">
        <v>0</v>
      </c>
      <c r="FP402" s="26">
        <v>0</v>
      </c>
      <c r="FQ402" s="26">
        <v>0</v>
      </c>
      <c r="FR402" s="26">
        <v>0</v>
      </c>
      <c r="FS402" s="26">
        <v>0</v>
      </c>
      <c r="FT402" s="26">
        <v>0</v>
      </c>
      <c r="FU402" s="26">
        <v>0</v>
      </c>
      <c r="FV402" s="26">
        <v>0</v>
      </c>
      <c r="FW402" s="26">
        <v>0</v>
      </c>
      <c r="FX402" s="26">
        <v>0</v>
      </c>
      <c r="FY402" s="26">
        <v>0</v>
      </c>
      <c r="FZ402" s="26">
        <v>0</v>
      </c>
      <c r="GA402" s="26">
        <v>0</v>
      </c>
      <c r="GB402" s="26">
        <v>0</v>
      </c>
      <c r="GC402" s="26">
        <v>0</v>
      </c>
      <c r="GD402" s="26">
        <v>0</v>
      </c>
      <c r="GE402" s="26">
        <v>0</v>
      </c>
      <c r="GF402" s="26">
        <v>0</v>
      </c>
      <c r="GG402" s="26">
        <v>0</v>
      </c>
      <c r="GH402" s="26">
        <v>0</v>
      </c>
      <c r="GI402" s="26">
        <v>0</v>
      </c>
      <c r="GJ402" s="26">
        <v>0</v>
      </c>
      <c r="GK402" s="26">
        <v>0</v>
      </c>
      <c r="GL402" s="26">
        <v>0</v>
      </c>
      <c r="GM402" s="26">
        <v>0</v>
      </c>
      <c r="GN402" s="26">
        <v>0</v>
      </c>
      <c r="GO402" s="26">
        <v>0</v>
      </c>
      <c r="GP402" s="26">
        <v>0</v>
      </c>
      <c r="GQ402" s="26">
        <v>0</v>
      </c>
      <c r="GR402" s="26">
        <v>0</v>
      </c>
      <c r="GS402" s="26">
        <v>0</v>
      </c>
      <c r="GT402" s="26">
        <v>0</v>
      </c>
      <c r="GU402" s="26">
        <v>0</v>
      </c>
      <c r="GV402" s="26">
        <v>0</v>
      </c>
      <c r="GW402" s="26">
        <v>0</v>
      </c>
      <c r="GX402" s="26">
        <v>0</v>
      </c>
      <c r="GY402" s="26">
        <v>0</v>
      </c>
      <c r="GZ402" s="26">
        <v>0</v>
      </c>
      <c r="HA402" s="26">
        <v>0</v>
      </c>
      <c r="HB402" s="26">
        <v>0</v>
      </c>
      <c r="HC402" s="26">
        <v>0</v>
      </c>
      <c r="HD402" s="26">
        <v>0</v>
      </c>
      <c r="HE402" s="26">
        <v>0</v>
      </c>
      <c r="HF402" s="26">
        <v>0</v>
      </c>
      <c r="HG402" s="26">
        <v>0</v>
      </c>
      <c r="HH402" s="26">
        <v>0</v>
      </c>
      <c r="HI402" s="26">
        <v>0</v>
      </c>
      <c r="HJ402" s="26">
        <v>0</v>
      </c>
      <c r="HK402" s="26">
        <v>0</v>
      </c>
      <c r="HL402" s="26">
        <v>0</v>
      </c>
      <c r="HM402" s="26">
        <v>0</v>
      </c>
      <c r="HN402" s="26">
        <v>0</v>
      </c>
      <c r="HO402" s="26">
        <v>0</v>
      </c>
      <c r="HP402" s="26">
        <v>0</v>
      </c>
      <c r="HQ402" s="26">
        <v>0</v>
      </c>
      <c r="HR402" s="26">
        <v>0</v>
      </c>
      <c r="HS402" s="26">
        <v>0</v>
      </c>
      <c r="HT402" s="26">
        <v>0</v>
      </c>
    </row>
    <row r="403" spans="2:228" x14ac:dyDescent="0.2">
      <c r="B403" s="27" t="s">
        <v>2453</v>
      </c>
      <c r="C403" s="26">
        <v>2.6316195499999999</v>
      </c>
      <c r="D403" s="26">
        <v>-9.9791355700000004E-3</v>
      </c>
      <c r="E403" s="26">
        <v>2.6316195499999999</v>
      </c>
      <c r="F403" s="26">
        <v>0</v>
      </c>
      <c r="G403" s="26">
        <v>0</v>
      </c>
      <c r="H403" s="26">
        <v>0</v>
      </c>
      <c r="I403" s="26">
        <v>0</v>
      </c>
      <c r="J403" s="26">
        <v>0</v>
      </c>
      <c r="K403" s="26">
        <v>0</v>
      </c>
      <c r="L403" s="26">
        <v>0</v>
      </c>
      <c r="M403" s="26">
        <v>0</v>
      </c>
      <c r="N403" s="26">
        <v>0</v>
      </c>
      <c r="O403" s="26">
        <v>0</v>
      </c>
      <c r="P403" s="26">
        <v>0</v>
      </c>
      <c r="Q403" s="26">
        <v>0</v>
      </c>
      <c r="R403" s="26">
        <v>0</v>
      </c>
      <c r="S403" s="26">
        <v>0</v>
      </c>
      <c r="T403" s="26">
        <v>0</v>
      </c>
      <c r="U403" s="26">
        <v>0</v>
      </c>
      <c r="V403" s="26">
        <v>0</v>
      </c>
      <c r="W403" s="26">
        <v>0</v>
      </c>
      <c r="X403" s="26">
        <v>0</v>
      </c>
      <c r="Y403" s="26">
        <v>0</v>
      </c>
      <c r="Z403" s="26">
        <v>0</v>
      </c>
      <c r="AA403" s="26">
        <v>0</v>
      </c>
      <c r="AB403" s="26">
        <v>0</v>
      </c>
      <c r="AC403" s="26">
        <v>0</v>
      </c>
      <c r="AD403" s="26">
        <v>0</v>
      </c>
      <c r="AE403" s="26">
        <v>0</v>
      </c>
      <c r="AF403" s="26">
        <v>0</v>
      </c>
      <c r="AG403" s="26">
        <v>0</v>
      </c>
      <c r="AH403" s="26">
        <v>0</v>
      </c>
      <c r="AI403" s="26">
        <v>0</v>
      </c>
      <c r="AJ403" s="26">
        <v>0</v>
      </c>
      <c r="AK403" s="26">
        <v>0</v>
      </c>
      <c r="AL403" s="26">
        <v>0</v>
      </c>
      <c r="AM403" s="26">
        <v>0</v>
      </c>
      <c r="AN403" s="26">
        <v>0</v>
      </c>
      <c r="AO403" s="26">
        <v>0</v>
      </c>
      <c r="AP403" s="26">
        <v>0</v>
      </c>
      <c r="AQ403" s="26">
        <v>0</v>
      </c>
      <c r="AR403" s="26">
        <v>0</v>
      </c>
      <c r="AS403" s="26">
        <v>0</v>
      </c>
      <c r="AT403" s="26">
        <v>0</v>
      </c>
      <c r="AU403" s="26">
        <v>0</v>
      </c>
      <c r="AV403" s="26">
        <v>0</v>
      </c>
      <c r="AW403" s="26">
        <v>0</v>
      </c>
      <c r="AX403" s="26">
        <v>0</v>
      </c>
      <c r="AY403" s="26">
        <v>0</v>
      </c>
      <c r="AZ403" s="26">
        <v>0</v>
      </c>
      <c r="BA403" s="26">
        <v>0</v>
      </c>
      <c r="BB403" s="26">
        <v>0</v>
      </c>
      <c r="BC403" s="26">
        <v>0</v>
      </c>
      <c r="BD403" s="26">
        <v>0</v>
      </c>
      <c r="BE403" s="26">
        <v>0</v>
      </c>
      <c r="BF403" s="26">
        <v>0</v>
      </c>
      <c r="BG403" s="26">
        <v>0</v>
      </c>
      <c r="BH403" s="26">
        <v>0</v>
      </c>
      <c r="BI403" s="26">
        <v>0</v>
      </c>
      <c r="BJ403" s="26">
        <v>0</v>
      </c>
      <c r="BK403" s="26">
        <v>0</v>
      </c>
      <c r="BL403" s="26">
        <v>0</v>
      </c>
      <c r="BM403" s="26">
        <v>0</v>
      </c>
      <c r="BN403" s="26">
        <v>0</v>
      </c>
      <c r="BO403" s="26">
        <v>0.146077083</v>
      </c>
      <c r="BP403" s="26">
        <v>2.6316195499999999</v>
      </c>
      <c r="BQ403" s="26">
        <v>4.3914462699999997E-2</v>
      </c>
      <c r="BR403" s="26">
        <v>20</v>
      </c>
      <c r="BS403" s="26">
        <v>1</v>
      </c>
      <c r="BT403" s="26">
        <v>0</v>
      </c>
      <c r="BU403" s="26">
        <v>1</v>
      </c>
      <c r="BV403" s="26">
        <v>0</v>
      </c>
      <c r="BW403" s="26">
        <v>-68314.175600000002</v>
      </c>
      <c r="BX403" s="26">
        <v>-3792.01298</v>
      </c>
      <c r="BY403" s="26">
        <v>-9.9791355700000004E-3</v>
      </c>
      <c r="BZ403" s="26">
        <v>-39.124202799999999</v>
      </c>
      <c r="CA403" s="26">
        <v>-2.1717232700000002</v>
      </c>
      <c r="CB403" s="26">
        <v>5.5440004600000002E-2</v>
      </c>
      <c r="CC403" s="26">
        <v>0.99876720600000002</v>
      </c>
      <c r="CD403" s="26">
        <v>18.015280000000001</v>
      </c>
      <c r="CE403" s="26">
        <v>4.3944855200000001E-2</v>
      </c>
      <c r="CF403" s="26">
        <v>0</v>
      </c>
      <c r="CG403" s="26">
        <v>0</v>
      </c>
      <c r="CH403" s="26">
        <v>0</v>
      </c>
      <c r="CI403" s="26">
        <v>0</v>
      </c>
      <c r="CJ403" s="26">
        <v>0</v>
      </c>
      <c r="CK403" s="26">
        <v>0</v>
      </c>
      <c r="CL403" s="26">
        <v>0</v>
      </c>
      <c r="CM403" s="26">
        <v>0</v>
      </c>
      <c r="CN403" s="26">
        <v>0</v>
      </c>
      <c r="CO403" s="26">
        <v>0</v>
      </c>
      <c r="CP403" s="26">
        <v>0</v>
      </c>
      <c r="CQ403" s="26">
        <v>0</v>
      </c>
      <c r="CR403" s="26">
        <v>0</v>
      </c>
      <c r="CS403" s="26">
        <v>0</v>
      </c>
      <c r="CT403" s="26">
        <v>0</v>
      </c>
      <c r="CU403" s="26">
        <v>0</v>
      </c>
      <c r="CV403" s="26">
        <v>0</v>
      </c>
      <c r="CW403" s="26">
        <v>0</v>
      </c>
      <c r="CX403" s="26">
        <v>0</v>
      </c>
      <c r="CY403" s="26">
        <v>0</v>
      </c>
      <c r="CZ403" s="26">
        <v>0</v>
      </c>
      <c r="DA403" s="26">
        <v>0</v>
      </c>
      <c r="DB403" s="26">
        <v>0</v>
      </c>
      <c r="DC403" s="26">
        <v>0</v>
      </c>
      <c r="DD403" s="26">
        <v>0</v>
      </c>
      <c r="DE403" s="26">
        <v>0</v>
      </c>
      <c r="DF403" s="26">
        <v>0</v>
      </c>
      <c r="DG403" s="26">
        <v>0</v>
      </c>
      <c r="DH403" s="26">
        <v>0</v>
      </c>
      <c r="DI403" s="26">
        <v>0</v>
      </c>
      <c r="DJ403" s="26">
        <v>0</v>
      </c>
      <c r="DK403" s="26">
        <v>0</v>
      </c>
      <c r="DL403" s="26">
        <v>0</v>
      </c>
      <c r="DM403" s="26">
        <v>0</v>
      </c>
      <c r="DN403" s="26">
        <v>0</v>
      </c>
      <c r="DO403" s="26">
        <v>0</v>
      </c>
      <c r="DP403" s="26">
        <v>0</v>
      </c>
      <c r="DQ403" s="26">
        <v>0</v>
      </c>
      <c r="DR403" s="26">
        <v>0</v>
      </c>
      <c r="DS403" s="26">
        <v>0</v>
      </c>
      <c r="DT403" s="26">
        <v>0</v>
      </c>
      <c r="DU403" s="26">
        <v>0</v>
      </c>
      <c r="DV403" s="26">
        <v>0</v>
      </c>
      <c r="DW403" s="26">
        <v>0</v>
      </c>
      <c r="DX403" s="26">
        <v>0</v>
      </c>
      <c r="DY403" s="26">
        <v>0</v>
      </c>
      <c r="DZ403" s="26">
        <v>0</v>
      </c>
      <c r="EA403" s="26">
        <v>0</v>
      </c>
      <c r="EB403" s="26">
        <v>0</v>
      </c>
      <c r="EC403" s="26">
        <v>0</v>
      </c>
      <c r="ED403" s="26">
        <v>0</v>
      </c>
      <c r="EE403" s="26">
        <v>0</v>
      </c>
      <c r="EF403" s="26">
        <v>0</v>
      </c>
      <c r="EG403" s="26">
        <v>0</v>
      </c>
      <c r="EH403" s="26">
        <v>0</v>
      </c>
      <c r="EI403" s="26">
        <v>0</v>
      </c>
      <c r="EJ403" s="26">
        <v>0</v>
      </c>
      <c r="EK403" s="26">
        <v>0</v>
      </c>
      <c r="EL403" s="26">
        <v>0</v>
      </c>
      <c r="EM403" s="26">
        <v>0</v>
      </c>
      <c r="EN403" s="26">
        <v>0</v>
      </c>
      <c r="EO403" s="26">
        <v>0</v>
      </c>
      <c r="EP403" s="26">
        <v>0</v>
      </c>
      <c r="EQ403" s="26">
        <v>0</v>
      </c>
      <c r="ER403" s="26">
        <v>0</v>
      </c>
      <c r="ES403" s="26">
        <v>0</v>
      </c>
      <c r="ET403" s="26">
        <v>1</v>
      </c>
      <c r="EU403" s="26">
        <v>0</v>
      </c>
      <c r="EV403" s="26">
        <v>0</v>
      </c>
      <c r="EW403" s="26">
        <v>0</v>
      </c>
      <c r="EX403" s="26">
        <v>0</v>
      </c>
      <c r="EY403" s="26">
        <v>0</v>
      </c>
      <c r="EZ403" s="26">
        <v>0</v>
      </c>
      <c r="FA403" s="26">
        <v>0</v>
      </c>
      <c r="FB403" s="26">
        <v>0</v>
      </c>
      <c r="FC403" s="26">
        <v>0</v>
      </c>
      <c r="FD403" s="26">
        <v>0</v>
      </c>
      <c r="FE403" s="26">
        <v>0</v>
      </c>
      <c r="FF403" s="26">
        <v>0</v>
      </c>
      <c r="FG403" s="26">
        <v>0</v>
      </c>
      <c r="FH403" s="26">
        <v>-11591.804102720002</v>
      </c>
      <c r="FI403" s="26">
        <v>0</v>
      </c>
      <c r="FJ403" s="26">
        <v>0</v>
      </c>
      <c r="FK403" s="26">
        <v>0</v>
      </c>
      <c r="FL403" s="26">
        <v>0</v>
      </c>
      <c r="FM403" s="26">
        <v>0</v>
      </c>
      <c r="FN403" s="26">
        <v>0</v>
      </c>
      <c r="FO403" s="26">
        <v>0</v>
      </c>
      <c r="FP403" s="26">
        <v>0</v>
      </c>
      <c r="FQ403" s="26">
        <v>0</v>
      </c>
      <c r="FR403" s="26">
        <v>0</v>
      </c>
      <c r="FS403" s="26">
        <v>0</v>
      </c>
      <c r="FT403" s="26">
        <v>0</v>
      </c>
      <c r="FU403" s="26">
        <v>0</v>
      </c>
      <c r="FV403" s="26">
        <v>0</v>
      </c>
      <c r="FW403" s="26">
        <v>0</v>
      </c>
      <c r="FX403" s="26">
        <v>0</v>
      </c>
      <c r="FY403" s="26">
        <v>0</v>
      </c>
      <c r="FZ403" s="26">
        <v>0</v>
      </c>
      <c r="GA403" s="26">
        <v>0</v>
      </c>
      <c r="GB403" s="26">
        <v>0</v>
      </c>
      <c r="GC403" s="26">
        <v>0</v>
      </c>
      <c r="GD403" s="26">
        <v>0</v>
      </c>
      <c r="GE403" s="26">
        <v>0</v>
      </c>
      <c r="GF403" s="26">
        <v>0</v>
      </c>
      <c r="GG403" s="26">
        <v>0</v>
      </c>
      <c r="GH403" s="26">
        <v>0</v>
      </c>
      <c r="GI403" s="26">
        <v>0</v>
      </c>
      <c r="GJ403" s="26">
        <v>0</v>
      </c>
      <c r="GK403" s="26">
        <v>0</v>
      </c>
      <c r="GL403" s="26">
        <v>0</v>
      </c>
      <c r="GM403" s="26">
        <v>0</v>
      </c>
      <c r="GN403" s="26">
        <v>0</v>
      </c>
      <c r="GO403" s="26">
        <v>0</v>
      </c>
      <c r="GP403" s="26">
        <v>0</v>
      </c>
      <c r="GQ403" s="26">
        <v>0</v>
      </c>
      <c r="GR403" s="26">
        <v>0</v>
      </c>
      <c r="GS403" s="26">
        <v>0</v>
      </c>
      <c r="GT403" s="26">
        <v>0</v>
      </c>
      <c r="GU403" s="26">
        <v>0</v>
      </c>
      <c r="GV403" s="26">
        <v>0</v>
      </c>
      <c r="GW403" s="26">
        <v>0</v>
      </c>
      <c r="GX403" s="26">
        <v>0</v>
      </c>
      <c r="GY403" s="26">
        <v>0</v>
      </c>
      <c r="GZ403" s="26">
        <v>0</v>
      </c>
      <c r="HA403" s="26">
        <v>0</v>
      </c>
      <c r="HB403" s="26">
        <v>0</v>
      </c>
      <c r="HC403" s="26">
        <v>0</v>
      </c>
      <c r="HD403" s="26">
        <v>0</v>
      </c>
      <c r="HE403" s="26">
        <v>0</v>
      </c>
      <c r="HF403" s="26">
        <v>0</v>
      </c>
      <c r="HG403" s="26">
        <v>0</v>
      </c>
      <c r="HH403" s="26">
        <v>0</v>
      </c>
      <c r="HI403" s="26">
        <v>0</v>
      </c>
      <c r="HJ403" s="26">
        <v>0</v>
      </c>
      <c r="HK403" s="26">
        <v>0</v>
      </c>
      <c r="HL403" s="26">
        <v>0</v>
      </c>
      <c r="HM403" s="26">
        <v>0</v>
      </c>
      <c r="HN403" s="26">
        <v>0</v>
      </c>
      <c r="HO403" s="26">
        <v>0</v>
      </c>
      <c r="HP403" s="26">
        <v>0</v>
      </c>
      <c r="HQ403" s="26">
        <v>0</v>
      </c>
      <c r="HR403" s="26">
        <v>0</v>
      </c>
      <c r="HS403" s="26">
        <v>0</v>
      </c>
      <c r="HT403" s="26">
        <v>0</v>
      </c>
    </row>
    <row r="404" spans="2:228" x14ac:dyDescent="0.2">
      <c r="B404" s="27" t="s">
        <v>2919</v>
      </c>
      <c r="C404" s="26">
        <v>11767319.9</v>
      </c>
      <c r="D404" s="26">
        <v>-44533.725599999998</v>
      </c>
      <c r="E404" s="26">
        <v>11767102.5</v>
      </c>
      <c r="F404" s="26">
        <v>0</v>
      </c>
      <c r="G404" s="26">
        <v>0</v>
      </c>
      <c r="H404" s="26">
        <v>0</v>
      </c>
      <c r="I404" s="26">
        <v>0</v>
      </c>
      <c r="J404" s="26">
        <v>0</v>
      </c>
      <c r="K404" s="26">
        <v>0</v>
      </c>
      <c r="L404" s="26">
        <v>0</v>
      </c>
      <c r="M404" s="26">
        <v>0</v>
      </c>
      <c r="N404" s="26">
        <v>0</v>
      </c>
      <c r="O404" s="26">
        <v>0</v>
      </c>
      <c r="P404" s="26">
        <v>0</v>
      </c>
      <c r="Q404" s="26">
        <v>0</v>
      </c>
      <c r="R404" s="26">
        <v>0</v>
      </c>
      <c r="S404" s="26">
        <v>0</v>
      </c>
      <c r="T404" s="26">
        <v>0</v>
      </c>
      <c r="U404" s="26">
        <v>0</v>
      </c>
      <c r="V404" s="26">
        <v>0</v>
      </c>
      <c r="W404" s="26">
        <v>0</v>
      </c>
      <c r="X404" s="26">
        <v>0</v>
      </c>
      <c r="Y404" s="26">
        <v>0</v>
      </c>
      <c r="Z404" s="26">
        <v>0</v>
      </c>
      <c r="AA404" s="26">
        <v>0</v>
      </c>
      <c r="AB404" s="26">
        <v>0</v>
      </c>
      <c r="AC404" s="26">
        <v>0</v>
      </c>
      <c r="AD404" s="26">
        <v>0</v>
      </c>
      <c r="AE404" s="26">
        <v>0</v>
      </c>
      <c r="AF404" s="26">
        <v>0</v>
      </c>
      <c r="AG404" s="26">
        <v>0</v>
      </c>
      <c r="AH404" s="26">
        <v>0</v>
      </c>
      <c r="AI404" s="26">
        <v>0</v>
      </c>
      <c r="AJ404" s="26">
        <v>0</v>
      </c>
      <c r="AK404" s="26">
        <v>0</v>
      </c>
      <c r="AL404" s="26">
        <v>0</v>
      </c>
      <c r="AM404" s="26">
        <v>0</v>
      </c>
      <c r="AN404" s="26">
        <v>79.683118399999998</v>
      </c>
      <c r="AO404" s="26">
        <v>137.709157</v>
      </c>
      <c r="AP404" s="26">
        <v>0</v>
      </c>
      <c r="AQ404" s="26">
        <v>0</v>
      </c>
      <c r="AR404" s="26">
        <v>0</v>
      </c>
      <c r="AS404" s="26">
        <v>0</v>
      </c>
      <c r="AT404" s="26">
        <v>0</v>
      </c>
      <c r="AU404" s="26">
        <v>0</v>
      </c>
      <c r="AV404" s="26">
        <v>0</v>
      </c>
      <c r="AW404" s="26">
        <v>0</v>
      </c>
      <c r="AX404" s="26">
        <v>0</v>
      </c>
      <c r="AY404" s="26">
        <v>0</v>
      </c>
      <c r="AZ404" s="26">
        <v>0</v>
      </c>
      <c r="BA404" s="26">
        <v>0</v>
      </c>
      <c r="BB404" s="26">
        <v>0</v>
      </c>
      <c r="BC404" s="26">
        <v>0</v>
      </c>
      <c r="BD404" s="26">
        <v>0</v>
      </c>
      <c r="BE404" s="26">
        <v>0</v>
      </c>
      <c r="BF404" s="26">
        <v>0</v>
      </c>
      <c r="BG404" s="26">
        <v>0</v>
      </c>
      <c r="BH404" s="26">
        <v>0</v>
      </c>
      <c r="BI404" s="26">
        <v>0</v>
      </c>
      <c r="BJ404" s="26">
        <v>0</v>
      </c>
      <c r="BK404" s="26">
        <v>0</v>
      </c>
      <c r="BL404" s="26">
        <v>0</v>
      </c>
      <c r="BM404" s="26">
        <v>0</v>
      </c>
      <c r="BN404" s="26">
        <v>0</v>
      </c>
      <c r="BO404" s="26">
        <v>653180.85</v>
      </c>
      <c r="BP404" s="26">
        <v>11767319.9</v>
      </c>
      <c r="BQ404" s="26">
        <v>197916.84899999999</v>
      </c>
      <c r="BR404" s="26">
        <v>28.126799099999971</v>
      </c>
      <c r="BS404" s="26">
        <v>5.0999999999999996</v>
      </c>
      <c r="BT404" s="26">
        <v>0</v>
      </c>
      <c r="BU404" s="26">
        <v>1</v>
      </c>
      <c r="BV404" s="26">
        <v>0</v>
      </c>
      <c r="BW404" s="26">
        <v>-68179.777799999996</v>
      </c>
      <c r="BX404" s="26">
        <v>-3784.52576</v>
      </c>
      <c r="BY404" s="26">
        <v>-44533.725599999998</v>
      </c>
      <c r="BZ404" s="26">
        <v>-38.679050400000001</v>
      </c>
      <c r="CA404" s="26">
        <v>-2.1469982399999998</v>
      </c>
      <c r="CB404" s="26">
        <v>5.5004651799999998E-2</v>
      </c>
      <c r="CC404" s="26">
        <v>0.99093127400000003</v>
      </c>
      <c r="CD404" s="26">
        <v>18.015408600000001</v>
      </c>
      <c r="CE404" s="26">
        <v>196502.95300000001</v>
      </c>
      <c r="CF404" s="26">
        <v>0</v>
      </c>
      <c r="CG404" s="26">
        <v>0</v>
      </c>
      <c r="CH404" s="26">
        <v>0</v>
      </c>
      <c r="CI404" s="26">
        <v>0</v>
      </c>
      <c r="CJ404" s="26">
        <v>0</v>
      </c>
      <c r="CK404" s="26">
        <v>0</v>
      </c>
      <c r="CL404" s="26">
        <v>0</v>
      </c>
      <c r="CM404" s="26">
        <v>0</v>
      </c>
      <c r="CN404" s="26">
        <v>0</v>
      </c>
      <c r="CO404" s="26">
        <v>0</v>
      </c>
      <c r="CP404" s="26">
        <v>0</v>
      </c>
      <c r="CQ404" s="26">
        <v>0</v>
      </c>
      <c r="CR404" s="26">
        <v>0</v>
      </c>
      <c r="CS404" s="26">
        <v>0</v>
      </c>
      <c r="CT404" s="26">
        <v>0</v>
      </c>
      <c r="CU404" s="26">
        <v>0</v>
      </c>
      <c r="CV404" s="26">
        <v>0</v>
      </c>
      <c r="CW404" s="26">
        <v>0</v>
      </c>
      <c r="CX404" s="26">
        <v>0</v>
      </c>
      <c r="CY404" s="26">
        <v>0</v>
      </c>
      <c r="CZ404" s="26">
        <v>0</v>
      </c>
      <c r="DA404" s="26">
        <v>0</v>
      </c>
      <c r="DB404" s="26">
        <v>0</v>
      </c>
      <c r="DC404" s="26">
        <v>0</v>
      </c>
      <c r="DD404" s="26">
        <v>0</v>
      </c>
      <c r="DE404" s="26">
        <v>0</v>
      </c>
      <c r="DF404" s="26">
        <v>0</v>
      </c>
      <c r="DG404" s="26">
        <v>0</v>
      </c>
      <c r="DH404" s="26">
        <v>0</v>
      </c>
      <c r="DI404" s="26">
        <v>0</v>
      </c>
      <c r="DJ404" s="26">
        <v>0</v>
      </c>
      <c r="DK404" s="26">
        <v>0</v>
      </c>
      <c r="DL404" s="26">
        <v>0</v>
      </c>
      <c r="DM404" s="26">
        <v>0</v>
      </c>
      <c r="DN404" s="26">
        <v>0</v>
      </c>
      <c r="DO404" s="26">
        <v>0</v>
      </c>
      <c r="DP404" s="26">
        <v>0</v>
      </c>
      <c r="DQ404" s="26">
        <v>0</v>
      </c>
      <c r="DR404" s="26">
        <v>0</v>
      </c>
      <c r="DS404" s="26">
        <v>0</v>
      </c>
      <c r="DT404" s="26">
        <v>0</v>
      </c>
      <c r="DU404" s="26">
        <v>0</v>
      </c>
      <c r="DV404" s="26">
        <v>0</v>
      </c>
      <c r="DW404" s="26">
        <v>0</v>
      </c>
      <c r="DX404" s="26">
        <v>0</v>
      </c>
      <c r="DY404" s="26">
        <v>0</v>
      </c>
      <c r="DZ404" s="26">
        <v>0</v>
      </c>
      <c r="EA404" s="26">
        <v>0</v>
      </c>
      <c r="EB404" s="26">
        <v>0</v>
      </c>
      <c r="EC404" s="26">
        <v>0</v>
      </c>
      <c r="ED404" s="26">
        <v>0</v>
      </c>
      <c r="EE404" s="26">
        <v>0</v>
      </c>
      <c r="EF404" s="26">
        <v>0</v>
      </c>
      <c r="EG404" s="26">
        <v>0</v>
      </c>
      <c r="EH404" s="26">
        <v>0</v>
      </c>
      <c r="EI404" s="26">
        <v>0</v>
      </c>
      <c r="EJ404" s="26">
        <v>0</v>
      </c>
      <c r="EK404" s="26">
        <v>0</v>
      </c>
      <c r="EL404" s="26">
        <v>0</v>
      </c>
      <c r="EM404" s="26">
        <v>0</v>
      </c>
      <c r="EN404" s="26">
        <v>0</v>
      </c>
      <c r="EO404" s="26">
        <v>0</v>
      </c>
      <c r="EP404" s="26">
        <v>0</v>
      </c>
      <c r="EQ404" s="26">
        <v>0</v>
      </c>
      <c r="ER404" s="26">
        <v>0</v>
      </c>
      <c r="ES404" s="26">
        <v>0</v>
      </c>
      <c r="ET404" s="26">
        <v>0</v>
      </c>
      <c r="EU404" s="26">
        <v>0</v>
      </c>
      <c r="EV404" s="26">
        <v>0</v>
      </c>
      <c r="EW404" s="26">
        <v>0</v>
      </c>
      <c r="EX404" s="26">
        <v>0</v>
      </c>
      <c r="EY404" s="26">
        <v>0</v>
      </c>
      <c r="EZ404" s="26">
        <v>0</v>
      </c>
      <c r="FA404" s="26">
        <v>0</v>
      </c>
      <c r="FB404" s="26">
        <v>0</v>
      </c>
      <c r="FC404" s="26">
        <v>0</v>
      </c>
      <c r="FD404" s="26">
        <v>0</v>
      </c>
      <c r="FE404" s="26">
        <v>0</v>
      </c>
      <c r="FF404" s="26">
        <v>0</v>
      </c>
      <c r="FG404" s="26">
        <v>0</v>
      </c>
      <c r="FH404" s="26">
        <v>-51831962492.800003</v>
      </c>
      <c r="FI404" s="26">
        <v>0</v>
      </c>
      <c r="FJ404" s="26">
        <v>0</v>
      </c>
      <c r="FK404" s="26">
        <v>0</v>
      </c>
      <c r="FL404" s="26">
        <v>0</v>
      </c>
      <c r="FM404" s="26">
        <v>0</v>
      </c>
      <c r="FN404" s="26">
        <v>0</v>
      </c>
      <c r="FO404" s="26">
        <v>0</v>
      </c>
      <c r="FP404" s="26">
        <v>0</v>
      </c>
      <c r="FQ404" s="26">
        <v>0</v>
      </c>
      <c r="FR404" s="26">
        <v>0</v>
      </c>
      <c r="FS404" s="26">
        <v>0</v>
      </c>
      <c r="FT404" s="26">
        <v>0</v>
      </c>
      <c r="FU404" s="26">
        <v>0</v>
      </c>
      <c r="FV404" s="26">
        <v>0</v>
      </c>
      <c r="FW404" s="26">
        <v>0</v>
      </c>
      <c r="FX404" s="26">
        <v>0</v>
      </c>
      <c r="FY404" s="26">
        <v>0</v>
      </c>
      <c r="FZ404" s="26">
        <v>0</v>
      </c>
      <c r="GA404" s="26">
        <v>0</v>
      </c>
      <c r="GB404" s="26">
        <v>0</v>
      </c>
      <c r="GC404" s="26">
        <v>0</v>
      </c>
      <c r="GD404" s="26">
        <v>0</v>
      </c>
      <c r="GE404" s="26">
        <v>0</v>
      </c>
      <c r="GF404" s="26">
        <v>0</v>
      </c>
      <c r="GG404" s="26">
        <v>0</v>
      </c>
      <c r="GH404" s="26">
        <v>0</v>
      </c>
      <c r="GI404" s="26">
        <v>0</v>
      </c>
      <c r="GJ404" s="26">
        <v>0</v>
      </c>
      <c r="GK404" s="26">
        <v>0</v>
      </c>
      <c r="GL404" s="26">
        <v>0</v>
      </c>
      <c r="GM404" s="26">
        <v>0</v>
      </c>
      <c r="GN404" s="26">
        <v>0</v>
      </c>
      <c r="GO404" s="26">
        <v>0</v>
      </c>
      <c r="GP404" s="26">
        <v>0</v>
      </c>
      <c r="GQ404" s="26">
        <v>0</v>
      </c>
      <c r="GR404" s="26">
        <v>0</v>
      </c>
      <c r="GS404" s="26">
        <v>0</v>
      </c>
      <c r="GT404" s="26">
        <v>0</v>
      </c>
      <c r="GU404" s="26">
        <v>0</v>
      </c>
      <c r="GV404" s="26">
        <v>0</v>
      </c>
      <c r="GW404" s="26">
        <v>0</v>
      </c>
      <c r="GX404" s="26">
        <v>0</v>
      </c>
      <c r="GY404" s="26">
        <v>0</v>
      </c>
      <c r="GZ404" s="26">
        <v>0</v>
      </c>
      <c r="HA404" s="26">
        <v>0</v>
      </c>
      <c r="HB404" s="26">
        <v>0</v>
      </c>
      <c r="HC404" s="26">
        <v>0</v>
      </c>
      <c r="HD404" s="26">
        <v>0</v>
      </c>
      <c r="HE404" s="26">
        <v>0</v>
      </c>
      <c r="HF404" s="26">
        <v>0</v>
      </c>
      <c r="HG404" s="26">
        <v>0</v>
      </c>
      <c r="HH404" s="26">
        <v>0</v>
      </c>
      <c r="HI404" s="26">
        <v>0</v>
      </c>
      <c r="HJ404" s="26">
        <v>0</v>
      </c>
      <c r="HK404" s="26">
        <v>0</v>
      </c>
      <c r="HL404" s="26">
        <v>0</v>
      </c>
      <c r="HM404" s="26">
        <v>0</v>
      </c>
      <c r="HN404" s="26">
        <v>0</v>
      </c>
      <c r="HO404" s="26">
        <v>0</v>
      </c>
      <c r="HP404" s="26">
        <v>0</v>
      </c>
      <c r="HQ404" s="26">
        <v>0</v>
      </c>
      <c r="HR404" s="26">
        <v>0</v>
      </c>
      <c r="HS404" s="26">
        <v>0</v>
      </c>
      <c r="HT404" s="26">
        <v>0</v>
      </c>
    </row>
    <row r="405" spans="2:228" x14ac:dyDescent="0.2">
      <c r="B405" s="27" t="s">
        <v>1470</v>
      </c>
      <c r="C405" s="26">
        <v>11922358.800000001</v>
      </c>
      <c r="D405" s="26">
        <v>-45119.786999999997</v>
      </c>
      <c r="E405" s="26">
        <v>11922141.4</v>
      </c>
      <c r="F405" s="26">
        <v>0</v>
      </c>
      <c r="G405" s="26">
        <v>0</v>
      </c>
      <c r="H405" s="26">
        <v>0</v>
      </c>
      <c r="I405" s="26">
        <v>0</v>
      </c>
      <c r="J405" s="26">
        <v>0</v>
      </c>
      <c r="K405" s="26">
        <v>0</v>
      </c>
      <c r="L405" s="26">
        <v>0</v>
      </c>
      <c r="M405" s="26">
        <v>0</v>
      </c>
      <c r="N405" s="26">
        <v>0</v>
      </c>
      <c r="O405" s="26">
        <v>0</v>
      </c>
      <c r="P405" s="26">
        <v>0</v>
      </c>
      <c r="Q405" s="26">
        <v>0</v>
      </c>
      <c r="R405" s="26">
        <v>0</v>
      </c>
      <c r="S405" s="26">
        <v>0</v>
      </c>
      <c r="T405" s="26">
        <v>0</v>
      </c>
      <c r="U405" s="26">
        <v>0</v>
      </c>
      <c r="V405" s="26">
        <v>0</v>
      </c>
      <c r="W405" s="26">
        <v>0</v>
      </c>
      <c r="X405" s="26">
        <v>0</v>
      </c>
      <c r="Y405" s="26">
        <v>0</v>
      </c>
      <c r="Z405" s="26">
        <v>0</v>
      </c>
      <c r="AA405" s="26">
        <v>0</v>
      </c>
      <c r="AB405" s="26">
        <v>0</v>
      </c>
      <c r="AC405" s="26">
        <v>0</v>
      </c>
      <c r="AD405" s="26">
        <v>0</v>
      </c>
      <c r="AE405" s="26">
        <v>0</v>
      </c>
      <c r="AF405" s="26">
        <v>0</v>
      </c>
      <c r="AG405" s="26">
        <v>0</v>
      </c>
      <c r="AH405" s="26">
        <v>0</v>
      </c>
      <c r="AI405" s="26">
        <v>0</v>
      </c>
      <c r="AJ405" s="26">
        <v>0</v>
      </c>
      <c r="AK405" s="26">
        <v>0</v>
      </c>
      <c r="AL405" s="26">
        <v>0</v>
      </c>
      <c r="AM405" s="26">
        <v>0</v>
      </c>
      <c r="AN405" s="26">
        <v>79.683118399999998</v>
      </c>
      <c r="AO405" s="26">
        <v>137.709157</v>
      </c>
      <c r="AP405" s="26">
        <v>0</v>
      </c>
      <c r="AQ405" s="26">
        <v>0</v>
      </c>
      <c r="AR405" s="26">
        <v>0</v>
      </c>
      <c r="AS405" s="26">
        <v>0</v>
      </c>
      <c r="AT405" s="26">
        <v>0</v>
      </c>
      <c r="AU405" s="26">
        <v>0</v>
      </c>
      <c r="AV405" s="26">
        <v>0</v>
      </c>
      <c r="AW405" s="26">
        <v>0</v>
      </c>
      <c r="AX405" s="26">
        <v>0</v>
      </c>
      <c r="AY405" s="26">
        <v>0</v>
      </c>
      <c r="AZ405" s="26">
        <v>0</v>
      </c>
      <c r="BA405" s="26">
        <v>0</v>
      </c>
      <c r="BB405" s="26">
        <v>0</v>
      </c>
      <c r="BC405" s="26">
        <v>0</v>
      </c>
      <c r="BD405" s="26">
        <v>0</v>
      </c>
      <c r="BE405" s="26">
        <v>0</v>
      </c>
      <c r="BF405" s="26">
        <v>0</v>
      </c>
      <c r="BG405" s="26">
        <v>0</v>
      </c>
      <c r="BH405" s="26">
        <v>0</v>
      </c>
      <c r="BI405" s="26">
        <v>0</v>
      </c>
      <c r="BJ405" s="26">
        <v>0</v>
      </c>
      <c r="BK405" s="26">
        <v>0</v>
      </c>
      <c r="BL405" s="26">
        <v>0</v>
      </c>
      <c r="BM405" s="26">
        <v>0</v>
      </c>
      <c r="BN405" s="26">
        <v>0</v>
      </c>
      <c r="BO405" s="26">
        <v>661786.81599999999</v>
      </c>
      <c r="BP405" s="26">
        <v>11922358.800000001</v>
      </c>
      <c r="BQ405" s="26">
        <v>200536.935</v>
      </c>
      <c r="BR405" s="26">
        <v>28.190450100000021</v>
      </c>
      <c r="BS405" s="26">
        <v>5</v>
      </c>
      <c r="BT405" s="26">
        <v>0</v>
      </c>
      <c r="BU405" s="26">
        <v>1</v>
      </c>
      <c r="BV405" s="26">
        <v>0</v>
      </c>
      <c r="BW405" s="26">
        <v>-68178.732999999993</v>
      </c>
      <c r="BX405" s="26">
        <v>-3784.46812</v>
      </c>
      <c r="BY405" s="26">
        <v>-45119.786999999997</v>
      </c>
      <c r="BZ405" s="26">
        <v>-38.6755882</v>
      </c>
      <c r="CA405" s="26">
        <v>-2.14680625</v>
      </c>
      <c r="CB405" s="26">
        <v>5.5001240200000003E-2</v>
      </c>
      <c r="CC405" s="26">
        <v>0.99086972200000001</v>
      </c>
      <c r="CD405" s="26">
        <v>18.015406899999999</v>
      </c>
      <c r="CE405" s="26">
        <v>199091.91399999999</v>
      </c>
      <c r="CF405" s="26">
        <v>0</v>
      </c>
      <c r="CG405" s="26">
        <v>0</v>
      </c>
      <c r="CH405" s="26">
        <v>0</v>
      </c>
      <c r="CI405" s="26">
        <v>0</v>
      </c>
      <c r="CJ405" s="26">
        <v>0</v>
      </c>
      <c r="CK405" s="26">
        <v>0</v>
      </c>
      <c r="CL405" s="26">
        <v>0</v>
      </c>
      <c r="CM405" s="26">
        <v>0</v>
      </c>
      <c r="CN405" s="26">
        <v>0</v>
      </c>
      <c r="CO405" s="26">
        <v>0</v>
      </c>
      <c r="CP405" s="26">
        <v>0</v>
      </c>
      <c r="CQ405" s="26">
        <v>0</v>
      </c>
      <c r="CR405" s="26">
        <v>0</v>
      </c>
      <c r="CS405" s="26">
        <v>0</v>
      </c>
      <c r="CT405" s="26">
        <v>0</v>
      </c>
      <c r="CU405" s="26">
        <v>0</v>
      </c>
      <c r="CV405" s="26">
        <v>0</v>
      </c>
      <c r="CW405" s="26">
        <v>0</v>
      </c>
      <c r="CX405" s="26">
        <v>0</v>
      </c>
      <c r="CY405" s="26">
        <v>0</v>
      </c>
      <c r="CZ405" s="26">
        <v>0</v>
      </c>
      <c r="DA405" s="26">
        <v>0</v>
      </c>
      <c r="DB405" s="26">
        <v>0</v>
      </c>
      <c r="DC405" s="26">
        <v>0</v>
      </c>
      <c r="DD405" s="26">
        <v>0</v>
      </c>
      <c r="DE405" s="26">
        <v>0</v>
      </c>
      <c r="DF405" s="26">
        <v>0</v>
      </c>
      <c r="DG405" s="26">
        <v>0</v>
      </c>
      <c r="DH405" s="26">
        <v>0</v>
      </c>
      <c r="DI405" s="26">
        <v>0</v>
      </c>
      <c r="DJ405" s="26">
        <v>0</v>
      </c>
      <c r="DK405" s="26">
        <v>0</v>
      </c>
      <c r="DL405" s="26">
        <v>0</v>
      </c>
      <c r="DM405" s="26">
        <v>0</v>
      </c>
      <c r="DN405" s="26">
        <v>0</v>
      </c>
      <c r="DO405" s="26">
        <v>0</v>
      </c>
      <c r="DP405" s="26">
        <v>0</v>
      </c>
      <c r="DQ405" s="26">
        <v>0</v>
      </c>
      <c r="DR405" s="26">
        <v>0</v>
      </c>
      <c r="DS405" s="26">
        <v>0</v>
      </c>
      <c r="DT405" s="26">
        <v>0</v>
      </c>
      <c r="DU405" s="26">
        <v>0</v>
      </c>
      <c r="DV405" s="26">
        <v>0</v>
      </c>
      <c r="DW405" s="26">
        <v>0</v>
      </c>
      <c r="DX405" s="26">
        <v>0</v>
      </c>
      <c r="DY405" s="26">
        <v>0</v>
      </c>
      <c r="DZ405" s="26">
        <v>0</v>
      </c>
      <c r="EA405" s="26">
        <v>0</v>
      </c>
      <c r="EB405" s="26">
        <v>0</v>
      </c>
      <c r="EC405" s="26">
        <v>0</v>
      </c>
      <c r="ED405" s="26">
        <v>0</v>
      </c>
      <c r="EE405" s="26">
        <v>0</v>
      </c>
      <c r="EF405" s="26">
        <v>0</v>
      </c>
      <c r="EG405" s="26">
        <v>0</v>
      </c>
      <c r="EH405" s="26">
        <v>0</v>
      </c>
      <c r="EI405" s="26">
        <v>0</v>
      </c>
      <c r="EJ405" s="26">
        <v>0</v>
      </c>
      <c r="EK405" s="26">
        <v>0</v>
      </c>
      <c r="EL405" s="26">
        <v>0</v>
      </c>
      <c r="EM405" s="26">
        <v>0</v>
      </c>
      <c r="EN405" s="26">
        <v>0</v>
      </c>
      <c r="EO405" s="26">
        <v>0</v>
      </c>
      <c r="EP405" s="26">
        <v>0</v>
      </c>
      <c r="EQ405" s="26">
        <v>0</v>
      </c>
      <c r="ER405" s="26">
        <v>0</v>
      </c>
      <c r="ES405" s="26">
        <v>0</v>
      </c>
      <c r="ET405" s="26">
        <v>5</v>
      </c>
      <c r="EU405" s="26">
        <v>0</v>
      </c>
      <c r="EV405" s="26">
        <v>0</v>
      </c>
      <c r="EW405" s="26">
        <v>0</v>
      </c>
      <c r="EX405" s="26">
        <v>0</v>
      </c>
      <c r="EY405" s="26">
        <v>0</v>
      </c>
      <c r="EZ405" s="26">
        <v>0</v>
      </c>
      <c r="FA405" s="26">
        <v>0</v>
      </c>
      <c r="FB405" s="26">
        <v>0</v>
      </c>
      <c r="FC405" s="26">
        <v>0</v>
      </c>
      <c r="FD405" s="26">
        <v>0</v>
      </c>
      <c r="FE405" s="26">
        <v>0</v>
      </c>
      <c r="FF405" s="26">
        <v>0</v>
      </c>
      <c r="FG405" s="26">
        <v>0</v>
      </c>
      <c r="FH405" s="26">
        <v>-52514880512.199997</v>
      </c>
      <c r="FI405" s="26">
        <v>0</v>
      </c>
      <c r="FJ405" s="26">
        <v>0</v>
      </c>
      <c r="FK405" s="26">
        <v>0</v>
      </c>
      <c r="FL405" s="26">
        <v>0</v>
      </c>
      <c r="FM405" s="26">
        <v>0</v>
      </c>
      <c r="FN405" s="26">
        <v>0</v>
      </c>
      <c r="FO405" s="26">
        <v>0</v>
      </c>
      <c r="FP405" s="26">
        <v>0</v>
      </c>
      <c r="FQ405" s="26">
        <v>0</v>
      </c>
      <c r="FR405" s="26">
        <v>0</v>
      </c>
      <c r="FS405" s="26">
        <v>0</v>
      </c>
      <c r="FT405" s="26">
        <v>0</v>
      </c>
      <c r="FU405" s="26">
        <v>0</v>
      </c>
      <c r="FV405" s="26">
        <v>0</v>
      </c>
      <c r="FW405" s="26">
        <v>0</v>
      </c>
      <c r="FX405" s="26">
        <v>0</v>
      </c>
      <c r="FY405" s="26">
        <v>0</v>
      </c>
      <c r="FZ405" s="26">
        <v>0</v>
      </c>
      <c r="GA405" s="26">
        <v>0</v>
      </c>
      <c r="GB405" s="26">
        <v>0</v>
      </c>
      <c r="GC405" s="26">
        <v>0</v>
      </c>
      <c r="GD405" s="26">
        <v>0</v>
      </c>
      <c r="GE405" s="26">
        <v>0</v>
      </c>
      <c r="GF405" s="26">
        <v>0</v>
      </c>
      <c r="GG405" s="26">
        <v>0</v>
      </c>
      <c r="GH405" s="26">
        <v>0</v>
      </c>
      <c r="GI405" s="26">
        <v>0</v>
      </c>
      <c r="GJ405" s="26">
        <v>0</v>
      </c>
      <c r="GK405" s="26">
        <v>0</v>
      </c>
      <c r="GL405" s="26">
        <v>0</v>
      </c>
      <c r="GM405" s="26">
        <v>0</v>
      </c>
      <c r="GN405" s="26">
        <v>0</v>
      </c>
      <c r="GO405" s="26">
        <v>0</v>
      </c>
      <c r="GP405" s="26">
        <v>0</v>
      </c>
      <c r="GQ405" s="26">
        <v>0</v>
      </c>
      <c r="GR405" s="26">
        <v>0</v>
      </c>
      <c r="GS405" s="26">
        <v>0</v>
      </c>
      <c r="GT405" s="26">
        <v>0</v>
      </c>
      <c r="GU405" s="26">
        <v>0</v>
      </c>
      <c r="GV405" s="26">
        <v>0</v>
      </c>
      <c r="GW405" s="26">
        <v>0</v>
      </c>
      <c r="GX405" s="26">
        <v>0</v>
      </c>
      <c r="GY405" s="26">
        <v>0</v>
      </c>
      <c r="GZ405" s="26">
        <v>0</v>
      </c>
      <c r="HA405" s="26">
        <v>0</v>
      </c>
      <c r="HB405" s="26">
        <v>0</v>
      </c>
      <c r="HC405" s="26">
        <v>0</v>
      </c>
      <c r="HD405" s="26">
        <v>0</v>
      </c>
      <c r="HE405" s="26">
        <v>0</v>
      </c>
      <c r="HF405" s="26">
        <v>0</v>
      </c>
      <c r="HG405" s="26">
        <v>0</v>
      </c>
      <c r="HH405" s="26">
        <v>0</v>
      </c>
      <c r="HI405" s="26">
        <v>0</v>
      </c>
      <c r="HJ405" s="26">
        <v>0</v>
      </c>
      <c r="HK405" s="26">
        <v>0</v>
      </c>
      <c r="HL405" s="26">
        <v>0</v>
      </c>
      <c r="HM405" s="26">
        <v>0</v>
      </c>
      <c r="HN405" s="26">
        <v>0</v>
      </c>
      <c r="HO405" s="26">
        <v>0</v>
      </c>
      <c r="HP405" s="26">
        <v>0</v>
      </c>
      <c r="HQ405" s="26">
        <v>0</v>
      </c>
      <c r="HR405" s="26">
        <v>0</v>
      </c>
      <c r="HS405" s="26">
        <v>0</v>
      </c>
      <c r="HT405" s="26">
        <v>0</v>
      </c>
    </row>
    <row r="406" spans="2:228" x14ac:dyDescent="0.2">
      <c r="B406" s="27" t="s">
        <v>1474</v>
      </c>
      <c r="C406" s="26">
        <v>155038.88399999999</v>
      </c>
      <c r="D406" s="26">
        <v>-586.06135900000004</v>
      </c>
      <c r="E406" s="26">
        <v>155038.88399999999</v>
      </c>
      <c r="F406" s="26">
        <v>0</v>
      </c>
      <c r="G406" s="26">
        <v>0</v>
      </c>
      <c r="H406" s="26">
        <v>0</v>
      </c>
      <c r="I406" s="26">
        <v>0</v>
      </c>
      <c r="J406" s="26">
        <v>0</v>
      </c>
      <c r="K406" s="26">
        <v>0</v>
      </c>
      <c r="L406" s="26">
        <v>0</v>
      </c>
      <c r="M406" s="26">
        <v>0</v>
      </c>
      <c r="N406" s="26">
        <v>0</v>
      </c>
      <c r="O406" s="26">
        <v>0</v>
      </c>
      <c r="P406" s="26">
        <v>0</v>
      </c>
      <c r="Q406" s="26">
        <v>0</v>
      </c>
      <c r="R406" s="26">
        <v>0</v>
      </c>
      <c r="S406" s="26">
        <v>0</v>
      </c>
      <c r="T406" s="26">
        <v>0</v>
      </c>
      <c r="U406" s="26">
        <v>0</v>
      </c>
      <c r="V406" s="26">
        <v>0</v>
      </c>
      <c r="W406" s="26">
        <v>0</v>
      </c>
      <c r="X406" s="26">
        <v>0</v>
      </c>
      <c r="Y406" s="26">
        <v>0</v>
      </c>
      <c r="Z406" s="26">
        <v>0</v>
      </c>
      <c r="AA406" s="26">
        <v>0</v>
      </c>
      <c r="AB406" s="26">
        <v>0</v>
      </c>
      <c r="AC406" s="26">
        <v>0</v>
      </c>
      <c r="AD406" s="26">
        <v>0</v>
      </c>
      <c r="AE406" s="26">
        <v>0</v>
      </c>
      <c r="AF406" s="26">
        <v>0</v>
      </c>
      <c r="AG406" s="26">
        <v>0</v>
      </c>
      <c r="AH406" s="26">
        <v>0</v>
      </c>
      <c r="AI406" s="26">
        <v>0</v>
      </c>
      <c r="AJ406" s="26">
        <v>0</v>
      </c>
      <c r="AK406" s="26">
        <v>0</v>
      </c>
      <c r="AL406" s="26">
        <v>0</v>
      </c>
      <c r="AM406" s="26">
        <v>0</v>
      </c>
      <c r="AN406" s="26">
        <v>0</v>
      </c>
      <c r="AO406" s="26">
        <v>0</v>
      </c>
      <c r="AP406" s="26">
        <v>0</v>
      </c>
      <c r="AQ406" s="26">
        <v>0</v>
      </c>
      <c r="AR406" s="26">
        <v>0</v>
      </c>
      <c r="AS406" s="26">
        <v>0</v>
      </c>
      <c r="AT406" s="26">
        <v>0</v>
      </c>
      <c r="AU406" s="26">
        <v>0</v>
      </c>
      <c r="AV406" s="26">
        <v>0</v>
      </c>
      <c r="AW406" s="26">
        <v>0</v>
      </c>
      <c r="AX406" s="26">
        <v>0</v>
      </c>
      <c r="AY406" s="26">
        <v>0</v>
      </c>
      <c r="AZ406" s="26">
        <v>0</v>
      </c>
      <c r="BA406" s="26">
        <v>0</v>
      </c>
      <c r="BB406" s="26">
        <v>0</v>
      </c>
      <c r="BC406" s="26">
        <v>0</v>
      </c>
      <c r="BD406" s="26">
        <v>0</v>
      </c>
      <c r="BE406" s="26">
        <v>0</v>
      </c>
      <c r="BF406" s="26">
        <v>0</v>
      </c>
      <c r="BG406" s="26">
        <v>0</v>
      </c>
      <c r="BH406" s="26">
        <v>0</v>
      </c>
      <c r="BI406" s="26">
        <v>0</v>
      </c>
      <c r="BJ406" s="26">
        <v>0</v>
      </c>
      <c r="BK406" s="26">
        <v>0</v>
      </c>
      <c r="BL406" s="26">
        <v>0</v>
      </c>
      <c r="BM406" s="26">
        <v>0</v>
      </c>
      <c r="BN406" s="26">
        <v>0</v>
      </c>
      <c r="BO406" s="26">
        <v>8605.9657999999999</v>
      </c>
      <c r="BP406" s="26">
        <v>155038.88399999999</v>
      </c>
      <c r="BQ406" s="26">
        <v>2620.1222400000001</v>
      </c>
      <c r="BR406" s="26">
        <v>33</v>
      </c>
      <c r="BS406" s="26">
        <v>5</v>
      </c>
      <c r="BT406" s="26">
        <v>0</v>
      </c>
      <c r="BU406" s="26">
        <v>1</v>
      </c>
      <c r="BV406" s="26">
        <v>0</v>
      </c>
      <c r="BW406" s="26">
        <v>-68099.428700000004</v>
      </c>
      <c r="BX406" s="26">
        <v>-3780.0927200000001</v>
      </c>
      <c r="BY406" s="26">
        <v>-586.06135900000004</v>
      </c>
      <c r="BZ406" s="26">
        <v>-38.4147356</v>
      </c>
      <c r="CA406" s="26">
        <v>-2.1323418599999999</v>
      </c>
      <c r="CB406" s="26">
        <v>5.4742774600000002E-2</v>
      </c>
      <c r="CC406" s="26">
        <v>0.986206413</v>
      </c>
      <c r="CD406" s="26">
        <v>18.015280000000001</v>
      </c>
      <c r="CE406" s="26">
        <v>2588.96135</v>
      </c>
      <c r="CF406" s="26">
        <v>0</v>
      </c>
      <c r="CG406" s="26">
        <v>0</v>
      </c>
      <c r="CH406" s="26">
        <v>0</v>
      </c>
      <c r="CI406" s="26">
        <v>0</v>
      </c>
      <c r="CJ406" s="26">
        <v>0</v>
      </c>
      <c r="CK406" s="26">
        <v>0</v>
      </c>
      <c r="CL406" s="26">
        <v>0</v>
      </c>
      <c r="CM406" s="26">
        <v>0</v>
      </c>
      <c r="CN406" s="26">
        <v>0</v>
      </c>
      <c r="CO406" s="26">
        <v>0</v>
      </c>
      <c r="CP406" s="26">
        <v>0</v>
      </c>
      <c r="CQ406" s="26">
        <v>0</v>
      </c>
      <c r="CR406" s="26">
        <v>0</v>
      </c>
      <c r="CS406" s="26">
        <v>0</v>
      </c>
      <c r="CT406" s="26">
        <v>0</v>
      </c>
      <c r="CU406" s="26">
        <v>0</v>
      </c>
      <c r="CV406" s="26">
        <v>0</v>
      </c>
      <c r="CW406" s="26">
        <v>0</v>
      </c>
      <c r="CX406" s="26">
        <v>0</v>
      </c>
      <c r="CY406" s="26">
        <v>0</v>
      </c>
      <c r="CZ406" s="26">
        <v>0</v>
      </c>
      <c r="DA406" s="26">
        <v>0</v>
      </c>
      <c r="DB406" s="26">
        <v>0</v>
      </c>
      <c r="DC406" s="26">
        <v>0</v>
      </c>
      <c r="DD406" s="26">
        <v>0</v>
      </c>
      <c r="DE406" s="26">
        <v>0</v>
      </c>
      <c r="DF406" s="26">
        <v>0</v>
      </c>
      <c r="DG406" s="26">
        <v>0</v>
      </c>
      <c r="DH406" s="26">
        <v>0</v>
      </c>
      <c r="DI406" s="26">
        <v>0</v>
      </c>
      <c r="DJ406" s="26">
        <v>0</v>
      </c>
      <c r="DK406" s="26">
        <v>0</v>
      </c>
      <c r="DL406" s="26">
        <v>0</v>
      </c>
      <c r="DM406" s="26">
        <v>0</v>
      </c>
      <c r="DN406" s="26">
        <v>0</v>
      </c>
      <c r="DO406" s="26">
        <v>0</v>
      </c>
      <c r="DP406" s="26">
        <v>0</v>
      </c>
      <c r="DQ406" s="26">
        <v>0</v>
      </c>
      <c r="DR406" s="26">
        <v>0</v>
      </c>
      <c r="DS406" s="26">
        <v>0</v>
      </c>
      <c r="DT406" s="26">
        <v>0</v>
      </c>
      <c r="DU406" s="26">
        <v>0</v>
      </c>
      <c r="DV406" s="26">
        <v>0</v>
      </c>
      <c r="DW406" s="26">
        <v>0</v>
      </c>
      <c r="DX406" s="26">
        <v>0</v>
      </c>
      <c r="DY406" s="26">
        <v>0</v>
      </c>
      <c r="DZ406" s="26">
        <v>0</v>
      </c>
      <c r="EA406" s="26">
        <v>0</v>
      </c>
      <c r="EB406" s="26">
        <v>0</v>
      </c>
      <c r="EC406" s="26">
        <v>0</v>
      </c>
      <c r="ED406" s="26">
        <v>0</v>
      </c>
      <c r="EE406" s="26">
        <v>0</v>
      </c>
      <c r="EF406" s="26">
        <v>0</v>
      </c>
      <c r="EG406" s="26">
        <v>0</v>
      </c>
      <c r="EH406" s="26">
        <v>0</v>
      </c>
      <c r="EI406" s="26">
        <v>0</v>
      </c>
      <c r="EJ406" s="26">
        <v>0</v>
      </c>
      <c r="EK406" s="26">
        <v>0</v>
      </c>
      <c r="EL406" s="26">
        <v>0</v>
      </c>
      <c r="EM406" s="26">
        <v>0</v>
      </c>
      <c r="EN406" s="26">
        <v>0</v>
      </c>
      <c r="EO406" s="26">
        <v>0</v>
      </c>
      <c r="EP406" s="26">
        <v>0</v>
      </c>
      <c r="EQ406" s="26">
        <v>0</v>
      </c>
      <c r="ER406" s="26">
        <v>0</v>
      </c>
      <c r="ES406" s="26">
        <v>0</v>
      </c>
      <c r="ET406" s="26">
        <v>5</v>
      </c>
      <c r="EU406" s="26">
        <v>0</v>
      </c>
      <c r="EV406" s="26">
        <v>0</v>
      </c>
      <c r="EW406" s="26">
        <v>0</v>
      </c>
      <c r="EX406" s="26">
        <v>0</v>
      </c>
      <c r="EY406" s="26">
        <v>0</v>
      </c>
      <c r="EZ406" s="26">
        <v>0</v>
      </c>
      <c r="FA406" s="26">
        <v>0</v>
      </c>
      <c r="FB406" s="26">
        <v>0</v>
      </c>
      <c r="FC406" s="26">
        <v>0</v>
      </c>
      <c r="FD406" s="26">
        <v>0</v>
      </c>
      <c r="FE406" s="26">
        <v>0</v>
      </c>
      <c r="FF406" s="26">
        <v>0</v>
      </c>
      <c r="FG406" s="26">
        <v>0</v>
      </c>
      <c r="FH406" s="26">
        <v>-682918003.11800003</v>
      </c>
      <c r="FI406" s="26">
        <v>0</v>
      </c>
      <c r="FJ406" s="26">
        <v>0</v>
      </c>
      <c r="FK406" s="26">
        <v>0</v>
      </c>
      <c r="FL406" s="26">
        <v>0</v>
      </c>
      <c r="FM406" s="26">
        <v>0</v>
      </c>
      <c r="FN406" s="26">
        <v>0</v>
      </c>
      <c r="FO406" s="26">
        <v>0</v>
      </c>
      <c r="FP406" s="26">
        <v>0</v>
      </c>
      <c r="FQ406" s="26">
        <v>0</v>
      </c>
      <c r="FR406" s="26">
        <v>0</v>
      </c>
      <c r="FS406" s="26">
        <v>0</v>
      </c>
      <c r="FT406" s="26">
        <v>0</v>
      </c>
      <c r="FU406" s="26">
        <v>0</v>
      </c>
      <c r="FV406" s="26">
        <v>0</v>
      </c>
      <c r="FW406" s="26">
        <v>0</v>
      </c>
      <c r="FX406" s="26">
        <v>0</v>
      </c>
      <c r="FY406" s="26">
        <v>0</v>
      </c>
      <c r="FZ406" s="26">
        <v>0</v>
      </c>
      <c r="GA406" s="26">
        <v>0</v>
      </c>
      <c r="GB406" s="26">
        <v>0</v>
      </c>
      <c r="GC406" s="26">
        <v>0</v>
      </c>
      <c r="GD406" s="26">
        <v>0</v>
      </c>
      <c r="GE406" s="26">
        <v>0</v>
      </c>
      <c r="GF406" s="26">
        <v>0</v>
      </c>
      <c r="GG406" s="26">
        <v>0</v>
      </c>
      <c r="GH406" s="26">
        <v>0</v>
      </c>
      <c r="GI406" s="26">
        <v>0</v>
      </c>
      <c r="GJ406" s="26">
        <v>0</v>
      </c>
      <c r="GK406" s="26">
        <v>0</v>
      </c>
      <c r="GL406" s="26">
        <v>0</v>
      </c>
      <c r="GM406" s="26">
        <v>0</v>
      </c>
      <c r="GN406" s="26">
        <v>0</v>
      </c>
      <c r="GO406" s="26">
        <v>0</v>
      </c>
      <c r="GP406" s="26">
        <v>0</v>
      </c>
      <c r="GQ406" s="26">
        <v>0</v>
      </c>
      <c r="GR406" s="26">
        <v>0</v>
      </c>
      <c r="GS406" s="26">
        <v>0</v>
      </c>
      <c r="GT406" s="26">
        <v>0</v>
      </c>
      <c r="GU406" s="26">
        <v>0</v>
      </c>
      <c r="GV406" s="26">
        <v>0</v>
      </c>
      <c r="GW406" s="26">
        <v>0</v>
      </c>
      <c r="GX406" s="26">
        <v>0</v>
      </c>
      <c r="GY406" s="26">
        <v>0</v>
      </c>
      <c r="GZ406" s="26">
        <v>0</v>
      </c>
      <c r="HA406" s="26">
        <v>0</v>
      </c>
      <c r="HB406" s="26">
        <v>0</v>
      </c>
      <c r="HC406" s="26">
        <v>0</v>
      </c>
      <c r="HD406" s="26">
        <v>0</v>
      </c>
      <c r="HE406" s="26">
        <v>0</v>
      </c>
      <c r="HF406" s="26">
        <v>0</v>
      </c>
      <c r="HG406" s="26">
        <v>0</v>
      </c>
      <c r="HH406" s="26">
        <v>0</v>
      </c>
      <c r="HI406" s="26">
        <v>0</v>
      </c>
      <c r="HJ406" s="26">
        <v>0</v>
      </c>
      <c r="HK406" s="26">
        <v>0</v>
      </c>
      <c r="HL406" s="26">
        <v>0</v>
      </c>
      <c r="HM406" s="26">
        <v>0</v>
      </c>
      <c r="HN406" s="26">
        <v>0</v>
      </c>
      <c r="HO406" s="26">
        <v>0</v>
      </c>
      <c r="HP406" s="26">
        <v>0</v>
      </c>
      <c r="HQ406" s="26">
        <v>0</v>
      </c>
      <c r="HR406" s="26">
        <v>0</v>
      </c>
      <c r="HS406" s="26">
        <v>0</v>
      </c>
      <c r="HT406" s="26">
        <v>0</v>
      </c>
    </row>
    <row r="407" spans="2:228" x14ac:dyDescent="0.2">
      <c r="B407" s="27" t="s">
        <v>2450</v>
      </c>
      <c r="C407" s="26">
        <v>155038.88399999999</v>
      </c>
      <c r="D407" s="26">
        <v>-586.04291599999999</v>
      </c>
      <c r="E407" s="26">
        <v>155038.88399999999</v>
      </c>
      <c r="F407" s="26">
        <v>0</v>
      </c>
      <c r="G407" s="26">
        <v>0</v>
      </c>
      <c r="H407" s="26">
        <v>0</v>
      </c>
      <c r="I407" s="26">
        <v>0</v>
      </c>
      <c r="J407" s="26">
        <v>0</v>
      </c>
      <c r="K407" s="26">
        <v>0</v>
      </c>
      <c r="L407" s="26">
        <v>0</v>
      </c>
      <c r="M407" s="26">
        <v>0</v>
      </c>
      <c r="N407" s="26">
        <v>0</v>
      </c>
      <c r="O407" s="26">
        <v>0</v>
      </c>
      <c r="P407" s="26">
        <v>0</v>
      </c>
      <c r="Q407" s="26">
        <v>0</v>
      </c>
      <c r="R407" s="26">
        <v>0</v>
      </c>
      <c r="S407" s="26">
        <v>0</v>
      </c>
      <c r="T407" s="26">
        <v>0</v>
      </c>
      <c r="U407" s="26">
        <v>0</v>
      </c>
      <c r="V407" s="26">
        <v>0</v>
      </c>
      <c r="W407" s="26">
        <v>0</v>
      </c>
      <c r="X407" s="26">
        <v>0</v>
      </c>
      <c r="Y407" s="26">
        <v>0</v>
      </c>
      <c r="Z407" s="26">
        <v>0</v>
      </c>
      <c r="AA407" s="26">
        <v>0</v>
      </c>
      <c r="AB407" s="26">
        <v>0</v>
      </c>
      <c r="AC407" s="26">
        <v>0</v>
      </c>
      <c r="AD407" s="26">
        <v>0</v>
      </c>
      <c r="AE407" s="26">
        <v>0</v>
      </c>
      <c r="AF407" s="26">
        <v>0</v>
      </c>
      <c r="AG407" s="26">
        <v>0</v>
      </c>
      <c r="AH407" s="26">
        <v>0</v>
      </c>
      <c r="AI407" s="26">
        <v>0</v>
      </c>
      <c r="AJ407" s="26">
        <v>0</v>
      </c>
      <c r="AK407" s="26">
        <v>0</v>
      </c>
      <c r="AL407" s="26">
        <v>0</v>
      </c>
      <c r="AM407" s="26">
        <v>0</v>
      </c>
      <c r="AN407" s="26">
        <v>0</v>
      </c>
      <c r="AO407" s="26">
        <v>0</v>
      </c>
      <c r="AP407" s="26">
        <v>0</v>
      </c>
      <c r="AQ407" s="26">
        <v>0</v>
      </c>
      <c r="AR407" s="26">
        <v>0</v>
      </c>
      <c r="AS407" s="26">
        <v>0</v>
      </c>
      <c r="AT407" s="26">
        <v>0</v>
      </c>
      <c r="AU407" s="26">
        <v>0</v>
      </c>
      <c r="AV407" s="26">
        <v>0</v>
      </c>
      <c r="AW407" s="26">
        <v>0</v>
      </c>
      <c r="AX407" s="26">
        <v>0</v>
      </c>
      <c r="AY407" s="26">
        <v>0</v>
      </c>
      <c r="AZ407" s="26">
        <v>0</v>
      </c>
      <c r="BA407" s="26">
        <v>0</v>
      </c>
      <c r="BB407" s="26">
        <v>0</v>
      </c>
      <c r="BC407" s="26">
        <v>0</v>
      </c>
      <c r="BD407" s="26">
        <v>0</v>
      </c>
      <c r="BE407" s="26">
        <v>0</v>
      </c>
      <c r="BF407" s="26">
        <v>0</v>
      </c>
      <c r="BG407" s="26">
        <v>0</v>
      </c>
      <c r="BH407" s="26">
        <v>0</v>
      </c>
      <c r="BI407" s="26">
        <v>0</v>
      </c>
      <c r="BJ407" s="26">
        <v>0</v>
      </c>
      <c r="BK407" s="26">
        <v>0</v>
      </c>
      <c r="BL407" s="26">
        <v>0</v>
      </c>
      <c r="BM407" s="26">
        <v>0</v>
      </c>
      <c r="BN407" s="26">
        <v>0</v>
      </c>
      <c r="BO407" s="26">
        <v>8605.9657999999999</v>
      </c>
      <c r="BP407" s="26">
        <v>155038.88399999999</v>
      </c>
      <c r="BQ407" s="26">
        <v>2620.4537</v>
      </c>
      <c r="BR407" s="26">
        <v>33.128185400000007</v>
      </c>
      <c r="BS407" s="26">
        <v>5</v>
      </c>
      <c r="BT407" s="26">
        <v>0</v>
      </c>
      <c r="BU407" s="26">
        <v>1</v>
      </c>
      <c r="BV407" s="26">
        <v>0</v>
      </c>
      <c r="BW407" s="26">
        <v>-68097.285699999993</v>
      </c>
      <c r="BX407" s="26">
        <v>-3779.9737599999999</v>
      </c>
      <c r="BY407" s="26">
        <v>-586.04291599999999</v>
      </c>
      <c r="BZ407" s="26">
        <v>-38.407792600000001</v>
      </c>
      <c r="CA407" s="26">
        <v>-2.1319564600000001</v>
      </c>
      <c r="CB407" s="26">
        <v>5.47358503E-2</v>
      </c>
      <c r="CC407" s="26">
        <v>0.98608166900000005</v>
      </c>
      <c r="CD407" s="26">
        <v>18.015280000000001</v>
      </c>
      <c r="CE407" s="26">
        <v>2588.96135</v>
      </c>
      <c r="CF407" s="26">
        <v>0</v>
      </c>
      <c r="CG407" s="26">
        <v>0</v>
      </c>
      <c r="CH407" s="26">
        <v>0</v>
      </c>
      <c r="CI407" s="26">
        <v>0</v>
      </c>
      <c r="CJ407" s="26">
        <v>0</v>
      </c>
      <c r="CK407" s="26">
        <v>0</v>
      </c>
      <c r="CL407" s="26">
        <v>0</v>
      </c>
      <c r="CM407" s="26">
        <v>0</v>
      </c>
      <c r="CN407" s="26">
        <v>0</v>
      </c>
      <c r="CO407" s="26">
        <v>0</v>
      </c>
      <c r="CP407" s="26">
        <v>0</v>
      </c>
      <c r="CQ407" s="26">
        <v>0</v>
      </c>
      <c r="CR407" s="26">
        <v>0</v>
      </c>
      <c r="CS407" s="26">
        <v>0</v>
      </c>
      <c r="CT407" s="26">
        <v>0</v>
      </c>
      <c r="CU407" s="26">
        <v>0</v>
      </c>
      <c r="CV407" s="26">
        <v>0</v>
      </c>
      <c r="CW407" s="26">
        <v>0</v>
      </c>
      <c r="CX407" s="26">
        <v>0</v>
      </c>
      <c r="CY407" s="26">
        <v>0</v>
      </c>
      <c r="CZ407" s="26">
        <v>0</v>
      </c>
      <c r="DA407" s="26">
        <v>0</v>
      </c>
      <c r="DB407" s="26">
        <v>0</v>
      </c>
      <c r="DC407" s="26">
        <v>0</v>
      </c>
      <c r="DD407" s="26">
        <v>0</v>
      </c>
      <c r="DE407" s="26">
        <v>0</v>
      </c>
      <c r="DF407" s="26">
        <v>0</v>
      </c>
      <c r="DG407" s="26">
        <v>0</v>
      </c>
      <c r="DH407" s="26">
        <v>0</v>
      </c>
      <c r="DI407" s="26">
        <v>0</v>
      </c>
      <c r="DJ407" s="26">
        <v>0</v>
      </c>
      <c r="DK407" s="26">
        <v>0</v>
      </c>
      <c r="DL407" s="26">
        <v>0</v>
      </c>
      <c r="DM407" s="26">
        <v>0</v>
      </c>
      <c r="DN407" s="26">
        <v>0</v>
      </c>
      <c r="DO407" s="26">
        <v>0</v>
      </c>
      <c r="DP407" s="26">
        <v>0</v>
      </c>
      <c r="DQ407" s="26">
        <v>0</v>
      </c>
      <c r="DR407" s="26">
        <v>0</v>
      </c>
      <c r="DS407" s="26">
        <v>0</v>
      </c>
      <c r="DT407" s="26">
        <v>0</v>
      </c>
      <c r="DU407" s="26">
        <v>0</v>
      </c>
      <c r="DV407" s="26">
        <v>0</v>
      </c>
      <c r="DW407" s="26">
        <v>0</v>
      </c>
      <c r="DX407" s="26">
        <v>0</v>
      </c>
      <c r="DY407" s="26">
        <v>0</v>
      </c>
      <c r="DZ407" s="26">
        <v>0</v>
      </c>
      <c r="EA407" s="26">
        <v>0</v>
      </c>
      <c r="EB407" s="26">
        <v>0</v>
      </c>
      <c r="EC407" s="26">
        <v>0</v>
      </c>
      <c r="ED407" s="26">
        <v>0</v>
      </c>
      <c r="EE407" s="26">
        <v>0</v>
      </c>
      <c r="EF407" s="26">
        <v>0</v>
      </c>
      <c r="EG407" s="26">
        <v>0</v>
      </c>
      <c r="EH407" s="26">
        <v>0</v>
      </c>
      <c r="EI407" s="26">
        <v>0</v>
      </c>
      <c r="EJ407" s="26">
        <v>0</v>
      </c>
      <c r="EK407" s="26">
        <v>0</v>
      </c>
      <c r="EL407" s="26">
        <v>0</v>
      </c>
      <c r="EM407" s="26">
        <v>0</v>
      </c>
      <c r="EN407" s="26">
        <v>0</v>
      </c>
      <c r="EO407" s="26">
        <v>0</v>
      </c>
      <c r="EP407" s="26">
        <v>0</v>
      </c>
      <c r="EQ407" s="26">
        <v>0</v>
      </c>
      <c r="ER407" s="26">
        <v>0</v>
      </c>
      <c r="ES407" s="26">
        <v>0</v>
      </c>
      <c r="ET407" s="26">
        <v>5</v>
      </c>
      <c r="EU407" s="26">
        <v>0</v>
      </c>
      <c r="EV407" s="26">
        <v>0</v>
      </c>
      <c r="EW407" s="26">
        <v>0</v>
      </c>
      <c r="EX407" s="26">
        <v>0</v>
      </c>
      <c r="EY407" s="26">
        <v>0</v>
      </c>
      <c r="EZ407" s="26">
        <v>0</v>
      </c>
      <c r="FA407" s="26">
        <v>0</v>
      </c>
      <c r="FB407" s="26">
        <v>0</v>
      </c>
      <c r="FC407" s="26">
        <v>0</v>
      </c>
      <c r="FD407" s="26">
        <v>0</v>
      </c>
      <c r="FE407" s="26">
        <v>0</v>
      </c>
      <c r="FF407" s="26">
        <v>0</v>
      </c>
      <c r="FG407" s="26">
        <v>0</v>
      </c>
      <c r="FH407" s="26">
        <v>-682918003.11800003</v>
      </c>
      <c r="FI407" s="26">
        <v>0</v>
      </c>
      <c r="FJ407" s="26">
        <v>0</v>
      </c>
      <c r="FK407" s="26">
        <v>0</v>
      </c>
      <c r="FL407" s="26">
        <v>0</v>
      </c>
      <c r="FM407" s="26">
        <v>0</v>
      </c>
      <c r="FN407" s="26">
        <v>0</v>
      </c>
      <c r="FO407" s="26">
        <v>0</v>
      </c>
      <c r="FP407" s="26">
        <v>0</v>
      </c>
      <c r="FQ407" s="26">
        <v>0</v>
      </c>
      <c r="FR407" s="26">
        <v>0</v>
      </c>
      <c r="FS407" s="26">
        <v>0</v>
      </c>
      <c r="FT407" s="26">
        <v>0</v>
      </c>
      <c r="FU407" s="26">
        <v>0</v>
      </c>
      <c r="FV407" s="26">
        <v>0</v>
      </c>
      <c r="FW407" s="26">
        <v>0</v>
      </c>
      <c r="FX407" s="26">
        <v>0</v>
      </c>
      <c r="FY407" s="26">
        <v>0</v>
      </c>
      <c r="FZ407" s="26">
        <v>0</v>
      </c>
      <c r="GA407" s="26">
        <v>0</v>
      </c>
      <c r="GB407" s="26">
        <v>0</v>
      </c>
      <c r="GC407" s="26">
        <v>0</v>
      </c>
      <c r="GD407" s="26">
        <v>0</v>
      </c>
      <c r="GE407" s="26">
        <v>0</v>
      </c>
      <c r="GF407" s="26">
        <v>0</v>
      </c>
      <c r="GG407" s="26">
        <v>0</v>
      </c>
      <c r="GH407" s="26">
        <v>0</v>
      </c>
      <c r="GI407" s="26">
        <v>0</v>
      </c>
      <c r="GJ407" s="26">
        <v>0</v>
      </c>
      <c r="GK407" s="26">
        <v>0</v>
      </c>
      <c r="GL407" s="26">
        <v>0</v>
      </c>
      <c r="GM407" s="26">
        <v>0</v>
      </c>
      <c r="GN407" s="26">
        <v>0</v>
      </c>
      <c r="GO407" s="26">
        <v>0</v>
      </c>
      <c r="GP407" s="26">
        <v>0</v>
      </c>
      <c r="GQ407" s="26">
        <v>0</v>
      </c>
      <c r="GR407" s="26">
        <v>0</v>
      </c>
      <c r="GS407" s="26">
        <v>0</v>
      </c>
      <c r="GT407" s="26">
        <v>0</v>
      </c>
      <c r="GU407" s="26">
        <v>0</v>
      </c>
      <c r="GV407" s="26">
        <v>0</v>
      </c>
      <c r="GW407" s="26">
        <v>0</v>
      </c>
      <c r="GX407" s="26">
        <v>0</v>
      </c>
      <c r="GY407" s="26">
        <v>0</v>
      </c>
      <c r="GZ407" s="26">
        <v>0</v>
      </c>
      <c r="HA407" s="26">
        <v>0</v>
      </c>
      <c r="HB407" s="26">
        <v>0</v>
      </c>
      <c r="HC407" s="26">
        <v>0</v>
      </c>
      <c r="HD407" s="26">
        <v>0</v>
      </c>
      <c r="HE407" s="26">
        <v>0</v>
      </c>
      <c r="HF407" s="26">
        <v>0</v>
      </c>
      <c r="HG407" s="26">
        <v>0</v>
      </c>
      <c r="HH407" s="26">
        <v>0</v>
      </c>
      <c r="HI407" s="26">
        <v>0</v>
      </c>
      <c r="HJ407" s="26">
        <v>0</v>
      </c>
      <c r="HK407" s="26">
        <v>0</v>
      </c>
      <c r="HL407" s="26">
        <v>0</v>
      </c>
      <c r="HM407" s="26">
        <v>0</v>
      </c>
      <c r="HN407" s="26">
        <v>0</v>
      </c>
      <c r="HO407" s="26">
        <v>0</v>
      </c>
      <c r="HP407" s="26">
        <v>0</v>
      </c>
      <c r="HQ407" s="26">
        <v>0</v>
      </c>
      <c r="HR407" s="26">
        <v>0</v>
      </c>
      <c r="HS407" s="26">
        <v>0</v>
      </c>
      <c r="HT407" s="26">
        <v>0</v>
      </c>
    </row>
    <row r="408" spans="2:228" x14ac:dyDescent="0.2">
      <c r="B408" s="27" t="s">
        <v>1479</v>
      </c>
      <c r="C408" s="26">
        <v>17676.124199999998</v>
      </c>
      <c r="D408" s="26">
        <v>-66.895747900000003</v>
      </c>
      <c r="E408" s="26">
        <v>17675.797600000002</v>
      </c>
      <c r="F408" s="26">
        <v>0</v>
      </c>
      <c r="G408" s="26">
        <v>0</v>
      </c>
      <c r="H408" s="26">
        <v>0</v>
      </c>
      <c r="I408" s="26">
        <v>0</v>
      </c>
      <c r="J408" s="26">
        <v>0</v>
      </c>
      <c r="K408" s="26">
        <v>0</v>
      </c>
      <c r="L408" s="26">
        <v>0</v>
      </c>
      <c r="M408" s="26">
        <v>0</v>
      </c>
      <c r="N408" s="26">
        <v>0</v>
      </c>
      <c r="O408" s="26">
        <v>0</v>
      </c>
      <c r="P408" s="26">
        <v>0</v>
      </c>
      <c r="Q408" s="26">
        <v>0</v>
      </c>
      <c r="R408" s="26">
        <v>0</v>
      </c>
      <c r="S408" s="26">
        <v>0</v>
      </c>
      <c r="T408" s="26">
        <v>0</v>
      </c>
      <c r="U408" s="26">
        <v>0</v>
      </c>
      <c r="V408" s="26">
        <v>0</v>
      </c>
      <c r="W408" s="26">
        <v>0</v>
      </c>
      <c r="X408" s="26">
        <v>0</v>
      </c>
      <c r="Y408" s="26">
        <v>0</v>
      </c>
      <c r="Z408" s="26">
        <v>0</v>
      </c>
      <c r="AA408" s="26">
        <v>0</v>
      </c>
      <c r="AB408" s="26">
        <v>0</v>
      </c>
      <c r="AC408" s="26">
        <v>0</v>
      </c>
      <c r="AD408" s="26">
        <v>0</v>
      </c>
      <c r="AE408" s="26">
        <v>0</v>
      </c>
      <c r="AF408" s="26">
        <v>0</v>
      </c>
      <c r="AG408" s="26">
        <v>0</v>
      </c>
      <c r="AH408" s="26">
        <v>0</v>
      </c>
      <c r="AI408" s="26">
        <v>0</v>
      </c>
      <c r="AJ408" s="26">
        <v>0</v>
      </c>
      <c r="AK408" s="26">
        <v>0</v>
      </c>
      <c r="AL408" s="26">
        <v>0</v>
      </c>
      <c r="AM408" s="26">
        <v>0</v>
      </c>
      <c r="AN408" s="26">
        <v>0.119694945</v>
      </c>
      <c r="AO408" s="26">
        <v>0.20685799199999999</v>
      </c>
      <c r="AP408" s="26">
        <v>0</v>
      </c>
      <c r="AQ408" s="26">
        <v>0</v>
      </c>
      <c r="AR408" s="26">
        <v>0</v>
      </c>
      <c r="AS408" s="26">
        <v>0</v>
      </c>
      <c r="AT408" s="26">
        <v>0</v>
      </c>
      <c r="AU408" s="26">
        <v>0</v>
      </c>
      <c r="AV408" s="26">
        <v>0</v>
      </c>
      <c r="AW408" s="26">
        <v>0</v>
      </c>
      <c r="AX408" s="26">
        <v>0</v>
      </c>
      <c r="AY408" s="26">
        <v>0</v>
      </c>
      <c r="AZ408" s="26">
        <v>0</v>
      </c>
      <c r="BA408" s="26">
        <v>0</v>
      </c>
      <c r="BB408" s="26">
        <v>0</v>
      </c>
      <c r="BC408" s="26">
        <v>0</v>
      </c>
      <c r="BD408" s="26">
        <v>0</v>
      </c>
      <c r="BE408" s="26">
        <v>0</v>
      </c>
      <c r="BF408" s="26">
        <v>0</v>
      </c>
      <c r="BG408" s="26">
        <v>0</v>
      </c>
      <c r="BH408" s="26">
        <v>0</v>
      </c>
      <c r="BI408" s="26">
        <v>0</v>
      </c>
      <c r="BJ408" s="26">
        <v>0</v>
      </c>
      <c r="BK408" s="26">
        <v>0</v>
      </c>
      <c r="BL408" s="26">
        <v>0</v>
      </c>
      <c r="BM408" s="26">
        <v>0</v>
      </c>
      <c r="BN408" s="26">
        <v>0</v>
      </c>
      <c r="BO408" s="26">
        <v>981.16698899999983</v>
      </c>
      <c r="BP408" s="26">
        <v>17676.124199999998</v>
      </c>
      <c r="BQ408" s="26">
        <v>297.298182</v>
      </c>
      <c r="BR408" s="26">
        <v>28.126799099999971</v>
      </c>
      <c r="BS408" s="26">
        <v>5.0999999999999996</v>
      </c>
      <c r="BT408" s="26">
        <v>0</v>
      </c>
      <c r="BU408" s="26">
        <v>1</v>
      </c>
      <c r="BV408" s="26">
        <v>0</v>
      </c>
      <c r="BW408" s="26">
        <v>-68179.777799999996</v>
      </c>
      <c r="BX408" s="26">
        <v>-3784.52576</v>
      </c>
      <c r="BY408" s="26">
        <v>-66.895747900000003</v>
      </c>
      <c r="BZ408" s="26">
        <v>-38.679050400000001</v>
      </c>
      <c r="CA408" s="26">
        <v>-2.1469982399999998</v>
      </c>
      <c r="CB408" s="26">
        <v>5.5004651799999998E-2</v>
      </c>
      <c r="CC408" s="26">
        <v>0.99093127400000003</v>
      </c>
      <c r="CD408" s="26">
        <v>18.015408600000001</v>
      </c>
      <c r="CE408" s="26">
        <v>295.17431599999998</v>
      </c>
      <c r="CF408" s="26">
        <v>0</v>
      </c>
      <c r="CG408" s="26">
        <v>0</v>
      </c>
      <c r="CH408" s="26">
        <v>0</v>
      </c>
      <c r="CI408" s="26">
        <v>0</v>
      </c>
      <c r="CJ408" s="26">
        <v>0</v>
      </c>
      <c r="CK408" s="26">
        <v>0</v>
      </c>
      <c r="CL408" s="26">
        <v>0</v>
      </c>
      <c r="CM408" s="26">
        <v>0</v>
      </c>
      <c r="CN408" s="26">
        <v>0</v>
      </c>
      <c r="CO408" s="26">
        <v>0</v>
      </c>
      <c r="CP408" s="26">
        <v>0</v>
      </c>
      <c r="CQ408" s="26">
        <v>0</v>
      </c>
      <c r="CR408" s="26">
        <v>0</v>
      </c>
      <c r="CS408" s="26">
        <v>0</v>
      </c>
      <c r="CT408" s="26">
        <v>0</v>
      </c>
      <c r="CU408" s="26">
        <v>0</v>
      </c>
      <c r="CV408" s="26">
        <v>0</v>
      </c>
      <c r="CW408" s="26">
        <v>0</v>
      </c>
      <c r="CX408" s="26">
        <v>0</v>
      </c>
      <c r="CY408" s="26">
        <v>0</v>
      </c>
      <c r="CZ408" s="26">
        <v>0</v>
      </c>
      <c r="DA408" s="26">
        <v>0</v>
      </c>
      <c r="DB408" s="26">
        <v>0</v>
      </c>
      <c r="DC408" s="26">
        <v>0</v>
      </c>
      <c r="DD408" s="26">
        <v>0</v>
      </c>
      <c r="DE408" s="26">
        <v>0</v>
      </c>
      <c r="DF408" s="26">
        <v>0</v>
      </c>
      <c r="DG408" s="26">
        <v>0</v>
      </c>
      <c r="DH408" s="26">
        <v>0</v>
      </c>
      <c r="DI408" s="26">
        <v>0</v>
      </c>
      <c r="DJ408" s="26">
        <v>0</v>
      </c>
      <c r="DK408" s="26">
        <v>0</v>
      </c>
      <c r="DL408" s="26">
        <v>0</v>
      </c>
      <c r="DM408" s="26">
        <v>0</v>
      </c>
      <c r="DN408" s="26">
        <v>0</v>
      </c>
      <c r="DO408" s="26">
        <v>0</v>
      </c>
      <c r="DP408" s="26">
        <v>0</v>
      </c>
      <c r="DQ408" s="26">
        <v>0</v>
      </c>
      <c r="DR408" s="26">
        <v>0</v>
      </c>
      <c r="DS408" s="26">
        <v>0</v>
      </c>
      <c r="DT408" s="26">
        <v>0</v>
      </c>
      <c r="DU408" s="26">
        <v>0</v>
      </c>
      <c r="DV408" s="26">
        <v>0</v>
      </c>
      <c r="DW408" s="26">
        <v>0</v>
      </c>
      <c r="DX408" s="26">
        <v>0</v>
      </c>
      <c r="DY408" s="26">
        <v>0</v>
      </c>
      <c r="DZ408" s="26">
        <v>0</v>
      </c>
      <c r="EA408" s="26">
        <v>0</v>
      </c>
      <c r="EB408" s="26">
        <v>0</v>
      </c>
      <c r="EC408" s="26">
        <v>0</v>
      </c>
      <c r="ED408" s="26">
        <v>0</v>
      </c>
      <c r="EE408" s="26">
        <v>0</v>
      </c>
      <c r="EF408" s="26">
        <v>0</v>
      </c>
      <c r="EG408" s="26">
        <v>0</v>
      </c>
      <c r="EH408" s="26">
        <v>0</v>
      </c>
      <c r="EI408" s="26">
        <v>0</v>
      </c>
      <c r="EJ408" s="26">
        <v>0</v>
      </c>
      <c r="EK408" s="26">
        <v>0</v>
      </c>
      <c r="EL408" s="26">
        <v>0</v>
      </c>
      <c r="EM408" s="26">
        <v>0</v>
      </c>
      <c r="EN408" s="26">
        <v>0</v>
      </c>
      <c r="EO408" s="26">
        <v>0</v>
      </c>
      <c r="EP408" s="26">
        <v>0</v>
      </c>
      <c r="EQ408" s="26">
        <v>0</v>
      </c>
      <c r="ER408" s="26">
        <v>0</v>
      </c>
      <c r="ES408" s="26">
        <v>0</v>
      </c>
      <c r="ET408" s="26">
        <v>5.0999999999999996</v>
      </c>
      <c r="EU408" s="26">
        <v>0</v>
      </c>
      <c r="EV408" s="26">
        <v>0</v>
      </c>
      <c r="EW408" s="26">
        <v>0</v>
      </c>
      <c r="EX408" s="26">
        <v>0</v>
      </c>
      <c r="EY408" s="26">
        <v>0</v>
      </c>
      <c r="EZ408" s="26">
        <v>0</v>
      </c>
      <c r="FA408" s="26">
        <v>0</v>
      </c>
      <c r="FB408" s="26">
        <v>0</v>
      </c>
      <c r="FC408" s="26">
        <v>0</v>
      </c>
      <c r="FD408" s="26">
        <v>0</v>
      </c>
      <c r="FE408" s="26">
        <v>0</v>
      </c>
      <c r="FF408" s="26">
        <v>0</v>
      </c>
      <c r="FG408" s="26">
        <v>0</v>
      </c>
      <c r="FH408" s="26">
        <v>-77858697.973700002</v>
      </c>
      <c r="FI408" s="26">
        <v>0</v>
      </c>
      <c r="FJ408" s="26">
        <v>0</v>
      </c>
      <c r="FK408" s="26">
        <v>0</v>
      </c>
      <c r="FL408" s="26">
        <v>0</v>
      </c>
      <c r="FM408" s="26">
        <v>0</v>
      </c>
      <c r="FN408" s="26">
        <v>0</v>
      </c>
      <c r="FO408" s="26">
        <v>0</v>
      </c>
      <c r="FP408" s="26">
        <v>0</v>
      </c>
      <c r="FQ408" s="26">
        <v>0</v>
      </c>
      <c r="FR408" s="26">
        <v>0</v>
      </c>
      <c r="FS408" s="26">
        <v>0</v>
      </c>
      <c r="FT408" s="26">
        <v>0</v>
      </c>
      <c r="FU408" s="26">
        <v>0</v>
      </c>
      <c r="FV408" s="26">
        <v>0</v>
      </c>
      <c r="FW408" s="26">
        <v>0</v>
      </c>
      <c r="FX408" s="26">
        <v>0</v>
      </c>
      <c r="FY408" s="26">
        <v>0</v>
      </c>
      <c r="FZ408" s="26">
        <v>0</v>
      </c>
      <c r="GA408" s="26">
        <v>0</v>
      </c>
      <c r="GB408" s="26">
        <v>0</v>
      </c>
      <c r="GC408" s="26">
        <v>0</v>
      </c>
      <c r="GD408" s="26">
        <v>0</v>
      </c>
      <c r="GE408" s="26">
        <v>0</v>
      </c>
      <c r="GF408" s="26">
        <v>0</v>
      </c>
      <c r="GG408" s="26">
        <v>0</v>
      </c>
      <c r="GH408" s="26">
        <v>0</v>
      </c>
      <c r="GI408" s="26">
        <v>0</v>
      </c>
      <c r="GJ408" s="26">
        <v>0</v>
      </c>
      <c r="GK408" s="26">
        <v>0</v>
      </c>
      <c r="GL408" s="26">
        <v>0</v>
      </c>
      <c r="GM408" s="26">
        <v>0</v>
      </c>
      <c r="GN408" s="26">
        <v>0</v>
      </c>
      <c r="GO408" s="26">
        <v>0</v>
      </c>
      <c r="GP408" s="26">
        <v>0</v>
      </c>
      <c r="GQ408" s="26">
        <v>0</v>
      </c>
      <c r="GR408" s="26">
        <v>0</v>
      </c>
      <c r="GS408" s="26">
        <v>0</v>
      </c>
      <c r="GT408" s="26">
        <v>0</v>
      </c>
      <c r="GU408" s="26">
        <v>0</v>
      </c>
      <c r="GV408" s="26">
        <v>0</v>
      </c>
      <c r="GW408" s="26">
        <v>0</v>
      </c>
      <c r="GX408" s="26">
        <v>0</v>
      </c>
      <c r="GY408" s="26">
        <v>0</v>
      </c>
      <c r="GZ408" s="26">
        <v>0</v>
      </c>
      <c r="HA408" s="26">
        <v>0</v>
      </c>
      <c r="HB408" s="26">
        <v>0</v>
      </c>
      <c r="HC408" s="26">
        <v>0</v>
      </c>
      <c r="HD408" s="26">
        <v>0</v>
      </c>
      <c r="HE408" s="26">
        <v>0</v>
      </c>
      <c r="HF408" s="26">
        <v>0</v>
      </c>
      <c r="HG408" s="26">
        <v>0</v>
      </c>
      <c r="HH408" s="26">
        <v>0</v>
      </c>
      <c r="HI408" s="26">
        <v>0</v>
      </c>
      <c r="HJ408" s="26">
        <v>0</v>
      </c>
      <c r="HK408" s="26">
        <v>0</v>
      </c>
      <c r="HL408" s="26">
        <v>0</v>
      </c>
      <c r="HM408" s="26">
        <v>0</v>
      </c>
      <c r="HN408" s="26">
        <v>0</v>
      </c>
      <c r="HO408" s="26">
        <v>0</v>
      </c>
      <c r="HP408" s="26">
        <v>0</v>
      </c>
      <c r="HQ408" s="26">
        <v>0</v>
      </c>
      <c r="HR408" s="26">
        <v>0</v>
      </c>
      <c r="HS408" s="26">
        <v>0</v>
      </c>
      <c r="HT408" s="26">
        <v>0</v>
      </c>
    </row>
    <row r="409" spans="2:228" x14ac:dyDescent="0.2">
      <c r="B409" s="27" t="s">
        <v>1482</v>
      </c>
      <c r="C409" s="26">
        <v>11922358.800000001</v>
      </c>
      <c r="D409" s="26">
        <v>-45022.398999999998</v>
      </c>
      <c r="E409" s="26">
        <v>11922141.4</v>
      </c>
      <c r="F409" s="26">
        <v>0</v>
      </c>
      <c r="G409" s="26">
        <v>0</v>
      </c>
      <c r="H409" s="26">
        <v>0</v>
      </c>
      <c r="I409" s="26">
        <v>0</v>
      </c>
      <c r="J409" s="26">
        <v>0</v>
      </c>
      <c r="K409" s="26">
        <v>0</v>
      </c>
      <c r="L409" s="26">
        <v>0</v>
      </c>
      <c r="M409" s="26">
        <v>0</v>
      </c>
      <c r="N409" s="26">
        <v>0</v>
      </c>
      <c r="O409" s="26">
        <v>0</v>
      </c>
      <c r="P409" s="26">
        <v>0</v>
      </c>
      <c r="Q409" s="26">
        <v>0</v>
      </c>
      <c r="R409" s="26">
        <v>0</v>
      </c>
      <c r="S409" s="26">
        <v>0</v>
      </c>
      <c r="T409" s="26">
        <v>0</v>
      </c>
      <c r="U409" s="26">
        <v>0</v>
      </c>
      <c r="V409" s="26">
        <v>0</v>
      </c>
      <c r="W409" s="26">
        <v>0</v>
      </c>
      <c r="X409" s="26">
        <v>0</v>
      </c>
      <c r="Y409" s="26">
        <v>0</v>
      </c>
      <c r="Z409" s="26">
        <v>0</v>
      </c>
      <c r="AA409" s="26">
        <v>0</v>
      </c>
      <c r="AB409" s="26">
        <v>0</v>
      </c>
      <c r="AC409" s="26">
        <v>0</v>
      </c>
      <c r="AD409" s="26">
        <v>0</v>
      </c>
      <c r="AE409" s="26">
        <v>0</v>
      </c>
      <c r="AF409" s="26">
        <v>0</v>
      </c>
      <c r="AG409" s="26">
        <v>0</v>
      </c>
      <c r="AH409" s="26">
        <v>0</v>
      </c>
      <c r="AI409" s="26">
        <v>0</v>
      </c>
      <c r="AJ409" s="26">
        <v>0</v>
      </c>
      <c r="AK409" s="26">
        <v>0</v>
      </c>
      <c r="AL409" s="26">
        <v>0</v>
      </c>
      <c r="AM409" s="26">
        <v>0</v>
      </c>
      <c r="AN409" s="26">
        <v>79.683118399999998</v>
      </c>
      <c r="AO409" s="26">
        <v>137.709157</v>
      </c>
      <c r="AP409" s="26">
        <v>0</v>
      </c>
      <c r="AQ409" s="26">
        <v>0</v>
      </c>
      <c r="AR409" s="26">
        <v>0</v>
      </c>
      <c r="AS409" s="26">
        <v>0</v>
      </c>
      <c r="AT409" s="26">
        <v>0</v>
      </c>
      <c r="AU409" s="26">
        <v>0</v>
      </c>
      <c r="AV409" s="26">
        <v>0</v>
      </c>
      <c r="AW409" s="26">
        <v>0</v>
      </c>
      <c r="AX409" s="26">
        <v>0</v>
      </c>
      <c r="AY409" s="26">
        <v>0</v>
      </c>
      <c r="AZ409" s="26">
        <v>0</v>
      </c>
      <c r="BA409" s="26">
        <v>0</v>
      </c>
      <c r="BB409" s="26">
        <v>0</v>
      </c>
      <c r="BC409" s="26">
        <v>0</v>
      </c>
      <c r="BD409" s="26">
        <v>0</v>
      </c>
      <c r="BE409" s="26">
        <v>0</v>
      </c>
      <c r="BF409" s="26">
        <v>0</v>
      </c>
      <c r="BG409" s="26">
        <v>0</v>
      </c>
      <c r="BH409" s="26">
        <v>0</v>
      </c>
      <c r="BI409" s="26">
        <v>0</v>
      </c>
      <c r="BJ409" s="26">
        <v>0</v>
      </c>
      <c r="BK409" s="26">
        <v>0</v>
      </c>
      <c r="BL409" s="26">
        <v>0</v>
      </c>
      <c r="BM409" s="26">
        <v>0</v>
      </c>
      <c r="BN409" s="26">
        <v>0</v>
      </c>
      <c r="BO409" s="26">
        <v>661786.81599999999</v>
      </c>
      <c r="BP409" s="26">
        <v>11922358.800000001</v>
      </c>
      <c r="BQ409" s="26">
        <v>202286.285</v>
      </c>
      <c r="BR409" s="26">
        <v>37</v>
      </c>
      <c r="BS409" s="26">
        <v>5</v>
      </c>
      <c r="BT409" s="26">
        <v>0</v>
      </c>
      <c r="BU409" s="26">
        <v>1</v>
      </c>
      <c r="BV409" s="26">
        <v>0</v>
      </c>
      <c r="BW409" s="26">
        <v>-68031.573799999998</v>
      </c>
      <c r="BX409" s="26">
        <v>-3776.2995999999998</v>
      </c>
      <c r="BY409" s="26">
        <v>-45022.398999999998</v>
      </c>
      <c r="BZ409" s="26">
        <v>-38.198156900000001</v>
      </c>
      <c r="CA409" s="26">
        <v>-2.1203049799999998</v>
      </c>
      <c r="CB409" s="26">
        <v>5.4525595400000001E-2</v>
      </c>
      <c r="CC409" s="26">
        <v>0.98230078700000001</v>
      </c>
      <c r="CD409" s="26">
        <v>18.015406899999999</v>
      </c>
      <c r="CE409" s="26">
        <v>199091.91399999999</v>
      </c>
      <c r="CF409" s="26">
        <v>0</v>
      </c>
      <c r="CG409" s="26">
        <v>0</v>
      </c>
      <c r="CH409" s="26">
        <v>0</v>
      </c>
      <c r="CI409" s="26">
        <v>0</v>
      </c>
      <c r="CJ409" s="26">
        <v>0</v>
      </c>
      <c r="CK409" s="26">
        <v>0</v>
      </c>
      <c r="CL409" s="26">
        <v>0</v>
      </c>
      <c r="CM409" s="26">
        <v>0</v>
      </c>
      <c r="CN409" s="26">
        <v>0</v>
      </c>
      <c r="CO409" s="26">
        <v>0</v>
      </c>
      <c r="CP409" s="26">
        <v>0</v>
      </c>
      <c r="CQ409" s="26">
        <v>0</v>
      </c>
      <c r="CR409" s="26">
        <v>0</v>
      </c>
      <c r="CS409" s="26">
        <v>0</v>
      </c>
      <c r="CT409" s="26">
        <v>0</v>
      </c>
      <c r="CU409" s="26">
        <v>0</v>
      </c>
      <c r="CV409" s="26">
        <v>0</v>
      </c>
      <c r="CW409" s="26">
        <v>0</v>
      </c>
      <c r="CX409" s="26">
        <v>0</v>
      </c>
      <c r="CY409" s="26">
        <v>0</v>
      </c>
      <c r="CZ409" s="26">
        <v>0</v>
      </c>
      <c r="DA409" s="26">
        <v>0</v>
      </c>
      <c r="DB409" s="26">
        <v>0</v>
      </c>
      <c r="DC409" s="26">
        <v>0</v>
      </c>
      <c r="DD409" s="26">
        <v>0</v>
      </c>
      <c r="DE409" s="26">
        <v>0</v>
      </c>
      <c r="DF409" s="26">
        <v>0</v>
      </c>
      <c r="DG409" s="26">
        <v>0</v>
      </c>
      <c r="DH409" s="26">
        <v>0</v>
      </c>
      <c r="DI409" s="26">
        <v>0</v>
      </c>
      <c r="DJ409" s="26">
        <v>0</v>
      </c>
      <c r="DK409" s="26">
        <v>0</v>
      </c>
      <c r="DL409" s="26">
        <v>0</v>
      </c>
      <c r="DM409" s="26">
        <v>0</v>
      </c>
      <c r="DN409" s="26">
        <v>0</v>
      </c>
      <c r="DO409" s="26">
        <v>0</v>
      </c>
      <c r="DP409" s="26">
        <v>0</v>
      </c>
      <c r="DQ409" s="26">
        <v>0</v>
      </c>
      <c r="DR409" s="26">
        <v>0</v>
      </c>
      <c r="DS409" s="26">
        <v>0</v>
      </c>
      <c r="DT409" s="26">
        <v>0</v>
      </c>
      <c r="DU409" s="26">
        <v>0</v>
      </c>
      <c r="DV409" s="26">
        <v>0</v>
      </c>
      <c r="DW409" s="26">
        <v>0</v>
      </c>
      <c r="DX409" s="26">
        <v>0</v>
      </c>
      <c r="DY409" s="26">
        <v>0</v>
      </c>
      <c r="DZ409" s="26">
        <v>0</v>
      </c>
      <c r="EA409" s="26">
        <v>0</v>
      </c>
      <c r="EB409" s="26">
        <v>0</v>
      </c>
      <c r="EC409" s="26">
        <v>0</v>
      </c>
      <c r="ED409" s="26">
        <v>0</v>
      </c>
      <c r="EE409" s="26">
        <v>0</v>
      </c>
      <c r="EF409" s="26">
        <v>0</v>
      </c>
      <c r="EG409" s="26">
        <v>0</v>
      </c>
      <c r="EH409" s="26">
        <v>0</v>
      </c>
      <c r="EI409" s="26">
        <v>0</v>
      </c>
      <c r="EJ409" s="26">
        <v>0</v>
      </c>
      <c r="EK409" s="26">
        <v>0</v>
      </c>
      <c r="EL409" s="26">
        <v>0</v>
      </c>
      <c r="EM409" s="26">
        <v>0</v>
      </c>
      <c r="EN409" s="26">
        <v>0</v>
      </c>
      <c r="EO409" s="26">
        <v>0</v>
      </c>
      <c r="EP409" s="26">
        <v>0</v>
      </c>
      <c r="EQ409" s="26">
        <v>0</v>
      </c>
      <c r="ER409" s="26">
        <v>0</v>
      </c>
      <c r="ES409" s="26">
        <v>0</v>
      </c>
      <c r="ET409" s="26">
        <v>5</v>
      </c>
      <c r="EU409" s="26">
        <v>0</v>
      </c>
      <c r="EV409" s="26">
        <v>0</v>
      </c>
      <c r="EW409" s="26">
        <v>0</v>
      </c>
      <c r="EX409" s="26">
        <v>0</v>
      </c>
      <c r="EY409" s="26">
        <v>0</v>
      </c>
      <c r="EZ409" s="26">
        <v>0</v>
      </c>
      <c r="FA409" s="26">
        <v>0</v>
      </c>
      <c r="FB409" s="26">
        <v>0</v>
      </c>
      <c r="FC409" s="26">
        <v>0</v>
      </c>
      <c r="FD409" s="26">
        <v>0</v>
      </c>
      <c r="FE409" s="26">
        <v>0</v>
      </c>
      <c r="FF409" s="26">
        <v>0</v>
      </c>
      <c r="FG409" s="26">
        <v>0</v>
      </c>
      <c r="FH409" s="26">
        <v>-52514880512.199997</v>
      </c>
      <c r="FI409" s="26">
        <v>0</v>
      </c>
      <c r="FJ409" s="26">
        <v>0</v>
      </c>
      <c r="FK409" s="26">
        <v>0</v>
      </c>
      <c r="FL409" s="26">
        <v>0</v>
      </c>
      <c r="FM409" s="26">
        <v>0</v>
      </c>
      <c r="FN409" s="26">
        <v>0</v>
      </c>
      <c r="FO409" s="26">
        <v>0</v>
      </c>
      <c r="FP409" s="26">
        <v>0</v>
      </c>
      <c r="FQ409" s="26">
        <v>0</v>
      </c>
      <c r="FR409" s="26">
        <v>0</v>
      </c>
      <c r="FS409" s="26">
        <v>0</v>
      </c>
      <c r="FT409" s="26">
        <v>0</v>
      </c>
      <c r="FU409" s="26">
        <v>0</v>
      </c>
      <c r="FV409" s="26">
        <v>0</v>
      </c>
      <c r="FW409" s="26">
        <v>0</v>
      </c>
      <c r="FX409" s="26">
        <v>0</v>
      </c>
      <c r="FY409" s="26">
        <v>0</v>
      </c>
      <c r="FZ409" s="26">
        <v>0</v>
      </c>
      <c r="GA409" s="26">
        <v>0</v>
      </c>
      <c r="GB409" s="26">
        <v>0</v>
      </c>
      <c r="GC409" s="26">
        <v>0</v>
      </c>
      <c r="GD409" s="26">
        <v>0</v>
      </c>
      <c r="GE409" s="26">
        <v>0</v>
      </c>
      <c r="GF409" s="26">
        <v>0</v>
      </c>
      <c r="GG409" s="26">
        <v>0</v>
      </c>
      <c r="GH409" s="26">
        <v>0</v>
      </c>
      <c r="GI409" s="26">
        <v>0</v>
      </c>
      <c r="GJ409" s="26">
        <v>0</v>
      </c>
      <c r="GK409" s="26">
        <v>0</v>
      </c>
      <c r="GL409" s="26">
        <v>0</v>
      </c>
      <c r="GM409" s="26">
        <v>0</v>
      </c>
      <c r="GN409" s="26">
        <v>0</v>
      </c>
      <c r="GO409" s="26">
        <v>0</v>
      </c>
      <c r="GP409" s="26">
        <v>0</v>
      </c>
      <c r="GQ409" s="26">
        <v>0</v>
      </c>
      <c r="GR409" s="26">
        <v>0</v>
      </c>
      <c r="GS409" s="26">
        <v>0</v>
      </c>
      <c r="GT409" s="26">
        <v>0</v>
      </c>
      <c r="GU409" s="26">
        <v>0</v>
      </c>
      <c r="GV409" s="26">
        <v>0</v>
      </c>
      <c r="GW409" s="26">
        <v>0</v>
      </c>
      <c r="GX409" s="26">
        <v>0</v>
      </c>
      <c r="GY409" s="26">
        <v>0</v>
      </c>
      <c r="GZ409" s="26">
        <v>0</v>
      </c>
      <c r="HA409" s="26">
        <v>0</v>
      </c>
      <c r="HB409" s="26">
        <v>0</v>
      </c>
      <c r="HC409" s="26">
        <v>0</v>
      </c>
      <c r="HD409" s="26">
        <v>0</v>
      </c>
      <c r="HE409" s="26">
        <v>0</v>
      </c>
      <c r="HF409" s="26">
        <v>0</v>
      </c>
      <c r="HG409" s="26">
        <v>0</v>
      </c>
      <c r="HH409" s="26">
        <v>0</v>
      </c>
      <c r="HI409" s="26">
        <v>0</v>
      </c>
      <c r="HJ409" s="26">
        <v>0</v>
      </c>
      <c r="HK409" s="26">
        <v>0</v>
      </c>
      <c r="HL409" s="26">
        <v>0</v>
      </c>
      <c r="HM409" s="26">
        <v>0</v>
      </c>
      <c r="HN409" s="26">
        <v>0</v>
      </c>
      <c r="HO409" s="26">
        <v>0</v>
      </c>
      <c r="HP409" s="26">
        <v>0</v>
      </c>
      <c r="HQ409" s="26">
        <v>0</v>
      </c>
      <c r="HR409" s="26">
        <v>0</v>
      </c>
      <c r="HS409" s="26">
        <v>0</v>
      </c>
      <c r="HT409" s="26">
        <v>0</v>
      </c>
    </row>
    <row r="410" spans="2:228" x14ac:dyDescent="0.2">
      <c r="B410" s="27" t="s">
        <v>2454</v>
      </c>
      <c r="C410" s="26">
        <v>6548549.3700000001</v>
      </c>
      <c r="D410" s="26">
        <v>-411.18772100000001</v>
      </c>
      <c r="E410" s="26">
        <v>128257.25</v>
      </c>
      <c r="F410" s="26">
        <v>0</v>
      </c>
      <c r="G410" s="26">
        <v>0</v>
      </c>
      <c r="H410" s="26">
        <v>0</v>
      </c>
      <c r="I410" s="26">
        <v>0</v>
      </c>
      <c r="J410" s="26">
        <v>0</v>
      </c>
      <c r="K410" s="26">
        <v>0</v>
      </c>
      <c r="L410" s="26">
        <v>0</v>
      </c>
      <c r="M410" s="26">
        <v>0</v>
      </c>
      <c r="N410" s="26">
        <v>0</v>
      </c>
      <c r="O410" s="26">
        <v>0</v>
      </c>
      <c r="P410" s="26">
        <v>0</v>
      </c>
      <c r="Q410" s="26">
        <v>0</v>
      </c>
      <c r="R410" s="26">
        <v>0</v>
      </c>
      <c r="S410" s="26">
        <v>0</v>
      </c>
      <c r="T410" s="26">
        <v>0</v>
      </c>
      <c r="U410" s="26">
        <v>0</v>
      </c>
      <c r="V410" s="26">
        <v>0</v>
      </c>
      <c r="W410" s="26">
        <v>0</v>
      </c>
      <c r="X410" s="26">
        <v>0</v>
      </c>
      <c r="Y410" s="26">
        <v>0</v>
      </c>
      <c r="Z410" s="26">
        <v>0</v>
      </c>
      <c r="AA410" s="26">
        <v>0</v>
      </c>
      <c r="AB410" s="26">
        <v>0</v>
      </c>
      <c r="AC410" s="26">
        <v>0</v>
      </c>
      <c r="AD410" s="26">
        <v>0</v>
      </c>
      <c r="AE410" s="26">
        <v>0</v>
      </c>
      <c r="AF410" s="26">
        <v>0</v>
      </c>
      <c r="AG410" s="26">
        <v>0</v>
      </c>
      <c r="AH410" s="26">
        <v>0</v>
      </c>
      <c r="AI410" s="26">
        <v>0</v>
      </c>
      <c r="AJ410" s="26">
        <v>0</v>
      </c>
      <c r="AK410" s="26">
        <v>0</v>
      </c>
      <c r="AL410" s="26">
        <v>0</v>
      </c>
      <c r="AM410" s="26">
        <v>0</v>
      </c>
      <c r="AN410" s="26">
        <v>1495395.19</v>
      </c>
      <c r="AO410" s="26">
        <v>4924896.93</v>
      </c>
      <c r="AP410" s="26">
        <v>0</v>
      </c>
      <c r="AQ410" s="26">
        <v>0</v>
      </c>
      <c r="AR410" s="26">
        <v>0</v>
      </c>
      <c r="AS410" s="26">
        <v>0</v>
      </c>
      <c r="AT410" s="26">
        <v>0</v>
      </c>
      <c r="AU410" s="26">
        <v>0</v>
      </c>
      <c r="AV410" s="26">
        <v>0</v>
      </c>
      <c r="AW410" s="26">
        <v>0</v>
      </c>
      <c r="AX410" s="26">
        <v>0</v>
      </c>
      <c r="AY410" s="26">
        <v>0</v>
      </c>
      <c r="AZ410" s="26">
        <v>0</v>
      </c>
      <c r="BA410" s="26">
        <v>0</v>
      </c>
      <c r="BB410" s="26">
        <v>0</v>
      </c>
      <c r="BC410" s="26">
        <v>0</v>
      </c>
      <c r="BD410" s="26">
        <v>0</v>
      </c>
      <c r="BE410" s="26">
        <v>0</v>
      </c>
      <c r="BF410" s="26">
        <v>0</v>
      </c>
      <c r="BG410" s="26">
        <v>0</v>
      </c>
      <c r="BH410" s="26">
        <v>0</v>
      </c>
      <c r="BI410" s="26">
        <v>0</v>
      </c>
      <c r="BJ410" s="26">
        <v>0</v>
      </c>
      <c r="BK410" s="26">
        <v>0</v>
      </c>
      <c r="BL410" s="26">
        <v>0</v>
      </c>
      <c r="BM410" s="26">
        <v>0</v>
      </c>
      <c r="BN410" s="26">
        <v>0</v>
      </c>
      <c r="BO410" s="26">
        <v>229656.75</v>
      </c>
      <c r="BP410" s="26">
        <v>6548549.3700000001</v>
      </c>
      <c r="BQ410" s="26">
        <v>93642590.299999997</v>
      </c>
      <c r="BR410" s="26">
        <v>25</v>
      </c>
      <c r="BS410" s="26">
        <v>1</v>
      </c>
      <c r="BT410" s="26">
        <v>1</v>
      </c>
      <c r="BU410" s="26">
        <v>0</v>
      </c>
      <c r="BV410" s="26">
        <v>0</v>
      </c>
      <c r="BW410" s="26">
        <v>-1790.4447299999999</v>
      </c>
      <c r="BX410" s="26">
        <v>-62.790657099999997</v>
      </c>
      <c r="BY410" s="26">
        <v>-411.18772100000001</v>
      </c>
      <c r="BZ410" s="26">
        <v>0.93504060899999997</v>
      </c>
      <c r="CA410" s="26">
        <v>3.2791749100000003E-2</v>
      </c>
      <c r="CB410" s="26">
        <v>4.0874696499999997E-5</v>
      </c>
      <c r="CC410" s="26">
        <v>1.16552188E-3</v>
      </c>
      <c r="CD410" s="26">
        <v>28.514508599999999</v>
      </c>
      <c r="CE410" s="26">
        <v>200785.28899999999</v>
      </c>
      <c r="CF410" s="26">
        <v>0</v>
      </c>
      <c r="CG410" s="26">
        <v>0</v>
      </c>
      <c r="CH410" s="26">
        <v>0</v>
      </c>
      <c r="CI410" s="26">
        <v>0</v>
      </c>
      <c r="CJ410" s="26">
        <v>0</v>
      </c>
      <c r="CK410" s="26">
        <v>0</v>
      </c>
      <c r="CL410" s="26">
        <v>0</v>
      </c>
      <c r="CM410" s="26">
        <v>0</v>
      </c>
      <c r="CN410" s="26">
        <v>0</v>
      </c>
      <c r="CO410" s="26">
        <v>0</v>
      </c>
      <c r="CP410" s="26">
        <v>0</v>
      </c>
      <c r="CQ410" s="26">
        <v>0</v>
      </c>
      <c r="CR410" s="26">
        <v>0</v>
      </c>
      <c r="CS410" s="26">
        <v>0</v>
      </c>
      <c r="CT410" s="26">
        <v>0</v>
      </c>
      <c r="CU410" s="26">
        <v>0</v>
      </c>
      <c r="CV410" s="26">
        <v>0</v>
      </c>
      <c r="CW410" s="26">
        <v>0</v>
      </c>
      <c r="CX410" s="26">
        <v>0</v>
      </c>
      <c r="CY410" s="26">
        <v>0</v>
      </c>
      <c r="CZ410" s="26">
        <v>0</v>
      </c>
      <c r="DA410" s="26">
        <v>0</v>
      </c>
      <c r="DB410" s="26">
        <v>0</v>
      </c>
      <c r="DC410" s="26">
        <v>0</v>
      </c>
      <c r="DD410" s="26">
        <v>0</v>
      </c>
      <c r="DE410" s="26">
        <v>0</v>
      </c>
      <c r="DF410" s="26">
        <v>0</v>
      </c>
      <c r="DG410" s="26">
        <v>0</v>
      </c>
      <c r="DH410" s="26">
        <v>0</v>
      </c>
      <c r="DI410" s="26">
        <v>0</v>
      </c>
      <c r="DJ410" s="26">
        <v>0</v>
      </c>
      <c r="DK410" s="26">
        <v>0</v>
      </c>
      <c r="DL410" s="26">
        <v>0</v>
      </c>
      <c r="DM410" s="26">
        <v>0</v>
      </c>
      <c r="DN410" s="26">
        <v>0</v>
      </c>
      <c r="DO410" s="26">
        <v>0</v>
      </c>
      <c r="DP410" s="26">
        <v>0</v>
      </c>
      <c r="DQ410" s="26">
        <v>0</v>
      </c>
      <c r="DR410" s="26">
        <v>0</v>
      </c>
      <c r="DS410" s="26">
        <v>0</v>
      </c>
      <c r="DT410" s="26">
        <v>0</v>
      </c>
      <c r="DU410" s="26">
        <v>0</v>
      </c>
      <c r="DV410" s="26">
        <v>0</v>
      </c>
      <c r="DW410" s="26">
        <v>0</v>
      </c>
      <c r="DX410" s="26">
        <v>0</v>
      </c>
      <c r="DY410" s="26">
        <v>0</v>
      </c>
      <c r="DZ410" s="26">
        <v>0</v>
      </c>
      <c r="EA410" s="26">
        <v>0</v>
      </c>
      <c r="EB410" s="26">
        <v>0</v>
      </c>
      <c r="EC410" s="26">
        <v>0</v>
      </c>
      <c r="ED410" s="26">
        <v>0</v>
      </c>
      <c r="EE410" s="26">
        <v>0</v>
      </c>
      <c r="EF410" s="26">
        <v>0</v>
      </c>
      <c r="EG410" s="26">
        <v>0</v>
      </c>
      <c r="EH410" s="26">
        <v>0</v>
      </c>
      <c r="EI410" s="26">
        <v>0</v>
      </c>
      <c r="EJ410" s="26">
        <v>0</v>
      </c>
      <c r="EK410" s="26">
        <v>0</v>
      </c>
      <c r="EL410" s="26">
        <v>0</v>
      </c>
      <c r="EM410" s="26">
        <v>0</v>
      </c>
      <c r="EN410" s="26">
        <v>0</v>
      </c>
      <c r="EO410" s="26">
        <v>0</v>
      </c>
      <c r="EP410" s="26">
        <v>0</v>
      </c>
      <c r="EQ410" s="26">
        <v>0</v>
      </c>
      <c r="ER410" s="26">
        <v>0</v>
      </c>
      <c r="ES410" s="26">
        <v>0</v>
      </c>
      <c r="ET410" s="26">
        <v>1</v>
      </c>
      <c r="EU410" s="26">
        <v>0</v>
      </c>
      <c r="EV410" s="26">
        <v>0</v>
      </c>
      <c r="EW410" s="26">
        <v>0</v>
      </c>
      <c r="EX410" s="26">
        <v>0</v>
      </c>
      <c r="EY410" s="26">
        <v>0</v>
      </c>
      <c r="EZ410" s="26">
        <v>0</v>
      </c>
      <c r="FA410" s="26">
        <v>0</v>
      </c>
      <c r="FB410" s="26">
        <v>0</v>
      </c>
      <c r="FC410" s="26">
        <v>0</v>
      </c>
      <c r="FD410" s="26">
        <v>0</v>
      </c>
      <c r="FE410" s="26">
        <v>0</v>
      </c>
      <c r="FF410" s="26">
        <v>0</v>
      </c>
      <c r="FG410" s="26">
        <v>0</v>
      </c>
      <c r="FH410" s="26">
        <v>-478211319.523</v>
      </c>
      <c r="FI410" s="26">
        <v>0</v>
      </c>
      <c r="FJ410" s="26">
        <v>1.9775998074874652</v>
      </c>
      <c r="FK410" s="26">
        <v>0</v>
      </c>
      <c r="FL410" s="26">
        <v>0</v>
      </c>
      <c r="FM410" s="26">
        <v>0</v>
      </c>
      <c r="FN410" s="26">
        <v>0</v>
      </c>
      <c r="FO410" s="26">
        <v>0</v>
      </c>
      <c r="FP410" s="26">
        <v>0</v>
      </c>
      <c r="FQ410" s="26">
        <v>0</v>
      </c>
      <c r="FR410" s="26">
        <v>0</v>
      </c>
      <c r="FS410" s="26">
        <v>0</v>
      </c>
      <c r="FT410" s="26">
        <v>0</v>
      </c>
      <c r="FU410" s="26">
        <v>0</v>
      </c>
      <c r="FV410" s="26">
        <v>0</v>
      </c>
      <c r="FW410" s="26">
        <v>0</v>
      </c>
      <c r="FX410" s="26">
        <v>0</v>
      </c>
      <c r="FY410" s="26">
        <v>0</v>
      </c>
      <c r="FZ410" s="26">
        <v>0</v>
      </c>
      <c r="GA410" s="26">
        <v>0</v>
      </c>
      <c r="GB410" s="26">
        <v>0</v>
      </c>
      <c r="GC410" s="26">
        <v>0</v>
      </c>
      <c r="GD410" s="26">
        <v>0</v>
      </c>
      <c r="GE410" s="26">
        <v>0</v>
      </c>
      <c r="GF410" s="26">
        <v>0</v>
      </c>
      <c r="GG410" s="26">
        <v>0</v>
      </c>
      <c r="GH410" s="26">
        <v>0</v>
      </c>
      <c r="GI410" s="26">
        <v>0</v>
      </c>
      <c r="GJ410" s="26">
        <v>0</v>
      </c>
      <c r="GK410" s="26">
        <v>0</v>
      </c>
      <c r="GL410" s="26">
        <v>0</v>
      </c>
      <c r="GM410" s="26">
        <v>0</v>
      </c>
      <c r="GN410" s="26">
        <v>0</v>
      </c>
      <c r="GO410" s="26">
        <v>0</v>
      </c>
      <c r="GP410" s="26">
        <v>0</v>
      </c>
      <c r="GQ410" s="26">
        <v>0</v>
      </c>
      <c r="GR410" s="26">
        <v>0</v>
      </c>
      <c r="GS410" s="26">
        <v>12.981347909406338</v>
      </c>
      <c r="GT410" s="26">
        <v>48.834594557343422</v>
      </c>
      <c r="GU410" s="26">
        <v>0</v>
      </c>
      <c r="GV410" s="26">
        <v>0</v>
      </c>
      <c r="GW410" s="26">
        <v>0</v>
      </c>
      <c r="GX410" s="26">
        <v>0</v>
      </c>
      <c r="GY410" s="26">
        <v>0</v>
      </c>
      <c r="GZ410" s="26">
        <v>0</v>
      </c>
      <c r="HA410" s="26">
        <v>0</v>
      </c>
      <c r="HB410" s="26">
        <v>0</v>
      </c>
      <c r="HC410" s="26">
        <v>0</v>
      </c>
      <c r="HD410" s="26">
        <v>0</v>
      </c>
      <c r="HE410" s="26">
        <v>0</v>
      </c>
      <c r="HF410" s="26">
        <v>0</v>
      </c>
      <c r="HG410" s="26">
        <v>0</v>
      </c>
      <c r="HH410" s="26">
        <v>0</v>
      </c>
      <c r="HI410" s="26">
        <v>0</v>
      </c>
      <c r="HJ410" s="26">
        <v>0</v>
      </c>
      <c r="HK410" s="26">
        <v>0</v>
      </c>
      <c r="HL410" s="26">
        <v>0</v>
      </c>
      <c r="HM410" s="26">
        <v>0</v>
      </c>
      <c r="HN410" s="26">
        <v>0</v>
      </c>
      <c r="HO410" s="26">
        <v>0</v>
      </c>
      <c r="HP410" s="26">
        <v>0</v>
      </c>
      <c r="HQ410" s="26">
        <v>0</v>
      </c>
      <c r="HR410" s="26">
        <v>0</v>
      </c>
      <c r="HS410" s="26">
        <v>0</v>
      </c>
      <c r="HT410" s="26">
        <v>0</v>
      </c>
    </row>
    <row r="411" spans="2:228" x14ac:dyDescent="0.2">
      <c r="B411" s="27" t="s">
        <v>1487</v>
      </c>
      <c r="C411" s="26">
        <v>6686825.3399999999</v>
      </c>
      <c r="D411" s="26">
        <v>-834.16211099999998</v>
      </c>
      <c r="E411" s="26">
        <v>266533.55200000003</v>
      </c>
      <c r="F411" s="26">
        <v>0</v>
      </c>
      <c r="G411" s="26">
        <v>0</v>
      </c>
      <c r="H411" s="26">
        <v>0</v>
      </c>
      <c r="I411" s="26">
        <v>0</v>
      </c>
      <c r="J411" s="26">
        <v>0</v>
      </c>
      <c r="K411" s="26">
        <v>0</v>
      </c>
      <c r="L411" s="26">
        <v>0</v>
      </c>
      <c r="M411" s="26">
        <v>0</v>
      </c>
      <c r="N411" s="26">
        <v>0</v>
      </c>
      <c r="O411" s="26">
        <v>0</v>
      </c>
      <c r="P411" s="26">
        <v>0</v>
      </c>
      <c r="Q411" s="26">
        <v>0</v>
      </c>
      <c r="R411" s="26">
        <v>0</v>
      </c>
      <c r="S411" s="26">
        <v>0</v>
      </c>
      <c r="T411" s="26">
        <v>0</v>
      </c>
      <c r="U411" s="26">
        <v>0</v>
      </c>
      <c r="V411" s="26">
        <v>0</v>
      </c>
      <c r="W411" s="26">
        <v>0</v>
      </c>
      <c r="X411" s="26">
        <v>0</v>
      </c>
      <c r="Y411" s="26">
        <v>0</v>
      </c>
      <c r="Z411" s="26">
        <v>0</v>
      </c>
      <c r="AA411" s="26">
        <v>0</v>
      </c>
      <c r="AB411" s="26">
        <v>0</v>
      </c>
      <c r="AC411" s="26">
        <v>0</v>
      </c>
      <c r="AD411" s="26">
        <v>0</v>
      </c>
      <c r="AE411" s="26">
        <v>0</v>
      </c>
      <c r="AF411" s="26">
        <v>0</v>
      </c>
      <c r="AG411" s="26">
        <v>0</v>
      </c>
      <c r="AH411" s="26">
        <v>0</v>
      </c>
      <c r="AI411" s="26">
        <v>0</v>
      </c>
      <c r="AJ411" s="26">
        <v>0</v>
      </c>
      <c r="AK411" s="26">
        <v>0</v>
      </c>
      <c r="AL411" s="26">
        <v>0</v>
      </c>
      <c r="AM411" s="26">
        <v>0</v>
      </c>
      <c r="AN411" s="26">
        <v>1495395.07</v>
      </c>
      <c r="AO411" s="26">
        <v>4924896.72</v>
      </c>
      <c r="AP411" s="26">
        <v>0</v>
      </c>
      <c r="AQ411" s="26">
        <v>0</v>
      </c>
      <c r="AR411" s="26">
        <v>0</v>
      </c>
      <c r="AS411" s="26">
        <v>0</v>
      </c>
      <c r="AT411" s="26">
        <v>0</v>
      </c>
      <c r="AU411" s="26">
        <v>0</v>
      </c>
      <c r="AV411" s="26">
        <v>0</v>
      </c>
      <c r="AW411" s="26">
        <v>0</v>
      </c>
      <c r="AX411" s="26">
        <v>0</v>
      </c>
      <c r="AY411" s="26">
        <v>0</v>
      </c>
      <c r="AZ411" s="26">
        <v>0</v>
      </c>
      <c r="BA411" s="26">
        <v>0</v>
      </c>
      <c r="BB411" s="26">
        <v>0</v>
      </c>
      <c r="BC411" s="26">
        <v>0</v>
      </c>
      <c r="BD411" s="26">
        <v>0</v>
      </c>
      <c r="BE411" s="26">
        <v>0</v>
      </c>
      <c r="BF411" s="26">
        <v>0</v>
      </c>
      <c r="BG411" s="26">
        <v>0</v>
      </c>
      <c r="BH411" s="26">
        <v>0</v>
      </c>
      <c r="BI411" s="26">
        <v>0</v>
      </c>
      <c r="BJ411" s="26">
        <v>0</v>
      </c>
      <c r="BK411" s="26">
        <v>0</v>
      </c>
      <c r="BL411" s="26">
        <v>0</v>
      </c>
      <c r="BM411" s="26">
        <v>0</v>
      </c>
      <c r="BN411" s="26">
        <v>0</v>
      </c>
      <c r="BO411" s="26">
        <v>237332.24000000002</v>
      </c>
      <c r="BP411" s="26">
        <v>6686825.3399999999</v>
      </c>
      <c r="BQ411" s="26">
        <v>100724808</v>
      </c>
      <c r="BR411" s="26">
        <v>37.177542200000005</v>
      </c>
      <c r="BS411" s="26">
        <v>1</v>
      </c>
      <c r="BT411" s="26">
        <v>1</v>
      </c>
      <c r="BU411" s="26">
        <v>0</v>
      </c>
      <c r="BV411" s="26">
        <v>0</v>
      </c>
      <c r="BW411" s="26">
        <v>-3514.7441600000002</v>
      </c>
      <c r="BX411" s="26">
        <v>-124.747105</v>
      </c>
      <c r="BY411" s="26">
        <v>-834.16211099999998</v>
      </c>
      <c r="BZ411" s="26">
        <v>1.04167611</v>
      </c>
      <c r="CA411" s="26">
        <v>3.6971703699999997E-2</v>
      </c>
      <c r="CB411" s="26">
        <v>3.9270735300000001E-5</v>
      </c>
      <c r="CC411" s="26">
        <v>1.10645123E-3</v>
      </c>
      <c r="CD411" s="26">
        <v>28.174955700000002</v>
      </c>
      <c r="CE411" s="26">
        <v>203094.326</v>
      </c>
      <c r="CF411" s="26">
        <v>0</v>
      </c>
      <c r="CG411" s="26">
        <v>0</v>
      </c>
      <c r="CH411" s="26">
        <v>0</v>
      </c>
      <c r="CI411" s="26">
        <v>0</v>
      </c>
      <c r="CJ411" s="26">
        <v>0</v>
      </c>
      <c r="CK411" s="26">
        <v>0</v>
      </c>
      <c r="CL411" s="26">
        <v>0</v>
      </c>
      <c r="CM411" s="26">
        <v>0</v>
      </c>
      <c r="CN411" s="26">
        <v>0</v>
      </c>
      <c r="CO411" s="26">
        <v>0</v>
      </c>
      <c r="CP411" s="26">
        <v>0</v>
      </c>
      <c r="CQ411" s="26">
        <v>0</v>
      </c>
      <c r="CR411" s="26">
        <v>0</v>
      </c>
      <c r="CS411" s="26">
        <v>0</v>
      </c>
      <c r="CT411" s="26">
        <v>0</v>
      </c>
      <c r="CU411" s="26">
        <v>0</v>
      </c>
      <c r="CV411" s="26">
        <v>0</v>
      </c>
      <c r="CW411" s="26">
        <v>0</v>
      </c>
      <c r="CX411" s="26">
        <v>0</v>
      </c>
      <c r="CY411" s="26">
        <v>0</v>
      </c>
      <c r="CZ411" s="26">
        <v>0</v>
      </c>
      <c r="DA411" s="26">
        <v>0</v>
      </c>
      <c r="DB411" s="26">
        <v>0</v>
      </c>
      <c r="DC411" s="26">
        <v>0</v>
      </c>
      <c r="DD411" s="26">
        <v>0</v>
      </c>
      <c r="DE411" s="26">
        <v>0</v>
      </c>
      <c r="DF411" s="26">
        <v>0</v>
      </c>
      <c r="DG411" s="26">
        <v>0</v>
      </c>
      <c r="DH411" s="26">
        <v>0</v>
      </c>
      <c r="DI411" s="26">
        <v>0</v>
      </c>
      <c r="DJ411" s="26">
        <v>0</v>
      </c>
      <c r="DK411" s="26">
        <v>0</v>
      </c>
      <c r="DL411" s="26">
        <v>0</v>
      </c>
      <c r="DM411" s="26">
        <v>0</v>
      </c>
      <c r="DN411" s="26">
        <v>0</v>
      </c>
      <c r="DO411" s="26">
        <v>0</v>
      </c>
      <c r="DP411" s="26">
        <v>0</v>
      </c>
      <c r="DQ411" s="26">
        <v>0</v>
      </c>
      <c r="DR411" s="26">
        <v>0</v>
      </c>
      <c r="DS411" s="26">
        <v>0</v>
      </c>
      <c r="DT411" s="26">
        <v>0</v>
      </c>
      <c r="DU411" s="26">
        <v>0</v>
      </c>
      <c r="DV411" s="26">
        <v>0</v>
      </c>
      <c r="DW411" s="26">
        <v>0</v>
      </c>
      <c r="DX411" s="26">
        <v>0</v>
      </c>
      <c r="DY411" s="26">
        <v>0</v>
      </c>
      <c r="DZ411" s="26">
        <v>0</v>
      </c>
      <c r="EA411" s="26">
        <v>0</v>
      </c>
      <c r="EB411" s="26">
        <v>0</v>
      </c>
      <c r="EC411" s="26">
        <v>0</v>
      </c>
      <c r="ED411" s="26">
        <v>0</v>
      </c>
      <c r="EE411" s="26">
        <v>0</v>
      </c>
      <c r="EF411" s="26">
        <v>0</v>
      </c>
      <c r="EG411" s="26">
        <v>0</v>
      </c>
      <c r="EH411" s="26">
        <v>0</v>
      </c>
      <c r="EI411" s="26">
        <v>0</v>
      </c>
      <c r="EJ411" s="26">
        <v>0</v>
      </c>
      <c r="EK411" s="26">
        <v>0</v>
      </c>
      <c r="EL411" s="26">
        <v>0</v>
      </c>
      <c r="EM411" s="26">
        <v>0</v>
      </c>
      <c r="EN411" s="26">
        <v>0</v>
      </c>
      <c r="EO411" s="26">
        <v>0</v>
      </c>
      <c r="EP411" s="26">
        <v>0</v>
      </c>
      <c r="EQ411" s="26">
        <v>0</v>
      </c>
      <c r="ER411" s="26">
        <v>0</v>
      </c>
      <c r="ES411" s="26">
        <v>0</v>
      </c>
      <c r="ET411" s="26">
        <v>1</v>
      </c>
      <c r="EU411" s="26">
        <v>0</v>
      </c>
      <c r="EV411" s="26">
        <v>0</v>
      </c>
      <c r="EW411" s="26">
        <v>0</v>
      </c>
      <c r="EX411" s="26">
        <v>0</v>
      </c>
      <c r="EY411" s="26">
        <v>0</v>
      </c>
      <c r="EZ411" s="26">
        <v>0</v>
      </c>
      <c r="FA411" s="26">
        <v>0</v>
      </c>
      <c r="FB411" s="26">
        <v>0</v>
      </c>
      <c r="FC411" s="26">
        <v>0</v>
      </c>
      <c r="FD411" s="26">
        <v>0</v>
      </c>
      <c r="FE411" s="26">
        <v>0</v>
      </c>
      <c r="FF411" s="26">
        <v>0</v>
      </c>
      <c r="FG411" s="26">
        <v>0</v>
      </c>
      <c r="FH411" s="26">
        <v>-993778996.86399996</v>
      </c>
      <c r="FI411" s="26">
        <v>0</v>
      </c>
      <c r="FJ411" s="26">
        <v>4.1096834495441348</v>
      </c>
      <c r="FK411" s="26">
        <v>0</v>
      </c>
      <c r="FL411" s="26">
        <v>0</v>
      </c>
      <c r="FM411" s="26">
        <v>0</v>
      </c>
      <c r="FN411" s="26">
        <v>0</v>
      </c>
      <c r="FO411" s="26">
        <v>0</v>
      </c>
      <c r="FP411" s="26">
        <v>0</v>
      </c>
      <c r="FQ411" s="26">
        <v>0</v>
      </c>
      <c r="FR411" s="26">
        <v>0</v>
      </c>
      <c r="FS411" s="26">
        <v>0</v>
      </c>
      <c r="FT411" s="26">
        <v>0</v>
      </c>
      <c r="FU411" s="26">
        <v>0</v>
      </c>
      <c r="FV411" s="26">
        <v>0</v>
      </c>
      <c r="FW411" s="26">
        <v>0</v>
      </c>
      <c r="FX411" s="26">
        <v>0</v>
      </c>
      <c r="FY411" s="26">
        <v>0</v>
      </c>
      <c r="FZ411" s="26">
        <v>0</v>
      </c>
      <c r="GA411" s="26">
        <v>0</v>
      </c>
      <c r="GB411" s="26">
        <v>0</v>
      </c>
      <c r="GC411" s="26">
        <v>0</v>
      </c>
      <c r="GD411" s="26">
        <v>0</v>
      </c>
      <c r="GE411" s="26">
        <v>0</v>
      </c>
      <c r="GF411" s="26">
        <v>0</v>
      </c>
      <c r="GG411" s="26">
        <v>0</v>
      </c>
      <c r="GH411" s="26">
        <v>0</v>
      </c>
      <c r="GI411" s="26">
        <v>0</v>
      </c>
      <c r="GJ411" s="26">
        <v>0</v>
      </c>
      <c r="GK411" s="26">
        <v>0</v>
      </c>
      <c r="GL411" s="26">
        <v>0</v>
      </c>
      <c r="GM411" s="26">
        <v>0</v>
      </c>
      <c r="GN411" s="26">
        <v>0</v>
      </c>
      <c r="GO411" s="26">
        <v>0</v>
      </c>
      <c r="GP411" s="26">
        <v>0</v>
      </c>
      <c r="GQ411" s="26">
        <v>0</v>
      </c>
      <c r="GR411" s="26">
        <v>0</v>
      </c>
      <c r="GS411" s="26">
        <v>12.981346881628554</v>
      </c>
      <c r="GT411" s="26">
        <v>48.834592335121179</v>
      </c>
      <c r="GU411" s="26">
        <v>0</v>
      </c>
      <c r="GV411" s="26">
        <v>0</v>
      </c>
      <c r="GW411" s="26">
        <v>0</v>
      </c>
      <c r="GX411" s="26">
        <v>0</v>
      </c>
      <c r="GY411" s="26">
        <v>0</v>
      </c>
      <c r="GZ411" s="26">
        <v>0</v>
      </c>
      <c r="HA411" s="26">
        <v>0</v>
      </c>
      <c r="HB411" s="26">
        <v>0</v>
      </c>
      <c r="HC411" s="26">
        <v>0</v>
      </c>
      <c r="HD411" s="26">
        <v>0</v>
      </c>
      <c r="HE411" s="26">
        <v>0</v>
      </c>
      <c r="HF411" s="26">
        <v>0</v>
      </c>
      <c r="HG411" s="26">
        <v>0</v>
      </c>
      <c r="HH411" s="26">
        <v>0</v>
      </c>
      <c r="HI411" s="26">
        <v>0</v>
      </c>
      <c r="HJ411" s="26">
        <v>0</v>
      </c>
      <c r="HK411" s="26">
        <v>0</v>
      </c>
      <c r="HL411" s="26">
        <v>0</v>
      </c>
      <c r="HM411" s="26">
        <v>0</v>
      </c>
      <c r="HN411" s="26">
        <v>0</v>
      </c>
      <c r="HO411" s="26">
        <v>0</v>
      </c>
      <c r="HP411" s="26">
        <v>0</v>
      </c>
      <c r="HQ411" s="26">
        <v>0</v>
      </c>
      <c r="HR411" s="26">
        <v>0</v>
      </c>
      <c r="HS411" s="26">
        <v>0</v>
      </c>
      <c r="HT411" s="26">
        <v>0</v>
      </c>
    </row>
    <row r="412" spans="2:228" x14ac:dyDescent="0.2">
      <c r="B412" s="27" t="s">
        <v>1471</v>
      </c>
      <c r="C412" s="26">
        <v>1373006.62</v>
      </c>
      <c r="D412" s="26">
        <v>-5226.0979600000001</v>
      </c>
      <c r="E412" s="26">
        <v>1373006.62</v>
      </c>
      <c r="F412" s="26">
        <v>0</v>
      </c>
      <c r="G412" s="26">
        <v>0</v>
      </c>
      <c r="H412" s="26">
        <v>0</v>
      </c>
      <c r="I412" s="26">
        <v>0</v>
      </c>
      <c r="J412" s="26">
        <v>0</v>
      </c>
      <c r="K412" s="26">
        <v>0</v>
      </c>
      <c r="L412" s="26">
        <v>0</v>
      </c>
      <c r="M412" s="26">
        <v>0</v>
      </c>
      <c r="N412" s="26">
        <v>0</v>
      </c>
      <c r="O412" s="26">
        <v>0</v>
      </c>
      <c r="P412" s="26">
        <v>0</v>
      </c>
      <c r="Q412" s="26">
        <v>0</v>
      </c>
      <c r="R412" s="26">
        <v>0</v>
      </c>
      <c r="S412" s="26">
        <v>0</v>
      </c>
      <c r="T412" s="26">
        <v>0</v>
      </c>
      <c r="U412" s="26">
        <v>0</v>
      </c>
      <c r="V412" s="26">
        <v>0</v>
      </c>
      <c r="W412" s="26">
        <v>0</v>
      </c>
      <c r="X412" s="26">
        <v>0</v>
      </c>
      <c r="Y412" s="26">
        <v>0</v>
      </c>
      <c r="Z412" s="26">
        <v>0</v>
      </c>
      <c r="AA412" s="26">
        <v>0</v>
      </c>
      <c r="AB412" s="26">
        <v>0</v>
      </c>
      <c r="AC412" s="26">
        <v>0</v>
      </c>
      <c r="AD412" s="26">
        <v>0</v>
      </c>
      <c r="AE412" s="26">
        <v>0</v>
      </c>
      <c r="AF412" s="26">
        <v>0</v>
      </c>
      <c r="AG412" s="26">
        <v>0</v>
      </c>
      <c r="AH412" s="26">
        <v>0</v>
      </c>
      <c r="AI412" s="26">
        <v>0</v>
      </c>
      <c r="AJ412" s="26">
        <v>0</v>
      </c>
      <c r="AK412" s="26">
        <v>0</v>
      </c>
      <c r="AL412" s="26">
        <v>0</v>
      </c>
      <c r="AM412" s="26">
        <v>0</v>
      </c>
      <c r="AN412" s="26">
        <v>0</v>
      </c>
      <c r="AO412" s="26">
        <v>0</v>
      </c>
      <c r="AP412" s="26">
        <v>0</v>
      </c>
      <c r="AQ412" s="26">
        <v>0</v>
      </c>
      <c r="AR412" s="26">
        <v>0</v>
      </c>
      <c r="AS412" s="26">
        <v>0</v>
      </c>
      <c r="AT412" s="26">
        <v>0</v>
      </c>
      <c r="AU412" s="26">
        <v>0</v>
      </c>
      <c r="AV412" s="26">
        <v>0</v>
      </c>
      <c r="AW412" s="26">
        <v>0</v>
      </c>
      <c r="AX412" s="26">
        <v>0</v>
      </c>
      <c r="AY412" s="26">
        <v>0</v>
      </c>
      <c r="AZ412" s="26">
        <v>0</v>
      </c>
      <c r="BA412" s="26">
        <v>0</v>
      </c>
      <c r="BB412" s="26">
        <v>0</v>
      </c>
      <c r="BC412" s="26">
        <v>0</v>
      </c>
      <c r="BD412" s="26">
        <v>0</v>
      </c>
      <c r="BE412" s="26">
        <v>0</v>
      </c>
      <c r="BF412" s="26">
        <v>0</v>
      </c>
      <c r="BG412" s="26">
        <v>0</v>
      </c>
      <c r="BH412" s="26">
        <v>0</v>
      </c>
      <c r="BI412" s="26">
        <v>0</v>
      </c>
      <c r="BJ412" s="26">
        <v>0</v>
      </c>
      <c r="BK412" s="26">
        <v>0</v>
      </c>
      <c r="BL412" s="26">
        <v>0</v>
      </c>
      <c r="BM412" s="26">
        <v>0</v>
      </c>
      <c r="BN412" s="26">
        <v>0</v>
      </c>
      <c r="BO412" s="26">
        <v>76213.448699999994</v>
      </c>
      <c r="BP412" s="26">
        <v>1373006.62</v>
      </c>
      <c r="BQ412" s="26">
        <v>22567.6718</v>
      </c>
      <c r="BR412" s="26">
        <v>4</v>
      </c>
      <c r="BS412" s="26">
        <v>4.0827578000000004</v>
      </c>
      <c r="BT412" s="26">
        <v>0</v>
      </c>
      <c r="BU412" s="26">
        <v>1</v>
      </c>
      <c r="BV412" s="26">
        <v>0</v>
      </c>
      <c r="BW412" s="26">
        <v>-68571.859800000006</v>
      </c>
      <c r="BX412" s="26">
        <v>-3806.3166299999998</v>
      </c>
      <c r="BY412" s="26">
        <v>-5226.0979600000001</v>
      </c>
      <c r="BZ412" s="26">
        <v>-40.0124651</v>
      </c>
      <c r="CA412" s="26">
        <v>-2.22102932</v>
      </c>
      <c r="CB412" s="26">
        <v>5.6285120700000003E-2</v>
      </c>
      <c r="CC412" s="26">
        <v>1.0139922100000001</v>
      </c>
      <c r="CD412" s="26">
        <v>18.015280000000001</v>
      </c>
      <c r="CE412" s="26">
        <v>22927.5455</v>
      </c>
      <c r="CF412" s="26">
        <v>0</v>
      </c>
      <c r="CG412" s="26">
        <v>0</v>
      </c>
      <c r="CH412" s="26">
        <v>0</v>
      </c>
      <c r="CI412" s="26">
        <v>0</v>
      </c>
      <c r="CJ412" s="26">
        <v>0</v>
      </c>
      <c r="CK412" s="26">
        <v>0</v>
      </c>
      <c r="CL412" s="26">
        <v>0</v>
      </c>
      <c r="CM412" s="26">
        <v>0</v>
      </c>
      <c r="CN412" s="26">
        <v>0</v>
      </c>
      <c r="CO412" s="26">
        <v>0</v>
      </c>
      <c r="CP412" s="26">
        <v>0</v>
      </c>
      <c r="CQ412" s="26">
        <v>0</v>
      </c>
      <c r="CR412" s="26">
        <v>0</v>
      </c>
      <c r="CS412" s="26">
        <v>0</v>
      </c>
      <c r="CT412" s="26">
        <v>0</v>
      </c>
      <c r="CU412" s="26">
        <v>0</v>
      </c>
      <c r="CV412" s="26">
        <v>0</v>
      </c>
      <c r="CW412" s="26">
        <v>0</v>
      </c>
      <c r="CX412" s="26">
        <v>0</v>
      </c>
      <c r="CY412" s="26">
        <v>0</v>
      </c>
      <c r="CZ412" s="26">
        <v>0</v>
      </c>
      <c r="DA412" s="26">
        <v>0</v>
      </c>
      <c r="DB412" s="26">
        <v>0</v>
      </c>
      <c r="DC412" s="26">
        <v>0</v>
      </c>
      <c r="DD412" s="26">
        <v>0</v>
      </c>
      <c r="DE412" s="26">
        <v>0</v>
      </c>
      <c r="DF412" s="26">
        <v>0</v>
      </c>
      <c r="DG412" s="26">
        <v>0</v>
      </c>
      <c r="DH412" s="26">
        <v>0</v>
      </c>
      <c r="DI412" s="26">
        <v>0</v>
      </c>
      <c r="DJ412" s="26">
        <v>0</v>
      </c>
      <c r="DK412" s="26">
        <v>0</v>
      </c>
      <c r="DL412" s="26">
        <v>0</v>
      </c>
      <c r="DM412" s="26">
        <v>0</v>
      </c>
      <c r="DN412" s="26">
        <v>0</v>
      </c>
      <c r="DO412" s="26">
        <v>0</v>
      </c>
      <c r="DP412" s="26">
        <v>0</v>
      </c>
      <c r="DQ412" s="26">
        <v>0</v>
      </c>
      <c r="DR412" s="26">
        <v>0</v>
      </c>
      <c r="DS412" s="26">
        <v>0</v>
      </c>
      <c r="DT412" s="26">
        <v>0</v>
      </c>
      <c r="DU412" s="26">
        <v>0</v>
      </c>
      <c r="DV412" s="26">
        <v>0</v>
      </c>
      <c r="DW412" s="26">
        <v>0</v>
      </c>
      <c r="DX412" s="26">
        <v>0</v>
      </c>
      <c r="DY412" s="26">
        <v>0</v>
      </c>
      <c r="DZ412" s="26">
        <v>0</v>
      </c>
      <c r="EA412" s="26">
        <v>0</v>
      </c>
      <c r="EB412" s="26">
        <v>0</v>
      </c>
      <c r="EC412" s="26">
        <v>0</v>
      </c>
      <c r="ED412" s="26">
        <v>0</v>
      </c>
      <c r="EE412" s="26">
        <v>0</v>
      </c>
      <c r="EF412" s="26">
        <v>0</v>
      </c>
      <c r="EG412" s="26">
        <v>0</v>
      </c>
      <c r="EH412" s="26">
        <v>0</v>
      </c>
      <c r="EI412" s="26">
        <v>0</v>
      </c>
      <c r="EJ412" s="26">
        <v>0</v>
      </c>
      <c r="EK412" s="26">
        <v>0</v>
      </c>
      <c r="EL412" s="26">
        <v>0</v>
      </c>
      <c r="EM412" s="26">
        <v>0</v>
      </c>
      <c r="EN412" s="26">
        <v>0</v>
      </c>
      <c r="EO412" s="26">
        <v>0</v>
      </c>
      <c r="EP412" s="26">
        <v>0</v>
      </c>
      <c r="EQ412" s="26">
        <v>0</v>
      </c>
      <c r="ER412" s="26">
        <v>0</v>
      </c>
      <c r="ES412" s="26">
        <v>0</v>
      </c>
      <c r="ET412" s="26">
        <v>4.0827578000000004</v>
      </c>
      <c r="EU412" s="26">
        <v>0</v>
      </c>
      <c r="EV412" s="26">
        <v>0</v>
      </c>
      <c r="EW412" s="26">
        <v>0</v>
      </c>
      <c r="EX412" s="26">
        <v>0</v>
      </c>
      <c r="EY412" s="26">
        <v>0</v>
      </c>
      <c r="EZ412" s="26">
        <v>0</v>
      </c>
      <c r="FA412" s="26">
        <v>0</v>
      </c>
      <c r="FB412" s="26">
        <v>0</v>
      </c>
      <c r="FC412" s="26">
        <v>0</v>
      </c>
      <c r="FD412" s="26">
        <v>0</v>
      </c>
      <c r="FE412" s="26">
        <v>0</v>
      </c>
      <c r="FF412" s="26">
        <v>0</v>
      </c>
      <c r="FG412" s="26">
        <v>0</v>
      </c>
      <c r="FH412" s="26">
        <v>-6047843718.2800007</v>
      </c>
      <c r="FI412" s="26">
        <v>0</v>
      </c>
      <c r="FJ412" s="26">
        <v>0</v>
      </c>
      <c r="FK412" s="26">
        <v>0</v>
      </c>
      <c r="FL412" s="26">
        <v>0</v>
      </c>
      <c r="FM412" s="26">
        <v>0</v>
      </c>
      <c r="FN412" s="26">
        <v>0</v>
      </c>
      <c r="FO412" s="26">
        <v>0</v>
      </c>
      <c r="FP412" s="26">
        <v>0</v>
      </c>
      <c r="FQ412" s="26">
        <v>0</v>
      </c>
      <c r="FR412" s="26">
        <v>0</v>
      </c>
      <c r="FS412" s="26">
        <v>0</v>
      </c>
      <c r="FT412" s="26">
        <v>0</v>
      </c>
      <c r="FU412" s="26">
        <v>0</v>
      </c>
      <c r="FV412" s="26">
        <v>0</v>
      </c>
      <c r="FW412" s="26">
        <v>0</v>
      </c>
      <c r="FX412" s="26">
        <v>0</v>
      </c>
      <c r="FY412" s="26">
        <v>0</v>
      </c>
      <c r="FZ412" s="26">
        <v>0</v>
      </c>
      <c r="GA412" s="26">
        <v>0</v>
      </c>
      <c r="GB412" s="26">
        <v>0</v>
      </c>
      <c r="GC412" s="26">
        <v>0</v>
      </c>
      <c r="GD412" s="26">
        <v>0</v>
      </c>
      <c r="GE412" s="26">
        <v>0</v>
      </c>
      <c r="GF412" s="26">
        <v>0</v>
      </c>
      <c r="GG412" s="26">
        <v>0</v>
      </c>
      <c r="GH412" s="26">
        <v>0</v>
      </c>
      <c r="GI412" s="26">
        <v>0</v>
      </c>
      <c r="GJ412" s="26">
        <v>0</v>
      </c>
      <c r="GK412" s="26">
        <v>0</v>
      </c>
      <c r="GL412" s="26">
        <v>0</v>
      </c>
      <c r="GM412" s="26">
        <v>0</v>
      </c>
      <c r="GN412" s="26">
        <v>0</v>
      </c>
      <c r="GO412" s="26">
        <v>0</v>
      </c>
      <c r="GP412" s="26">
        <v>0</v>
      </c>
      <c r="GQ412" s="26">
        <v>0</v>
      </c>
      <c r="GR412" s="26">
        <v>0</v>
      </c>
      <c r="GS412" s="26">
        <v>0</v>
      </c>
      <c r="GT412" s="26">
        <v>0</v>
      </c>
      <c r="GU412" s="26">
        <v>0</v>
      </c>
      <c r="GV412" s="26">
        <v>0</v>
      </c>
      <c r="GW412" s="26">
        <v>0</v>
      </c>
      <c r="GX412" s="26">
        <v>0</v>
      </c>
      <c r="GY412" s="26">
        <v>0</v>
      </c>
      <c r="GZ412" s="26">
        <v>0</v>
      </c>
      <c r="HA412" s="26">
        <v>0</v>
      </c>
      <c r="HB412" s="26">
        <v>0</v>
      </c>
      <c r="HC412" s="26">
        <v>0</v>
      </c>
      <c r="HD412" s="26">
        <v>0</v>
      </c>
      <c r="HE412" s="26">
        <v>0</v>
      </c>
      <c r="HF412" s="26">
        <v>0</v>
      </c>
      <c r="HG412" s="26">
        <v>0</v>
      </c>
      <c r="HH412" s="26">
        <v>0</v>
      </c>
      <c r="HI412" s="26">
        <v>0</v>
      </c>
      <c r="HJ412" s="26">
        <v>0</v>
      </c>
      <c r="HK412" s="26">
        <v>0</v>
      </c>
      <c r="HL412" s="26">
        <v>0</v>
      </c>
      <c r="HM412" s="26">
        <v>0</v>
      </c>
      <c r="HN412" s="26">
        <v>0</v>
      </c>
      <c r="HO412" s="26">
        <v>0</v>
      </c>
      <c r="HP412" s="26">
        <v>0</v>
      </c>
      <c r="HQ412" s="26">
        <v>0</v>
      </c>
      <c r="HR412" s="26">
        <v>0</v>
      </c>
      <c r="HS412" s="26">
        <v>0</v>
      </c>
      <c r="HT412" s="26">
        <v>0</v>
      </c>
    </row>
    <row r="413" spans="2:228" x14ac:dyDescent="0.2">
      <c r="B413" s="27" t="s">
        <v>1475</v>
      </c>
      <c r="C413" s="26">
        <v>1373006.62</v>
      </c>
      <c r="D413" s="26">
        <v>-5212.6536699999997</v>
      </c>
      <c r="E413" s="26">
        <v>1373006.62</v>
      </c>
      <c r="F413" s="26">
        <v>0</v>
      </c>
      <c r="G413" s="26">
        <v>0</v>
      </c>
      <c r="H413" s="26">
        <v>0</v>
      </c>
      <c r="I413" s="26">
        <v>0</v>
      </c>
      <c r="J413" s="26">
        <v>0</v>
      </c>
      <c r="K413" s="26">
        <v>0</v>
      </c>
      <c r="L413" s="26">
        <v>0</v>
      </c>
      <c r="M413" s="26">
        <v>0</v>
      </c>
      <c r="N413" s="26">
        <v>0</v>
      </c>
      <c r="O413" s="26">
        <v>0</v>
      </c>
      <c r="P413" s="26">
        <v>0</v>
      </c>
      <c r="Q413" s="26">
        <v>0</v>
      </c>
      <c r="R413" s="26">
        <v>0</v>
      </c>
      <c r="S413" s="26">
        <v>0</v>
      </c>
      <c r="T413" s="26">
        <v>0</v>
      </c>
      <c r="U413" s="26">
        <v>0</v>
      </c>
      <c r="V413" s="26">
        <v>0</v>
      </c>
      <c r="W413" s="26">
        <v>0</v>
      </c>
      <c r="X413" s="26">
        <v>0</v>
      </c>
      <c r="Y413" s="26">
        <v>0</v>
      </c>
      <c r="Z413" s="26">
        <v>0</v>
      </c>
      <c r="AA413" s="26">
        <v>0</v>
      </c>
      <c r="AB413" s="26">
        <v>0</v>
      </c>
      <c r="AC413" s="26">
        <v>0</v>
      </c>
      <c r="AD413" s="26">
        <v>0</v>
      </c>
      <c r="AE413" s="26">
        <v>0</v>
      </c>
      <c r="AF413" s="26">
        <v>0</v>
      </c>
      <c r="AG413" s="26">
        <v>0</v>
      </c>
      <c r="AH413" s="26">
        <v>0</v>
      </c>
      <c r="AI413" s="26">
        <v>0</v>
      </c>
      <c r="AJ413" s="26">
        <v>0</v>
      </c>
      <c r="AK413" s="26">
        <v>0</v>
      </c>
      <c r="AL413" s="26">
        <v>0</v>
      </c>
      <c r="AM413" s="26">
        <v>0</v>
      </c>
      <c r="AN413" s="26">
        <v>0</v>
      </c>
      <c r="AO413" s="26">
        <v>0</v>
      </c>
      <c r="AP413" s="26">
        <v>0</v>
      </c>
      <c r="AQ413" s="26">
        <v>0</v>
      </c>
      <c r="AR413" s="26">
        <v>0</v>
      </c>
      <c r="AS413" s="26">
        <v>0</v>
      </c>
      <c r="AT413" s="26">
        <v>0</v>
      </c>
      <c r="AU413" s="26">
        <v>0</v>
      </c>
      <c r="AV413" s="26">
        <v>0</v>
      </c>
      <c r="AW413" s="26">
        <v>0</v>
      </c>
      <c r="AX413" s="26">
        <v>0</v>
      </c>
      <c r="AY413" s="26">
        <v>0</v>
      </c>
      <c r="AZ413" s="26">
        <v>0</v>
      </c>
      <c r="BA413" s="26">
        <v>0</v>
      </c>
      <c r="BB413" s="26">
        <v>0</v>
      </c>
      <c r="BC413" s="26">
        <v>0</v>
      </c>
      <c r="BD413" s="26">
        <v>0</v>
      </c>
      <c r="BE413" s="26">
        <v>0</v>
      </c>
      <c r="BF413" s="26">
        <v>0</v>
      </c>
      <c r="BG413" s="26">
        <v>0</v>
      </c>
      <c r="BH413" s="26">
        <v>0</v>
      </c>
      <c r="BI413" s="26">
        <v>0</v>
      </c>
      <c r="BJ413" s="26">
        <v>0</v>
      </c>
      <c r="BK413" s="26">
        <v>0</v>
      </c>
      <c r="BL413" s="26">
        <v>0</v>
      </c>
      <c r="BM413" s="26">
        <v>0</v>
      </c>
      <c r="BN413" s="26">
        <v>0</v>
      </c>
      <c r="BO413" s="26">
        <v>76213.448699999994</v>
      </c>
      <c r="BP413" s="26">
        <v>1373006.62</v>
      </c>
      <c r="BQ413" s="26">
        <v>22802.448</v>
      </c>
      <c r="BR413" s="26">
        <v>15</v>
      </c>
      <c r="BS413" s="26">
        <v>4.0827578000000004</v>
      </c>
      <c r="BT413" s="26">
        <v>0</v>
      </c>
      <c r="BU413" s="26">
        <v>1</v>
      </c>
      <c r="BV413" s="26">
        <v>0</v>
      </c>
      <c r="BW413" s="26">
        <v>-68395.456699999995</v>
      </c>
      <c r="BX413" s="26">
        <v>-3796.52477</v>
      </c>
      <c r="BY413" s="26">
        <v>-5212.6536699999997</v>
      </c>
      <c r="BZ413" s="26">
        <v>-39.3999618</v>
      </c>
      <c r="CA413" s="26">
        <v>-2.18703022</v>
      </c>
      <c r="CB413" s="26">
        <v>5.57056036E-2</v>
      </c>
      <c r="CC413" s="26">
        <v>1.0035520499999999</v>
      </c>
      <c r="CD413" s="26">
        <v>18.015280000000001</v>
      </c>
      <c r="CE413" s="26">
        <v>22927.5455</v>
      </c>
      <c r="CF413" s="26">
        <v>0</v>
      </c>
      <c r="CG413" s="26">
        <v>0</v>
      </c>
      <c r="CH413" s="26">
        <v>0</v>
      </c>
      <c r="CI413" s="26">
        <v>0</v>
      </c>
      <c r="CJ413" s="26">
        <v>0</v>
      </c>
      <c r="CK413" s="26">
        <v>0</v>
      </c>
      <c r="CL413" s="26">
        <v>0</v>
      </c>
      <c r="CM413" s="26">
        <v>0</v>
      </c>
      <c r="CN413" s="26">
        <v>0</v>
      </c>
      <c r="CO413" s="26">
        <v>0</v>
      </c>
      <c r="CP413" s="26">
        <v>0</v>
      </c>
      <c r="CQ413" s="26">
        <v>0</v>
      </c>
      <c r="CR413" s="26">
        <v>0</v>
      </c>
      <c r="CS413" s="26">
        <v>0</v>
      </c>
      <c r="CT413" s="26">
        <v>0</v>
      </c>
      <c r="CU413" s="26">
        <v>0</v>
      </c>
      <c r="CV413" s="26">
        <v>0</v>
      </c>
      <c r="CW413" s="26">
        <v>0</v>
      </c>
      <c r="CX413" s="26">
        <v>0</v>
      </c>
      <c r="CY413" s="26">
        <v>0</v>
      </c>
      <c r="CZ413" s="26">
        <v>0</v>
      </c>
      <c r="DA413" s="26">
        <v>0</v>
      </c>
      <c r="DB413" s="26">
        <v>0</v>
      </c>
      <c r="DC413" s="26">
        <v>0</v>
      </c>
      <c r="DD413" s="26">
        <v>0</v>
      </c>
      <c r="DE413" s="26">
        <v>0</v>
      </c>
      <c r="DF413" s="26">
        <v>0</v>
      </c>
      <c r="DG413" s="26">
        <v>0</v>
      </c>
      <c r="DH413" s="26">
        <v>0</v>
      </c>
      <c r="DI413" s="26">
        <v>0</v>
      </c>
      <c r="DJ413" s="26">
        <v>0</v>
      </c>
      <c r="DK413" s="26">
        <v>0</v>
      </c>
      <c r="DL413" s="26">
        <v>0</v>
      </c>
      <c r="DM413" s="26">
        <v>0</v>
      </c>
      <c r="DN413" s="26">
        <v>0</v>
      </c>
      <c r="DO413" s="26">
        <v>0</v>
      </c>
      <c r="DP413" s="26">
        <v>0</v>
      </c>
      <c r="DQ413" s="26">
        <v>0</v>
      </c>
      <c r="DR413" s="26">
        <v>0</v>
      </c>
      <c r="DS413" s="26">
        <v>0</v>
      </c>
      <c r="DT413" s="26">
        <v>0</v>
      </c>
      <c r="DU413" s="26">
        <v>0</v>
      </c>
      <c r="DV413" s="26">
        <v>0</v>
      </c>
      <c r="DW413" s="26">
        <v>0</v>
      </c>
      <c r="DX413" s="26">
        <v>0</v>
      </c>
      <c r="DY413" s="26">
        <v>0</v>
      </c>
      <c r="DZ413" s="26">
        <v>0</v>
      </c>
      <c r="EA413" s="26">
        <v>0</v>
      </c>
      <c r="EB413" s="26">
        <v>0</v>
      </c>
      <c r="EC413" s="26">
        <v>0</v>
      </c>
      <c r="ED413" s="26">
        <v>0</v>
      </c>
      <c r="EE413" s="26">
        <v>0</v>
      </c>
      <c r="EF413" s="26">
        <v>0</v>
      </c>
      <c r="EG413" s="26">
        <v>0</v>
      </c>
      <c r="EH413" s="26">
        <v>0</v>
      </c>
      <c r="EI413" s="26">
        <v>0</v>
      </c>
      <c r="EJ413" s="26">
        <v>0</v>
      </c>
      <c r="EK413" s="26">
        <v>0</v>
      </c>
      <c r="EL413" s="26">
        <v>0</v>
      </c>
      <c r="EM413" s="26">
        <v>0</v>
      </c>
      <c r="EN413" s="26">
        <v>0</v>
      </c>
      <c r="EO413" s="26">
        <v>0</v>
      </c>
      <c r="EP413" s="26">
        <v>0</v>
      </c>
      <c r="EQ413" s="26">
        <v>0</v>
      </c>
      <c r="ER413" s="26">
        <v>0</v>
      </c>
      <c r="ES413" s="26">
        <v>0</v>
      </c>
      <c r="ET413" s="26">
        <v>4.0827578000000004</v>
      </c>
      <c r="EU413" s="26">
        <v>0</v>
      </c>
      <c r="EV413" s="26">
        <v>0</v>
      </c>
      <c r="EW413" s="26">
        <v>0</v>
      </c>
      <c r="EX413" s="26">
        <v>0</v>
      </c>
      <c r="EY413" s="26">
        <v>0</v>
      </c>
      <c r="EZ413" s="26">
        <v>0</v>
      </c>
      <c r="FA413" s="26">
        <v>0</v>
      </c>
      <c r="FB413" s="26">
        <v>0</v>
      </c>
      <c r="FC413" s="26">
        <v>0</v>
      </c>
      <c r="FD413" s="26">
        <v>0</v>
      </c>
      <c r="FE413" s="26">
        <v>0</v>
      </c>
      <c r="FF413" s="26">
        <v>0</v>
      </c>
      <c r="FG413" s="26">
        <v>0</v>
      </c>
      <c r="FH413" s="26">
        <v>-6047843718.2800007</v>
      </c>
      <c r="FI413" s="26">
        <v>0</v>
      </c>
      <c r="FJ413" s="26">
        <v>0</v>
      </c>
      <c r="FK413" s="26">
        <v>0</v>
      </c>
      <c r="FL413" s="26">
        <v>0</v>
      </c>
      <c r="FM413" s="26">
        <v>0</v>
      </c>
      <c r="FN413" s="26">
        <v>0</v>
      </c>
      <c r="FO413" s="26">
        <v>0</v>
      </c>
      <c r="FP413" s="26">
        <v>0</v>
      </c>
      <c r="FQ413" s="26">
        <v>0</v>
      </c>
      <c r="FR413" s="26">
        <v>0</v>
      </c>
      <c r="FS413" s="26">
        <v>0</v>
      </c>
      <c r="FT413" s="26">
        <v>0</v>
      </c>
      <c r="FU413" s="26">
        <v>0</v>
      </c>
      <c r="FV413" s="26">
        <v>0</v>
      </c>
      <c r="FW413" s="26">
        <v>0</v>
      </c>
      <c r="FX413" s="26">
        <v>0</v>
      </c>
      <c r="FY413" s="26">
        <v>0</v>
      </c>
      <c r="FZ413" s="26">
        <v>0</v>
      </c>
      <c r="GA413" s="26">
        <v>0</v>
      </c>
      <c r="GB413" s="26">
        <v>0</v>
      </c>
      <c r="GC413" s="26">
        <v>0</v>
      </c>
      <c r="GD413" s="26">
        <v>0</v>
      </c>
      <c r="GE413" s="26">
        <v>0</v>
      </c>
      <c r="GF413" s="26">
        <v>0</v>
      </c>
      <c r="GG413" s="26">
        <v>0</v>
      </c>
      <c r="GH413" s="26">
        <v>0</v>
      </c>
      <c r="GI413" s="26">
        <v>0</v>
      </c>
      <c r="GJ413" s="26">
        <v>0</v>
      </c>
      <c r="GK413" s="26">
        <v>0</v>
      </c>
      <c r="GL413" s="26">
        <v>0</v>
      </c>
      <c r="GM413" s="26">
        <v>0</v>
      </c>
      <c r="GN413" s="26">
        <v>0</v>
      </c>
      <c r="GO413" s="26">
        <v>0</v>
      </c>
      <c r="GP413" s="26">
        <v>0</v>
      </c>
      <c r="GQ413" s="26">
        <v>0</v>
      </c>
      <c r="GR413" s="26">
        <v>0</v>
      </c>
      <c r="GS413" s="26">
        <v>0</v>
      </c>
      <c r="GT413" s="26">
        <v>0</v>
      </c>
      <c r="GU413" s="26">
        <v>0</v>
      </c>
      <c r="GV413" s="26">
        <v>0</v>
      </c>
      <c r="GW413" s="26">
        <v>0</v>
      </c>
      <c r="GX413" s="26">
        <v>0</v>
      </c>
      <c r="GY413" s="26">
        <v>0</v>
      </c>
      <c r="GZ413" s="26">
        <v>0</v>
      </c>
      <c r="HA413" s="26">
        <v>0</v>
      </c>
      <c r="HB413" s="26">
        <v>0</v>
      </c>
      <c r="HC413" s="26">
        <v>0</v>
      </c>
      <c r="HD413" s="26">
        <v>0</v>
      </c>
      <c r="HE413" s="26">
        <v>0</v>
      </c>
      <c r="HF413" s="26">
        <v>0</v>
      </c>
      <c r="HG413" s="26">
        <v>0</v>
      </c>
      <c r="HH413" s="26">
        <v>0</v>
      </c>
      <c r="HI413" s="26">
        <v>0</v>
      </c>
      <c r="HJ413" s="26">
        <v>0</v>
      </c>
      <c r="HK413" s="26">
        <v>0</v>
      </c>
      <c r="HL413" s="26">
        <v>0</v>
      </c>
      <c r="HM413" s="26">
        <v>0</v>
      </c>
      <c r="HN413" s="26">
        <v>0</v>
      </c>
      <c r="HO413" s="26">
        <v>0</v>
      </c>
      <c r="HP413" s="26">
        <v>0</v>
      </c>
      <c r="HQ413" s="26">
        <v>0</v>
      </c>
      <c r="HR413" s="26">
        <v>0</v>
      </c>
      <c r="HS413" s="26">
        <v>0</v>
      </c>
      <c r="HT413" s="26">
        <v>0</v>
      </c>
    </row>
    <row r="414" spans="2:228" x14ac:dyDescent="0.2">
      <c r="B414" s="27" t="s">
        <v>2455</v>
      </c>
      <c r="C414" s="26">
        <v>0</v>
      </c>
      <c r="D414" s="26">
        <v>0</v>
      </c>
      <c r="E414" s="26">
        <v>0</v>
      </c>
      <c r="F414" s="26">
        <v>0</v>
      </c>
      <c r="G414" s="26">
        <v>0</v>
      </c>
      <c r="H414" s="26">
        <v>0</v>
      </c>
      <c r="I414" s="26">
        <v>0</v>
      </c>
      <c r="J414" s="26">
        <v>0</v>
      </c>
      <c r="K414" s="26">
        <v>0</v>
      </c>
      <c r="L414" s="26">
        <v>0</v>
      </c>
      <c r="M414" s="26">
        <v>0</v>
      </c>
      <c r="N414" s="26">
        <v>0</v>
      </c>
      <c r="O414" s="26">
        <v>0</v>
      </c>
      <c r="P414" s="26">
        <v>0</v>
      </c>
      <c r="Q414" s="26">
        <v>0</v>
      </c>
      <c r="R414" s="26">
        <v>0</v>
      </c>
      <c r="S414" s="26">
        <v>0</v>
      </c>
      <c r="T414" s="26">
        <v>0</v>
      </c>
      <c r="U414" s="26">
        <v>0</v>
      </c>
      <c r="V414" s="26">
        <v>0</v>
      </c>
      <c r="W414" s="26">
        <v>0</v>
      </c>
      <c r="X414" s="26">
        <v>0</v>
      </c>
      <c r="Y414" s="26">
        <v>0</v>
      </c>
      <c r="Z414" s="26">
        <v>0</v>
      </c>
      <c r="AA414" s="26">
        <v>0</v>
      </c>
      <c r="AB414" s="26">
        <v>0</v>
      </c>
      <c r="AC414" s="26">
        <v>0</v>
      </c>
      <c r="AD414" s="26">
        <v>0</v>
      </c>
      <c r="AE414" s="26">
        <v>0</v>
      </c>
      <c r="AF414" s="26">
        <v>0</v>
      </c>
      <c r="AG414" s="26">
        <v>0</v>
      </c>
      <c r="AH414" s="26">
        <v>0</v>
      </c>
      <c r="AI414" s="26">
        <v>0</v>
      </c>
      <c r="AJ414" s="26">
        <v>0</v>
      </c>
      <c r="AK414" s="26">
        <v>0</v>
      </c>
      <c r="AL414" s="26">
        <v>0</v>
      </c>
      <c r="AM414" s="26">
        <v>0</v>
      </c>
      <c r="AN414" s="26">
        <v>0</v>
      </c>
      <c r="AO414" s="26">
        <v>0</v>
      </c>
      <c r="AP414" s="26">
        <v>0</v>
      </c>
      <c r="AQ414" s="26">
        <v>0</v>
      </c>
      <c r="AR414" s="26">
        <v>0</v>
      </c>
      <c r="AS414" s="26">
        <v>0</v>
      </c>
      <c r="AT414" s="26">
        <v>0</v>
      </c>
      <c r="AU414" s="26">
        <v>0</v>
      </c>
      <c r="AV414" s="26">
        <v>0</v>
      </c>
      <c r="AW414" s="26">
        <v>0</v>
      </c>
      <c r="AX414" s="26">
        <v>0</v>
      </c>
      <c r="AY414" s="26">
        <v>0</v>
      </c>
      <c r="AZ414" s="26">
        <v>0</v>
      </c>
      <c r="BA414" s="26">
        <v>0</v>
      </c>
      <c r="BB414" s="26">
        <v>0</v>
      </c>
      <c r="BC414" s="26">
        <v>0</v>
      </c>
      <c r="BD414" s="26">
        <v>0</v>
      </c>
      <c r="BE414" s="26">
        <v>0</v>
      </c>
      <c r="BF414" s="26">
        <v>0</v>
      </c>
      <c r="BG414" s="26">
        <v>0</v>
      </c>
      <c r="BH414" s="26">
        <v>0</v>
      </c>
      <c r="BI414" s="26">
        <v>0</v>
      </c>
      <c r="BJ414" s="26">
        <v>0</v>
      </c>
      <c r="BK414" s="26">
        <v>0</v>
      </c>
      <c r="BL414" s="26">
        <v>0</v>
      </c>
      <c r="BM414" s="26">
        <v>0</v>
      </c>
      <c r="BN414" s="26">
        <v>0</v>
      </c>
      <c r="BO414" s="26">
        <v>0</v>
      </c>
      <c r="BP414" s="26">
        <v>0</v>
      </c>
      <c r="BQ414" s="26">
        <v>0</v>
      </c>
      <c r="BR414" s="26">
        <v>0</v>
      </c>
      <c r="BS414" s="26">
        <v>0</v>
      </c>
      <c r="BT414" s="26">
        <v>0</v>
      </c>
      <c r="BU414" s="26">
        <v>0</v>
      </c>
      <c r="BV414" s="26">
        <v>0</v>
      </c>
      <c r="BW414" s="26">
        <v>0</v>
      </c>
      <c r="BX414" s="26">
        <v>0</v>
      </c>
      <c r="BY414" s="26">
        <v>0</v>
      </c>
      <c r="BZ414" s="26">
        <v>0</v>
      </c>
      <c r="CA414" s="26">
        <v>0</v>
      </c>
      <c r="CB414" s="26">
        <v>0</v>
      </c>
      <c r="CC414" s="26">
        <v>0</v>
      </c>
      <c r="CD414" s="26">
        <v>0</v>
      </c>
      <c r="CE414" s="26">
        <v>0</v>
      </c>
      <c r="CF414" s="26">
        <v>0</v>
      </c>
      <c r="CG414" s="26">
        <v>0</v>
      </c>
      <c r="CH414" s="26">
        <v>0</v>
      </c>
      <c r="CI414" s="26">
        <v>0</v>
      </c>
      <c r="CJ414" s="26">
        <v>0</v>
      </c>
      <c r="CK414" s="26">
        <v>0</v>
      </c>
      <c r="CL414" s="26">
        <v>0</v>
      </c>
      <c r="CM414" s="26">
        <v>0</v>
      </c>
      <c r="CN414" s="26">
        <v>0</v>
      </c>
      <c r="CO414" s="26">
        <v>0</v>
      </c>
      <c r="CP414" s="26">
        <v>0</v>
      </c>
      <c r="CQ414" s="26">
        <v>0</v>
      </c>
      <c r="CR414" s="26">
        <v>0</v>
      </c>
      <c r="CS414" s="26">
        <v>0</v>
      </c>
      <c r="CT414" s="26">
        <v>0</v>
      </c>
      <c r="CU414" s="26">
        <v>0</v>
      </c>
      <c r="CV414" s="26">
        <v>0</v>
      </c>
      <c r="CW414" s="26">
        <v>0</v>
      </c>
      <c r="CX414" s="26">
        <v>0</v>
      </c>
      <c r="CY414" s="26">
        <v>0</v>
      </c>
      <c r="CZ414" s="26">
        <v>0</v>
      </c>
      <c r="DA414" s="26">
        <v>0</v>
      </c>
      <c r="DB414" s="26">
        <v>0</v>
      </c>
      <c r="DC414" s="26">
        <v>0</v>
      </c>
      <c r="DD414" s="26">
        <v>0</v>
      </c>
      <c r="DE414" s="26">
        <v>0</v>
      </c>
      <c r="DF414" s="26">
        <v>0</v>
      </c>
      <c r="DG414" s="26">
        <v>0</v>
      </c>
      <c r="DH414" s="26">
        <v>0</v>
      </c>
      <c r="DI414" s="26">
        <v>0</v>
      </c>
      <c r="DJ414" s="26">
        <v>0</v>
      </c>
      <c r="DK414" s="26">
        <v>0</v>
      </c>
      <c r="DL414" s="26">
        <v>0</v>
      </c>
      <c r="DM414" s="26">
        <v>0</v>
      </c>
      <c r="DN414" s="26">
        <v>0</v>
      </c>
      <c r="DO414" s="26">
        <v>0</v>
      </c>
      <c r="DP414" s="26">
        <v>0</v>
      </c>
      <c r="DQ414" s="26">
        <v>0</v>
      </c>
      <c r="DR414" s="26">
        <v>0</v>
      </c>
      <c r="DS414" s="26">
        <v>0</v>
      </c>
      <c r="DT414" s="26">
        <v>0</v>
      </c>
      <c r="DU414" s="26">
        <v>0</v>
      </c>
      <c r="DV414" s="26">
        <v>0</v>
      </c>
      <c r="DW414" s="26">
        <v>0</v>
      </c>
      <c r="DX414" s="26">
        <v>0</v>
      </c>
      <c r="DY414" s="26">
        <v>0</v>
      </c>
      <c r="DZ414" s="26">
        <v>0</v>
      </c>
      <c r="EA414" s="26">
        <v>0</v>
      </c>
      <c r="EB414" s="26">
        <v>0</v>
      </c>
      <c r="EC414" s="26">
        <v>0</v>
      </c>
      <c r="ED414" s="26">
        <v>0</v>
      </c>
      <c r="EE414" s="26">
        <v>0</v>
      </c>
      <c r="EF414" s="26">
        <v>0</v>
      </c>
      <c r="EG414" s="26">
        <v>0</v>
      </c>
      <c r="EH414" s="26">
        <v>0</v>
      </c>
      <c r="EI414" s="26">
        <v>0</v>
      </c>
      <c r="EJ414" s="26">
        <v>0</v>
      </c>
      <c r="EK414" s="26">
        <v>0</v>
      </c>
      <c r="EL414" s="26">
        <v>0</v>
      </c>
      <c r="EM414" s="26">
        <v>0</v>
      </c>
      <c r="EN414" s="26">
        <v>0</v>
      </c>
      <c r="EO414" s="26">
        <v>0</v>
      </c>
      <c r="EP414" s="26">
        <v>0</v>
      </c>
      <c r="EQ414" s="26">
        <v>0</v>
      </c>
      <c r="ER414" s="26">
        <v>0</v>
      </c>
      <c r="ES414" s="26">
        <v>0</v>
      </c>
      <c r="ET414" s="26">
        <v>0</v>
      </c>
      <c r="EU414" s="26">
        <v>0</v>
      </c>
      <c r="EV414" s="26">
        <v>0</v>
      </c>
      <c r="EW414" s="26">
        <v>0</v>
      </c>
      <c r="EX414" s="26">
        <v>0</v>
      </c>
      <c r="EY414" s="26">
        <v>0</v>
      </c>
      <c r="EZ414" s="26">
        <v>0</v>
      </c>
      <c r="FA414" s="26">
        <v>0</v>
      </c>
      <c r="FB414" s="26">
        <v>0</v>
      </c>
      <c r="FC414" s="26">
        <v>0</v>
      </c>
      <c r="FD414" s="26">
        <v>0</v>
      </c>
      <c r="FE414" s="26">
        <v>0</v>
      </c>
      <c r="FF414" s="26">
        <v>0</v>
      </c>
      <c r="FG414" s="26">
        <v>0</v>
      </c>
      <c r="FH414" s="26">
        <v>0</v>
      </c>
      <c r="FI414" s="26">
        <v>0</v>
      </c>
      <c r="FJ414" s="26">
        <v>0</v>
      </c>
      <c r="FK414" s="26">
        <v>0</v>
      </c>
      <c r="FL414" s="26">
        <v>0</v>
      </c>
      <c r="FM414" s="26">
        <v>0</v>
      </c>
      <c r="FN414" s="26">
        <v>0</v>
      </c>
      <c r="FO414" s="26">
        <v>0</v>
      </c>
      <c r="FP414" s="26">
        <v>0</v>
      </c>
      <c r="FQ414" s="26">
        <v>0</v>
      </c>
      <c r="FR414" s="26">
        <v>0</v>
      </c>
      <c r="FS414" s="26">
        <v>0</v>
      </c>
      <c r="FT414" s="26">
        <v>0</v>
      </c>
      <c r="FU414" s="26">
        <v>0</v>
      </c>
      <c r="FV414" s="26">
        <v>0</v>
      </c>
      <c r="FW414" s="26">
        <v>0</v>
      </c>
      <c r="FX414" s="26">
        <v>0</v>
      </c>
      <c r="FY414" s="26">
        <v>0</v>
      </c>
      <c r="FZ414" s="26">
        <v>0</v>
      </c>
      <c r="GA414" s="26">
        <v>0</v>
      </c>
      <c r="GB414" s="26">
        <v>0</v>
      </c>
      <c r="GC414" s="26">
        <v>0</v>
      </c>
      <c r="GD414" s="26">
        <v>0</v>
      </c>
      <c r="GE414" s="26">
        <v>0</v>
      </c>
      <c r="GF414" s="26">
        <v>0</v>
      </c>
      <c r="GG414" s="26">
        <v>0</v>
      </c>
      <c r="GH414" s="26">
        <v>0</v>
      </c>
      <c r="GI414" s="26">
        <v>0</v>
      </c>
      <c r="GJ414" s="26">
        <v>0</v>
      </c>
      <c r="GK414" s="26">
        <v>0</v>
      </c>
      <c r="GL414" s="26">
        <v>0</v>
      </c>
      <c r="GM414" s="26">
        <v>0</v>
      </c>
      <c r="GN414" s="26">
        <v>0</v>
      </c>
      <c r="GO414" s="26">
        <v>0</v>
      </c>
      <c r="GP414" s="26">
        <v>0</v>
      </c>
      <c r="GQ414" s="26">
        <v>0</v>
      </c>
      <c r="GR414" s="26">
        <v>0</v>
      </c>
      <c r="GS414" s="26">
        <v>0</v>
      </c>
      <c r="GT414" s="26">
        <v>0</v>
      </c>
      <c r="GU414" s="26">
        <v>0</v>
      </c>
      <c r="GV414" s="26">
        <v>0</v>
      </c>
      <c r="GW414" s="26">
        <v>0</v>
      </c>
      <c r="GX414" s="26">
        <v>0</v>
      </c>
      <c r="GY414" s="26">
        <v>0</v>
      </c>
      <c r="GZ414" s="26">
        <v>0</v>
      </c>
      <c r="HA414" s="26">
        <v>0</v>
      </c>
      <c r="HB414" s="26">
        <v>0</v>
      </c>
      <c r="HC414" s="26">
        <v>0</v>
      </c>
      <c r="HD414" s="26">
        <v>0</v>
      </c>
      <c r="HE414" s="26">
        <v>0</v>
      </c>
      <c r="HF414" s="26">
        <v>0</v>
      </c>
      <c r="HG414" s="26">
        <v>0</v>
      </c>
      <c r="HH414" s="26">
        <v>0</v>
      </c>
      <c r="HI414" s="26">
        <v>0</v>
      </c>
      <c r="HJ414" s="26">
        <v>0</v>
      </c>
      <c r="HK414" s="26">
        <v>0</v>
      </c>
      <c r="HL414" s="26">
        <v>0</v>
      </c>
      <c r="HM414" s="26">
        <v>0</v>
      </c>
      <c r="HN414" s="26">
        <v>0</v>
      </c>
      <c r="HO414" s="26">
        <v>0</v>
      </c>
      <c r="HP414" s="26">
        <v>0</v>
      </c>
      <c r="HQ414" s="26">
        <v>0</v>
      </c>
      <c r="HR414" s="26">
        <v>0</v>
      </c>
      <c r="HS414" s="26">
        <v>0</v>
      </c>
      <c r="HT414" s="26">
        <v>0</v>
      </c>
    </row>
    <row r="415" spans="2:228" x14ac:dyDescent="0.2">
      <c r="B415" s="27" t="s">
        <v>2921</v>
      </c>
      <c r="C415" s="26">
        <v>11784082.800000001</v>
      </c>
      <c r="D415" s="26">
        <v>-44598.539199999999</v>
      </c>
      <c r="E415" s="26">
        <v>11783865.1</v>
      </c>
      <c r="F415" s="26">
        <v>0</v>
      </c>
      <c r="G415" s="26">
        <v>0</v>
      </c>
      <c r="H415" s="26">
        <v>0</v>
      </c>
      <c r="I415" s="26">
        <v>0</v>
      </c>
      <c r="J415" s="26">
        <v>0</v>
      </c>
      <c r="K415" s="26">
        <v>0</v>
      </c>
      <c r="L415" s="26">
        <v>0</v>
      </c>
      <c r="M415" s="26">
        <v>0</v>
      </c>
      <c r="N415" s="26">
        <v>0</v>
      </c>
      <c r="O415" s="26">
        <v>0</v>
      </c>
      <c r="P415" s="26">
        <v>0</v>
      </c>
      <c r="Q415" s="26">
        <v>0</v>
      </c>
      <c r="R415" s="26">
        <v>0</v>
      </c>
      <c r="S415" s="26">
        <v>0</v>
      </c>
      <c r="T415" s="26">
        <v>0</v>
      </c>
      <c r="U415" s="26">
        <v>0</v>
      </c>
      <c r="V415" s="26">
        <v>0</v>
      </c>
      <c r="W415" s="26">
        <v>0</v>
      </c>
      <c r="X415" s="26">
        <v>0</v>
      </c>
      <c r="Y415" s="26">
        <v>0</v>
      </c>
      <c r="Z415" s="26">
        <v>0</v>
      </c>
      <c r="AA415" s="26">
        <v>0</v>
      </c>
      <c r="AB415" s="26">
        <v>0</v>
      </c>
      <c r="AC415" s="26">
        <v>0</v>
      </c>
      <c r="AD415" s="26">
        <v>0</v>
      </c>
      <c r="AE415" s="26">
        <v>0</v>
      </c>
      <c r="AF415" s="26">
        <v>0</v>
      </c>
      <c r="AG415" s="26">
        <v>0</v>
      </c>
      <c r="AH415" s="26">
        <v>0</v>
      </c>
      <c r="AI415" s="26">
        <v>0</v>
      </c>
      <c r="AJ415" s="26">
        <v>0</v>
      </c>
      <c r="AK415" s="26">
        <v>0</v>
      </c>
      <c r="AL415" s="26">
        <v>0</v>
      </c>
      <c r="AM415" s="26">
        <v>0</v>
      </c>
      <c r="AN415" s="26">
        <v>79.796629699999997</v>
      </c>
      <c r="AO415" s="26">
        <v>137.905328</v>
      </c>
      <c r="AP415" s="26">
        <v>0</v>
      </c>
      <c r="AQ415" s="26">
        <v>0</v>
      </c>
      <c r="AR415" s="26">
        <v>0</v>
      </c>
      <c r="AS415" s="26">
        <v>0</v>
      </c>
      <c r="AT415" s="26">
        <v>0</v>
      </c>
      <c r="AU415" s="26">
        <v>0</v>
      </c>
      <c r="AV415" s="26">
        <v>0</v>
      </c>
      <c r="AW415" s="26">
        <v>0</v>
      </c>
      <c r="AX415" s="26">
        <v>0</v>
      </c>
      <c r="AY415" s="26">
        <v>0</v>
      </c>
      <c r="AZ415" s="26">
        <v>0</v>
      </c>
      <c r="BA415" s="26">
        <v>0</v>
      </c>
      <c r="BB415" s="26">
        <v>0</v>
      </c>
      <c r="BC415" s="26">
        <v>0</v>
      </c>
      <c r="BD415" s="26">
        <v>0</v>
      </c>
      <c r="BE415" s="26">
        <v>0</v>
      </c>
      <c r="BF415" s="26">
        <v>0</v>
      </c>
      <c r="BG415" s="26">
        <v>0</v>
      </c>
      <c r="BH415" s="26">
        <v>0</v>
      </c>
      <c r="BI415" s="26">
        <v>0</v>
      </c>
      <c r="BJ415" s="26">
        <v>0</v>
      </c>
      <c r="BK415" s="26">
        <v>0</v>
      </c>
      <c r="BL415" s="26">
        <v>0</v>
      </c>
      <c r="BM415" s="26">
        <v>0</v>
      </c>
      <c r="BN415" s="26">
        <v>0</v>
      </c>
      <c r="BO415" s="26">
        <v>654111.326</v>
      </c>
      <c r="BP415" s="26">
        <v>11784082.800000001</v>
      </c>
      <c r="BQ415" s="26">
        <v>198174.245</v>
      </c>
      <c r="BR415" s="26">
        <v>28</v>
      </c>
      <c r="BS415" s="26">
        <v>0.99687337200000004</v>
      </c>
      <c r="BT415" s="26">
        <v>0</v>
      </c>
      <c r="BU415" s="26">
        <v>1</v>
      </c>
      <c r="BV415" s="26">
        <v>0</v>
      </c>
      <c r="BW415" s="26">
        <v>-68181.878299999997</v>
      </c>
      <c r="BX415" s="26">
        <v>-3784.6423599999998</v>
      </c>
      <c r="BY415" s="26">
        <v>-44598.539199999999</v>
      </c>
      <c r="BZ415" s="26">
        <v>-38.685957899999998</v>
      </c>
      <c r="CA415" s="26">
        <v>-2.1473816600000002</v>
      </c>
      <c r="CB415" s="26">
        <v>5.50114638E-2</v>
      </c>
      <c r="CC415" s="26">
        <v>0.99105399599999999</v>
      </c>
      <c r="CD415" s="26">
        <v>18.015408600000001</v>
      </c>
      <c r="CE415" s="26">
        <v>196782.87700000001</v>
      </c>
      <c r="CF415" s="26">
        <v>0</v>
      </c>
      <c r="CG415" s="26">
        <v>0</v>
      </c>
      <c r="CH415" s="26">
        <v>0</v>
      </c>
      <c r="CI415" s="26">
        <v>0</v>
      </c>
      <c r="CJ415" s="26">
        <v>0</v>
      </c>
      <c r="CK415" s="26">
        <v>0</v>
      </c>
      <c r="CL415" s="26">
        <v>0</v>
      </c>
      <c r="CM415" s="26">
        <v>0</v>
      </c>
      <c r="CN415" s="26">
        <v>0</v>
      </c>
      <c r="CO415" s="26">
        <v>0</v>
      </c>
      <c r="CP415" s="26">
        <v>0</v>
      </c>
      <c r="CQ415" s="26">
        <v>0</v>
      </c>
      <c r="CR415" s="26">
        <v>0</v>
      </c>
      <c r="CS415" s="26">
        <v>0</v>
      </c>
      <c r="CT415" s="26">
        <v>0</v>
      </c>
      <c r="CU415" s="26">
        <v>0</v>
      </c>
      <c r="CV415" s="26">
        <v>0</v>
      </c>
      <c r="CW415" s="26">
        <v>0</v>
      </c>
      <c r="CX415" s="26">
        <v>0</v>
      </c>
      <c r="CY415" s="26">
        <v>0</v>
      </c>
      <c r="CZ415" s="26">
        <v>0</v>
      </c>
      <c r="DA415" s="26">
        <v>0</v>
      </c>
      <c r="DB415" s="26">
        <v>0</v>
      </c>
      <c r="DC415" s="26">
        <v>0</v>
      </c>
      <c r="DD415" s="26">
        <v>0</v>
      </c>
      <c r="DE415" s="26">
        <v>0</v>
      </c>
      <c r="DF415" s="26">
        <v>0</v>
      </c>
      <c r="DG415" s="26">
        <v>0</v>
      </c>
      <c r="DH415" s="26">
        <v>0</v>
      </c>
      <c r="DI415" s="26">
        <v>0</v>
      </c>
      <c r="DJ415" s="26">
        <v>0</v>
      </c>
      <c r="DK415" s="26">
        <v>0</v>
      </c>
      <c r="DL415" s="26">
        <v>0</v>
      </c>
      <c r="DM415" s="26">
        <v>0</v>
      </c>
      <c r="DN415" s="26">
        <v>0</v>
      </c>
      <c r="DO415" s="26">
        <v>0</v>
      </c>
      <c r="DP415" s="26">
        <v>0</v>
      </c>
      <c r="DQ415" s="26">
        <v>0</v>
      </c>
      <c r="DR415" s="26">
        <v>0</v>
      </c>
      <c r="DS415" s="26">
        <v>0</v>
      </c>
      <c r="DT415" s="26">
        <v>0</v>
      </c>
      <c r="DU415" s="26">
        <v>0</v>
      </c>
      <c r="DV415" s="26">
        <v>0</v>
      </c>
      <c r="DW415" s="26">
        <v>0</v>
      </c>
      <c r="DX415" s="26">
        <v>0</v>
      </c>
      <c r="DY415" s="26">
        <v>0</v>
      </c>
      <c r="DZ415" s="26">
        <v>0</v>
      </c>
      <c r="EA415" s="26">
        <v>0</v>
      </c>
      <c r="EB415" s="26">
        <v>0</v>
      </c>
      <c r="EC415" s="26">
        <v>0</v>
      </c>
      <c r="ED415" s="26">
        <v>0</v>
      </c>
      <c r="EE415" s="26">
        <v>0</v>
      </c>
      <c r="EF415" s="26">
        <v>0</v>
      </c>
      <c r="EG415" s="26">
        <v>0</v>
      </c>
      <c r="EH415" s="26">
        <v>0</v>
      </c>
      <c r="EI415" s="26">
        <v>0</v>
      </c>
      <c r="EJ415" s="26">
        <v>0</v>
      </c>
      <c r="EK415" s="26">
        <v>0</v>
      </c>
      <c r="EL415" s="26">
        <v>0</v>
      </c>
      <c r="EM415" s="26">
        <v>0</v>
      </c>
      <c r="EN415" s="26">
        <v>0</v>
      </c>
      <c r="EO415" s="26">
        <v>0</v>
      </c>
      <c r="EP415" s="26">
        <v>0</v>
      </c>
      <c r="EQ415" s="26">
        <v>0</v>
      </c>
      <c r="ER415" s="26">
        <v>0</v>
      </c>
      <c r="ES415" s="26">
        <v>0</v>
      </c>
      <c r="ET415" s="26">
        <v>0.99687337200000004</v>
      </c>
      <c r="EU415" s="26">
        <v>0</v>
      </c>
      <c r="EV415" s="26">
        <v>0</v>
      </c>
      <c r="EW415" s="26">
        <v>0</v>
      </c>
      <c r="EX415" s="26">
        <v>0</v>
      </c>
      <c r="EY415" s="26">
        <v>0</v>
      </c>
      <c r="EZ415" s="26">
        <v>0</v>
      </c>
      <c r="FA415" s="26">
        <v>0</v>
      </c>
      <c r="FB415" s="26">
        <v>0</v>
      </c>
      <c r="FC415" s="26">
        <v>0</v>
      </c>
      <c r="FD415" s="26">
        <v>0</v>
      </c>
      <c r="FE415" s="26">
        <v>0</v>
      </c>
      <c r="FF415" s="26">
        <v>0</v>
      </c>
      <c r="FG415" s="26">
        <v>0</v>
      </c>
      <c r="FH415" s="26">
        <v>-51905798687.900002</v>
      </c>
      <c r="FI415" s="26">
        <v>0</v>
      </c>
      <c r="FJ415" s="26">
        <v>0</v>
      </c>
      <c r="FK415" s="26">
        <v>0</v>
      </c>
      <c r="FL415" s="26">
        <v>0</v>
      </c>
      <c r="FM415" s="26">
        <v>0</v>
      </c>
      <c r="FN415" s="26">
        <v>0</v>
      </c>
      <c r="FO415" s="26">
        <v>0</v>
      </c>
      <c r="FP415" s="26">
        <v>0</v>
      </c>
      <c r="FQ415" s="26">
        <v>0</v>
      </c>
      <c r="FR415" s="26">
        <v>0</v>
      </c>
      <c r="FS415" s="26">
        <v>0</v>
      </c>
      <c r="FT415" s="26">
        <v>0</v>
      </c>
      <c r="FU415" s="26">
        <v>0</v>
      </c>
      <c r="FV415" s="26">
        <v>0</v>
      </c>
      <c r="FW415" s="26">
        <v>0</v>
      </c>
      <c r="FX415" s="26">
        <v>0</v>
      </c>
      <c r="FY415" s="26">
        <v>0</v>
      </c>
      <c r="FZ415" s="26">
        <v>0</v>
      </c>
      <c r="GA415" s="26">
        <v>0</v>
      </c>
      <c r="GB415" s="26">
        <v>0</v>
      </c>
      <c r="GC415" s="26">
        <v>0</v>
      </c>
      <c r="GD415" s="26">
        <v>0</v>
      </c>
      <c r="GE415" s="26">
        <v>0</v>
      </c>
      <c r="GF415" s="26">
        <v>0</v>
      </c>
      <c r="GG415" s="26">
        <v>0</v>
      </c>
      <c r="GH415" s="26">
        <v>0</v>
      </c>
      <c r="GI415" s="26">
        <v>0</v>
      </c>
      <c r="GJ415" s="26">
        <v>0</v>
      </c>
      <c r="GK415" s="26">
        <v>0</v>
      </c>
      <c r="GL415" s="26">
        <v>0</v>
      </c>
      <c r="GM415" s="26">
        <v>0</v>
      </c>
      <c r="GN415" s="26">
        <v>0</v>
      </c>
      <c r="GO415" s="26">
        <v>0</v>
      </c>
      <c r="GP415" s="26">
        <v>0</v>
      </c>
      <c r="GQ415" s="26">
        <v>0</v>
      </c>
      <c r="GR415" s="26">
        <v>0</v>
      </c>
      <c r="GS415" s="26">
        <v>0</v>
      </c>
      <c r="GT415" s="26">
        <v>0</v>
      </c>
      <c r="GU415" s="26">
        <v>0</v>
      </c>
      <c r="GV415" s="26">
        <v>0</v>
      </c>
      <c r="GW415" s="26">
        <v>0</v>
      </c>
      <c r="GX415" s="26">
        <v>0</v>
      </c>
      <c r="GY415" s="26">
        <v>0</v>
      </c>
      <c r="GZ415" s="26">
        <v>0</v>
      </c>
      <c r="HA415" s="26">
        <v>0</v>
      </c>
      <c r="HB415" s="26">
        <v>0</v>
      </c>
      <c r="HC415" s="26">
        <v>0</v>
      </c>
      <c r="HD415" s="26">
        <v>0</v>
      </c>
      <c r="HE415" s="26">
        <v>0</v>
      </c>
      <c r="HF415" s="26">
        <v>0</v>
      </c>
      <c r="HG415" s="26">
        <v>0</v>
      </c>
      <c r="HH415" s="26">
        <v>0</v>
      </c>
      <c r="HI415" s="26">
        <v>0</v>
      </c>
      <c r="HJ415" s="26">
        <v>0</v>
      </c>
      <c r="HK415" s="26">
        <v>0</v>
      </c>
      <c r="HL415" s="26">
        <v>0</v>
      </c>
      <c r="HM415" s="26">
        <v>0</v>
      </c>
      <c r="HN415" s="26">
        <v>0</v>
      </c>
      <c r="HO415" s="26">
        <v>0</v>
      </c>
      <c r="HP415" s="26">
        <v>0</v>
      </c>
      <c r="HQ415" s="26">
        <v>0</v>
      </c>
      <c r="HR415" s="26">
        <v>0</v>
      </c>
      <c r="HS415" s="26">
        <v>0</v>
      </c>
      <c r="HT415" s="26">
        <v>0</v>
      </c>
    </row>
    <row r="416" spans="2:228" x14ac:dyDescent="0.2">
      <c r="B416" s="27" t="s">
        <v>2922</v>
      </c>
      <c r="C416" s="26">
        <v>6686825.3399999999</v>
      </c>
      <c r="D416" s="26">
        <v>-834.79792299999997</v>
      </c>
      <c r="E416" s="26">
        <v>266533.55200000003</v>
      </c>
      <c r="F416" s="26">
        <v>0</v>
      </c>
      <c r="G416" s="26">
        <v>0</v>
      </c>
      <c r="H416" s="26">
        <v>0</v>
      </c>
      <c r="I416" s="26">
        <v>0</v>
      </c>
      <c r="J416" s="26">
        <v>0</v>
      </c>
      <c r="K416" s="26">
        <v>0</v>
      </c>
      <c r="L416" s="26">
        <v>0</v>
      </c>
      <c r="M416" s="26">
        <v>0</v>
      </c>
      <c r="N416" s="26">
        <v>0</v>
      </c>
      <c r="O416" s="26">
        <v>0</v>
      </c>
      <c r="P416" s="26">
        <v>0</v>
      </c>
      <c r="Q416" s="26">
        <v>0</v>
      </c>
      <c r="R416" s="26">
        <v>0</v>
      </c>
      <c r="S416" s="26">
        <v>0</v>
      </c>
      <c r="T416" s="26">
        <v>0</v>
      </c>
      <c r="U416" s="26">
        <v>0</v>
      </c>
      <c r="V416" s="26">
        <v>0</v>
      </c>
      <c r="W416" s="26">
        <v>0</v>
      </c>
      <c r="X416" s="26">
        <v>0</v>
      </c>
      <c r="Y416" s="26">
        <v>0</v>
      </c>
      <c r="Z416" s="26">
        <v>0</v>
      </c>
      <c r="AA416" s="26">
        <v>0</v>
      </c>
      <c r="AB416" s="26">
        <v>0</v>
      </c>
      <c r="AC416" s="26">
        <v>0</v>
      </c>
      <c r="AD416" s="26">
        <v>0</v>
      </c>
      <c r="AE416" s="26">
        <v>0</v>
      </c>
      <c r="AF416" s="26">
        <v>0</v>
      </c>
      <c r="AG416" s="26">
        <v>0</v>
      </c>
      <c r="AH416" s="26">
        <v>0</v>
      </c>
      <c r="AI416" s="26">
        <v>0</v>
      </c>
      <c r="AJ416" s="26">
        <v>0</v>
      </c>
      <c r="AK416" s="26">
        <v>0</v>
      </c>
      <c r="AL416" s="26">
        <v>0</v>
      </c>
      <c r="AM416" s="26">
        <v>0</v>
      </c>
      <c r="AN416" s="26">
        <v>1495395.07</v>
      </c>
      <c r="AO416" s="26">
        <v>4924896.72</v>
      </c>
      <c r="AP416" s="26">
        <v>0</v>
      </c>
      <c r="AQ416" s="26">
        <v>0</v>
      </c>
      <c r="AR416" s="26">
        <v>0</v>
      </c>
      <c r="AS416" s="26">
        <v>0</v>
      </c>
      <c r="AT416" s="26">
        <v>0</v>
      </c>
      <c r="AU416" s="26">
        <v>0</v>
      </c>
      <c r="AV416" s="26">
        <v>0</v>
      </c>
      <c r="AW416" s="26">
        <v>0</v>
      </c>
      <c r="AX416" s="26">
        <v>0</v>
      </c>
      <c r="AY416" s="26">
        <v>0</v>
      </c>
      <c r="AZ416" s="26">
        <v>0</v>
      </c>
      <c r="BA416" s="26">
        <v>0</v>
      </c>
      <c r="BB416" s="26">
        <v>0</v>
      </c>
      <c r="BC416" s="26">
        <v>0</v>
      </c>
      <c r="BD416" s="26">
        <v>0</v>
      </c>
      <c r="BE416" s="26">
        <v>0</v>
      </c>
      <c r="BF416" s="26">
        <v>0</v>
      </c>
      <c r="BG416" s="26">
        <v>0</v>
      </c>
      <c r="BH416" s="26">
        <v>0</v>
      </c>
      <c r="BI416" s="26">
        <v>0</v>
      </c>
      <c r="BJ416" s="26">
        <v>0</v>
      </c>
      <c r="BK416" s="26">
        <v>0</v>
      </c>
      <c r="BL416" s="26">
        <v>0</v>
      </c>
      <c r="BM416" s="26">
        <v>0</v>
      </c>
      <c r="BN416" s="26">
        <v>0</v>
      </c>
      <c r="BO416" s="26">
        <v>237332.24000000002</v>
      </c>
      <c r="BP416" s="26">
        <v>6686825.3399999999</v>
      </c>
      <c r="BQ416" s="26">
        <v>100969012</v>
      </c>
      <c r="BR416" s="26">
        <v>37</v>
      </c>
      <c r="BS416" s="26">
        <v>0.99687337200000004</v>
      </c>
      <c r="BT416" s="26">
        <v>0.99986218800000004</v>
      </c>
      <c r="BU416" s="26">
        <v>1.3781187799999999E-4</v>
      </c>
      <c r="BV416" s="26">
        <v>0</v>
      </c>
      <c r="BW416" s="26">
        <v>-3517.4231500000001</v>
      </c>
      <c r="BX416" s="26">
        <v>-124.842189</v>
      </c>
      <c r="BY416" s="26">
        <v>-834.79792299999997</v>
      </c>
      <c r="BZ416" s="26">
        <v>1.0392585400000001</v>
      </c>
      <c r="CA416" s="26">
        <v>3.6885897799999998E-2</v>
      </c>
      <c r="CB416" s="26">
        <v>3.9175755199999999E-5</v>
      </c>
      <c r="CC416" s="26">
        <v>1.10377516E-3</v>
      </c>
      <c r="CD416" s="26">
        <v>28.174955700000002</v>
      </c>
      <c r="CE416" s="26">
        <v>203094.326</v>
      </c>
      <c r="CF416" s="26">
        <v>0</v>
      </c>
      <c r="CG416" s="26">
        <v>0</v>
      </c>
      <c r="CH416" s="26">
        <v>0</v>
      </c>
      <c r="CI416" s="26">
        <v>0</v>
      </c>
      <c r="CJ416" s="26">
        <v>0</v>
      </c>
      <c r="CK416" s="26">
        <v>0</v>
      </c>
      <c r="CL416" s="26">
        <v>0</v>
      </c>
      <c r="CM416" s="26">
        <v>0</v>
      </c>
      <c r="CN416" s="26">
        <v>0</v>
      </c>
      <c r="CO416" s="26">
        <v>0</v>
      </c>
      <c r="CP416" s="26">
        <v>0</v>
      </c>
      <c r="CQ416" s="26">
        <v>0</v>
      </c>
      <c r="CR416" s="26">
        <v>0</v>
      </c>
      <c r="CS416" s="26">
        <v>0</v>
      </c>
      <c r="CT416" s="26">
        <v>0</v>
      </c>
      <c r="CU416" s="26">
        <v>0</v>
      </c>
      <c r="CV416" s="26">
        <v>0</v>
      </c>
      <c r="CW416" s="26">
        <v>0</v>
      </c>
      <c r="CX416" s="26">
        <v>0</v>
      </c>
      <c r="CY416" s="26">
        <v>0</v>
      </c>
      <c r="CZ416" s="26">
        <v>0</v>
      </c>
      <c r="DA416" s="26">
        <v>0</v>
      </c>
      <c r="DB416" s="26">
        <v>0</v>
      </c>
      <c r="DC416" s="26">
        <v>0</v>
      </c>
      <c r="DD416" s="26">
        <v>0</v>
      </c>
      <c r="DE416" s="26">
        <v>0</v>
      </c>
      <c r="DF416" s="26">
        <v>0</v>
      </c>
      <c r="DG416" s="26">
        <v>0</v>
      </c>
      <c r="DH416" s="26">
        <v>0</v>
      </c>
      <c r="DI416" s="26">
        <v>0</v>
      </c>
      <c r="DJ416" s="26">
        <v>0</v>
      </c>
      <c r="DK416" s="26">
        <v>0</v>
      </c>
      <c r="DL416" s="26">
        <v>0</v>
      </c>
      <c r="DM416" s="26">
        <v>0</v>
      </c>
      <c r="DN416" s="26">
        <v>0</v>
      </c>
      <c r="DO416" s="26">
        <v>0</v>
      </c>
      <c r="DP416" s="26">
        <v>0</v>
      </c>
      <c r="DQ416" s="26">
        <v>0</v>
      </c>
      <c r="DR416" s="26">
        <v>0</v>
      </c>
      <c r="DS416" s="26">
        <v>0</v>
      </c>
      <c r="DT416" s="26">
        <v>0</v>
      </c>
      <c r="DU416" s="26">
        <v>0</v>
      </c>
      <c r="DV416" s="26">
        <v>0</v>
      </c>
      <c r="DW416" s="26">
        <v>0</v>
      </c>
      <c r="DX416" s="26">
        <v>0</v>
      </c>
      <c r="DY416" s="26">
        <v>0</v>
      </c>
      <c r="DZ416" s="26">
        <v>0</v>
      </c>
      <c r="EA416" s="26">
        <v>0</v>
      </c>
      <c r="EB416" s="26">
        <v>0</v>
      </c>
      <c r="EC416" s="26">
        <v>0</v>
      </c>
      <c r="ED416" s="26">
        <v>0</v>
      </c>
      <c r="EE416" s="26">
        <v>0</v>
      </c>
      <c r="EF416" s="26">
        <v>0</v>
      </c>
      <c r="EG416" s="26">
        <v>0</v>
      </c>
      <c r="EH416" s="26">
        <v>0</v>
      </c>
      <c r="EI416" s="26">
        <v>0</v>
      </c>
      <c r="EJ416" s="26">
        <v>0</v>
      </c>
      <c r="EK416" s="26">
        <v>0</v>
      </c>
      <c r="EL416" s="26">
        <v>0</v>
      </c>
      <c r="EM416" s="26">
        <v>0</v>
      </c>
      <c r="EN416" s="26">
        <v>0</v>
      </c>
      <c r="EO416" s="26">
        <v>0</v>
      </c>
      <c r="EP416" s="26">
        <v>0</v>
      </c>
      <c r="EQ416" s="26">
        <v>0</v>
      </c>
      <c r="ER416" s="26">
        <v>0</v>
      </c>
      <c r="ES416" s="26">
        <v>0</v>
      </c>
      <c r="ET416" s="26">
        <v>0.99687337200000004</v>
      </c>
      <c r="EU416" s="26">
        <v>0</v>
      </c>
      <c r="EV416" s="26">
        <v>0</v>
      </c>
      <c r="EW416" s="26">
        <v>0</v>
      </c>
      <c r="EX416" s="26">
        <v>0</v>
      </c>
      <c r="EY416" s="26">
        <v>0</v>
      </c>
      <c r="EZ416" s="26">
        <v>0</v>
      </c>
      <c r="FA416" s="26">
        <v>0</v>
      </c>
      <c r="FB416" s="26">
        <v>0</v>
      </c>
      <c r="FC416" s="26">
        <v>0</v>
      </c>
      <c r="FD416" s="26">
        <v>0</v>
      </c>
      <c r="FE416" s="26">
        <v>0</v>
      </c>
      <c r="FF416" s="26">
        <v>0</v>
      </c>
      <c r="FG416" s="26">
        <v>0</v>
      </c>
      <c r="FH416" s="26">
        <v>-994177480.20599997</v>
      </c>
      <c r="FI416" s="26">
        <v>0</v>
      </c>
      <c r="FJ416" s="26">
        <v>4.1005982550270081</v>
      </c>
      <c r="FK416" s="26">
        <v>0</v>
      </c>
      <c r="FL416" s="26">
        <v>0</v>
      </c>
      <c r="FM416" s="26">
        <v>0</v>
      </c>
      <c r="FN416" s="26">
        <v>0</v>
      </c>
      <c r="FO416" s="26">
        <v>0</v>
      </c>
      <c r="FP416" s="26">
        <v>0</v>
      </c>
      <c r="FQ416" s="26">
        <v>0</v>
      </c>
      <c r="FR416" s="26">
        <v>0</v>
      </c>
      <c r="FS416" s="26">
        <v>0</v>
      </c>
      <c r="FT416" s="26">
        <v>0</v>
      </c>
      <c r="FU416" s="26">
        <v>0</v>
      </c>
      <c r="FV416" s="26">
        <v>0</v>
      </c>
      <c r="FW416" s="26">
        <v>0</v>
      </c>
      <c r="FX416" s="26">
        <v>0</v>
      </c>
      <c r="FY416" s="26">
        <v>0</v>
      </c>
      <c r="FZ416" s="26">
        <v>0</v>
      </c>
      <c r="GA416" s="26">
        <v>0</v>
      </c>
      <c r="GB416" s="26">
        <v>0</v>
      </c>
      <c r="GC416" s="26">
        <v>0</v>
      </c>
      <c r="GD416" s="26">
        <v>0</v>
      </c>
      <c r="GE416" s="26">
        <v>0</v>
      </c>
      <c r="GF416" s="26">
        <v>0</v>
      </c>
      <c r="GG416" s="26">
        <v>0</v>
      </c>
      <c r="GH416" s="26">
        <v>0</v>
      </c>
      <c r="GI416" s="26">
        <v>0</v>
      </c>
      <c r="GJ416" s="26">
        <v>0</v>
      </c>
      <c r="GK416" s="26">
        <v>0</v>
      </c>
      <c r="GL416" s="26">
        <v>0</v>
      </c>
      <c r="GM416" s="26">
        <v>0</v>
      </c>
      <c r="GN416" s="26">
        <v>0</v>
      </c>
      <c r="GO416" s="26">
        <v>0</v>
      </c>
      <c r="GP416" s="26">
        <v>0</v>
      </c>
      <c r="GQ416" s="26">
        <v>0</v>
      </c>
      <c r="GR416" s="26">
        <v>0</v>
      </c>
      <c r="GS416" s="26">
        <v>12.981346853850775</v>
      </c>
      <c r="GT416" s="26">
        <v>48.834592335121179</v>
      </c>
      <c r="GU416" s="26">
        <v>0</v>
      </c>
      <c r="GV416" s="26">
        <v>0</v>
      </c>
      <c r="GW416" s="26">
        <v>0</v>
      </c>
      <c r="GX416" s="26">
        <v>0</v>
      </c>
      <c r="GY416" s="26">
        <v>0</v>
      </c>
      <c r="GZ416" s="26">
        <v>0</v>
      </c>
      <c r="HA416" s="26">
        <v>0</v>
      </c>
      <c r="HB416" s="26">
        <v>0</v>
      </c>
      <c r="HC416" s="26">
        <v>0</v>
      </c>
      <c r="HD416" s="26">
        <v>0</v>
      </c>
      <c r="HE416" s="26">
        <v>0</v>
      </c>
      <c r="HF416" s="26">
        <v>0</v>
      </c>
      <c r="HG416" s="26">
        <v>0</v>
      </c>
      <c r="HH416" s="26">
        <v>0</v>
      </c>
      <c r="HI416" s="26">
        <v>0</v>
      </c>
      <c r="HJ416" s="26">
        <v>0</v>
      </c>
      <c r="HK416" s="26">
        <v>0</v>
      </c>
      <c r="HL416" s="26">
        <v>0</v>
      </c>
      <c r="HM416" s="26">
        <v>0</v>
      </c>
      <c r="HN416" s="26">
        <v>0</v>
      </c>
      <c r="HO416" s="26">
        <v>0</v>
      </c>
      <c r="HP416" s="26">
        <v>0</v>
      </c>
      <c r="HQ416" s="26">
        <v>0</v>
      </c>
      <c r="HR416" s="26">
        <v>0</v>
      </c>
      <c r="HS416" s="26">
        <v>0</v>
      </c>
      <c r="HT416" s="26">
        <v>0</v>
      </c>
    </row>
    <row r="417" spans="2:228" x14ac:dyDescent="0.2">
      <c r="B417" s="27" t="s">
        <v>2923</v>
      </c>
      <c r="C417" s="26">
        <v>11784082.800000001</v>
      </c>
      <c r="D417" s="26">
        <v>-44500.216899999999</v>
      </c>
      <c r="E417" s="26">
        <v>11783865.1</v>
      </c>
      <c r="F417" s="26">
        <v>0</v>
      </c>
      <c r="G417" s="26">
        <v>0</v>
      </c>
      <c r="H417" s="26">
        <v>0</v>
      </c>
      <c r="I417" s="26">
        <v>0</v>
      </c>
      <c r="J417" s="26">
        <v>0</v>
      </c>
      <c r="K417" s="26">
        <v>0</v>
      </c>
      <c r="L417" s="26">
        <v>0</v>
      </c>
      <c r="M417" s="26">
        <v>0</v>
      </c>
      <c r="N417" s="26">
        <v>0</v>
      </c>
      <c r="O417" s="26">
        <v>0</v>
      </c>
      <c r="P417" s="26">
        <v>0</v>
      </c>
      <c r="Q417" s="26">
        <v>0</v>
      </c>
      <c r="R417" s="26">
        <v>0</v>
      </c>
      <c r="S417" s="26">
        <v>0</v>
      </c>
      <c r="T417" s="26">
        <v>0</v>
      </c>
      <c r="U417" s="26">
        <v>0</v>
      </c>
      <c r="V417" s="26">
        <v>0</v>
      </c>
      <c r="W417" s="26">
        <v>0</v>
      </c>
      <c r="X417" s="26">
        <v>0</v>
      </c>
      <c r="Y417" s="26">
        <v>0</v>
      </c>
      <c r="Z417" s="26">
        <v>0</v>
      </c>
      <c r="AA417" s="26">
        <v>0</v>
      </c>
      <c r="AB417" s="26">
        <v>0</v>
      </c>
      <c r="AC417" s="26">
        <v>0</v>
      </c>
      <c r="AD417" s="26">
        <v>0</v>
      </c>
      <c r="AE417" s="26">
        <v>0</v>
      </c>
      <c r="AF417" s="26">
        <v>0</v>
      </c>
      <c r="AG417" s="26">
        <v>0</v>
      </c>
      <c r="AH417" s="26">
        <v>0</v>
      </c>
      <c r="AI417" s="26">
        <v>0</v>
      </c>
      <c r="AJ417" s="26">
        <v>0</v>
      </c>
      <c r="AK417" s="26">
        <v>0</v>
      </c>
      <c r="AL417" s="26">
        <v>0</v>
      </c>
      <c r="AM417" s="26">
        <v>0</v>
      </c>
      <c r="AN417" s="26">
        <v>79.796629699999997</v>
      </c>
      <c r="AO417" s="26">
        <v>137.905328</v>
      </c>
      <c r="AP417" s="26">
        <v>0</v>
      </c>
      <c r="AQ417" s="26">
        <v>0</v>
      </c>
      <c r="AR417" s="26">
        <v>0</v>
      </c>
      <c r="AS417" s="26">
        <v>0</v>
      </c>
      <c r="AT417" s="26">
        <v>0</v>
      </c>
      <c r="AU417" s="26">
        <v>0</v>
      </c>
      <c r="AV417" s="26">
        <v>0</v>
      </c>
      <c r="AW417" s="26">
        <v>0</v>
      </c>
      <c r="AX417" s="26">
        <v>0</v>
      </c>
      <c r="AY417" s="26">
        <v>0</v>
      </c>
      <c r="AZ417" s="26">
        <v>0</v>
      </c>
      <c r="BA417" s="26">
        <v>0</v>
      </c>
      <c r="BB417" s="26">
        <v>0</v>
      </c>
      <c r="BC417" s="26">
        <v>0</v>
      </c>
      <c r="BD417" s="26">
        <v>0</v>
      </c>
      <c r="BE417" s="26">
        <v>0</v>
      </c>
      <c r="BF417" s="26">
        <v>0</v>
      </c>
      <c r="BG417" s="26">
        <v>0</v>
      </c>
      <c r="BH417" s="26">
        <v>0</v>
      </c>
      <c r="BI417" s="26">
        <v>0</v>
      </c>
      <c r="BJ417" s="26">
        <v>0</v>
      </c>
      <c r="BK417" s="26">
        <v>0</v>
      </c>
      <c r="BL417" s="26">
        <v>0</v>
      </c>
      <c r="BM417" s="26">
        <v>0</v>
      </c>
      <c r="BN417" s="26">
        <v>0</v>
      </c>
      <c r="BO417" s="26">
        <v>654111.326</v>
      </c>
      <c r="BP417" s="26">
        <v>11784082.800000001</v>
      </c>
      <c r="BQ417" s="26">
        <v>199940.17300000001</v>
      </c>
      <c r="BR417" s="26">
        <v>37</v>
      </c>
      <c r="BS417" s="26">
        <v>0.99687337200000004</v>
      </c>
      <c r="BT417" s="26">
        <v>0</v>
      </c>
      <c r="BU417" s="26">
        <v>1</v>
      </c>
      <c r="BV417" s="26">
        <v>0</v>
      </c>
      <c r="BW417" s="26">
        <v>-68031.564100000003</v>
      </c>
      <c r="BX417" s="26">
        <v>-3776.29871</v>
      </c>
      <c r="BY417" s="26">
        <v>-44500.216899999999</v>
      </c>
      <c r="BZ417" s="26">
        <v>-38.198152</v>
      </c>
      <c r="CA417" s="26">
        <v>-2.12030451</v>
      </c>
      <c r="CB417" s="26">
        <v>5.4525587E-2</v>
      </c>
      <c r="CC417" s="26">
        <v>0.98230072599999996</v>
      </c>
      <c r="CD417" s="26">
        <v>18.015408600000001</v>
      </c>
      <c r="CE417" s="26">
        <v>196782.87700000001</v>
      </c>
      <c r="CF417" s="26">
        <v>0</v>
      </c>
      <c r="CG417" s="26">
        <v>0</v>
      </c>
      <c r="CH417" s="26">
        <v>0</v>
      </c>
      <c r="CI417" s="26">
        <v>0</v>
      </c>
      <c r="CJ417" s="26">
        <v>0</v>
      </c>
      <c r="CK417" s="26">
        <v>0</v>
      </c>
      <c r="CL417" s="26">
        <v>0</v>
      </c>
      <c r="CM417" s="26">
        <v>0</v>
      </c>
      <c r="CN417" s="26">
        <v>0</v>
      </c>
      <c r="CO417" s="26">
        <v>0</v>
      </c>
      <c r="CP417" s="26">
        <v>0</v>
      </c>
      <c r="CQ417" s="26">
        <v>0</v>
      </c>
      <c r="CR417" s="26">
        <v>0</v>
      </c>
      <c r="CS417" s="26">
        <v>0</v>
      </c>
      <c r="CT417" s="26">
        <v>0</v>
      </c>
      <c r="CU417" s="26">
        <v>0</v>
      </c>
      <c r="CV417" s="26">
        <v>0</v>
      </c>
      <c r="CW417" s="26">
        <v>0</v>
      </c>
      <c r="CX417" s="26">
        <v>0</v>
      </c>
      <c r="CY417" s="26">
        <v>0</v>
      </c>
      <c r="CZ417" s="26">
        <v>0</v>
      </c>
      <c r="DA417" s="26">
        <v>0</v>
      </c>
      <c r="DB417" s="26">
        <v>0</v>
      </c>
      <c r="DC417" s="26">
        <v>0</v>
      </c>
      <c r="DD417" s="26">
        <v>0</v>
      </c>
      <c r="DE417" s="26">
        <v>0</v>
      </c>
      <c r="DF417" s="26">
        <v>0</v>
      </c>
      <c r="DG417" s="26">
        <v>0</v>
      </c>
      <c r="DH417" s="26">
        <v>0</v>
      </c>
      <c r="DI417" s="26">
        <v>0</v>
      </c>
      <c r="DJ417" s="26">
        <v>0</v>
      </c>
      <c r="DK417" s="26">
        <v>0</v>
      </c>
      <c r="DL417" s="26">
        <v>0</v>
      </c>
      <c r="DM417" s="26">
        <v>0</v>
      </c>
      <c r="DN417" s="26">
        <v>0</v>
      </c>
      <c r="DO417" s="26">
        <v>0</v>
      </c>
      <c r="DP417" s="26">
        <v>0</v>
      </c>
      <c r="DQ417" s="26">
        <v>0</v>
      </c>
      <c r="DR417" s="26">
        <v>0</v>
      </c>
      <c r="DS417" s="26">
        <v>0</v>
      </c>
      <c r="DT417" s="26">
        <v>0</v>
      </c>
      <c r="DU417" s="26">
        <v>0</v>
      </c>
      <c r="DV417" s="26">
        <v>0</v>
      </c>
      <c r="DW417" s="26">
        <v>0</v>
      </c>
      <c r="DX417" s="26">
        <v>0</v>
      </c>
      <c r="DY417" s="26">
        <v>0</v>
      </c>
      <c r="DZ417" s="26">
        <v>0</v>
      </c>
      <c r="EA417" s="26">
        <v>0</v>
      </c>
      <c r="EB417" s="26">
        <v>0</v>
      </c>
      <c r="EC417" s="26">
        <v>0</v>
      </c>
      <c r="ED417" s="26">
        <v>0</v>
      </c>
      <c r="EE417" s="26">
        <v>0</v>
      </c>
      <c r="EF417" s="26">
        <v>0</v>
      </c>
      <c r="EG417" s="26">
        <v>0</v>
      </c>
      <c r="EH417" s="26">
        <v>0</v>
      </c>
      <c r="EI417" s="26">
        <v>0</v>
      </c>
      <c r="EJ417" s="26">
        <v>0</v>
      </c>
      <c r="EK417" s="26">
        <v>0</v>
      </c>
      <c r="EL417" s="26">
        <v>0</v>
      </c>
      <c r="EM417" s="26">
        <v>0</v>
      </c>
      <c r="EN417" s="26">
        <v>0</v>
      </c>
      <c r="EO417" s="26">
        <v>0</v>
      </c>
      <c r="EP417" s="26">
        <v>0</v>
      </c>
      <c r="EQ417" s="26">
        <v>0</v>
      </c>
      <c r="ER417" s="26">
        <v>0</v>
      </c>
      <c r="ES417" s="26">
        <v>0</v>
      </c>
      <c r="ET417" s="26">
        <v>0.99687337200000004</v>
      </c>
      <c r="EU417" s="26">
        <v>0</v>
      </c>
      <c r="EV417" s="26">
        <v>0</v>
      </c>
      <c r="EW417" s="26">
        <v>0</v>
      </c>
      <c r="EX417" s="26">
        <v>0</v>
      </c>
      <c r="EY417" s="26">
        <v>0</v>
      </c>
      <c r="EZ417" s="26">
        <v>0</v>
      </c>
      <c r="FA417" s="26">
        <v>0</v>
      </c>
      <c r="FB417" s="26">
        <v>0</v>
      </c>
      <c r="FC417" s="26">
        <v>0</v>
      </c>
      <c r="FD417" s="26">
        <v>0</v>
      </c>
      <c r="FE417" s="26">
        <v>0</v>
      </c>
      <c r="FF417" s="26">
        <v>0</v>
      </c>
      <c r="FG417" s="26">
        <v>0</v>
      </c>
      <c r="FH417" s="26">
        <v>-51905798687.900002</v>
      </c>
      <c r="FI417" s="26">
        <v>0</v>
      </c>
      <c r="FJ417" s="26">
        <v>0</v>
      </c>
      <c r="FK417" s="26">
        <v>0</v>
      </c>
      <c r="FL417" s="26">
        <v>0</v>
      </c>
      <c r="FM417" s="26">
        <v>0</v>
      </c>
      <c r="FN417" s="26">
        <v>0</v>
      </c>
      <c r="FO417" s="26">
        <v>0</v>
      </c>
      <c r="FP417" s="26">
        <v>0</v>
      </c>
      <c r="FQ417" s="26">
        <v>0</v>
      </c>
      <c r="FR417" s="26">
        <v>0</v>
      </c>
      <c r="FS417" s="26">
        <v>0</v>
      </c>
      <c r="FT417" s="26">
        <v>0</v>
      </c>
      <c r="FU417" s="26">
        <v>0</v>
      </c>
      <c r="FV417" s="26">
        <v>0</v>
      </c>
      <c r="FW417" s="26">
        <v>0</v>
      </c>
      <c r="FX417" s="26">
        <v>0</v>
      </c>
      <c r="FY417" s="26">
        <v>0</v>
      </c>
      <c r="FZ417" s="26">
        <v>0</v>
      </c>
      <c r="GA417" s="26">
        <v>0</v>
      </c>
      <c r="GB417" s="26">
        <v>0</v>
      </c>
      <c r="GC417" s="26">
        <v>0</v>
      </c>
      <c r="GD417" s="26">
        <v>0</v>
      </c>
      <c r="GE417" s="26">
        <v>0</v>
      </c>
      <c r="GF417" s="26">
        <v>0</v>
      </c>
      <c r="GG417" s="26">
        <v>0</v>
      </c>
      <c r="GH417" s="26">
        <v>0</v>
      </c>
      <c r="GI417" s="26">
        <v>0</v>
      </c>
      <c r="GJ417" s="26">
        <v>0</v>
      </c>
      <c r="GK417" s="26">
        <v>0</v>
      </c>
      <c r="GL417" s="26">
        <v>0</v>
      </c>
      <c r="GM417" s="26">
        <v>0</v>
      </c>
      <c r="GN417" s="26">
        <v>0</v>
      </c>
      <c r="GO417" s="26">
        <v>0</v>
      </c>
      <c r="GP417" s="26">
        <v>0</v>
      </c>
      <c r="GQ417" s="26">
        <v>0</v>
      </c>
      <c r="GR417" s="26">
        <v>0</v>
      </c>
      <c r="GS417" s="26">
        <v>0</v>
      </c>
      <c r="GT417" s="26">
        <v>0</v>
      </c>
      <c r="GU417" s="26">
        <v>0</v>
      </c>
      <c r="GV417" s="26">
        <v>0</v>
      </c>
      <c r="GW417" s="26">
        <v>0</v>
      </c>
      <c r="GX417" s="26">
        <v>0</v>
      </c>
      <c r="GY417" s="26">
        <v>0</v>
      </c>
      <c r="GZ417" s="26">
        <v>0</v>
      </c>
      <c r="HA417" s="26">
        <v>0</v>
      </c>
      <c r="HB417" s="26">
        <v>0</v>
      </c>
      <c r="HC417" s="26">
        <v>0</v>
      </c>
      <c r="HD417" s="26">
        <v>0</v>
      </c>
      <c r="HE417" s="26">
        <v>0</v>
      </c>
      <c r="HF417" s="26">
        <v>0</v>
      </c>
      <c r="HG417" s="26">
        <v>0</v>
      </c>
      <c r="HH417" s="26">
        <v>0</v>
      </c>
      <c r="HI417" s="26">
        <v>0</v>
      </c>
      <c r="HJ417" s="26">
        <v>0</v>
      </c>
      <c r="HK417" s="26">
        <v>0</v>
      </c>
      <c r="HL417" s="26">
        <v>0</v>
      </c>
      <c r="HM417" s="26">
        <v>0</v>
      </c>
      <c r="HN417" s="26">
        <v>0</v>
      </c>
      <c r="HO417" s="26">
        <v>0</v>
      </c>
      <c r="HP417" s="26">
        <v>0</v>
      </c>
      <c r="HQ417" s="26">
        <v>0</v>
      </c>
      <c r="HR417" s="26">
        <v>0</v>
      </c>
      <c r="HS417" s="26">
        <v>0</v>
      </c>
      <c r="HT417" s="26">
        <v>0</v>
      </c>
    </row>
    <row r="418" spans="2:228" x14ac:dyDescent="0.2">
      <c r="B418" s="27" t="s">
        <v>2920</v>
      </c>
      <c r="C418" s="26">
        <v>11784082.800000001</v>
      </c>
      <c r="D418" s="26">
        <v>-44597.165200000003</v>
      </c>
      <c r="E418" s="26">
        <v>11783865.1</v>
      </c>
      <c r="F418" s="26">
        <v>0</v>
      </c>
      <c r="G418" s="26">
        <v>0</v>
      </c>
      <c r="H418" s="26">
        <v>0</v>
      </c>
      <c r="I418" s="26">
        <v>0</v>
      </c>
      <c r="J418" s="26">
        <v>0</v>
      </c>
      <c r="K418" s="26">
        <v>0</v>
      </c>
      <c r="L418" s="26">
        <v>0</v>
      </c>
      <c r="M418" s="26">
        <v>0</v>
      </c>
      <c r="N418" s="26">
        <v>0</v>
      </c>
      <c r="O418" s="26">
        <v>0</v>
      </c>
      <c r="P418" s="26">
        <v>0</v>
      </c>
      <c r="Q418" s="26">
        <v>0</v>
      </c>
      <c r="R418" s="26">
        <v>0</v>
      </c>
      <c r="S418" s="26">
        <v>0</v>
      </c>
      <c r="T418" s="26">
        <v>0</v>
      </c>
      <c r="U418" s="26">
        <v>0</v>
      </c>
      <c r="V418" s="26">
        <v>0</v>
      </c>
      <c r="W418" s="26">
        <v>0</v>
      </c>
      <c r="X418" s="26">
        <v>0</v>
      </c>
      <c r="Y418" s="26">
        <v>0</v>
      </c>
      <c r="Z418" s="26">
        <v>0</v>
      </c>
      <c r="AA418" s="26">
        <v>0</v>
      </c>
      <c r="AB418" s="26">
        <v>0</v>
      </c>
      <c r="AC418" s="26">
        <v>0</v>
      </c>
      <c r="AD418" s="26">
        <v>0</v>
      </c>
      <c r="AE418" s="26">
        <v>0</v>
      </c>
      <c r="AF418" s="26">
        <v>0</v>
      </c>
      <c r="AG418" s="26">
        <v>0</v>
      </c>
      <c r="AH418" s="26">
        <v>0</v>
      </c>
      <c r="AI418" s="26">
        <v>0</v>
      </c>
      <c r="AJ418" s="26">
        <v>0</v>
      </c>
      <c r="AK418" s="26">
        <v>0</v>
      </c>
      <c r="AL418" s="26">
        <v>0</v>
      </c>
      <c r="AM418" s="26">
        <v>0</v>
      </c>
      <c r="AN418" s="26">
        <v>79.796629699999997</v>
      </c>
      <c r="AO418" s="26">
        <v>137.905328</v>
      </c>
      <c r="AP418" s="26">
        <v>0</v>
      </c>
      <c r="AQ418" s="26">
        <v>0</v>
      </c>
      <c r="AR418" s="26">
        <v>0</v>
      </c>
      <c r="AS418" s="26">
        <v>0</v>
      </c>
      <c r="AT418" s="26">
        <v>0</v>
      </c>
      <c r="AU418" s="26">
        <v>0</v>
      </c>
      <c r="AV418" s="26">
        <v>0</v>
      </c>
      <c r="AW418" s="26">
        <v>0</v>
      </c>
      <c r="AX418" s="26">
        <v>0</v>
      </c>
      <c r="AY418" s="26">
        <v>0</v>
      </c>
      <c r="AZ418" s="26">
        <v>0</v>
      </c>
      <c r="BA418" s="26">
        <v>0</v>
      </c>
      <c r="BB418" s="26">
        <v>0</v>
      </c>
      <c r="BC418" s="26">
        <v>0</v>
      </c>
      <c r="BD418" s="26">
        <v>0</v>
      </c>
      <c r="BE418" s="26">
        <v>0</v>
      </c>
      <c r="BF418" s="26">
        <v>0</v>
      </c>
      <c r="BG418" s="26">
        <v>0</v>
      </c>
      <c r="BH418" s="26">
        <v>0</v>
      </c>
      <c r="BI418" s="26">
        <v>0</v>
      </c>
      <c r="BJ418" s="26">
        <v>0</v>
      </c>
      <c r="BK418" s="26">
        <v>0</v>
      </c>
      <c r="BL418" s="26">
        <v>0</v>
      </c>
      <c r="BM418" s="26">
        <v>0</v>
      </c>
      <c r="BN418" s="26">
        <v>0</v>
      </c>
      <c r="BO418" s="26">
        <v>654111.326</v>
      </c>
      <c r="BP418" s="26">
        <v>11784082.800000001</v>
      </c>
      <c r="BQ418" s="26">
        <v>198198.788</v>
      </c>
      <c r="BR418" s="26">
        <v>28.126799099999971</v>
      </c>
      <c r="BS418" s="26">
        <v>5.0999999999999996</v>
      </c>
      <c r="BT418" s="26">
        <v>0</v>
      </c>
      <c r="BU418" s="26">
        <v>1</v>
      </c>
      <c r="BV418" s="26">
        <v>0</v>
      </c>
      <c r="BW418" s="26">
        <v>-68179.777799999996</v>
      </c>
      <c r="BX418" s="26">
        <v>-3784.52576</v>
      </c>
      <c r="BY418" s="26">
        <v>-44597.165200000003</v>
      </c>
      <c r="BZ418" s="26">
        <v>-38.679050400000001</v>
      </c>
      <c r="CA418" s="26">
        <v>-2.1469982399999998</v>
      </c>
      <c r="CB418" s="26">
        <v>5.5004651799999998E-2</v>
      </c>
      <c r="CC418" s="26">
        <v>0.99093127400000003</v>
      </c>
      <c r="CD418" s="26">
        <v>18.015408600000001</v>
      </c>
      <c r="CE418" s="26">
        <v>196782.87700000001</v>
      </c>
      <c r="CF418" s="26">
        <v>0</v>
      </c>
      <c r="CG418" s="26">
        <v>0</v>
      </c>
      <c r="CH418" s="26">
        <v>0</v>
      </c>
      <c r="CI418" s="26">
        <v>0</v>
      </c>
      <c r="CJ418" s="26">
        <v>0</v>
      </c>
      <c r="CK418" s="26">
        <v>0</v>
      </c>
      <c r="CL418" s="26">
        <v>0</v>
      </c>
      <c r="CM418" s="26">
        <v>0</v>
      </c>
      <c r="CN418" s="26">
        <v>0</v>
      </c>
      <c r="CO418" s="26">
        <v>0</v>
      </c>
      <c r="CP418" s="26">
        <v>0</v>
      </c>
      <c r="CQ418" s="26">
        <v>0</v>
      </c>
      <c r="CR418" s="26">
        <v>0</v>
      </c>
      <c r="CS418" s="26">
        <v>0</v>
      </c>
      <c r="CT418" s="26">
        <v>0</v>
      </c>
      <c r="CU418" s="26">
        <v>0</v>
      </c>
      <c r="CV418" s="26">
        <v>0</v>
      </c>
      <c r="CW418" s="26">
        <v>0</v>
      </c>
      <c r="CX418" s="26">
        <v>0</v>
      </c>
      <c r="CY418" s="26">
        <v>0</v>
      </c>
      <c r="CZ418" s="26">
        <v>0</v>
      </c>
      <c r="DA418" s="26">
        <v>0</v>
      </c>
      <c r="DB418" s="26">
        <v>0</v>
      </c>
      <c r="DC418" s="26">
        <v>0</v>
      </c>
      <c r="DD418" s="26">
        <v>0</v>
      </c>
      <c r="DE418" s="26">
        <v>0</v>
      </c>
      <c r="DF418" s="26">
        <v>0</v>
      </c>
      <c r="DG418" s="26">
        <v>0</v>
      </c>
      <c r="DH418" s="26">
        <v>0</v>
      </c>
      <c r="DI418" s="26">
        <v>0</v>
      </c>
      <c r="DJ418" s="26">
        <v>0</v>
      </c>
      <c r="DK418" s="26">
        <v>0</v>
      </c>
      <c r="DL418" s="26">
        <v>0</v>
      </c>
      <c r="DM418" s="26">
        <v>0</v>
      </c>
      <c r="DN418" s="26">
        <v>0</v>
      </c>
      <c r="DO418" s="26">
        <v>0</v>
      </c>
      <c r="DP418" s="26">
        <v>0</v>
      </c>
      <c r="DQ418" s="26">
        <v>0</v>
      </c>
      <c r="DR418" s="26">
        <v>0</v>
      </c>
      <c r="DS418" s="26">
        <v>0</v>
      </c>
      <c r="DT418" s="26">
        <v>0</v>
      </c>
      <c r="DU418" s="26">
        <v>0</v>
      </c>
      <c r="DV418" s="26">
        <v>0</v>
      </c>
      <c r="DW418" s="26">
        <v>0</v>
      </c>
      <c r="DX418" s="26">
        <v>0</v>
      </c>
      <c r="DY418" s="26">
        <v>0</v>
      </c>
      <c r="DZ418" s="26">
        <v>0</v>
      </c>
      <c r="EA418" s="26">
        <v>0</v>
      </c>
      <c r="EB418" s="26">
        <v>0</v>
      </c>
      <c r="EC418" s="26">
        <v>0</v>
      </c>
      <c r="ED418" s="26">
        <v>0</v>
      </c>
      <c r="EE418" s="26">
        <v>0</v>
      </c>
      <c r="EF418" s="26">
        <v>0</v>
      </c>
      <c r="EG418" s="26">
        <v>0</v>
      </c>
      <c r="EH418" s="26">
        <v>0</v>
      </c>
      <c r="EI418" s="26">
        <v>0</v>
      </c>
      <c r="EJ418" s="26">
        <v>0</v>
      </c>
      <c r="EK418" s="26">
        <v>0</v>
      </c>
      <c r="EL418" s="26">
        <v>0</v>
      </c>
      <c r="EM418" s="26">
        <v>0</v>
      </c>
      <c r="EN418" s="26">
        <v>0</v>
      </c>
      <c r="EO418" s="26">
        <v>0</v>
      </c>
      <c r="EP418" s="26">
        <v>0</v>
      </c>
      <c r="EQ418" s="26">
        <v>0</v>
      </c>
      <c r="ER418" s="26">
        <v>0</v>
      </c>
      <c r="ES418" s="26">
        <v>0</v>
      </c>
      <c r="ET418" s="26">
        <v>5.0999999999999996</v>
      </c>
      <c r="EU418" s="26">
        <v>0</v>
      </c>
      <c r="EV418" s="26">
        <v>0</v>
      </c>
      <c r="EW418" s="26">
        <v>0</v>
      </c>
      <c r="EX418" s="26">
        <v>0</v>
      </c>
      <c r="EY418" s="26">
        <v>0</v>
      </c>
      <c r="EZ418" s="26">
        <v>0</v>
      </c>
      <c r="FA418" s="26">
        <v>0</v>
      </c>
      <c r="FB418" s="26">
        <v>0</v>
      </c>
      <c r="FC418" s="26">
        <v>0</v>
      </c>
      <c r="FD418" s="26">
        <v>0</v>
      </c>
      <c r="FE418" s="26">
        <v>0</v>
      </c>
      <c r="FF418" s="26">
        <v>0</v>
      </c>
      <c r="FG418" s="26">
        <v>0</v>
      </c>
      <c r="FH418" s="26">
        <v>-51905798687.900002</v>
      </c>
      <c r="FI418" s="26">
        <v>0</v>
      </c>
      <c r="FJ418" s="26">
        <v>0</v>
      </c>
      <c r="FK418" s="26">
        <v>0</v>
      </c>
      <c r="FL418" s="26">
        <v>0</v>
      </c>
      <c r="FM418" s="26">
        <v>0</v>
      </c>
      <c r="FN418" s="26">
        <v>0</v>
      </c>
      <c r="FO418" s="26">
        <v>0</v>
      </c>
      <c r="FP418" s="26">
        <v>0</v>
      </c>
      <c r="FQ418" s="26">
        <v>0</v>
      </c>
      <c r="FR418" s="26">
        <v>0</v>
      </c>
      <c r="FS418" s="26">
        <v>0</v>
      </c>
      <c r="FT418" s="26">
        <v>0</v>
      </c>
      <c r="FU418" s="26">
        <v>0</v>
      </c>
      <c r="FV418" s="26">
        <v>0</v>
      </c>
      <c r="FW418" s="26">
        <v>0</v>
      </c>
      <c r="FX418" s="26">
        <v>0</v>
      </c>
      <c r="FY418" s="26">
        <v>0</v>
      </c>
      <c r="FZ418" s="26">
        <v>0</v>
      </c>
      <c r="GA418" s="26">
        <v>0</v>
      </c>
      <c r="GB418" s="26">
        <v>0</v>
      </c>
      <c r="GC418" s="26">
        <v>0</v>
      </c>
      <c r="GD418" s="26">
        <v>0</v>
      </c>
      <c r="GE418" s="26">
        <v>0</v>
      </c>
      <c r="GF418" s="26">
        <v>0</v>
      </c>
      <c r="GG418" s="26">
        <v>0</v>
      </c>
      <c r="GH418" s="26">
        <v>0</v>
      </c>
      <c r="GI418" s="26">
        <v>0</v>
      </c>
      <c r="GJ418" s="26">
        <v>0</v>
      </c>
      <c r="GK418" s="26">
        <v>0</v>
      </c>
      <c r="GL418" s="26">
        <v>0</v>
      </c>
      <c r="GM418" s="26">
        <v>0</v>
      </c>
      <c r="GN418" s="26">
        <v>0</v>
      </c>
      <c r="GO418" s="26">
        <v>0</v>
      </c>
      <c r="GP418" s="26">
        <v>0</v>
      </c>
      <c r="GQ418" s="26">
        <v>0</v>
      </c>
      <c r="GR418" s="26">
        <v>0</v>
      </c>
      <c r="GS418" s="26">
        <v>0</v>
      </c>
      <c r="GT418" s="26">
        <v>0</v>
      </c>
      <c r="GU418" s="26">
        <v>0</v>
      </c>
      <c r="GV418" s="26">
        <v>0</v>
      </c>
      <c r="GW418" s="26">
        <v>0</v>
      </c>
      <c r="GX418" s="26">
        <v>0</v>
      </c>
      <c r="GY418" s="26">
        <v>0</v>
      </c>
      <c r="GZ418" s="26">
        <v>0</v>
      </c>
      <c r="HA418" s="26">
        <v>0</v>
      </c>
      <c r="HB418" s="26">
        <v>0</v>
      </c>
      <c r="HC418" s="26">
        <v>0</v>
      </c>
      <c r="HD418" s="26">
        <v>0</v>
      </c>
      <c r="HE418" s="26">
        <v>0</v>
      </c>
      <c r="HF418" s="26">
        <v>0</v>
      </c>
      <c r="HG418" s="26">
        <v>0</v>
      </c>
      <c r="HH418" s="26">
        <v>0</v>
      </c>
      <c r="HI418" s="26">
        <v>0</v>
      </c>
      <c r="HJ418" s="26">
        <v>0</v>
      </c>
      <c r="HK418" s="26">
        <v>0</v>
      </c>
      <c r="HL418" s="26">
        <v>0</v>
      </c>
      <c r="HM418" s="26">
        <v>0</v>
      </c>
      <c r="HN418" s="26">
        <v>0</v>
      </c>
      <c r="HO418" s="26">
        <v>0</v>
      </c>
      <c r="HP418" s="26">
        <v>0</v>
      </c>
      <c r="HQ418" s="26">
        <v>0</v>
      </c>
      <c r="HR418" s="26">
        <v>0</v>
      </c>
      <c r="HS418" s="26">
        <v>0</v>
      </c>
      <c r="HT418" s="26">
        <v>0</v>
      </c>
    </row>
    <row r="419" spans="2:228" x14ac:dyDescent="0.2">
      <c r="B419" s="27" t="s">
        <v>2924</v>
      </c>
      <c r="C419" s="26">
        <v>11922358.800000001</v>
      </c>
      <c r="D419" s="26">
        <v>-45022.156999999999</v>
      </c>
      <c r="E419" s="26">
        <v>11922141.4</v>
      </c>
      <c r="F419" s="26">
        <v>0</v>
      </c>
      <c r="G419" s="26">
        <v>0</v>
      </c>
      <c r="H419" s="26">
        <v>0</v>
      </c>
      <c r="I419" s="26">
        <v>0</v>
      </c>
      <c r="J419" s="26">
        <v>0</v>
      </c>
      <c r="K419" s="26">
        <v>0</v>
      </c>
      <c r="L419" s="26">
        <v>0</v>
      </c>
      <c r="M419" s="26">
        <v>0</v>
      </c>
      <c r="N419" s="26">
        <v>0</v>
      </c>
      <c r="O419" s="26">
        <v>0</v>
      </c>
      <c r="P419" s="26">
        <v>0</v>
      </c>
      <c r="Q419" s="26">
        <v>0</v>
      </c>
      <c r="R419" s="26">
        <v>0</v>
      </c>
      <c r="S419" s="26">
        <v>0</v>
      </c>
      <c r="T419" s="26">
        <v>0</v>
      </c>
      <c r="U419" s="26">
        <v>0</v>
      </c>
      <c r="V419" s="26">
        <v>0</v>
      </c>
      <c r="W419" s="26">
        <v>0</v>
      </c>
      <c r="X419" s="26">
        <v>0</v>
      </c>
      <c r="Y419" s="26">
        <v>0</v>
      </c>
      <c r="Z419" s="26">
        <v>0</v>
      </c>
      <c r="AA419" s="26">
        <v>0</v>
      </c>
      <c r="AB419" s="26">
        <v>0</v>
      </c>
      <c r="AC419" s="26">
        <v>0</v>
      </c>
      <c r="AD419" s="26">
        <v>0</v>
      </c>
      <c r="AE419" s="26">
        <v>0</v>
      </c>
      <c r="AF419" s="26">
        <v>0</v>
      </c>
      <c r="AG419" s="26">
        <v>0</v>
      </c>
      <c r="AH419" s="26">
        <v>0</v>
      </c>
      <c r="AI419" s="26">
        <v>0</v>
      </c>
      <c r="AJ419" s="26">
        <v>0</v>
      </c>
      <c r="AK419" s="26">
        <v>0</v>
      </c>
      <c r="AL419" s="26">
        <v>0</v>
      </c>
      <c r="AM419" s="26">
        <v>0</v>
      </c>
      <c r="AN419" s="26">
        <v>79.683118399999998</v>
      </c>
      <c r="AO419" s="26">
        <v>137.709157</v>
      </c>
      <c r="AP419" s="26">
        <v>0</v>
      </c>
      <c r="AQ419" s="26">
        <v>0</v>
      </c>
      <c r="AR419" s="26">
        <v>0</v>
      </c>
      <c r="AS419" s="26">
        <v>0</v>
      </c>
      <c r="AT419" s="26">
        <v>0</v>
      </c>
      <c r="AU419" s="26">
        <v>0</v>
      </c>
      <c r="AV419" s="26">
        <v>0</v>
      </c>
      <c r="AW419" s="26">
        <v>0</v>
      </c>
      <c r="AX419" s="26">
        <v>0</v>
      </c>
      <c r="AY419" s="26">
        <v>0</v>
      </c>
      <c r="AZ419" s="26">
        <v>0</v>
      </c>
      <c r="BA419" s="26">
        <v>0</v>
      </c>
      <c r="BB419" s="26">
        <v>0</v>
      </c>
      <c r="BC419" s="26">
        <v>0</v>
      </c>
      <c r="BD419" s="26">
        <v>0</v>
      </c>
      <c r="BE419" s="26">
        <v>0</v>
      </c>
      <c r="BF419" s="26">
        <v>0</v>
      </c>
      <c r="BG419" s="26">
        <v>0</v>
      </c>
      <c r="BH419" s="26">
        <v>0</v>
      </c>
      <c r="BI419" s="26">
        <v>0</v>
      </c>
      <c r="BJ419" s="26">
        <v>0</v>
      </c>
      <c r="BK419" s="26">
        <v>0</v>
      </c>
      <c r="BL419" s="26">
        <v>0</v>
      </c>
      <c r="BM419" s="26">
        <v>0</v>
      </c>
      <c r="BN419" s="26">
        <v>0</v>
      </c>
      <c r="BO419" s="26">
        <v>661786.81599999999</v>
      </c>
      <c r="BP419" s="26">
        <v>11922358.800000001</v>
      </c>
      <c r="BQ419" s="26">
        <v>202290.655</v>
      </c>
      <c r="BR419" s="26">
        <v>37.021709900000019</v>
      </c>
      <c r="BS419" s="26">
        <v>5.7079951000000007</v>
      </c>
      <c r="BT419" s="26">
        <v>0</v>
      </c>
      <c r="BU419" s="26">
        <v>1</v>
      </c>
      <c r="BV419" s="26">
        <v>0</v>
      </c>
      <c r="BW419" s="26">
        <v>-68031.208100000003</v>
      </c>
      <c r="BX419" s="26">
        <v>-3776.2793000000001</v>
      </c>
      <c r="BY419" s="26">
        <v>-45022.156999999999</v>
      </c>
      <c r="BZ419" s="26">
        <v>-38.196986199999998</v>
      </c>
      <c r="CA419" s="26">
        <v>-2.12023999</v>
      </c>
      <c r="CB419" s="26">
        <v>5.4524417499999998E-2</v>
      </c>
      <c r="CC419" s="26">
        <v>0.98227956599999999</v>
      </c>
      <c r="CD419" s="26">
        <v>18.015406899999999</v>
      </c>
      <c r="CE419" s="26">
        <v>199091.91399999999</v>
      </c>
      <c r="CF419" s="26">
        <v>0</v>
      </c>
      <c r="CG419" s="26">
        <v>0</v>
      </c>
      <c r="CH419" s="26">
        <v>0</v>
      </c>
      <c r="CI419" s="26">
        <v>0</v>
      </c>
      <c r="CJ419" s="26">
        <v>0</v>
      </c>
      <c r="CK419" s="26">
        <v>0</v>
      </c>
      <c r="CL419" s="26">
        <v>0</v>
      </c>
      <c r="CM419" s="26">
        <v>0</v>
      </c>
      <c r="CN419" s="26">
        <v>0</v>
      </c>
      <c r="CO419" s="26">
        <v>0</v>
      </c>
      <c r="CP419" s="26">
        <v>0</v>
      </c>
      <c r="CQ419" s="26">
        <v>0</v>
      </c>
      <c r="CR419" s="26">
        <v>0</v>
      </c>
      <c r="CS419" s="26">
        <v>0</v>
      </c>
      <c r="CT419" s="26">
        <v>0</v>
      </c>
      <c r="CU419" s="26">
        <v>0</v>
      </c>
      <c r="CV419" s="26">
        <v>0</v>
      </c>
      <c r="CW419" s="26">
        <v>0</v>
      </c>
      <c r="CX419" s="26">
        <v>0</v>
      </c>
      <c r="CY419" s="26">
        <v>0</v>
      </c>
      <c r="CZ419" s="26">
        <v>0</v>
      </c>
      <c r="DA419" s="26">
        <v>0</v>
      </c>
      <c r="DB419" s="26">
        <v>0</v>
      </c>
      <c r="DC419" s="26">
        <v>0</v>
      </c>
      <c r="DD419" s="26">
        <v>0</v>
      </c>
      <c r="DE419" s="26">
        <v>0</v>
      </c>
      <c r="DF419" s="26">
        <v>0</v>
      </c>
      <c r="DG419" s="26">
        <v>0</v>
      </c>
      <c r="DH419" s="26">
        <v>0</v>
      </c>
      <c r="DI419" s="26">
        <v>0</v>
      </c>
      <c r="DJ419" s="26">
        <v>0</v>
      </c>
      <c r="DK419" s="26">
        <v>0</v>
      </c>
      <c r="DL419" s="26">
        <v>0</v>
      </c>
      <c r="DM419" s="26">
        <v>0</v>
      </c>
      <c r="DN419" s="26">
        <v>0</v>
      </c>
      <c r="DO419" s="26">
        <v>0</v>
      </c>
      <c r="DP419" s="26">
        <v>0</v>
      </c>
      <c r="DQ419" s="26">
        <v>0</v>
      </c>
      <c r="DR419" s="26">
        <v>0</v>
      </c>
      <c r="DS419" s="26">
        <v>0</v>
      </c>
      <c r="DT419" s="26">
        <v>0</v>
      </c>
      <c r="DU419" s="26">
        <v>0</v>
      </c>
      <c r="DV419" s="26">
        <v>0</v>
      </c>
      <c r="DW419" s="26">
        <v>0</v>
      </c>
      <c r="DX419" s="26">
        <v>0</v>
      </c>
      <c r="DY419" s="26">
        <v>0</v>
      </c>
      <c r="DZ419" s="26">
        <v>0</v>
      </c>
      <c r="EA419" s="26">
        <v>0</v>
      </c>
      <c r="EB419" s="26">
        <v>0</v>
      </c>
      <c r="EC419" s="26">
        <v>0</v>
      </c>
      <c r="ED419" s="26">
        <v>0</v>
      </c>
      <c r="EE419" s="26">
        <v>0</v>
      </c>
      <c r="EF419" s="26">
        <v>0</v>
      </c>
      <c r="EG419" s="26">
        <v>0</v>
      </c>
      <c r="EH419" s="26">
        <v>0</v>
      </c>
      <c r="EI419" s="26">
        <v>0</v>
      </c>
      <c r="EJ419" s="26">
        <v>0</v>
      </c>
      <c r="EK419" s="26">
        <v>0</v>
      </c>
      <c r="EL419" s="26">
        <v>0</v>
      </c>
      <c r="EM419" s="26">
        <v>0</v>
      </c>
      <c r="EN419" s="26">
        <v>0</v>
      </c>
      <c r="EO419" s="26">
        <v>0</v>
      </c>
      <c r="EP419" s="26">
        <v>0</v>
      </c>
      <c r="EQ419" s="26">
        <v>0</v>
      </c>
      <c r="ER419" s="26">
        <v>0</v>
      </c>
      <c r="ES419" s="26">
        <v>0</v>
      </c>
      <c r="ET419" s="26">
        <v>5.7079951000000007</v>
      </c>
      <c r="EU419" s="26">
        <v>0</v>
      </c>
      <c r="EV419" s="26">
        <v>0</v>
      </c>
      <c r="EW419" s="26">
        <v>0</v>
      </c>
      <c r="EX419" s="26">
        <v>0</v>
      </c>
      <c r="EY419" s="26">
        <v>0</v>
      </c>
      <c r="EZ419" s="26">
        <v>0</v>
      </c>
      <c r="FA419" s="26">
        <v>0</v>
      </c>
      <c r="FB419" s="26">
        <v>0</v>
      </c>
      <c r="FC419" s="26">
        <v>0</v>
      </c>
      <c r="FD419" s="26">
        <v>0</v>
      </c>
      <c r="FE419" s="26">
        <v>0</v>
      </c>
      <c r="FF419" s="26">
        <v>0</v>
      </c>
      <c r="FG419" s="26">
        <v>0</v>
      </c>
      <c r="FH419" s="26">
        <v>-52514880512.199997</v>
      </c>
      <c r="FI419" s="26">
        <v>0</v>
      </c>
      <c r="FJ419" s="26">
        <v>0</v>
      </c>
      <c r="FK419" s="26">
        <v>0</v>
      </c>
      <c r="FL419" s="26">
        <v>0</v>
      </c>
      <c r="FM419" s="26">
        <v>0</v>
      </c>
      <c r="FN419" s="26">
        <v>0</v>
      </c>
      <c r="FO419" s="26">
        <v>0</v>
      </c>
      <c r="FP419" s="26">
        <v>0</v>
      </c>
      <c r="FQ419" s="26">
        <v>0</v>
      </c>
      <c r="FR419" s="26">
        <v>0</v>
      </c>
      <c r="FS419" s="26">
        <v>0</v>
      </c>
      <c r="FT419" s="26">
        <v>0</v>
      </c>
      <c r="FU419" s="26">
        <v>0</v>
      </c>
      <c r="FV419" s="26">
        <v>0</v>
      </c>
      <c r="FW419" s="26">
        <v>0</v>
      </c>
      <c r="FX419" s="26">
        <v>0</v>
      </c>
      <c r="FY419" s="26">
        <v>0</v>
      </c>
      <c r="FZ419" s="26">
        <v>0</v>
      </c>
      <c r="GA419" s="26">
        <v>0</v>
      </c>
      <c r="GB419" s="26">
        <v>0</v>
      </c>
      <c r="GC419" s="26">
        <v>0</v>
      </c>
      <c r="GD419" s="26">
        <v>0</v>
      </c>
      <c r="GE419" s="26">
        <v>0</v>
      </c>
      <c r="GF419" s="26">
        <v>0</v>
      </c>
      <c r="GG419" s="26">
        <v>0</v>
      </c>
      <c r="GH419" s="26">
        <v>0</v>
      </c>
      <c r="GI419" s="26">
        <v>0</v>
      </c>
      <c r="GJ419" s="26">
        <v>0</v>
      </c>
      <c r="GK419" s="26">
        <v>0</v>
      </c>
      <c r="GL419" s="26">
        <v>0</v>
      </c>
      <c r="GM419" s="26">
        <v>0</v>
      </c>
      <c r="GN419" s="26">
        <v>0</v>
      </c>
      <c r="GO419" s="26">
        <v>0</v>
      </c>
      <c r="GP419" s="26">
        <v>0</v>
      </c>
      <c r="GQ419" s="26">
        <v>0</v>
      </c>
      <c r="GR419" s="26">
        <v>0</v>
      </c>
      <c r="GS419" s="26">
        <v>0</v>
      </c>
      <c r="GT419" s="26">
        <v>0</v>
      </c>
      <c r="GU419" s="26">
        <v>0</v>
      </c>
      <c r="GV419" s="26">
        <v>0</v>
      </c>
      <c r="GW419" s="26">
        <v>0</v>
      </c>
      <c r="GX419" s="26">
        <v>0</v>
      </c>
      <c r="GY419" s="26">
        <v>0</v>
      </c>
      <c r="GZ419" s="26">
        <v>0</v>
      </c>
      <c r="HA419" s="26">
        <v>0</v>
      </c>
      <c r="HB419" s="26">
        <v>0</v>
      </c>
      <c r="HC419" s="26">
        <v>0</v>
      </c>
      <c r="HD419" s="26">
        <v>0</v>
      </c>
      <c r="HE419" s="26">
        <v>0</v>
      </c>
      <c r="HF419" s="26">
        <v>0</v>
      </c>
      <c r="HG419" s="26">
        <v>0</v>
      </c>
      <c r="HH419" s="26">
        <v>0</v>
      </c>
      <c r="HI419" s="26">
        <v>0</v>
      </c>
      <c r="HJ419" s="26">
        <v>0</v>
      </c>
      <c r="HK419" s="26">
        <v>0</v>
      </c>
      <c r="HL419" s="26">
        <v>0</v>
      </c>
      <c r="HM419" s="26">
        <v>0</v>
      </c>
      <c r="HN419" s="26">
        <v>0</v>
      </c>
      <c r="HO419" s="26">
        <v>0</v>
      </c>
      <c r="HP419" s="26">
        <v>0</v>
      </c>
      <c r="HQ419" s="26">
        <v>0</v>
      </c>
      <c r="HR419" s="26">
        <v>0</v>
      </c>
      <c r="HS419" s="26">
        <v>0</v>
      </c>
      <c r="HT419" s="26">
        <v>0</v>
      </c>
    </row>
    <row r="420" spans="2:228" x14ac:dyDescent="0.2">
      <c r="B420" s="27" t="s">
        <v>2448</v>
      </c>
      <c r="C420" s="26">
        <v>1E-10</v>
      </c>
      <c r="D420" s="26">
        <v>-3.7799737899999998E-13</v>
      </c>
      <c r="E420" s="26">
        <v>1E-10</v>
      </c>
      <c r="F420" s="26">
        <v>0</v>
      </c>
      <c r="G420" s="26">
        <v>0</v>
      </c>
      <c r="H420" s="26">
        <v>0</v>
      </c>
      <c r="I420" s="26">
        <v>0</v>
      </c>
      <c r="J420" s="26">
        <v>0</v>
      </c>
      <c r="K420" s="26">
        <v>0</v>
      </c>
      <c r="L420" s="26">
        <v>0</v>
      </c>
      <c r="M420" s="26">
        <v>0</v>
      </c>
      <c r="N420" s="26">
        <v>0</v>
      </c>
      <c r="O420" s="26">
        <v>0</v>
      </c>
      <c r="P420" s="26">
        <v>0</v>
      </c>
      <c r="Q420" s="26">
        <v>0</v>
      </c>
      <c r="R420" s="26">
        <v>0</v>
      </c>
      <c r="S420" s="26">
        <v>0</v>
      </c>
      <c r="T420" s="26">
        <v>0</v>
      </c>
      <c r="U420" s="26">
        <v>0</v>
      </c>
      <c r="V420" s="26">
        <v>0</v>
      </c>
      <c r="W420" s="26">
        <v>0</v>
      </c>
      <c r="X420" s="26">
        <v>0</v>
      </c>
      <c r="Y420" s="26">
        <v>0</v>
      </c>
      <c r="Z420" s="26">
        <v>0</v>
      </c>
      <c r="AA420" s="26">
        <v>0</v>
      </c>
      <c r="AB420" s="26">
        <v>0</v>
      </c>
      <c r="AC420" s="26">
        <v>0</v>
      </c>
      <c r="AD420" s="26">
        <v>0</v>
      </c>
      <c r="AE420" s="26">
        <v>0</v>
      </c>
      <c r="AF420" s="26">
        <v>0</v>
      </c>
      <c r="AG420" s="26">
        <v>0</v>
      </c>
      <c r="AH420" s="26">
        <v>0</v>
      </c>
      <c r="AI420" s="26">
        <v>0</v>
      </c>
      <c r="AJ420" s="26">
        <v>0</v>
      </c>
      <c r="AK420" s="26">
        <v>0</v>
      </c>
      <c r="AL420" s="26">
        <v>0</v>
      </c>
      <c r="AM420" s="26">
        <v>0</v>
      </c>
      <c r="AN420" s="26">
        <v>0</v>
      </c>
      <c r="AO420" s="26">
        <v>0</v>
      </c>
      <c r="AP420" s="26">
        <v>0</v>
      </c>
      <c r="AQ420" s="26">
        <v>0</v>
      </c>
      <c r="AR420" s="26">
        <v>0</v>
      </c>
      <c r="AS420" s="26">
        <v>0</v>
      </c>
      <c r="AT420" s="26">
        <v>0</v>
      </c>
      <c r="AU420" s="26">
        <v>0</v>
      </c>
      <c r="AV420" s="26">
        <v>0</v>
      </c>
      <c r="AW420" s="26">
        <v>0</v>
      </c>
      <c r="AX420" s="26">
        <v>0</v>
      </c>
      <c r="AY420" s="26">
        <v>0</v>
      </c>
      <c r="AZ420" s="26">
        <v>0</v>
      </c>
      <c r="BA420" s="26">
        <v>0</v>
      </c>
      <c r="BB420" s="26">
        <v>0</v>
      </c>
      <c r="BC420" s="26">
        <v>0</v>
      </c>
      <c r="BD420" s="26">
        <v>0</v>
      </c>
      <c r="BE420" s="26">
        <v>0</v>
      </c>
      <c r="BF420" s="26">
        <v>0</v>
      </c>
      <c r="BG420" s="26">
        <v>0</v>
      </c>
      <c r="BH420" s="26">
        <v>0</v>
      </c>
      <c r="BI420" s="26">
        <v>0</v>
      </c>
      <c r="BJ420" s="26">
        <v>0</v>
      </c>
      <c r="BK420" s="26">
        <v>0</v>
      </c>
      <c r="BL420" s="26">
        <v>0</v>
      </c>
      <c r="BM420" s="26">
        <v>0</v>
      </c>
      <c r="BN420" s="26">
        <v>0</v>
      </c>
      <c r="BO420" s="26">
        <v>5.5508435099999999E-12</v>
      </c>
      <c r="BP420" s="26">
        <v>1E-10</v>
      </c>
      <c r="BQ420" s="26">
        <v>1.6901912899999999E-12</v>
      </c>
      <c r="BR420" s="26">
        <v>33.128185400000007</v>
      </c>
      <c r="BS420" s="26">
        <v>5</v>
      </c>
      <c r="BT420" s="26">
        <v>0</v>
      </c>
      <c r="BU420" s="26">
        <v>1</v>
      </c>
      <c r="BV420" s="26">
        <v>0</v>
      </c>
      <c r="BW420" s="26">
        <v>-68097.285699999993</v>
      </c>
      <c r="BX420" s="26">
        <v>-3779.9737599999999</v>
      </c>
      <c r="BY420" s="26">
        <v>-3.7799737899999998E-13</v>
      </c>
      <c r="BZ420" s="26">
        <v>-38.407792600000001</v>
      </c>
      <c r="CA420" s="26">
        <v>-2.1319564600000001</v>
      </c>
      <c r="CB420" s="26">
        <v>5.47358503E-2</v>
      </c>
      <c r="CC420" s="26">
        <v>0.98608166900000005</v>
      </c>
      <c r="CD420" s="26">
        <v>18.015280000000001</v>
      </c>
      <c r="CE420" s="26">
        <v>1.6698787300000003E-12</v>
      </c>
      <c r="CF420" s="26">
        <v>0</v>
      </c>
      <c r="CG420" s="26">
        <v>0</v>
      </c>
      <c r="CH420" s="26">
        <v>0</v>
      </c>
      <c r="CI420" s="26">
        <v>0</v>
      </c>
      <c r="CJ420" s="26">
        <v>0</v>
      </c>
      <c r="CK420" s="26">
        <v>0</v>
      </c>
      <c r="CL420" s="26">
        <v>0</v>
      </c>
      <c r="CM420" s="26">
        <v>0</v>
      </c>
      <c r="CN420" s="26">
        <v>0</v>
      </c>
      <c r="CO420" s="26">
        <v>0</v>
      </c>
      <c r="CP420" s="26">
        <v>0</v>
      </c>
      <c r="CQ420" s="26">
        <v>0</v>
      </c>
      <c r="CR420" s="26">
        <v>0</v>
      </c>
      <c r="CS420" s="26">
        <v>0</v>
      </c>
      <c r="CT420" s="26">
        <v>0</v>
      </c>
      <c r="CU420" s="26">
        <v>0</v>
      </c>
      <c r="CV420" s="26">
        <v>0</v>
      </c>
      <c r="CW420" s="26">
        <v>0</v>
      </c>
      <c r="CX420" s="26">
        <v>0</v>
      </c>
      <c r="CY420" s="26">
        <v>0</v>
      </c>
      <c r="CZ420" s="26">
        <v>0</v>
      </c>
      <c r="DA420" s="26">
        <v>0</v>
      </c>
      <c r="DB420" s="26">
        <v>0</v>
      </c>
      <c r="DC420" s="26">
        <v>0</v>
      </c>
      <c r="DD420" s="26">
        <v>0</v>
      </c>
      <c r="DE420" s="26">
        <v>0</v>
      </c>
      <c r="DF420" s="26">
        <v>0</v>
      </c>
      <c r="DG420" s="26">
        <v>0</v>
      </c>
      <c r="DH420" s="26">
        <v>0</v>
      </c>
      <c r="DI420" s="26">
        <v>0</v>
      </c>
      <c r="DJ420" s="26">
        <v>0</v>
      </c>
      <c r="DK420" s="26">
        <v>0</v>
      </c>
      <c r="DL420" s="26">
        <v>0</v>
      </c>
      <c r="DM420" s="26">
        <v>0</v>
      </c>
      <c r="DN420" s="26">
        <v>0</v>
      </c>
      <c r="DO420" s="26">
        <v>0</v>
      </c>
      <c r="DP420" s="26">
        <v>0</v>
      </c>
      <c r="DQ420" s="26">
        <v>0</v>
      </c>
      <c r="DR420" s="26">
        <v>0</v>
      </c>
      <c r="DS420" s="26">
        <v>0</v>
      </c>
      <c r="DT420" s="26">
        <v>0</v>
      </c>
      <c r="DU420" s="26">
        <v>0</v>
      </c>
      <c r="DV420" s="26">
        <v>0</v>
      </c>
      <c r="DW420" s="26">
        <v>0</v>
      </c>
      <c r="DX420" s="26">
        <v>0</v>
      </c>
      <c r="DY420" s="26">
        <v>0</v>
      </c>
      <c r="DZ420" s="26">
        <v>0</v>
      </c>
      <c r="EA420" s="26">
        <v>0</v>
      </c>
      <c r="EB420" s="26">
        <v>0</v>
      </c>
      <c r="EC420" s="26">
        <v>0</v>
      </c>
      <c r="ED420" s="26">
        <v>0</v>
      </c>
      <c r="EE420" s="26">
        <v>0</v>
      </c>
      <c r="EF420" s="26">
        <v>0</v>
      </c>
      <c r="EG420" s="26">
        <v>0</v>
      </c>
      <c r="EH420" s="26">
        <v>0</v>
      </c>
      <c r="EI420" s="26">
        <v>0</v>
      </c>
      <c r="EJ420" s="26">
        <v>0</v>
      </c>
      <c r="EK420" s="26">
        <v>0</v>
      </c>
      <c r="EL420" s="26">
        <v>0</v>
      </c>
      <c r="EM420" s="26">
        <v>0</v>
      </c>
      <c r="EN420" s="26">
        <v>0</v>
      </c>
      <c r="EO420" s="26">
        <v>0</v>
      </c>
      <c r="EP420" s="26">
        <v>0</v>
      </c>
      <c r="EQ420" s="26">
        <v>0</v>
      </c>
      <c r="ER420" s="26">
        <v>0</v>
      </c>
      <c r="ES420" s="26">
        <v>0</v>
      </c>
      <c r="ET420" s="26">
        <v>5</v>
      </c>
      <c r="EU420" s="26">
        <v>0</v>
      </c>
      <c r="EV420" s="26">
        <v>0</v>
      </c>
      <c r="EW420" s="26">
        <v>0</v>
      </c>
      <c r="EX420" s="26">
        <v>0</v>
      </c>
      <c r="EY420" s="26">
        <v>0</v>
      </c>
      <c r="EZ420" s="26">
        <v>0</v>
      </c>
      <c r="FA420" s="26">
        <v>0</v>
      </c>
      <c r="FB420" s="26">
        <v>0</v>
      </c>
      <c r="FC420" s="26">
        <v>0</v>
      </c>
      <c r="FD420" s="26">
        <v>0</v>
      </c>
      <c r="FE420" s="26">
        <v>0</v>
      </c>
      <c r="FF420" s="26">
        <v>0</v>
      </c>
      <c r="FG420" s="26">
        <v>0</v>
      </c>
      <c r="FH420" s="26">
        <v>-4.4048175965700001E-7</v>
      </c>
      <c r="FI420" s="26">
        <v>0</v>
      </c>
      <c r="FJ420" s="26">
        <v>0</v>
      </c>
      <c r="FK420" s="26">
        <v>0</v>
      </c>
      <c r="FL420" s="26">
        <v>0</v>
      </c>
      <c r="FM420" s="26">
        <v>0</v>
      </c>
      <c r="FN420" s="26">
        <v>0</v>
      </c>
      <c r="FO420" s="26">
        <v>0</v>
      </c>
      <c r="FP420" s="26">
        <v>0</v>
      </c>
      <c r="FQ420" s="26">
        <v>0</v>
      </c>
      <c r="FR420" s="26">
        <v>0</v>
      </c>
      <c r="FS420" s="26">
        <v>0</v>
      </c>
      <c r="FT420" s="26">
        <v>0</v>
      </c>
      <c r="FU420" s="26">
        <v>0</v>
      </c>
      <c r="FV420" s="26">
        <v>0</v>
      </c>
      <c r="FW420" s="26">
        <v>0</v>
      </c>
      <c r="FX420" s="26">
        <v>0</v>
      </c>
      <c r="FY420" s="26">
        <v>0</v>
      </c>
      <c r="FZ420" s="26">
        <v>0</v>
      </c>
      <c r="GA420" s="26">
        <v>0</v>
      </c>
      <c r="GB420" s="26">
        <v>0</v>
      </c>
      <c r="GC420" s="26">
        <v>0</v>
      </c>
      <c r="GD420" s="26">
        <v>0</v>
      </c>
      <c r="GE420" s="26">
        <v>0</v>
      </c>
      <c r="GF420" s="26">
        <v>0</v>
      </c>
      <c r="GG420" s="26">
        <v>0</v>
      </c>
      <c r="GH420" s="26">
        <v>0</v>
      </c>
      <c r="GI420" s="26">
        <v>0</v>
      </c>
      <c r="GJ420" s="26">
        <v>0</v>
      </c>
      <c r="GK420" s="26">
        <v>0</v>
      </c>
      <c r="GL420" s="26">
        <v>0</v>
      </c>
      <c r="GM420" s="26">
        <v>0</v>
      </c>
      <c r="GN420" s="26">
        <v>0</v>
      </c>
      <c r="GO420" s="26">
        <v>0</v>
      </c>
      <c r="GP420" s="26">
        <v>0</v>
      </c>
      <c r="GQ420" s="26">
        <v>0</v>
      </c>
      <c r="GR420" s="26">
        <v>0</v>
      </c>
      <c r="GS420" s="26">
        <v>0</v>
      </c>
      <c r="GT420" s="26">
        <v>0</v>
      </c>
      <c r="GU420" s="26">
        <v>0</v>
      </c>
      <c r="GV420" s="26">
        <v>0</v>
      </c>
      <c r="GW420" s="26">
        <v>0</v>
      </c>
      <c r="GX420" s="26">
        <v>0</v>
      </c>
      <c r="GY420" s="26">
        <v>0</v>
      </c>
      <c r="GZ420" s="26">
        <v>0</v>
      </c>
      <c r="HA420" s="26">
        <v>0</v>
      </c>
      <c r="HB420" s="26">
        <v>0</v>
      </c>
      <c r="HC420" s="26">
        <v>0</v>
      </c>
      <c r="HD420" s="26">
        <v>0</v>
      </c>
      <c r="HE420" s="26">
        <v>0</v>
      </c>
      <c r="HF420" s="26">
        <v>0</v>
      </c>
      <c r="HG420" s="26">
        <v>0</v>
      </c>
      <c r="HH420" s="26">
        <v>0</v>
      </c>
      <c r="HI420" s="26">
        <v>0</v>
      </c>
      <c r="HJ420" s="26">
        <v>0</v>
      </c>
      <c r="HK420" s="26">
        <v>0</v>
      </c>
      <c r="HL420" s="26">
        <v>0</v>
      </c>
      <c r="HM420" s="26">
        <v>0</v>
      </c>
      <c r="HN420" s="26">
        <v>0</v>
      </c>
      <c r="HO420" s="26">
        <v>0</v>
      </c>
      <c r="HP420" s="26">
        <v>0</v>
      </c>
      <c r="HQ420" s="26">
        <v>0</v>
      </c>
      <c r="HR420" s="26">
        <v>0</v>
      </c>
      <c r="HS420" s="26">
        <v>0</v>
      </c>
      <c r="HT420" s="26">
        <v>0</v>
      </c>
    </row>
  </sheetData>
  <sortState xmlns:xlrd2="http://schemas.microsoft.com/office/spreadsheetml/2017/richdata2" ref="B9:HT420">
    <sortCondition ref="B9"/>
  </sortState>
  <phoneticPr fontId="0" type="noConversion"/>
  <conditionalFormatting sqref="C9:HI400">
    <cfRule type="cellIs" dxfId="4" priority="1" operator="equal">
      <formula>0</formula>
    </cfRule>
  </conditionalFormatting>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19809" r:id="rId4" name="cmd_GetData">
          <controlPr defaultSize="0" autoLine="0" r:id="rId5">
            <anchor moveWithCells="1">
              <from>
                <xdr:col>0</xdr:col>
                <xdr:colOff>0</xdr:colOff>
                <xdr:row>0</xdr:row>
                <xdr:rowOff>0</xdr:rowOff>
              </from>
              <to>
                <xdr:col>1</xdr:col>
                <xdr:colOff>815340</xdr:colOff>
                <xdr:row>1</xdr:row>
                <xdr:rowOff>137160</xdr:rowOff>
              </to>
            </anchor>
          </controlPr>
        </control>
      </mc:Choice>
      <mc:Fallback>
        <control shapeId="119809" r:id="rId4" name="cmd_GetData"/>
      </mc:Fallback>
    </mc:AlternateContent>
    <mc:AlternateContent xmlns:mc="http://schemas.openxmlformats.org/markup-compatibility/2006">
      <mc:Choice Requires="x14">
        <control shapeId="119810" r:id="rId6" name="cmd_ClearData">
          <controlPr defaultSize="0" autoLine="0" autoPict="0" r:id="rId7">
            <anchor moveWithCells="1">
              <from>
                <xdr:col>0</xdr:col>
                <xdr:colOff>0</xdr:colOff>
                <xdr:row>1</xdr:row>
                <xdr:rowOff>114300</xdr:rowOff>
              </from>
              <to>
                <xdr:col>1</xdr:col>
                <xdr:colOff>579120</xdr:colOff>
                <xdr:row>3</xdr:row>
                <xdr:rowOff>99060</xdr:rowOff>
              </to>
            </anchor>
          </controlPr>
        </control>
      </mc:Choice>
      <mc:Fallback>
        <control shapeId="119810" r:id="rId6" name="cmd_ClearData"/>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ransitionEvaluation="1" codeName="Sheet22"/>
  <dimension ref="A1:CB274"/>
  <sheetViews>
    <sheetView workbookViewId="0">
      <selection activeCell="G50" sqref="G50"/>
    </sheetView>
  </sheetViews>
  <sheetFormatPr defaultColWidth="15.6640625" defaultRowHeight="12.6" x14ac:dyDescent="0.2"/>
  <cols>
    <col min="1" max="2" width="21.6640625" style="1239" customWidth="1"/>
    <col min="3" max="4" width="15.6640625" style="1239"/>
    <col min="5" max="5" width="3.88671875" style="1239" customWidth="1"/>
    <col min="6" max="6" width="15.6640625" style="1239"/>
    <col min="7" max="7" width="13.44140625" style="1239" customWidth="1"/>
    <col min="8" max="16384" width="15.6640625" style="1239"/>
  </cols>
  <sheetData>
    <row r="1" spans="1:80" x14ac:dyDescent="0.2">
      <c r="A1" s="1239" t="s">
        <v>129</v>
      </c>
    </row>
    <row r="2" spans="1:80" x14ac:dyDescent="0.2">
      <c r="A2" s="1239" t="s">
        <v>197</v>
      </c>
    </row>
    <row r="3" spans="1:80" x14ac:dyDescent="0.2">
      <c r="A3" s="1240"/>
      <c r="B3" s="1240" t="s">
        <v>3494</v>
      </c>
      <c r="C3" s="1240" t="s">
        <v>3495</v>
      </c>
      <c r="D3" s="1241"/>
      <c r="E3" s="1241"/>
      <c r="F3" s="1241"/>
      <c r="G3" s="1241"/>
      <c r="H3" s="1241"/>
      <c r="I3" s="1241"/>
      <c r="J3" s="1241"/>
      <c r="K3" s="1241"/>
      <c r="L3" s="1241"/>
      <c r="M3" s="1241"/>
      <c r="N3" s="1241"/>
      <c r="O3" s="1241"/>
      <c r="P3" s="1241"/>
      <c r="Q3" s="1241"/>
      <c r="R3" s="1241"/>
      <c r="S3" s="1241"/>
      <c r="T3" s="1241"/>
      <c r="U3" s="1241"/>
      <c r="V3" s="1241"/>
      <c r="W3" s="1241"/>
      <c r="X3" s="1241"/>
      <c r="Y3" s="1241"/>
      <c r="Z3" s="1241"/>
      <c r="AA3" s="1241"/>
      <c r="AB3" s="1241"/>
      <c r="AC3" s="1241"/>
      <c r="AD3" s="1241"/>
      <c r="AE3" s="1241"/>
      <c r="AF3" s="1241"/>
      <c r="AG3" s="1241"/>
      <c r="AH3" s="1241"/>
      <c r="AI3" s="1241"/>
      <c r="AJ3" s="1241"/>
      <c r="AK3" s="1241"/>
      <c r="AL3" s="1241"/>
      <c r="AM3" s="1241"/>
      <c r="AN3" s="1241"/>
      <c r="AO3" s="1241"/>
      <c r="AP3" s="1241"/>
      <c r="AQ3" s="1241"/>
      <c r="AR3" s="1241"/>
      <c r="AS3" s="1241"/>
      <c r="AT3" s="1241"/>
      <c r="AU3" s="1241"/>
      <c r="AV3" s="1241"/>
      <c r="AW3" s="1241"/>
      <c r="AX3" s="1241"/>
      <c r="AY3" s="1241"/>
      <c r="AZ3" s="1241"/>
      <c r="BA3" s="1241"/>
      <c r="BB3" s="1241"/>
      <c r="BC3" s="1241"/>
      <c r="BD3" s="1241"/>
      <c r="BE3" s="1241"/>
      <c r="BF3" s="1241"/>
      <c r="BG3" s="1241"/>
      <c r="BH3" s="1241"/>
      <c r="BI3" s="1241"/>
      <c r="BJ3" s="1241"/>
      <c r="BK3" s="1241"/>
      <c r="BL3" s="1241"/>
      <c r="BM3" s="1241"/>
      <c r="BN3" s="1241"/>
      <c r="BO3" s="1241"/>
      <c r="BP3" s="1241"/>
      <c r="BQ3" s="1241"/>
      <c r="BR3" s="1241"/>
      <c r="BS3" s="1241"/>
      <c r="BT3" s="1241"/>
      <c r="BU3" s="1241"/>
      <c r="BV3" s="1241"/>
      <c r="BW3" s="1241"/>
      <c r="BX3" s="1241"/>
      <c r="BY3" s="1241"/>
      <c r="BZ3" s="1241"/>
      <c r="CA3" s="1241"/>
      <c r="CB3" s="1241"/>
    </row>
    <row r="4" spans="1:80" x14ac:dyDescent="0.2">
      <c r="C4" s="1239" t="s">
        <v>3469</v>
      </c>
      <c r="D4" s="1241"/>
      <c r="E4" s="1241"/>
      <c r="F4" s="1241"/>
      <c r="G4" s="1241"/>
      <c r="I4" s="1241"/>
      <c r="J4" s="1241"/>
      <c r="K4" s="1241"/>
      <c r="L4" s="1241"/>
      <c r="M4" s="1241"/>
      <c r="N4" s="1241"/>
      <c r="O4" s="1241"/>
      <c r="P4" s="1241"/>
      <c r="R4" s="1241"/>
      <c r="S4" s="1241"/>
      <c r="T4" s="1241"/>
      <c r="U4" s="1241"/>
      <c r="V4" s="1241"/>
      <c r="W4" s="1241"/>
      <c r="X4" s="1241"/>
      <c r="Y4" s="1241"/>
      <c r="Z4" s="1241"/>
      <c r="AA4" s="1241"/>
      <c r="AB4" s="1241"/>
      <c r="AC4" s="1241"/>
      <c r="AD4" s="1241"/>
      <c r="AE4" s="1241"/>
      <c r="AF4" s="1241"/>
      <c r="AG4" s="1241"/>
      <c r="AH4" s="1241"/>
      <c r="AI4" s="1241"/>
      <c r="AJ4" s="1241"/>
      <c r="AK4" s="1241"/>
      <c r="AL4" s="1241"/>
      <c r="AM4" s="1241"/>
      <c r="AN4" s="1241"/>
      <c r="AO4" s="1241"/>
      <c r="AP4" s="1241"/>
      <c r="AQ4" s="1241"/>
      <c r="AR4" s="1241"/>
      <c r="AS4" s="1241"/>
      <c r="AT4" s="1241"/>
      <c r="AU4" s="1241"/>
      <c r="AV4" s="1241"/>
      <c r="AW4" s="1241"/>
      <c r="AX4" s="1241"/>
      <c r="AY4" s="1241"/>
      <c r="AZ4" s="1241"/>
      <c r="BA4" s="1241"/>
      <c r="BB4" s="1241"/>
      <c r="BC4" s="1241"/>
      <c r="BD4" s="1241"/>
      <c r="BE4" s="1241"/>
      <c r="BF4" s="1241"/>
      <c r="BG4" s="1241"/>
      <c r="BH4" s="1241"/>
      <c r="BI4" s="1241"/>
      <c r="BJ4" s="1241"/>
      <c r="BK4" s="1241"/>
      <c r="BL4" s="1241"/>
      <c r="BM4" s="1241"/>
      <c r="BN4" s="1241"/>
      <c r="BO4" s="1241"/>
      <c r="BP4" s="1241"/>
      <c r="BQ4" s="1241"/>
      <c r="BR4" s="1241"/>
      <c r="BT4" s="1241"/>
      <c r="BU4" s="1241"/>
      <c r="BV4" s="1241"/>
      <c r="BW4" s="1241"/>
      <c r="BX4" s="1241"/>
      <c r="BY4" s="1241"/>
      <c r="BZ4" s="1241"/>
      <c r="CA4" s="1241"/>
      <c r="CB4" s="1241"/>
    </row>
    <row r="5" spans="1:80" x14ac:dyDescent="0.2">
      <c r="B5" s="1242" t="s">
        <v>1569</v>
      </c>
      <c r="C5" s="1242"/>
      <c r="D5" s="1243"/>
      <c r="F5" s="1244" t="s">
        <v>1571</v>
      </c>
      <c r="G5" s="1245"/>
      <c r="H5" s="1245"/>
      <c r="J5" s="1241"/>
      <c r="K5" s="1241"/>
      <c r="M5" s="1241"/>
      <c r="Q5" s="1241"/>
      <c r="S5" s="1241"/>
      <c r="U5" s="1241"/>
      <c r="V5" s="1241"/>
      <c r="X5" s="1241"/>
      <c r="Y5" s="1241"/>
      <c r="AA5" s="1241"/>
      <c r="AB5" s="1241"/>
      <c r="AC5" s="1241"/>
      <c r="AD5" s="1241"/>
      <c r="AE5" s="1241"/>
      <c r="AF5" s="1241"/>
      <c r="AG5" s="1241"/>
      <c r="AH5" s="1241"/>
      <c r="AI5" s="1241"/>
      <c r="AK5" s="1241"/>
      <c r="AL5" s="1241"/>
      <c r="AM5" s="1241"/>
      <c r="AN5" s="1241"/>
      <c r="AO5" s="1241"/>
      <c r="AP5" s="1241"/>
      <c r="AQ5" s="1241"/>
      <c r="AR5" s="1241"/>
      <c r="AS5" s="1241"/>
      <c r="AU5" s="1241"/>
      <c r="AW5" s="1241"/>
      <c r="AX5" s="1241"/>
      <c r="AY5" s="1241"/>
      <c r="AZ5" s="1241"/>
      <c r="BA5" s="1241"/>
      <c r="BB5" s="1241"/>
      <c r="BE5" s="1241"/>
      <c r="BF5" s="1241"/>
      <c r="BG5" s="1241"/>
      <c r="BH5" s="1241"/>
      <c r="BK5" s="1241"/>
      <c r="BL5" s="1241"/>
      <c r="BM5" s="1241"/>
      <c r="BO5" s="1241"/>
      <c r="BP5" s="1241"/>
      <c r="BQ5" s="1241"/>
      <c r="BS5" s="1241"/>
      <c r="BT5" s="1241"/>
      <c r="BV5" s="1241"/>
      <c r="BW5" s="1241"/>
      <c r="BX5" s="1241"/>
      <c r="BY5" s="1241"/>
      <c r="CB5" s="1241"/>
    </row>
    <row r="6" spans="1:80" x14ac:dyDescent="0.2">
      <c r="A6" s="1240"/>
      <c r="F6" s="1246"/>
      <c r="G6" s="1246"/>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c r="BY6" s="1247"/>
      <c r="BZ6" s="1247"/>
      <c r="CA6" s="1247"/>
      <c r="CB6" s="1247"/>
    </row>
    <row r="7" spans="1:80" x14ac:dyDescent="0.2">
      <c r="A7" s="1240"/>
      <c r="B7" s="1239" t="s">
        <v>2727</v>
      </c>
      <c r="C7" s="1239">
        <v>0.146173689</v>
      </c>
      <c r="D7" s="1239" t="s">
        <v>66</v>
      </c>
      <c r="F7" s="1239" t="s">
        <v>1191</v>
      </c>
      <c r="G7" s="1239">
        <v>31.662569699999999</v>
      </c>
      <c r="H7" s="1239" t="s">
        <v>420</v>
      </c>
    </row>
    <row r="8" spans="1:80" x14ac:dyDescent="0.2">
      <c r="A8" s="1240"/>
      <c r="B8" s="1239" t="s">
        <v>2728</v>
      </c>
      <c r="C8" s="1239">
        <v>0.109200344</v>
      </c>
      <c r="D8" s="1239" t="s">
        <v>66</v>
      </c>
      <c r="F8" s="1239" t="s">
        <v>1192</v>
      </c>
      <c r="G8" s="1239">
        <v>79.156424099999995</v>
      </c>
      <c r="H8" s="1239" t="s">
        <v>420</v>
      </c>
    </row>
    <row r="9" spans="1:80" x14ac:dyDescent="0.2">
      <c r="B9" s="1239" t="s">
        <v>2729</v>
      </c>
      <c r="C9" s="1239">
        <v>0.109200344</v>
      </c>
      <c r="D9" s="1239" t="s">
        <v>66</v>
      </c>
      <c r="F9" s="1239" t="s">
        <v>1193</v>
      </c>
      <c r="G9" s="1239">
        <v>15.831284800000001</v>
      </c>
      <c r="H9" s="1239" t="s">
        <v>420</v>
      </c>
    </row>
    <row r="10" spans="1:80" x14ac:dyDescent="0.2">
      <c r="B10" s="1239" t="s">
        <v>2730</v>
      </c>
      <c r="C10" s="1239">
        <v>7.7386070500000001E-2</v>
      </c>
      <c r="D10" s="1239" t="s">
        <v>66</v>
      </c>
      <c r="F10" s="1239" t="s">
        <v>1194</v>
      </c>
      <c r="G10" s="1239">
        <v>95.6252104</v>
      </c>
      <c r="H10" s="1239" t="s">
        <v>420</v>
      </c>
    </row>
    <row r="11" spans="1:80" x14ac:dyDescent="0.2">
      <c r="B11" s="1239" t="s">
        <v>2731</v>
      </c>
      <c r="C11" s="1239">
        <v>6.4488392099999996E-3</v>
      </c>
      <c r="D11" s="1239" t="s">
        <v>66</v>
      </c>
      <c r="F11" s="1239" t="s">
        <v>1195</v>
      </c>
      <c r="G11" s="1239">
        <v>15.831284800000001</v>
      </c>
      <c r="H11" s="1239" t="s">
        <v>420</v>
      </c>
    </row>
    <row r="12" spans="1:80" x14ac:dyDescent="0.2">
      <c r="B12" s="1239" t="s">
        <v>2457</v>
      </c>
      <c r="C12" s="1239">
        <v>7.2414730399999998</v>
      </c>
      <c r="D12" s="1239" t="s">
        <v>66</v>
      </c>
      <c r="F12" s="1239" t="s">
        <v>1196</v>
      </c>
      <c r="G12" s="1239">
        <v>15.831284800000001</v>
      </c>
      <c r="H12" s="1239" t="s">
        <v>420</v>
      </c>
    </row>
    <row r="13" spans="1:80" x14ac:dyDescent="0.2">
      <c r="B13" s="1239" t="s">
        <v>340</v>
      </c>
      <c r="C13" s="1239">
        <v>-8.6449601299999994</v>
      </c>
      <c r="D13" s="1239" t="s">
        <v>66</v>
      </c>
      <c r="F13" s="1239" t="s">
        <v>1197</v>
      </c>
      <c r="G13" s="1239">
        <v>7.9156424100000002</v>
      </c>
      <c r="H13" s="1239" t="s">
        <v>420</v>
      </c>
    </row>
    <row r="14" spans="1:80" x14ac:dyDescent="0.2">
      <c r="B14" s="1239" t="s">
        <v>341</v>
      </c>
      <c r="C14" s="1239">
        <v>7.2414730399999998</v>
      </c>
      <c r="D14" s="1239" t="s">
        <v>66</v>
      </c>
      <c r="F14" s="1239" t="s">
        <v>1198</v>
      </c>
      <c r="G14" s="1239">
        <v>3.9578212100000001</v>
      </c>
      <c r="H14" s="1239" t="s">
        <v>420</v>
      </c>
    </row>
    <row r="15" spans="1:80" x14ac:dyDescent="0.2">
      <c r="B15" s="1239" t="s">
        <v>2459</v>
      </c>
      <c r="C15" s="1239">
        <v>-2.2618047099999998</v>
      </c>
      <c r="D15" s="1239" t="s">
        <v>66</v>
      </c>
      <c r="F15" s="1239" t="s">
        <v>2496</v>
      </c>
      <c r="G15" s="1239">
        <v>859.48470299999997</v>
      </c>
      <c r="H15" s="1239" t="s">
        <v>420</v>
      </c>
    </row>
    <row r="16" spans="1:80" x14ac:dyDescent="0.2">
      <c r="B16" s="1239" t="s">
        <v>2458</v>
      </c>
      <c r="C16" s="1239">
        <v>-1.97454361E-13</v>
      </c>
      <c r="D16" s="1239" t="s">
        <v>66</v>
      </c>
      <c r="F16" s="1239" t="s">
        <v>1199</v>
      </c>
      <c r="G16" s="1239">
        <v>316.625697</v>
      </c>
      <c r="H16" s="1239" t="s">
        <v>420</v>
      </c>
    </row>
    <row r="17" spans="2:8" x14ac:dyDescent="0.2">
      <c r="B17" s="1239" t="s">
        <v>2378</v>
      </c>
      <c r="C17" s="1239">
        <v>-7.2749388399999999E-6</v>
      </c>
      <c r="D17" s="1239" t="s">
        <v>66</v>
      </c>
      <c r="F17" s="1239" t="s">
        <v>1200</v>
      </c>
      <c r="G17" s="1239">
        <v>158.312848</v>
      </c>
      <c r="H17" s="1239" t="s">
        <v>420</v>
      </c>
    </row>
    <row r="18" spans="2:8" x14ac:dyDescent="0.2">
      <c r="B18" s="1239" t="s">
        <v>2732</v>
      </c>
      <c r="C18" s="1239">
        <v>0.146173689</v>
      </c>
      <c r="D18" s="1239" t="s">
        <v>66</v>
      </c>
      <c r="F18" s="1239" t="s">
        <v>1201</v>
      </c>
      <c r="G18" s="1239">
        <v>118.73463599999999</v>
      </c>
      <c r="H18" s="1239" t="s">
        <v>420</v>
      </c>
    </row>
    <row r="19" spans="2:8" x14ac:dyDescent="0.2">
      <c r="B19" s="1239" t="s">
        <v>2733</v>
      </c>
      <c r="C19" s="1239">
        <v>0.109200344</v>
      </c>
      <c r="D19" s="1239" t="s">
        <v>66</v>
      </c>
      <c r="F19" s="1239" t="s">
        <v>2637</v>
      </c>
      <c r="G19" s="1239">
        <v>3999.9872</v>
      </c>
      <c r="H19" s="1239" t="s">
        <v>420</v>
      </c>
    </row>
    <row r="20" spans="2:8" x14ac:dyDescent="0.2">
      <c r="B20" s="1239" t="s">
        <v>2735</v>
      </c>
      <c r="C20" s="1239">
        <v>0.109200344</v>
      </c>
      <c r="D20" s="1239" t="s">
        <v>66</v>
      </c>
      <c r="F20" s="1239" t="s">
        <v>2773</v>
      </c>
      <c r="G20" s="1239">
        <v>-170</v>
      </c>
      <c r="H20" s="1239" t="s">
        <v>420</v>
      </c>
    </row>
    <row r="21" spans="2:8" x14ac:dyDescent="0.2">
      <c r="B21" s="1239" t="s">
        <v>2736</v>
      </c>
      <c r="C21" s="1239">
        <v>7.7386070500000001E-2</v>
      </c>
      <c r="D21" s="1239" t="s">
        <v>66</v>
      </c>
      <c r="F21" s="1239" t="s">
        <v>2770</v>
      </c>
      <c r="G21" s="1239">
        <v>-170</v>
      </c>
      <c r="H21" s="1239" t="s">
        <v>420</v>
      </c>
    </row>
    <row r="22" spans="2:8" x14ac:dyDescent="0.2">
      <c r="B22" s="1239" t="s">
        <v>2734</v>
      </c>
      <c r="C22" s="1239">
        <v>6.4488392099999996E-3</v>
      </c>
      <c r="D22" s="1239" t="s">
        <v>66</v>
      </c>
      <c r="F22" s="1239" t="s">
        <v>2771</v>
      </c>
      <c r="G22" s="1239">
        <v>170</v>
      </c>
      <c r="H22" s="1239" t="s">
        <v>420</v>
      </c>
    </row>
    <row r="23" spans="2:8" x14ac:dyDescent="0.2">
      <c r="B23" s="1239" t="s">
        <v>2740</v>
      </c>
      <c r="C23" s="1239">
        <v>0.43699173200000002</v>
      </c>
      <c r="D23" s="1239" t="s">
        <v>66</v>
      </c>
      <c r="F23" s="1239" t="s">
        <v>2772</v>
      </c>
      <c r="G23" s="1239">
        <v>-170</v>
      </c>
      <c r="H23" s="1239" t="s">
        <v>420</v>
      </c>
    </row>
    <row r="24" spans="2:8" x14ac:dyDescent="0.2">
      <c r="B24" s="1239" t="s">
        <v>2741</v>
      </c>
      <c r="C24" s="1239">
        <v>0.72831833700000004</v>
      </c>
      <c r="D24" s="1239" t="s">
        <v>66</v>
      </c>
      <c r="F24" s="1239" t="s">
        <v>2777</v>
      </c>
      <c r="G24" s="1239">
        <v>-127</v>
      </c>
      <c r="H24" s="1239" t="s">
        <v>420</v>
      </c>
    </row>
    <row r="25" spans="2:8" x14ac:dyDescent="0.2">
      <c r="B25" s="1239" t="s">
        <v>2737</v>
      </c>
      <c r="C25" s="1239">
        <v>1.28237295E-2</v>
      </c>
      <c r="D25" s="1239" t="s">
        <v>66</v>
      </c>
      <c r="F25" s="1239" t="s">
        <v>2774</v>
      </c>
      <c r="G25" s="1239">
        <v>-127</v>
      </c>
      <c r="H25" s="1239" t="s">
        <v>420</v>
      </c>
    </row>
    <row r="26" spans="2:8" x14ac:dyDescent="0.2">
      <c r="B26" s="1239" t="s">
        <v>2738</v>
      </c>
      <c r="C26" s="1239">
        <v>8.5473796800000001E-2</v>
      </c>
      <c r="D26" s="1239" t="s">
        <v>66</v>
      </c>
      <c r="F26" s="1239" t="s">
        <v>2775</v>
      </c>
      <c r="G26" s="1239">
        <v>127</v>
      </c>
      <c r="H26" s="1239" t="s">
        <v>420</v>
      </c>
    </row>
    <row r="27" spans="2:8" x14ac:dyDescent="0.2">
      <c r="B27" s="1239" t="s">
        <v>2739</v>
      </c>
      <c r="C27" s="1239">
        <v>1.28237295E-2</v>
      </c>
      <c r="D27" s="1239" t="s">
        <v>66</v>
      </c>
      <c r="F27" s="1239" t="s">
        <v>2776</v>
      </c>
      <c r="G27" s="1239">
        <v>-127</v>
      </c>
      <c r="H27" s="1239" t="s">
        <v>420</v>
      </c>
    </row>
    <row r="28" spans="2:8" x14ac:dyDescent="0.2">
      <c r="B28" s="1239" t="s">
        <v>2742</v>
      </c>
      <c r="C28" s="1239">
        <v>6.4118647500000001E-2</v>
      </c>
      <c r="D28" s="1239" t="s">
        <v>66</v>
      </c>
      <c r="F28" s="1239" t="s">
        <v>2781</v>
      </c>
      <c r="G28" s="1239">
        <v>-127</v>
      </c>
      <c r="H28" s="1239" t="s">
        <v>420</v>
      </c>
    </row>
    <row r="29" spans="2:8" x14ac:dyDescent="0.2">
      <c r="B29" s="1239" t="s">
        <v>93</v>
      </c>
      <c r="C29" s="1239">
        <v>10.6388012</v>
      </c>
      <c r="D29" s="1239" t="s">
        <v>66</v>
      </c>
      <c r="F29" s="1239" t="s">
        <v>2778</v>
      </c>
      <c r="G29" s="1239">
        <v>-127</v>
      </c>
      <c r="H29" s="1239" t="s">
        <v>420</v>
      </c>
    </row>
    <row r="30" spans="2:8" x14ac:dyDescent="0.2">
      <c r="B30" s="1239" t="s">
        <v>3183</v>
      </c>
      <c r="C30" s="1239">
        <v>5.9511209999999997</v>
      </c>
      <c r="D30" s="1239" t="s">
        <v>66</v>
      </c>
      <c r="F30" s="1239" t="s">
        <v>2779</v>
      </c>
      <c r="G30" s="1239">
        <v>127</v>
      </c>
      <c r="H30" s="1239" t="s">
        <v>420</v>
      </c>
    </row>
    <row r="31" spans="2:8" x14ac:dyDescent="0.2">
      <c r="B31" s="1239" t="s">
        <v>2460</v>
      </c>
      <c r="C31" s="1239">
        <v>16.5899222</v>
      </c>
      <c r="D31" s="1239" t="s">
        <v>66</v>
      </c>
      <c r="F31" s="1239" t="s">
        <v>2780</v>
      </c>
      <c r="G31" s="1239">
        <v>-127</v>
      </c>
      <c r="H31" s="1239" t="s">
        <v>420</v>
      </c>
    </row>
    <row r="32" spans="2:8" x14ac:dyDescent="0.2">
      <c r="B32" s="1239" t="s">
        <v>2461</v>
      </c>
      <c r="C32" s="1239">
        <v>4.8719147400000002</v>
      </c>
      <c r="D32" s="1239" t="s">
        <v>66</v>
      </c>
      <c r="F32" s="1239" t="s">
        <v>2785</v>
      </c>
      <c r="G32" s="1239">
        <v>-90</v>
      </c>
      <c r="H32" s="1239" t="s">
        <v>420</v>
      </c>
    </row>
    <row r="33" spans="2:8" x14ac:dyDescent="0.2">
      <c r="B33" s="1239" t="s">
        <v>1181</v>
      </c>
      <c r="C33" s="1239">
        <v>4.0589980700000003</v>
      </c>
      <c r="D33" s="1239" t="s">
        <v>66</v>
      </c>
      <c r="F33" s="1239" t="s">
        <v>2782</v>
      </c>
      <c r="G33" s="1239">
        <v>-90</v>
      </c>
      <c r="H33" s="1239" t="s">
        <v>420</v>
      </c>
    </row>
    <row r="34" spans="2:8" x14ac:dyDescent="0.2">
      <c r="B34" s="1239" t="s">
        <v>1182</v>
      </c>
      <c r="C34" s="1239">
        <v>0.36176343599999999</v>
      </c>
      <c r="D34" s="1239" t="s">
        <v>66</v>
      </c>
      <c r="F34" s="1239" t="s">
        <v>2783</v>
      </c>
      <c r="G34" s="1239">
        <v>90</v>
      </c>
      <c r="H34" s="1239" t="s">
        <v>420</v>
      </c>
    </row>
    <row r="35" spans="2:8" x14ac:dyDescent="0.2">
      <c r="B35" s="1239" t="s">
        <v>3184</v>
      </c>
      <c r="C35" s="1239">
        <v>0.45115323200000002</v>
      </c>
      <c r="D35" s="1239" t="s">
        <v>66</v>
      </c>
      <c r="F35" s="1239" t="s">
        <v>2784</v>
      </c>
      <c r="G35" s="1239">
        <v>-90</v>
      </c>
      <c r="H35" s="1239" t="s">
        <v>420</v>
      </c>
    </row>
    <row r="36" spans="2:8" x14ac:dyDescent="0.2">
      <c r="B36" s="1239" t="s">
        <v>3338</v>
      </c>
      <c r="C36" s="1239">
        <v>4.4207615100000002</v>
      </c>
      <c r="D36" s="1239" t="s">
        <v>66</v>
      </c>
      <c r="F36" s="1239" t="s">
        <v>2789</v>
      </c>
      <c r="G36" s="1239">
        <v>-7.5</v>
      </c>
      <c r="H36" s="1239" t="s">
        <v>420</v>
      </c>
    </row>
    <row r="37" spans="2:8" x14ac:dyDescent="0.2">
      <c r="B37" s="1239" t="s">
        <v>2747</v>
      </c>
      <c r="C37" s="1239">
        <v>0.43699173200000002</v>
      </c>
      <c r="D37" s="1239" t="s">
        <v>66</v>
      </c>
      <c r="F37" s="1239" t="s">
        <v>2786</v>
      </c>
      <c r="G37" s="1239">
        <v>-7.5</v>
      </c>
      <c r="H37" s="1239" t="s">
        <v>420</v>
      </c>
    </row>
    <row r="38" spans="2:8" x14ac:dyDescent="0.2">
      <c r="B38" s="1239" t="s">
        <v>2748</v>
      </c>
      <c r="C38" s="1239">
        <v>0.72831833700000004</v>
      </c>
      <c r="D38" s="1239" t="s">
        <v>66</v>
      </c>
      <c r="F38" s="1239" t="s">
        <v>2787</v>
      </c>
      <c r="G38" s="1239">
        <v>7.5</v>
      </c>
      <c r="H38" s="1239" t="s">
        <v>420</v>
      </c>
    </row>
    <row r="39" spans="2:8" x14ac:dyDescent="0.2">
      <c r="B39" s="1239" t="s">
        <v>2743</v>
      </c>
      <c r="C39" s="1239">
        <v>1.28237295E-2</v>
      </c>
      <c r="D39" s="1239" t="s">
        <v>66</v>
      </c>
      <c r="F39" s="1239" t="s">
        <v>2788</v>
      </c>
      <c r="G39" s="1239">
        <v>-7.5</v>
      </c>
      <c r="H39" s="1239" t="s">
        <v>420</v>
      </c>
    </row>
    <row r="40" spans="2:8" x14ac:dyDescent="0.2">
      <c r="B40" s="1239" t="s">
        <v>2744</v>
      </c>
      <c r="C40" s="1239">
        <v>8.5473796800000001E-2</v>
      </c>
      <c r="D40" s="1239" t="s">
        <v>66</v>
      </c>
      <c r="F40" s="1239" t="s">
        <v>2768</v>
      </c>
      <c r="G40" s="1239">
        <v>645.37431100000003</v>
      </c>
      <c r="H40" s="1239" t="s">
        <v>420</v>
      </c>
    </row>
    <row r="41" spans="2:8" x14ac:dyDescent="0.2">
      <c r="B41" s="1239" t="s">
        <v>2745</v>
      </c>
      <c r="C41" s="1239">
        <v>1.28237295E-2</v>
      </c>
      <c r="D41" s="1239" t="s">
        <v>66</v>
      </c>
      <c r="F41" s="1239" t="s">
        <v>2769</v>
      </c>
      <c r="G41" s="1239">
        <v>4877.8610799999997</v>
      </c>
      <c r="H41" s="1239" t="s">
        <v>420</v>
      </c>
    </row>
    <row r="42" spans="2:8" x14ac:dyDescent="0.2">
      <c r="B42" s="1239" t="s">
        <v>2746</v>
      </c>
      <c r="C42" s="1239">
        <v>6.4118647500000001E-2</v>
      </c>
      <c r="D42" s="1239" t="s">
        <v>66</v>
      </c>
      <c r="F42" s="1239" t="s">
        <v>1202</v>
      </c>
      <c r="G42" s="1239">
        <v>79.999744000000007</v>
      </c>
      <c r="H42" s="1239" t="s">
        <v>420</v>
      </c>
    </row>
    <row r="43" spans="2:8" x14ac:dyDescent="0.2">
      <c r="B43" s="1239" t="s">
        <v>3496</v>
      </c>
      <c r="C43" s="1239">
        <v>-4.1205618600000001E-9</v>
      </c>
      <c r="D43" s="1239" t="s">
        <v>66</v>
      </c>
      <c r="F43" s="1239" t="s">
        <v>1203</v>
      </c>
      <c r="G43" s="1239">
        <v>79.999744000000007</v>
      </c>
      <c r="H43" s="1239" t="s">
        <v>420</v>
      </c>
    </row>
    <row r="44" spans="2:8" x14ac:dyDescent="0.2">
      <c r="B44" s="1239" t="s">
        <v>3497</v>
      </c>
      <c r="C44" s="1239">
        <v>67.634803700000006</v>
      </c>
      <c r="D44" s="1239" t="s">
        <v>66</v>
      </c>
      <c r="F44" s="1239" t="s">
        <v>1204</v>
      </c>
      <c r="G44" s="1239">
        <v>159.99948800000001</v>
      </c>
      <c r="H44" s="1239" t="s">
        <v>420</v>
      </c>
    </row>
    <row r="45" spans="2:8" x14ac:dyDescent="0.2">
      <c r="B45" s="1239" t="s">
        <v>3498</v>
      </c>
      <c r="C45" s="1239">
        <v>48.671060300000001</v>
      </c>
      <c r="D45" s="1239" t="s">
        <v>66</v>
      </c>
      <c r="F45" s="1239" t="s">
        <v>1205</v>
      </c>
      <c r="G45" s="1239">
        <v>74.999759999999995</v>
      </c>
      <c r="H45" s="1239" t="s">
        <v>420</v>
      </c>
    </row>
    <row r="46" spans="2:8" x14ac:dyDescent="0.2">
      <c r="B46" s="1239" t="s">
        <v>3499</v>
      </c>
      <c r="C46" s="1239">
        <v>53.3274513</v>
      </c>
      <c r="D46" s="1239" t="s">
        <v>66</v>
      </c>
      <c r="F46" s="1239" t="s">
        <v>1206</v>
      </c>
      <c r="G46" s="1239">
        <v>79.999744000000007</v>
      </c>
      <c r="H46" s="1239" t="s">
        <v>420</v>
      </c>
    </row>
    <row r="47" spans="2:8" x14ac:dyDescent="0.2">
      <c r="B47" s="1239" t="s">
        <v>3500</v>
      </c>
      <c r="C47" s="1239">
        <v>55.037716199999998</v>
      </c>
      <c r="D47" s="1239" t="s">
        <v>66</v>
      </c>
      <c r="F47" s="1239" t="s">
        <v>1207</v>
      </c>
      <c r="G47" s="1239">
        <v>19.999936000000002</v>
      </c>
      <c r="H47" s="1239" t="s">
        <v>420</v>
      </c>
    </row>
    <row r="48" spans="2:8" x14ac:dyDescent="0.2">
      <c r="B48" s="1239" t="s">
        <v>2749</v>
      </c>
      <c r="C48" s="1239">
        <v>1.7997940699999999</v>
      </c>
      <c r="D48" s="1239" t="s">
        <v>66</v>
      </c>
      <c r="F48" s="1239" t="s">
        <v>1208</v>
      </c>
      <c r="G48" s="1239">
        <v>39.999872000000003</v>
      </c>
      <c r="H48" s="1239" t="s">
        <v>420</v>
      </c>
    </row>
    <row r="49" spans="2:8" x14ac:dyDescent="0.2">
      <c r="B49" s="1239" t="s">
        <v>2750</v>
      </c>
      <c r="C49" s="1239">
        <v>0.19977714199999999</v>
      </c>
      <c r="D49" s="1239" t="s">
        <v>66</v>
      </c>
      <c r="F49" s="1239" t="s">
        <v>2497</v>
      </c>
      <c r="G49" s="1239">
        <v>5679.8857600000001</v>
      </c>
      <c r="H49" s="1239" t="s">
        <v>420</v>
      </c>
    </row>
    <row r="50" spans="2:8" x14ac:dyDescent="0.2">
      <c r="B50" s="1239" t="s">
        <v>2751</v>
      </c>
      <c r="C50" s="1239">
        <v>4.8088985600000002E-3</v>
      </c>
      <c r="D50" s="1239" t="s">
        <v>66</v>
      </c>
      <c r="F50" s="1239" t="s">
        <v>1209</v>
      </c>
      <c r="G50" s="1239">
        <v>79.999744000000007</v>
      </c>
      <c r="H50" s="1239" t="s">
        <v>420</v>
      </c>
    </row>
    <row r="51" spans="2:8" x14ac:dyDescent="0.2">
      <c r="B51" s="1239" t="s">
        <v>2752</v>
      </c>
      <c r="C51" s="1239">
        <v>1.9235594200000001E-3</v>
      </c>
      <c r="D51" s="1239" t="s">
        <v>66</v>
      </c>
      <c r="F51" s="1239" t="s">
        <v>1210</v>
      </c>
      <c r="G51" s="1239">
        <v>29.999904000000001</v>
      </c>
      <c r="H51" s="1239" t="s">
        <v>420</v>
      </c>
    </row>
    <row r="52" spans="2:8" x14ac:dyDescent="0.2">
      <c r="B52" s="1239" t="s">
        <v>2753</v>
      </c>
      <c r="C52" s="1239">
        <v>6.4118647500000002E-3</v>
      </c>
      <c r="D52" s="1239" t="s">
        <v>66</v>
      </c>
      <c r="F52" s="1239" t="s">
        <v>1211</v>
      </c>
      <c r="G52" s="1239">
        <v>1999.9936</v>
      </c>
      <c r="H52" s="1239" t="s">
        <v>420</v>
      </c>
    </row>
    <row r="53" spans="2:8" x14ac:dyDescent="0.2">
      <c r="B53" s="1239" t="s">
        <v>3185</v>
      </c>
      <c r="C53" s="1239">
        <v>0.19977714199999999</v>
      </c>
      <c r="D53" s="1239" t="s">
        <v>66</v>
      </c>
      <c r="F53" s="1239" t="s">
        <v>1212</v>
      </c>
      <c r="G53" s="1239">
        <v>44.999856000000001</v>
      </c>
      <c r="H53" s="1239" t="s">
        <v>420</v>
      </c>
    </row>
    <row r="54" spans="2:8" x14ac:dyDescent="0.2">
      <c r="B54" s="1239" t="s">
        <v>2462</v>
      </c>
      <c r="C54" s="1239">
        <v>8.5723706800000006</v>
      </c>
      <c r="D54" s="1239" t="s">
        <v>66</v>
      </c>
      <c r="F54" s="1239" t="s">
        <v>332</v>
      </c>
      <c r="G54" s="1239">
        <v>29.999904000000001</v>
      </c>
      <c r="H54" s="1239" t="s">
        <v>420</v>
      </c>
    </row>
    <row r="55" spans="2:8" x14ac:dyDescent="0.2">
      <c r="B55" s="1239" t="s">
        <v>342</v>
      </c>
      <c r="C55" s="1239">
        <v>8.1040881999999996</v>
      </c>
      <c r="D55" s="1239" t="s">
        <v>66</v>
      </c>
      <c r="F55" s="1239" t="s">
        <v>1213</v>
      </c>
      <c r="G55" s="1239">
        <v>1999.9936</v>
      </c>
      <c r="H55" s="1239" t="s">
        <v>420</v>
      </c>
    </row>
    <row r="56" spans="2:8" x14ac:dyDescent="0.2">
      <c r="B56" s="1239" t="s">
        <v>3186</v>
      </c>
      <c r="C56" s="1239">
        <v>0.46828248000000006</v>
      </c>
      <c r="D56" s="1239" t="s">
        <v>66</v>
      </c>
      <c r="F56" s="1239" t="s">
        <v>1595</v>
      </c>
      <c r="G56" s="1239">
        <v>82.026985699999983</v>
      </c>
      <c r="H56" s="1239" t="s">
        <v>420</v>
      </c>
    </row>
    <row r="57" spans="2:8" x14ac:dyDescent="0.2">
      <c r="B57" s="1239" t="s">
        <v>343</v>
      </c>
      <c r="C57" s="1239">
        <v>1.1719730799999999</v>
      </c>
      <c r="D57" s="1239" t="s">
        <v>66</v>
      </c>
      <c r="F57" s="1239" t="s">
        <v>1214</v>
      </c>
      <c r="G57" s="1239">
        <v>1</v>
      </c>
      <c r="H57" s="1239" t="s">
        <v>420</v>
      </c>
    </row>
    <row r="58" spans="2:8" x14ac:dyDescent="0.2">
      <c r="B58" s="1239" t="s">
        <v>3343</v>
      </c>
      <c r="C58" s="1239">
        <v>-0.41438378999999997</v>
      </c>
      <c r="D58" s="1239" t="s">
        <v>66</v>
      </c>
      <c r="F58" s="1239" t="s">
        <v>1215</v>
      </c>
      <c r="G58" s="1239">
        <v>63.895519899999996</v>
      </c>
      <c r="H58" s="1239" t="s">
        <v>420</v>
      </c>
    </row>
    <row r="59" spans="2:8" x14ac:dyDescent="0.2">
      <c r="B59" s="1239" t="s">
        <v>2754</v>
      </c>
      <c r="C59" s="1239">
        <v>1.7997940699999999</v>
      </c>
      <c r="D59" s="1239" t="s">
        <v>66</v>
      </c>
      <c r="F59" s="1239" t="s">
        <v>1596</v>
      </c>
      <c r="G59" s="1239">
        <v>55.999820800000002</v>
      </c>
      <c r="H59" s="1239" t="s">
        <v>420</v>
      </c>
    </row>
    <row r="60" spans="2:8" x14ac:dyDescent="0.2">
      <c r="B60" s="1239" t="s">
        <v>2756</v>
      </c>
      <c r="C60" s="1239">
        <v>4.8088985600000002E-3</v>
      </c>
      <c r="D60" s="1239" t="s">
        <v>66</v>
      </c>
      <c r="F60" s="1239" t="s">
        <v>1597</v>
      </c>
      <c r="G60" s="1239">
        <v>100.47897</v>
      </c>
      <c r="H60" s="1239" t="s">
        <v>420</v>
      </c>
    </row>
    <row r="61" spans="2:8" x14ac:dyDescent="0.2">
      <c r="B61" s="1239" t="s">
        <v>2757</v>
      </c>
      <c r="C61" s="1239">
        <v>1.9235594200000001E-3</v>
      </c>
      <c r="D61" s="1239" t="s">
        <v>66</v>
      </c>
      <c r="F61" s="1239" t="s">
        <v>1216</v>
      </c>
      <c r="G61" s="1239">
        <v>89.999712000000002</v>
      </c>
      <c r="H61" s="1239" t="s">
        <v>420</v>
      </c>
    </row>
    <row r="62" spans="2:8" x14ac:dyDescent="0.2">
      <c r="B62" s="1239" t="s">
        <v>2755</v>
      </c>
      <c r="C62" s="1239">
        <v>6.4118647500000002E-3</v>
      </c>
      <c r="D62" s="1239" t="s">
        <v>66</v>
      </c>
      <c r="F62" s="1239" t="s">
        <v>1217</v>
      </c>
      <c r="G62" s="1239">
        <v>44.999856000000001</v>
      </c>
      <c r="H62" s="1239" t="s">
        <v>420</v>
      </c>
    </row>
    <row r="63" spans="2:8" x14ac:dyDescent="0.2">
      <c r="B63" s="1239" t="s">
        <v>2758</v>
      </c>
      <c r="C63" s="1239">
        <v>-3.5234903900000002E-14</v>
      </c>
      <c r="D63" s="1239" t="s">
        <v>66</v>
      </c>
      <c r="F63" s="1239" t="s">
        <v>2498</v>
      </c>
      <c r="G63" s="1239">
        <v>802.02468199999998</v>
      </c>
      <c r="H63" s="1239" t="s">
        <v>420</v>
      </c>
    </row>
    <row r="64" spans="2:8" x14ac:dyDescent="0.2">
      <c r="B64" s="1239" t="s">
        <v>1503</v>
      </c>
      <c r="C64" s="1239">
        <v>8.2030449700000005</v>
      </c>
      <c r="D64" s="1239" t="s">
        <v>66</v>
      </c>
      <c r="F64" s="1239" t="s">
        <v>1218</v>
      </c>
      <c r="G64" s="1239">
        <v>170</v>
      </c>
      <c r="H64" s="1239" t="s">
        <v>420</v>
      </c>
    </row>
    <row r="65" spans="2:8" x14ac:dyDescent="0.2">
      <c r="B65" s="1239" t="s">
        <v>3016</v>
      </c>
      <c r="C65" s="1239">
        <v>5.1590713699999997E-3</v>
      </c>
      <c r="D65" s="1239" t="s">
        <v>66</v>
      </c>
      <c r="F65" s="1239" t="s">
        <v>1598</v>
      </c>
      <c r="G65" s="1239">
        <v>127</v>
      </c>
      <c r="H65" s="1239" t="s">
        <v>420</v>
      </c>
    </row>
    <row r="66" spans="2:8" x14ac:dyDescent="0.2">
      <c r="B66" s="1239" t="s">
        <v>1593</v>
      </c>
      <c r="C66" s="1239">
        <v>9.3390233599999997E-2</v>
      </c>
      <c r="D66" s="1239" t="s">
        <v>66</v>
      </c>
      <c r="F66" s="1239" t="s">
        <v>1599</v>
      </c>
      <c r="G66" s="1239">
        <v>127</v>
      </c>
      <c r="H66" s="1239" t="s">
        <v>420</v>
      </c>
    </row>
    <row r="67" spans="2:8" x14ac:dyDescent="0.2">
      <c r="B67" s="1239" t="s">
        <v>1594</v>
      </c>
      <c r="C67" s="1239">
        <v>0.73393591899999999</v>
      </c>
      <c r="D67" s="1239" t="s">
        <v>66</v>
      </c>
      <c r="F67" s="1239" t="s">
        <v>1220</v>
      </c>
      <c r="G67" s="1239">
        <v>90</v>
      </c>
      <c r="H67" s="1239" t="s">
        <v>420</v>
      </c>
    </row>
    <row r="68" spans="2:8" x14ac:dyDescent="0.2">
      <c r="B68" s="1239" t="s">
        <v>3017</v>
      </c>
      <c r="C68" s="1239">
        <v>5.1590713699999997E-3</v>
      </c>
      <c r="D68" s="1239" t="s">
        <v>66</v>
      </c>
      <c r="F68" s="1239" t="s">
        <v>1219</v>
      </c>
      <c r="G68" s="1239">
        <v>7.5</v>
      </c>
      <c r="H68" s="1239" t="s">
        <v>420</v>
      </c>
    </row>
    <row r="69" spans="2:8" x14ac:dyDescent="0.2">
      <c r="B69" s="1239" t="s">
        <v>2465</v>
      </c>
      <c r="C69" s="1239">
        <v>2.55266422</v>
      </c>
      <c r="D69" s="1239" t="s">
        <v>66</v>
      </c>
      <c r="F69" s="1239" t="s">
        <v>2790</v>
      </c>
      <c r="G69" s="1239">
        <v>1559.0667800000001</v>
      </c>
      <c r="H69" s="1239" t="s">
        <v>420</v>
      </c>
    </row>
    <row r="70" spans="2:8" x14ac:dyDescent="0.2">
      <c r="B70" s="1239" t="s">
        <v>2466</v>
      </c>
      <c r="C70" s="1239">
        <v>-0.30052875499999998</v>
      </c>
      <c r="D70" s="1239" t="s">
        <v>66</v>
      </c>
      <c r="F70" s="1239" t="s">
        <v>2804</v>
      </c>
      <c r="G70" s="1239">
        <v>-508.221384</v>
      </c>
      <c r="H70" s="1239" t="s">
        <v>420</v>
      </c>
    </row>
    <row r="71" spans="2:8" x14ac:dyDescent="0.2">
      <c r="B71" s="1239" t="s">
        <v>344</v>
      </c>
      <c r="C71" s="1239">
        <v>0.214370318</v>
      </c>
      <c r="D71" s="1239" t="s">
        <v>66</v>
      </c>
      <c r="F71" s="1239" t="s">
        <v>2805</v>
      </c>
      <c r="G71" s="1239">
        <v>-508.22053599999998</v>
      </c>
      <c r="H71" s="1239" t="s">
        <v>420</v>
      </c>
    </row>
    <row r="72" spans="2:8" x14ac:dyDescent="0.2">
      <c r="B72" s="1239" t="s">
        <v>2467</v>
      </c>
      <c r="C72" s="1239">
        <v>5.1878718900000003</v>
      </c>
      <c r="D72" s="1239" t="s">
        <v>66</v>
      </c>
      <c r="F72" s="1239" t="s">
        <v>2806</v>
      </c>
      <c r="G72" s="1239">
        <v>508.22053599999998</v>
      </c>
      <c r="H72" s="1239" t="s">
        <v>420</v>
      </c>
    </row>
    <row r="73" spans="2:8" x14ac:dyDescent="0.2">
      <c r="B73" s="1239" t="s">
        <v>2759</v>
      </c>
      <c r="C73" s="1239">
        <v>0.26586891600000001</v>
      </c>
      <c r="D73" s="1239" t="s">
        <v>66</v>
      </c>
      <c r="F73" s="1239" t="s">
        <v>2803</v>
      </c>
      <c r="G73" s="1239">
        <v>-508.22053599999998</v>
      </c>
      <c r="H73" s="1239" t="s">
        <v>420</v>
      </c>
    </row>
    <row r="74" spans="2:8" x14ac:dyDescent="0.2">
      <c r="B74" s="1239" t="s">
        <v>2760</v>
      </c>
      <c r="C74" s="1239">
        <v>4.3842297200000002E-4</v>
      </c>
      <c r="D74" s="1239" t="s">
        <v>66</v>
      </c>
      <c r="F74" s="1239" t="s">
        <v>2808</v>
      </c>
      <c r="G74" s="1239">
        <v>-847.03422599999999</v>
      </c>
      <c r="H74" s="1239" t="s">
        <v>420</v>
      </c>
    </row>
    <row r="75" spans="2:8" x14ac:dyDescent="0.2">
      <c r="B75" s="1239" t="s">
        <v>2761</v>
      </c>
      <c r="C75" s="1239">
        <v>1.09786313E-2</v>
      </c>
      <c r="D75" s="1239" t="s">
        <v>66</v>
      </c>
      <c r="F75" s="1239" t="s">
        <v>2809</v>
      </c>
      <c r="G75" s="1239">
        <v>-847.03422599999999</v>
      </c>
      <c r="H75" s="1239" t="s">
        <v>420</v>
      </c>
    </row>
    <row r="76" spans="2:8" x14ac:dyDescent="0.2">
      <c r="B76" s="1239" t="s">
        <v>2463</v>
      </c>
      <c r="C76" s="1239">
        <v>8.2030449700000005</v>
      </c>
      <c r="D76" s="1239" t="s">
        <v>66</v>
      </c>
      <c r="F76" s="1239" t="s">
        <v>2810</v>
      </c>
      <c r="G76" s="1239">
        <v>847.03422599999999</v>
      </c>
      <c r="H76" s="1239" t="s">
        <v>420</v>
      </c>
    </row>
    <row r="77" spans="2:8" x14ac:dyDescent="0.2">
      <c r="B77" s="1239" t="s">
        <v>348</v>
      </c>
      <c r="C77" s="1239">
        <v>0.46207043199999992</v>
      </c>
      <c r="D77" s="1239" t="s">
        <v>66</v>
      </c>
      <c r="F77" s="1239" t="s">
        <v>2807</v>
      </c>
      <c r="G77" s="1239">
        <v>-847.03422599999999</v>
      </c>
      <c r="H77" s="1239" t="s">
        <v>420</v>
      </c>
    </row>
    <row r="78" spans="2:8" x14ac:dyDescent="0.2">
      <c r="B78" s="1239" t="s">
        <v>1183</v>
      </c>
      <c r="C78" s="1239">
        <v>23.176131600000001</v>
      </c>
      <c r="D78" s="1239" t="s">
        <v>66</v>
      </c>
      <c r="F78" s="1239" t="s">
        <v>2794</v>
      </c>
      <c r="G78" s="1239">
        <v>-14.9139974</v>
      </c>
      <c r="H78" s="1239" t="s">
        <v>420</v>
      </c>
    </row>
    <row r="79" spans="2:8" x14ac:dyDescent="0.2">
      <c r="B79" s="1239" t="s">
        <v>345</v>
      </c>
      <c r="C79" s="1239">
        <v>2.55266422</v>
      </c>
      <c r="D79" s="1239" t="s">
        <v>66</v>
      </c>
      <c r="F79" s="1239" t="s">
        <v>2791</v>
      </c>
      <c r="G79" s="1239">
        <v>-14.9139974</v>
      </c>
      <c r="H79" s="1239" t="s">
        <v>420</v>
      </c>
    </row>
    <row r="80" spans="2:8" x14ac:dyDescent="0.2">
      <c r="B80" s="1239" t="s">
        <v>346</v>
      </c>
      <c r="C80" s="1239">
        <v>-0.30052875499999998</v>
      </c>
      <c r="D80" s="1239" t="s">
        <v>66</v>
      </c>
      <c r="F80" s="1239" t="s">
        <v>2792</v>
      </c>
      <c r="G80" s="1239">
        <v>14.9139974</v>
      </c>
      <c r="H80" s="1239" t="s">
        <v>420</v>
      </c>
    </row>
    <row r="81" spans="2:8" x14ac:dyDescent="0.2">
      <c r="B81" s="1239" t="s">
        <v>347</v>
      </c>
      <c r="C81" s="1239">
        <v>5.1878718900000003</v>
      </c>
      <c r="D81" s="1239" t="s">
        <v>66</v>
      </c>
      <c r="F81" s="1239" t="s">
        <v>2793</v>
      </c>
      <c r="G81" s="1239">
        <v>-14.9139974</v>
      </c>
      <c r="H81" s="1239" t="s">
        <v>420</v>
      </c>
    </row>
    <row r="82" spans="2:8" x14ac:dyDescent="0.2">
      <c r="B82" s="1239" t="s">
        <v>2464</v>
      </c>
      <c r="C82" s="1239">
        <v>-38.7022987</v>
      </c>
      <c r="D82" s="1239" t="s">
        <v>66</v>
      </c>
      <c r="F82" s="1239" t="s">
        <v>2798</v>
      </c>
      <c r="G82" s="1239">
        <v>-99.406025700000001</v>
      </c>
      <c r="H82" s="1239" t="s">
        <v>420</v>
      </c>
    </row>
    <row r="83" spans="2:8" x14ac:dyDescent="0.2">
      <c r="B83" s="1239" t="s">
        <v>1185</v>
      </c>
      <c r="C83" s="1239">
        <v>29.419417100000004</v>
      </c>
      <c r="D83" s="1239" t="s">
        <v>66</v>
      </c>
      <c r="F83" s="1239" t="s">
        <v>2795</v>
      </c>
      <c r="G83" s="1239">
        <v>-99.406025700000001</v>
      </c>
      <c r="H83" s="1239" t="s">
        <v>420</v>
      </c>
    </row>
    <row r="84" spans="2:8" x14ac:dyDescent="0.2">
      <c r="B84" s="1239" t="s">
        <v>349</v>
      </c>
      <c r="C84" s="1239">
        <v>-33.042483500000003</v>
      </c>
      <c r="D84" s="1239" t="s">
        <v>66</v>
      </c>
      <c r="F84" s="1239" t="s">
        <v>2796</v>
      </c>
      <c r="G84" s="1239">
        <v>99.406025700000001</v>
      </c>
      <c r="H84" s="1239" t="s">
        <v>420</v>
      </c>
    </row>
    <row r="85" spans="2:8" x14ac:dyDescent="0.2">
      <c r="B85" s="1239" t="s">
        <v>1184</v>
      </c>
      <c r="C85" s="1239">
        <v>-5.6251553799999998</v>
      </c>
      <c r="D85" s="1239" t="s">
        <v>66</v>
      </c>
      <c r="F85" s="1239" t="s">
        <v>2797</v>
      </c>
      <c r="G85" s="1239">
        <v>-99.406025700000001</v>
      </c>
      <c r="H85" s="1239" t="s">
        <v>420</v>
      </c>
    </row>
    <row r="86" spans="2:8" x14ac:dyDescent="0.2">
      <c r="B86" s="1239" t="s">
        <v>2762</v>
      </c>
      <c r="C86" s="1239">
        <v>0.26586891600000001</v>
      </c>
      <c r="D86" s="1239" t="s">
        <v>66</v>
      </c>
      <c r="F86" s="1239" t="s">
        <v>2802</v>
      </c>
      <c r="G86" s="1239">
        <v>-14.9139974</v>
      </c>
      <c r="H86" s="1239" t="s">
        <v>420</v>
      </c>
    </row>
    <row r="87" spans="2:8" x14ac:dyDescent="0.2">
      <c r="B87" s="1239" t="s">
        <v>2763</v>
      </c>
      <c r="C87" s="1239">
        <v>4.3842297200000002E-4</v>
      </c>
      <c r="D87" s="1239" t="s">
        <v>66</v>
      </c>
      <c r="F87" s="1239" t="s">
        <v>2799</v>
      </c>
      <c r="G87" s="1239">
        <v>-14.9139974</v>
      </c>
      <c r="H87" s="1239" t="s">
        <v>420</v>
      </c>
    </row>
    <row r="88" spans="2:8" x14ac:dyDescent="0.2">
      <c r="B88" s="1239" t="s">
        <v>2764</v>
      </c>
      <c r="C88" s="1239">
        <v>1.09786313E-2</v>
      </c>
      <c r="D88" s="1239" t="s">
        <v>66</v>
      </c>
      <c r="F88" s="1239" t="s">
        <v>2800</v>
      </c>
      <c r="G88" s="1239">
        <v>14.9139974</v>
      </c>
      <c r="H88" s="1239" t="s">
        <v>420</v>
      </c>
    </row>
    <row r="89" spans="2:8" x14ac:dyDescent="0.2">
      <c r="B89" s="1239" t="s">
        <v>2931</v>
      </c>
      <c r="C89" s="1239">
        <v>8.0535519499999992</v>
      </c>
      <c r="D89" s="1239" t="s">
        <v>66</v>
      </c>
      <c r="F89" s="1239" t="s">
        <v>2801</v>
      </c>
      <c r="G89" s="1239">
        <v>-14.9139974</v>
      </c>
      <c r="H89" s="1239" t="s">
        <v>420</v>
      </c>
    </row>
    <row r="90" spans="2:8" x14ac:dyDescent="0.2">
      <c r="B90" s="1239" t="s">
        <v>3032</v>
      </c>
      <c r="C90" s="1239">
        <v>4.6232307800000001</v>
      </c>
      <c r="D90" s="1239" t="s">
        <v>66</v>
      </c>
      <c r="F90" s="1239" t="s">
        <v>2812</v>
      </c>
      <c r="G90" s="1239">
        <v>-74.569986999999998</v>
      </c>
      <c r="H90" s="1239" t="s">
        <v>420</v>
      </c>
    </row>
    <row r="91" spans="2:8" x14ac:dyDescent="0.2">
      <c r="B91" s="1239" t="s">
        <v>3037</v>
      </c>
      <c r="C91" s="1239">
        <v>40.476503800000003</v>
      </c>
      <c r="D91" s="1239" t="s">
        <v>66</v>
      </c>
      <c r="F91" s="1239" t="s">
        <v>2813</v>
      </c>
      <c r="G91" s="1239">
        <v>-74.569986999999998</v>
      </c>
      <c r="H91" s="1239" t="s">
        <v>420</v>
      </c>
    </row>
    <row r="92" spans="2:8" x14ac:dyDescent="0.2">
      <c r="B92" s="1239" t="s">
        <v>3038</v>
      </c>
      <c r="C92" s="1239">
        <v>-39.755016099999999</v>
      </c>
      <c r="D92" s="1239" t="s">
        <v>66</v>
      </c>
      <c r="F92" s="1239" t="s">
        <v>2814</v>
      </c>
      <c r="G92" s="1239">
        <v>74.569986999999998</v>
      </c>
      <c r="H92" s="1239" t="s">
        <v>420</v>
      </c>
    </row>
    <row r="93" spans="2:8" x14ac:dyDescent="0.2">
      <c r="B93" s="1239" t="s">
        <v>2932</v>
      </c>
      <c r="C93" s="1239">
        <v>4.4992064300000001</v>
      </c>
      <c r="D93" s="1239" t="s">
        <v>66</v>
      </c>
      <c r="F93" s="1239" t="s">
        <v>2811</v>
      </c>
      <c r="G93" s="1239">
        <v>-74.569986999999998</v>
      </c>
      <c r="H93" s="1239" t="s">
        <v>420</v>
      </c>
    </row>
    <row r="94" spans="2:8" x14ac:dyDescent="0.2">
      <c r="B94" s="1239" t="s">
        <v>2937</v>
      </c>
      <c r="C94" s="1239">
        <v>-1.0685896399999999</v>
      </c>
      <c r="D94" s="1239" t="s">
        <v>66</v>
      </c>
      <c r="F94" s="1239" t="s">
        <v>3501</v>
      </c>
      <c r="G94" s="1239">
        <v>171.62587400000001</v>
      </c>
      <c r="H94" s="1239" t="s">
        <v>420</v>
      </c>
    </row>
    <row r="95" spans="2:8" x14ac:dyDescent="0.2">
      <c r="B95" s="1239" t="s">
        <v>2938</v>
      </c>
      <c r="C95" s="1239">
        <v>-0.66514694399999996</v>
      </c>
      <c r="D95" s="1239" t="s">
        <v>66</v>
      </c>
      <c r="F95" s="1239" t="s">
        <v>2499</v>
      </c>
      <c r="G95" s="1239">
        <v>1735.7257999999999</v>
      </c>
      <c r="H95" s="1239" t="s">
        <v>420</v>
      </c>
    </row>
    <row r="96" spans="2:8" x14ac:dyDescent="0.2">
      <c r="B96" s="1239" t="s">
        <v>3187</v>
      </c>
      <c r="C96" s="1239">
        <v>0.17196904599999999</v>
      </c>
      <c r="D96" s="1239" t="s">
        <v>66</v>
      </c>
      <c r="F96" s="1239" t="s">
        <v>1600</v>
      </c>
      <c r="G96" s="1239">
        <v>74.569986999999998</v>
      </c>
      <c r="H96" s="1239" t="s">
        <v>420</v>
      </c>
    </row>
    <row r="97" spans="2:8" x14ac:dyDescent="0.2">
      <c r="B97" s="1239" t="s">
        <v>3039</v>
      </c>
      <c r="C97" s="1239">
        <v>0.72148762899999996</v>
      </c>
      <c r="D97" s="1239" t="s">
        <v>66</v>
      </c>
      <c r="F97" s="1239" t="s">
        <v>2500</v>
      </c>
      <c r="G97" s="1239">
        <v>1614.34591</v>
      </c>
      <c r="H97" s="1239" t="s">
        <v>420</v>
      </c>
    </row>
    <row r="98" spans="2:8" x14ac:dyDescent="0.2">
      <c r="B98" s="1239" t="s">
        <v>2468</v>
      </c>
      <c r="C98" s="1239">
        <v>13.0768209</v>
      </c>
      <c r="D98" s="1239" t="s">
        <v>66</v>
      </c>
      <c r="F98" s="1239" t="s">
        <v>3189</v>
      </c>
      <c r="G98" s="1239">
        <v>99.406025700000001</v>
      </c>
      <c r="H98" s="1239" t="s">
        <v>420</v>
      </c>
    </row>
    <row r="99" spans="2:8" x14ac:dyDescent="0.2">
      <c r="B99" s="1239" t="s">
        <v>350</v>
      </c>
      <c r="C99" s="1239">
        <v>6.3438290300000002</v>
      </c>
      <c r="D99" s="1239" t="s">
        <v>66</v>
      </c>
      <c r="F99" s="1239" t="s">
        <v>1222</v>
      </c>
      <c r="G99" s="1239">
        <v>7.4569986999999998</v>
      </c>
      <c r="H99" s="1239" t="s">
        <v>420</v>
      </c>
    </row>
    <row r="100" spans="2:8" x14ac:dyDescent="0.2">
      <c r="B100" s="1239" t="s">
        <v>3005</v>
      </c>
      <c r="C100" s="1239">
        <v>-1.73373658</v>
      </c>
      <c r="D100" s="1239" t="s">
        <v>66</v>
      </c>
      <c r="F100" s="1239" t="s">
        <v>1223</v>
      </c>
      <c r="G100" s="1239">
        <v>7.46500656</v>
      </c>
      <c r="H100" s="1239" t="s">
        <v>420</v>
      </c>
    </row>
    <row r="101" spans="2:8" x14ac:dyDescent="0.2">
      <c r="B101" s="1239" t="s">
        <v>2933</v>
      </c>
      <c r="C101" s="1239">
        <v>25.6295793</v>
      </c>
      <c r="D101" s="1239" t="s">
        <v>66</v>
      </c>
      <c r="F101" s="1239" t="s">
        <v>673</v>
      </c>
      <c r="G101" s="1239">
        <v>106.46588800000001</v>
      </c>
      <c r="H101" s="1239" t="s">
        <v>420</v>
      </c>
    </row>
    <row r="102" spans="2:8" x14ac:dyDescent="0.2">
      <c r="B102" s="1239" t="s">
        <v>3188</v>
      </c>
      <c r="C102" s="1239">
        <v>0.17196904599999999</v>
      </c>
      <c r="D102" s="1239" t="s">
        <v>66</v>
      </c>
      <c r="F102" s="1239" t="s">
        <v>1221</v>
      </c>
      <c r="G102" s="1239">
        <v>55.279136700000002</v>
      </c>
      <c r="H102" s="1239" t="s">
        <v>420</v>
      </c>
    </row>
    <row r="103" spans="2:8" x14ac:dyDescent="0.2">
      <c r="B103" s="1239" t="s">
        <v>3355</v>
      </c>
      <c r="C103" s="1239">
        <v>0.20197374000000001</v>
      </c>
      <c r="D103" s="1239" t="s">
        <v>66</v>
      </c>
      <c r="F103" s="1239" t="s">
        <v>3190</v>
      </c>
      <c r="G103" s="1239">
        <v>1355.25476</v>
      </c>
      <c r="H103" s="1239" t="s">
        <v>420</v>
      </c>
    </row>
    <row r="104" spans="2:8" x14ac:dyDescent="0.2">
      <c r="B104" s="1239" t="s">
        <v>3354</v>
      </c>
      <c r="C104" s="1239">
        <v>0.20197374000000001</v>
      </c>
      <c r="D104" s="1239" t="s">
        <v>66</v>
      </c>
      <c r="F104" s="1239" t="s">
        <v>2815</v>
      </c>
      <c r="G104" s="1239">
        <v>508.22053599999998</v>
      </c>
      <c r="H104" s="1239" t="s">
        <v>420</v>
      </c>
    </row>
    <row r="105" spans="2:8" x14ac:dyDescent="0.2">
      <c r="B105" s="1239" t="s">
        <v>2469</v>
      </c>
      <c r="C105" s="1239">
        <v>0.261616811</v>
      </c>
      <c r="D105" s="1239" t="s">
        <v>66</v>
      </c>
      <c r="F105" s="1239" t="s">
        <v>2816</v>
      </c>
      <c r="G105" s="1239">
        <v>847.03422599999999</v>
      </c>
      <c r="H105" s="1239" t="s">
        <v>420</v>
      </c>
    </row>
    <row r="106" spans="2:8" x14ac:dyDescent="0.2">
      <c r="B106" s="1239" t="s">
        <v>2471</v>
      </c>
      <c r="C106" s="1239">
        <v>144.630402</v>
      </c>
      <c r="D106" s="1239" t="s">
        <v>66</v>
      </c>
      <c r="F106" s="1239" t="s">
        <v>1224</v>
      </c>
      <c r="G106" s="1239">
        <v>14.9139974</v>
      </c>
      <c r="H106" s="1239" t="s">
        <v>420</v>
      </c>
    </row>
    <row r="107" spans="2:8" x14ac:dyDescent="0.2">
      <c r="B107" s="1239" t="s">
        <v>2472</v>
      </c>
      <c r="C107" s="1239">
        <v>-0.32884501999999999</v>
      </c>
      <c r="D107" s="1239" t="s">
        <v>66</v>
      </c>
      <c r="F107" s="1239" t="s">
        <v>1225</v>
      </c>
      <c r="G107" s="1239">
        <v>14.9139974</v>
      </c>
      <c r="H107" s="1239" t="s">
        <v>420</v>
      </c>
    </row>
    <row r="108" spans="2:8" x14ac:dyDescent="0.2">
      <c r="B108" s="1239" t="s">
        <v>2473</v>
      </c>
      <c r="C108" s="1239">
        <v>15.457730100000001</v>
      </c>
      <c r="D108" s="1239" t="s">
        <v>66</v>
      </c>
      <c r="F108" s="1239" t="s">
        <v>2820</v>
      </c>
      <c r="G108" s="1239">
        <v>-2093.1605100000002</v>
      </c>
      <c r="H108" s="1239" t="s">
        <v>420</v>
      </c>
    </row>
    <row r="109" spans="2:8" x14ac:dyDescent="0.2">
      <c r="B109" s="1239" t="s">
        <v>2474</v>
      </c>
      <c r="C109" s="1239">
        <v>-2.18607212</v>
      </c>
      <c r="D109" s="1239" t="s">
        <v>66</v>
      </c>
      <c r="F109" s="1239" t="s">
        <v>2817</v>
      </c>
      <c r="G109" s="1239">
        <v>-2093.1605100000002</v>
      </c>
      <c r="H109" s="1239" t="s">
        <v>420</v>
      </c>
    </row>
    <row r="110" spans="2:8" x14ac:dyDescent="0.2">
      <c r="B110" s="1239" t="s">
        <v>2475</v>
      </c>
      <c r="C110" s="1239">
        <v>-38.7022987</v>
      </c>
      <c r="D110" s="1239" t="s">
        <v>66</v>
      </c>
      <c r="F110" s="1239" t="s">
        <v>2818</v>
      </c>
      <c r="G110" s="1239">
        <v>2093.1605100000002</v>
      </c>
      <c r="H110" s="1239" t="s">
        <v>420</v>
      </c>
    </row>
    <row r="111" spans="2:8" x14ac:dyDescent="0.2">
      <c r="B111" s="1239" t="s">
        <v>2476</v>
      </c>
      <c r="C111" s="1239">
        <v>50.737314900000001</v>
      </c>
      <c r="D111" s="1239" t="s">
        <v>66</v>
      </c>
      <c r="F111" s="1239" t="s">
        <v>2819</v>
      </c>
      <c r="G111" s="1239">
        <v>-2093.1605100000002</v>
      </c>
      <c r="H111" s="1239" t="s">
        <v>420</v>
      </c>
    </row>
    <row r="112" spans="2:8" x14ac:dyDescent="0.2">
      <c r="B112" s="1239" t="s">
        <v>2477</v>
      </c>
      <c r="C112" s="1239">
        <v>29.686034099999997</v>
      </c>
      <c r="D112" s="1239" t="s">
        <v>66</v>
      </c>
      <c r="F112" s="1239" t="s">
        <v>2824</v>
      </c>
      <c r="G112" s="1239">
        <v>-232.34081599999999</v>
      </c>
      <c r="H112" s="1239" t="s">
        <v>420</v>
      </c>
    </row>
    <row r="113" spans="2:8" x14ac:dyDescent="0.2">
      <c r="B113" s="1239" t="s">
        <v>2478</v>
      </c>
      <c r="C113" s="1239">
        <v>-3.0574503499999999E-2</v>
      </c>
      <c r="D113" s="1239" t="s">
        <v>66</v>
      </c>
      <c r="F113" s="1239" t="s">
        <v>2821</v>
      </c>
      <c r="G113" s="1239">
        <v>-232.34081599999999</v>
      </c>
      <c r="H113" s="1239" t="s">
        <v>420</v>
      </c>
    </row>
    <row r="114" spans="2:8" x14ac:dyDescent="0.2">
      <c r="B114" s="1239" t="s">
        <v>3344</v>
      </c>
      <c r="C114" s="1239">
        <v>-0.41438378999999997</v>
      </c>
      <c r="D114" s="1239" t="s">
        <v>66</v>
      </c>
      <c r="F114" s="1239" t="s">
        <v>2822</v>
      </c>
      <c r="G114" s="1239">
        <v>232.34081599999999</v>
      </c>
      <c r="H114" s="1239" t="s">
        <v>420</v>
      </c>
    </row>
    <row r="115" spans="2:8" x14ac:dyDescent="0.2">
      <c r="B115" s="1239" t="s">
        <v>2479</v>
      </c>
      <c r="C115" s="1239">
        <v>-39.116682500000003</v>
      </c>
      <c r="D115" s="1239" t="s">
        <v>66</v>
      </c>
      <c r="F115" s="1239" t="s">
        <v>2823</v>
      </c>
      <c r="G115" s="1239">
        <v>-232.34081599999999</v>
      </c>
      <c r="H115" s="1239" t="s">
        <v>420</v>
      </c>
    </row>
    <row r="116" spans="2:8" x14ac:dyDescent="0.2">
      <c r="B116" s="1239" t="s">
        <v>2480</v>
      </c>
      <c r="C116" s="1239">
        <v>7.2391711700000002E-13</v>
      </c>
      <c r="D116" s="1239" t="s">
        <v>66</v>
      </c>
      <c r="F116" s="1239" t="s">
        <v>2828</v>
      </c>
      <c r="G116" s="1239">
        <v>-5.5927490300000002</v>
      </c>
      <c r="H116" s="1239" t="s">
        <v>420</v>
      </c>
    </row>
    <row r="117" spans="2:8" x14ac:dyDescent="0.2">
      <c r="B117" s="1239" t="s">
        <v>354</v>
      </c>
      <c r="C117" s="1239">
        <v>144.630402</v>
      </c>
      <c r="D117" s="1239" t="s">
        <v>66</v>
      </c>
      <c r="F117" s="1239" t="s">
        <v>2825</v>
      </c>
      <c r="G117" s="1239">
        <v>-5.5927490300000002</v>
      </c>
      <c r="H117" s="1239" t="s">
        <v>420</v>
      </c>
    </row>
    <row r="118" spans="2:8" x14ac:dyDescent="0.2">
      <c r="B118" s="1239" t="s">
        <v>355</v>
      </c>
      <c r="C118" s="1239">
        <v>10.2201354</v>
      </c>
      <c r="D118" s="1239" t="s">
        <v>66</v>
      </c>
      <c r="F118" s="1239" t="s">
        <v>2826</v>
      </c>
      <c r="G118" s="1239">
        <v>5.5927490300000002</v>
      </c>
      <c r="H118" s="1239" t="s">
        <v>420</v>
      </c>
    </row>
    <row r="119" spans="2:8" x14ac:dyDescent="0.2">
      <c r="B119" s="1239" t="s">
        <v>351</v>
      </c>
      <c r="C119" s="1239">
        <v>13.112293899999999</v>
      </c>
      <c r="D119" s="1239" t="s">
        <v>66</v>
      </c>
      <c r="F119" s="1239" t="s">
        <v>2827</v>
      </c>
      <c r="G119" s="1239">
        <v>-5.5927490300000002</v>
      </c>
      <c r="H119" s="1239" t="s">
        <v>420</v>
      </c>
    </row>
    <row r="120" spans="2:8" x14ac:dyDescent="0.2">
      <c r="B120" s="1239" t="s">
        <v>1186</v>
      </c>
      <c r="C120" s="1239">
        <v>-2.18607212</v>
      </c>
      <c r="D120" s="1239" t="s">
        <v>66</v>
      </c>
      <c r="F120" s="1239" t="s">
        <v>2832</v>
      </c>
      <c r="G120" s="1239">
        <v>-2.23709961</v>
      </c>
      <c r="H120" s="1239" t="s">
        <v>420</v>
      </c>
    </row>
    <row r="121" spans="2:8" x14ac:dyDescent="0.2">
      <c r="B121" s="1239" t="s">
        <v>2470</v>
      </c>
      <c r="C121" s="1239">
        <v>-38.7022987</v>
      </c>
      <c r="D121" s="1239" t="s">
        <v>66</v>
      </c>
      <c r="F121" s="1239" t="s">
        <v>2829</v>
      </c>
      <c r="G121" s="1239">
        <v>-2.23709961</v>
      </c>
      <c r="H121" s="1239" t="s">
        <v>420</v>
      </c>
    </row>
    <row r="122" spans="2:8" x14ac:dyDescent="0.2">
      <c r="B122" s="1239" t="s">
        <v>353</v>
      </c>
      <c r="C122" s="1239">
        <v>88.785755699999996</v>
      </c>
      <c r="D122" s="1239" t="s">
        <v>66</v>
      </c>
      <c r="F122" s="1239" t="s">
        <v>2830</v>
      </c>
      <c r="G122" s="1239">
        <v>2.23709961</v>
      </c>
      <c r="H122" s="1239" t="s">
        <v>420</v>
      </c>
    </row>
    <row r="123" spans="2:8" x14ac:dyDescent="0.2">
      <c r="B123" s="1239" t="s">
        <v>2481</v>
      </c>
      <c r="C123" s="1239">
        <v>154.850537</v>
      </c>
      <c r="D123" s="1239" t="s">
        <v>66</v>
      </c>
      <c r="F123" s="1239" t="s">
        <v>2831</v>
      </c>
      <c r="G123" s="1239">
        <v>-2.23709961</v>
      </c>
      <c r="H123" s="1239" t="s">
        <v>420</v>
      </c>
    </row>
    <row r="124" spans="2:8" x14ac:dyDescent="0.2">
      <c r="B124" s="1239" t="s">
        <v>352</v>
      </c>
      <c r="C124" s="1239">
        <v>50.737314900000001</v>
      </c>
      <c r="D124" s="1239" t="s">
        <v>66</v>
      </c>
      <c r="F124" s="1239" t="s">
        <v>2836</v>
      </c>
      <c r="G124" s="1239">
        <v>-7.4569986999999998</v>
      </c>
      <c r="H124" s="1239" t="s">
        <v>420</v>
      </c>
    </row>
    <row r="125" spans="2:8" x14ac:dyDescent="0.2">
      <c r="B125" s="1239" t="s">
        <v>3345</v>
      </c>
      <c r="C125" s="1239">
        <v>-0.41438378999999997</v>
      </c>
      <c r="D125" s="1239" t="s">
        <v>66</v>
      </c>
      <c r="F125" s="1239" t="s">
        <v>2833</v>
      </c>
      <c r="G125" s="1239">
        <v>-7.4569986999999998</v>
      </c>
      <c r="H125" s="1239" t="s">
        <v>420</v>
      </c>
    </row>
    <row r="126" spans="2:8" x14ac:dyDescent="0.2">
      <c r="B126" s="1239" t="s">
        <v>2765</v>
      </c>
      <c r="C126" s="1239">
        <v>-2.6368520800000001E-11</v>
      </c>
      <c r="D126" s="1239" t="s">
        <v>66</v>
      </c>
      <c r="F126" s="1239" t="s">
        <v>2834</v>
      </c>
      <c r="G126" s="1239">
        <v>7.4569986999999998</v>
      </c>
      <c r="H126" s="1239" t="s">
        <v>420</v>
      </c>
    </row>
    <row r="127" spans="2:8" x14ac:dyDescent="0.2">
      <c r="B127" s="1239" t="s">
        <v>2482</v>
      </c>
      <c r="C127" s="1239">
        <v>7.2414730399999998</v>
      </c>
      <c r="D127" s="1239" t="s">
        <v>66</v>
      </c>
      <c r="F127" s="1239" t="s">
        <v>2835</v>
      </c>
      <c r="G127" s="1239">
        <v>-7.4569986999999998</v>
      </c>
      <c r="H127" s="1239" t="s">
        <v>420</v>
      </c>
    </row>
    <row r="128" spans="2:8" x14ac:dyDescent="0.2">
      <c r="B128" s="1239" t="s">
        <v>2483</v>
      </c>
      <c r="C128" s="1239">
        <v>16.5899222</v>
      </c>
      <c r="D128" s="1239" t="s">
        <v>66</v>
      </c>
      <c r="F128" s="1239" t="s">
        <v>2502</v>
      </c>
      <c r="G128" s="1239">
        <v>3752.8839699999999</v>
      </c>
      <c r="H128" s="1239" t="s">
        <v>420</v>
      </c>
    </row>
    <row r="129" spans="2:8" x14ac:dyDescent="0.2">
      <c r="B129" s="1239" t="s">
        <v>2484</v>
      </c>
      <c r="C129" s="1239">
        <v>1.1719730799999999</v>
      </c>
      <c r="D129" s="1239" t="s">
        <v>66</v>
      </c>
      <c r="F129" s="1239" t="s">
        <v>333</v>
      </c>
      <c r="G129" s="1239">
        <v>1408.16992</v>
      </c>
      <c r="H129" s="1239" t="s">
        <v>420</v>
      </c>
    </row>
    <row r="130" spans="2:8" x14ac:dyDescent="0.2">
      <c r="B130" s="1239" t="s">
        <v>2485</v>
      </c>
      <c r="C130" s="1239">
        <v>8.2030449700000005</v>
      </c>
      <c r="D130" s="1239" t="s">
        <v>66</v>
      </c>
      <c r="F130" s="1239" t="s">
        <v>1226</v>
      </c>
      <c r="G130" s="1239">
        <v>1.29877379</v>
      </c>
      <c r="H130" s="1239" t="s">
        <v>420</v>
      </c>
    </row>
    <row r="131" spans="2:8" x14ac:dyDescent="0.2">
      <c r="B131" s="1239" t="s">
        <v>2489</v>
      </c>
      <c r="C131" s="1239">
        <v>4.8719147400000002</v>
      </c>
      <c r="D131" s="1239" t="s">
        <v>66</v>
      </c>
      <c r="F131" s="1239" t="s">
        <v>1228</v>
      </c>
      <c r="G131" s="1239">
        <v>7.0772470700000006E-2</v>
      </c>
      <c r="H131" s="1239" t="s">
        <v>420</v>
      </c>
    </row>
    <row r="132" spans="2:8" x14ac:dyDescent="0.2">
      <c r="B132" s="1239" t="s">
        <v>2490</v>
      </c>
      <c r="C132" s="1239">
        <v>8.5723706800000006</v>
      </c>
      <c r="D132" s="1239" t="s">
        <v>66</v>
      </c>
      <c r="F132" s="1239" t="s">
        <v>1229</v>
      </c>
      <c r="G132" s="1239">
        <v>1.7950457399999999</v>
      </c>
      <c r="H132" s="1239" t="s">
        <v>420</v>
      </c>
    </row>
    <row r="133" spans="2:8" x14ac:dyDescent="0.2">
      <c r="B133" s="1239" t="s">
        <v>2491</v>
      </c>
      <c r="C133" s="1239">
        <v>13.4442854</v>
      </c>
      <c r="D133" s="1239" t="s">
        <v>66</v>
      </c>
      <c r="F133" s="1239" t="s">
        <v>1602</v>
      </c>
      <c r="G133" s="1239">
        <v>1.3064721099999999E-2</v>
      </c>
      <c r="H133" s="1239" t="s">
        <v>420</v>
      </c>
    </row>
    <row r="134" spans="2:8" x14ac:dyDescent="0.2">
      <c r="B134" s="1239" t="s">
        <v>2492</v>
      </c>
      <c r="C134" s="1239">
        <v>13.4442854</v>
      </c>
      <c r="D134" s="1239" t="s">
        <v>66</v>
      </c>
      <c r="F134" s="1239" t="s">
        <v>1601</v>
      </c>
      <c r="G134" s="1239">
        <v>0.74500124599999995</v>
      </c>
      <c r="H134" s="1239" t="s">
        <v>420</v>
      </c>
    </row>
    <row r="135" spans="2:8" x14ac:dyDescent="0.2">
      <c r="B135" s="1239" t="s">
        <v>357</v>
      </c>
      <c r="C135" s="1239">
        <v>13.4442854</v>
      </c>
      <c r="D135" s="1239" t="s">
        <v>66</v>
      </c>
      <c r="F135" s="1239" t="s">
        <v>1227</v>
      </c>
      <c r="G135" s="1239">
        <v>3.2190361200000002E-3</v>
      </c>
      <c r="H135" s="1239" t="s">
        <v>420</v>
      </c>
    </row>
    <row r="136" spans="2:8" x14ac:dyDescent="0.2">
      <c r="B136" s="1239" t="s">
        <v>2488</v>
      </c>
      <c r="C136" s="1239">
        <v>-1.0794693299999999E-12</v>
      </c>
      <c r="D136" s="1239" t="s">
        <v>66</v>
      </c>
      <c r="F136" s="1239" t="s">
        <v>1231</v>
      </c>
      <c r="G136" s="1239">
        <v>241.859442</v>
      </c>
      <c r="H136" s="1239" t="s">
        <v>420</v>
      </c>
    </row>
    <row r="137" spans="2:8" x14ac:dyDescent="0.2">
      <c r="B137" s="1239" t="s">
        <v>2767</v>
      </c>
      <c r="C137" s="1239">
        <v>4.48705894E-5</v>
      </c>
      <c r="D137" s="1239" t="s">
        <v>66</v>
      </c>
      <c r="F137" s="1239" t="s">
        <v>1230</v>
      </c>
      <c r="G137" s="1239">
        <v>2093.1605100000002</v>
      </c>
      <c r="H137" s="1239" t="s">
        <v>420</v>
      </c>
    </row>
    <row r="138" spans="2:8" x14ac:dyDescent="0.2">
      <c r="B138" s="1239" t="s">
        <v>2486</v>
      </c>
      <c r="C138" s="1239">
        <v>6.3438290300000002</v>
      </c>
      <c r="D138" s="1239" t="s">
        <v>66</v>
      </c>
      <c r="F138" s="1239" t="s">
        <v>3191</v>
      </c>
      <c r="G138" s="1239">
        <v>232.34081599999999</v>
      </c>
      <c r="H138" s="1239" t="s">
        <v>420</v>
      </c>
    </row>
    <row r="139" spans="2:8" x14ac:dyDescent="0.2">
      <c r="B139" s="1239" t="s">
        <v>356</v>
      </c>
      <c r="C139" s="1239">
        <v>-9.1225325299999993E-2</v>
      </c>
      <c r="D139" s="1239" t="s">
        <v>66</v>
      </c>
      <c r="F139" s="1239" t="s">
        <v>2501</v>
      </c>
      <c r="G139" s="1239">
        <v>5.5927490300000002</v>
      </c>
      <c r="H139" s="1239" t="s">
        <v>420</v>
      </c>
    </row>
    <row r="140" spans="2:8" x14ac:dyDescent="0.2">
      <c r="B140" s="1239" t="s">
        <v>2487</v>
      </c>
      <c r="C140" s="1239">
        <v>50.737314900000001</v>
      </c>
      <c r="D140" s="1239" t="s">
        <v>66</v>
      </c>
      <c r="F140" s="1239" t="s">
        <v>2837</v>
      </c>
      <c r="G140" s="1239">
        <v>2.23709961</v>
      </c>
      <c r="H140" s="1239" t="s">
        <v>420</v>
      </c>
    </row>
    <row r="141" spans="2:8" x14ac:dyDescent="0.2">
      <c r="B141" s="1239" t="s">
        <v>3044</v>
      </c>
      <c r="C141" s="1239">
        <v>1.61837366</v>
      </c>
      <c r="D141" s="1239" t="s">
        <v>66</v>
      </c>
      <c r="F141" s="1239" t="s">
        <v>1603</v>
      </c>
      <c r="G141" s="1239">
        <v>7.4569986999999998</v>
      </c>
      <c r="H141" s="1239" t="s">
        <v>420</v>
      </c>
    </row>
    <row r="142" spans="2:8" x14ac:dyDescent="0.2">
      <c r="B142" s="1239" t="s">
        <v>2493</v>
      </c>
      <c r="C142" s="1239">
        <v>97.388013599999994</v>
      </c>
      <c r="D142" s="1239" t="s">
        <v>66</v>
      </c>
      <c r="F142" s="1239" t="s">
        <v>2838</v>
      </c>
      <c r="G142" s="1239">
        <v>589.14998500000002</v>
      </c>
      <c r="H142" s="1239" t="s">
        <v>420</v>
      </c>
    </row>
    <row r="143" spans="2:8" x14ac:dyDescent="0.2">
      <c r="B143" s="1239" t="s">
        <v>2766</v>
      </c>
      <c r="C143" s="1239">
        <v>98.329878399999998</v>
      </c>
      <c r="D143" s="1239" t="s">
        <v>66</v>
      </c>
      <c r="F143" s="1239" t="s">
        <v>3020</v>
      </c>
      <c r="G143" s="1239">
        <v>-6</v>
      </c>
      <c r="H143" s="1239" t="s">
        <v>420</v>
      </c>
    </row>
    <row r="144" spans="2:8" x14ac:dyDescent="0.2">
      <c r="B144" s="1239" t="s">
        <v>2494</v>
      </c>
      <c r="C144" s="1239">
        <v>7.2414730399999998</v>
      </c>
      <c r="D144" s="1239" t="s">
        <v>66</v>
      </c>
      <c r="F144" s="1239" t="s">
        <v>3021</v>
      </c>
      <c r="G144" s="1239">
        <v>-6</v>
      </c>
      <c r="H144" s="1239" t="s">
        <v>420</v>
      </c>
    </row>
    <row r="145" spans="2:8" x14ac:dyDescent="0.2">
      <c r="B145" s="1239" t="s">
        <v>1188</v>
      </c>
      <c r="C145" s="1239">
        <v>16.5899222</v>
      </c>
      <c r="D145" s="1239" t="s">
        <v>66</v>
      </c>
      <c r="F145" s="1239" t="s">
        <v>3022</v>
      </c>
      <c r="G145" s="1239">
        <v>6</v>
      </c>
      <c r="H145" s="1239" t="s">
        <v>420</v>
      </c>
    </row>
    <row r="146" spans="2:8" x14ac:dyDescent="0.2">
      <c r="B146" s="1239" t="s">
        <v>1189</v>
      </c>
      <c r="C146" s="1239">
        <v>1.1719730799999999</v>
      </c>
      <c r="D146" s="1239" t="s">
        <v>66</v>
      </c>
      <c r="F146" s="1239" t="s">
        <v>3019</v>
      </c>
      <c r="G146" s="1239">
        <v>-6</v>
      </c>
      <c r="H146" s="1239" t="s">
        <v>420</v>
      </c>
    </row>
    <row r="147" spans="2:8" x14ac:dyDescent="0.2">
      <c r="B147" s="1239" t="s">
        <v>2495</v>
      </c>
      <c r="C147" s="1239">
        <v>8.2030449700000005</v>
      </c>
      <c r="D147" s="1239" t="s">
        <v>66</v>
      </c>
      <c r="F147" s="1239" t="s">
        <v>3018</v>
      </c>
      <c r="G147" s="1239">
        <v>18.6424968</v>
      </c>
      <c r="H147" s="1239" t="s">
        <v>420</v>
      </c>
    </row>
    <row r="148" spans="2:8" x14ac:dyDescent="0.2">
      <c r="B148" s="1239" t="s">
        <v>1179</v>
      </c>
      <c r="C148" s="1239">
        <v>4.8719147400000002</v>
      </c>
      <c r="D148" s="1239" t="s">
        <v>66</v>
      </c>
      <c r="F148" s="1239" t="s">
        <v>2853</v>
      </c>
      <c r="G148" s="1239">
        <v>1359.08455</v>
      </c>
      <c r="H148" s="1239" t="s">
        <v>420</v>
      </c>
    </row>
    <row r="149" spans="2:8" x14ac:dyDescent="0.2">
      <c r="B149" s="1239" t="s">
        <v>1180</v>
      </c>
      <c r="C149" s="1239">
        <v>8.5723706800000006</v>
      </c>
      <c r="D149" s="1239" t="s">
        <v>66</v>
      </c>
      <c r="F149" s="1239" t="s">
        <v>2854</v>
      </c>
      <c r="G149" s="1239">
        <v>6.9998931999999998</v>
      </c>
      <c r="H149" s="1239" t="s">
        <v>420</v>
      </c>
    </row>
    <row r="150" spans="2:8" x14ac:dyDescent="0.2">
      <c r="B150" s="1239" t="s">
        <v>196</v>
      </c>
      <c r="C150" s="1239">
        <v>6.3438290300000002</v>
      </c>
      <c r="D150" s="1239" t="s">
        <v>66</v>
      </c>
      <c r="F150" s="1239" t="s">
        <v>2855</v>
      </c>
      <c r="G150" s="1239">
        <v>10.9998322</v>
      </c>
      <c r="H150" s="1239" t="s">
        <v>420</v>
      </c>
    </row>
    <row r="151" spans="2:8" x14ac:dyDescent="0.2">
      <c r="B151" s="1239" t="s">
        <v>1187</v>
      </c>
      <c r="C151" s="1239">
        <v>-2.2618047099999998</v>
      </c>
      <c r="D151" s="1239" t="s">
        <v>66</v>
      </c>
      <c r="F151" s="1239" t="s">
        <v>334</v>
      </c>
      <c r="G151" s="1239">
        <v>112.024283</v>
      </c>
      <c r="H151" s="1239" t="s">
        <v>420</v>
      </c>
    </row>
    <row r="152" spans="2:8" x14ac:dyDescent="0.2">
      <c r="B152" s="1239" t="s">
        <v>1190</v>
      </c>
      <c r="C152" s="1239">
        <v>-38.7022987</v>
      </c>
      <c r="D152" s="1239" t="s">
        <v>66</v>
      </c>
      <c r="F152" s="1239" t="s">
        <v>1606</v>
      </c>
      <c r="G152" s="1239">
        <v>1044.1308200000001</v>
      </c>
      <c r="H152" s="1239" t="s">
        <v>420</v>
      </c>
    </row>
    <row r="153" spans="2:8" x14ac:dyDescent="0.2">
      <c r="B153" s="1239" t="s">
        <v>194</v>
      </c>
      <c r="C153" s="1239">
        <v>50.737314900000001</v>
      </c>
      <c r="D153" s="1239" t="s">
        <v>66</v>
      </c>
      <c r="F153" s="1239" t="s">
        <v>2856</v>
      </c>
      <c r="G153" s="1239">
        <v>36.9527815</v>
      </c>
      <c r="H153" s="1239" t="s">
        <v>420</v>
      </c>
    </row>
    <row r="154" spans="2:8" x14ac:dyDescent="0.2">
      <c r="B154" s="1239" t="s">
        <v>3341</v>
      </c>
      <c r="C154" s="1239">
        <v>-0.41438378999999997</v>
      </c>
      <c r="D154" s="1239" t="s">
        <v>66</v>
      </c>
      <c r="F154" s="1239" t="s">
        <v>2857</v>
      </c>
      <c r="G154" s="1239">
        <v>76.5127138</v>
      </c>
      <c r="H154" s="1239" t="s">
        <v>420</v>
      </c>
    </row>
    <row r="155" spans="2:8" x14ac:dyDescent="0.2">
      <c r="F155" s="1239" t="s">
        <v>2858</v>
      </c>
      <c r="G155" s="1239">
        <v>7.4569986999999998</v>
      </c>
      <c r="H155" s="1239" t="s">
        <v>420</v>
      </c>
    </row>
    <row r="156" spans="2:8" x14ac:dyDescent="0.2">
      <c r="F156" s="1239" t="s">
        <v>2859</v>
      </c>
      <c r="G156" s="1239">
        <v>11.1854981</v>
      </c>
      <c r="H156" s="1239" t="s">
        <v>420</v>
      </c>
    </row>
    <row r="157" spans="2:8" x14ac:dyDescent="0.2">
      <c r="F157" s="1239" t="s">
        <v>674</v>
      </c>
      <c r="G157" s="1239">
        <v>36.948834900000001</v>
      </c>
      <c r="H157" s="1239" t="s">
        <v>420</v>
      </c>
    </row>
    <row r="158" spans="2:8" x14ac:dyDescent="0.2">
      <c r="F158" s="1239" t="s">
        <v>1238</v>
      </c>
      <c r="G158" s="1239">
        <v>6</v>
      </c>
      <c r="H158" s="1239" t="s">
        <v>420</v>
      </c>
    </row>
    <row r="159" spans="2:8" x14ac:dyDescent="0.2">
      <c r="F159" s="1239" t="s">
        <v>2839</v>
      </c>
      <c r="G159" s="1239">
        <v>1.45832524</v>
      </c>
      <c r="H159" s="1239" t="s">
        <v>420</v>
      </c>
    </row>
    <row r="160" spans="2:8" x14ac:dyDescent="0.2">
      <c r="F160" s="1239" t="s">
        <v>3192</v>
      </c>
      <c r="G160" s="1239">
        <v>149.84870900000001</v>
      </c>
      <c r="H160" s="1239" t="s">
        <v>420</v>
      </c>
    </row>
    <row r="161" spans="6:8" x14ac:dyDescent="0.2">
      <c r="F161" s="1239" t="s">
        <v>2840</v>
      </c>
      <c r="G161" s="1239">
        <v>151.30703399999999</v>
      </c>
      <c r="H161" s="1239" t="s">
        <v>420</v>
      </c>
    </row>
    <row r="162" spans="6:8" x14ac:dyDescent="0.2">
      <c r="F162" s="1239" t="s">
        <v>2844</v>
      </c>
      <c r="G162" s="1239">
        <v>-309.20555000000002</v>
      </c>
      <c r="H162" s="1239" t="s">
        <v>420</v>
      </c>
    </row>
    <row r="163" spans="6:8" x14ac:dyDescent="0.2">
      <c r="F163" s="1239" t="s">
        <v>2841</v>
      </c>
      <c r="G163" s="1239">
        <v>-309.20555000000002</v>
      </c>
      <c r="H163" s="1239" t="s">
        <v>420</v>
      </c>
    </row>
    <row r="164" spans="6:8" x14ac:dyDescent="0.2">
      <c r="F164" s="1239" t="s">
        <v>2842</v>
      </c>
      <c r="G164" s="1239">
        <v>309.20555000000002</v>
      </c>
      <c r="H164" s="1239" t="s">
        <v>420</v>
      </c>
    </row>
    <row r="165" spans="6:8" x14ac:dyDescent="0.2">
      <c r="F165" s="1239" t="s">
        <v>2843</v>
      </c>
      <c r="G165" s="1239">
        <v>-309.20555000000002</v>
      </c>
      <c r="H165" s="1239" t="s">
        <v>420</v>
      </c>
    </row>
    <row r="166" spans="6:8" x14ac:dyDescent="0.2">
      <c r="F166" s="1239" t="s">
        <v>2848</v>
      </c>
      <c r="G166" s="1239">
        <v>-0.50988591599999999</v>
      </c>
      <c r="H166" s="1239" t="s">
        <v>420</v>
      </c>
    </row>
    <row r="167" spans="6:8" x14ac:dyDescent="0.2">
      <c r="F167" s="1239" t="s">
        <v>2845</v>
      </c>
      <c r="G167" s="1239">
        <v>-0.50988591599999999</v>
      </c>
      <c r="H167" s="1239" t="s">
        <v>420</v>
      </c>
    </row>
    <row r="168" spans="6:8" x14ac:dyDescent="0.2">
      <c r="F168" s="1239" t="s">
        <v>2846</v>
      </c>
      <c r="G168" s="1239">
        <v>0.50988591599999999</v>
      </c>
      <c r="H168" s="1239" t="s">
        <v>420</v>
      </c>
    </row>
    <row r="169" spans="6:8" x14ac:dyDescent="0.2">
      <c r="F169" s="1239" t="s">
        <v>2847</v>
      </c>
      <c r="G169" s="1239">
        <v>-0.50988591599999999</v>
      </c>
      <c r="H169" s="1239" t="s">
        <v>420</v>
      </c>
    </row>
    <row r="170" spans="6:8" x14ac:dyDescent="0.2">
      <c r="F170" s="1239" t="s">
        <v>2852</v>
      </c>
      <c r="G170" s="1239">
        <v>-12.768148100000001</v>
      </c>
      <c r="H170" s="1239" t="s">
        <v>420</v>
      </c>
    </row>
    <row r="171" spans="6:8" x14ac:dyDescent="0.2">
      <c r="F171" s="1239" t="s">
        <v>2849</v>
      </c>
      <c r="G171" s="1239">
        <v>-12.768148100000001</v>
      </c>
      <c r="H171" s="1239" t="s">
        <v>420</v>
      </c>
    </row>
    <row r="172" spans="6:8" x14ac:dyDescent="0.2">
      <c r="F172" s="1239" t="s">
        <v>2850</v>
      </c>
      <c r="G172" s="1239">
        <v>12.768148100000001</v>
      </c>
      <c r="H172" s="1239" t="s">
        <v>420</v>
      </c>
    </row>
    <row r="173" spans="6:8" x14ac:dyDescent="0.2">
      <c r="F173" s="1239" t="s">
        <v>2851</v>
      </c>
      <c r="G173" s="1239">
        <v>-12.768148100000001</v>
      </c>
      <c r="H173" s="1239" t="s">
        <v>420</v>
      </c>
    </row>
    <row r="174" spans="6:8" x14ac:dyDescent="0.2">
      <c r="F174" s="1239" t="s">
        <v>2860</v>
      </c>
      <c r="G174" s="1239">
        <v>1359.08455</v>
      </c>
      <c r="H174" s="1239" t="s">
        <v>420</v>
      </c>
    </row>
    <row r="175" spans="6:8" x14ac:dyDescent="0.2">
      <c r="F175" s="1239" t="s">
        <v>1604</v>
      </c>
      <c r="G175" s="1239">
        <v>223.45514700000001</v>
      </c>
      <c r="H175" s="1239" t="s">
        <v>420</v>
      </c>
    </row>
    <row r="176" spans="6:8" x14ac:dyDescent="0.2">
      <c r="F176" s="1239" t="s">
        <v>2504</v>
      </c>
      <c r="G176" s="1239">
        <v>2125.5221000000001</v>
      </c>
      <c r="H176" s="1239" t="s">
        <v>420</v>
      </c>
    </row>
    <row r="177" spans="6:8" x14ac:dyDescent="0.2">
      <c r="F177" s="1239" t="s">
        <v>1232</v>
      </c>
      <c r="G177" s="1239">
        <v>151.30703399999999</v>
      </c>
      <c r="H177" s="1239" t="s">
        <v>420</v>
      </c>
    </row>
    <row r="178" spans="6:8" x14ac:dyDescent="0.2">
      <c r="F178" s="1239" t="s">
        <v>1233</v>
      </c>
      <c r="G178" s="1239">
        <v>309.20555000000002</v>
      </c>
      <c r="H178" s="1239" t="s">
        <v>420</v>
      </c>
    </row>
    <row r="179" spans="6:8" x14ac:dyDescent="0.2">
      <c r="F179" s="1239" t="s">
        <v>1234</v>
      </c>
      <c r="G179" s="1239">
        <v>0.50988591599999999</v>
      </c>
      <c r="H179" s="1239" t="s">
        <v>420</v>
      </c>
    </row>
    <row r="180" spans="6:8" x14ac:dyDescent="0.2">
      <c r="F180" s="1239" t="s">
        <v>1235</v>
      </c>
      <c r="G180" s="1239">
        <v>8.4821878900000005</v>
      </c>
      <c r="H180" s="1239" t="s">
        <v>420</v>
      </c>
    </row>
    <row r="181" spans="6:8" x14ac:dyDescent="0.2">
      <c r="F181" s="1239" t="s">
        <v>1236</v>
      </c>
      <c r="G181" s="1239">
        <v>12.768148100000001</v>
      </c>
      <c r="H181" s="1239" t="s">
        <v>420</v>
      </c>
    </row>
    <row r="182" spans="6:8" x14ac:dyDescent="0.2">
      <c r="F182" s="1239" t="s">
        <v>1605</v>
      </c>
      <c r="G182" s="1239">
        <v>55.979402399999998</v>
      </c>
      <c r="H182" s="1239" t="s">
        <v>420</v>
      </c>
    </row>
    <row r="183" spans="6:8" x14ac:dyDescent="0.2">
      <c r="F183" s="1239" t="s">
        <v>1237</v>
      </c>
      <c r="G183" s="1239">
        <v>4.7301973300000002</v>
      </c>
      <c r="H183" s="1239" t="s">
        <v>420</v>
      </c>
    </row>
    <row r="184" spans="6:8" x14ac:dyDescent="0.2">
      <c r="F184" s="1239" t="s">
        <v>2503</v>
      </c>
      <c r="G184" s="1239">
        <v>615.13051800000005</v>
      </c>
      <c r="H184" s="1239" t="s">
        <v>420</v>
      </c>
    </row>
    <row r="185" spans="6:8" x14ac:dyDescent="0.2">
      <c r="F185" s="1239" t="s">
        <v>3356</v>
      </c>
      <c r="G185" s="1239">
        <v>244.55783400000001</v>
      </c>
      <c r="H185" s="1239" t="s">
        <v>420</v>
      </c>
    </row>
    <row r="186" spans="6:8" x14ac:dyDescent="0.2">
      <c r="F186" s="1239" t="s">
        <v>3193</v>
      </c>
      <c r="G186" s="1239">
        <v>229.06251700000001</v>
      </c>
      <c r="H186" s="1239" t="s">
        <v>420</v>
      </c>
    </row>
    <row r="187" spans="6:8" x14ac:dyDescent="0.2">
      <c r="F187" s="1239" t="s">
        <v>3197</v>
      </c>
      <c r="G187" s="1239">
        <v>-200</v>
      </c>
      <c r="H187" s="1239" t="s">
        <v>420</v>
      </c>
    </row>
    <row r="188" spans="6:8" x14ac:dyDescent="0.2">
      <c r="F188" s="1239" t="s">
        <v>3194</v>
      </c>
      <c r="G188" s="1239">
        <v>-200</v>
      </c>
      <c r="H188" s="1239" t="s">
        <v>420</v>
      </c>
    </row>
    <row r="189" spans="6:8" x14ac:dyDescent="0.2">
      <c r="F189" s="1239" t="s">
        <v>3195</v>
      </c>
      <c r="G189" s="1239">
        <v>200</v>
      </c>
      <c r="H189" s="1239" t="s">
        <v>420</v>
      </c>
    </row>
    <row r="190" spans="6:8" x14ac:dyDescent="0.2">
      <c r="F190" s="1239" t="s">
        <v>3196</v>
      </c>
      <c r="G190" s="1239">
        <v>-200</v>
      </c>
      <c r="H190" s="1239" t="s">
        <v>420</v>
      </c>
    </row>
    <row r="191" spans="6:8" x14ac:dyDescent="0.2">
      <c r="F191" s="1239" t="s">
        <v>3198</v>
      </c>
      <c r="G191" s="1239">
        <v>24.799803699999998</v>
      </c>
      <c r="H191" s="1239" t="s">
        <v>420</v>
      </c>
    </row>
    <row r="192" spans="6:8" x14ac:dyDescent="0.2">
      <c r="F192" s="1239" t="s">
        <v>3199</v>
      </c>
      <c r="G192" s="1239">
        <v>4290.7479599999997</v>
      </c>
      <c r="H192" s="1239" t="s">
        <v>420</v>
      </c>
    </row>
    <row r="193" spans="6:8" x14ac:dyDescent="0.2">
      <c r="F193" s="1239" t="s">
        <v>3357</v>
      </c>
      <c r="G193" s="1239">
        <v>0.57980066600000002</v>
      </c>
      <c r="H193" s="1239" t="s">
        <v>420</v>
      </c>
    </row>
    <row r="194" spans="6:8" x14ac:dyDescent="0.2">
      <c r="F194" s="1239" t="s">
        <v>2505</v>
      </c>
      <c r="G194" s="1239">
        <v>7357.2608</v>
      </c>
      <c r="H194" s="1239" t="s">
        <v>420</v>
      </c>
    </row>
    <row r="195" spans="6:8" x14ac:dyDescent="0.2">
      <c r="F195" s="1239" t="s">
        <v>3200</v>
      </c>
      <c r="G195" s="1239">
        <v>2173.5046699999998</v>
      </c>
      <c r="H195" s="1239" t="s">
        <v>420</v>
      </c>
    </row>
    <row r="196" spans="6:8" x14ac:dyDescent="0.2">
      <c r="F196" s="1239" t="s">
        <v>1240</v>
      </c>
      <c r="G196" s="1239">
        <v>4.2627073299999996</v>
      </c>
      <c r="H196" s="1239" t="s">
        <v>420</v>
      </c>
    </row>
    <row r="197" spans="6:8" x14ac:dyDescent="0.2">
      <c r="F197" s="1239" t="s">
        <v>3010</v>
      </c>
      <c r="G197" s="1239">
        <v>74.643042699999995</v>
      </c>
      <c r="H197" s="1239" t="s">
        <v>420</v>
      </c>
    </row>
    <row r="198" spans="6:8" x14ac:dyDescent="0.2">
      <c r="F198" s="1239" t="s">
        <v>1239</v>
      </c>
      <c r="G198" s="1239">
        <v>297.74319300000002</v>
      </c>
      <c r="H198" s="1239" t="s">
        <v>420</v>
      </c>
    </row>
    <row r="199" spans="6:8" x14ac:dyDescent="0.2">
      <c r="F199" s="1239" t="s">
        <v>3358</v>
      </c>
      <c r="G199" s="1239">
        <v>4.67800862</v>
      </c>
      <c r="H199" s="1239" t="s">
        <v>420</v>
      </c>
    </row>
    <row r="200" spans="6:8" x14ac:dyDescent="0.2">
      <c r="F200" s="1239" t="s">
        <v>3359</v>
      </c>
      <c r="G200" s="1239">
        <v>4.4045653500000004</v>
      </c>
      <c r="H200" s="1239" t="s">
        <v>420</v>
      </c>
    </row>
    <row r="201" spans="6:8" x14ac:dyDescent="0.2">
      <c r="F201" s="1239" t="s">
        <v>1241</v>
      </c>
      <c r="G201" s="1239">
        <v>46.613003399999997</v>
      </c>
      <c r="H201" s="1239" t="s">
        <v>420</v>
      </c>
    </row>
    <row r="202" spans="6:8" x14ac:dyDescent="0.2">
      <c r="F202" s="1239" t="s">
        <v>3360</v>
      </c>
      <c r="G202" s="1239">
        <v>0.38857642199999998</v>
      </c>
      <c r="H202" s="1239" t="s">
        <v>420</v>
      </c>
    </row>
    <row r="203" spans="6:8" x14ac:dyDescent="0.2">
      <c r="F203" s="1239" t="s">
        <v>3361</v>
      </c>
      <c r="G203" s="1239">
        <v>234.89545900000002</v>
      </c>
      <c r="H203" s="1239" t="s">
        <v>420</v>
      </c>
    </row>
    <row r="204" spans="6:8" x14ac:dyDescent="0.2">
      <c r="F204" s="1239" t="s">
        <v>3363</v>
      </c>
      <c r="G204" s="1239">
        <v>-234.89545900000002</v>
      </c>
      <c r="H204" s="1239" t="s">
        <v>420</v>
      </c>
    </row>
    <row r="205" spans="6:8" x14ac:dyDescent="0.2">
      <c r="F205" s="1239" t="s">
        <v>3364</v>
      </c>
      <c r="G205" s="1239">
        <v>-234.89545900000002</v>
      </c>
      <c r="H205" s="1239" t="s">
        <v>420</v>
      </c>
    </row>
    <row r="206" spans="6:8" x14ac:dyDescent="0.2">
      <c r="F206" s="1239" t="s">
        <v>3365</v>
      </c>
      <c r="G206" s="1239">
        <v>234.89545900000002</v>
      </c>
      <c r="H206" s="1239" t="s">
        <v>420</v>
      </c>
    </row>
    <row r="207" spans="6:8" x14ac:dyDescent="0.2">
      <c r="F207" s="1239" t="s">
        <v>3362</v>
      </c>
      <c r="G207" s="1239">
        <v>-234.89545900000002</v>
      </c>
      <c r="H207" s="1239" t="s">
        <v>420</v>
      </c>
    </row>
    <row r="208" spans="6:8" x14ac:dyDescent="0.2">
      <c r="F208" s="1239" t="s">
        <v>1242</v>
      </c>
      <c r="G208" s="1239">
        <v>200</v>
      </c>
      <c r="H208" s="1239" t="s">
        <v>420</v>
      </c>
    </row>
    <row r="209" spans="6:8" x14ac:dyDescent="0.2">
      <c r="F209" s="1239" t="s">
        <v>1243</v>
      </c>
      <c r="G209" s="1239">
        <v>5.0125611899999999E-2</v>
      </c>
      <c r="H209" s="1239" t="s">
        <v>420</v>
      </c>
    </row>
    <row r="210" spans="6:8" x14ac:dyDescent="0.2">
      <c r="F210" s="1239" t="s">
        <v>2506</v>
      </c>
      <c r="G210" s="1239">
        <v>10.88006</v>
      </c>
      <c r="H210" s="1239" t="s">
        <v>420</v>
      </c>
    </row>
    <row r="211" spans="6:8" x14ac:dyDescent="0.2">
      <c r="F211" s="1239" t="s">
        <v>1247</v>
      </c>
      <c r="G211" s="1239">
        <v>4.5554781999999996</v>
      </c>
      <c r="H211" s="1239" t="s">
        <v>420</v>
      </c>
    </row>
    <row r="212" spans="6:8" x14ac:dyDescent="0.2">
      <c r="F212" s="1239" t="s">
        <v>1248</v>
      </c>
      <c r="G212" s="1239">
        <v>0.52796476199999998</v>
      </c>
      <c r="H212" s="1239" t="s">
        <v>420</v>
      </c>
    </row>
    <row r="213" spans="6:8" x14ac:dyDescent="0.2">
      <c r="F213" s="1239" t="s">
        <v>1249</v>
      </c>
      <c r="G213" s="1239">
        <v>0</v>
      </c>
      <c r="H213" s="1239" t="s">
        <v>420</v>
      </c>
    </row>
    <row r="214" spans="6:8" x14ac:dyDescent="0.2">
      <c r="F214" s="1239" t="s">
        <v>1244</v>
      </c>
      <c r="G214" s="1239">
        <v>0.3802529</v>
      </c>
      <c r="H214" s="1239" t="s">
        <v>420</v>
      </c>
    </row>
    <row r="215" spans="6:8" x14ac:dyDescent="0.2">
      <c r="F215" s="1239" t="s">
        <v>1245</v>
      </c>
      <c r="G215" s="1239">
        <v>0.392173469</v>
      </c>
      <c r="H215" s="1239" t="s">
        <v>420</v>
      </c>
    </row>
    <row r="216" spans="6:8" x14ac:dyDescent="0.2">
      <c r="F216" s="1239" t="s">
        <v>1246</v>
      </c>
      <c r="G216" s="1239">
        <v>0.20342069800000001</v>
      </c>
      <c r="H216" s="1239" t="s">
        <v>420</v>
      </c>
    </row>
    <row r="217" spans="6:8" x14ac:dyDescent="0.2">
      <c r="F217" s="1239" t="s">
        <v>1250</v>
      </c>
      <c r="G217" s="1239">
        <v>2.2018358500000001</v>
      </c>
      <c r="H217" s="1239" t="s">
        <v>420</v>
      </c>
    </row>
    <row r="218" spans="6:8" x14ac:dyDescent="0.2">
      <c r="F218" s="1239" t="s">
        <v>1251</v>
      </c>
      <c r="G218" s="1239">
        <v>2.5688084999999998</v>
      </c>
      <c r="H218" s="1239" t="s">
        <v>420</v>
      </c>
    </row>
    <row r="219" spans="6:8" x14ac:dyDescent="0.2">
      <c r="F219" s="1239" t="s">
        <v>3201</v>
      </c>
      <c r="G219" s="1239">
        <v>30.745699900000002</v>
      </c>
      <c r="H219" s="1239" t="s">
        <v>420</v>
      </c>
    </row>
    <row r="220" spans="6:8" x14ac:dyDescent="0.2">
      <c r="F220" s="1239" t="s">
        <v>2507</v>
      </c>
      <c r="G220" s="1239">
        <v>-21707.504300000001</v>
      </c>
      <c r="H220" s="1239" t="s">
        <v>420</v>
      </c>
    </row>
    <row r="221" spans="6:8" x14ac:dyDescent="0.2">
      <c r="F221" s="1239" t="s">
        <v>2508</v>
      </c>
      <c r="G221" s="1239">
        <v>-2880.66525</v>
      </c>
      <c r="H221" s="1239" t="s">
        <v>420</v>
      </c>
    </row>
    <row r="222" spans="6:8" x14ac:dyDescent="0.2">
      <c r="F222" s="1239" t="s">
        <v>2509</v>
      </c>
      <c r="G222" s="1239">
        <v>-16745.951499999999</v>
      </c>
      <c r="H222" s="1239" t="s">
        <v>420</v>
      </c>
    </row>
    <row r="223" spans="6:8" x14ac:dyDescent="0.2">
      <c r="F223" s="1239" t="s">
        <v>2861</v>
      </c>
      <c r="G223" s="1239">
        <v>10</v>
      </c>
      <c r="H223" s="1239" t="s">
        <v>420</v>
      </c>
    </row>
    <row r="224" spans="6:8" x14ac:dyDescent="0.2">
      <c r="F224" s="1239" t="s">
        <v>2862</v>
      </c>
      <c r="G224" s="1239">
        <v>10</v>
      </c>
      <c r="H224" s="1239" t="s">
        <v>420</v>
      </c>
    </row>
    <row r="225" spans="6:8" x14ac:dyDescent="0.2">
      <c r="F225" s="1239" t="s">
        <v>2863</v>
      </c>
      <c r="G225" s="1239">
        <v>10</v>
      </c>
      <c r="H225" s="1239" t="s">
        <v>420</v>
      </c>
    </row>
    <row r="226" spans="6:8" x14ac:dyDescent="0.2">
      <c r="F226" s="1239" t="s">
        <v>2865</v>
      </c>
      <c r="G226" s="1239">
        <v>8.1600389500000006</v>
      </c>
      <c r="H226" s="1239" t="s">
        <v>420</v>
      </c>
    </row>
    <row r="227" spans="6:8" x14ac:dyDescent="0.2">
      <c r="F227" s="1239" t="s">
        <v>335</v>
      </c>
      <c r="G227" s="1239">
        <v>20.096170300000001</v>
      </c>
      <c r="H227" s="1239" t="s">
        <v>420</v>
      </c>
    </row>
    <row r="228" spans="6:8" x14ac:dyDescent="0.2">
      <c r="F228" s="1239" t="s">
        <v>336</v>
      </c>
      <c r="G228" s="1239">
        <v>9.3935314099999996</v>
      </c>
      <c r="H228" s="1239" t="s">
        <v>420</v>
      </c>
    </row>
    <row r="229" spans="6:8" x14ac:dyDescent="0.2">
      <c r="F229" s="1239" t="s">
        <v>337</v>
      </c>
      <c r="G229" s="1239">
        <v>559.56007399999999</v>
      </c>
      <c r="H229" s="1239" t="s">
        <v>420</v>
      </c>
    </row>
    <row r="230" spans="6:8" x14ac:dyDescent="0.2">
      <c r="F230" s="1239" t="s">
        <v>2866</v>
      </c>
      <c r="G230" s="1239">
        <v>1.9757591800000001</v>
      </c>
      <c r="H230" s="1239" t="s">
        <v>420</v>
      </c>
    </row>
    <row r="231" spans="6:8" x14ac:dyDescent="0.2">
      <c r="F231" s="1239" t="s">
        <v>2864</v>
      </c>
      <c r="G231" s="1239">
        <v>0.74569987000000004</v>
      </c>
      <c r="H231" s="1239" t="s">
        <v>420</v>
      </c>
    </row>
    <row r="232" spans="6:8" x14ac:dyDescent="0.2">
      <c r="F232" s="1239" t="s">
        <v>2510</v>
      </c>
      <c r="G232" s="1239">
        <v>629.93127400000003</v>
      </c>
      <c r="H232" s="1239" t="s">
        <v>420</v>
      </c>
    </row>
    <row r="233" spans="6:8" x14ac:dyDescent="0.2">
      <c r="F233" s="1239" t="s">
        <v>2511</v>
      </c>
      <c r="G233" s="1239">
        <v>-41334.121099999997</v>
      </c>
      <c r="H233" s="1239" t="s">
        <v>420</v>
      </c>
    </row>
    <row r="234" spans="6:8" x14ac:dyDescent="0.2">
      <c r="F234" s="1239" t="s">
        <v>338</v>
      </c>
      <c r="G234" s="1239">
        <v>142.39860400000001</v>
      </c>
      <c r="H234" s="1239" t="s">
        <v>420</v>
      </c>
    </row>
    <row r="235" spans="6:8" x14ac:dyDescent="0.2">
      <c r="F235" s="1239" t="s">
        <v>2512</v>
      </c>
      <c r="G235" s="1239">
        <v>1368.3253199999999</v>
      </c>
      <c r="H235" s="1239" t="s">
        <v>420</v>
      </c>
    </row>
    <row r="236" spans="6:8" x14ac:dyDescent="0.2">
      <c r="F236" s="1239" t="s">
        <v>1252</v>
      </c>
      <c r="G236" s="1239">
        <v>595.99544500000002</v>
      </c>
      <c r="H236" s="1239" t="s">
        <v>420</v>
      </c>
    </row>
    <row r="237" spans="6:8" x14ac:dyDescent="0.2">
      <c r="F237" s="1239" t="s">
        <v>675</v>
      </c>
      <c r="G237" s="1239">
        <v>629.93127400000003</v>
      </c>
      <c r="H237" s="1239" t="s">
        <v>420</v>
      </c>
    </row>
    <row r="238" spans="6:8" x14ac:dyDescent="0.2">
      <c r="F238" s="1239" t="s">
        <v>2513</v>
      </c>
      <c r="G238" s="1239">
        <v>629.93127400000003</v>
      </c>
      <c r="H238" s="1239" t="s">
        <v>420</v>
      </c>
    </row>
    <row r="239" spans="6:8" x14ac:dyDescent="0.2">
      <c r="F239" s="1239" t="s">
        <v>339</v>
      </c>
      <c r="G239" s="1239">
        <v>-41334.121099999997</v>
      </c>
      <c r="H239" s="1239" t="s">
        <v>420</v>
      </c>
    </row>
    <row r="240" spans="6:8" x14ac:dyDescent="0.2">
      <c r="F240" s="1239" t="s">
        <v>2514</v>
      </c>
      <c r="G240" s="1239">
        <v>1735.7257999999999</v>
      </c>
      <c r="H240" s="1239" t="s">
        <v>420</v>
      </c>
    </row>
    <row r="241" spans="6:8" x14ac:dyDescent="0.2">
      <c r="F241" s="1239" t="s">
        <v>2515</v>
      </c>
      <c r="G241" s="1239">
        <v>3752.8839699999999</v>
      </c>
      <c r="H241" s="1239" t="s">
        <v>420</v>
      </c>
    </row>
    <row r="242" spans="6:8" x14ac:dyDescent="0.2">
      <c r="F242" s="1239" t="s">
        <v>3202</v>
      </c>
      <c r="G242" s="1239">
        <v>739.44892800000002</v>
      </c>
      <c r="H242" s="1239" t="s">
        <v>420</v>
      </c>
    </row>
    <row r="243" spans="6:8" x14ac:dyDescent="0.2">
      <c r="F243" s="1239" t="s">
        <v>2519</v>
      </c>
      <c r="G243" s="1239">
        <v>859.48470299999997</v>
      </c>
      <c r="H243" s="1239" t="s">
        <v>420</v>
      </c>
    </row>
    <row r="244" spans="6:8" x14ac:dyDescent="0.2">
      <c r="F244" s="1239" t="s">
        <v>2520</v>
      </c>
      <c r="G244" s="1239">
        <v>5679.8857600000001</v>
      </c>
      <c r="H244" s="1239" t="s">
        <v>420</v>
      </c>
    </row>
    <row r="245" spans="6:8" x14ac:dyDescent="0.2">
      <c r="F245" s="1239" t="s">
        <v>2521</v>
      </c>
      <c r="G245" s="1239">
        <v>2637.9322299999999</v>
      </c>
      <c r="H245" s="1239" t="s">
        <v>420</v>
      </c>
    </row>
    <row r="246" spans="6:8" x14ac:dyDescent="0.2">
      <c r="F246" s="1239" t="s">
        <v>2522</v>
      </c>
      <c r="G246" s="1239">
        <v>5340.3600200000001</v>
      </c>
      <c r="H246" s="1239" t="s">
        <v>420</v>
      </c>
    </row>
    <row r="247" spans="6:8" x14ac:dyDescent="0.2">
      <c r="F247" s="1239" t="s">
        <v>2523</v>
      </c>
      <c r="G247" s="1239">
        <v>2125.5221000000001</v>
      </c>
      <c r="H247" s="1239" t="s">
        <v>420</v>
      </c>
    </row>
    <row r="248" spans="6:8" x14ac:dyDescent="0.2">
      <c r="F248" s="1239" t="s">
        <v>2524</v>
      </c>
      <c r="G248" s="1239">
        <v>7357.2608</v>
      </c>
      <c r="H248" s="1239" t="s">
        <v>420</v>
      </c>
    </row>
    <row r="249" spans="6:8" x14ac:dyDescent="0.2">
      <c r="F249" s="1239" t="s">
        <v>2525</v>
      </c>
      <c r="G249" s="1239">
        <v>10.88006</v>
      </c>
      <c r="H249" s="1239" t="s">
        <v>420</v>
      </c>
    </row>
    <row r="250" spans="6:8" x14ac:dyDescent="0.2">
      <c r="F250" s="1239" t="s">
        <v>2526</v>
      </c>
      <c r="G250" s="1239">
        <v>1368.3253199999999</v>
      </c>
      <c r="H250" s="1239" t="s">
        <v>420</v>
      </c>
    </row>
    <row r="251" spans="6:8" x14ac:dyDescent="0.2">
      <c r="F251" s="1239" t="s">
        <v>2527</v>
      </c>
      <c r="G251" s="1239">
        <v>3140.3216299999999</v>
      </c>
      <c r="H251" s="1239" t="s">
        <v>420</v>
      </c>
    </row>
    <row r="252" spans="6:8" x14ac:dyDescent="0.2">
      <c r="F252" s="1239" t="s">
        <v>445</v>
      </c>
      <c r="G252" s="1239">
        <v>-12814.1484</v>
      </c>
      <c r="H252" s="1239" t="s">
        <v>420</v>
      </c>
    </row>
    <row r="253" spans="6:8" x14ac:dyDescent="0.2">
      <c r="F253" s="1239" t="s">
        <v>441</v>
      </c>
      <c r="G253" s="1239">
        <v>1020.88417</v>
      </c>
      <c r="H253" s="1239" t="s">
        <v>420</v>
      </c>
    </row>
    <row r="254" spans="6:8" x14ac:dyDescent="0.2">
      <c r="F254" s="1239" t="s">
        <v>1607</v>
      </c>
      <c r="G254" s="1239">
        <v>186</v>
      </c>
      <c r="H254" s="1239" t="s">
        <v>420</v>
      </c>
    </row>
    <row r="255" spans="6:8" x14ac:dyDescent="0.2">
      <c r="F255" s="1239" t="s">
        <v>442</v>
      </c>
      <c r="G255" s="1239">
        <v>2489.6824900000001</v>
      </c>
      <c r="H255" s="1239" t="s">
        <v>420</v>
      </c>
    </row>
    <row r="256" spans="6:8" x14ac:dyDescent="0.2">
      <c r="F256" s="1239" t="s">
        <v>2516</v>
      </c>
      <c r="G256" s="1239">
        <v>902.20643299999995</v>
      </c>
      <c r="H256" s="1239" t="s">
        <v>420</v>
      </c>
    </row>
    <row r="257" spans="6:8" x14ac:dyDescent="0.2">
      <c r="F257" s="1239" t="s">
        <v>2517</v>
      </c>
      <c r="G257" s="1239">
        <v>1587.47605</v>
      </c>
      <c r="H257" s="1239" t="s">
        <v>420</v>
      </c>
    </row>
    <row r="258" spans="6:8" x14ac:dyDescent="0.2">
      <c r="F258" s="1239" t="s">
        <v>440</v>
      </c>
      <c r="G258" s="1239">
        <v>250</v>
      </c>
      <c r="H258" s="1239" t="s">
        <v>420</v>
      </c>
    </row>
    <row r="259" spans="6:8" x14ac:dyDescent="0.2">
      <c r="F259" s="1239" t="s">
        <v>2528</v>
      </c>
      <c r="G259" s="1239">
        <v>436</v>
      </c>
      <c r="H259" s="1239" t="s">
        <v>420</v>
      </c>
    </row>
    <row r="260" spans="6:8" x14ac:dyDescent="0.2">
      <c r="F260" s="1239" t="s">
        <v>443</v>
      </c>
      <c r="G260" s="1239">
        <v>1597.8791200000001</v>
      </c>
      <c r="H260" s="1239" t="s">
        <v>420</v>
      </c>
    </row>
    <row r="261" spans="6:8" x14ac:dyDescent="0.2">
      <c r="F261" s="1239" t="s">
        <v>2518</v>
      </c>
      <c r="G261" s="1239">
        <v>13.096498199999999</v>
      </c>
      <c r="H261" s="1239" t="s">
        <v>420</v>
      </c>
    </row>
    <row r="262" spans="6:8" x14ac:dyDescent="0.2">
      <c r="F262" s="1239" t="s">
        <v>444</v>
      </c>
      <c r="G262" s="1239">
        <v>72.461839100000006</v>
      </c>
      <c r="H262" s="1239" t="s">
        <v>420</v>
      </c>
    </row>
    <row r="263" spans="6:8" x14ac:dyDescent="0.2">
      <c r="F263" s="1239" t="s">
        <v>2867</v>
      </c>
      <c r="G263" s="1239">
        <v>281.43524200000002</v>
      </c>
      <c r="H263" s="1239" t="s">
        <v>420</v>
      </c>
    </row>
    <row r="264" spans="6:8" x14ac:dyDescent="0.2">
      <c r="F264" s="1239" t="s">
        <v>2529</v>
      </c>
      <c r="G264" s="1239">
        <v>2704.3216299999999</v>
      </c>
      <c r="H264" s="1239" t="s">
        <v>420</v>
      </c>
    </row>
    <row r="265" spans="6:8" x14ac:dyDescent="0.2">
      <c r="F265" s="1239" t="s">
        <v>446</v>
      </c>
      <c r="G265" s="1239">
        <v>-41334.121099999997</v>
      </c>
      <c r="H265" s="1239" t="s">
        <v>420</v>
      </c>
    </row>
    <row r="266" spans="6:8" x14ac:dyDescent="0.2">
      <c r="F266" s="1239" t="s">
        <v>2530</v>
      </c>
      <c r="G266" s="1239">
        <v>1735.7257999999999</v>
      </c>
      <c r="H266" s="1239" t="s">
        <v>420</v>
      </c>
    </row>
    <row r="267" spans="6:8" x14ac:dyDescent="0.2">
      <c r="F267" s="1239" t="s">
        <v>2531</v>
      </c>
      <c r="G267" s="1239">
        <v>859.48470299999997</v>
      </c>
      <c r="H267" s="1239" t="s">
        <v>420</v>
      </c>
    </row>
    <row r="268" spans="6:8" x14ac:dyDescent="0.2">
      <c r="F268" s="1239" t="s">
        <v>2532</v>
      </c>
      <c r="G268" s="1239">
        <v>5679.8857600000001</v>
      </c>
      <c r="H268" s="1239" t="s">
        <v>420</v>
      </c>
    </row>
    <row r="269" spans="6:8" x14ac:dyDescent="0.2">
      <c r="F269" s="1239" t="s">
        <v>2533</v>
      </c>
      <c r="G269" s="1239">
        <v>3752.8839699999999</v>
      </c>
      <c r="H269" s="1239" t="s">
        <v>420</v>
      </c>
    </row>
    <row r="270" spans="6:8" x14ac:dyDescent="0.2">
      <c r="F270" s="1239" t="s">
        <v>2534</v>
      </c>
      <c r="G270" s="1239">
        <v>2125.5221000000001</v>
      </c>
      <c r="H270" s="1239" t="s">
        <v>420</v>
      </c>
    </row>
    <row r="271" spans="6:8" x14ac:dyDescent="0.2">
      <c r="F271" s="1239" t="s">
        <v>2535</v>
      </c>
      <c r="G271" s="1239">
        <v>7357.2608</v>
      </c>
      <c r="H271" s="1239" t="s">
        <v>420</v>
      </c>
    </row>
    <row r="272" spans="6:8" x14ac:dyDescent="0.2">
      <c r="F272" s="1239" t="s">
        <v>2536</v>
      </c>
      <c r="G272" s="1239">
        <v>10.88006</v>
      </c>
      <c r="H272" s="1239" t="s">
        <v>420</v>
      </c>
    </row>
    <row r="273" spans="6:8" x14ac:dyDescent="0.2">
      <c r="F273" s="1239" t="s">
        <v>2537</v>
      </c>
      <c r="G273" s="1239">
        <v>1368.3253199999999</v>
      </c>
      <c r="H273" s="1239" t="s">
        <v>420</v>
      </c>
    </row>
    <row r="274" spans="6:8" x14ac:dyDescent="0.2">
      <c r="F274" s="1239" t="s">
        <v>195</v>
      </c>
      <c r="G274" s="1239">
        <v>-41334.121099999997</v>
      </c>
      <c r="H274" s="1239" t="s">
        <v>420</v>
      </c>
    </row>
  </sheetData>
  <sortState xmlns:xlrd2="http://schemas.microsoft.com/office/spreadsheetml/2017/richdata2" ref="F7:H274">
    <sortCondition ref="F7"/>
  </sortState>
  <phoneticPr fontId="0" type="noConversion"/>
  <pageMargins left="0.75" right="0.75" top="1" bottom="1" header="0.5" footer="0.5"/>
  <headerFooter alignWithMargins="0"/>
  <drawing r:id="rId1"/>
  <legacyDrawing r:id="rId2"/>
  <controls>
    <mc:AlternateContent xmlns:mc="http://schemas.openxmlformats.org/markup-compatibility/2006">
      <mc:Choice Requires="x14">
        <control shapeId="129026" r:id="rId3" name="cmd_GetData">
          <controlPr defaultSize="0" autoLine="0" r:id="rId4">
            <anchor moveWithCells="1">
              <from>
                <xdr:col>0</xdr:col>
                <xdr:colOff>22860</xdr:colOff>
                <xdr:row>0</xdr:row>
                <xdr:rowOff>7620</xdr:rowOff>
              </from>
              <to>
                <xdr:col>0</xdr:col>
                <xdr:colOff>1463040</xdr:colOff>
                <xdr:row>2</xdr:row>
                <xdr:rowOff>22860</xdr:rowOff>
              </to>
            </anchor>
          </controlPr>
        </control>
      </mc:Choice>
      <mc:Fallback>
        <control shapeId="129026" r:id="rId3" name="cmd_GetData"/>
      </mc:Fallback>
    </mc:AlternateContent>
    <mc:AlternateContent xmlns:mc="http://schemas.openxmlformats.org/markup-compatibility/2006">
      <mc:Choice Requires="x14">
        <control shapeId="129027" r:id="rId5" name="cmd_ClearData">
          <controlPr defaultSize="0" autoLine="0" r:id="rId6">
            <anchor moveWithCells="1">
              <from>
                <xdr:col>0</xdr:col>
                <xdr:colOff>22860</xdr:colOff>
                <xdr:row>2</xdr:row>
                <xdr:rowOff>30480</xdr:rowOff>
              </from>
              <to>
                <xdr:col>0</xdr:col>
                <xdr:colOff>1470660</xdr:colOff>
                <xdr:row>4</xdr:row>
                <xdr:rowOff>68580</xdr:rowOff>
              </to>
            </anchor>
          </controlPr>
        </control>
      </mc:Choice>
      <mc:Fallback>
        <control shapeId="129027" r:id="rId5" name="cmd_ClearData"/>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dimension ref="A1:BR317"/>
  <sheetViews>
    <sheetView showGridLines="0" zoomScale="90" zoomScaleNormal="90" workbookViewId="0">
      <selection activeCell="I1" sqref="I1"/>
    </sheetView>
  </sheetViews>
  <sheetFormatPr defaultRowHeight="12" x14ac:dyDescent="0.2"/>
  <cols>
    <col min="1" max="1" width="30.44140625" customWidth="1"/>
    <col min="2" max="2" width="13.88671875" customWidth="1"/>
    <col min="4" max="4" width="11" customWidth="1"/>
    <col min="5" max="5" width="17.6640625" customWidth="1"/>
    <col min="6" max="7" width="14.44140625" customWidth="1"/>
    <col min="8" max="8" width="2.33203125" customWidth="1"/>
    <col min="9" max="9" width="40.109375" customWidth="1"/>
    <col min="10" max="10" width="25" customWidth="1"/>
    <col min="11" max="11" width="17.88671875" customWidth="1"/>
    <col min="12" max="12" width="17.6640625" customWidth="1"/>
    <col min="13" max="13" width="16.6640625" customWidth="1"/>
    <col min="14" max="44" width="15.6640625" customWidth="1"/>
    <col min="45" max="46" width="3" customWidth="1"/>
    <col min="47" max="47" width="5" style="445" customWidth="1"/>
    <col min="48" max="48" width="31.88671875" customWidth="1"/>
    <col min="49" max="49" width="15" hidden="1" customWidth="1"/>
    <col min="50" max="50" width="36.109375" customWidth="1"/>
    <col min="51" max="51" width="8.21875" style="1282" customWidth="1"/>
    <col min="52" max="52" width="15.109375" customWidth="1"/>
    <col min="53" max="53" width="8.109375" style="1282" customWidth="1"/>
    <col min="54" max="54" width="16" customWidth="1"/>
    <col min="55" max="55" width="8.21875" style="1282" customWidth="1"/>
    <col min="56" max="56" width="11.44140625" customWidth="1"/>
    <col min="57" max="57" width="26" customWidth="1"/>
    <col min="58" max="58" width="11.109375" style="445" customWidth="1"/>
    <col min="59" max="59" width="5.44140625" bestFit="1" customWidth="1"/>
    <col min="60" max="60" width="7.109375" style="442" customWidth="1"/>
    <col min="61" max="61" width="10.21875" style="442" bestFit="1" customWidth="1"/>
    <col min="62" max="62" width="10.21875" style="445" bestFit="1" customWidth="1"/>
    <col min="63" max="63" width="7.88671875" bestFit="1" customWidth="1"/>
    <col min="64" max="64" width="12.44140625" customWidth="1"/>
    <col min="65" max="65" width="12.21875" customWidth="1"/>
    <col min="66" max="66" width="14.109375" customWidth="1"/>
    <col min="67" max="67" width="32.33203125" bestFit="1" customWidth="1"/>
    <col min="68" max="68" width="15.6640625" customWidth="1"/>
  </cols>
  <sheetData>
    <row r="1" spans="1:68" ht="23.4" thickBot="1" x14ac:dyDescent="0.45">
      <c r="A1" s="1544" t="s">
        <v>1835</v>
      </c>
      <c r="B1" s="1544"/>
      <c r="C1" s="1544"/>
      <c r="D1" s="1544"/>
      <c r="E1" s="1544"/>
      <c r="F1" s="1544"/>
      <c r="G1" s="666"/>
      <c r="H1" s="641"/>
      <c r="I1" s="527"/>
      <c r="J1" s="291" t="str">
        <f>A2</f>
        <v>Corn Stover Design Report Case: DW1102A</v>
      </c>
      <c r="K1" s="529"/>
      <c r="L1" s="529"/>
      <c r="M1" s="437"/>
      <c r="N1" s="437"/>
      <c r="O1" s="60" t="s">
        <v>1836</v>
      </c>
      <c r="P1" s="437"/>
      <c r="Q1" s="437"/>
      <c r="R1" s="24"/>
      <c r="S1" s="530"/>
      <c r="T1" s="437"/>
      <c r="U1" s="437"/>
      <c r="V1" s="437"/>
      <c r="W1" s="437"/>
      <c r="X1" s="437"/>
      <c r="Y1" s="437"/>
      <c r="Z1" s="437"/>
      <c r="AA1" s="437"/>
      <c r="AB1" s="437"/>
      <c r="AC1" s="437"/>
      <c r="AD1" s="437"/>
      <c r="AE1" s="437"/>
      <c r="AF1" s="437"/>
      <c r="AG1" s="437"/>
      <c r="AH1" s="437"/>
      <c r="AI1" s="437"/>
      <c r="AJ1" s="437"/>
      <c r="AK1" s="437"/>
      <c r="AL1" s="437"/>
      <c r="AM1" s="437"/>
      <c r="AN1" s="437"/>
      <c r="AO1" s="437"/>
      <c r="AP1" s="437"/>
      <c r="AQ1" s="437"/>
      <c r="AR1" s="437"/>
      <c r="AS1" s="641"/>
      <c r="AT1" s="1262" t="s">
        <v>829</v>
      </c>
      <c r="AU1" s="1264"/>
      <c r="AV1" s="446"/>
      <c r="AW1" s="642"/>
      <c r="AX1" s="1130" t="s">
        <v>2607</v>
      </c>
      <c r="AY1" s="1283"/>
      <c r="AZ1" s="601"/>
      <c r="BA1" s="1283"/>
      <c r="BB1" s="1131"/>
      <c r="BC1" s="1270"/>
      <c r="BD1" s="450"/>
      <c r="BE1" s="643"/>
      <c r="BF1" s="454"/>
      <c r="BG1" s="643"/>
      <c r="BH1" s="451"/>
      <c r="BI1" s="451"/>
      <c r="BJ1" s="454"/>
      <c r="BK1" s="643"/>
      <c r="BL1" s="643"/>
      <c r="BM1" s="643"/>
      <c r="BN1" s="643"/>
      <c r="BO1" s="643"/>
      <c r="BP1" s="437"/>
    </row>
    <row r="2" spans="1:68" ht="13.5" customHeight="1" thickBot="1" x14ac:dyDescent="0.3">
      <c r="A2" s="1545" t="str">
        <f>"Corn Stover Design Report Case: " &amp;CASEID</f>
        <v>Corn Stover Design Report Case: DW1102A</v>
      </c>
      <c r="B2" s="1545"/>
      <c r="C2" s="1545"/>
      <c r="D2" s="1545"/>
      <c r="E2" s="1545"/>
      <c r="F2" s="1545"/>
      <c r="G2" s="667"/>
      <c r="H2" s="641"/>
      <c r="I2" s="529"/>
      <c r="J2" s="529"/>
      <c r="K2" s="529"/>
      <c r="L2" s="529"/>
      <c r="M2" s="437"/>
      <c r="N2" s="437"/>
      <c r="O2" s="530"/>
      <c r="P2" s="437"/>
      <c r="Q2" s="292" t="str">
        <f>$J$34&amp;" Dollars"</f>
        <v>2007 Dollars</v>
      </c>
      <c r="R2" s="24"/>
      <c r="S2" s="530"/>
      <c r="T2" s="437"/>
      <c r="U2" s="437"/>
      <c r="V2" s="437"/>
      <c r="W2" s="437"/>
      <c r="X2" s="437"/>
      <c r="Y2" s="437"/>
      <c r="Z2" s="437"/>
      <c r="AA2" s="437"/>
      <c r="AB2" s="437"/>
      <c r="AC2" s="437"/>
      <c r="AD2" s="437"/>
      <c r="AE2" s="437"/>
      <c r="AF2" s="437"/>
      <c r="AG2" s="437"/>
      <c r="AH2" s="437"/>
      <c r="AI2" s="437"/>
      <c r="AJ2" s="437"/>
      <c r="AK2" s="437"/>
      <c r="AL2" s="437"/>
      <c r="AM2" s="437"/>
      <c r="AN2" s="437"/>
      <c r="AO2" s="437"/>
      <c r="AP2" s="437"/>
      <c r="AQ2" s="437"/>
      <c r="AR2" s="437"/>
      <c r="AS2" s="641"/>
      <c r="AT2" s="602" t="s">
        <v>804</v>
      </c>
      <c r="AU2" s="1265"/>
      <c r="AV2" s="420" t="s">
        <v>805</v>
      </c>
      <c r="AW2" s="420" t="s">
        <v>830</v>
      </c>
      <c r="AX2" s="603" t="s">
        <v>806</v>
      </c>
      <c r="AY2" s="1303" t="s">
        <v>807</v>
      </c>
      <c r="AZ2" s="603" t="s">
        <v>832</v>
      </c>
      <c r="BA2" s="1284" t="s">
        <v>808</v>
      </c>
      <c r="BB2" s="420" t="s">
        <v>834</v>
      </c>
      <c r="BC2" s="1271" t="s">
        <v>915</v>
      </c>
      <c r="BD2" s="429" t="s">
        <v>925</v>
      </c>
      <c r="BE2" s="429" t="s">
        <v>211</v>
      </c>
      <c r="BF2" s="455" t="s">
        <v>916</v>
      </c>
      <c r="BG2" s="429" t="s">
        <v>199</v>
      </c>
      <c r="BH2" s="452" t="s">
        <v>918</v>
      </c>
      <c r="BI2" s="452" t="s">
        <v>921</v>
      </c>
      <c r="BJ2" s="455" t="s">
        <v>917</v>
      </c>
      <c r="BK2" s="644" t="s">
        <v>310</v>
      </c>
      <c r="BL2" s="644" t="s">
        <v>920</v>
      </c>
      <c r="BM2" s="420" t="s">
        <v>919</v>
      </c>
      <c r="BN2" s="420" t="s">
        <v>922</v>
      </c>
      <c r="BO2" s="425"/>
      <c r="BP2" s="437"/>
    </row>
    <row r="3" spans="1:68" ht="13.5" customHeight="1" thickBot="1" x14ac:dyDescent="0.3">
      <c r="A3" s="1545" t="s">
        <v>1837</v>
      </c>
      <c r="B3" s="1545"/>
      <c r="C3" s="1545"/>
      <c r="D3" s="1545"/>
      <c r="E3" s="1545"/>
      <c r="F3" s="1545"/>
      <c r="G3" s="667"/>
      <c r="H3" s="641"/>
      <c r="I3" s="528" t="s">
        <v>240</v>
      </c>
      <c r="J3" s="528" t="s">
        <v>241</v>
      </c>
      <c r="K3" s="528" t="s">
        <v>242</v>
      </c>
      <c r="L3" s="437"/>
      <c r="M3" s="437"/>
      <c r="N3" s="437"/>
      <c r="O3" s="530"/>
      <c r="P3" s="437"/>
      <c r="Q3" s="61"/>
      <c r="R3" s="24"/>
      <c r="S3" s="530"/>
      <c r="T3" s="437"/>
      <c r="U3" s="437"/>
      <c r="V3" s="437"/>
      <c r="W3" s="437"/>
      <c r="X3" s="437"/>
      <c r="Y3" s="437"/>
      <c r="Z3" s="437"/>
      <c r="AA3" s="437"/>
      <c r="AB3" s="437"/>
      <c r="AC3" s="437"/>
      <c r="AD3" s="437"/>
      <c r="AE3" s="437"/>
      <c r="AF3" s="437"/>
      <c r="AG3" s="437"/>
      <c r="AH3" s="437"/>
      <c r="AI3" s="437"/>
      <c r="AJ3" s="437"/>
      <c r="AK3" s="437"/>
      <c r="AL3" s="437"/>
      <c r="AM3" s="437"/>
      <c r="AN3" s="437"/>
      <c r="AO3" s="437"/>
      <c r="AP3" s="437"/>
      <c r="AQ3" s="437"/>
      <c r="AR3" s="437"/>
      <c r="AS3" s="641"/>
      <c r="AT3" s="448" t="str">
        <f>IF(CAPEX!A3&lt;&gt;"",CAPEX!A3,"")</f>
        <v>C</v>
      </c>
      <c r="AU3" s="1263">
        <f>IF(CAPEX!B3&lt;&gt;"",CAPEX!B3,"")</f>
        <v>101</v>
      </c>
      <c r="AV3" s="448" t="str">
        <f>IF(CAPEX!C3&lt;&gt;"",CAPEX!C3,"")</f>
        <v>Transfer Conveyor</v>
      </c>
      <c r="AW3" s="645" t="s">
        <v>929</v>
      </c>
      <c r="AX3" s="448" t="str">
        <f>IF(CAPEX!F3&lt;&gt;"",CAPEX!F3,"")</f>
        <v>160 MTPH ea., enclosed, 60 in. x 65 ft. long</v>
      </c>
      <c r="AY3" s="1285" t="str">
        <f>IF(CAPEX!G3&lt;&gt;"",CAPEX!G3,"")</f>
        <v>20 hp ea.</v>
      </c>
      <c r="AZ3" s="448" t="str">
        <f>IF(CAPEX!H3&lt;&gt;"",CAPEX!H3,"")</f>
        <v>CS</v>
      </c>
      <c r="BA3" s="1285">
        <f>IF(CAPEX!J3&lt;&gt;"",CAPEX!J3,"")</f>
        <v>2</v>
      </c>
      <c r="BB3" s="293">
        <f>CAPEX!K3</f>
        <v>5397000</v>
      </c>
      <c r="BC3" s="1272">
        <f>IF(CAPEX!L3&lt;&gt;"",CAPEX!L3,"")</f>
        <v>2009</v>
      </c>
      <c r="BD3" s="905">
        <f>IF(CAPEX!M3&lt;&gt;"",CAPEX!M3,"")</f>
        <v>5397000</v>
      </c>
      <c r="BE3" s="900" t="str">
        <f>IF(CAPEX!N3&lt;&gt;"",CAPEX!N3,"")</f>
        <v>STRM.101</v>
      </c>
      <c r="BF3" s="909">
        <f>IF(CAPEX!O3&lt;&gt;"",CAPEX!O3,"")</f>
        <v>94697</v>
      </c>
      <c r="BG3" s="906" t="str">
        <f>IF(CAPEX!P3&lt;&gt;"",CAPEX!P3,"")</f>
        <v>kg/hr</v>
      </c>
      <c r="BH3" s="907">
        <f>IF(CAPEX!Q3&lt;&gt;"",CAPEX!Q3,"")</f>
        <v>0.6</v>
      </c>
      <c r="BI3" s="907">
        <f>IF(CAPEX!R3&lt;&gt;"",CAPEX!R3,"")</f>
        <v>1.7</v>
      </c>
      <c r="BJ3" s="435">
        <f ca="1">IF(BE3&lt;&gt;"",VLOOKUP(BE3,INDIRECT(LU_SENS),2,FALSE),"")</f>
        <v>104166.667</v>
      </c>
      <c r="BK3" s="237">
        <f ca="1">BJ3/BF3</f>
        <v>1.0999996515201116</v>
      </c>
      <c r="BL3" s="227">
        <f ca="1">BD3*BK3^BH3</f>
        <v>5714627.7609824995</v>
      </c>
      <c r="BM3" s="238">
        <f ca="1">BL3*VLOOKUP($J$34,INDIRECT(IX_CAP),4,FALSE)/VLOOKUP(BC3,INDIRECT(IX_CAP),4,FALSE)</f>
        <v>5752951.5723705785</v>
      </c>
      <c r="BN3" s="238">
        <f ca="1">BM3*BI3</f>
        <v>9780017.6730299834</v>
      </c>
      <c r="BO3" s="425"/>
      <c r="BP3" s="437"/>
    </row>
    <row r="4" spans="1:68" ht="13.5" customHeight="1" thickBot="1" x14ac:dyDescent="0.3">
      <c r="A4" s="1545" t="str">
        <f>"All Values in "&amp;J34&amp;"$"</f>
        <v>All Values in 2007$</v>
      </c>
      <c r="B4" s="1545"/>
      <c r="C4" s="1545"/>
      <c r="D4" s="1545"/>
      <c r="E4" s="1545"/>
      <c r="F4" s="1545"/>
      <c r="G4" s="667"/>
      <c r="H4" s="641"/>
      <c r="I4" s="531" t="s">
        <v>243</v>
      </c>
      <c r="J4" s="84">
        <f ca="1">Q26</f>
        <v>298685653.68617696</v>
      </c>
      <c r="K4" s="531"/>
      <c r="L4" s="437"/>
      <c r="M4" s="437"/>
      <c r="N4" s="437"/>
      <c r="O4" s="437" t="s">
        <v>177</v>
      </c>
      <c r="P4" s="437"/>
      <c r="Q4" s="441">
        <v>0</v>
      </c>
      <c r="R4" s="437" t="s">
        <v>2578</v>
      </c>
      <c r="S4" s="437"/>
      <c r="T4" s="437"/>
      <c r="U4" s="437"/>
      <c r="V4" s="437"/>
      <c r="W4" s="437"/>
      <c r="X4" s="437"/>
      <c r="Y4" s="437"/>
      <c r="Z4" s="437"/>
      <c r="AA4" s="437"/>
      <c r="AB4" s="437"/>
      <c r="AC4" s="437"/>
      <c r="AD4" s="437"/>
      <c r="AE4" s="437"/>
      <c r="AF4" s="437"/>
      <c r="AG4" s="437"/>
      <c r="AH4" s="437"/>
      <c r="AI4" s="437"/>
      <c r="AJ4" s="437"/>
      <c r="AK4" s="437"/>
      <c r="AL4" s="437"/>
      <c r="AM4" s="437"/>
      <c r="AN4" s="437"/>
      <c r="AO4" s="437"/>
      <c r="AP4" s="437"/>
      <c r="AQ4" s="437"/>
      <c r="AR4" s="437"/>
      <c r="AS4" s="641"/>
      <c r="AT4" s="448" t="str">
        <f>IF(CAPEX!A4&lt;&gt;"",CAPEX!A4,"")</f>
        <v>C</v>
      </c>
      <c r="AU4" s="1263">
        <f>IF(CAPEX!B4&lt;&gt;"",CAPEX!B4,"")</f>
        <v>102</v>
      </c>
      <c r="AV4" s="448" t="str">
        <f>IF(CAPEX!C4&lt;&gt;"",CAPEX!C4,"")</f>
        <v>High Angle Transfer Conveyor</v>
      </c>
      <c r="AW4" s="646" t="s">
        <v>929</v>
      </c>
      <c r="AX4" s="448" t="str">
        <f>IF(CAPEX!F4&lt;&gt;"",CAPEX!F4,"")</f>
        <v>160 MTPH ea., enclosed, 72 in. wide</v>
      </c>
      <c r="AY4" s="1285" t="str">
        <f>IF(CAPEX!G4&lt;&gt;"",CAPEX!G4,"")</f>
        <v>50 hp ea.</v>
      </c>
      <c r="AZ4" s="448" t="str">
        <f>IF(CAPEX!H4&lt;&gt;"",CAPEX!H4,"")</f>
        <v>CS</v>
      </c>
      <c r="BA4" s="1285">
        <f>IF(CAPEX!J4&lt;&gt;"",CAPEX!J4,"")</f>
        <v>2</v>
      </c>
      <c r="BB4" s="293" t="str">
        <f>CAPEX!K4</f>
        <v>INCLUDED</v>
      </c>
      <c r="BC4" s="1273" t="str">
        <f>IF(CAPEX!L4&lt;&gt;"",CAPEX!L4,"")</f>
        <v/>
      </c>
      <c r="BD4" s="902" t="str">
        <f>IF(CAPEX!M4&lt;&gt;"",CAPEX!M4,"")</f>
        <v/>
      </c>
      <c r="BE4" s="902" t="str">
        <f>IF(CAPEX!N4&lt;&gt;"",CAPEX!N4,"")</f>
        <v/>
      </c>
      <c r="BF4" s="1291" t="str">
        <f>IF(CAPEX!O4&lt;&gt;"",CAPEX!O4,"")</f>
        <v/>
      </c>
      <c r="BG4" s="901" t="str">
        <f>IF(CAPEX!P4&lt;&gt;"",CAPEX!P4,"")</f>
        <v/>
      </c>
      <c r="BH4" s="903" t="str">
        <f>IF(CAPEX!Q4&lt;&gt;"",CAPEX!Q4,"")</f>
        <v/>
      </c>
      <c r="BI4" s="903" t="str">
        <f>IF(CAPEX!R4&lt;&gt;"",CAPEX!R4,"")</f>
        <v/>
      </c>
      <c r="BJ4" s="436"/>
      <c r="BK4" s="250"/>
      <c r="BL4" s="251"/>
      <c r="BM4" s="248"/>
      <c r="BN4" s="248"/>
      <c r="BO4" s="425"/>
      <c r="BP4" s="437"/>
    </row>
    <row r="5" spans="1:68" ht="22.5" customHeight="1" thickBot="1" x14ac:dyDescent="0.35">
      <c r="A5" s="804"/>
      <c r="B5" s="804"/>
      <c r="C5" s="805" t="s">
        <v>1838</v>
      </c>
      <c r="D5" s="806" t="str">
        <f ca="1">IF((ABS(J37)&lt;0.1),J35,"")</f>
        <v/>
      </c>
      <c r="E5" s="807" t="str">
        <f>"/lb, "&amp;L6</f>
        <v>/lb, Concentrated sugars</v>
      </c>
      <c r="F5" s="808"/>
      <c r="G5" s="6"/>
      <c r="H5" s="641"/>
      <c r="I5" s="531" t="s">
        <v>31</v>
      </c>
      <c r="J5" s="98">
        <v>0.4</v>
      </c>
      <c r="K5" s="531"/>
      <c r="L5" s="1540" t="s">
        <v>3394</v>
      </c>
      <c r="M5" s="1541"/>
      <c r="N5" s="437"/>
      <c r="O5" s="437" t="s">
        <v>181</v>
      </c>
      <c r="P5" s="437"/>
      <c r="Q5" s="296">
        <f ca="1">BN54</f>
        <v>32954613.856789459</v>
      </c>
      <c r="R5" s="437"/>
      <c r="S5" s="437"/>
      <c r="T5" s="437"/>
      <c r="U5" s="437"/>
      <c r="V5" s="437"/>
      <c r="W5" s="437"/>
      <c r="X5" s="437"/>
      <c r="Y5" s="437"/>
      <c r="Z5" s="437"/>
      <c r="AA5" s="437"/>
      <c r="AB5" s="437"/>
      <c r="AC5" s="437"/>
      <c r="AD5" s="437"/>
      <c r="AE5" s="437"/>
      <c r="AF5" s="437"/>
      <c r="AG5" s="437"/>
      <c r="AH5" s="437"/>
      <c r="AI5" s="437"/>
      <c r="AJ5" s="437"/>
      <c r="AK5" s="437"/>
      <c r="AL5" s="437"/>
      <c r="AM5" s="437"/>
      <c r="AN5" s="437"/>
      <c r="AO5" s="437"/>
      <c r="AP5" s="437"/>
      <c r="AQ5" s="437"/>
      <c r="AR5" s="437"/>
      <c r="AS5" s="641"/>
      <c r="AT5" s="448" t="str">
        <f>IF(CAPEX!A5&lt;&gt;"",CAPEX!A5,"")</f>
        <v>C</v>
      </c>
      <c r="AU5" s="1263">
        <f>IF(CAPEX!B5&lt;&gt;"",CAPEX!B5,"")</f>
        <v>103</v>
      </c>
      <c r="AV5" s="448" t="str">
        <f>IF(CAPEX!C5&lt;&gt;"",CAPEX!C5,"")</f>
        <v>Reversing Load-in Conveyor</v>
      </c>
      <c r="AW5" s="646" t="s">
        <v>929</v>
      </c>
      <c r="AX5" s="448" t="str">
        <f>IF(CAPEX!F5&lt;&gt;"",CAPEX!F5,"")</f>
        <v>320 MT / hr, enclosed, 84 in. wide</v>
      </c>
      <c r="AY5" s="1285" t="str">
        <f>IF(CAPEX!G5&lt;&gt;"",CAPEX!G5,"")</f>
        <v>20 hp</v>
      </c>
      <c r="AZ5" s="448" t="str">
        <f>IF(CAPEX!H5&lt;&gt;"",CAPEX!H5,"")</f>
        <v>CS</v>
      </c>
      <c r="BA5" s="1285">
        <f>IF(CAPEX!J5&lt;&gt;"",CAPEX!J5,"")</f>
        <v>1</v>
      </c>
      <c r="BB5" s="293" t="str">
        <f>CAPEX!K5</f>
        <v>INCLUDED</v>
      </c>
      <c r="BC5" s="1273" t="str">
        <f>IF(CAPEX!L5&lt;&gt;"",CAPEX!L5,"")</f>
        <v/>
      </c>
      <c r="BD5" s="902" t="str">
        <f>IF(CAPEX!M5&lt;&gt;"",CAPEX!M5,"")</f>
        <v/>
      </c>
      <c r="BE5" s="902" t="str">
        <f>IF(CAPEX!N5&lt;&gt;"",CAPEX!N5,"")</f>
        <v/>
      </c>
      <c r="BF5" s="1291" t="str">
        <f>IF(CAPEX!O5&lt;&gt;"",CAPEX!O5,"")</f>
        <v/>
      </c>
      <c r="BG5" s="901" t="str">
        <f>IF(CAPEX!P5&lt;&gt;"",CAPEX!P5,"")</f>
        <v/>
      </c>
      <c r="BH5" s="903" t="str">
        <f>IF(CAPEX!Q5&lt;&gt;"",CAPEX!Q5,"")</f>
        <v/>
      </c>
      <c r="BI5" s="903" t="str">
        <f>IF(CAPEX!R5&lt;&gt;"",CAPEX!R5,"")</f>
        <v/>
      </c>
      <c r="BJ5" s="436"/>
      <c r="BK5" s="250"/>
      <c r="BL5" s="248"/>
      <c r="BM5" s="248"/>
      <c r="BN5" s="248"/>
      <c r="BO5" s="425"/>
      <c r="BP5" s="437"/>
    </row>
    <row r="6" spans="1:68" ht="13.5" customHeight="1" thickBot="1" x14ac:dyDescent="0.35">
      <c r="A6" s="804"/>
      <c r="B6" s="804"/>
      <c r="C6" s="809"/>
      <c r="D6" s="810"/>
      <c r="E6" s="810"/>
      <c r="F6" s="808"/>
      <c r="G6" s="6"/>
      <c r="H6" s="641"/>
      <c r="I6" s="531" t="s">
        <v>32</v>
      </c>
      <c r="J6" s="99">
        <v>0.08</v>
      </c>
      <c r="K6" s="531"/>
      <c r="L6" s="1542" t="s">
        <v>3419</v>
      </c>
      <c r="M6" s="1543"/>
      <c r="N6" s="437"/>
      <c r="O6" s="437" t="s">
        <v>184</v>
      </c>
      <c r="P6" s="437"/>
      <c r="Q6" s="296">
        <f ca="1">BN80</f>
        <v>19624117.064696882</v>
      </c>
      <c r="R6" s="437"/>
      <c r="S6" s="437"/>
      <c r="T6" s="437"/>
      <c r="U6" s="437"/>
      <c r="V6" s="437"/>
      <c r="W6" s="437"/>
      <c r="X6" s="437"/>
      <c r="Y6" s="437"/>
      <c r="Z6" s="437"/>
      <c r="AA6" s="437"/>
      <c r="AB6" s="437"/>
      <c r="AC6" s="437"/>
      <c r="AD6" s="437"/>
      <c r="AE6" s="437"/>
      <c r="AF6" s="437"/>
      <c r="AG6" s="437"/>
      <c r="AH6" s="437"/>
      <c r="AI6" s="437"/>
      <c r="AJ6" s="437"/>
      <c r="AK6" s="437"/>
      <c r="AL6" s="437"/>
      <c r="AM6" s="437"/>
      <c r="AN6" s="437"/>
      <c r="AO6" s="437"/>
      <c r="AP6" s="437"/>
      <c r="AQ6" s="437"/>
      <c r="AR6" s="437"/>
      <c r="AS6" s="641"/>
      <c r="AT6" s="448" t="str">
        <f>IF(CAPEX!A6&lt;&gt;"",CAPEX!A6,"")</f>
        <v>C</v>
      </c>
      <c r="AU6" s="1263">
        <f>IF(CAPEX!B6&lt;&gt;"",CAPEX!B6,"")</f>
        <v>104</v>
      </c>
      <c r="AV6" s="448" t="str">
        <f>IF(CAPEX!C6&lt;&gt;"",CAPEX!C6,"")</f>
        <v>Dome Reclaim System</v>
      </c>
      <c r="AW6" s="648" t="s">
        <v>835</v>
      </c>
      <c r="AX6" s="448" t="str">
        <f>IF(CAPEX!F6&lt;&gt;"",CAPEX!F6,"")</f>
        <v>100 MTPH ea.</v>
      </c>
      <c r="AY6" s="1285" t="str">
        <f>IF(CAPEX!G6&lt;&gt;"",CAPEX!G6,"")</f>
        <v>45 kw ea.</v>
      </c>
      <c r="AZ6" s="448" t="str">
        <f>IF(CAPEX!H6&lt;&gt;"",CAPEX!H6,"")</f>
        <v>CS</v>
      </c>
      <c r="BA6" s="1285">
        <f>IF(CAPEX!J6&lt;&gt;"",CAPEX!J6,"")</f>
        <v>2</v>
      </c>
      <c r="BB6" s="293">
        <f>CAPEX!K6</f>
        <v>3046000</v>
      </c>
      <c r="BC6" s="1272">
        <f>IF(CAPEX!L6&lt;&gt;"",CAPEX!L6,"")</f>
        <v>2009</v>
      </c>
      <c r="BD6" s="905">
        <f>IF(CAPEX!M6&lt;&gt;"",CAPEX!M6,"")</f>
        <v>3046000</v>
      </c>
      <c r="BE6" s="900" t="str">
        <f>IF(CAPEX!N6&lt;&gt;"",CAPEX!N6,"")</f>
        <v>STRM.101</v>
      </c>
      <c r="BF6" s="909">
        <f>IF(CAPEX!O6&lt;&gt;"",CAPEX!O6,"")</f>
        <v>94697</v>
      </c>
      <c r="BG6" s="906" t="str">
        <f>IF(CAPEX!P6&lt;&gt;"",CAPEX!P6,"")</f>
        <v>kg/hr</v>
      </c>
      <c r="BH6" s="907">
        <f>IF(CAPEX!Q6&lt;&gt;"",CAPEX!Q6,"")</f>
        <v>0.6</v>
      </c>
      <c r="BI6" s="907">
        <f>IF(CAPEX!R6&lt;&gt;"",CAPEX!R6,"")</f>
        <v>1.7</v>
      </c>
      <c r="BJ6" s="436">
        <f ca="1">IF(BE6&lt;&gt;"",VLOOKUP(BE6,INDIRECT(LU_SENS),2,FALSE),"")</f>
        <v>104166.667</v>
      </c>
      <c r="BK6" s="239">
        <f ca="1">BJ6/BF6</f>
        <v>1.0999996515201116</v>
      </c>
      <c r="BL6" s="238">
        <f ca="1">BD6*BK6^BH6</f>
        <v>3225265.176941392</v>
      </c>
      <c r="BM6" s="238">
        <f ca="1">BL6*VLOOKUP($J$34,INDIRECT(IX_CAP),4,FALSE)/VLOOKUP(BC6,INDIRECT(IX_CAP),4,FALSE)</f>
        <v>3246894.6617455594</v>
      </c>
      <c r="BN6" s="238">
        <f ca="1">BM6*BI6</f>
        <v>5519720.924967451</v>
      </c>
      <c r="BO6" s="605"/>
      <c r="BP6" s="437"/>
    </row>
    <row r="7" spans="1:68" ht="13.5" customHeight="1" thickBot="1" x14ac:dyDescent="0.3">
      <c r="A7" s="811"/>
      <c r="B7" s="811"/>
      <c r="C7" s="812" t="s">
        <v>2209</v>
      </c>
      <c r="D7" s="813">
        <f ca="1">K90</f>
        <v>910.37647207251609</v>
      </c>
      <c r="E7" s="814"/>
      <c r="F7" s="815"/>
      <c r="G7" s="667"/>
      <c r="H7" s="641"/>
      <c r="I7" s="531" t="s">
        <v>33</v>
      </c>
      <c r="J7" s="100">
        <v>10</v>
      </c>
      <c r="K7" s="531"/>
      <c r="L7" s="437"/>
      <c r="M7" s="437"/>
      <c r="N7" s="437"/>
      <c r="O7" s="437" t="s">
        <v>187</v>
      </c>
      <c r="P7" s="437"/>
      <c r="Q7" s="296">
        <f ca="1">BN105</f>
        <v>18736263.375360578</v>
      </c>
      <c r="R7" s="437"/>
      <c r="S7" s="437"/>
      <c r="T7" s="437"/>
      <c r="U7" s="437"/>
      <c r="V7" s="437"/>
      <c r="W7" s="437"/>
      <c r="X7" s="437"/>
      <c r="Y7" s="437"/>
      <c r="Z7" s="437"/>
      <c r="AA7" s="437"/>
      <c r="AB7" s="437"/>
      <c r="AC7" s="437"/>
      <c r="AD7" s="437"/>
      <c r="AE7" s="437"/>
      <c r="AF7" s="437"/>
      <c r="AG7" s="437"/>
      <c r="AH7" s="437"/>
      <c r="AI7" s="437"/>
      <c r="AJ7" s="437"/>
      <c r="AK7" s="437"/>
      <c r="AL7" s="437"/>
      <c r="AM7" s="437"/>
      <c r="AN7" s="437"/>
      <c r="AO7" s="437"/>
      <c r="AP7" s="437"/>
      <c r="AQ7" s="437"/>
      <c r="AR7" s="437"/>
      <c r="AS7" s="641"/>
      <c r="AT7" s="448" t="str">
        <f>IF(CAPEX!A7&lt;&gt;"",CAPEX!A7,"")</f>
        <v>C</v>
      </c>
      <c r="AU7" s="1263">
        <f>IF(CAPEX!B7&lt;&gt;"",CAPEX!B7,"")</f>
        <v>105</v>
      </c>
      <c r="AV7" s="448" t="str">
        <f>IF(CAPEX!C7&lt;&gt;"",CAPEX!C7,"")</f>
        <v>Reclaim Conveyor</v>
      </c>
      <c r="AW7" s="646" t="s">
        <v>929</v>
      </c>
      <c r="AX7" s="448" t="str">
        <f>IF(CAPEX!F7&lt;&gt;"",CAPEX!F7,"")</f>
        <v>100 MTPH ea., enclosed, 48 in. x 125 ft. long</v>
      </c>
      <c r="AY7" s="1285" t="str">
        <f>IF(CAPEX!G7&lt;&gt;"",CAPEX!G7,"")</f>
        <v>10 hp ea.</v>
      </c>
      <c r="AZ7" s="448" t="str">
        <f>IF(CAPEX!H7&lt;&gt;"",CAPEX!H7,"")</f>
        <v>CS</v>
      </c>
      <c r="BA7" s="1285">
        <f>IF(CAPEX!J7&lt;&gt;"",CAPEX!J7,"")</f>
        <v>2</v>
      </c>
      <c r="BB7" s="293" t="str">
        <f>CAPEX!K7</f>
        <v>INCLUDED</v>
      </c>
      <c r="BC7" s="1273" t="str">
        <f>IF(CAPEX!L7&lt;&gt;"",CAPEX!L7,"")</f>
        <v/>
      </c>
      <c r="BD7" s="902" t="str">
        <f>IF(CAPEX!M7&lt;&gt;"",CAPEX!M7,"")</f>
        <v/>
      </c>
      <c r="BE7" s="902" t="str">
        <f>IF(CAPEX!N7&lt;&gt;"",CAPEX!N7,"")</f>
        <v/>
      </c>
      <c r="BF7" s="1291" t="str">
        <f>IF(CAPEX!O7&lt;&gt;"",CAPEX!O7,"")</f>
        <v/>
      </c>
      <c r="BG7" s="901" t="str">
        <f>IF(CAPEX!P7&lt;&gt;"",CAPEX!P7,"")</f>
        <v/>
      </c>
      <c r="BH7" s="903" t="str">
        <f>IF(CAPEX!Q7&lt;&gt;"",CAPEX!Q7,"")</f>
        <v/>
      </c>
      <c r="BI7" s="903" t="str">
        <f>IF(CAPEX!R7&lt;&gt;"",CAPEX!R7,"")</f>
        <v/>
      </c>
      <c r="BJ7" s="436"/>
      <c r="BK7" s="249"/>
      <c r="BL7" s="249"/>
      <c r="BM7" s="249"/>
      <c r="BN7" s="249"/>
      <c r="BO7" s="608"/>
      <c r="BP7" s="437"/>
    </row>
    <row r="8" spans="1:68" ht="13.5" customHeight="1" thickBot="1" x14ac:dyDescent="0.3">
      <c r="A8" s="811"/>
      <c r="B8" s="811"/>
      <c r="C8" s="816" t="s">
        <v>2210</v>
      </c>
      <c r="D8" s="840">
        <f ca="1">M92</f>
        <v>1178.9873257164556</v>
      </c>
      <c r="E8" s="817"/>
      <c r="F8" s="815"/>
      <c r="G8" s="667"/>
      <c r="H8" s="641"/>
      <c r="I8" s="531" t="s">
        <v>34</v>
      </c>
      <c r="J8" s="85">
        <f ca="1">-PMT(J6,J7,J4*(1-J5))</f>
        <v>26707782.150001612</v>
      </c>
      <c r="K8" s="531"/>
      <c r="L8" s="437"/>
      <c r="M8" s="437"/>
      <c r="N8" s="437"/>
      <c r="O8" s="437" t="s">
        <v>189</v>
      </c>
      <c r="P8" s="437"/>
      <c r="Q8" s="296">
        <f ca="1">BN142</f>
        <v>24212482.516500432</v>
      </c>
      <c r="R8" s="437"/>
      <c r="S8" s="437"/>
      <c r="T8" s="437"/>
      <c r="U8" s="437"/>
      <c r="V8" s="437"/>
      <c r="W8" s="437"/>
      <c r="X8" s="437"/>
      <c r="Y8" s="437"/>
      <c r="Z8" s="437"/>
      <c r="AA8" s="437"/>
      <c r="AB8" s="437"/>
      <c r="AC8" s="437"/>
      <c r="AD8" s="437"/>
      <c r="AE8" s="437"/>
      <c r="AF8" s="437"/>
      <c r="AG8" s="437"/>
      <c r="AH8" s="437"/>
      <c r="AI8" s="437"/>
      <c r="AJ8" s="437"/>
      <c r="AK8" s="437"/>
      <c r="AL8" s="437"/>
      <c r="AM8" s="437"/>
      <c r="AN8" s="437"/>
      <c r="AO8" s="437"/>
      <c r="AP8" s="437"/>
      <c r="AQ8" s="437"/>
      <c r="AR8" s="437"/>
      <c r="AS8" s="641"/>
      <c r="AT8" s="448" t="str">
        <f>IF(CAPEX!A8&lt;&gt;"",CAPEX!A8,"")</f>
        <v>C</v>
      </c>
      <c r="AU8" s="1263">
        <f>IF(CAPEX!B8&lt;&gt;"",CAPEX!B8,"")</f>
        <v>106</v>
      </c>
      <c r="AV8" s="448" t="str">
        <f>IF(CAPEX!C8&lt;&gt;"",CAPEX!C8,"")</f>
        <v>High Angle Transfer Conveyor</v>
      </c>
      <c r="AW8" s="646" t="s">
        <v>929</v>
      </c>
      <c r="AX8" s="448" t="str">
        <f>IF(CAPEX!F8&lt;&gt;"",CAPEX!F8,"")</f>
        <v>100 MTPH, enclosed, 72 in. wide</v>
      </c>
      <c r="AY8" s="1285" t="str">
        <f>IF(CAPEX!G8&lt;&gt;"",CAPEX!G8,"")</f>
        <v>20 hp</v>
      </c>
      <c r="AZ8" s="448" t="str">
        <f>IF(CAPEX!H8&lt;&gt;"",CAPEX!H8,"")</f>
        <v>CS</v>
      </c>
      <c r="BA8" s="1285">
        <f>IF(CAPEX!J8&lt;&gt;"",CAPEX!J8,"")</f>
        <v>1</v>
      </c>
      <c r="BB8" s="293" t="str">
        <f>CAPEX!K8</f>
        <v>INCLUDED</v>
      </c>
      <c r="BC8" s="1273" t="str">
        <f>IF(CAPEX!L8&lt;&gt;"",CAPEX!L8,"")</f>
        <v/>
      </c>
      <c r="BD8" s="902" t="str">
        <f>IF(CAPEX!M8&lt;&gt;"",CAPEX!M8,"")</f>
        <v/>
      </c>
      <c r="BE8" s="902" t="str">
        <f>IF(CAPEX!N8&lt;&gt;"",CAPEX!N8,"")</f>
        <v/>
      </c>
      <c r="BF8" s="1291" t="str">
        <f>IF(CAPEX!O8&lt;&gt;"",CAPEX!O8,"")</f>
        <v/>
      </c>
      <c r="BG8" s="901" t="str">
        <f>IF(CAPEX!P8&lt;&gt;"",CAPEX!P8,"")</f>
        <v/>
      </c>
      <c r="BH8" s="903" t="str">
        <f>IF(CAPEX!Q8&lt;&gt;"",CAPEX!Q8,"")</f>
        <v/>
      </c>
      <c r="BI8" s="903" t="str">
        <f>IF(CAPEX!R8&lt;&gt;"",CAPEX!R8,"")</f>
        <v/>
      </c>
      <c r="BJ8" s="436"/>
      <c r="BK8" s="249"/>
      <c r="BL8" s="249"/>
      <c r="BM8" s="249"/>
      <c r="BN8" s="249"/>
      <c r="BO8" s="608"/>
      <c r="BP8" s="437"/>
    </row>
    <row r="9" spans="1:68" ht="13.5" customHeight="1" thickBot="1" x14ac:dyDescent="0.3">
      <c r="A9" s="811"/>
      <c r="B9" s="816"/>
      <c r="C9" s="816" t="s">
        <v>2211</v>
      </c>
      <c r="D9" s="818">
        <f ca="1">$N$99*(0.01/(1-$K$139))</f>
        <v>58.499999999999993</v>
      </c>
      <c r="E9" s="819" t="s">
        <v>2180</v>
      </c>
      <c r="F9" s="815"/>
      <c r="G9" s="667"/>
      <c r="H9" s="641"/>
      <c r="I9" s="531" t="s">
        <v>244</v>
      </c>
      <c r="J9" s="84">
        <f ca="1">J4-J10</f>
        <v>232880306.67867422</v>
      </c>
      <c r="K9" s="531"/>
      <c r="L9" s="437"/>
      <c r="M9" s="437"/>
      <c r="N9" s="437"/>
      <c r="O9" s="437" t="s">
        <v>186</v>
      </c>
      <c r="P9" s="437"/>
      <c r="Q9" s="296">
        <f ca="1">BN144</f>
        <v>0</v>
      </c>
      <c r="R9" s="437"/>
      <c r="S9" s="437"/>
      <c r="T9" s="437"/>
      <c r="U9" s="437"/>
      <c r="V9" s="437"/>
      <c r="W9" s="437"/>
      <c r="X9" s="437"/>
      <c r="Y9" s="437"/>
      <c r="Z9" s="437"/>
      <c r="AA9" s="437"/>
      <c r="AB9" s="437"/>
      <c r="AC9" s="437"/>
      <c r="AD9" s="437"/>
      <c r="AE9" s="437"/>
      <c r="AF9" s="437"/>
      <c r="AG9" s="437"/>
      <c r="AH9" s="437"/>
      <c r="AI9" s="437"/>
      <c r="AJ9" s="437"/>
      <c r="AK9" s="437"/>
      <c r="AL9" s="437"/>
      <c r="AM9" s="437"/>
      <c r="AN9" s="437"/>
      <c r="AO9" s="437"/>
      <c r="AP9" s="437"/>
      <c r="AQ9" s="437"/>
      <c r="AR9" s="437"/>
      <c r="AS9" s="641"/>
      <c r="AT9" s="448" t="str">
        <f>IF(CAPEX!A9&lt;&gt;"",CAPEX!A9,"")</f>
        <v>C</v>
      </c>
      <c r="AU9" s="1263">
        <f>IF(CAPEX!B9&lt;&gt;"",CAPEX!B9,"")</f>
        <v>107</v>
      </c>
      <c r="AV9" s="448" t="str">
        <f>IF(CAPEX!C9&lt;&gt;"",CAPEX!C9,"")</f>
        <v>Elevated Transfer Conveyor</v>
      </c>
      <c r="AW9" s="646" t="s">
        <v>929</v>
      </c>
      <c r="AX9" s="448" t="str">
        <f>IF(CAPEX!F9&lt;&gt;"",CAPEX!F9,"")</f>
        <v>100 MTPH, enclosed, 48 in. x 200 ft. long</v>
      </c>
      <c r="AY9" s="1285" t="str">
        <f>IF(CAPEX!G9&lt;&gt;"",CAPEX!G9,"")</f>
        <v>10 hp</v>
      </c>
      <c r="AZ9" s="448" t="str">
        <f>IF(CAPEX!H9&lt;&gt;"",CAPEX!H9,"")</f>
        <v>CS</v>
      </c>
      <c r="BA9" s="1285">
        <f>IF(CAPEX!J9&lt;&gt;"",CAPEX!J9,"")</f>
        <v>1</v>
      </c>
      <c r="BB9" s="293" t="str">
        <f>CAPEX!K9</f>
        <v>INCLUDED</v>
      </c>
      <c r="BC9" s="1273" t="str">
        <f>IF(CAPEX!L9&lt;&gt;"",CAPEX!L9,"")</f>
        <v/>
      </c>
      <c r="BD9" s="902" t="str">
        <f>IF(CAPEX!M9&lt;&gt;"",CAPEX!M9,"")</f>
        <v/>
      </c>
      <c r="BE9" s="902" t="str">
        <f>IF(CAPEX!N9&lt;&gt;"",CAPEX!N9,"")</f>
        <v/>
      </c>
      <c r="BF9" s="1291" t="str">
        <f>IF(CAPEX!O9&lt;&gt;"",CAPEX!O9,"")</f>
        <v/>
      </c>
      <c r="BG9" s="901" t="str">
        <f>IF(CAPEX!P9&lt;&gt;"",CAPEX!P9,"")</f>
        <v/>
      </c>
      <c r="BH9" s="903" t="str">
        <f>IF(CAPEX!Q9&lt;&gt;"",CAPEX!Q9,"")</f>
        <v/>
      </c>
      <c r="BI9" s="903" t="str">
        <f>IF(CAPEX!R9&lt;&gt;"",CAPEX!R9,"")</f>
        <v/>
      </c>
      <c r="BJ9" s="436"/>
      <c r="BK9" s="249"/>
      <c r="BL9" s="249"/>
      <c r="BM9" s="249"/>
      <c r="BN9" s="249"/>
      <c r="BO9" s="608"/>
      <c r="BP9" s="437"/>
    </row>
    <row r="10" spans="1:68" ht="13.5" customHeight="1" thickBot="1" x14ac:dyDescent="0.3">
      <c r="A10" s="811"/>
      <c r="B10" s="816"/>
      <c r="C10" s="816" t="s">
        <v>135</v>
      </c>
      <c r="D10" s="820">
        <f>J31</f>
        <v>0.1</v>
      </c>
      <c r="E10" s="819"/>
      <c r="F10" s="815"/>
      <c r="G10" s="667"/>
      <c r="H10" s="641"/>
      <c r="I10" s="531" t="s">
        <v>245</v>
      </c>
      <c r="J10" s="84">
        <f ca="1">Q11</f>
        <v>65805347.00750275</v>
      </c>
      <c r="K10" s="531"/>
      <c r="L10" s="437"/>
      <c r="M10" s="437"/>
      <c r="N10" s="437"/>
      <c r="O10" s="437" t="s">
        <v>176</v>
      </c>
      <c r="P10" s="437"/>
      <c r="Q10" s="296">
        <f ca="1">BN163</f>
        <v>1908828.8299760458</v>
      </c>
      <c r="R10" s="437"/>
      <c r="S10" s="437"/>
      <c r="T10" s="437"/>
      <c r="U10" s="437"/>
      <c r="V10" s="437"/>
      <c r="W10" s="437"/>
      <c r="X10" s="437"/>
      <c r="Y10" s="437"/>
      <c r="Z10" s="437"/>
      <c r="AA10" s="437"/>
      <c r="AB10" s="437"/>
      <c r="AC10" s="437"/>
      <c r="AD10" s="437"/>
      <c r="AE10" s="437"/>
      <c r="AF10" s="437"/>
      <c r="AG10" s="437"/>
      <c r="AH10" s="437"/>
      <c r="AI10" s="437"/>
      <c r="AJ10" s="437"/>
      <c r="AK10" s="437"/>
      <c r="AL10" s="437"/>
      <c r="AM10" s="437"/>
      <c r="AN10" s="437"/>
      <c r="AO10" s="437"/>
      <c r="AP10" s="437"/>
      <c r="AQ10" s="437"/>
      <c r="AR10" s="437"/>
      <c r="AS10" s="641"/>
      <c r="AT10" s="448" t="str">
        <f>IF(CAPEX!A10&lt;&gt;"",CAPEX!A10,"")</f>
        <v>C</v>
      </c>
      <c r="AU10" s="1263">
        <f>IF(CAPEX!B10&lt;&gt;"",CAPEX!B10,"")</f>
        <v>108</v>
      </c>
      <c r="AV10" s="448" t="str">
        <f>IF(CAPEX!C10&lt;&gt;"",CAPEX!C10,"")</f>
        <v>Process Feed Conveyor</v>
      </c>
      <c r="AW10" s="646" t="s">
        <v>929</v>
      </c>
      <c r="AX10" s="448" t="str">
        <f>IF(CAPEX!F10&lt;&gt;"",CAPEX!F10,"")</f>
        <v>70 MTPH ea., enclosed, 42 in. x 25 ft. long</v>
      </c>
      <c r="AY10" s="1285" t="str">
        <f>IF(CAPEX!G10&lt;&gt;"",CAPEX!G10,"")</f>
        <v>5 hp ea.</v>
      </c>
      <c r="AZ10" s="448" t="str">
        <f>IF(CAPEX!H10&lt;&gt;"",CAPEX!H10,"")</f>
        <v>CS</v>
      </c>
      <c r="BA10" s="1285">
        <f>IF(CAPEX!J10&lt;&gt;"",CAPEX!J10,"")</f>
        <v>1</v>
      </c>
      <c r="BB10" s="293" t="str">
        <f>CAPEX!K10</f>
        <v>INCLUDED</v>
      </c>
      <c r="BC10" s="1273" t="str">
        <f>IF(CAPEX!L10&lt;&gt;"",CAPEX!L10,"")</f>
        <v/>
      </c>
      <c r="BD10" s="902" t="str">
        <f>IF(CAPEX!M10&lt;&gt;"",CAPEX!M10,"")</f>
        <v/>
      </c>
      <c r="BE10" s="902" t="str">
        <f>IF(CAPEX!N10&lt;&gt;"",CAPEX!N10,"")</f>
        <v/>
      </c>
      <c r="BF10" s="1291" t="str">
        <f>IF(CAPEX!O10&lt;&gt;"",CAPEX!O10,"")</f>
        <v/>
      </c>
      <c r="BG10" s="901" t="str">
        <f>IF(CAPEX!P10&lt;&gt;"",CAPEX!P10,"")</f>
        <v/>
      </c>
      <c r="BH10" s="903" t="str">
        <f>IF(CAPEX!Q10&lt;&gt;"",CAPEX!Q10,"")</f>
        <v/>
      </c>
      <c r="BI10" s="903" t="str">
        <f>IF(CAPEX!R10&lt;&gt;"",CAPEX!R10,"")</f>
        <v/>
      </c>
      <c r="BJ10" s="436"/>
      <c r="BK10" s="249"/>
      <c r="BL10" s="249"/>
      <c r="BM10" s="249"/>
      <c r="BN10" s="249"/>
      <c r="BO10" s="608"/>
      <c r="BP10" s="437"/>
    </row>
    <row r="11" spans="1:68" ht="13.5" customHeight="1" thickBot="1" x14ac:dyDescent="0.3">
      <c r="A11" s="811"/>
      <c r="B11" s="816"/>
      <c r="C11" s="816" t="s">
        <v>130</v>
      </c>
      <c r="D11" s="820">
        <f>J5</f>
        <v>0.4</v>
      </c>
      <c r="E11" s="819"/>
      <c r="F11" s="815"/>
      <c r="G11" s="667"/>
      <c r="H11" s="641"/>
      <c r="I11" s="531" t="s">
        <v>246</v>
      </c>
      <c r="J11" s="85">
        <v>0</v>
      </c>
      <c r="K11" s="531"/>
      <c r="L11" s="437" t="s">
        <v>48</v>
      </c>
      <c r="M11" s="1470">
        <v>4320</v>
      </c>
      <c r="N11" s="437"/>
      <c r="O11" s="437" t="s">
        <v>183</v>
      </c>
      <c r="P11" s="437"/>
      <c r="Q11" s="296">
        <f ca="1">BN185</f>
        <v>65805347.00750275</v>
      </c>
      <c r="R11" s="437"/>
      <c r="S11" s="437"/>
      <c r="T11" s="437"/>
      <c r="U11" s="437"/>
      <c r="V11" s="437"/>
      <c r="W11" s="437"/>
      <c r="X11" s="437"/>
      <c r="Y11" s="437"/>
      <c r="Z11" s="437"/>
      <c r="AA11" s="437"/>
      <c r="AB11" s="437"/>
      <c r="AC11" s="437"/>
      <c r="AD11" s="437"/>
      <c r="AE11" s="437"/>
      <c r="AF11" s="437"/>
      <c r="AG11" s="437"/>
      <c r="AH11" s="437"/>
      <c r="AI11" s="437"/>
      <c r="AJ11" s="437"/>
      <c r="AK11" s="437"/>
      <c r="AL11" s="437"/>
      <c r="AM11" s="437"/>
      <c r="AN11" s="437"/>
      <c r="AO11" s="437"/>
      <c r="AP11" s="437"/>
      <c r="AQ11" s="437"/>
      <c r="AR11" s="437"/>
      <c r="AS11" s="641"/>
      <c r="AT11" s="448" t="str">
        <f>IF(CAPEX!A11&lt;&gt;"",CAPEX!A11,"")</f>
        <v>M</v>
      </c>
      <c r="AU11" s="1263">
        <f>IF(CAPEX!B11&lt;&gt;"",CAPEX!B11,"")</f>
        <v>101</v>
      </c>
      <c r="AV11" s="448" t="str">
        <f>IF(CAPEX!C11&lt;&gt;"",CAPEX!C11,"")</f>
        <v>Truck Scale</v>
      </c>
      <c r="AW11" s="648" t="s">
        <v>838</v>
      </c>
      <c r="AX11" s="448" t="str">
        <f>IF(CAPEX!F11&lt;&gt;"",CAPEX!F11,"")</f>
        <v>10' x 70', 200,000 lb</v>
      </c>
      <c r="AY11" s="1285" t="str">
        <f>IF(CAPEX!G11&lt;&gt;"",CAPEX!G11,"")</f>
        <v/>
      </c>
      <c r="AZ11" s="448" t="str">
        <f>IF(CAPEX!H11&lt;&gt;"",CAPEX!H11,"")</f>
        <v>CONCRETE</v>
      </c>
      <c r="BA11" s="1285">
        <f>IF(CAPEX!J11&lt;&gt;"",CAPEX!J11,"")</f>
        <v>2</v>
      </c>
      <c r="BB11" s="293">
        <f>CAPEX!K11</f>
        <v>110000</v>
      </c>
      <c r="BC11" s="1272">
        <f>IF(CAPEX!L11&lt;&gt;"",CAPEX!L11,"")</f>
        <v>2009</v>
      </c>
      <c r="BD11" s="905">
        <f>IF(CAPEX!M11&lt;&gt;"",CAPEX!M11,"")</f>
        <v>110000</v>
      </c>
      <c r="BE11" s="900" t="str">
        <f>IF(CAPEX!N11&lt;&gt;"",CAPEX!N11,"")</f>
        <v>STRM.101</v>
      </c>
      <c r="BF11" s="909">
        <f>IF(CAPEX!O11&lt;&gt;"",CAPEX!O11,"")</f>
        <v>94697</v>
      </c>
      <c r="BG11" s="906" t="str">
        <f>IF(CAPEX!P11&lt;&gt;"",CAPEX!P11,"")</f>
        <v>kg/hr</v>
      </c>
      <c r="BH11" s="907">
        <f>IF(CAPEX!Q11&lt;&gt;"",CAPEX!Q11,"")</f>
        <v>0.6</v>
      </c>
      <c r="BI11" s="907">
        <f>IF(CAPEX!R11&lt;&gt;"",CAPEX!R11,"")</f>
        <v>1.7</v>
      </c>
      <c r="BJ11" s="436">
        <f t="shared" ref="BJ11:BJ16" ca="1" si="0">IF(BE11&lt;&gt;"",VLOOKUP(BE11,INDIRECT(LU_SENS),2,FALSE),"")</f>
        <v>104166.667</v>
      </c>
      <c r="BK11" s="239">
        <f t="shared" ref="BK11:BK16" ca="1" si="1">BJ11/BF11</f>
        <v>1.0999996515201116</v>
      </c>
      <c r="BL11" s="238">
        <f t="shared" ref="BL11:BL16" ca="1" si="2">BD11*BK11^BH11</f>
        <v>116473.79168205947</v>
      </c>
      <c r="BM11" s="238">
        <f t="shared" ref="BM11:BM16" ca="1" si="3">BL11*VLOOKUP($J$34,INDIRECT(IX_CAP),4,FALSE)/VLOOKUP(BC11,INDIRECT(IX_CAP),4,FALSE)</f>
        <v>117254.89586080483</v>
      </c>
      <c r="BN11" s="238">
        <f t="shared" ref="BN11:BN16" ca="1" si="4">BM11*BI11</f>
        <v>199333.32296336821</v>
      </c>
      <c r="BO11" s="608"/>
      <c r="BP11" s="437"/>
    </row>
    <row r="12" spans="1:68" ht="13.5" customHeight="1" thickBot="1" x14ac:dyDescent="0.3">
      <c r="A12" s="811"/>
      <c r="B12" s="811"/>
      <c r="C12" s="811"/>
      <c r="D12" s="811"/>
      <c r="E12" s="811"/>
      <c r="F12" s="815"/>
      <c r="G12" s="667"/>
      <c r="H12" s="641"/>
      <c r="I12" s="531" t="s">
        <v>47</v>
      </c>
      <c r="J12" s="85">
        <f ca="1">(M11*M12)*VLOOKUP(J34,INDIRECT(IX_CAP),4,FALSE)/VLOOKUP(M13,INDIRECT(IX_CAP),4,FALSE)</f>
        <v>466182.90115532733</v>
      </c>
      <c r="K12" s="531"/>
      <c r="L12" s="437" t="s">
        <v>49</v>
      </c>
      <c r="M12" s="1470">
        <v>80</v>
      </c>
      <c r="N12" s="437"/>
      <c r="O12" s="437" t="s">
        <v>180</v>
      </c>
      <c r="P12" s="437"/>
      <c r="Q12" s="296">
        <f ca="1">BN196</f>
        <v>6719572.4606986335</v>
      </c>
      <c r="R12" s="664" t="s">
        <v>2279</v>
      </c>
      <c r="S12" s="296">
        <f ca="1">Q5+Q6+Q7+Q8</f>
        <v>95527476.813347355</v>
      </c>
      <c r="T12" s="437"/>
      <c r="U12" s="437"/>
      <c r="V12" s="437"/>
      <c r="W12" s="437"/>
      <c r="X12" s="437"/>
      <c r="Y12" s="437"/>
      <c r="Z12" s="437"/>
      <c r="AA12" s="437"/>
      <c r="AB12" s="437"/>
      <c r="AC12" s="437"/>
      <c r="AD12" s="437"/>
      <c r="AE12" s="437"/>
      <c r="AF12" s="437"/>
      <c r="AG12" s="437"/>
      <c r="AH12" s="437"/>
      <c r="AI12" s="437"/>
      <c r="AJ12" s="437"/>
      <c r="AK12" s="437"/>
      <c r="AL12" s="437"/>
      <c r="AM12" s="437"/>
      <c r="AN12" s="437"/>
      <c r="AO12" s="437"/>
      <c r="AP12" s="437"/>
      <c r="AQ12" s="437"/>
      <c r="AR12" s="437"/>
      <c r="AS12" s="641"/>
      <c r="AT12" s="448" t="str">
        <f>IF(CAPEX!A12&lt;&gt;"",CAPEX!A12,"")</f>
        <v>M</v>
      </c>
      <c r="AU12" s="1263">
        <f>IF(CAPEX!B12&lt;&gt;"",CAPEX!B12,"")</f>
        <v>102</v>
      </c>
      <c r="AV12" s="448" t="str">
        <f>IF(CAPEX!C12&lt;&gt;"",CAPEX!C12,"")</f>
        <v>Truck Dumper</v>
      </c>
      <c r="AW12" s="648" t="s">
        <v>839</v>
      </c>
      <c r="AX12" s="448" t="str">
        <f>IF(CAPEX!F12&lt;&gt;"",CAPEX!F12,"")</f>
        <v>70' x 55 ton x 63 degree</v>
      </c>
      <c r="AY12" s="1285" t="str">
        <f>IF(CAPEX!G12&lt;&gt;"",CAPEX!G12,"")</f>
        <v>2 x 50 hp ea.</v>
      </c>
      <c r="AZ12" s="448" t="str">
        <f>IF(CAPEX!H12&lt;&gt;"",CAPEX!H12,"")</f>
        <v>CS</v>
      </c>
      <c r="BA12" s="1285">
        <f>IF(CAPEX!J12&lt;&gt;"",CAPEX!J12,"")</f>
        <v>2</v>
      </c>
      <c r="BB12" s="293">
        <f>CAPEX!K12</f>
        <v>484000</v>
      </c>
      <c r="BC12" s="1272">
        <f>IF(CAPEX!L12&lt;&gt;"",CAPEX!L12,"")</f>
        <v>2009</v>
      </c>
      <c r="BD12" s="905">
        <f>IF(CAPEX!M12&lt;&gt;"",CAPEX!M12,"")</f>
        <v>484000</v>
      </c>
      <c r="BE12" s="900" t="str">
        <f>IF(CAPEX!N12&lt;&gt;"",CAPEX!N12,"")</f>
        <v>STRM.101</v>
      </c>
      <c r="BF12" s="909">
        <f>IF(CAPEX!O12&lt;&gt;"",CAPEX!O12,"")</f>
        <v>94697</v>
      </c>
      <c r="BG12" s="906" t="str">
        <f>IF(CAPEX!P12&lt;&gt;"",CAPEX!P12,"")</f>
        <v>kg/hr</v>
      </c>
      <c r="BH12" s="907">
        <f>IF(CAPEX!Q12&lt;&gt;"",CAPEX!Q12,"")</f>
        <v>0.6</v>
      </c>
      <c r="BI12" s="907">
        <f>IF(CAPEX!R12&lt;&gt;"",CAPEX!R12,"")</f>
        <v>1.7</v>
      </c>
      <c r="BJ12" s="436">
        <f t="shared" ca="1" si="0"/>
        <v>104166.667</v>
      </c>
      <c r="BK12" s="239">
        <f t="shared" ca="1" si="1"/>
        <v>1.0999996515201116</v>
      </c>
      <c r="BL12" s="238">
        <f t="shared" ca="1" si="2"/>
        <v>512484.68340106163</v>
      </c>
      <c r="BM12" s="238">
        <f t="shared" ca="1" si="3"/>
        <v>515921.5417875413</v>
      </c>
      <c r="BN12" s="238">
        <f t="shared" ca="1" si="4"/>
        <v>877066.62103882013</v>
      </c>
      <c r="BO12" s="608"/>
      <c r="BP12" s="437"/>
    </row>
    <row r="13" spans="1:68" ht="13.5" customHeight="1" thickBot="1" x14ac:dyDescent="0.3">
      <c r="A13" s="821" t="s">
        <v>230</v>
      </c>
      <c r="B13" s="821"/>
      <c r="C13" s="811"/>
      <c r="D13" s="1539" t="s">
        <v>2296</v>
      </c>
      <c r="E13" s="1539"/>
      <c r="F13" s="1539"/>
      <c r="G13" s="668"/>
      <c r="H13" s="641"/>
      <c r="I13" s="531" t="s">
        <v>26</v>
      </c>
      <c r="J13" s="101">
        <v>0.05</v>
      </c>
      <c r="K13" s="531"/>
      <c r="L13" s="437" t="s">
        <v>50</v>
      </c>
      <c r="M13" s="1470">
        <v>1998</v>
      </c>
      <c r="N13" s="437"/>
      <c r="O13" s="437"/>
      <c r="P13" s="437"/>
      <c r="Q13" s="437"/>
      <c r="R13" s="437"/>
      <c r="S13" s="437"/>
      <c r="T13" s="437"/>
      <c r="U13" s="437"/>
      <c r="V13" s="437"/>
      <c r="W13" s="437"/>
      <c r="X13" s="437"/>
      <c r="Y13" s="437"/>
      <c r="Z13" s="437"/>
      <c r="AA13" s="437"/>
      <c r="AB13" s="437"/>
      <c r="AC13" s="437"/>
      <c r="AD13" s="437"/>
      <c r="AE13" s="437"/>
      <c r="AF13" s="437"/>
      <c r="AG13" s="437"/>
      <c r="AH13" s="437"/>
      <c r="AI13" s="437"/>
      <c r="AJ13" s="437"/>
      <c r="AK13" s="437"/>
      <c r="AL13" s="437"/>
      <c r="AM13" s="437"/>
      <c r="AN13" s="437"/>
      <c r="AO13" s="437"/>
      <c r="AP13" s="437"/>
      <c r="AQ13" s="437"/>
      <c r="AR13" s="437"/>
      <c r="AS13" s="641"/>
      <c r="AT13" s="448" t="str">
        <f>IF(CAPEX!A13&lt;&gt;"",CAPEX!A13,"")</f>
        <v>M</v>
      </c>
      <c r="AU13" s="1263">
        <f>IF(CAPEX!B13&lt;&gt;"",CAPEX!B13,"")</f>
        <v>103</v>
      </c>
      <c r="AV13" s="448" t="str">
        <f>IF(CAPEX!C13&lt;&gt;"",CAPEX!C13,"")</f>
        <v>Truck Dumper Hopper</v>
      </c>
      <c r="AW13" s="648" t="s">
        <v>839</v>
      </c>
      <c r="AX13" s="448" t="str">
        <f>IF(CAPEX!F13&lt;&gt;"",CAPEX!F13,"")</f>
        <v>3500 cu.ft. hopper w/ drag chain conveyor</v>
      </c>
      <c r="AY13" s="1285" t="str">
        <f>IF(CAPEX!G13&lt;&gt;"",CAPEX!G13,"")</f>
        <v>50 hp ea.</v>
      </c>
      <c r="AZ13" s="448" t="str">
        <f>IF(CAPEX!H13&lt;&gt;"",CAPEX!H13,"")</f>
        <v>CS</v>
      </c>
      <c r="BA13" s="1285">
        <f>IF(CAPEX!J13&lt;&gt;"",CAPEX!J13,"")</f>
        <v>2</v>
      </c>
      <c r="BB13" s="293">
        <f>CAPEX!K13</f>
        <v>502000</v>
      </c>
      <c r="BC13" s="1272">
        <f>IF(CAPEX!L13&lt;&gt;"",CAPEX!L13,"")</f>
        <v>2009</v>
      </c>
      <c r="BD13" s="905">
        <f>IF(CAPEX!M13&lt;&gt;"",CAPEX!M13,"")</f>
        <v>502000</v>
      </c>
      <c r="BE13" s="900" t="str">
        <f>IF(CAPEX!N13&lt;&gt;"",CAPEX!N13,"")</f>
        <v>STRM.101</v>
      </c>
      <c r="BF13" s="909">
        <f>IF(CAPEX!O13&lt;&gt;"",CAPEX!O13,"")</f>
        <v>94697</v>
      </c>
      <c r="BG13" s="906" t="str">
        <f>IF(CAPEX!P13&lt;&gt;"",CAPEX!P13,"")</f>
        <v>kg/hr</v>
      </c>
      <c r="BH13" s="907">
        <f>IF(CAPEX!Q13&lt;&gt;"",CAPEX!Q13,"")</f>
        <v>0.6</v>
      </c>
      <c r="BI13" s="907">
        <f>IF(CAPEX!R13&lt;&gt;"",CAPEX!R13,"")</f>
        <v>1.7</v>
      </c>
      <c r="BJ13" s="436">
        <f t="shared" ca="1" si="0"/>
        <v>104166.667</v>
      </c>
      <c r="BK13" s="239">
        <f t="shared" ca="1" si="1"/>
        <v>1.0999996515201116</v>
      </c>
      <c r="BL13" s="238">
        <f t="shared" ca="1" si="2"/>
        <v>531544.03113085323</v>
      </c>
      <c r="BM13" s="238">
        <f t="shared" ca="1" si="3"/>
        <v>535108.70656476391</v>
      </c>
      <c r="BN13" s="238">
        <f t="shared" ca="1" si="4"/>
        <v>909684.80116009864</v>
      </c>
      <c r="BO13" s="608"/>
      <c r="BP13" s="437"/>
    </row>
    <row r="14" spans="1:68" ht="13.5" customHeight="1" thickBot="1" x14ac:dyDescent="0.3">
      <c r="A14" s="811" t="s">
        <v>2151</v>
      </c>
      <c r="B14" s="822">
        <f ca="1">ROUND(BN54, -5)</f>
        <v>33000000</v>
      </c>
      <c r="C14" s="811"/>
      <c r="D14" s="811" t="s">
        <v>2182</v>
      </c>
      <c r="E14" s="811"/>
      <c r="F14" s="823">
        <f ca="1">T99</f>
        <v>4.9627406583714482</v>
      </c>
      <c r="G14" s="368"/>
      <c r="H14" s="641"/>
      <c r="I14" s="532" t="s">
        <v>247</v>
      </c>
      <c r="J14" s="437"/>
      <c r="K14" s="437"/>
      <c r="L14" s="437"/>
      <c r="M14" s="437"/>
      <c r="N14" s="437"/>
      <c r="O14" s="534" t="s">
        <v>315</v>
      </c>
      <c r="P14" s="437"/>
      <c r="Q14" s="298">
        <f ca="1">SUM(Q5:Q12)</f>
        <v>169961225.11152479</v>
      </c>
      <c r="R14" s="24"/>
      <c r="S14" s="530"/>
      <c r="T14" s="437"/>
      <c r="U14" s="437"/>
      <c r="V14" s="437"/>
      <c r="W14" s="437"/>
      <c r="X14" s="437"/>
      <c r="Y14" s="437"/>
      <c r="Z14" s="437"/>
      <c r="AA14" s="437"/>
      <c r="AB14" s="437"/>
      <c r="AC14" s="437"/>
      <c r="AD14" s="437"/>
      <c r="AE14" s="437"/>
      <c r="AF14" s="437"/>
      <c r="AG14" s="437"/>
      <c r="AH14" s="437"/>
      <c r="AI14" s="437"/>
      <c r="AJ14" s="437"/>
      <c r="AK14" s="437"/>
      <c r="AL14" s="437"/>
      <c r="AM14" s="437"/>
      <c r="AN14" s="437"/>
      <c r="AO14" s="437"/>
      <c r="AP14" s="437"/>
      <c r="AQ14" s="437"/>
      <c r="AR14" s="437"/>
      <c r="AS14" s="641"/>
      <c r="AT14" s="448" t="str">
        <f>IF(CAPEX!A14&lt;&gt;"",CAPEX!A14,"")</f>
        <v>M</v>
      </c>
      <c r="AU14" s="1263">
        <f>IF(CAPEX!B14&lt;&gt;"",CAPEX!B14,"")</f>
        <v>104</v>
      </c>
      <c r="AV14" s="448" t="str">
        <f>IF(CAPEX!C14&lt;&gt;"",CAPEX!C14,"")</f>
        <v>Concrete Feedstock Storage Dome</v>
      </c>
      <c r="AW14" s="648" t="s">
        <v>840</v>
      </c>
      <c r="AX14" s="448" t="str">
        <f>IF(CAPEX!F14&lt;&gt;"",CAPEX!F14,"")</f>
        <v>98 ft. dia., 160 ft. high., 4000 MT</v>
      </c>
      <c r="AY14" s="1285" t="str">
        <f>IF(CAPEX!G14&lt;&gt;"",CAPEX!G14,"")</f>
        <v/>
      </c>
      <c r="AZ14" s="448" t="str">
        <f>IF(CAPEX!H14&lt;&gt;"",CAPEX!H14,"")</f>
        <v>CONCRETE</v>
      </c>
      <c r="BA14" s="1285">
        <f>IF(CAPEX!J14&lt;&gt;"",CAPEX!J14,"")</f>
        <v>2</v>
      </c>
      <c r="BB14" s="293">
        <f>CAPEX!K14</f>
        <v>3500000</v>
      </c>
      <c r="BC14" s="1272">
        <f>IF(CAPEX!L14&lt;&gt;"",CAPEX!L14,"")</f>
        <v>2009</v>
      </c>
      <c r="BD14" s="905">
        <f>IF(CAPEX!M14&lt;&gt;"",CAPEX!M14,"")</f>
        <v>3500000</v>
      </c>
      <c r="BE14" s="900" t="str">
        <f>IF(CAPEX!N14&lt;&gt;"",CAPEX!N14,"")</f>
        <v>STRM.101</v>
      </c>
      <c r="BF14" s="909">
        <f>IF(CAPEX!O14&lt;&gt;"",CAPEX!O14,"")</f>
        <v>94697</v>
      </c>
      <c r="BG14" s="906" t="str">
        <f>IF(CAPEX!P14&lt;&gt;"",CAPEX!P14,"")</f>
        <v>kg/hr</v>
      </c>
      <c r="BH14" s="907">
        <f>IF(CAPEX!Q14&lt;&gt;"",CAPEX!Q14,"")</f>
        <v>0.6</v>
      </c>
      <c r="BI14" s="907">
        <f>IF(CAPEX!R14&lt;&gt;"",CAPEX!R14,"")</f>
        <v>1.7</v>
      </c>
      <c r="BJ14" s="436">
        <f t="shared" ca="1" si="0"/>
        <v>104166.667</v>
      </c>
      <c r="BK14" s="239">
        <f t="shared" ca="1" si="1"/>
        <v>1.0999996515201116</v>
      </c>
      <c r="BL14" s="238">
        <f t="shared" ca="1" si="2"/>
        <v>3705984.2807928012</v>
      </c>
      <c r="BM14" s="238">
        <f t="shared" ca="1" si="3"/>
        <v>3730837.595571063</v>
      </c>
      <c r="BN14" s="238">
        <f t="shared" ca="1" si="4"/>
        <v>6342423.9124708073</v>
      </c>
      <c r="BO14" s="608"/>
      <c r="BP14" s="437"/>
    </row>
    <row r="15" spans="1:68" ht="13.5" customHeight="1" thickBot="1" x14ac:dyDescent="0.3">
      <c r="A15" s="824" t="s">
        <v>2207</v>
      </c>
      <c r="B15" s="822">
        <f ca="1">ROUND(BN80,-5)</f>
        <v>19600000</v>
      </c>
      <c r="C15" s="811"/>
      <c r="D15" s="811" t="s">
        <v>284</v>
      </c>
      <c r="E15" s="811"/>
      <c r="F15" s="823">
        <f ca="1">T100</f>
        <v>0.16418110724798507</v>
      </c>
      <c r="G15" s="368"/>
      <c r="H15" s="641"/>
      <c r="I15" s="437" t="s">
        <v>244</v>
      </c>
      <c r="J15" s="439">
        <v>0</v>
      </c>
      <c r="K15" s="437" t="s">
        <v>248</v>
      </c>
      <c r="L15" s="437"/>
      <c r="M15" s="437"/>
      <c r="N15" s="437"/>
      <c r="O15" s="533" t="s">
        <v>401</v>
      </c>
      <c r="P15" s="437"/>
      <c r="Q15" s="61">
        <f ca="1">R15*$S$12</f>
        <v>3821099.0725338943</v>
      </c>
      <c r="R15" s="24">
        <f>DCFROR!I14</f>
        <v>0.04</v>
      </c>
      <c r="S15" s="530" t="s">
        <v>403</v>
      </c>
      <c r="T15" s="437"/>
      <c r="U15" s="437"/>
      <c r="V15" s="437"/>
      <c r="W15" s="437"/>
      <c r="X15" s="437"/>
      <c r="Y15" s="437"/>
      <c r="Z15" s="437"/>
      <c r="AA15" s="437"/>
      <c r="AB15" s="437"/>
      <c r="AC15" s="437"/>
      <c r="AD15" s="437"/>
      <c r="AE15" s="437"/>
      <c r="AF15" s="437"/>
      <c r="AG15" s="437"/>
      <c r="AH15" s="437"/>
      <c r="AI15" s="437"/>
      <c r="AJ15" s="437"/>
      <c r="AK15" s="437"/>
      <c r="AL15" s="437"/>
      <c r="AM15" s="437"/>
      <c r="AN15" s="437"/>
      <c r="AO15" s="437"/>
      <c r="AP15" s="437"/>
      <c r="AQ15" s="437"/>
      <c r="AR15" s="437"/>
      <c r="AS15" s="641"/>
      <c r="AT15" s="448" t="str">
        <f>IF(CAPEX!A15&lt;&gt;"",CAPEX!A15,"")</f>
        <v>M</v>
      </c>
      <c r="AU15" s="1263">
        <f>IF(CAPEX!B15&lt;&gt;"",CAPEX!B15,"")</f>
        <v>105</v>
      </c>
      <c r="AV15" s="448" t="str">
        <f>IF(CAPEX!C15&lt;&gt;"",CAPEX!C15,"")</f>
        <v>Belt Scale</v>
      </c>
      <c r="AW15" s="648" t="s">
        <v>947</v>
      </c>
      <c r="AX15" s="448" t="str">
        <f>IF(CAPEX!F15&lt;&gt;"",CAPEX!F15,"")</f>
        <v>Scale plus processor</v>
      </c>
      <c r="AY15" s="1285" t="str">
        <f>IF(CAPEX!G15&lt;&gt;"",CAPEX!G15,"")</f>
        <v/>
      </c>
      <c r="AZ15" s="448" t="str">
        <f>IF(CAPEX!H15&lt;&gt;"",CAPEX!H15,"")</f>
        <v>CS</v>
      </c>
      <c r="BA15" s="1285">
        <f>IF(CAPEX!J15&lt;&gt;"",CAPEX!J15,"")</f>
        <v>2</v>
      </c>
      <c r="BB15" s="293">
        <f>CAPEX!K15</f>
        <v>10790</v>
      </c>
      <c r="BC15" s="1272">
        <f>IF(CAPEX!L15&lt;&gt;"",CAPEX!L15,"")</f>
        <v>2009</v>
      </c>
      <c r="BD15" s="905">
        <f>IF(CAPEX!M15&lt;&gt;"",CAPEX!M15,"")</f>
        <v>10790</v>
      </c>
      <c r="BE15" s="900" t="str">
        <f>IF(CAPEX!N15&lt;&gt;"",CAPEX!N15,"")</f>
        <v>STRM.101</v>
      </c>
      <c r="BF15" s="909">
        <f>IF(CAPEX!O15&lt;&gt;"",CAPEX!O15,"")</f>
        <v>94697</v>
      </c>
      <c r="BG15" s="906" t="str">
        <f>IF(CAPEX!P15&lt;&gt;"",CAPEX!P15,"")</f>
        <v>kg/hr</v>
      </c>
      <c r="BH15" s="907">
        <f>IF(CAPEX!Q15&lt;&gt;"",CAPEX!Q15,"")</f>
        <v>0.6</v>
      </c>
      <c r="BI15" s="907">
        <f>IF(CAPEX!R15&lt;&gt;"",CAPEX!R15,"")</f>
        <v>1.7</v>
      </c>
      <c r="BJ15" s="436">
        <f t="shared" ca="1" si="0"/>
        <v>104166.667</v>
      </c>
      <c r="BK15" s="239">
        <f t="shared" ca="1" si="1"/>
        <v>1.0999996515201116</v>
      </c>
      <c r="BL15" s="238">
        <f t="shared" ca="1" si="2"/>
        <v>11425.020111358379</v>
      </c>
      <c r="BM15" s="238">
        <f t="shared" ca="1" si="3"/>
        <v>11501.639330346221</v>
      </c>
      <c r="BN15" s="238">
        <f t="shared" ca="1" si="4"/>
        <v>19552.786861588575</v>
      </c>
      <c r="BO15" s="608"/>
      <c r="BP15" s="437"/>
    </row>
    <row r="16" spans="1:68" ht="13.5" customHeight="1" x14ac:dyDescent="0.25">
      <c r="A16" s="824" t="s">
        <v>2593</v>
      </c>
      <c r="B16" s="822">
        <f ca="1">ROUND(BN105,-5)</f>
        <v>18700000</v>
      </c>
      <c r="C16" s="811"/>
      <c r="D16" s="811" t="s">
        <v>431</v>
      </c>
      <c r="E16" s="811"/>
      <c r="F16" s="823">
        <f ca="1">T105+T101</f>
        <v>0.48309758668856462</v>
      </c>
      <c r="G16" s="368"/>
      <c r="H16" s="641"/>
      <c r="I16" s="437" t="s">
        <v>245</v>
      </c>
      <c r="J16" s="439">
        <v>0</v>
      </c>
      <c r="K16" s="437" t="s">
        <v>248</v>
      </c>
      <c r="L16" s="437"/>
      <c r="M16" s="437"/>
      <c r="N16" s="437"/>
      <c r="O16" s="530" t="s">
        <v>402</v>
      </c>
      <c r="P16" s="437"/>
      <c r="Q16" s="61">
        <f ca="1">R16*$S$12</f>
        <v>8597472.9132012613</v>
      </c>
      <c r="R16" s="24">
        <f>DCFROR!I15</f>
        <v>0.09</v>
      </c>
      <c r="S16" s="530" t="s">
        <v>403</v>
      </c>
      <c r="T16" s="437"/>
      <c r="U16" s="437"/>
      <c r="V16" s="437"/>
      <c r="W16" s="437"/>
      <c r="X16" s="437"/>
      <c r="Y16" s="437"/>
      <c r="Z16" s="437"/>
      <c r="AA16" s="437"/>
      <c r="AB16" s="437"/>
      <c r="AC16" s="437"/>
      <c r="AD16" s="437"/>
      <c r="AE16" s="437"/>
      <c r="AF16" s="437"/>
      <c r="AG16" s="437"/>
      <c r="AH16" s="437"/>
      <c r="AI16" s="437"/>
      <c r="AJ16" s="437"/>
      <c r="AK16" s="437"/>
      <c r="AL16" s="437"/>
      <c r="AM16" s="437"/>
      <c r="AN16" s="437"/>
      <c r="AO16" s="437"/>
      <c r="AP16" s="437"/>
      <c r="AQ16" s="437"/>
      <c r="AR16" s="437"/>
      <c r="AS16" s="641"/>
      <c r="AT16" s="448" t="str">
        <f>IF(CAPEX!A16&lt;&gt;"",CAPEX!A16,"")</f>
        <v>M</v>
      </c>
      <c r="AU16" s="1263">
        <f>IF(CAPEX!B16&lt;&gt;"",CAPEX!B16,"")</f>
        <v>106</v>
      </c>
      <c r="AV16" s="448" t="str">
        <f>IF(CAPEX!C16&lt;&gt;"",CAPEX!C16,"")</f>
        <v>Dust Collection System</v>
      </c>
      <c r="AW16" s="648" t="s">
        <v>841</v>
      </c>
      <c r="AX16" s="448" t="str">
        <f>IF(CAPEX!F16&lt;&gt;"",CAPEX!F16,"")</f>
        <v>8500 ACFM</v>
      </c>
      <c r="AY16" s="1285" t="str">
        <f>IF(CAPEX!G16&lt;&gt;"",CAPEX!G16,"")</f>
        <v>25 hp ea.</v>
      </c>
      <c r="AZ16" s="448" t="str">
        <f>IF(CAPEX!H16&lt;&gt;"",CAPEX!H16,"")</f>
        <v>CS</v>
      </c>
      <c r="BA16" s="1285">
        <f>IF(CAPEX!J16&lt;&gt;"",CAPEX!J16,"")</f>
        <v>6</v>
      </c>
      <c r="BB16" s="293">
        <f>CAPEX!K16</f>
        <v>279900</v>
      </c>
      <c r="BC16" s="1272">
        <f>IF(CAPEX!L16&lt;&gt;"",CAPEX!L16,"")</f>
        <v>2009</v>
      </c>
      <c r="BD16" s="905">
        <f>IF(CAPEX!M16&lt;&gt;"",CAPEX!M16,"")</f>
        <v>279900</v>
      </c>
      <c r="BE16" s="900" t="str">
        <f>IF(CAPEX!N16&lt;&gt;"",CAPEX!N16,"")</f>
        <v>STRM.101</v>
      </c>
      <c r="BF16" s="909">
        <f>IF(CAPEX!O16&lt;&gt;"",CAPEX!O16,"")</f>
        <v>94697</v>
      </c>
      <c r="BG16" s="906" t="str">
        <f>IF(CAPEX!P16&lt;&gt;"",CAPEX!P16,"")</f>
        <v>kg/hr</v>
      </c>
      <c r="BH16" s="907">
        <f>IF(CAPEX!Q16&lt;&gt;"",CAPEX!Q16,"")</f>
        <v>0.6</v>
      </c>
      <c r="BI16" s="907">
        <f>IF(CAPEX!R16&lt;&gt;"",CAPEX!R16,"")</f>
        <v>1.7</v>
      </c>
      <c r="BJ16" s="436">
        <f t="shared" ca="1" si="0"/>
        <v>104166.667</v>
      </c>
      <c r="BK16" s="239">
        <f t="shared" ca="1" si="1"/>
        <v>1.0999996515201116</v>
      </c>
      <c r="BL16" s="238">
        <f t="shared" ca="1" si="2"/>
        <v>296372.85719825857</v>
      </c>
      <c r="BM16" s="238">
        <f t="shared" ca="1" si="3"/>
        <v>298360.41228581156</v>
      </c>
      <c r="BN16" s="238">
        <f t="shared" ca="1" si="4"/>
        <v>507212.70088587963</v>
      </c>
      <c r="BO16" s="608"/>
      <c r="BP16" s="437"/>
    </row>
    <row r="17" spans="1:68" ht="13.5" customHeight="1" thickBot="1" x14ac:dyDescent="0.3">
      <c r="A17" s="811" t="s">
        <v>2208</v>
      </c>
      <c r="B17" s="822">
        <f ca="1">ROUND(BN142,-5)</f>
        <v>24200000</v>
      </c>
      <c r="C17" s="811"/>
      <c r="D17" s="811" t="s">
        <v>1839</v>
      </c>
      <c r="E17" s="811"/>
      <c r="F17" s="823">
        <f ca="1">T103</f>
        <v>1.2965926062786248</v>
      </c>
      <c r="G17" s="368"/>
      <c r="H17" s="641"/>
      <c r="I17" s="437" t="s">
        <v>249</v>
      </c>
      <c r="J17" s="437" t="s">
        <v>250</v>
      </c>
      <c r="K17" s="437"/>
      <c r="L17" s="437"/>
      <c r="M17" s="437"/>
      <c r="N17" s="437"/>
      <c r="O17" s="889" t="s">
        <v>2289</v>
      </c>
      <c r="Q17" s="61">
        <f ca="1">R17*$S$12</f>
        <v>4298736.4566006307</v>
      </c>
      <c r="R17" s="24">
        <f>DCFROR!I16</f>
        <v>4.4999999999999998E-2</v>
      </c>
      <c r="S17" s="530" t="s">
        <v>403</v>
      </c>
      <c r="T17" s="437"/>
      <c r="U17" s="437"/>
      <c r="V17" s="437"/>
      <c r="W17" s="437"/>
      <c r="X17" s="437"/>
      <c r="Y17" s="437"/>
      <c r="Z17" s="437"/>
      <c r="AA17" s="437"/>
      <c r="AB17" s="437"/>
      <c r="AC17" s="437"/>
      <c r="AD17" s="437"/>
      <c r="AE17" s="437"/>
      <c r="AF17" s="437"/>
      <c r="AG17" s="437"/>
      <c r="AH17" s="437"/>
      <c r="AI17" s="437"/>
      <c r="AJ17" s="437"/>
      <c r="AK17" s="437"/>
      <c r="AL17" s="437"/>
      <c r="AM17" s="437"/>
      <c r="AN17" s="437"/>
      <c r="AO17" s="437"/>
      <c r="AP17" s="437"/>
      <c r="AQ17" s="437"/>
      <c r="AR17" s="437"/>
      <c r="AS17" s="641"/>
      <c r="AT17" s="222"/>
      <c r="AU17" s="1266"/>
      <c r="AV17" s="612"/>
      <c r="AW17" s="613"/>
      <c r="AX17" s="614"/>
      <c r="AY17" s="1304"/>
      <c r="AZ17" s="423"/>
      <c r="BA17" s="1286"/>
      <c r="BB17" s="224"/>
      <c r="BC17" s="1274"/>
      <c r="BD17" s="230">
        <f>SUM(BD3:BD16)</f>
        <v>13329690</v>
      </c>
      <c r="BE17" s="240"/>
      <c r="BF17" s="1292"/>
      <c r="BG17" s="223"/>
      <c r="BH17" s="434"/>
      <c r="BI17" s="434"/>
      <c r="BJ17" s="458"/>
      <c r="BK17" s="240"/>
      <c r="BL17" s="230">
        <f ca="1">SUM(BL3:BL16)</f>
        <v>14114177.602240283</v>
      </c>
      <c r="BM17" s="230">
        <f ca="1">SUM(BM3:BM16)</f>
        <v>14208831.025516467</v>
      </c>
      <c r="BN17" s="229">
        <f ca="1">SUM(BN3:BN16)</f>
        <v>24155012.743377995</v>
      </c>
      <c r="BO17" s="608"/>
      <c r="BP17" s="437"/>
    </row>
    <row r="18" spans="1:68" ht="13.5" customHeight="1" thickBot="1" x14ac:dyDescent="0.3">
      <c r="A18" s="811" t="s">
        <v>185</v>
      </c>
      <c r="B18" s="822">
        <f ca="1">ROUND(BN144,-5)</f>
        <v>0</v>
      </c>
      <c r="C18" s="811"/>
      <c r="D18" s="811" t="s">
        <v>233</v>
      </c>
      <c r="E18" s="811"/>
      <c r="F18" s="823">
        <f ca="1">T106+T107+T108+T109+T110+T104</f>
        <v>0.10696651827642389</v>
      </c>
      <c r="G18" s="368"/>
      <c r="H18" s="641"/>
      <c r="I18" s="437" t="s">
        <v>244</v>
      </c>
      <c r="J18" s="97">
        <v>200</v>
      </c>
      <c r="K18" s="437" t="s">
        <v>251</v>
      </c>
      <c r="L18" s="437"/>
      <c r="M18" s="437"/>
      <c r="N18" s="437"/>
      <c r="O18" s="890" t="s">
        <v>2224</v>
      </c>
      <c r="P18" s="437"/>
      <c r="Q18" s="299">
        <f ca="1">SUM(Q14:Q17)</f>
        <v>186678533.5538606</v>
      </c>
      <c r="R18" s="24"/>
      <c r="S18" s="530"/>
      <c r="T18" s="437"/>
      <c r="U18" s="437"/>
      <c r="V18" s="437"/>
      <c r="W18" s="437"/>
      <c r="X18" s="437"/>
      <c r="Y18" s="437"/>
      <c r="Z18" s="437"/>
      <c r="AA18" s="437"/>
      <c r="AB18" s="437"/>
      <c r="AC18" s="437"/>
      <c r="AD18" s="437"/>
      <c r="AE18" s="437"/>
      <c r="AF18" s="437"/>
      <c r="AG18" s="437"/>
      <c r="AH18" s="437"/>
      <c r="AI18" s="437"/>
      <c r="AJ18" s="437"/>
      <c r="AK18" s="437"/>
      <c r="AL18" s="437"/>
      <c r="AM18" s="437"/>
      <c r="AN18" s="437"/>
      <c r="AO18" s="437"/>
      <c r="AP18" s="437"/>
      <c r="AQ18" s="437"/>
      <c r="AR18" s="437"/>
      <c r="AS18" s="641"/>
      <c r="AT18" s="448" t="str">
        <f>IF(CAPEX!A18&lt;&gt;"",CAPEX!A18,"")</f>
        <v>A</v>
      </c>
      <c r="AU18" s="1263">
        <f>IF(CAPEX!B18&lt;&gt;"",CAPEX!B18,"")</f>
        <v>201</v>
      </c>
      <c r="AV18" s="448" t="str">
        <f>IF(CAPEX!C18&lt;&gt;"",CAPEX!C18,"")</f>
        <v>In-line Sulfuric Acid Mixer</v>
      </c>
      <c r="AW18" s="648" t="s">
        <v>1612</v>
      </c>
      <c r="AX18" s="448" t="str">
        <f>IF(CAPEX!F18&lt;&gt;"",CAPEX!F18,"")</f>
        <v>Kynar Lined - 600 gpm H2O - 5 gpm acid</v>
      </c>
      <c r="AY18" s="1285" t="str">
        <f>IF(CAPEX!G18&lt;&gt;"",CAPEX!G18,"")</f>
        <v/>
      </c>
      <c r="AZ18" s="448" t="str">
        <f>IF(CAPEX!H18&lt;&gt;"",CAPEX!H18,"")</f>
        <v>SS304</v>
      </c>
      <c r="BA18" s="1285">
        <f>IF(CAPEX!J18&lt;&gt;"",CAPEX!J18,"")</f>
        <v>1</v>
      </c>
      <c r="BB18" s="293">
        <f>CAPEX!K18</f>
        <v>6000</v>
      </c>
      <c r="BC18" s="1272">
        <f>IF(CAPEX!L18&lt;&gt;"",CAPEX!L18,"")</f>
        <v>2009</v>
      </c>
      <c r="BD18" s="899">
        <f>IF(CAPEX!M18&lt;&gt;"",CAPEX!M18,"")</f>
        <v>6000</v>
      </c>
      <c r="BE18" s="900" t="str">
        <f>IF(CAPEX!N18&lt;&gt;"",CAPEX!N18,"")</f>
        <v>strm.a200.214</v>
      </c>
      <c r="BF18" s="1293">
        <f>IF(CAPEX!O18&lt;&gt;"",CAPEX!O18,"")</f>
        <v>136260</v>
      </c>
      <c r="BG18" s="898" t="str">
        <f>IF(CAPEX!P18&lt;&gt;"",CAPEX!P18,"")</f>
        <v>kg/hr</v>
      </c>
      <c r="BH18" s="907">
        <f>IF(CAPEX!Q18&lt;&gt;"",CAPEX!Q18,"")</f>
        <v>0.5</v>
      </c>
      <c r="BI18" s="907">
        <f>IF(CAPEX!R18&lt;&gt;"",CAPEX!R18,"")</f>
        <v>1</v>
      </c>
      <c r="BJ18" s="436">
        <f t="shared" ref="BJ18:BJ24" ca="1" si="5">IF(BE18&lt;&gt;"",VLOOKUP(BE18,INDIRECT(LU_SENS),2,FALSE),"")</f>
        <v>38299.406900000002</v>
      </c>
      <c r="BK18" s="239">
        <f t="shared" ref="BK18:BK24" ca="1" si="6">BJ18/BF18</f>
        <v>0.28107593497724936</v>
      </c>
      <c r="BL18" s="238">
        <f t="shared" ref="BL18:BL24" ca="1" si="7">BD18*BK18^BH18</f>
        <v>3180.9957024776027</v>
      </c>
      <c r="BM18" s="238">
        <f t="shared" ref="BM18:BM24" ca="1" si="8">BL18*VLOOKUP($J$34,INDIRECT(IX_CAP),4,FALSE)/VLOOKUP(BC18,INDIRECT(IX_CAP),4,FALSE)</f>
        <v>3202.3283044294549</v>
      </c>
      <c r="BN18" s="238">
        <f t="shared" ref="BN18:BN24" ca="1" si="9">BM18*BI18</f>
        <v>3202.3283044294549</v>
      </c>
      <c r="BO18" s="608"/>
      <c r="BP18" s="437"/>
    </row>
    <row r="19" spans="1:68" ht="13.5" customHeight="1" thickBot="1" x14ac:dyDescent="0.3">
      <c r="A19" s="811" t="s">
        <v>174</v>
      </c>
      <c r="B19" s="822">
        <f ca="1">ROUND(BN163,-5)</f>
        <v>1900000</v>
      </c>
      <c r="C19" s="811"/>
      <c r="D19" s="811" t="s">
        <v>234</v>
      </c>
      <c r="E19" s="811"/>
      <c r="F19" s="823">
        <f ca="1">T117+T112</f>
        <v>0.22285599634532807</v>
      </c>
      <c r="G19" s="368"/>
      <c r="H19" s="641"/>
      <c r="I19" s="531" t="s">
        <v>245</v>
      </c>
      <c r="J19" s="97">
        <v>150</v>
      </c>
      <c r="K19" s="437" t="s">
        <v>251</v>
      </c>
      <c r="L19" s="437"/>
      <c r="M19" s="437"/>
      <c r="N19" s="437"/>
      <c r="O19" s="530"/>
      <c r="P19" s="437"/>
      <c r="Q19" s="61"/>
      <c r="R19" s="24"/>
      <c r="S19" s="530"/>
      <c r="T19" s="437"/>
      <c r="U19" s="437"/>
      <c r="V19" s="437"/>
      <c r="W19" s="437"/>
      <c r="X19" s="437"/>
      <c r="Y19" s="437"/>
      <c r="Z19" s="437"/>
      <c r="AA19" s="437"/>
      <c r="AB19" s="437"/>
      <c r="AC19" s="437"/>
      <c r="AD19" s="437"/>
      <c r="AE19" s="437"/>
      <c r="AF19" s="437"/>
      <c r="AG19" s="437"/>
      <c r="AH19" s="437"/>
      <c r="AI19" s="437"/>
      <c r="AJ19" s="437"/>
      <c r="AK19" s="437"/>
      <c r="AL19" s="437"/>
      <c r="AM19" s="437"/>
      <c r="AN19" s="437"/>
      <c r="AO19" s="437"/>
      <c r="AP19" s="437"/>
      <c r="AQ19" s="437"/>
      <c r="AR19" s="437"/>
      <c r="AS19" s="641"/>
      <c r="AT19" s="448" t="str">
        <f>IF(CAPEX!A19&lt;&gt;"",CAPEX!A19,"")</f>
        <v>A</v>
      </c>
      <c r="AU19" s="1263">
        <f>IF(CAPEX!B19&lt;&gt;"",CAPEX!B19,"")</f>
        <v>203</v>
      </c>
      <c r="AV19" s="448" t="str">
        <f>IF(CAPEX!C19&lt;&gt;"",CAPEX!C19,"")</f>
        <v>Blowdown Tank Agitator</v>
      </c>
      <c r="AW19" s="648" t="s">
        <v>844</v>
      </c>
      <c r="AX19" s="448" t="str">
        <f>IF(CAPEX!F19&lt;&gt;"",CAPEX!F19,"")</f>
        <v>Side-mounted, 3 x 75 hp. ( 170 kW)</v>
      </c>
      <c r="AY19" s="1285" t="str">
        <f>IF(CAPEX!G19&lt;&gt;"",CAPEX!G19,"")</f>
        <v>170 kW</v>
      </c>
      <c r="AZ19" s="448" t="str">
        <f>IF(CAPEX!H19&lt;&gt;"",CAPEX!H19,"")</f>
        <v>316LSS</v>
      </c>
      <c r="BA19" s="1285">
        <f>IF(CAPEX!J19&lt;&gt;"",CAPEX!J19,"")</f>
        <v>1</v>
      </c>
      <c r="BB19" s="293" t="str">
        <f>CAPEX!K19</f>
        <v>INCLUDED</v>
      </c>
      <c r="BC19" s="1272" t="str">
        <f>IF(CAPEX!L19&lt;&gt;"",CAPEX!L19,"")</f>
        <v/>
      </c>
      <c r="BD19" s="899" t="str">
        <f>IF(CAPEX!M19&lt;&gt;"",CAPEX!M19,"")</f>
        <v/>
      </c>
      <c r="BE19" s="900" t="str">
        <f>IF(CAPEX!N19&lt;&gt;"",CAPEX!N19,"")</f>
        <v/>
      </c>
      <c r="BF19" s="1293" t="str">
        <f>IF(CAPEX!O19&lt;&gt;"",CAPEX!O19,"")</f>
        <v/>
      </c>
      <c r="BG19" s="898" t="str">
        <f>IF(CAPEX!P19&lt;&gt;"",CAPEX!P19,"")</f>
        <v/>
      </c>
      <c r="BH19" s="907" t="str">
        <f>IF(CAPEX!Q19&lt;&gt;"",CAPEX!Q19,"")</f>
        <v/>
      </c>
      <c r="BI19" s="907" t="str">
        <f>IF(CAPEX!R19&lt;&gt;"",CAPEX!R19,"")</f>
        <v/>
      </c>
      <c r="BJ19" s="436"/>
      <c r="BK19" s="249"/>
      <c r="BL19" s="249"/>
      <c r="BM19" s="249"/>
      <c r="BN19" s="249"/>
      <c r="BO19" s="608"/>
      <c r="BP19" s="437"/>
    </row>
    <row r="20" spans="1:68" ht="13.5" customHeight="1" thickBot="1" x14ac:dyDescent="0.3">
      <c r="A20" s="811" t="s">
        <v>182</v>
      </c>
      <c r="B20" s="822">
        <f ca="1">ROUND(BN185,-5)</f>
        <v>65800000</v>
      </c>
      <c r="C20" s="811"/>
      <c r="D20" s="811" t="s">
        <v>235</v>
      </c>
      <c r="E20" s="811"/>
      <c r="F20" s="823">
        <f ca="1">-T120</f>
        <v>-0.51405619250680046</v>
      </c>
      <c r="G20" s="368"/>
      <c r="H20" s="641"/>
      <c r="I20" s="532" t="s">
        <v>252</v>
      </c>
      <c r="J20" s="437"/>
      <c r="K20" s="437"/>
      <c r="L20" s="437"/>
      <c r="M20" s="437"/>
      <c r="N20" s="300"/>
      <c r="O20" s="535" t="s">
        <v>404</v>
      </c>
      <c r="P20" s="437"/>
      <c r="Q20" s="61"/>
      <c r="R20" s="24"/>
      <c r="S20" s="530"/>
      <c r="T20" s="437"/>
      <c r="U20" s="437"/>
      <c r="V20" s="437"/>
      <c r="W20" s="437"/>
      <c r="X20" s="437"/>
      <c r="Y20" s="437"/>
      <c r="Z20" s="437"/>
      <c r="AA20" s="437"/>
      <c r="AB20" s="437"/>
      <c r="AC20" s="437"/>
      <c r="AD20" s="437"/>
      <c r="AE20" s="437"/>
      <c r="AF20" s="437"/>
      <c r="AG20" s="437"/>
      <c r="AH20" s="437"/>
      <c r="AI20" s="437"/>
      <c r="AJ20" s="437"/>
      <c r="AK20" s="437"/>
      <c r="AL20" s="437"/>
      <c r="AM20" s="437"/>
      <c r="AN20" s="437"/>
      <c r="AO20" s="437"/>
      <c r="AP20" s="437"/>
      <c r="AQ20" s="437"/>
      <c r="AR20" s="437"/>
      <c r="AS20" s="641"/>
      <c r="AT20" s="448" t="str">
        <f>IF(CAPEX!A20&lt;&gt;"",CAPEX!A20,"")</f>
        <v>A</v>
      </c>
      <c r="AU20" s="1263">
        <f>IF(CAPEX!B20&lt;&gt;"",CAPEX!B20,"")</f>
        <v>204</v>
      </c>
      <c r="AV20" s="448" t="str">
        <f>IF(CAPEX!C20&lt;&gt;"",CAPEX!C20,"")</f>
        <v>Flash Tank Agitator</v>
      </c>
      <c r="AW20" s="648" t="s">
        <v>1615</v>
      </c>
      <c r="AX20" s="448" t="str">
        <f>IF(CAPEX!F20&lt;&gt;"",CAPEX!F20,"")</f>
        <v>Side-mounted, 3 x 75 hp. ( 170 kW)</v>
      </c>
      <c r="AY20" s="1285" t="str">
        <f>IF(CAPEX!G20&lt;&gt;"",CAPEX!G20,"")</f>
        <v>170 kW</v>
      </c>
      <c r="AZ20" s="448" t="str">
        <f>IF(CAPEX!H20&lt;&gt;"",CAPEX!H20,"")</f>
        <v>316LSS</v>
      </c>
      <c r="BA20" s="1285">
        <f>IF(CAPEX!J20&lt;&gt;"",CAPEX!J20,"")</f>
        <v>3</v>
      </c>
      <c r="BB20" s="293">
        <f>CAPEX!K20</f>
        <v>90000</v>
      </c>
      <c r="BC20" s="1272">
        <f>IF(CAPEX!L20&lt;&gt;"",CAPEX!L20,"")</f>
        <v>2009</v>
      </c>
      <c r="BD20" s="899">
        <f>IF(CAPEX!M20&lt;&gt;"",CAPEX!M20,"")</f>
        <v>90000</v>
      </c>
      <c r="BE20" s="900" t="str">
        <f>IF(CAPEX!N20&lt;&gt;"",CAPEX!N20,"")</f>
        <v>strm.a200.254</v>
      </c>
      <c r="BF20" s="1294">
        <f>IF(CAPEX!O20&lt;&gt;"",CAPEX!O20,"")</f>
        <v>252891</v>
      </c>
      <c r="BG20" s="908" t="str">
        <f>IF(CAPEX!P20&lt;&gt;"",CAPEX!P20,"")</f>
        <v>kg/hr</v>
      </c>
      <c r="BH20" s="907">
        <f>IF(CAPEX!Q20&lt;&gt;"",CAPEX!Q20,"")</f>
        <v>0.5</v>
      </c>
      <c r="BI20" s="907">
        <f>IF(CAPEX!R20&lt;&gt;"",CAPEX!R20,"")</f>
        <v>1.5</v>
      </c>
      <c r="BJ20" s="436">
        <f t="shared" ca="1" si="5"/>
        <v>277415.196</v>
      </c>
      <c r="BK20" s="239">
        <f t="shared" ca="1" si="6"/>
        <v>1.0969753609262489</v>
      </c>
      <c r="BL20" s="238">
        <f t="shared" ca="1" si="7"/>
        <v>94262.932393929994</v>
      </c>
      <c r="BM20" s="238">
        <f t="shared" ca="1" si="8"/>
        <v>94895.084651793106</v>
      </c>
      <c r="BN20" s="238">
        <f t="shared" ca="1" si="9"/>
        <v>142342.62697768965</v>
      </c>
      <c r="BO20" s="608"/>
      <c r="BP20" s="437"/>
    </row>
    <row r="21" spans="1:68" ht="13.5" customHeight="1" thickBot="1" x14ac:dyDescent="0.3">
      <c r="A21" s="825" t="s">
        <v>179</v>
      </c>
      <c r="B21" s="826">
        <f ca="1">ROUND(BN196,-5)</f>
        <v>6700000</v>
      </c>
      <c r="C21" s="811"/>
      <c r="D21" s="811" t="s">
        <v>2982</v>
      </c>
      <c r="F21" s="823">
        <f ca="1">T111</f>
        <v>2.21041082458177</v>
      </c>
      <c r="G21" s="368"/>
      <c r="H21" s="641"/>
      <c r="I21" s="437" t="s">
        <v>244</v>
      </c>
      <c r="J21" s="439">
        <v>7</v>
      </c>
      <c r="K21" s="437"/>
      <c r="L21" s="437"/>
      <c r="M21" s="437"/>
      <c r="N21" s="300"/>
      <c r="O21" s="530" t="s">
        <v>923</v>
      </c>
      <c r="P21" s="437"/>
      <c r="Q21" s="61">
        <f ca="1">R21*$Q$18</f>
        <v>18667853.35538606</v>
      </c>
      <c r="R21" s="24">
        <f>DCFROR!I18</f>
        <v>0.1</v>
      </c>
      <c r="S21" s="530" t="s">
        <v>2229</v>
      </c>
      <c r="T21" s="437"/>
      <c r="U21" s="437"/>
      <c r="V21" s="437"/>
      <c r="W21" s="437"/>
      <c r="X21" s="437"/>
      <c r="Y21" s="437"/>
      <c r="Z21" s="437"/>
      <c r="AA21" s="437"/>
      <c r="AB21" s="437"/>
      <c r="AC21" s="437"/>
      <c r="AD21" s="437"/>
      <c r="AE21" s="437"/>
      <c r="AF21" s="437"/>
      <c r="AG21" s="437"/>
      <c r="AH21" s="437"/>
      <c r="AI21" s="437"/>
      <c r="AJ21" s="437"/>
      <c r="AK21" s="437"/>
      <c r="AL21" s="437"/>
      <c r="AM21" s="437"/>
      <c r="AN21" s="437"/>
      <c r="AO21" s="437"/>
      <c r="AP21" s="437"/>
      <c r="AQ21" s="437"/>
      <c r="AR21" s="437"/>
      <c r="AS21" s="641"/>
      <c r="AT21" s="448" t="str">
        <f>IF(CAPEX!A21&lt;&gt;"",CAPEX!A21,"")</f>
        <v>A</v>
      </c>
      <c r="AU21" s="1263">
        <f>IF(CAPEX!B21&lt;&gt;"",CAPEX!B21,"")</f>
        <v>208</v>
      </c>
      <c r="AV21" s="448" t="str">
        <f>IF(CAPEX!C21&lt;&gt;"",CAPEX!C21,"")</f>
        <v>Oligomer Hold Tank Agitator</v>
      </c>
      <c r="AW21" s="648" t="s">
        <v>1615</v>
      </c>
      <c r="AX21" s="448" t="str">
        <f>IF(CAPEX!F21&lt;&gt;"",CAPEX!F21,"")</f>
        <v>Side-mounted, 3 x 75 hp. ( 170 kW)</v>
      </c>
      <c r="AY21" s="1285" t="str">
        <f>IF(CAPEX!G21&lt;&gt;"",CAPEX!G21,"")</f>
        <v>170 kW</v>
      </c>
      <c r="AZ21" s="448" t="str">
        <f>IF(CAPEX!H21&lt;&gt;"",CAPEX!H21,"")</f>
        <v>316LSS</v>
      </c>
      <c r="BA21" s="1285">
        <f>IF(CAPEX!J21&lt;&gt;"",CAPEX!J21,"")</f>
        <v>3</v>
      </c>
      <c r="BB21" s="293">
        <f>CAPEX!K21</f>
        <v>90000</v>
      </c>
      <c r="BC21" s="1272">
        <f>IF(CAPEX!L21&lt;&gt;"",CAPEX!L21,"")</f>
        <v>2009</v>
      </c>
      <c r="BD21" s="899">
        <f>IF(CAPEX!M21&lt;&gt;"",CAPEX!M21,"")</f>
        <v>90000</v>
      </c>
      <c r="BE21" s="900" t="str">
        <f>IF(CAPEX!N21&lt;&gt;"",CAPEX!N21,"")</f>
        <v>strm.a200.222</v>
      </c>
      <c r="BF21" s="1294">
        <f>IF(CAPEX!O21&lt;&gt;"",CAPEX!O21,"")</f>
        <v>264116</v>
      </c>
      <c r="BG21" s="908" t="str">
        <f>IF(CAPEX!P21&lt;&gt;"",CAPEX!P21,"")</f>
        <v>kg/hr</v>
      </c>
      <c r="BH21" s="907">
        <f>IF(CAPEX!Q21&lt;&gt;"",CAPEX!Q21,"")</f>
        <v>0.5</v>
      </c>
      <c r="BI21" s="907">
        <f>IF(CAPEX!R21&lt;&gt;"",CAPEX!R21,"")</f>
        <v>1.5</v>
      </c>
      <c r="BJ21" s="436">
        <f t="shared" ca="1" si="5"/>
        <v>291537.27</v>
      </c>
      <c r="BK21" s="239">
        <f t="shared" ca="1" si="6"/>
        <v>1.1038228278483697</v>
      </c>
      <c r="BL21" s="238">
        <f t="shared" ca="1" si="7"/>
        <v>94556.675626693817</v>
      </c>
      <c r="BM21" s="238">
        <f t="shared" ca="1" si="8"/>
        <v>95190.797804684684</v>
      </c>
      <c r="BN21" s="238">
        <f t="shared" ca="1" si="9"/>
        <v>142786.19670702703</v>
      </c>
      <c r="BO21" s="615"/>
      <c r="BP21" s="437"/>
    </row>
    <row r="22" spans="1:68" ht="13.5" customHeight="1" thickBot="1" x14ac:dyDescent="0.3">
      <c r="A22" s="827" t="s">
        <v>315</v>
      </c>
      <c r="B22" s="822">
        <f ca="1">ROUND(BN198,-5)</f>
        <v>170000000</v>
      </c>
      <c r="C22" s="811"/>
      <c r="D22" s="811" t="s">
        <v>236</v>
      </c>
      <c r="E22" s="811"/>
      <c r="F22" s="823">
        <f ca="1">AC117</f>
        <v>1.0614155109013412</v>
      </c>
      <c r="G22" s="368"/>
      <c r="H22" s="641"/>
      <c r="I22" s="437" t="s">
        <v>253</v>
      </c>
      <c r="J22" s="439">
        <v>20</v>
      </c>
      <c r="K22" s="437"/>
      <c r="L22" s="437"/>
      <c r="M22" s="437"/>
      <c r="N22" s="301"/>
      <c r="O22" s="530" t="s">
        <v>405</v>
      </c>
      <c r="P22" s="437"/>
      <c r="Q22" s="61">
        <f ca="1">R22*$Q$18</f>
        <v>18667853.35538606</v>
      </c>
      <c r="R22" s="24">
        <f>DCFROR!I19</f>
        <v>0.1</v>
      </c>
      <c r="S22" s="530" t="s">
        <v>2229</v>
      </c>
      <c r="T22" s="437"/>
      <c r="U22" s="437"/>
      <c r="V22" s="437"/>
      <c r="W22" s="437"/>
      <c r="X22" s="437"/>
      <c r="Y22" s="437"/>
      <c r="Z22" s="437"/>
      <c r="AA22" s="437"/>
      <c r="AB22" s="437"/>
      <c r="AC22" s="437"/>
      <c r="AD22" s="437"/>
      <c r="AE22" s="437"/>
      <c r="AF22" s="437"/>
      <c r="AG22" s="437"/>
      <c r="AH22" s="437"/>
      <c r="AI22" s="437"/>
      <c r="AJ22" s="437"/>
      <c r="AK22" s="437"/>
      <c r="AL22" s="437"/>
      <c r="AM22" s="437"/>
      <c r="AN22" s="437"/>
      <c r="AO22" s="437"/>
      <c r="AP22" s="437"/>
      <c r="AQ22" s="437"/>
      <c r="AR22" s="437"/>
      <c r="AS22" s="641"/>
      <c r="AT22" s="448" t="str">
        <f>IF(CAPEX!A22&lt;&gt;"",CAPEX!A22,"")</f>
        <v>A</v>
      </c>
      <c r="AU22" s="1263">
        <f>IF(CAPEX!B22&lt;&gt;"",CAPEX!B22,"")</f>
        <v>209</v>
      </c>
      <c r="AV22" s="448" t="str">
        <f>IF(CAPEX!C22&lt;&gt;"",CAPEX!C22,"")</f>
        <v>Ammonia Addition Tank Agitator</v>
      </c>
      <c r="AW22" s="648" t="s">
        <v>989</v>
      </c>
      <c r="AX22" s="448" t="str">
        <f>IF(CAPEX!F22&lt;&gt;"",CAPEX!F22,"")</f>
        <v/>
      </c>
      <c r="AY22" s="1285" t="str">
        <f>IF(CAPEX!G22&lt;&gt;"",CAPEX!G22,"")</f>
        <v>10 hp</v>
      </c>
      <c r="AZ22" s="448" t="str">
        <f>IF(CAPEX!H22&lt;&gt;"",CAPEX!H22,"")</f>
        <v>SS</v>
      </c>
      <c r="BA22" s="1285">
        <f>IF(CAPEX!J22&lt;&gt;"",CAPEX!J22,"")</f>
        <v>1</v>
      </c>
      <c r="BB22" s="293">
        <f>CAPEX!K22</f>
        <v>21900</v>
      </c>
      <c r="BC22" s="1272">
        <f>IF(CAPEX!L22&lt;&gt;"",CAPEX!L22,"")</f>
        <v>2009</v>
      </c>
      <c r="BD22" s="899">
        <f>IF(CAPEX!M22&lt;&gt;"",CAPEX!M22,"")</f>
        <v>21900</v>
      </c>
      <c r="BE22" s="900" t="str">
        <f>IF(CAPEX!N22&lt;&gt;"",CAPEX!N22,"")</f>
        <v>strm.a200.228</v>
      </c>
      <c r="BF22" s="1294">
        <f>IF(CAPEX!O22&lt;&gt;"",CAPEX!O22,"")</f>
        <v>410369</v>
      </c>
      <c r="BG22" s="908" t="str">
        <f>IF(CAPEX!P22&lt;&gt;"",CAPEX!P22,"")</f>
        <v>kg/hr</v>
      </c>
      <c r="BH22" s="907">
        <f>IF(CAPEX!Q22&lt;&gt;"",CAPEX!Q22,"")</f>
        <v>0.5</v>
      </c>
      <c r="BI22" s="907">
        <f>IF(CAPEX!R22&lt;&gt;"",CAPEX!R22,"")</f>
        <v>1.5</v>
      </c>
      <c r="BJ22" s="436">
        <f t="shared" ca="1" si="5"/>
        <v>429389.386</v>
      </c>
      <c r="BK22" s="239">
        <f t="shared" ca="1" si="6"/>
        <v>1.0463494708420957</v>
      </c>
      <c r="BL22" s="238">
        <f t="shared" ca="1" si="7"/>
        <v>22401.778271168059</v>
      </c>
      <c r="BM22" s="238">
        <f t="shared" ca="1" si="8"/>
        <v>22552.010545452573</v>
      </c>
      <c r="BN22" s="238">
        <f t="shared" ca="1" si="9"/>
        <v>33828.015818178857</v>
      </c>
      <c r="BO22" s="608"/>
      <c r="BP22" s="437"/>
    </row>
    <row r="23" spans="1:68" ht="13.5" customHeight="1" thickBot="1" x14ac:dyDescent="0.3">
      <c r="A23" s="811"/>
      <c r="B23" s="811"/>
      <c r="C23" s="811"/>
      <c r="D23" s="811" t="s">
        <v>134</v>
      </c>
      <c r="E23" s="811"/>
      <c r="F23" s="823">
        <f ca="1">F37/(D7*1000000)*100</f>
        <v>1.0984466653926717</v>
      </c>
      <c r="G23" s="368"/>
      <c r="H23" s="641"/>
      <c r="I23" s="532" t="s">
        <v>254</v>
      </c>
      <c r="J23" s="439">
        <v>3</v>
      </c>
      <c r="K23" s="437"/>
      <c r="L23" s="437"/>
      <c r="M23" s="437"/>
      <c r="N23" s="437"/>
      <c r="O23" s="530" t="s">
        <v>406</v>
      </c>
      <c r="P23" s="437"/>
      <c r="Q23" s="61">
        <f ca="1">R23*$Q$18</f>
        <v>37335706.710772119</v>
      </c>
      <c r="R23" s="24">
        <f>DCFROR!I20</f>
        <v>0.2</v>
      </c>
      <c r="S23" s="530" t="s">
        <v>2229</v>
      </c>
      <c r="T23" s="437"/>
      <c r="U23" s="437"/>
      <c r="V23" s="437"/>
      <c r="W23" s="437"/>
      <c r="X23" s="437"/>
      <c r="Y23" s="437"/>
      <c r="Z23" s="437"/>
      <c r="AA23" s="437"/>
      <c r="AB23" s="437"/>
      <c r="AC23" s="437"/>
      <c r="AD23" s="437"/>
      <c r="AE23" s="437"/>
      <c r="AF23" s="437"/>
      <c r="AG23" s="437"/>
      <c r="AH23" s="437"/>
      <c r="AI23" s="437"/>
      <c r="AJ23" s="437"/>
      <c r="AK23" s="437"/>
      <c r="AL23" s="437"/>
      <c r="AM23" s="437"/>
      <c r="AN23" s="437"/>
      <c r="AO23" s="437"/>
      <c r="AP23" s="437"/>
      <c r="AQ23" s="437"/>
      <c r="AR23" s="437"/>
      <c r="AS23" s="641"/>
      <c r="AT23" s="448" t="str">
        <f>IF(CAPEX!A23&lt;&gt;"",CAPEX!A23,"")</f>
        <v>A</v>
      </c>
      <c r="AU23" s="1263">
        <f>IF(CAPEX!B23&lt;&gt;"",CAPEX!B23,"")</f>
        <v>210</v>
      </c>
      <c r="AV23" s="448" t="str">
        <f>IF(CAPEX!C23&lt;&gt;"",CAPEX!C23,"")</f>
        <v>Ammonia Static Mixer</v>
      </c>
      <c r="AW23" s="648" t="s">
        <v>1612</v>
      </c>
      <c r="AX23" s="448" t="str">
        <f>IF(CAPEX!F23&lt;&gt;"",CAPEX!F23,"")</f>
        <v/>
      </c>
      <c r="AY23" s="1285" t="str">
        <f>IF(CAPEX!G23&lt;&gt;"",CAPEX!G23,"")</f>
        <v/>
      </c>
      <c r="AZ23" s="448" t="str">
        <f>IF(CAPEX!H23&lt;&gt;"",CAPEX!H23,"")</f>
        <v>SS</v>
      </c>
      <c r="BA23" s="1285">
        <f>IF(CAPEX!J23&lt;&gt;"",CAPEX!J23,"")</f>
        <v>1</v>
      </c>
      <c r="BB23" s="293">
        <f>CAPEX!K23</f>
        <v>5000</v>
      </c>
      <c r="BC23" s="1272">
        <f>IF(CAPEX!L23&lt;&gt;"",CAPEX!L23,"")</f>
        <v>2009</v>
      </c>
      <c r="BD23" s="899">
        <f>IF(CAPEX!M23&lt;&gt;"",CAPEX!M23,"")</f>
        <v>5000</v>
      </c>
      <c r="BE23" s="900" t="str">
        <f>IF(CAPEX!N23&lt;&gt;"",CAPEX!N23,"")</f>
        <v>strm.a200.275</v>
      </c>
      <c r="BF23" s="1294">
        <f>IF(CAPEX!O23&lt;&gt;"",CAPEX!O23,"")</f>
        <v>157478</v>
      </c>
      <c r="BG23" s="908" t="str">
        <f>IF(CAPEX!P23&lt;&gt;"",CAPEX!P23,"")</f>
        <v>kg/hr</v>
      </c>
      <c r="BH23" s="907">
        <f>IF(CAPEX!Q23&lt;&gt;"",CAPEX!Q23,"")</f>
        <v>0.5</v>
      </c>
      <c r="BI23" s="907">
        <f>IF(CAPEX!R23&lt;&gt;"",CAPEX!R23,"")</f>
        <v>1</v>
      </c>
      <c r="BJ23" s="436">
        <f t="shared" ca="1" si="5"/>
        <v>151974.19</v>
      </c>
      <c r="BK23" s="239">
        <f t="shared" ca="1" si="6"/>
        <v>0.96505029273930332</v>
      </c>
      <c r="BL23" s="238">
        <f t="shared" ca="1" si="7"/>
        <v>4911.8486660810904</v>
      </c>
      <c r="BM23" s="238">
        <f t="shared" ca="1" si="8"/>
        <v>4944.7888276662288</v>
      </c>
      <c r="BN23" s="238">
        <f t="shared" ca="1" si="9"/>
        <v>4944.7888276662288</v>
      </c>
      <c r="BO23" s="608"/>
      <c r="BP23" s="437"/>
    </row>
    <row r="24" spans="1:68" ht="13.5" customHeight="1" thickBot="1" x14ac:dyDescent="0.3">
      <c r="A24" s="811" t="s">
        <v>237</v>
      </c>
      <c r="B24" s="822">
        <f ca="1">B27-B22</f>
        <v>143600000</v>
      </c>
      <c r="C24" s="811"/>
      <c r="D24" s="811" t="s">
        <v>214</v>
      </c>
      <c r="E24" s="811"/>
      <c r="F24" s="823" t="e">
        <f ca="1">D5*J79/J80*100</f>
        <v>#VALUE!</v>
      </c>
      <c r="G24" s="368"/>
      <c r="H24" s="641"/>
      <c r="I24" s="532" t="s">
        <v>255</v>
      </c>
      <c r="J24" s="102">
        <v>0.08</v>
      </c>
      <c r="K24" s="437"/>
      <c r="L24" s="437"/>
      <c r="M24" s="437"/>
      <c r="N24" s="437"/>
      <c r="O24" s="530" t="s">
        <v>407</v>
      </c>
      <c r="P24" s="437"/>
      <c r="Q24" s="61">
        <f ca="1">R24*$Q$18</f>
        <v>18667853.35538606</v>
      </c>
      <c r="R24" s="24">
        <f>DCFROR!I21</f>
        <v>0.1</v>
      </c>
      <c r="S24" s="530" t="s">
        <v>2229</v>
      </c>
      <c r="T24" s="437"/>
      <c r="U24" s="437"/>
      <c r="V24" s="437"/>
      <c r="W24" s="437"/>
      <c r="X24" s="437"/>
      <c r="Y24" s="437"/>
      <c r="Z24" s="437"/>
      <c r="AA24" s="437"/>
      <c r="AB24" s="437"/>
      <c r="AC24" s="437"/>
      <c r="AD24" s="437"/>
      <c r="AE24" s="437"/>
      <c r="AF24" s="437"/>
      <c r="AG24" s="437"/>
      <c r="AH24" s="437"/>
      <c r="AI24" s="437"/>
      <c r="AJ24" s="437"/>
      <c r="AK24" s="437"/>
      <c r="AL24" s="437"/>
      <c r="AM24" s="437"/>
      <c r="AN24" s="437"/>
      <c r="AO24" s="437"/>
      <c r="AP24" s="437"/>
      <c r="AQ24" s="437"/>
      <c r="AR24" s="437"/>
      <c r="AS24" s="641"/>
      <c r="AT24" s="448" t="str">
        <f>IF(CAPEX!A24&lt;&gt;"",CAPEX!A24,"")</f>
        <v>A</v>
      </c>
      <c r="AU24" s="1263">
        <f>IF(CAPEX!B24&lt;&gt;"",CAPEX!B24,"")</f>
        <v>224</v>
      </c>
      <c r="AV24" s="448" t="str">
        <f>IF(CAPEX!C24&lt;&gt;"",CAPEX!C24,"")</f>
        <v>Reacidification Tank Agitator</v>
      </c>
      <c r="AW24" s="648" t="s">
        <v>989</v>
      </c>
      <c r="AX24" s="448" t="str">
        <f>IF(CAPEX!F24&lt;&gt;"",CAPEX!F24,"")</f>
        <v/>
      </c>
      <c r="AY24" s="1285" t="str">
        <f>IF(CAPEX!G24&lt;&gt;"",CAPEX!G24,"")</f>
        <v>20 hp</v>
      </c>
      <c r="AZ24" s="448" t="str">
        <f>IF(CAPEX!H24&lt;&gt;"",CAPEX!H24,"")</f>
        <v>SS</v>
      </c>
      <c r="BA24" s="1285">
        <f>IF(CAPEX!J24&lt;&gt;"",CAPEX!J24,"")</f>
        <v>1</v>
      </c>
      <c r="BB24" s="293">
        <f>CAPEX!K24</f>
        <v>0</v>
      </c>
      <c r="BC24" s="1272">
        <f>IF(CAPEX!L24&lt;&gt;"",CAPEX!L24,"")</f>
        <v>2009</v>
      </c>
      <c r="BD24" s="899">
        <f>IF(CAPEX!M24&lt;&gt;"",CAPEX!M24,"")</f>
        <v>0</v>
      </c>
      <c r="BE24" s="900" t="str">
        <f>IF(CAPEX!N24&lt;&gt;"",CAPEX!N24,"")</f>
        <v>strm.a200.239</v>
      </c>
      <c r="BF24" s="1294">
        <f>IF(CAPEX!O24&lt;&gt;"",CAPEX!O24,"")</f>
        <v>410846</v>
      </c>
      <c r="BG24" s="908" t="str">
        <f>IF(CAPEX!P24&lt;&gt;"",CAPEX!P24,"")</f>
        <v>kg/hr</v>
      </c>
      <c r="BH24" s="907">
        <f>IF(CAPEX!Q24&lt;&gt;"",CAPEX!Q24,"")</f>
        <v>0.5</v>
      </c>
      <c r="BI24" s="907">
        <f>IF(CAPEX!R24&lt;&gt;"",CAPEX!R24,"")</f>
        <v>1.5</v>
      </c>
      <c r="BJ24" s="436">
        <f t="shared" ca="1" si="5"/>
        <v>429389.71100000001</v>
      </c>
      <c r="BK24" s="239">
        <f t="shared" ca="1" si="6"/>
        <v>1.0451354303072198</v>
      </c>
      <c r="BL24" s="238">
        <f t="shared" ca="1" si="7"/>
        <v>0</v>
      </c>
      <c r="BM24" s="238">
        <f t="shared" ca="1" si="8"/>
        <v>0</v>
      </c>
      <c r="BN24" s="238">
        <f t="shared" ca="1" si="9"/>
        <v>0</v>
      </c>
      <c r="BO24" s="608"/>
      <c r="BP24" s="437"/>
    </row>
    <row r="25" spans="1:68" ht="13.5" customHeight="1" thickBot="1" x14ac:dyDescent="0.3">
      <c r="A25" s="828" t="s">
        <v>27</v>
      </c>
      <c r="B25" s="829">
        <f ca="1">B24/B27</f>
        <v>0.45790816326530615</v>
      </c>
      <c r="C25" s="811"/>
      <c r="D25" s="811" t="s">
        <v>226</v>
      </c>
      <c r="E25" s="811"/>
      <c r="F25" s="823" t="e">
        <f ca="1">D5*100-SUM(F14:F24)</f>
        <v>#VALUE!</v>
      </c>
      <c r="G25" s="368"/>
      <c r="H25" s="641"/>
      <c r="I25" s="532" t="s">
        <v>256</v>
      </c>
      <c r="J25" s="102">
        <v>0.6</v>
      </c>
      <c r="K25" s="437"/>
      <c r="L25" s="437"/>
      <c r="M25" s="437"/>
      <c r="N25" s="437"/>
      <c r="O25" s="530" t="s">
        <v>2290</v>
      </c>
      <c r="P25" s="437"/>
      <c r="Q25" s="61">
        <f ca="1">R25*$Q$18</f>
        <v>18667853.35538606</v>
      </c>
      <c r="R25" s="24">
        <f>DCFROR!I22</f>
        <v>0.1</v>
      </c>
      <c r="S25" s="530" t="s">
        <v>2229</v>
      </c>
      <c r="T25" s="437"/>
      <c r="U25" s="437"/>
      <c r="V25" s="437"/>
      <c r="W25" s="437"/>
      <c r="X25" s="437"/>
      <c r="Y25" s="437"/>
      <c r="Z25" s="437"/>
      <c r="AA25" s="437"/>
      <c r="AB25" s="437"/>
      <c r="AC25" s="437"/>
      <c r="AD25" s="437"/>
      <c r="AE25" s="437"/>
      <c r="AF25" s="437"/>
      <c r="AG25" s="437"/>
      <c r="AH25" s="437"/>
      <c r="AI25" s="437"/>
      <c r="AJ25" s="437"/>
      <c r="AK25" s="437"/>
      <c r="AL25" s="437"/>
      <c r="AM25" s="437"/>
      <c r="AN25" s="437"/>
      <c r="AO25" s="437"/>
      <c r="AP25" s="437"/>
      <c r="AQ25" s="437"/>
      <c r="AR25" s="437"/>
      <c r="AS25" s="641"/>
      <c r="AT25" s="448" t="str">
        <f>IF(CAPEX!A25&lt;&gt;"",CAPEX!A25,"")</f>
        <v>C</v>
      </c>
      <c r="AU25" s="1263">
        <f>IF(CAPEX!B25&lt;&gt;"",CAPEX!B25,"")</f>
        <v>201</v>
      </c>
      <c r="AV25" s="448" t="str">
        <f>IF(CAPEX!C25&lt;&gt;"",CAPEX!C25,"")</f>
        <v>Transfer Conveyor</v>
      </c>
      <c r="AW25" s="648" t="s">
        <v>844</v>
      </c>
      <c r="AX25" s="448" t="str">
        <f>IF(CAPEX!F25&lt;&gt;"",CAPEX!F25,"")</f>
        <v>800 mm x 7600 mm (2'-8" x 25')</v>
      </c>
      <c r="AY25" s="1285" t="str">
        <f>IF(CAPEX!G25&lt;&gt;"",CAPEX!G25,"")</f>
        <v>40 kW ea.</v>
      </c>
      <c r="AZ25" s="448" t="str">
        <f>IF(CAPEX!H25&lt;&gt;"",CAPEX!H25,"")</f>
        <v>AL-6XN</v>
      </c>
      <c r="BA25" s="1285">
        <f>IF(CAPEX!J25&lt;&gt;"",CAPEX!J25,"")</f>
        <v>2</v>
      </c>
      <c r="BB25" s="293" t="str">
        <f>CAPEX!K25</f>
        <v>INCLUDED</v>
      </c>
      <c r="BC25" s="1273" t="str">
        <f>IF(CAPEX!L25&lt;&gt;"",CAPEX!L25,"")</f>
        <v/>
      </c>
      <c r="BD25" s="902" t="str">
        <f>IF(CAPEX!M25&lt;&gt;"",CAPEX!M25,"")</f>
        <v/>
      </c>
      <c r="BE25" s="902" t="str">
        <f>IF(CAPEX!N25&lt;&gt;"",CAPEX!N25,"")</f>
        <v/>
      </c>
      <c r="BF25" s="1291" t="str">
        <f>IF(CAPEX!O25&lt;&gt;"",CAPEX!O25,"")</f>
        <v/>
      </c>
      <c r="BG25" s="901" t="str">
        <f>IF(CAPEX!P25&lt;&gt;"",CAPEX!P25,"")</f>
        <v/>
      </c>
      <c r="BH25" s="903" t="str">
        <f>IF(CAPEX!Q25&lt;&gt;"",CAPEX!Q25,"")</f>
        <v/>
      </c>
      <c r="BI25" s="903" t="str">
        <f>IF(CAPEX!R25&lt;&gt;"",CAPEX!R25,"")</f>
        <v/>
      </c>
      <c r="BJ25" s="436"/>
      <c r="BK25" s="249"/>
      <c r="BL25" s="249"/>
      <c r="BM25" s="249"/>
      <c r="BN25" s="249"/>
      <c r="BO25" s="608"/>
      <c r="BP25" s="437"/>
    </row>
    <row r="26" spans="1:68" ht="13.5" customHeight="1" thickBot="1" x14ac:dyDescent="0.3">
      <c r="A26" s="811"/>
      <c r="B26" s="811"/>
      <c r="C26" s="811"/>
      <c r="D26" s="830"/>
      <c r="E26" s="830"/>
      <c r="F26" s="830"/>
      <c r="G26" s="667"/>
      <c r="H26" s="641"/>
      <c r="I26" s="532" t="s">
        <v>257</v>
      </c>
      <c r="J26" s="86">
        <f>1-SUM(J24:J25)</f>
        <v>0.32000000000000006</v>
      </c>
      <c r="K26" s="437"/>
      <c r="L26" s="437"/>
      <c r="M26" s="437"/>
      <c r="N26" s="437"/>
      <c r="O26" s="890" t="s">
        <v>2226</v>
      </c>
      <c r="P26" s="437"/>
      <c r="Q26" s="299">
        <f ca="1">SUM(Q18:Q25)</f>
        <v>298685653.68617696</v>
      </c>
      <c r="R26" s="24"/>
      <c r="S26" s="530"/>
      <c r="T26" s="437"/>
      <c r="U26" s="437"/>
      <c r="V26" s="437"/>
      <c r="W26" s="437"/>
      <c r="X26" s="437"/>
      <c r="Y26" s="437"/>
      <c r="Z26" s="437"/>
      <c r="AA26" s="437"/>
      <c r="AB26" s="437"/>
      <c r="AC26" s="437"/>
      <c r="AD26" s="437"/>
      <c r="AE26" s="437"/>
      <c r="AF26" s="437"/>
      <c r="AG26" s="437"/>
      <c r="AH26" s="437"/>
      <c r="AI26" s="437"/>
      <c r="AJ26" s="437"/>
      <c r="AK26" s="437"/>
      <c r="AL26" s="437"/>
      <c r="AM26" s="437"/>
      <c r="AN26" s="437"/>
      <c r="AO26" s="437"/>
      <c r="AP26" s="437"/>
      <c r="AQ26" s="437"/>
      <c r="AR26" s="437"/>
      <c r="AS26" s="641"/>
      <c r="AT26" s="448" t="str">
        <f>IF(CAPEX!A26&lt;&gt;"",CAPEX!A26,"")</f>
        <v>C</v>
      </c>
      <c r="AU26" s="1263">
        <f>IF(CAPEX!B26&lt;&gt;"",CAPEX!B26,"")</f>
        <v>202</v>
      </c>
      <c r="AV26" s="448" t="str">
        <f>IF(CAPEX!C26&lt;&gt;"",CAPEX!C26,"")</f>
        <v>Distribution Conveyor</v>
      </c>
      <c r="AW26" s="648" t="s">
        <v>844</v>
      </c>
      <c r="AX26" s="448" t="str">
        <f>IF(CAPEX!F26&lt;&gt;"",CAPEX!F26,"")</f>
        <v>800 mm x 7600 mm (2'-8" x 25')</v>
      </c>
      <c r="AY26" s="1285" t="str">
        <f>IF(CAPEX!G26&lt;&gt;"",CAPEX!G26,"")</f>
        <v>40 kW ea.</v>
      </c>
      <c r="AZ26" s="448" t="str">
        <f>IF(CAPEX!H26&lt;&gt;"",CAPEX!H26,"")</f>
        <v>AL-6XN</v>
      </c>
      <c r="BA26" s="1285">
        <f>IF(CAPEX!J26&lt;&gt;"",CAPEX!J26,"")</f>
        <v>2</v>
      </c>
      <c r="BB26" s="293" t="str">
        <f>CAPEX!K26</f>
        <v>INCLUDED</v>
      </c>
      <c r="BC26" s="1273" t="str">
        <f>IF(CAPEX!L26&lt;&gt;"",CAPEX!L26,"")</f>
        <v/>
      </c>
      <c r="BD26" s="902" t="str">
        <f>IF(CAPEX!M26&lt;&gt;"",CAPEX!M26,"")</f>
        <v/>
      </c>
      <c r="BE26" s="902" t="str">
        <f>IF(CAPEX!N26&lt;&gt;"",CAPEX!N26,"")</f>
        <v/>
      </c>
      <c r="BF26" s="1291" t="str">
        <f>IF(CAPEX!O26&lt;&gt;"",CAPEX!O26,"")</f>
        <v/>
      </c>
      <c r="BG26" s="901" t="str">
        <f>IF(CAPEX!P26&lt;&gt;"",CAPEX!P26,"")</f>
        <v/>
      </c>
      <c r="BH26" s="903" t="str">
        <f>IF(CAPEX!Q26&lt;&gt;"",CAPEX!Q26,"")</f>
        <v/>
      </c>
      <c r="BI26" s="903" t="str">
        <f>IF(CAPEX!R26&lt;&gt;"",CAPEX!R26,"")</f>
        <v/>
      </c>
      <c r="BJ26" s="436"/>
      <c r="BK26" s="249"/>
      <c r="BL26" s="249"/>
      <c r="BM26" s="249"/>
      <c r="BN26" s="249"/>
      <c r="BO26" s="608"/>
      <c r="BP26" s="437"/>
    </row>
    <row r="27" spans="1:68" ht="13.5" customHeight="1" thickBot="1" x14ac:dyDescent="0.3">
      <c r="A27" s="811" t="s">
        <v>239</v>
      </c>
      <c r="B27" s="822">
        <f ca="1">ROUND(Q28,-5)</f>
        <v>313600000</v>
      </c>
      <c r="C27" s="811"/>
      <c r="D27" s="821" t="s">
        <v>2294</v>
      </c>
      <c r="E27" s="821"/>
      <c r="F27" s="821"/>
      <c r="G27" s="668"/>
      <c r="H27" s="641"/>
      <c r="I27" s="531" t="s">
        <v>22</v>
      </c>
      <c r="J27" s="439">
        <v>0.25</v>
      </c>
      <c r="K27" s="437"/>
      <c r="L27" s="437"/>
      <c r="M27" s="437"/>
      <c r="N27" s="437"/>
      <c r="O27" s="530" t="s">
        <v>2291</v>
      </c>
      <c r="P27" s="437"/>
      <c r="Q27" s="61">
        <f ca="1">R27*Q26</f>
        <v>14934282.684308849</v>
      </c>
      <c r="R27" s="24">
        <f>DCFROR!I26</f>
        <v>0.05</v>
      </c>
      <c r="S27" s="530" t="s">
        <v>2240</v>
      </c>
      <c r="T27" s="437"/>
      <c r="U27" s="437"/>
      <c r="V27" s="437"/>
      <c r="W27" s="437"/>
      <c r="X27" s="437"/>
      <c r="Y27" s="437"/>
      <c r="Z27" s="437"/>
      <c r="AA27" s="437"/>
      <c r="AB27" s="437"/>
      <c r="AC27" s="437"/>
      <c r="AD27" s="437"/>
      <c r="AE27" s="437"/>
      <c r="AF27" s="437"/>
      <c r="AG27" s="437"/>
      <c r="AH27" s="437"/>
      <c r="AI27" s="437"/>
      <c r="AJ27" s="437"/>
      <c r="AK27" s="437"/>
      <c r="AL27" s="437"/>
      <c r="AM27" s="437"/>
      <c r="AN27" s="437"/>
      <c r="AO27" s="437"/>
      <c r="AP27" s="437"/>
      <c r="AQ27" s="437"/>
      <c r="AR27" s="437"/>
      <c r="AS27" s="641"/>
      <c r="AT27" s="448" t="str">
        <f>IF(CAPEX!A27&lt;&gt;"",CAPEX!A27,"")</f>
        <v>C</v>
      </c>
      <c r="AU27" s="1263">
        <f>IF(CAPEX!B27&lt;&gt;"",CAPEX!B27,"")</f>
        <v>203</v>
      </c>
      <c r="AV27" s="448" t="str">
        <f>IF(CAPEX!C27&lt;&gt;"",CAPEX!C27,"")</f>
        <v>Overfeed Conveyor</v>
      </c>
      <c r="AW27" s="648" t="s">
        <v>844</v>
      </c>
      <c r="AX27" s="448" t="str">
        <f>IF(CAPEX!F27&lt;&gt;"",CAPEX!F27,"")</f>
        <v>800 mm x 7600 mm (2'-8" x 25')</v>
      </c>
      <c r="AY27" s="1285" t="str">
        <f>IF(CAPEX!G27&lt;&gt;"",CAPEX!G27,"")</f>
        <v>40 kW ea.</v>
      </c>
      <c r="AZ27" s="448" t="str">
        <f>IF(CAPEX!H27&lt;&gt;"",CAPEX!H27,"")</f>
        <v>AL-6XN</v>
      </c>
      <c r="BA27" s="1285">
        <f>IF(CAPEX!J27&lt;&gt;"",CAPEX!J27,"")</f>
        <v>4</v>
      </c>
      <c r="BB27" s="293" t="str">
        <f>CAPEX!K27</f>
        <v>INCLUDED</v>
      </c>
      <c r="BC27" s="1273" t="str">
        <f>IF(CAPEX!L27&lt;&gt;"",CAPEX!L27,"")</f>
        <v/>
      </c>
      <c r="BD27" s="902" t="str">
        <f>IF(CAPEX!M27&lt;&gt;"",CAPEX!M27,"")</f>
        <v/>
      </c>
      <c r="BE27" s="902" t="str">
        <f>IF(CAPEX!N27&lt;&gt;"",CAPEX!N27,"")</f>
        <v/>
      </c>
      <c r="BF27" s="1291" t="str">
        <f>IF(CAPEX!O27&lt;&gt;"",CAPEX!O27,"")</f>
        <v/>
      </c>
      <c r="BG27" s="901" t="str">
        <f>IF(CAPEX!P27&lt;&gt;"",CAPEX!P27,"")</f>
        <v/>
      </c>
      <c r="BH27" s="903" t="str">
        <f>IF(CAPEX!Q27&lt;&gt;"",CAPEX!Q27,"")</f>
        <v/>
      </c>
      <c r="BI27" s="903" t="str">
        <f>IF(CAPEX!R27&lt;&gt;"",CAPEX!R27,"")</f>
        <v/>
      </c>
      <c r="BJ27" s="436"/>
      <c r="BK27" s="249"/>
      <c r="BL27" s="249"/>
      <c r="BM27" s="249"/>
      <c r="BN27" s="249"/>
      <c r="BO27" s="608"/>
      <c r="BP27" s="437"/>
    </row>
    <row r="28" spans="1:68" ht="13.5" customHeight="1" thickBot="1" x14ac:dyDescent="0.3">
      <c r="A28" s="811"/>
      <c r="B28" s="811"/>
      <c r="C28" s="811"/>
      <c r="D28" s="811" t="s">
        <v>2182</v>
      </c>
      <c r="E28" s="811"/>
      <c r="F28" s="831">
        <f ca="1">ROUND(S99*1000000,-5)</f>
        <v>45200000</v>
      </c>
      <c r="G28" s="374"/>
      <c r="H28" s="641"/>
      <c r="I28" s="532" t="s">
        <v>24</v>
      </c>
      <c r="J28" s="103">
        <v>0.5</v>
      </c>
      <c r="K28" s="437"/>
      <c r="L28" s="437"/>
      <c r="M28" s="437"/>
      <c r="N28" s="437"/>
      <c r="O28" s="535" t="s">
        <v>408</v>
      </c>
      <c r="P28" s="437"/>
      <c r="Q28" s="299">
        <f ca="1">(Q26+Q27)</f>
        <v>313619936.37048578</v>
      </c>
      <c r="R28" s="24"/>
      <c r="S28" s="530"/>
      <c r="T28" s="437"/>
      <c r="U28" s="437"/>
      <c r="V28" s="437"/>
      <c r="W28" s="437"/>
      <c r="X28" s="437"/>
      <c r="Y28" s="437"/>
      <c r="Z28" s="437"/>
      <c r="AA28" s="437"/>
      <c r="AB28" s="437"/>
      <c r="AC28" s="437"/>
      <c r="AD28" s="437"/>
      <c r="AE28" s="437"/>
      <c r="AF28" s="437"/>
      <c r="AG28" s="437"/>
      <c r="AH28" s="437"/>
      <c r="AI28" s="437"/>
      <c r="AJ28" s="437"/>
      <c r="AK28" s="437"/>
      <c r="AL28" s="437"/>
      <c r="AM28" s="437"/>
      <c r="AN28" s="437"/>
      <c r="AO28" s="437"/>
      <c r="AP28" s="437"/>
      <c r="AQ28" s="437"/>
      <c r="AR28" s="437"/>
      <c r="AS28" s="641"/>
      <c r="AT28" s="448" t="str">
        <f>IF(CAPEX!A28&lt;&gt;"",CAPEX!A28,"")</f>
        <v>C</v>
      </c>
      <c r="AU28" s="1263">
        <f>IF(CAPEX!B28&lt;&gt;"",CAPEX!B28,"")</f>
        <v>204</v>
      </c>
      <c r="AV28" s="448" t="str">
        <f>IF(CAPEX!C28&lt;&gt;"",CAPEX!C28,"")</f>
        <v>Pressurized Heating Screw</v>
      </c>
      <c r="AW28" s="648" t="s">
        <v>844</v>
      </c>
      <c r="AX28" s="448" t="str">
        <f>IF(CAPEX!F28&lt;&gt;"",CAPEX!F28,"")</f>
        <v>2500 mm x 9500 mm (8' x 31')</v>
      </c>
      <c r="AY28" s="1285" t="str">
        <f>IF(CAPEX!G28&lt;&gt;"",CAPEX!G28,"")</f>
        <v>75 kW</v>
      </c>
      <c r="AZ28" s="448" t="str">
        <f>IF(CAPEX!H28&lt;&gt;"",CAPEX!H28,"")</f>
        <v>Dup. 2205</v>
      </c>
      <c r="BA28" s="1285">
        <f>IF(CAPEX!J28&lt;&gt;"",CAPEX!J28,"")</f>
        <v>1</v>
      </c>
      <c r="BB28" s="293" t="str">
        <f>CAPEX!K28</f>
        <v>INCLUDED</v>
      </c>
      <c r="BC28" s="1273" t="str">
        <f>IF(CAPEX!L28&lt;&gt;"",CAPEX!L28,"")</f>
        <v/>
      </c>
      <c r="BD28" s="902" t="str">
        <f>IF(CAPEX!M28&lt;&gt;"",CAPEX!M28,"")</f>
        <v/>
      </c>
      <c r="BE28" s="902" t="str">
        <f>IF(CAPEX!N28&lt;&gt;"",CAPEX!N28,"")</f>
        <v/>
      </c>
      <c r="BF28" s="1291" t="str">
        <f>IF(CAPEX!O28&lt;&gt;"",CAPEX!O28,"")</f>
        <v/>
      </c>
      <c r="BG28" s="901" t="str">
        <f>IF(CAPEX!P28&lt;&gt;"",CAPEX!P28,"")</f>
        <v/>
      </c>
      <c r="BH28" s="903" t="str">
        <f>IF(CAPEX!Q28&lt;&gt;"",CAPEX!Q28,"")</f>
        <v/>
      </c>
      <c r="BI28" s="903" t="str">
        <f>IF(CAPEX!R28&lt;&gt;"",CAPEX!R28,"")</f>
        <v/>
      </c>
      <c r="BJ28" s="436"/>
      <c r="BK28" s="249"/>
      <c r="BL28" s="249"/>
      <c r="BM28" s="249"/>
      <c r="BN28" s="249"/>
      <c r="BO28" s="608"/>
      <c r="BP28" s="437"/>
    </row>
    <row r="29" spans="1:68" ht="13.5" customHeight="1" thickBot="1" x14ac:dyDescent="0.3">
      <c r="A29" s="824" t="s">
        <v>1840</v>
      </c>
      <c r="B29" s="832">
        <f ca="1">B22/(D7*1000000)</f>
        <v>0.18673593311675418</v>
      </c>
      <c r="C29" s="811"/>
      <c r="D29" s="811" t="s">
        <v>284</v>
      </c>
      <c r="E29" s="830"/>
      <c r="F29" s="831">
        <f ca="1">ROUND(S100*1000000,-5)</f>
        <v>1500000</v>
      </c>
      <c r="G29" s="374"/>
      <c r="H29" s="641"/>
      <c r="I29" s="532" t="s">
        <v>23</v>
      </c>
      <c r="J29" s="103">
        <v>0.75</v>
      </c>
      <c r="K29" s="437"/>
      <c r="L29" s="437"/>
      <c r="M29" s="437"/>
      <c r="N29" s="437"/>
      <c r="O29" s="530"/>
      <c r="P29" s="437"/>
      <c r="Q29" s="61"/>
      <c r="R29" s="24"/>
      <c r="S29" s="530"/>
      <c r="T29" s="437"/>
      <c r="U29" s="437"/>
      <c r="V29" s="437"/>
      <c r="W29" s="437"/>
      <c r="X29" s="437"/>
      <c r="Y29" s="437"/>
      <c r="Z29" s="437"/>
      <c r="AA29" s="437"/>
      <c r="AB29" s="437"/>
      <c r="AC29" s="437"/>
      <c r="AD29" s="437"/>
      <c r="AE29" s="437"/>
      <c r="AF29" s="437"/>
      <c r="AG29" s="437"/>
      <c r="AH29" s="437"/>
      <c r="AI29" s="437"/>
      <c r="AJ29" s="437"/>
      <c r="AK29" s="437"/>
      <c r="AL29" s="437"/>
      <c r="AM29" s="437"/>
      <c r="AN29" s="437"/>
      <c r="AO29" s="437"/>
      <c r="AP29" s="437"/>
      <c r="AQ29" s="437"/>
      <c r="AR29" s="437"/>
      <c r="AS29" s="641"/>
      <c r="AT29" s="448" t="str">
        <f>IF(CAPEX!A29&lt;&gt;"",CAPEX!A29,"")</f>
        <v>C</v>
      </c>
      <c r="AU29" s="1263">
        <f>IF(CAPEX!B29&lt;&gt;"",CAPEX!B29,"")</f>
        <v>205</v>
      </c>
      <c r="AV29" s="448" t="str">
        <f>IF(CAPEX!C29&lt;&gt;"",CAPEX!C29,"")</f>
        <v>Pressurized Pre-heater Discharge</v>
      </c>
      <c r="AW29" s="648" t="s">
        <v>844</v>
      </c>
      <c r="AX29" s="448" t="str">
        <f>IF(CAPEX!F29&lt;&gt;"",CAPEX!F29,"")</f>
        <v>850 mm x 3500 mm (2'-10" x 12')</v>
      </c>
      <c r="AY29" s="1285" t="str">
        <f>IF(CAPEX!G29&lt;&gt;"",CAPEX!G29,"")</f>
        <v>40 kW ea.</v>
      </c>
      <c r="AZ29" s="448" t="str">
        <f>IF(CAPEX!H29&lt;&gt;"",CAPEX!H29,"")</f>
        <v>Dup. 2205</v>
      </c>
      <c r="BA29" s="1285">
        <f>IF(CAPEX!J29&lt;&gt;"",CAPEX!J29,"")</f>
        <v>2</v>
      </c>
      <c r="BB29" s="293" t="str">
        <f>CAPEX!K29</f>
        <v>INCLUDED</v>
      </c>
      <c r="BC29" s="1273" t="str">
        <f>IF(CAPEX!L29&lt;&gt;"",CAPEX!L29,"")</f>
        <v/>
      </c>
      <c r="BD29" s="902" t="str">
        <f>IF(CAPEX!M29&lt;&gt;"",CAPEX!M29,"")</f>
        <v/>
      </c>
      <c r="BE29" s="902" t="str">
        <f>IF(CAPEX!N29&lt;&gt;"",CAPEX!N29,"")</f>
        <v/>
      </c>
      <c r="BF29" s="1291" t="str">
        <f>IF(CAPEX!O29&lt;&gt;"",CAPEX!O29,"")</f>
        <v/>
      </c>
      <c r="BG29" s="901" t="str">
        <f>IF(CAPEX!P29&lt;&gt;"",CAPEX!P29,"")</f>
        <v/>
      </c>
      <c r="BH29" s="903" t="str">
        <f>IF(CAPEX!Q29&lt;&gt;"",CAPEX!Q29,"")</f>
        <v/>
      </c>
      <c r="BI29" s="903" t="str">
        <f>IF(CAPEX!R29&lt;&gt;"",CAPEX!R29,"")</f>
        <v/>
      </c>
      <c r="BJ29" s="436"/>
      <c r="BK29" s="249"/>
      <c r="BL29" s="249"/>
      <c r="BM29" s="249"/>
      <c r="BN29" s="249"/>
      <c r="BO29" s="608"/>
      <c r="BP29" s="437"/>
    </row>
    <row r="30" spans="1:68" ht="13.5" customHeight="1" thickBot="1" x14ac:dyDescent="0.3">
      <c r="A30" s="824" t="s">
        <v>1841</v>
      </c>
      <c r="B30" s="832">
        <f ca="1">B27/(D7*1000000)</f>
        <v>0.34447287426714185</v>
      </c>
      <c r="C30" s="830"/>
      <c r="D30" s="811" t="s">
        <v>431</v>
      </c>
      <c r="E30" s="811"/>
      <c r="F30" s="831">
        <f ca="1">ROUND((S105+S101)*1000000,-5)</f>
        <v>4400000</v>
      </c>
      <c r="G30" s="374"/>
      <c r="H30" s="641"/>
      <c r="I30" s="532" t="s">
        <v>25</v>
      </c>
      <c r="J30" s="103">
        <v>1</v>
      </c>
      <c r="K30" s="437"/>
      <c r="L30" s="437"/>
      <c r="M30" s="437"/>
      <c r="N30" s="437"/>
      <c r="R30" s="24"/>
      <c r="S30" s="530"/>
      <c r="T30" s="437"/>
      <c r="U30" s="437"/>
      <c r="V30" s="437"/>
      <c r="W30" s="437"/>
      <c r="X30" s="437"/>
      <c r="Y30" s="437"/>
      <c r="Z30" s="437"/>
      <c r="AA30" s="437"/>
      <c r="AB30" s="437"/>
      <c r="AC30" s="437"/>
      <c r="AD30" s="437"/>
      <c r="AE30" s="437"/>
      <c r="AF30" s="437"/>
      <c r="AG30" s="437"/>
      <c r="AH30" s="437"/>
      <c r="AI30" s="437"/>
      <c r="AJ30" s="437"/>
      <c r="AK30" s="437"/>
      <c r="AL30" s="437"/>
      <c r="AM30" s="437"/>
      <c r="AN30" s="437"/>
      <c r="AO30" s="437"/>
      <c r="AP30" s="437"/>
      <c r="AQ30" s="437"/>
      <c r="AR30" s="437"/>
      <c r="AS30" s="641"/>
      <c r="AT30" s="448" t="str">
        <f>IF(CAPEX!A30&lt;&gt;"",CAPEX!A30,"")</f>
        <v>C</v>
      </c>
      <c r="AU30" s="1263">
        <f>IF(CAPEX!B30&lt;&gt;"",CAPEX!B30,"")</f>
        <v>206</v>
      </c>
      <c r="AV30" s="448" t="str">
        <f>IF(CAPEX!C30&lt;&gt;"",CAPEX!C30,"")</f>
        <v>Pressurized Transport - No. 1</v>
      </c>
      <c r="AW30" s="648" t="s">
        <v>844</v>
      </c>
      <c r="AX30" s="448" t="str">
        <f>IF(CAPEX!F30&lt;&gt;"",CAPEX!F30,"")</f>
        <v>900 mm x 3500 mm (3' x 12')</v>
      </c>
      <c r="AY30" s="1285" t="str">
        <f>IF(CAPEX!G30&lt;&gt;"",CAPEX!G30,"")</f>
        <v>20 kW</v>
      </c>
      <c r="AZ30" s="448" t="str">
        <f>IF(CAPEX!H30&lt;&gt;"",CAPEX!H30,"")</f>
        <v>Incoloy 825-CLAD; CS</v>
      </c>
      <c r="BA30" s="1285">
        <f>IF(CAPEX!J30&lt;&gt;"",CAPEX!J30,"")</f>
        <v>1</v>
      </c>
      <c r="BB30" s="293" t="str">
        <f>CAPEX!K30</f>
        <v>INCLUDED</v>
      </c>
      <c r="BC30" s="1273" t="str">
        <f>IF(CAPEX!L30&lt;&gt;"",CAPEX!L30,"")</f>
        <v/>
      </c>
      <c r="BD30" s="902" t="str">
        <f>IF(CAPEX!M30&lt;&gt;"",CAPEX!M30,"")</f>
        <v/>
      </c>
      <c r="BE30" s="902" t="str">
        <f>IF(CAPEX!N30&lt;&gt;"",CAPEX!N30,"")</f>
        <v/>
      </c>
      <c r="BF30" s="1291" t="str">
        <f>IF(CAPEX!O30&lt;&gt;"",CAPEX!O30,"")</f>
        <v/>
      </c>
      <c r="BG30" s="901" t="str">
        <f>IF(CAPEX!P30&lt;&gt;"",CAPEX!P30,"")</f>
        <v/>
      </c>
      <c r="BH30" s="903" t="str">
        <f>IF(CAPEX!Q30&lt;&gt;"",CAPEX!Q30,"")</f>
        <v/>
      </c>
      <c r="BI30" s="903" t="str">
        <f>IF(CAPEX!R30&lt;&gt;"",CAPEX!R30,"")</f>
        <v/>
      </c>
      <c r="BJ30" s="436"/>
      <c r="BK30" s="249"/>
      <c r="BL30" s="249"/>
      <c r="BM30" s="249"/>
      <c r="BN30" s="249"/>
      <c r="BO30" s="608"/>
      <c r="BP30" s="437"/>
    </row>
    <row r="31" spans="1:68" ht="13.5" customHeight="1" thickBot="1" x14ac:dyDescent="0.3">
      <c r="A31" s="830"/>
      <c r="B31" s="830"/>
      <c r="C31" s="830"/>
      <c r="D31" s="811" t="s">
        <v>1839</v>
      </c>
      <c r="E31" s="830"/>
      <c r="F31" s="831">
        <f ca="1">ROUND(S103*1000000,-5)</f>
        <v>11800000</v>
      </c>
      <c r="G31" s="374"/>
      <c r="H31" s="641"/>
      <c r="I31" s="437" t="s">
        <v>1842</v>
      </c>
      <c r="J31" s="102">
        <v>0.1</v>
      </c>
      <c r="K31" s="437" t="s">
        <v>251</v>
      </c>
      <c r="L31" s="437"/>
      <c r="M31" s="437"/>
      <c r="N31" s="437"/>
      <c r="O31" s="530"/>
      <c r="P31" s="437"/>
      <c r="Q31" s="61"/>
      <c r="R31" s="24"/>
      <c r="S31" s="530"/>
      <c r="T31" s="437"/>
      <c r="U31" s="437"/>
      <c r="V31" s="437"/>
      <c r="W31" s="437"/>
      <c r="X31" s="437"/>
      <c r="Y31" s="437"/>
      <c r="Z31" s="437"/>
      <c r="AA31" s="437"/>
      <c r="AB31" s="437"/>
      <c r="AC31" s="437"/>
      <c r="AD31" s="437"/>
      <c r="AE31" s="437"/>
      <c r="AF31" s="437"/>
      <c r="AG31" s="437"/>
      <c r="AH31" s="437"/>
      <c r="AI31" s="437"/>
      <c r="AJ31" s="437"/>
      <c r="AK31" s="437"/>
      <c r="AL31" s="437"/>
      <c r="AM31" s="437"/>
      <c r="AN31" s="437"/>
      <c r="AO31" s="437"/>
      <c r="AP31" s="437"/>
      <c r="AQ31" s="437"/>
      <c r="AR31" s="437"/>
      <c r="AS31" s="641"/>
      <c r="AT31" s="448" t="str">
        <f>IF(CAPEX!A31&lt;&gt;"",CAPEX!A31,"")</f>
        <v>C</v>
      </c>
      <c r="AU31" s="1263">
        <f>IF(CAPEX!B31&lt;&gt;"",CAPEX!B31,"")</f>
        <v>207</v>
      </c>
      <c r="AV31" s="448" t="str">
        <f>IF(CAPEX!C31&lt;&gt;"",CAPEX!C31,"")</f>
        <v>Pressurized Transport - No. 2</v>
      </c>
      <c r="AW31" s="648" t="s">
        <v>844</v>
      </c>
      <c r="AX31" s="448" t="str">
        <f>IF(CAPEX!F31&lt;&gt;"",CAPEX!F31,"")</f>
        <v>1200 mm x 3500 mm (4' x 12')</v>
      </c>
      <c r="AY31" s="1285" t="str">
        <f>IF(CAPEX!G31&lt;&gt;"",CAPEX!G31,"")</f>
        <v>40 kW</v>
      </c>
      <c r="AZ31" s="448" t="str">
        <f>IF(CAPEX!H31&lt;&gt;"",CAPEX!H31,"")</f>
        <v>Incoloy 825-CLAD; CS</v>
      </c>
      <c r="BA31" s="1285">
        <f>IF(CAPEX!J31&lt;&gt;"",CAPEX!J31,"")</f>
        <v>1</v>
      </c>
      <c r="BB31" s="293" t="str">
        <f>CAPEX!K31</f>
        <v>INCLUDED</v>
      </c>
      <c r="BC31" s="1273" t="str">
        <f>IF(CAPEX!L31&lt;&gt;"",CAPEX!L31,"")</f>
        <v/>
      </c>
      <c r="BD31" s="902" t="str">
        <f>IF(CAPEX!M31&lt;&gt;"",CAPEX!M31,"")</f>
        <v/>
      </c>
      <c r="BE31" s="902" t="str">
        <f>IF(CAPEX!N31&lt;&gt;"",CAPEX!N31,"")</f>
        <v/>
      </c>
      <c r="BF31" s="1291" t="str">
        <f>IF(CAPEX!O31&lt;&gt;"",CAPEX!O31,"")</f>
        <v/>
      </c>
      <c r="BG31" s="901" t="str">
        <f>IF(CAPEX!P31&lt;&gt;"",CAPEX!P31,"")</f>
        <v/>
      </c>
      <c r="BH31" s="903" t="str">
        <f>IF(CAPEX!Q31&lt;&gt;"",CAPEX!Q31,"")</f>
        <v/>
      </c>
      <c r="BI31" s="903" t="str">
        <f>IF(CAPEX!R31&lt;&gt;"",CAPEX!R31,"")</f>
        <v/>
      </c>
      <c r="BJ31" s="436"/>
      <c r="BK31" s="249"/>
      <c r="BL31" s="249"/>
      <c r="BM31" s="249"/>
      <c r="BN31" s="249"/>
      <c r="BO31" s="608"/>
      <c r="BP31" s="437"/>
    </row>
    <row r="32" spans="1:68" ht="13.5" customHeight="1" thickBot="1" x14ac:dyDescent="0.3">
      <c r="A32" s="811" t="s">
        <v>132</v>
      </c>
      <c r="B32" s="833">
        <f>IF(D11&lt;0.999,J6,"N/A")</f>
        <v>0.08</v>
      </c>
      <c r="C32" s="830"/>
      <c r="D32" s="811" t="s">
        <v>238</v>
      </c>
      <c r="E32" s="811"/>
      <c r="F32" s="831">
        <f ca="1">ROUND((S106+S107+S108+S109+S110+S104)*1000000,-5)</f>
        <v>1000000</v>
      </c>
      <c r="G32" s="374"/>
      <c r="H32" s="641"/>
      <c r="I32" s="437" t="s">
        <v>258</v>
      </c>
      <c r="J32" s="102">
        <v>0.35</v>
      </c>
      <c r="K32" s="437" t="s">
        <v>251</v>
      </c>
      <c r="L32" s="437"/>
      <c r="M32" s="437"/>
      <c r="N32" s="437"/>
      <c r="O32" s="530"/>
      <c r="P32" s="437"/>
      <c r="Q32" s="61"/>
      <c r="R32" s="24"/>
      <c r="S32" s="530"/>
      <c r="T32" s="437"/>
      <c r="U32" s="437"/>
      <c r="V32" s="437"/>
      <c r="W32" s="437"/>
      <c r="X32" s="437"/>
      <c r="Y32" s="437"/>
      <c r="Z32" s="437"/>
      <c r="AA32" s="437"/>
      <c r="AB32" s="437"/>
      <c r="AC32" s="437"/>
      <c r="AD32" s="437"/>
      <c r="AE32" s="437"/>
      <c r="AF32" s="437"/>
      <c r="AG32" s="437"/>
      <c r="AH32" s="437"/>
      <c r="AI32" s="437"/>
      <c r="AJ32" s="437"/>
      <c r="AK32" s="437"/>
      <c r="AL32" s="437"/>
      <c r="AM32" s="437"/>
      <c r="AN32" s="437"/>
      <c r="AO32" s="437"/>
      <c r="AP32" s="437"/>
      <c r="AQ32" s="437"/>
      <c r="AR32" s="437"/>
      <c r="AS32" s="641"/>
      <c r="AT32" s="448" t="str">
        <f>IF(CAPEX!A32&lt;&gt;"",CAPEX!A32,"")</f>
        <v>H</v>
      </c>
      <c r="AU32" s="1263">
        <f>IF(CAPEX!B32&lt;&gt;"",CAPEX!B32,"")</f>
        <v>201</v>
      </c>
      <c r="AV32" s="448" t="str">
        <f>IF(CAPEX!C32&lt;&gt;"",CAPEX!C32,"")</f>
        <v>Pretreatment Water Heater</v>
      </c>
      <c r="AW32" s="648" t="s">
        <v>891</v>
      </c>
      <c r="AX32" s="448" t="str">
        <f>IF(CAPEX!F32&lt;&gt;"",CAPEX!F32,"")</f>
        <v>29.9 MMBtu</v>
      </c>
      <c r="AY32" s="1285" t="str">
        <f>IF(CAPEX!G32&lt;&gt;"",CAPEX!G32,"")</f>
        <v/>
      </c>
      <c r="AZ32" s="448" t="str">
        <f>IF(CAPEX!H32&lt;&gt;"",CAPEX!H32,"")</f>
        <v>304SS</v>
      </c>
      <c r="BA32" s="1285">
        <f>IF(CAPEX!J32&lt;&gt;"",CAPEX!J32,"")</f>
        <v>1</v>
      </c>
      <c r="BB32" s="293">
        <f>CAPEX!K32</f>
        <v>92000</v>
      </c>
      <c r="BC32" s="1272">
        <f>IF(CAPEX!L32&lt;&gt;"",CAPEX!L32,"")</f>
        <v>2010</v>
      </c>
      <c r="BD32" s="905">
        <f>IF(CAPEX!M32&lt;&gt;"",CAPEX!M32,"")</f>
        <v>92000</v>
      </c>
      <c r="BE32" s="905" t="str">
        <f>IF(CAPEX!N32&lt;&gt;"",CAPEX!N32,"")</f>
        <v>Heat.A200.QH201</v>
      </c>
      <c r="BF32" s="1295">
        <f>IF(CAPEX!O32&lt;&gt;"",CAPEX!O32,"")</f>
        <v>-7.5</v>
      </c>
      <c r="BG32" s="904" t="str">
        <f>IF(CAPEX!P32&lt;&gt;"",CAPEX!P32,"")</f>
        <v>Gcal/hr</v>
      </c>
      <c r="BH32" s="907">
        <f>IF(CAPEX!Q32&lt;&gt;"",CAPEX!Q32,"")</f>
        <v>0.7</v>
      </c>
      <c r="BI32" s="907">
        <f>IF(CAPEX!R32&lt;&gt;"",CAPEX!R32,"")</f>
        <v>2.2000000000000002</v>
      </c>
      <c r="BJ32" s="436">
        <f ca="1">IF(BE32&lt;&gt;"",VLOOKUP(BE32,INDIRECT(LU_SENS),2,FALSE),"")</f>
        <v>-8.9823875900000001</v>
      </c>
      <c r="BK32" s="239">
        <f ca="1">BJ32/BF32</f>
        <v>1.1976516786666667</v>
      </c>
      <c r="BL32" s="238">
        <f ca="1">BD32*BK32^BH32</f>
        <v>104380.45764152837</v>
      </c>
      <c r="BM32" s="238">
        <f ca="1">BL32*VLOOKUP($J$34,INDIRECT(IX_CAP),4,FALSE)/VLOOKUP(BC32,INDIRECT(IX_CAP),4,FALSE)</f>
        <v>99566.979747383812</v>
      </c>
      <c r="BN32" s="238">
        <f ca="1">BM32*BI32</f>
        <v>219047.3554442444</v>
      </c>
      <c r="BO32" s="608"/>
      <c r="BP32" s="437"/>
    </row>
    <row r="33" spans="1:70" ht="13.5" customHeight="1" thickBot="1" x14ac:dyDescent="0.3">
      <c r="A33" s="811" t="s">
        <v>133</v>
      </c>
      <c r="B33" s="834">
        <f>IF(D11&lt;0.999,J7,"N/A")</f>
        <v>10</v>
      </c>
      <c r="C33" s="830"/>
      <c r="D33" s="811" t="s">
        <v>234</v>
      </c>
      <c r="E33" s="811"/>
      <c r="F33" s="831">
        <f ca="1">ROUND((S117+S112)*1000000,-5)</f>
        <v>2000000</v>
      </c>
      <c r="G33" s="374"/>
      <c r="H33" s="641"/>
      <c r="I33" s="437" t="s">
        <v>1843</v>
      </c>
      <c r="J33" s="87">
        <f ca="1">K90</f>
        <v>910.37647207251609</v>
      </c>
      <c r="K33" s="437" t="s">
        <v>260</v>
      </c>
      <c r="L33" s="437"/>
      <c r="M33" s="437"/>
      <c r="N33" s="437"/>
      <c r="O33" s="530"/>
      <c r="P33" s="437"/>
      <c r="Q33" s="62"/>
      <c r="R33" s="24"/>
      <c r="S33" s="530"/>
      <c r="T33" s="437"/>
      <c r="U33" s="437"/>
      <c r="V33" s="437"/>
      <c r="W33" s="437"/>
      <c r="X33" s="437"/>
      <c r="Y33" s="437"/>
      <c r="Z33" s="437"/>
      <c r="AA33" s="437"/>
      <c r="AB33" s="437"/>
      <c r="AC33" s="437"/>
      <c r="AD33" s="437"/>
      <c r="AE33" s="437"/>
      <c r="AF33" s="437"/>
      <c r="AG33" s="437"/>
      <c r="AH33" s="437"/>
      <c r="AI33" s="437"/>
      <c r="AJ33" s="437"/>
      <c r="AK33" s="437"/>
      <c r="AL33" s="437"/>
      <c r="AM33" s="437"/>
      <c r="AN33" s="437"/>
      <c r="AO33" s="437"/>
      <c r="AP33" s="437"/>
      <c r="AQ33" s="437"/>
      <c r="AR33" s="437"/>
      <c r="AS33" s="641"/>
      <c r="AT33" s="448" t="str">
        <f>IF(CAPEX!A33&lt;&gt;"",CAPEX!A33,"")</f>
        <v>H</v>
      </c>
      <c r="AU33" s="1263">
        <f>IF(CAPEX!B33&lt;&gt;"",CAPEX!B33,"")</f>
        <v>244</v>
      </c>
      <c r="AV33" s="448" t="str">
        <f>IF(CAPEX!C33&lt;&gt;"",CAPEX!C33,"")</f>
        <v>Waste Vapor Condenser</v>
      </c>
      <c r="AW33" s="648" t="s">
        <v>1620</v>
      </c>
      <c r="AX33" s="448" t="str">
        <f>IF(CAPEX!F33&lt;&gt;"",CAPEX!F33,"")</f>
        <v>Copied H-201</v>
      </c>
      <c r="AY33" s="1285" t="str">
        <f>IF(CAPEX!G33&lt;&gt;"",CAPEX!G33,"")</f>
        <v/>
      </c>
      <c r="AZ33" s="448" t="str">
        <f>IF(CAPEX!H33&lt;&gt;"",CAPEX!H33,"")</f>
        <v>304SS</v>
      </c>
      <c r="BA33" s="1285">
        <f>IF(CAPEX!J33&lt;&gt;"",CAPEX!J33,"")</f>
        <v>1</v>
      </c>
      <c r="BB33" s="293">
        <f>CAPEX!K33</f>
        <v>34000</v>
      </c>
      <c r="BC33" s="1272">
        <f>IF(CAPEX!L33&lt;&gt;"",CAPEX!L33,"")</f>
        <v>2009</v>
      </c>
      <c r="BD33" s="905">
        <f>IF(CAPEX!M33&lt;&gt;"",CAPEX!M33,"")</f>
        <v>34000</v>
      </c>
      <c r="BE33" s="905" t="str">
        <f>IF(CAPEX!N33&lt;&gt;"",CAPEX!N33,"")</f>
        <v>Heat.A200.QH244</v>
      </c>
      <c r="BF33" s="1295">
        <f>IF(CAPEX!O33&lt;&gt;"",CAPEX!O33,"")</f>
        <v>1.83</v>
      </c>
      <c r="BG33" s="904" t="str">
        <f>IF(CAPEX!P33&lt;&gt;"",CAPEX!P33,"")</f>
        <v>Gcal/hr</v>
      </c>
      <c r="BH33" s="907">
        <f>IF(CAPEX!Q33&lt;&gt;"",CAPEX!Q33,"")</f>
        <v>0.7</v>
      </c>
      <c r="BI33" s="907">
        <f>IF(CAPEX!R33&lt;&gt;"",CAPEX!R33,"")</f>
        <v>2.2000000000000002</v>
      </c>
      <c r="BJ33" s="436">
        <f ca="1">IF(BE33&lt;&gt;"",VLOOKUP(BE33,INDIRECT(LU_SENS),2,FALSE),"")</f>
        <v>7.0084537100000004</v>
      </c>
      <c r="BK33" s="239">
        <f ca="1">BJ33/BF33</f>
        <v>3.8297561256830601</v>
      </c>
      <c r="BL33" s="238">
        <f ca="1">BD33*BK33^BH33</f>
        <v>87035.95534471907</v>
      </c>
      <c r="BM33" s="238">
        <f ca="1">BL33*VLOOKUP($J$34,INDIRECT(IX_CAP),4,FALSE)/VLOOKUP(BC33,INDIRECT(IX_CAP),4,FALSE)</f>
        <v>87619.641575235481</v>
      </c>
      <c r="BN33" s="238">
        <f ca="1">BM33*BI33</f>
        <v>192763.21146551808</v>
      </c>
      <c r="BO33" s="608"/>
      <c r="BP33" s="437"/>
    </row>
    <row r="34" spans="1:70" ht="13.5" customHeight="1" thickBot="1" x14ac:dyDescent="0.3">
      <c r="A34" s="811" t="s">
        <v>131</v>
      </c>
      <c r="B34" s="823" t="e">
        <f ca="1">(F37+F38+F39)/B27</f>
        <v>#VALUE!</v>
      </c>
      <c r="C34" s="830"/>
      <c r="D34" s="811" t="s">
        <v>235</v>
      </c>
      <c r="E34" s="811"/>
      <c r="F34" s="831">
        <f ca="1">-ROUND(S120*1000000,-5)</f>
        <v>-4700000</v>
      </c>
      <c r="G34" s="374"/>
      <c r="H34" s="641"/>
      <c r="I34" s="437" t="s">
        <v>261</v>
      </c>
      <c r="J34" s="97">
        <v>2007</v>
      </c>
      <c r="K34" s="437"/>
      <c r="L34" s="437"/>
      <c r="M34" s="437"/>
      <c r="N34" s="437"/>
      <c r="O34" s="437"/>
      <c r="P34" s="437"/>
      <c r="Q34" s="437"/>
      <c r="R34" s="437"/>
      <c r="S34" s="437"/>
      <c r="T34" s="437"/>
      <c r="U34" s="437"/>
      <c r="V34" s="437"/>
      <c r="W34" s="437"/>
      <c r="X34" s="437"/>
      <c r="Y34" s="437"/>
      <c r="Z34" s="437"/>
      <c r="AA34" s="437"/>
      <c r="AB34" s="437"/>
      <c r="AC34" s="437"/>
      <c r="AD34" s="437"/>
      <c r="AE34" s="437"/>
      <c r="AF34" s="437"/>
      <c r="AG34" s="437"/>
      <c r="AH34" s="437"/>
      <c r="AI34" s="437"/>
      <c r="AJ34" s="437"/>
      <c r="AK34" s="437"/>
      <c r="AL34" s="437"/>
      <c r="AM34" s="437"/>
      <c r="AN34" s="437"/>
      <c r="AO34" s="437"/>
      <c r="AP34" s="437"/>
      <c r="AQ34" s="437"/>
      <c r="AR34" s="437"/>
      <c r="AS34" s="641"/>
      <c r="AT34" s="448" t="str">
        <f>IF(CAPEX!A34&lt;&gt;"",CAPEX!A34,"")</f>
        <v>M</v>
      </c>
      <c r="AU34" s="1263">
        <f>IF(CAPEX!B34&lt;&gt;"",CAPEX!B34,"")</f>
        <v>201</v>
      </c>
      <c r="AV34" s="448" t="str">
        <f>IF(CAPEX!C34&lt;&gt;"",CAPEX!C34,"")</f>
        <v>Doffing Roll Storage Bins</v>
      </c>
      <c r="AW34" s="648" t="s">
        <v>844</v>
      </c>
      <c r="AX34" s="448" t="str">
        <f>IF(CAPEX!F34&lt;&gt;"",CAPEX!F34,"")</f>
        <v>60 cu. m. (2100 cu.ft.) with conveyors/scrapers</v>
      </c>
      <c r="AY34" s="1285" t="str">
        <f>IF(CAPEX!G34&lt;&gt;"",CAPEX!G34,"")</f>
        <v>40 kW ea.</v>
      </c>
      <c r="AZ34" s="448" t="str">
        <f>IF(CAPEX!H34&lt;&gt;"",CAPEX!H34,"")</f>
        <v>304/316SS</v>
      </c>
      <c r="BA34" s="1285">
        <f>IF(CAPEX!J34&lt;&gt;"",CAPEX!J34,"")</f>
        <v>2</v>
      </c>
      <c r="BB34" s="293" t="str">
        <f>CAPEX!K34</f>
        <v>INCLUDED</v>
      </c>
      <c r="BC34" s="1273" t="str">
        <f>IF(CAPEX!L34&lt;&gt;"",CAPEX!L34,"")</f>
        <v/>
      </c>
      <c r="BD34" s="902" t="str">
        <f>IF(CAPEX!M34&lt;&gt;"",CAPEX!M34,"")</f>
        <v/>
      </c>
      <c r="BE34" s="902" t="str">
        <f>IF(CAPEX!N34&lt;&gt;"",CAPEX!N34,"")</f>
        <v/>
      </c>
      <c r="BF34" s="1291" t="str">
        <f>IF(CAPEX!O34&lt;&gt;"",CAPEX!O34,"")</f>
        <v/>
      </c>
      <c r="BG34" s="901" t="str">
        <f>IF(CAPEX!P34&lt;&gt;"",CAPEX!P34,"")</f>
        <v/>
      </c>
      <c r="BH34" s="903" t="str">
        <f>IF(CAPEX!Q34&lt;&gt;"",CAPEX!Q34,"")</f>
        <v/>
      </c>
      <c r="BI34" s="903" t="str">
        <f>IF(CAPEX!R34&lt;&gt;"",CAPEX!R34,"")</f>
        <v/>
      </c>
      <c r="BJ34" s="436"/>
      <c r="BK34" s="249"/>
      <c r="BL34" s="249"/>
      <c r="BM34" s="249"/>
      <c r="BN34" s="249"/>
      <c r="BO34" s="608"/>
      <c r="BP34" s="437"/>
    </row>
    <row r="35" spans="1:70" ht="13.5" customHeight="1" thickBot="1" x14ac:dyDescent="0.3">
      <c r="A35" s="830"/>
      <c r="B35" s="830"/>
      <c r="C35" s="830"/>
      <c r="D35" s="811" t="s">
        <v>2982</v>
      </c>
      <c r="F35" s="831">
        <f ca="1">ROUND(S111*1000000,-5)</f>
        <v>20100000</v>
      </c>
      <c r="G35" s="374"/>
      <c r="H35" s="641"/>
      <c r="I35" s="536" t="s">
        <v>1844</v>
      </c>
      <c r="J35" s="104">
        <v>0.14346560331519068</v>
      </c>
      <c r="K35" s="537" t="s">
        <v>262</v>
      </c>
      <c r="L35" s="1170"/>
      <c r="M35" s="1172"/>
      <c r="N35" s="1170"/>
      <c r="O35" s="1170"/>
      <c r="P35" s="437"/>
      <c r="Q35" s="437"/>
      <c r="R35" s="437"/>
      <c r="S35" s="437"/>
      <c r="T35" s="437"/>
      <c r="U35" s="437"/>
      <c r="V35" s="437"/>
      <c r="W35" s="437"/>
      <c r="X35" s="437"/>
      <c r="Y35" s="437"/>
      <c r="Z35" s="437"/>
      <c r="AA35" s="437"/>
      <c r="AB35" s="437"/>
      <c r="AC35" s="437"/>
      <c r="AD35" s="437"/>
      <c r="AE35" s="437"/>
      <c r="AF35" s="437"/>
      <c r="AG35" s="437"/>
      <c r="AH35" s="437"/>
      <c r="AI35" s="437"/>
      <c r="AJ35" s="437"/>
      <c r="AK35" s="437"/>
      <c r="AL35" s="437"/>
      <c r="AM35" s="437"/>
      <c r="AN35" s="437"/>
      <c r="AO35" s="437"/>
      <c r="AP35" s="437"/>
      <c r="AQ35" s="437"/>
      <c r="AR35" s="437"/>
      <c r="AS35" s="641"/>
      <c r="AT35" s="448" t="str">
        <f>IF(CAPEX!A35&lt;&gt;"",CAPEX!A35,"")</f>
        <v>M</v>
      </c>
      <c r="AU35" s="1263">
        <f>IF(CAPEX!B35&lt;&gt;"",CAPEX!B35,"")</f>
        <v>202</v>
      </c>
      <c r="AV35" s="448" t="str">
        <f>IF(CAPEX!C35&lt;&gt;"",CAPEX!C35,"")</f>
        <v>Pin Drum Feeder</v>
      </c>
      <c r="AW35" s="648" t="s">
        <v>844</v>
      </c>
      <c r="AX35" s="448" t="str">
        <f>IF(CAPEX!F35&lt;&gt;"",CAPEX!F35,"")</f>
        <v/>
      </c>
      <c r="AY35" s="1285" t="str">
        <f>IF(CAPEX!G35&lt;&gt;"",CAPEX!G35,"")</f>
        <v>15 kW ea.</v>
      </c>
      <c r="AZ35" s="448" t="str">
        <f>IF(CAPEX!H35&lt;&gt;"",CAPEX!H35,"")</f>
        <v>316LSS</v>
      </c>
      <c r="BA35" s="1285">
        <f>IF(CAPEX!J35&lt;&gt;"",CAPEX!J35,"")</f>
        <v>2</v>
      </c>
      <c r="BB35" s="293" t="str">
        <f>CAPEX!K35</f>
        <v>INCLUDED</v>
      </c>
      <c r="BC35" s="1273" t="str">
        <f>IF(CAPEX!L35&lt;&gt;"",CAPEX!L35,"")</f>
        <v/>
      </c>
      <c r="BD35" s="902" t="str">
        <f>IF(CAPEX!M35&lt;&gt;"",CAPEX!M35,"")</f>
        <v/>
      </c>
      <c r="BE35" s="902" t="str">
        <f>IF(CAPEX!N35&lt;&gt;"",CAPEX!N35,"")</f>
        <v/>
      </c>
      <c r="BF35" s="1291" t="str">
        <f>IF(CAPEX!O35&lt;&gt;"",CAPEX!O35,"")</f>
        <v/>
      </c>
      <c r="BG35" s="901" t="str">
        <f>IF(CAPEX!P35&lt;&gt;"",CAPEX!P35,"")</f>
        <v/>
      </c>
      <c r="BH35" s="903" t="str">
        <f>IF(CAPEX!Q35&lt;&gt;"",CAPEX!Q35,"")</f>
        <v/>
      </c>
      <c r="BI35" s="903" t="str">
        <f>IF(CAPEX!R35&lt;&gt;"",CAPEX!R35,"")</f>
        <v/>
      </c>
      <c r="BJ35" s="436"/>
      <c r="BK35" s="249"/>
      <c r="BL35" s="249"/>
      <c r="BM35" s="249"/>
      <c r="BN35" s="249"/>
      <c r="BO35" s="608"/>
      <c r="BP35" s="437"/>
    </row>
    <row r="36" spans="1:70" ht="13.5" customHeight="1" thickBot="1" x14ac:dyDescent="0.3">
      <c r="A36" s="830"/>
      <c r="B36" s="830"/>
      <c r="C36" s="830"/>
      <c r="D36" s="811" t="s">
        <v>236</v>
      </c>
      <c r="E36" s="811"/>
      <c r="F36" s="831">
        <f ca="1">ROUND(AB117,-5)</f>
        <v>9700000</v>
      </c>
      <c r="G36" s="374"/>
      <c r="H36" s="641"/>
      <c r="I36" s="536"/>
      <c r="J36" s="88"/>
      <c r="K36" s="537"/>
      <c r="L36" s="437"/>
      <c r="M36" s="437"/>
      <c r="N36" s="437"/>
      <c r="O36" s="437"/>
      <c r="P36" s="437"/>
      <c r="Q36" s="437"/>
      <c r="R36" s="437"/>
      <c r="S36" s="437"/>
      <c r="T36" s="437"/>
      <c r="U36" s="437"/>
      <c r="V36" s="437"/>
      <c r="W36" s="437"/>
      <c r="X36" s="437"/>
      <c r="Y36" s="437"/>
      <c r="Z36" s="437"/>
      <c r="AA36" s="437"/>
      <c r="AB36" s="437"/>
      <c r="AC36" s="437"/>
      <c r="AD36" s="437"/>
      <c r="AE36" s="437"/>
      <c r="AF36" s="437"/>
      <c r="AG36" s="437"/>
      <c r="AH36" s="437"/>
      <c r="AI36" s="437"/>
      <c r="AJ36" s="437"/>
      <c r="AK36" s="437"/>
      <c r="AL36" s="437"/>
      <c r="AM36" s="437"/>
      <c r="AN36" s="437"/>
      <c r="AO36" s="437"/>
      <c r="AP36" s="437"/>
      <c r="AQ36" s="437"/>
      <c r="AR36" s="437"/>
      <c r="AS36" s="641"/>
      <c r="AT36" s="448" t="str">
        <f>IF(CAPEX!A36&lt;&gt;"",CAPEX!A36,"")</f>
        <v>M</v>
      </c>
      <c r="AU36" s="1263">
        <f>IF(CAPEX!B36&lt;&gt;"",CAPEX!B36,"")</f>
        <v>203</v>
      </c>
      <c r="AV36" s="448" t="str">
        <f>IF(CAPEX!C36&lt;&gt;"",CAPEX!C36,"")</f>
        <v>Plug Screw Feeder</v>
      </c>
      <c r="AW36" s="648" t="s">
        <v>844</v>
      </c>
      <c r="AX36" s="448" t="str">
        <f>IF(CAPEX!F36&lt;&gt;"",CAPEX!F36,"")</f>
        <v/>
      </c>
      <c r="AY36" s="1285" t="str">
        <f>IF(CAPEX!G36&lt;&gt;"",CAPEX!G36,"")</f>
        <v>1100kW ea.</v>
      </c>
      <c r="AZ36" s="448" t="str">
        <f>IF(CAPEX!H36&lt;&gt;"",CAPEX!H36,"")</f>
        <v>316LSS</v>
      </c>
      <c r="BA36" s="1285">
        <f>IF(CAPEX!J36&lt;&gt;"",CAPEX!J36,"")</f>
        <v>2</v>
      </c>
      <c r="BB36" s="293" t="str">
        <f>CAPEX!K36</f>
        <v>INCLUDED</v>
      </c>
      <c r="BC36" s="1273" t="str">
        <f>IF(CAPEX!L36&lt;&gt;"",CAPEX!L36,"")</f>
        <v/>
      </c>
      <c r="BD36" s="902" t="str">
        <f>IF(CAPEX!M36&lt;&gt;"",CAPEX!M36,"")</f>
        <v/>
      </c>
      <c r="BE36" s="902" t="str">
        <f>IF(CAPEX!N36&lt;&gt;"",CAPEX!N36,"")</f>
        <v/>
      </c>
      <c r="BF36" s="1291" t="str">
        <f>IF(CAPEX!O36&lt;&gt;"",CAPEX!O36,"")</f>
        <v/>
      </c>
      <c r="BG36" s="901" t="str">
        <f>IF(CAPEX!P36&lt;&gt;"",CAPEX!P36,"")</f>
        <v/>
      </c>
      <c r="BH36" s="903" t="str">
        <f>IF(CAPEX!Q36&lt;&gt;"",CAPEX!Q36,"")</f>
        <v/>
      </c>
      <c r="BI36" s="903" t="str">
        <f>IF(CAPEX!R36&lt;&gt;"",CAPEX!R36,"")</f>
        <v/>
      </c>
      <c r="BJ36" s="436"/>
      <c r="BK36" s="249"/>
      <c r="BL36" s="249"/>
      <c r="BM36" s="249"/>
      <c r="BN36" s="249"/>
      <c r="BO36" s="608"/>
      <c r="BP36" s="437"/>
    </row>
    <row r="37" spans="1:70" ht="13.5" customHeight="1" thickBot="1" x14ac:dyDescent="0.3">
      <c r="A37" s="811" t="s">
        <v>3395</v>
      </c>
      <c r="B37" s="1469">
        <f ca="1">IF(L6="Concentrated sugars",F110,F118)</f>
        <v>463.63714676065587</v>
      </c>
      <c r="C37" s="830"/>
      <c r="D37" s="811" t="s">
        <v>134</v>
      </c>
      <c r="E37" s="811"/>
      <c r="F37" s="831">
        <f ca="1">ROUND(J4/30,-5)</f>
        <v>10000000</v>
      </c>
      <c r="G37" s="667"/>
      <c r="H37" s="641"/>
      <c r="I37" s="537" t="s">
        <v>263</v>
      </c>
      <c r="J37" s="89">
        <f ca="1">M71</f>
        <v>-12092542.176677048</v>
      </c>
      <c r="K37" s="537" t="s">
        <v>264</v>
      </c>
      <c r="L37" s="532"/>
      <c r="M37" s="437"/>
      <c r="N37" s="437"/>
      <c r="O37" s="437"/>
      <c r="P37" s="437"/>
      <c r="Q37" s="437"/>
      <c r="R37" s="437"/>
      <c r="S37" s="437"/>
      <c r="T37" s="437"/>
      <c r="U37" s="437"/>
      <c r="V37" s="437"/>
      <c r="W37" s="437"/>
      <c r="X37" s="437"/>
      <c r="Y37" s="437"/>
      <c r="Z37" s="437"/>
      <c r="AA37" s="437"/>
      <c r="AB37" s="437"/>
      <c r="AC37" s="437"/>
      <c r="AD37" s="437"/>
      <c r="AE37" s="437"/>
      <c r="AF37" s="437"/>
      <c r="AG37" s="437"/>
      <c r="AH37" s="437"/>
      <c r="AI37" s="437"/>
      <c r="AJ37" s="437"/>
      <c r="AK37" s="437"/>
      <c r="AL37" s="437"/>
      <c r="AM37" s="437"/>
      <c r="AN37" s="437"/>
      <c r="AO37" s="437"/>
      <c r="AP37" s="437"/>
      <c r="AQ37" s="437"/>
      <c r="AR37" s="437"/>
      <c r="AS37" s="641"/>
      <c r="AT37" s="448" t="str">
        <f>IF(CAPEX!A37&lt;&gt;"",CAPEX!A37,"")</f>
        <v>M</v>
      </c>
      <c r="AU37" s="1263">
        <f>IF(CAPEX!B37&lt;&gt;"",CAPEX!B37,"")</f>
        <v>204</v>
      </c>
      <c r="AV37" s="448" t="str">
        <f>IF(CAPEX!C37&lt;&gt;"",CAPEX!C37,"")</f>
        <v>Prehydrolysis / Vertical Preheater</v>
      </c>
      <c r="AW37" s="648" t="s">
        <v>844</v>
      </c>
      <c r="AX37" s="448" t="str">
        <f>IF(CAPEX!F37&lt;&gt;"",CAPEX!F37,"")</f>
        <v>16' x 62' - 10 min. residence time</v>
      </c>
      <c r="AY37" s="1285" t="str">
        <f>IF(CAPEX!G37&lt;&gt;"",CAPEX!G37,"")</f>
        <v>45 kW</v>
      </c>
      <c r="AZ37" s="448" t="str">
        <f>IF(CAPEX!H37&lt;&gt;"",CAPEX!H37,"")</f>
        <v>Dup. 2205</v>
      </c>
      <c r="BA37" s="1285">
        <f>IF(CAPEX!J37&lt;&gt;"",CAPEX!J37,"")</f>
        <v>1</v>
      </c>
      <c r="BB37" s="293" t="str">
        <f>CAPEX!K37</f>
        <v>INCLUDED</v>
      </c>
      <c r="BC37" s="1273" t="str">
        <f>IF(CAPEX!L37&lt;&gt;"",CAPEX!L37,"")</f>
        <v/>
      </c>
      <c r="BD37" s="902" t="str">
        <f>IF(CAPEX!M37&lt;&gt;"",CAPEX!M37,"")</f>
        <v/>
      </c>
      <c r="BE37" s="902" t="str">
        <f>IF(CAPEX!N37&lt;&gt;"",CAPEX!N37,"")</f>
        <v/>
      </c>
      <c r="BF37" s="1291" t="str">
        <f>IF(CAPEX!O37&lt;&gt;"",CAPEX!O37,"")</f>
        <v/>
      </c>
      <c r="BG37" s="901" t="str">
        <f>IF(CAPEX!P37&lt;&gt;"",CAPEX!P37,"")</f>
        <v/>
      </c>
      <c r="BH37" s="903" t="str">
        <f>IF(CAPEX!Q37&lt;&gt;"",CAPEX!Q37,"")</f>
        <v/>
      </c>
      <c r="BI37" s="903" t="str">
        <f>IF(CAPEX!R37&lt;&gt;"",CAPEX!R37,"")</f>
        <v/>
      </c>
      <c r="BJ37" s="436"/>
      <c r="BK37" s="249"/>
      <c r="BL37" s="249"/>
      <c r="BM37" s="249"/>
      <c r="BN37" s="249"/>
      <c r="BO37" s="608"/>
      <c r="BP37" s="539"/>
      <c r="BQ37" s="286"/>
      <c r="BR37" s="286"/>
    </row>
    <row r="38" spans="1:70" ht="13.5" customHeight="1" thickBot="1" x14ac:dyDescent="0.3">
      <c r="A38" s="811" t="s">
        <v>2606</v>
      </c>
      <c r="B38" s="833">
        <f ca="1">F121</f>
        <v>0.50796600392851665</v>
      </c>
      <c r="C38" s="830"/>
      <c r="D38" s="811" t="s">
        <v>214</v>
      </c>
      <c r="E38" s="811"/>
      <c r="F38" s="831" t="e">
        <f ca="1">ROUND(F24*$F$28/F14,-5)</f>
        <v>#VALUE!</v>
      </c>
      <c r="G38" s="380"/>
      <c r="H38" s="641"/>
      <c r="I38" s="437"/>
      <c r="J38" s="437"/>
      <c r="K38" s="437"/>
      <c r="L38" s="437"/>
      <c r="M38" s="437"/>
      <c r="N38" s="437"/>
      <c r="O38" s="437"/>
      <c r="P38" s="437"/>
      <c r="Q38" s="437"/>
      <c r="R38" s="437"/>
      <c r="S38" s="437"/>
      <c r="T38" s="437"/>
      <c r="U38" s="437"/>
      <c r="V38" s="437"/>
      <c r="W38" s="437"/>
      <c r="X38" s="437"/>
      <c r="Y38" s="437"/>
      <c r="Z38" s="437"/>
      <c r="AA38" s="437"/>
      <c r="AB38" s="437"/>
      <c r="AC38" s="437"/>
      <c r="AD38" s="437"/>
      <c r="AE38" s="437"/>
      <c r="AF38" s="437"/>
      <c r="AG38" s="437"/>
      <c r="AH38" s="437"/>
      <c r="AI38" s="437"/>
      <c r="AJ38" s="437"/>
      <c r="AK38" s="437"/>
      <c r="AL38" s="437"/>
      <c r="AM38" s="437"/>
      <c r="AN38" s="437"/>
      <c r="AO38" s="437"/>
      <c r="AP38" s="437"/>
      <c r="AQ38" s="437"/>
      <c r="AR38" s="437"/>
      <c r="AS38" s="641"/>
      <c r="AT38" s="448" t="str">
        <f>IF(CAPEX!A38&lt;&gt;"",CAPEX!A38,"")</f>
        <v>M</v>
      </c>
      <c r="AU38" s="1263">
        <f>IF(CAPEX!B38&lt;&gt;"",CAPEX!B38,"")</f>
        <v>205</v>
      </c>
      <c r="AV38" s="448" t="str">
        <f>IF(CAPEX!C38&lt;&gt;"",CAPEX!C38,"")</f>
        <v>Pin Drum Feeder</v>
      </c>
      <c r="AW38" s="648" t="s">
        <v>844</v>
      </c>
      <c r="AX38" s="448" t="str">
        <f>IF(CAPEX!F38&lt;&gt;"",CAPEX!F38,"")</f>
        <v/>
      </c>
      <c r="AY38" s="1285" t="str">
        <f>IF(CAPEX!G38&lt;&gt;"",CAPEX!G38,"")</f>
        <v>15 kW ea.</v>
      </c>
      <c r="AZ38" s="448" t="str">
        <f>IF(CAPEX!H38&lt;&gt;"",CAPEX!H38,"")</f>
        <v>Incoloy 825-CLAD; CS</v>
      </c>
      <c r="BA38" s="1285">
        <f>IF(CAPEX!J38&lt;&gt;"",CAPEX!J38,"")</f>
        <v>2</v>
      </c>
      <c r="BB38" s="293" t="str">
        <f>CAPEX!K38</f>
        <v>INCLUDED</v>
      </c>
      <c r="BC38" s="1273" t="str">
        <f>IF(CAPEX!L38&lt;&gt;"",CAPEX!L38,"")</f>
        <v/>
      </c>
      <c r="BD38" s="902" t="str">
        <f>IF(CAPEX!M38&lt;&gt;"",CAPEX!M38,"")</f>
        <v/>
      </c>
      <c r="BE38" s="902" t="str">
        <f>IF(CAPEX!N38&lt;&gt;"",CAPEX!N38,"")</f>
        <v/>
      </c>
      <c r="BF38" s="1291" t="str">
        <f>IF(CAPEX!O38&lt;&gt;"",CAPEX!O38,"")</f>
        <v/>
      </c>
      <c r="BG38" s="901" t="str">
        <f>IF(CAPEX!P38&lt;&gt;"",CAPEX!P38,"")</f>
        <v/>
      </c>
      <c r="BH38" s="903" t="str">
        <f>IF(CAPEX!Q38&lt;&gt;"",CAPEX!Q38,"")</f>
        <v/>
      </c>
      <c r="BI38" s="903" t="str">
        <f>IF(CAPEX!R38&lt;&gt;"",CAPEX!R38,"")</f>
        <v/>
      </c>
      <c r="BJ38" s="436"/>
      <c r="BK38" s="249"/>
      <c r="BL38" s="249"/>
      <c r="BM38" s="249"/>
      <c r="BN38" s="249"/>
      <c r="BO38" s="608"/>
      <c r="BP38" s="539"/>
      <c r="BQ38" s="286"/>
      <c r="BR38" s="286"/>
    </row>
    <row r="39" spans="1:70" ht="13.5" customHeight="1" thickBot="1" x14ac:dyDescent="0.3">
      <c r="A39" s="811"/>
      <c r="B39" s="836"/>
      <c r="C39" s="830"/>
      <c r="D39" s="811" t="s">
        <v>226</v>
      </c>
      <c r="E39" s="811"/>
      <c r="F39" s="831" t="e">
        <f ca="1">ROUND(F25*F28/F14,-5)</f>
        <v>#VALUE!</v>
      </c>
      <c r="G39" s="380"/>
      <c r="H39" s="641"/>
      <c r="I39" s="536" t="s">
        <v>265</v>
      </c>
      <c r="J39" s="90"/>
      <c r="K39" s="90"/>
      <c r="L39" s="90"/>
      <c r="M39" s="90"/>
      <c r="N39" s="437"/>
      <c r="O39" s="437"/>
      <c r="P39" s="437"/>
      <c r="Q39" s="437"/>
      <c r="R39" s="437"/>
      <c r="S39" s="437"/>
      <c r="T39" s="437"/>
      <c r="U39" s="437"/>
      <c r="V39" s="437"/>
      <c r="W39" s="437"/>
      <c r="X39" s="437"/>
      <c r="Y39" s="437"/>
      <c r="Z39" s="437"/>
      <c r="AA39" s="437"/>
      <c r="AB39" s="437"/>
      <c r="AC39" s="437"/>
      <c r="AD39" s="437"/>
      <c r="AE39" s="437"/>
      <c r="AF39" s="437"/>
      <c r="AG39" s="437"/>
      <c r="AH39" s="437"/>
      <c r="AI39" s="437"/>
      <c r="AJ39" s="437"/>
      <c r="AK39" s="437"/>
      <c r="AL39" s="437"/>
      <c r="AM39" s="437"/>
      <c r="AN39" s="437"/>
      <c r="AO39" s="437"/>
      <c r="AP39" s="437"/>
      <c r="AQ39" s="437"/>
      <c r="AR39" s="437"/>
      <c r="AS39" s="641"/>
      <c r="AT39" s="448" t="str">
        <f>IF(CAPEX!A39&lt;&gt;"",CAPEX!A39,"")</f>
        <v>M</v>
      </c>
      <c r="AU39" s="1263">
        <f>IF(CAPEX!B39&lt;&gt;"",CAPEX!B39,"")</f>
        <v>206</v>
      </c>
      <c r="AV39" s="448" t="str">
        <f>IF(CAPEX!C39&lt;&gt;"",CAPEX!C39,"")</f>
        <v>Plug Screw Feeder</v>
      </c>
      <c r="AW39" s="648" t="s">
        <v>844</v>
      </c>
      <c r="AX39" s="448" t="str">
        <f>IF(CAPEX!F39&lt;&gt;"",CAPEX!F39,"")</f>
        <v/>
      </c>
      <c r="AY39" s="1285" t="str">
        <f>IF(CAPEX!G39&lt;&gt;"",CAPEX!G39,"")</f>
        <v>1100 kW ea.</v>
      </c>
      <c r="AZ39" s="448" t="str">
        <f>IF(CAPEX!H39&lt;&gt;"",CAPEX!H39,"")</f>
        <v>Incoloy 825-CLAD; CS</v>
      </c>
      <c r="BA39" s="1285">
        <f>IF(CAPEX!J39&lt;&gt;"",CAPEX!J39,"")</f>
        <v>2</v>
      </c>
      <c r="BB39" s="293" t="str">
        <f>CAPEX!K39</f>
        <v>INCLUDED</v>
      </c>
      <c r="BC39" s="1273" t="str">
        <f>IF(CAPEX!L39&lt;&gt;"",CAPEX!L39,"")</f>
        <v/>
      </c>
      <c r="BD39" s="902" t="str">
        <f>IF(CAPEX!M39&lt;&gt;"",CAPEX!M39,"")</f>
        <v/>
      </c>
      <c r="BE39" s="902" t="str">
        <f>IF(CAPEX!N39&lt;&gt;"",CAPEX!N39,"")</f>
        <v/>
      </c>
      <c r="BF39" s="1291" t="str">
        <f>IF(CAPEX!O39&lt;&gt;"",CAPEX!O39,"")</f>
        <v/>
      </c>
      <c r="BG39" s="901" t="str">
        <f>IF(CAPEX!P39&lt;&gt;"",CAPEX!P39,"")</f>
        <v/>
      </c>
      <c r="BH39" s="903" t="str">
        <f>IF(CAPEX!Q39&lt;&gt;"",CAPEX!Q39,"")</f>
        <v/>
      </c>
      <c r="BI39" s="903" t="str">
        <f>IF(CAPEX!R39&lt;&gt;"",CAPEX!R39,"")</f>
        <v/>
      </c>
      <c r="BJ39" s="436"/>
      <c r="BK39" s="249"/>
      <c r="BL39" s="249"/>
      <c r="BM39" s="249"/>
      <c r="BN39" s="249"/>
      <c r="BO39" s="608"/>
      <c r="BP39" s="539"/>
      <c r="BQ39" s="286"/>
      <c r="BR39" s="286"/>
    </row>
    <row r="40" spans="1:70" ht="13.5" customHeight="1" thickBot="1" x14ac:dyDescent="0.25">
      <c r="A40" s="830"/>
      <c r="B40" s="830"/>
      <c r="C40" s="830"/>
      <c r="D40" s="830"/>
      <c r="E40" s="830"/>
      <c r="F40" s="830"/>
      <c r="G40" s="1"/>
      <c r="H40" s="641"/>
      <c r="I40" s="437" t="s">
        <v>266</v>
      </c>
      <c r="J40" s="437"/>
      <c r="K40" s="440">
        <v>-2</v>
      </c>
      <c r="L40" s="440">
        <v>-1</v>
      </c>
      <c r="M40" s="440">
        <v>0</v>
      </c>
      <c r="N40" s="440">
        <v>1</v>
      </c>
      <c r="O40" s="440">
        <v>2</v>
      </c>
      <c r="P40" s="440">
        <v>3</v>
      </c>
      <c r="Q40" s="440">
        <v>4</v>
      </c>
      <c r="R40" s="440">
        <v>5</v>
      </c>
      <c r="S40" s="440">
        <v>6</v>
      </c>
      <c r="T40" s="440">
        <v>7</v>
      </c>
      <c r="U40" s="440">
        <v>8</v>
      </c>
      <c r="V40" s="440">
        <v>9</v>
      </c>
      <c r="W40" s="440">
        <v>10</v>
      </c>
      <c r="X40" s="440">
        <v>11</v>
      </c>
      <c r="Y40" s="440">
        <v>12</v>
      </c>
      <c r="Z40" s="440">
        <v>13</v>
      </c>
      <c r="AA40" s="440">
        <v>14</v>
      </c>
      <c r="AB40" s="440">
        <v>15</v>
      </c>
      <c r="AC40" s="440">
        <v>16</v>
      </c>
      <c r="AD40" s="440">
        <v>17</v>
      </c>
      <c r="AE40" s="440">
        <v>18</v>
      </c>
      <c r="AF40" s="440">
        <v>19</v>
      </c>
      <c r="AG40" s="440">
        <v>20</v>
      </c>
      <c r="AH40" s="440">
        <v>21</v>
      </c>
      <c r="AI40" s="440">
        <v>22</v>
      </c>
      <c r="AJ40" s="440">
        <v>23</v>
      </c>
      <c r="AK40" s="440">
        <v>24</v>
      </c>
      <c r="AL40" s="440">
        <v>25</v>
      </c>
      <c r="AM40" s="440">
        <v>26</v>
      </c>
      <c r="AN40" s="440">
        <v>27</v>
      </c>
      <c r="AO40" s="440">
        <v>28</v>
      </c>
      <c r="AP40" s="440">
        <v>29</v>
      </c>
      <c r="AQ40" s="440">
        <v>30</v>
      </c>
      <c r="AR40" s="440"/>
      <c r="AS40" s="641"/>
      <c r="AT40" s="448" t="str">
        <f>IF(CAPEX!A40&lt;&gt;"",CAPEX!A40,"")</f>
        <v>M</v>
      </c>
      <c r="AU40" s="1263">
        <f>IF(CAPEX!B40&lt;&gt;"",CAPEX!B40,"")</f>
        <v>207</v>
      </c>
      <c r="AV40" s="448" t="str">
        <f>IF(CAPEX!C40&lt;&gt;"",CAPEX!C40,"")</f>
        <v>Pretreatment Reactor</v>
      </c>
      <c r="AW40" s="648" t="s">
        <v>844</v>
      </c>
      <c r="AX40" s="448" t="str">
        <f>IF(CAPEX!F40&lt;&gt;"",CAPEX!F40,"")</f>
        <v>2600 mm x 9000 mm (9' x 30') - 2 min. residence time</v>
      </c>
      <c r="AY40" s="1285" t="str">
        <f>IF(CAPEX!G40&lt;&gt;"",CAPEX!G40,"")</f>
        <v/>
      </c>
      <c r="AZ40" s="448" t="str">
        <f>IF(CAPEX!H40&lt;&gt;"",CAPEX!H40,"")</f>
        <v>Incoloy 825-CLAD; CS</v>
      </c>
      <c r="BA40" s="1285">
        <f>IF(CAPEX!J40&lt;&gt;"",CAPEX!J40,"")</f>
        <v>3</v>
      </c>
      <c r="BB40" s="293">
        <f>CAPEX!K40</f>
        <v>19812400</v>
      </c>
      <c r="BC40" s="1272">
        <f>IF(CAPEX!L40&lt;&gt;"",CAPEX!L40,"")</f>
        <v>2009</v>
      </c>
      <c r="BD40" s="899">
        <f>IF(CAPEX!M40&lt;&gt;"",CAPEX!M40,"")</f>
        <v>19812400</v>
      </c>
      <c r="BE40" s="900" t="str">
        <f>IF(CAPEX!N40&lt;&gt;"",CAPEX!N40,"")</f>
        <v>DRY101</v>
      </c>
      <c r="BF40" s="1294">
        <f>IF(CAPEX!O40&lt;&gt;"",CAPEX!O40,"")</f>
        <v>83333</v>
      </c>
      <c r="BG40" s="908" t="str">
        <f>IF(CAPEX!P40&lt;&gt;"",CAPEX!P40,"")</f>
        <v>kg/hr</v>
      </c>
      <c r="BH40" s="907">
        <f>IF(CAPEX!Q40&lt;&gt;"",CAPEX!Q40,"")</f>
        <v>0.6</v>
      </c>
      <c r="BI40" s="907">
        <f>IF(CAPEX!R40&lt;&gt;"",CAPEX!R40,"")</f>
        <v>1.5</v>
      </c>
      <c r="BJ40" s="436">
        <f t="shared" ref="BJ40:BJ46" ca="1" si="10">IF(BE40&lt;&gt;"",VLOOKUP(BE40,INDIRECT(LU_SENS),2,FALSE),"")</f>
        <v>83333.333299999998</v>
      </c>
      <c r="BK40" s="239">
        <f t="shared" ref="BK40:BK46" ca="1" si="11">BJ40/BF40</f>
        <v>1.0000039996159984</v>
      </c>
      <c r="BL40" s="238">
        <f ca="1">BD40*BK40^BH40</f>
        <v>19812447.545157172</v>
      </c>
      <c r="BM40" s="238">
        <f ca="1">BL40*VLOOKUP($J$34,INDIRECT(IX_CAP),4,FALSE)/VLOOKUP(BC40,INDIRECT(IX_CAP),4,FALSE)</f>
        <v>19945315.079949375</v>
      </c>
      <c r="BN40" s="238">
        <f ca="1">BM40*BI40</f>
        <v>29917972.619924061</v>
      </c>
      <c r="BO40" s="608"/>
      <c r="BP40" s="539"/>
      <c r="BQ40" s="286"/>
      <c r="BR40" s="286"/>
    </row>
    <row r="41" spans="1:70" ht="13.5" customHeight="1" thickBot="1" x14ac:dyDescent="0.3">
      <c r="A41" s="827"/>
      <c r="B41" s="816"/>
      <c r="C41" s="830"/>
      <c r="D41" s="811" t="s">
        <v>1845</v>
      </c>
      <c r="E41" s="830"/>
      <c r="F41" s="837">
        <f ca="1">L120*J93/(K90*1000000)</f>
        <v>0.1181401535449973</v>
      </c>
      <c r="G41" s="378"/>
      <c r="H41" s="649"/>
      <c r="I41" s="437" t="s">
        <v>243</v>
      </c>
      <c r="J41" s="437"/>
      <c r="K41" s="90">
        <f ca="1">$J$4*J24*J5</f>
        <v>9557940.9179576617</v>
      </c>
      <c r="L41" s="90">
        <f ca="1">$J$4*J25*J5</f>
        <v>71684556.884682462</v>
      </c>
      <c r="M41" s="90">
        <f ca="1">$J$4*J26*J5</f>
        <v>38231763.671830662</v>
      </c>
      <c r="N41" s="437"/>
      <c r="O41" s="437"/>
      <c r="P41" s="437"/>
      <c r="Q41" s="437"/>
      <c r="R41" s="437"/>
      <c r="S41" s="437"/>
      <c r="T41" s="437"/>
      <c r="U41" s="437"/>
      <c r="V41" s="437"/>
      <c r="W41" s="437"/>
      <c r="X41" s="437"/>
      <c r="Y41" s="437"/>
      <c r="Z41" s="437"/>
      <c r="AA41" s="437"/>
      <c r="AB41" s="437"/>
      <c r="AC41" s="437"/>
      <c r="AD41" s="437"/>
      <c r="AE41" s="437"/>
      <c r="AF41" s="437"/>
      <c r="AH41" s="437"/>
      <c r="AI41" s="437"/>
      <c r="AJ41" s="437"/>
      <c r="AK41" s="437"/>
      <c r="AL41" s="437"/>
      <c r="AM41" s="437"/>
      <c r="AN41" s="437"/>
      <c r="AO41" s="437"/>
      <c r="AP41" s="437"/>
      <c r="AQ41" s="437"/>
      <c r="AR41" s="437"/>
      <c r="AS41" s="641"/>
      <c r="AT41" s="448" t="str">
        <f>IF(CAPEX!A41&lt;&gt;"",CAPEX!A41,"")</f>
        <v>P</v>
      </c>
      <c r="AU41" s="1263">
        <f>IF(CAPEX!B41&lt;&gt;"",CAPEX!B41,"")</f>
        <v>201</v>
      </c>
      <c r="AV41" s="448" t="str">
        <f>IF(CAPEX!C41&lt;&gt;"",CAPEX!C41,"")</f>
        <v>Sulfuric Acid Pump</v>
      </c>
      <c r="AW41" s="648" t="s">
        <v>991</v>
      </c>
      <c r="AX41" s="448" t="str">
        <f>IF(CAPEX!F41&lt;&gt;"",CAPEX!F41,"")</f>
        <v>9 GPM, 245 FT TDH</v>
      </c>
      <c r="AY41" s="1285" t="str">
        <f>IF(CAPEX!G41&lt;&gt;"",CAPEX!G41,"")</f>
        <v/>
      </c>
      <c r="AZ41" s="448" t="str">
        <f>IF(CAPEX!H41&lt;&gt;"",CAPEX!H41,"")</f>
        <v>316SS</v>
      </c>
      <c r="BA41" s="1285">
        <f>IF(CAPEX!J41&lt;&gt;"",CAPEX!J41,"")</f>
        <v>1</v>
      </c>
      <c r="BB41" s="293">
        <f>CAPEX!K41</f>
        <v>8000</v>
      </c>
      <c r="BC41" s="1272">
        <f>IF(CAPEX!L41&lt;&gt;"",CAPEX!L41,"")</f>
        <v>2009</v>
      </c>
      <c r="BD41" s="905">
        <f>IF(CAPEX!M41&lt;&gt;"",CAPEX!M41,"")</f>
        <v>8000</v>
      </c>
      <c r="BE41" s="900" t="str">
        <f>IF(CAPEX!N41&lt;&gt;"",CAPEX!N41,"")</f>
        <v>strm.710</v>
      </c>
      <c r="BF41" s="1295">
        <f>IF(CAPEX!O41&lt;&gt;"",CAPEX!O41,"")</f>
        <v>3720</v>
      </c>
      <c r="BG41" s="904" t="str">
        <f>IF(CAPEX!P41&lt;&gt;"",CAPEX!P41,"")</f>
        <v>kg/hr</v>
      </c>
      <c r="BH41" s="907">
        <f>IF(CAPEX!Q41&lt;&gt;"",CAPEX!Q41,"")</f>
        <v>0.8</v>
      </c>
      <c r="BI41" s="907">
        <f>IF(CAPEX!R41&lt;&gt;"",CAPEX!R41,"")</f>
        <v>2.2999999999999998</v>
      </c>
      <c r="BJ41" s="436">
        <f t="shared" ca="1" si="10"/>
        <v>1980.6120000000003</v>
      </c>
      <c r="BK41" s="239">
        <f t="shared" ca="1" si="11"/>
        <v>0.53242258064516135</v>
      </c>
      <c r="BL41" s="238">
        <f t="shared" ref="BL41:BL46" ca="1" si="12">BD41*BK41^BH41</f>
        <v>4831.6465845222674</v>
      </c>
      <c r="BM41" s="238">
        <f t="shared" ref="BM41:BM46" ca="1" si="13">BL41*VLOOKUP($J$34,INDIRECT(IX_CAP),4,FALSE)/VLOOKUP(BC41,INDIRECT(IX_CAP),4,FALSE)</f>
        <v>4864.0488896493562</v>
      </c>
      <c r="BN41" s="238">
        <f t="shared" ref="BN41:BN46" ca="1" si="14">BM41*BI41</f>
        <v>11187.312446193519</v>
      </c>
      <c r="BO41" s="608"/>
      <c r="BP41" s="539"/>
      <c r="BQ41" s="286"/>
      <c r="BR41" s="286"/>
    </row>
    <row r="42" spans="1:70" ht="13.5" customHeight="1" thickBot="1" x14ac:dyDescent="0.3">
      <c r="A42" s="827"/>
      <c r="B42" s="838"/>
      <c r="C42" s="830"/>
      <c r="D42" s="811" t="s">
        <v>1846</v>
      </c>
      <c r="E42" s="830"/>
      <c r="F42" s="837">
        <f ca="1">(K143-L120)*J93/(K90*1000000)</f>
        <v>0.26172038287498828</v>
      </c>
      <c r="G42" s="377"/>
      <c r="H42" s="649"/>
      <c r="I42" s="538" t="s">
        <v>267</v>
      </c>
      <c r="J42" s="91" t="s">
        <v>268</v>
      </c>
      <c r="K42" s="538"/>
      <c r="L42" s="538"/>
      <c r="M42" s="91">
        <f ca="1">J13*J4</f>
        <v>14934282.684308849</v>
      </c>
      <c r="N42" s="538"/>
      <c r="O42" s="538"/>
      <c r="P42" s="538"/>
      <c r="Q42" s="538"/>
      <c r="R42" s="538"/>
      <c r="S42" s="538"/>
      <c r="T42" s="538"/>
      <c r="U42" s="538"/>
      <c r="V42" s="538"/>
      <c r="W42" s="538"/>
      <c r="X42" s="538"/>
      <c r="Y42" s="538"/>
      <c r="Z42" s="538"/>
      <c r="AA42" s="538"/>
      <c r="AB42" s="538"/>
      <c r="AC42" s="538"/>
      <c r="AD42" s="538"/>
      <c r="AE42" s="538"/>
      <c r="AF42" s="538"/>
      <c r="AH42" s="91"/>
      <c r="AI42" s="91"/>
      <c r="AJ42" s="91"/>
      <c r="AK42" s="91"/>
      <c r="AL42" s="91"/>
      <c r="AM42" s="91"/>
      <c r="AN42" s="91"/>
      <c r="AO42" s="91"/>
      <c r="AP42" s="91"/>
      <c r="AQ42" s="91">
        <f ca="1">-M42</f>
        <v>-14934282.684308849</v>
      </c>
      <c r="AR42" s="538"/>
      <c r="AS42" s="650"/>
      <c r="AT42" s="448" t="str">
        <f>IF(CAPEX!A42&lt;&gt;"",CAPEX!A42,"")</f>
        <v>P</v>
      </c>
      <c r="AU42" s="1263">
        <f>IF(CAPEX!B42&lt;&gt;"",CAPEX!B42,"")</f>
        <v>203</v>
      </c>
      <c r="AV42" s="448" t="str">
        <f>IF(CAPEX!C42&lt;&gt;"",CAPEX!C42,"")</f>
        <v>Blowdown Tank Discharge Pump</v>
      </c>
      <c r="AW42" s="648" t="s">
        <v>990</v>
      </c>
      <c r="AX42" s="448" t="str">
        <f>IF(CAPEX!F42&lt;&gt;"",CAPEX!F42,"")</f>
        <v>1900 GPM, 150 FT TDH</v>
      </c>
      <c r="AY42" s="1285">
        <f>IF(CAPEX!G42&lt;&gt;"",CAPEX!G42,"")</f>
        <v>125</v>
      </c>
      <c r="AZ42" s="448" t="str">
        <f>IF(CAPEX!H42&lt;&gt;"",CAPEX!H42,"")</f>
        <v>316SS</v>
      </c>
      <c r="BA42" s="1285">
        <f>IF(CAPEX!J42&lt;&gt;"",CAPEX!J42,"")</f>
        <v>1</v>
      </c>
      <c r="BB42" s="293">
        <f>CAPEX!K42</f>
        <v>25635</v>
      </c>
      <c r="BC42" s="1272">
        <f>IF(CAPEX!L42&lt;&gt;"",CAPEX!L42,"")</f>
        <v>2010</v>
      </c>
      <c r="BD42" s="905">
        <f>IF(CAPEX!M42&lt;&gt;"",CAPEX!M42,"")</f>
        <v>25635</v>
      </c>
      <c r="BE42" s="900" t="str">
        <f>IF(CAPEX!N42&lt;&gt;"",CAPEX!N42,"")</f>
        <v>strm.a200.222</v>
      </c>
      <c r="BF42" s="1295">
        <f>IF(CAPEX!O42&lt;&gt;"",CAPEX!O42,"")</f>
        <v>292407</v>
      </c>
      <c r="BG42" s="904" t="str">
        <f>IF(CAPEX!P42&lt;&gt;"",CAPEX!P42,"")</f>
        <v>kg/hr</v>
      </c>
      <c r="BH42" s="907">
        <f>IF(CAPEX!Q42&lt;&gt;"",CAPEX!Q42,"")</f>
        <v>0.8</v>
      </c>
      <c r="BI42" s="907">
        <f>IF(CAPEX!R42&lt;&gt;"",CAPEX!R42,"")</f>
        <v>2.2999999999999998</v>
      </c>
      <c r="BJ42" s="436">
        <f t="shared" ca="1" si="10"/>
        <v>291537.27</v>
      </c>
      <c r="BK42" s="239">
        <f t="shared" ca="1" si="11"/>
        <v>0.9970256184017483</v>
      </c>
      <c r="BL42" s="238">
        <f t="shared" ca="1" si="12"/>
        <v>25573.983217244979</v>
      </c>
      <c r="BM42" s="238">
        <f t="shared" ca="1" si="13"/>
        <v>24394.645574329181</v>
      </c>
      <c r="BN42" s="238">
        <f t="shared" ca="1" si="14"/>
        <v>56107.684820957111</v>
      </c>
      <c r="BO42" s="608"/>
      <c r="BP42" s="539"/>
      <c r="BQ42" s="286"/>
      <c r="BR42" s="286"/>
    </row>
    <row r="43" spans="1:70" ht="13.5" customHeight="1" thickBot="1" x14ac:dyDescent="0.3">
      <c r="A43" s="827"/>
      <c r="B43" s="838"/>
      <c r="C43" s="830"/>
      <c r="D43" s="811" t="s">
        <v>2594</v>
      </c>
      <c r="E43" s="811"/>
      <c r="F43" s="1121">
        <f ca="1">L110/3.7894*J93/(K90*1000000)</f>
        <v>0.3599512469965151</v>
      </c>
      <c r="G43" s="368"/>
      <c r="H43" s="649"/>
      <c r="I43" s="539" t="s">
        <v>35</v>
      </c>
      <c r="J43" s="92"/>
      <c r="K43" s="539"/>
      <c r="L43" s="539"/>
      <c r="M43" s="92"/>
      <c r="N43" s="93">
        <f ca="1">J8</f>
        <v>26707782.150001612</v>
      </c>
      <c r="O43" s="93">
        <f ca="1">IF($J$7&gt;1,$J$8,0)</f>
        <v>26707782.150001612</v>
      </c>
      <c r="P43" s="93">
        <f ca="1">IF($J$7&gt;2,$J$8,0)</f>
        <v>26707782.150001612</v>
      </c>
      <c r="Q43" s="93">
        <f ca="1">IF($J$7&gt;3,$J$8,0)</f>
        <v>26707782.150001612</v>
      </c>
      <c r="R43" s="93">
        <f ca="1">IF($J$7&gt;4,$J$8,0)</f>
        <v>26707782.150001612</v>
      </c>
      <c r="S43" s="93">
        <f ca="1">IF($J$7&gt;5,$J$8,0)</f>
        <v>26707782.150001612</v>
      </c>
      <c r="T43" s="93">
        <f ca="1">IF($J$7&gt;6,$J$8,0)</f>
        <v>26707782.150001612</v>
      </c>
      <c r="U43" s="93">
        <f ca="1">IF($J$7&gt;7,$J$8,0)</f>
        <v>26707782.150001612</v>
      </c>
      <c r="V43" s="93">
        <f ca="1">IF($J$7&gt;8,$J$8,0)</f>
        <v>26707782.150001612</v>
      </c>
      <c r="W43" s="93">
        <f ca="1">IF($J$7&gt;9,$J$8,0)</f>
        <v>26707782.150001612</v>
      </c>
      <c r="X43" s="93">
        <f>IF($J$7&gt;10,$J$8,0)</f>
        <v>0</v>
      </c>
      <c r="Y43" s="93">
        <f>IF($J$7&gt;11,$J$8,0)</f>
        <v>0</v>
      </c>
      <c r="Z43" s="93">
        <f>IF($J$7&gt;12,$J$8,0)</f>
        <v>0</v>
      </c>
      <c r="AA43" s="93">
        <f>IF($J$7&gt;13,$J$8,0)</f>
        <v>0</v>
      </c>
      <c r="AB43" s="93">
        <f>IF($J$7&gt;14,$J$8,0)</f>
        <v>0</v>
      </c>
      <c r="AC43" s="93">
        <f>IF($J$7&gt;15,$J$8,0)</f>
        <v>0</v>
      </c>
      <c r="AD43" s="93">
        <f>IF($J$7&gt;16,$J$8,0)</f>
        <v>0</v>
      </c>
      <c r="AE43" s="93">
        <f>IF($J$7&gt;17,$J$8,0)</f>
        <v>0</v>
      </c>
      <c r="AF43" s="93">
        <f>IF($J$7&gt;18,$J$8,0)</f>
        <v>0</v>
      </c>
      <c r="AG43" s="93">
        <f t="shared" ref="AG43:AP43" si="15">IF($J$7&gt;18,$J$8,0)</f>
        <v>0</v>
      </c>
      <c r="AH43" s="93">
        <f t="shared" si="15"/>
        <v>0</v>
      </c>
      <c r="AI43" s="93">
        <f t="shared" si="15"/>
        <v>0</v>
      </c>
      <c r="AJ43" s="93">
        <f t="shared" si="15"/>
        <v>0</v>
      </c>
      <c r="AK43" s="93">
        <f t="shared" si="15"/>
        <v>0</v>
      </c>
      <c r="AL43" s="93">
        <f t="shared" si="15"/>
        <v>0</v>
      </c>
      <c r="AM43" s="93">
        <f t="shared" si="15"/>
        <v>0</v>
      </c>
      <c r="AN43" s="93">
        <f t="shared" si="15"/>
        <v>0</v>
      </c>
      <c r="AO43" s="93">
        <f t="shared" si="15"/>
        <v>0</v>
      </c>
      <c r="AP43" s="93">
        <f t="shared" si="15"/>
        <v>0</v>
      </c>
      <c r="AQ43" s="93">
        <f>IF($J$7&gt;19,$J$8,0)</f>
        <v>0</v>
      </c>
      <c r="AR43" s="539"/>
      <c r="AS43" s="649"/>
      <c r="AT43" s="448" t="str">
        <f>IF(CAPEX!A43&lt;&gt;"",CAPEX!A43,"")</f>
        <v>P</v>
      </c>
      <c r="AU43" s="1263">
        <f>IF(CAPEX!B43&lt;&gt;"",CAPEX!B43,"")</f>
        <v>204</v>
      </c>
      <c r="AV43" s="448" t="str">
        <f>IF(CAPEX!C43&lt;&gt;"",CAPEX!C43,"")</f>
        <v>Flash Tank Discharge Pump</v>
      </c>
      <c r="AW43" s="648" t="s">
        <v>990</v>
      </c>
      <c r="AX43" s="448" t="str">
        <f>IF(CAPEX!F43&lt;&gt;"",CAPEX!F43,"")</f>
        <v>900 GPM, 150 FT TDH</v>
      </c>
      <c r="AY43" s="1285">
        <f>IF(CAPEX!G43&lt;&gt;"",CAPEX!G43,"")</f>
        <v>75</v>
      </c>
      <c r="AZ43" s="448" t="str">
        <f>IF(CAPEX!H43&lt;&gt;"",CAPEX!H43,"")</f>
        <v>316SS</v>
      </c>
      <c r="BA43" s="1285">
        <f>IF(CAPEX!J43&lt;&gt;"",CAPEX!J43,"")</f>
        <v>1</v>
      </c>
      <c r="BB43" s="293">
        <f>CAPEX!K43</f>
        <v>30000</v>
      </c>
      <c r="BC43" s="1272">
        <f>IF(CAPEX!L43&lt;&gt;"",CAPEX!L43,"")</f>
        <v>2009</v>
      </c>
      <c r="BD43" s="905">
        <f>IF(CAPEX!M43&lt;&gt;"",CAPEX!M43,"")</f>
        <v>30000</v>
      </c>
      <c r="BE43" s="900" t="str">
        <f>IF(CAPEX!N43&lt;&gt;"",CAPEX!N43,"")</f>
        <v>strm.a200.254</v>
      </c>
      <c r="BF43" s="1295">
        <f>IF(CAPEX!O43&lt;&gt;"",CAPEX!O43,"")</f>
        <v>204390</v>
      </c>
      <c r="BG43" s="904" t="str">
        <f>IF(CAPEX!P43&lt;&gt;"",CAPEX!P43,"")</f>
        <v>kg/hr</v>
      </c>
      <c r="BH43" s="907">
        <f>IF(CAPEX!Q43&lt;&gt;"",CAPEX!Q43,"")</f>
        <v>0.8</v>
      </c>
      <c r="BI43" s="907">
        <f>IF(CAPEX!R43&lt;&gt;"",CAPEX!R43,"")</f>
        <v>2.2999999999999998</v>
      </c>
      <c r="BJ43" s="436">
        <f t="shared" ca="1" si="10"/>
        <v>277415.196</v>
      </c>
      <c r="BK43" s="239">
        <f t="shared" ca="1" si="11"/>
        <v>1.3572836048730368</v>
      </c>
      <c r="BL43" s="238">
        <f t="shared" ca="1" si="12"/>
        <v>38305.200263486069</v>
      </c>
      <c r="BM43" s="238">
        <f t="shared" ca="1" si="13"/>
        <v>38562.085109092892</v>
      </c>
      <c r="BN43" s="238">
        <f t="shared" ca="1" si="14"/>
        <v>88692.795750913647</v>
      </c>
      <c r="BO43" s="608"/>
      <c r="BP43" s="539"/>
      <c r="BQ43" s="286"/>
      <c r="BR43" s="286"/>
    </row>
    <row r="44" spans="1:70" ht="13.5" customHeight="1" thickBot="1" x14ac:dyDescent="0.25">
      <c r="A44" s="827"/>
      <c r="B44" s="839"/>
      <c r="C44" s="830"/>
      <c r="D44" s="811"/>
      <c r="E44" s="830"/>
      <c r="F44" s="835"/>
      <c r="G44" s="1"/>
      <c r="H44" s="649"/>
      <c r="I44" s="539" t="s">
        <v>36</v>
      </c>
      <c r="J44" s="92"/>
      <c r="K44" s="93">
        <f ca="1">$J$6*K45</f>
        <v>1146952.9101549196</v>
      </c>
      <c r="L44" s="93">
        <f ca="1">$J$6*L45</f>
        <v>9749099.736316815</v>
      </c>
      <c r="M44" s="93">
        <f ca="1">$J$6*M45</f>
        <v>14336911.376936493</v>
      </c>
      <c r="N44" s="93">
        <f ca="1">J4*(1-J5)*J6</f>
        <v>14336911.376936493</v>
      </c>
      <c r="O44" s="93">
        <f t="shared" ref="O44:AF44" ca="1" si="16">$J$6*N45</f>
        <v>13347241.715091284</v>
      </c>
      <c r="P44" s="93">
        <f t="shared" ca="1" si="16"/>
        <v>12278398.480298458</v>
      </c>
      <c r="Q44" s="93">
        <f t="shared" ca="1" si="16"/>
        <v>11124047.786722206</v>
      </c>
      <c r="R44" s="93">
        <f t="shared" ca="1" si="16"/>
        <v>9877349.0376598518</v>
      </c>
      <c r="S44" s="93">
        <f t="shared" ca="1" si="16"/>
        <v>8530914.388672512</v>
      </c>
      <c r="T44" s="93">
        <f t="shared" ca="1" si="16"/>
        <v>7076764.9677661834</v>
      </c>
      <c r="U44" s="93">
        <f t="shared" ca="1" si="16"/>
        <v>5506283.5931873489</v>
      </c>
      <c r="V44" s="93">
        <f t="shared" ca="1" si="16"/>
        <v>3810163.7086422076</v>
      </c>
      <c r="W44" s="93">
        <f t="shared" ca="1" si="16"/>
        <v>1978354.2333334552</v>
      </c>
      <c r="X44" s="93">
        <f t="shared" ca="1" si="16"/>
        <v>2.5145709514617922E-9</v>
      </c>
      <c r="Y44" s="93">
        <f t="shared" ca="1" si="16"/>
        <v>2.7157366275787357E-9</v>
      </c>
      <c r="Z44" s="93">
        <f t="shared" ca="1" si="16"/>
        <v>2.9329955577850343E-9</v>
      </c>
      <c r="AA44" s="93">
        <f t="shared" ca="1" si="16"/>
        <v>3.1676352024078369E-9</v>
      </c>
      <c r="AB44" s="93">
        <f t="shared" ca="1" si="16"/>
        <v>3.4210460186004637E-9</v>
      </c>
      <c r="AC44" s="93">
        <f t="shared" ca="1" si="16"/>
        <v>3.6947297000885009E-9</v>
      </c>
      <c r="AD44" s="93">
        <f t="shared" ca="1" si="16"/>
        <v>3.9903080760955815E-9</v>
      </c>
      <c r="AE44" s="93">
        <f t="shared" ca="1" si="16"/>
        <v>4.3095327221832281E-9</v>
      </c>
      <c r="AF44" s="93">
        <f t="shared" ca="1" si="16"/>
        <v>4.6542953399578864E-9</v>
      </c>
      <c r="AG44" s="93">
        <f t="shared" ref="AG44:AP44" ca="1" si="17">$J$6*AF45</f>
        <v>5.0266389671545174E-9</v>
      </c>
      <c r="AH44" s="93">
        <f t="shared" ca="1" si="17"/>
        <v>5.4287700845268791E-9</v>
      </c>
      <c r="AI44" s="93">
        <f t="shared" ca="1" si="17"/>
        <v>5.8630716912890294E-9</v>
      </c>
      <c r="AJ44" s="93">
        <f t="shared" ca="1" si="17"/>
        <v>6.3321174265921521E-9</v>
      </c>
      <c r="AK44" s="93">
        <f t="shared" ca="1" si="17"/>
        <v>6.8386868207195239E-9</v>
      </c>
      <c r="AL44" s="93">
        <f t="shared" ca="1" si="17"/>
        <v>7.3857817663770857E-9</v>
      </c>
      <c r="AM44" s="93">
        <f t="shared" ca="1" si="17"/>
        <v>7.9766443076872541E-9</v>
      </c>
      <c r="AN44" s="93">
        <f t="shared" ca="1" si="17"/>
        <v>8.6147758523022341E-9</v>
      </c>
      <c r="AO44" s="93">
        <f t="shared" ca="1" si="17"/>
        <v>9.3039579204864133E-9</v>
      </c>
      <c r="AP44" s="93">
        <f t="shared" ca="1" si="17"/>
        <v>1.0048274554125326E-8</v>
      </c>
      <c r="AQ44" s="93">
        <f ca="1">$J$6*AF45</f>
        <v>5.0266389671545174E-9</v>
      </c>
      <c r="AR44" s="539"/>
      <c r="AS44" s="649"/>
      <c r="AT44" s="448" t="str">
        <f>IF(CAPEX!A44&lt;&gt;"",CAPEX!A44,"")</f>
        <v>P</v>
      </c>
      <c r="AU44" s="1263">
        <f>IF(CAPEX!B44&lt;&gt;"",CAPEX!B44,"")</f>
        <v>208</v>
      </c>
      <c r="AV44" s="448" t="str">
        <f>IF(CAPEX!C44&lt;&gt;"",CAPEX!C44,"")</f>
        <v>Oligomer Hold Tank Discharge</v>
      </c>
      <c r="AW44" s="648" t="s">
        <v>990</v>
      </c>
      <c r="AX44" s="448" t="str">
        <f>IF(CAPEX!F44&lt;&gt;"",CAPEX!F44,"")</f>
        <v>900 GPM, 150 FT TDH</v>
      </c>
      <c r="AY44" s="1285">
        <f>IF(CAPEX!G44&lt;&gt;"",CAPEX!G44,"")</f>
        <v>75</v>
      </c>
      <c r="AZ44" s="448" t="str">
        <f>IF(CAPEX!H44&lt;&gt;"",CAPEX!H44,"")</f>
        <v>316SS</v>
      </c>
      <c r="BA44" s="1285">
        <f>IF(CAPEX!J44&lt;&gt;"",CAPEX!J44,"")</f>
        <v>1</v>
      </c>
      <c r="BB44" s="293">
        <f>CAPEX!K44</f>
        <v>17408</v>
      </c>
      <c r="BC44" s="1272">
        <f>IF(CAPEX!L44&lt;&gt;"",CAPEX!L44,"")</f>
        <v>2010</v>
      </c>
      <c r="BD44" s="905">
        <f>IF(CAPEX!M44&lt;&gt;"",CAPEX!M44,"")</f>
        <v>17408</v>
      </c>
      <c r="BE44" s="900" t="str">
        <f>IF(CAPEX!N44&lt;&gt;"",CAPEX!N44,"")</f>
        <v>strm.a200.223</v>
      </c>
      <c r="BF44" s="1295">
        <f>IF(CAPEX!O44&lt;&gt;"",CAPEX!O44,"")</f>
        <v>292407</v>
      </c>
      <c r="BG44" s="904" t="str">
        <f>IF(CAPEX!P44&lt;&gt;"",CAPEX!P44,"")</f>
        <v>kg/hr</v>
      </c>
      <c r="BH44" s="907">
        <f>IF(CAPEX!Q44&lt;&gt;"",CAPEX!Q44,"")</f>
        <v>0.8</v>
      </c>
      <c r="BI44" s="907">
        <f>IF(CAPEX!R44&lt;&gt;"",CAPEX!R44,"")</f>
        <v>2.2999999999999998</v>
      </c>
      <c r="BJ44" s="436">
        <f t="shared" ca="1" si="10"/>
        <v>291537.27</v>
      </c>
      <c r="BK44" s="239">
        <f t="shared" ca="1" si="11"/>
        <v>0.9970256184017483</v>
      </c>
      <c r="BL44" s="238">
        <f t="shared" ca="1" si="12"/>
        <v>17366.565236816878</v>
      </c>
      <c r="BM44" s="238">
        <f t="shared" ca="1" si="13"/>
        <v>16565.710558140137</v>
      </c>
      <c r="BN44" s="238">
        <f t="shared" ca="1" si="14"/>
        <v>38101.134283722313</v>
      </c>
      <c r="BO44" s="608"/>
      <c r="BP44" s="539"/>
      <c r="BQ44" s="286"/>
      <c r="BR44" s="286"/>
    </row>
    <row r="45" spans="1:70" ht="13.5" customHeight="1" thickBot="1" x14ac:dyDescent="0.25">
      <c r="A45" s="830"/>
      <c r="B45" s="830"/>
      <c r="C45" s="830"/>
      <c r="D45" s="821" t="s">
        <v>18</v>
      </c>
      <c r="E45" s="821"/>
      <c r="F45" s="821"/>
      <c r="G45" s="1"/>
      <c r="H45" s="649"/>
      <c r="I45" s="538" t="s">
        <v>37</v>
      </c>
      <c r="J45" s="91"/>
      <c r="K45" s="94">
        <f ca="1">$J$4*(1-J5)*J24</f>
        <v>14336911.376936493</v>
      </c>
      <c r="L45" s="94">
        <f ca="1">J4*(1-J5)*J25+K45</f>
        <v>121863746.7039602</v>
      </c>
      <c r="M45" s="94">
        <f ca="1">J4*(1-J5)*J26+L45</f>
        <v>179211392.21170616</v>
      </c>
      <c r="N45" s="94">
        <f ca="1">J4*(1-J5)-N43+N44</f>
        <v>166840521.43864104</v>
      </c>
      <c r="O45" s="94">
        <f t="shared" ref="O45:AF45" ca="1" si="18">N45-O43+O44</f>
        <v>153479981.00373071</v>
      </c>
      <c r="P45" s="94">
        <f t="shared" ca="1" si="18"/>
        <v>139050597.33402756</v>
      </c>
      <c r="Q45" s="94">
        <f t="shared" ca="1" si="18"/>
        <v>123466862.97074816</v>
      </c>
      <c r="R45" s="94">
        <f t="shared" ca="1" si="18"/>
        <v>106636429.85840639</v>
      </c>
      <c r="S45" s="94">
        <f t="shared" ca="1" si="18"/>
        <v>88459562.097077295</v>
      </c>
      <c r="T45" s="94">
        <f t="shared" ca="1" si="18"/>
        <v>68828544.914841861</v>
      </c>
      <c r="U45" s="94">
        <f t="shared" ca="1" si="18"/>
        <v>47627046.358027592</v>
      </c>
      <c r="V45" s="94">
        <f t="shared" ca="1" si="18"/>
        <v>24729427.916668188</v>
      </c>
      <c r="W45" s="94">
        <f t="shared" ca="1" si="18"/>
        <v>3.14321368932724E-8</v>
      </c>
      <c r="X45" s="94">
        <f t="shared" ca="1" si="18"/>
        <v>3.3946707844734195E-8</v>
      </c>
      <c r="Y45" s="94">
        <f t="shared" ca="1" si="18"/>
        <v>3.6662444472312927E-8</v>
      </c>
      <c r="Z45" s="94">
        <f t="shared" ca="1" si="18"/>
        <v>3.9595440030097959E-8</v>
      </c>
      <c r="AA45" s="94">
        <f t="shared" ca="1" si="18"/>
        <v>4.2763075232505797E-8</v>
      </c>
      <c r="AB45" s="94">
        <f t="shared" ca="1" si="18"/>
        <v>4.618412125110626E-8</v>
      </c>
      <c r="AC45" s="94">
        <f t="shared" ca="1" si="18"/>
        <v>4.9878850951194764E-8</v>
      </c>
      <c r="AD45" s="94">
        <f t="shared" ca="1" si="18"/>
        <v>5.3869159027290348E-8</v>
      </c>
      <c r="AE45" s="94">
        <f t="shared" ca="1" si="18"/>
        <v>5.8178691749473577E-8</v>
      </c>
      <c r="AF45" s="94">
        <f t="shared" ca="1" si="18"/>
        <v>6.2832987089431469E-8</v>
      </c>
      <c r="AG45" s="94">
        <f t="shared" ref="AG45:AP45" ca="1" si="19">AF45-AG43+AG44</f>
        <v>6.785962605658599E-8</v>
      </c>
      <c r="AH45" s="94">
        <f t="shared" ca="1" si="19"/>
        <v>7.3288396141112865E-8</v>
      </c>
      <c r="AI45" s="94">
        <f t="shared" ca="1" si="19"/>
        <v>7.9151467832401901E-8</v>
      </c>
      <c r="AJ45" s="94">
        <f t="shared" ca="1" si="19"/>
        <v>8.5483585258994051E-8</v>
      </c>
      <c r="AK45" s="94">
        <f t="shared" ca="1" si="19"/>
        <v>9.2322272079713574E-8</v>
      </c>
      <c r="AL45" s="94">
        <f t="shared" ca="1" si="19"/>
        <v>9.9708053846090665E-8</v>
      </c>
      <c r="AM45" s="94">
        <f t="shared" ca="1" si="19"/>
        <v>1.0768469815377792E-7</v>
      </c>
      <c r="AN45" s="94">
        <f t="shared" ca="1" si="19"/>
        <v>1.1629947400608016E-7</v>
      </c>
      <c r="AO45" s="94">
        <f t="shared" ca="1" si="19"/>
        <v>1.2560343192656658E-7</v>
      </c>
      <c r="AP45" s="94">
        <f t="shared" ca="1" si="19"/>
        <v>1.3565170648069191E-7</v>
      </c>
      <c r="AQ45" s="94">
        <f ca="1">AF45-AQ43+AQ44</f>
        <v>6.785962605658599E-8</v>
      </c>
      <c r="AR45" s="538"/>
      <c r="AS45" s="650"/>
      <c r="AT45" s="448" t="str">
        <f>IF(CAPEX!A45&lt;&gt;"",CAPEX!A45,"")</f>
        <v>P</v>
      </c>
      <c r="AU45" s="1263">
        <f>IF(CAPEX!B45&lt;&gt;"",CAPEX!B45,"")</f>
        <v>209</v>
      </c>
      <c r="AV45" s="448" t="str">
        <f>IF(CAPEX!C45&lt;&gt;"",CAPEX!C45,"")</f>
        <v>Hydrolyzate Pump</v>
      </c>
      <c r="AW45" s="648" t="s">
        <v>991</v>
      </c>
      <c r="AX45" s="448" t="str">
        <f>IF(CAPEX!F45&lt;&gt;"",CAPEX!F45,"")</f>
        <v>1771 GPM, 150 FT TDH</v>
      </c>
      <c r="AY45" s="1285">
        <f>IF(CAPEX!G45&lt;&gt;"",CAPEX!G45,"")</f>
        <v>100</v>
      </c>
      <c r="AZ45" s="448" t="str">
        <f>IF(CAPEX!H45&lt;&gt;"",CAPEX!H45,"")</f>
        <v>316SS</v>
      </c>
      <c r="BA45" s="1285">
        <f>IF(CAPEX!J45&lt;&gt;"",CAPEX!J45,"")</f>
        <v>1</v>
      </c>
      <c r="BB45" s="293">
        <f>CAPEX!K45</f>
        <v>22500</v>
      </c>
      <c r="BC45" s="1272">
        <f>IF(CAPEX!L45&lt;&gt;"",CAPEX!L45,"")</f>
        <v>2009</v>
      </c>
      <c r="BD45" s="905">
        <f>IF(CAPEX!M45&lt;&gt;"",CAPEX!M45,"")</f>
        <v>22500</v>
      </c>
      <c r="BE45" s="900" t="str">
        <f>IF(CAPEX!N45&lt;&gt;"",CAPEX!N45,"")</f>
        <v>strm.a200.228</v>
      </c>
      <c r="BF45" s="1295">
        <f>IF(CAPEX!O45&lt;&gt;"",CAPEX!O45,"")</f>
        <v>402194</v>
      </c>
      <c r="BG45" s="904" t="str">
        <f>IF(CAPEX!P45&lt;&gt;"",CAPEX!P45,"")</f>
        <v>kg/hr</v>
      </c>
      <c r="BH45" s="907">
        <f>IF(CAPEX!Q45&lt;&gt;"",CAPEX!Q45,"")</f>
        <v>0.8</v>
      </c>
      <c r="BI45" s="907">
        <f>IF(CAPEX!R45&lt;&gt;"",CAPEX!R45,"")</f>
        <v>2.2999999999999998</v>
      </c>
      <c r="BJ45" s="436">
        <f t="shared" ca="1" si="10"/>
        <v>429389.386</v>
      </c>
      <c r="BK45" s="239">
        <f t="shared" ca="1" si="11"/>
        <v>1.0676175825596603</v>
      </c>
      <c r="BL45" s="238">
        <f t="shared" ca="1" si="12"/>
        <v>23709.101295515244</v>
      </c>
      <c r="BM45" s="238">
        <f t="shared" ca="1" si="13"/>
        <v>23868.100825184345</v>
      </c>
      <c r="BN45" s="238">
        <f t="shared" ca="1" si="14"/>
        <v>54896.631897923988</v>
      </c>
      <c r="BO45" s="608"/>
      <c r="BP45" s="539"/>
      <c r="BQ45" s="286"/>
      <c r="BR45" s="286"/>
    </row>
    <row r="46" spans="1:70" ht="13.5" customHeight="1" thickBot="1" x14ac:dyDescent="0.3">
      <c r="A46" s="830"/>
      <c r="B46" s="830"/>
      <c r="C46" s="830"/>
      <c r="D46" s="811" t="s">
        <v>16</v>
      </c>
      <c r="E46" s="830"/>
      <c r="F46" s="1469">
        <f ca="1">'Operating Summaries'!D41</f>
        <v>19.924855446216078</v>
      </c>
      <c r="G46" s="668"/>
      <c r="H46" s="649"/>
      <c r="I46" s="437" t="s">
        <v>2579</v>
      </c>
      <c r="J46" s="90" t="s">
        <v>268</v>
      </c>
      <c r="K46" s="90" t="s">
        <v>268</v>
      </c>
      <c r="L46" s="90" t="s">
        <v>268</v>
      </c>
      <c r="M46" s="90" t="s">
        <v>268</v>
      </c>
      <c r="N46" s="90">
        <f ca="1">($J$33*$J$35*1000000)*(1-J27)+($J$33*$J$35*1000000)*J27*J28</f>
        <v>114281746.08360857</v>
      </c>
      <c r="O46" s="90">
        <f t="shared" ref="O46:AP46" ca="1" si="20">$J$33*$J$35*1000000</f>
        <v>130607709.80983835</v>
      </c>
      <c r="P46" s="90">
        <f t="shared" ca="1" si="20"/>
        <v>130607709.80983835</v>
      </c>
      <c r="Q46" s="90">
        <f t="shared" ca="1" si="20"/>
        <v>130607709.80983835</v>
      </c>
      <c r="R46" s="90">
        <f t="shared" ca="1" si="20"/>
        <v>130607709.80983835</v>
      </c>
      <c r="S46" s="90">
        <f t="shared" ca="1" si="20"/>
        <v>130607709.80983835</v>
      </c>
      <c r="T46" s="90">
        <f t="shared" ca="1" si="20"/>
        <v>130607709.80983835</v>
      </c>
      <c r="U46" s="90">
        <f t="shared" ca="1" si="20"/>
        <v>130607709.80983835</v>
      </c>
      <c r="V46" s="90">
        <f t="shared" ca="1" si="20"/>
        <v>130607709.80983835</v>
      </c>
      <c r="W46" s="90">
        <f t="shared" ca="1" si="20"/>
        <v>130607709.80983835</v>
      </c>
      <c r="X46" s="90">
        <f t="shared" ca="1" si="20"/>
        <v>130607709.80983835</v>
      </c>
      <c r="Y46" s="90">
        <f t="shared" ca="1" si="20"/>
        <v>130607709.80983835</v>
      </c>
      <c r="Z46" s="90">
        <f t="shared" ca="1" si="20"/>
        <v>130607709.80983835</v>
      </c>
      <c r="AA46" s="90">
        <f t="shared" ca="1" si="20"/>
        <v>130607709.80983835</v>
      </c>
      <c r="AB46" s="90">
        <f t="shared" ca="1" si="20"/>
        <v>130607709.80983835</v>
      </c>
      <c r="AC46" s="90">
        <f t="shared" ca="1" si="20"/>
        <v>130607709.80983835</v>
      </c>
      <c r="AD46" s="90">
        <f t="shared" ca="1" si="20"/>
        <v>130607709.80983835</v>
      </c>
      <c r="AE46" s="90">
        <f t="shared" ca="1" si="20"/>
        <v>130607709.80983835</v>
      </c>
      <c r="AF46" s="90">
        <f t="shared" ca="1" si="20"/>
        <v>130607709.80983835</v>
      </c>
      <c r="AG46" s="90">
        <f t="shared" ca="1" si="20"/>
        <v>130607709.80983835</v>
      </c>
      <c r="AH46" s="90">
        <f t="shared" ca="1" si="20"/>
        <v>130607709.80983835</v>
      </c>
      <c r="AI46" s="90">
        <f t="shared" ca="1" si="20"/>
        <v>130607709.80983835</v>
      </c>
      <c r="AJ46" s="90">
        <f t="shared" ca="1" si="20"/>
        <v>130607709.80983835</v>
      </c>
      <c r="AK46" s="90">
        <f t="shared" ca="1" si="20"/>
        <v>130607709.80983835</v>
      </c>
      <c r="AL46" s="90">
        <f t="shared" ca="1" si="20"/>
        <v>130607709.80983835</v>
      </c>
      <c r="AM46" s="90">
        <f t="shared" ca="1" si="20"/>
        <v>130607709.80983835</v>
      </c>
      <c r="AN46" s="90">
        <f t="shared" ca="1" si="20"/>
        <v>130607709.80983835</v>
      </c>
      <c r="AO46" s="90">
        <f t="shared" ca="1" si="20"/>
        <v>130607709.80983835</v>
      </c>
      <c r="AP46" s="90">
        <f t="shared" ca="1" si="20"/>
        <v>130607709.80983835</v>
      </c>
      <c r="AQ46" s="90">
        <f ca="1">$J$33*$J$35*1000000</f>
        <v>130607709.80983835</v>
      </c>
      <c r="AR46" s="437"/>
      <c r="AS46" s="641"/>
      <c r="AT46" s="448" t="str">
        <f>IF(CAPEX!A46&lt;&gt;"",CAPEX!A46,"")</f>
        <v>P</v>
      </c>
      <c r="AU46" s="1263">
        <f>IF(CAPEX!B46&lt;&gt;"",CAPEX!B46,"")</f>
        <v>239</v>
      </c>
      <c r="AV46" s="448" t="str">
        <f>IF(CAPEX!C46&lt;&gt;"",CAPEX!C46,"")</f>
        <v>Reacidified Hydrolyzate Pump</v>
      </c>
      <c r="AW46" s="648" t="s">
        <v>991</v>
      </c>
      <c r="AX46" s="448" t="str">
        <f>IF(CAPEX!F46&lt;&gt;"",CAPEX!F46,"")</f>
        <v>1771 GPM, 100 FT TDH</v>
      </c>
      <c r="AY46" s="1285">
        <f>IF(CAPEX!G46&lt;&gt;"",CAPEX!G46,"")</f>
        <v>60</v>
      </c>
      <c r="AZ46" s="448" t="str">
        <f>IF(CAPEX!H46&lt;&gt;"",CAPEX!H46,"")</f>
        <v>316SS</v>
      </c>
      <c r="BA46" s="1285">
        <f>IF(CAPEX!J46&lt;&gt;"",CAPEX!J46,"")</f>
        <v>1</v>
      </c>
      <c r="BB46" s="293">
        <f>CAPEX!K46</f>
        <v>0</v>
      </c>
      <c r="BC46" s="1272">
        <f>IF(CAPEX!L46&lt;&gt;"",CAPEX!L46,"")</f>
        <v>2009</v>
      </c>
      <c r="BD46" s="905">
        <f>IF(CAPEX!M46&lt;&gt;"",CAPEX!M46,"")</f>
        <v>0</v>
      </c>
      <c r="BE46" s="900" t="str">
        <f>IF(CAPEX!N46&lt;&gt;"",CAPEX!N46,"")</f>
        <v>strm.a200.239</v>
      </c>
      <c r="BF46" s="1295">
        <f>IF(CAPEX!O46&lt;&gt;"",CAPEX!O46,"")</f>
        <v>402194</v>
      </c>
      <c r="BG46" s="904" t="str">
        <f>IF(CAPEX!P46&lt;&gt;"",CAPEX!P46,"")</f>
        <v>kg/hr</v>
      </c>
      <c r="BH46" s="907">
        <f>IF(CAPEX!Q46&lt;&gt;"",CAPEX!Q46,"")</f>
        <v>0.8</v>
      </c>
      <c r="BI46" s="907">
        <f>IF(CAPEX!R46&lt;&gt;"",CAPEX!R46,"")</f>
        <v>2.2999999999999998</v>
      </c>
      <c r="BJ46" s="436">
        <f t="shared" ca="1" si="10"/>
        <v>429389.71100000001</v>
      </c>
      <c r="BK46" s="239">
        <f t="shared" ca="1" si="11"/>
        <v>1.0676183906274086</v>
      </c>
      <c r="BL46" s="238">
        <f t="shared" ca="1" si="12"/>
        <v>0</v>
      </c>
      <c r="BM46" s="238">
        <f t="shared" ca="1" si="13"/>
        <v>0</v>
      </c>
      <c r="BN46" s="238">
        <f t="shared" ca="1" si="14"/>
        <v>0</v>
      </c>
      <c r="BO46" s="608"/>
      <c r="BP46" s="539"/>
      <c r="BQ46" s="286"/>
      <c r="BR46" s="286"/>
    </row>
    <row r="47" spans="1:70" ht="13.5" customHeight="1" thickBot="1" x14ac:dyDescent="0.3">
      <c r="A47" s="830"/>
      <c r="B47" s="830"/>
      <c r="C47" s="830"/>
      <c r="D47" s="811" t="s">
        <v>17</v>
      </c>
      <c r="E47" s="830"/>
      <c r="F47" s="835">
        <f ca="1">VLOOKUP("SACHDAYS",INDIRECT(LU_SENS),2,FALSE)</f>
        <v>3.5</v>
      </c>
      <c r="G47" s="378"/>
      <c r="H47" s="649"/>
      <c r="I47" s="437" t="s">
        <v>39</v>
      </c>
      <c r="J47" s="90" t="s">
        <v>268</v>
      </c>
      <c r="K47" s="90" t="s">
        <v>268</v>
      </c>
      <c r="L47" s="90" t="s">
        <v>268</v>
      </c>
      <c r="M47" s="90" t="s">
        <v>268</v>
      </c>
      <c r="N47" s="90">
        <f ca="1">($S$122*1000000)*(1-J27)+($S$122*1000000)*J27*J28</f>
        <v>4369939.238439885</v>
      </c>
      <c r="O47" s="90">
        <f t="shared" ref="O47:AQ47" ca="1" si="21">$S$122*1000000</f>
        <v>4994216.2725027259</v>
      </c>
      <c r="P47" s="90">
        <f t="shared" ca="1" si="21"/>
        <v>4994216.2725027259</v>
      </c>
      <c r="Q47" s="90">
        <f t="shared" ca="1" si="21"/>
        <v>4994216.2725027259</v>
      </c>
      <c r="R47" s="90">
        <f t="shared" ca="1" si="21"/>
        <v>4994216.2725027259</v>
      </c>
      <c r="S47" s="90">
        <f t="shared" ca="1" si="21"/>
        <v>4994216.2725027259</v>
      </c>
      <c r="T47" s="90">
        <f t="shared" ca="1" si="21"/>
        <v>4994216.2725027259</v>
      </c>
      <c r="U47" s="90">
        <f t="shared" ca="1" si="21"/>
        <v>4994216.2725027259</v>
      </c>
      <c r="V47" s="90">
        <f t="shared" ca="1" si="21"/>
        <v>4994216.2725027259</v>
      </c>
      <c r="W47" s="90">
        <f t="shared" ca="1" si="21"/>
        <v>4994216.2725027259</v>
      </c>
      <c r="X47" s="90">
        <f t="shared" ca="1" si="21"/>
        <v>4994216.2725027259</v>
      </c>
      <c r="Y47" s="90">
        <f t="shared" ca="1" si="21"/>
        <v>4994216.2725027259</v>
      </c>
      <c r="Z47" s="90">
        <f t="shared" ca="1" si="21"/>
        <v>4994216.2725027259</v>
      </c>
      <c r="AA47" s="90">
        <f t="shared" ca="1" si="21"/>
        <v>4994216.2725027259</v>
      </c>
      <c r="AB47" s="90">
        <f t="shared" ca="1" si="21"/>
        <v>4994216.2725027259</v>
      </c>
      <c r="AC47" s="90">
        <f t="shared" ca="1" si="21"/>
        <v>4994216.2725027259</v>
      </c>
      <c r="AD47" s="90">
        <f t="shared" ca="1" si="21"/>
        <v>4994216.2725027259</v>
      </c>
      <c r="AE47" s="90">
        <f t="shared" ca="1" si="21"/>
        <v>4994216.2725027259</v>
      </c>
      <c r="AF47" s="90">
        <f t="shared" ca="1" si="21"/>
        <v>4994216.2725027259</v>
      </c>
      <c r="AG47" s="90">
        <f t="shared" ca="1" si="21"/>
        <v>4994216.2725027259</v>
      </c>
      <c r="AH47" s="90">
        <f t="shared" ca="1" si="21"/>
        <v>4994216.2725027259</v>
      </c>
      <c r="AI47" s="90">
        <f t="shared" ca="1" si="21"/>
        <v>4994216.2725027259</v>
      </c>
      <c r="AJ47" s="90">
        <f t="shared" ca="1" si="21"/>
        <v>4994216.2725027259</v>
      </c>
      <c r="AK47" s="90">
        <f t="shared" ca="1" si="21"/>
        <v>4994216.2725027259</v>
      </c>
      <c r="AL47" s="90">
        <f t="shared" ca="1" si="21"/>
        <v>4994216.2725027259</v>
      </c>
      <c r="AM47" s="90">
        <f t="shared" ca="1" si="21"/>
        <v>4994216.2725027259</v>
      </c>
      <c r="AN47" s="90">
        <f t="shared" ca="1" si="21"/>
        <v>4994216.2725027259</v>
      </c>
      <c r="AO47" s="90">
        <f t="shared" ca="1" si="21"/>
        <v>4994216.2725027259</v>
      </c>
      <c r="AP47" s="90">
        <f t="shared" ca="1" si="21"/>
        <v>4994216.2725027259</v>
      </c>
      <c r="AQ47" s="90">
        <f t="shared" ca="1" si="21"/>
        <v>4994216.2725027259</v>
      </c>
      <c r="AR47" s="437"/>
      <c r="AS47" s="641"/>
      <c r="AT47" s="448" t="str">
        <f>IF(CAPEX!A47&lt;&gt;"",CAPEX!A47,"")</f>
        <v>S</v>
      </c>
      <c r="AU47" s="1263">
        <f>IF(CAPEX!B47&lt;&gt;"",CAPEX!B47,"")</f>
        <v>205</v>
      </c>
      <c r="AV47" s="448" t="str">
        <f>IF(CAPEX!C47&lt;&gt;"",CAPEX!C47,"")</f>
        <v>Hydrolyzate Solid-Liquid Separator</v>
      </c>
      <c r="AW47" s="279"/>
      <c r="AX47" s="448" t="str">
        <f>IF(CAPEX!F47&lt;&gt;"",CAPEX!F47,"")</f>
        <v/>
      </c>
      <c r="AY47" s="1285" t="str">
        <f>IF(CAPEX!G47&lt;&gt;"",CAPEX!G47,"")</f>
        <v/>
      </c>
      <c r="AZ47" s="448" t="str">
        <f>IF(CAPEX!H47&lt;&gt;"",CAPEX!H47,"")</f>
        <v/>
      </c>
      <c r="BA47" s="1285" t="str">
        <f>IF(CAPEX!J47&lt;&gt;"",CAPEX!J47,"")</f>
        <v/>
      </c>
      <c r="BB47" s="293">
        <f>CAPEX!K47</f>
        <v>35000000</v>
      </c>
      <c r="BC47" s="1272">
        <f>IF(CAPEX!L47&lt;&gt;"",CAPEX!L47,"")</f>
        <v>2009</v>
      </c>
      <c r="BD47" s="899">
        <f>IF(CAPEX!M47&lt;&gt;"",CAPEX!M47,"")</f>
        <v>35000000</v>
      </c>
      <c r="BE47" s="900" t="str">
        <f>IF(CAPEX!N47&lt;&gt;"",CAPEX!N47,"")</f>
        <v>scis.a200.254b</v>
      </c>
      <c r="BF47" s="1293">
        <f>IF(CAPEX!O47&lt;&gt;"",CAPEX!O47,"")</f>
        <v>39000</v>
      </c>
      <c r="BG47" s="898" t="str">
        <f>IF(CAPEX!P47&lt;&gt;"",CAPEX!P47,"")</f>
        <v>kg/hr</v>
      </c>
      <c r="BH47" s="907">
        <f>IF(CAPEX!Q47&lt;&gt;"",CAPEX!Q47,"")</f>
        <v>0.7</v>
      </c>
      <c r="BI47" s="907">
        <f>IF(CAPEX!R47&lt;&gt;"",CAPEX!R47,"")</f>
        <v>1.7</v>
      </c>
      <c r="BJ47" s="436">
        <f ca="1">IF(BE47&lt;&gt;"",VLOOKUP(BE47,INDIRECT(LU_SENS),2,FALSE),"")</f>
        <v>0</v>
      </c>
      <c r="BK47" s="239">
        <f ca="1">BJ47/BF47</f>
        <v>0</v>
      </c>
      <c r="BL47" s="238">
        <f ca="1">BD47*BK47^BH47</f>
        <v>0</v>
      </c>
      <c r="BM47" s="238">
        <f ca="1">BL47*VLOOKUP($J$34,INDIRECT(IX_CAP),4,FALSE)/VLOOKUP(BC47,INDIRECT(IX_CAP),4,FALSE)</f>
        <v>0</v>
      </c>
      <c r="BN47" s="238">
        <f ca="1">BM47*BI47</f>
        <v>0</v>
      </c>
      <c r="BO47" s="608"/>
    </row>
    <row r="48" spans="1:70" ht="13.5" customHeight="1" thickBot="1" x14ac:dyDescent="0.3">
      <c r="A48" s="830"/>
      <c r="B48" s="830"/>
      <c r="C48" s="830"/>
      <c r="G48" s="378"/>
      <c r="H48" s="649"/>
      <c r="I48" s="538" t="s">
        <v>40</v>
      </c>
      <c r="J48" s="91"/>
      <c r="K48" s="91"/>
      <c r="L48" s="91"/>
      <c r="M48" s="91"/>
      <c r="N48" s="91">
        <f t="shared" ref="N48:AF48" ca="1" si="22">N46+N47</f>
        <v>118651685.32204846</v>
      </c>
      <c r="O48" s="91">
        <f t="shared" ca="1" si="22"/>
        <v>135601926.08234107</v>
      </c>
      <c r="P48" s="91">
        <f t="shared" ca="1" si="22"/>
        <v>135601926.08234107</v>
      </c>
      <c r="Q48" s="91">
        <f t="shared" ca="1" si="22"/>
        <v>135601926.08234107</v>
      </c>
      <c r="R48" s="91">
        <f t="shared" ca="1" si="22"/>
        <v>135601926.08234107</v>
      </c>
      <c r="S48" s="91">
        <f t="shared" ca="1" si="22"/>
        <v>135601926.08234107</v>
      </c>
      <c r="T48" s="91">
        <f t="shared" ca="1" si="22"/>
        <v>135601926.08234107</v>
      </c>
      <c r="U48" s="91">
        <f t="shared" ca="1" si="22"/>
        <v>135601926.08234107</v>
      </c>
      <c r="V48" s="91">
        <f t="shared" ca="1" si="22"/>
        <v>135601926.08234107</v>
      </c>
      <c r="W48" s="91">
        <f t="shared" ca="1" si="22"/>
        <v>135601926.08234107</v>
      </c>
      <c r="X48" s="91">
        <f t="shared" ca="1" si="22"/>
        <v>135601926.08234107</v>
      </c>
      <c r="Y48" s="91">
        <f t="shared" ca="1" si="22"/>
        <v>135601926.08234107</v>
      </c>
      <c r="Z48" s="91">
        <f t="shared" ca="1" si="22"/>
        <v>135601926.08234107</v>
      </c>
      <c r="AA48" s="91">
        <f t="shared" ca="1" si="22"/>
        <v>135601926.08234107</v>
      </c>
      <c r="AB48" s="91">
        <f t="shared" ca="1" si="22"/>
        <v>135601926.08234107</v>
      </c>
      <c r="AC48" s="91">
        <f t="shared" ca="1" si="22"/>
        <v>135601926.08234107</v>
      </c>
      <c r="AD48" s="91">
        <f t="shared" ca="1" si="22"/>
        <v>135601926.08234107</v>
      </c>
      <c r="AE48" s="91">
        <f t="shared" ca="1" si="22"/>
        <v>135601926.08234107</v>
      </c>
      <c r="AF48" s="91">
        <f t="shared" ca="1" si="22"/>
        <v>135601926.08234107</v>
      </c>
      <c r="AG48" s="91">
        <f t="shared" ref="AG48:AP48" ca="1" si="23">AG46+AG47</f>
        <v>135601926.08234107</v>
      </c>
      <c r="AH48" s="91">
        <f t="shared" ca="1" si="23"/>
        <v>135601926.08234107</v>
      </c>
      <c r="AI48" s="91">
        <f t="shared" ca="1" si="23"/>
        <v>135601926.08234107</v>
      </c>
      <c r="AJ48" s="91">
        <f t="shared" ca="1" si="23"/>
        <v>135601926.08234107</v>
      </c>
      <c r="AK48" s="91">
        <f t="shared" ca="1" si="23"/>
        <v>135601926.08234107</v>
      </c>
      <c r="AL48" s="91">
        <f t="shared" ca="1" si="23"/>
        <v>135601926.08234107</v>
      </c>
      <c r="AM48" s="91">
        <f t="shared" ca="1" si="23"/>
        <v>135601926.08234107</v>
      </c>
      <c r="AN48" s="91">
        <f t="shared" ca="1" si="23"/>
        <v>135601926.08234107</v>
      </c>
      <c r="AO48" s="91">
        <f t="shared" ca="1" si="23"/>
        <v>135601926.08234107</v>
      </c>
      <c r="AP48" s="91">
        <f t="shared" ca="1" si="23"/>
        <v>135601926.08234107</v>
      </c>
      <c r="AQ48" s="91">
        <f ca="1">AQ46+AQ47</f>
        <v>135601926.08234107</v>
      </c>
      <c r="AR48" s="538"/>
      <c r="AS48" s="650"/>
      <c r="AT48" s="448" t="str">
        <f>IF(CAPEX!A48&lt;&gt;"",CAPEX!A48,"")</f>
        <v>T</v>
      </c>
      <c r="AU48" s="1263">
        <f>IF(CAPEX!B48&lt;&gt;"",CAPEX!B48,"")</f>
        <v>201</v>
      </c>
      <c r="AV48" s="448" t="str">
        <f>IF(CAPEX!C48&lt;&gt;"",CAPEX!C48,"")</f>
        <v>Sulfuric Acid Tank</v>
      </c>
      <c r="AW48" s="648"/>
      <c r="AX48" s="448" t="str">
        <f>IF(CAPEX!F48&lt;&gt;"",CAPEX!F48,"")</f>
        <v>12,800 gal, 24hr residence time</v>
      </c>
      <c r="AY48" s="1285" t="str">
        <f>IF(CAPEX!G48&lt;&gt;"",CAPEX!G48,"")</f>
        <v/>
      </c>
      <c r="AZ48" s="448" t="str">
        <f>IF(CAPEX!H48&lt;&gt;"",CAPEX!H48,"")</f>
        <v>PLASTIC</v>
      </c>
      <c r="BA48" s="1285">
        <f>IF(CAPEX!J48&lt;&gt;"",CAPEX!J48,"")</f>
        <v>1</v>
      </c>
      <c r="BB48" s="293">
        <f>CAPEX!K48</f>
        <v>6210</v>
      </c>
      <c r="BC48" s="1272">
        <f>IF(CAPEX!L48&lt;&gt;"",CAPEX!L48,"")</f>
        <v>2010</v>
      </c>
      <c r="BD48" s="905">
        <f>IF(CAPEX!M48&lt;&gt;"",CAPEX!M48,"")</f>
        <v>6210</v>
      </c>
      <c r="BE48" s="900" t="str">
        <f>IF(CAPEX!N48&lt;&gt;"",CAPEX!N48,"")</f>
        <v>strm.710</v>
      </c>
      <c r="BF48" s="1295">
        <f>IF(CAPEX!O48&lt;&gt;"",CAPEX!O48,"")</f>
        <v>1981</v>
      </c>
      <c r="BG48" s="904" t="str">
        <f>IF(CAPEX!P48&lt;&gt;"",CAPEX!P48,"")</f>
        <v>kg/hr</v>
      </c>
      <c r="BH48" s="907">
        <f>IF(CAPEX!Q48&lt;&gt;"",CAPEX!Q48,"")</f>
        <v>0.7</v>
      </c>
      <c r="BI48" s="907">
        <f>IF(CAPEX!R48&lt;&gt;"",CAPEX!R48,"")</f>
        <v>3</v>
      </c>
      <c r="BJ48" s="436">
        <f ca="1">IF(BE48&lt;&gt;"",VLOOKUP(BE48,INDIRECT(LU_SENS),2,FALSE),"")</f>
        <v>1980.6120000000003</v>
      </c>
      <c r="BK48" s="239">
        <f ca="1">BJ48/BF48</f>
        <v>0.99980413932357415</v>
      </c>
      <c r="BL48" s="238">
        <f ca="1">BD48*BK48^BH48</f>
        <v>6209.1485686239002</v>
      </c>
      <c r="BM48" s="238">
        <f ca="1">BL48*VLOOKUP($J$34,INDIRECT(IX_CAP),4,FALSE)/VLOOKUP(BC48,INDIRECT(IX_CAP),4,FALSE)</f>
        <v>5922.815283142696</v>
      </c>
      <c r="BN48" s="238">
        <f ca="1">BM48*BI48</f>
        <v>17768.445849428088</v>
      </c>
      <c r="BO48" s="608"/>
      <c r="BP48" s="539"/>
      <c r="BQ48" s="286"/>
      <c r="BR48" s="286"/>
    </row>
    <row r="49" spans="1:70" ht="13.5" customHeight="1" thickBot="1" x14ac:dyDescent="0.3">
      <c r="A49" s="830"/>
      <c r="B49" s="830"/>
      <c r="C49" s="830"/>
      <c r="G49" s="378"/>
      <c r="H49" s="649"/>
      <c r="I49" s="437" t="s">
        <v>269</v>
      </c>
      <c r="J49" s="437"/>
      <c r="K49" s="437"/>
      <c r="L49" s="437"/>
      <c r="M49" s="437"/>
      <c r="N49" s="437"/>
      <c r="O49" s="437"/>
      <c r="P49" s="437"/>
      <c r="Q49" s="437"/>
      <c r="R49" s="437"/>
      <c r="S49" s="437"/>
      <c r="T49" s="437"/>
      <c r="U49" s="437"/>
      <c r="V49" s="437"/>
      <c r="W49" s="437"/>
      <c r="X49" s="437"/>
      <c r="Y49" s="437"/>
      <c r="Z49" s="437"/>
      <c r="AA49" s="437"/>
      <c r="AB49" s="437"/>
      <c r="AC49" s="437"/>
      <c r="AD49" s="437"/>
      <c r="AE49" s="437"/>
      <c r="AF49" s="437"/>
      <c r="AG49" s="437"/>
      <c r="AH49" s="437"/>
      <c r="AI49" s="437"/>
      <c r="AJ49" s="437"/>
      <c r="AK49" s="437"/>
      <c r="AL49" s="437"/>
      <c r="AM49" s="437"/>
      <c r="AN49" s="437"/>
      <c r="AO49" s="437"/>
      <c r="AP49" s="437"/>
      <c r="AQ49" s="437"/>
      <c r="AR49" s="437"/>
      <c r="AS49" s="641"/>
      <c r="AT49" s="448" t="str">
        <f>IF(CAPEX!A49&lt;&gt;"",CAPEX!A49,"")</f>
        <v>T</v>
      </c>
      <c r="AU49" s="1263">
        <f>IF(CAPEX!B49&lt;&gt;"",CAPEX!B49,"")</f>
        <v>203</v>
      </c>
      <c r="AV49" s="448" t="str">
        <f>IF(CAPEX!C49&lt;&gt;"",CAPEX!C49,"")</f>
        <v>Blowdown Tank</v>
      </c>
      <c r="AW49" s="648" t="s">
        <v>844</v>
      </c>
      <c r="AX49" s="448" t="str">
        <f>IF(CAPEX!F49&lt;&gt;"",CAPEX!F49,"")</f>
        <v>23' x 48' - 25 min. - 110,000 gal.</v>
      </c>
      <c r="AY49" s="1285" t="str">
        <f>IF(CAPEX!G49&lt;&gt;"",CAPEX!G49,"")</f>
        <v/>
      </c>
      <c r="AZ49" s="448" t="str">
        <f>IF(CAPEX!H49&lt;&gt;"",CAPEX!H49,"")</f>
        <v>SS316</v>
      </c>
      <c r="BA49" s="1285">
        <f>IF(CAPEX!J49&lt;&gt;"",CAPEX!J49,"")</f>
        <v>1</v>
      </c>
      <c r="BB49" s="293" t="str">
        <f>CAPEX!K49</f>
        <v>INCLUDED</v>
      </c>
      <c r="BC49" s="1273" t="str">
        <f>IF(CAPEX!L49&lt;&gt;"",CAPEX!L49,"")</f>
        <v/>
      </c>
      <c r="BD49" s="902" t="str">
        <f>IF(CAPEX!M49&lt;&gt;"",CAPEX!M49,"")</f>
        <v/>
      </c>
      <c r="BE49" s="902" t="str">
        <f>IF(CAPEX!N49&lt;&gt;"",CAPEX!N49,"")</f>
        <v/>
      </c>
      <c r="BF49" s="1291" t="str">
        <f>IF(CAPEX!O49&lt;&gt;"",CAPEX!O49,"")</f>
        <v/>
      </c>
      <c r="BG49" s="901" t="str">
        <f>IF(CAPEX!P49&lt;&gt;"",CAPEX!P49,"")</f>
        <v/>
      </c>
      <c r="BH49" s="903" t="str">
        <f>IF(CAPEX!Q49&lt;&gt;"",CAPEX!Q49,"")</f>
        <v/>
      </c>
      <c r="BI49" s="903" t="str">
        <f>IF(CAPEX!R49&lt;&gt;"",CAPEX!R49,"")</f>
        <v/>
      </c>
      <c r="BJ49" s="436"/>
      <c r="BK49" s="249"/>
      <c r="BL49" s="249"/>
      <c r="BM49" s="249"/>
      <c r="BN49" s="249"/>
      <c r="BO49" s="608"/>
      <c r="BP49" s="539"/>
      <c r="BQ49" s="286"/>
      <c r="BR49" s="286"/>
    </row>
    <row r="50" spans="1:70" ht="13.5" customHeight="1" thickBot="1" x14ac:dyDescent="0.3">
      <c r="A50" s="830"/>
      <c r="B50" s="830"/>
      <c r="C50" s="830"/>
      <c r="G50" s="378"/>
      <c r="H50" s="649"/>
      <c r="I50" s="532" t="s">
        <v>1847</v>
      </c>
      <c r="J50" s="437"/>
      <c r="K50" s="437"/>
      <c r="L50" s="437"/>
      <c r="M50" s="437"/>
      <c r="N50" s="90">
        <f ca="1">($S$99*1000000)*(1-J27)+($S$99*1000000)*(J27)*J29</f>
        <v>42355896.866053447</v>
      </c>
      <c r="O50" s="90">
        <f t="shared" ref="O50:AP50" ca="1" si="24">$S$99*1000000</f>
        <v>45179623.323790342</v>
      </c>
      <c r="P50" s="90">
        <f t="shared" ca="1" si="24"/>
        <v>45179623.323790342</v>
      </c>
      <c r="Q50" s="90">
        <f t="shared" ca="1" si="24"/>
        <v>45179623.323790342</v>
      </c>
      <c r="R50" s="90">
        <f t="shared" ca="1" si="24"/>
        <v>45179623.323790342</v>
      </c>
      <c r="S50" s="90">
        <f t="shared" ca="1" si="24"/>
        <v>45179623.323790342</v>
      </c>
      <c r="T50" s="90">
        <f t="shared" ca="1" si="24"/>
        <v>45179623.323790342</v>
      </c>
      <c r="U50" s="90">
        <f t="shared" ca="1" si="24"/>
        <v>45179623.323790342</v>
      </c>
      <c r="V50" s="90">
        <f t="shared" ca="1" si="24"/>
        <v>45179623.323790342</v>
      </c>
      <c r="W50" s="90">
        <f t="shared" ca="1" si="24"/>
        <v>45179623.323790342</v>
      </c>
      <c r="X50" s="90">
        <f t="shared" ca="1" si="24"/>
        <v>45179623.323790342</v>
      </c>
      <c r="Y50" s="90">
        <f t="shared" ca="1" si="24"/>
        <v>45179623.323790342</v>
      </c>
      <c r="Z50" s="90">
        <f t="shared" ca="1" si="24"/>
        <v>45179623.323790342</v>
      </c>
      <c r="AA50" s="90">
        <f t="shared" ca="1" si="24"/>
        <v>45179623.323790342</v>
      </c>
      <c r="AB50" s="90">
        <f t="shared" ca="1" si="24"/>
        <v>45179623.323790342</v>
      </c>
      <c r="AC50" s="90">
        <f t="shared" ca="1" si="24"/>
        <v>45179623.323790342</v>
      </c>
      <c r="AD50" s="90">
        <f t="shared" ca="1" si="24"/>
        <v>45179623.323790342</v>
      </c>
      <c r="AE50" s="90">
        <f t="shared" ca="1" si="24"/>
        <v>45179623.323790342</v>
      </c>
      <c r="AF50" s="90">
        <f t="shared" ca="1" si="24"/>
        <v>45179623.323790342</v>
      </c>
      <c r="AG50" s="90">
        <f t="shared" ca="1" si="24"/>
        <v>45179623.323790342</v>
      </c>
      <c r="AH50" s="90">
        <f t="shared" ca="1" si="24"/>
        <v>45179623.323790342</v>
      </c>
      <c r="AI50" s="90">
        <f t="shared" ca="1" si="24"/>
        <v>45179623.323790342</v>
      </c>
      <c r="AJ50" s="90">
        <f t="shared" ca="1" si="24"/>
        <v>45179623.323790342</v>
      </c>
      <c r="AK50" s="90">
        <f t="shared" ca="1" si="24"/>
        <v>45179623.323790342</v>
      </c>
      <c r="AL50" s="90">
        <f t="shared" ca="1" si="24"/>
        <v>45179623.323790342</v>
      </c>
      <c r="AM50" s="90">
        <f t="shared" ca="1" si="24"/>
        <v>45179623.323790342</v>
      </c>
      <c r="AN50" s="90">
        <f t="shared" ca="1" si="24"/>
        <v>45179623.323790342</v>
      </c>
      <c r="AO50" s="90">
        <f t="shared" ca="1" si="24"/>
        <v>45179623.323790342</v>
      </c>
      <c r="AP50" s="90">
        <f t="shared" ca="1" si="24"/>
        <v>45179623.323790342</v>
      </c>
      <c r="AQ50" s="90">
        <f ca="1">$S$99*1000000</f>
        <v>45179623.323790342</v>
      </c>
      <c r="AR50" s="90" t="s">
        <v>268</v>
      </c>
      <c r="AS50" s="303" t="s">
        <v>268</v>
      </c>
      <c r="AT50" s="448" t="str">
        <f>IF(CAPEX!A50&lt;&gt;"",CAPEX!A50,"")</f>
        <v>T</v>
      </c>
      <c r="AU50" s="1263">
        <f>IF(CAPEX!B50&lt;&gt;"",CAPEX!B50,"")</f>
        <v>204</v>
      </c>
      <c r="AV50" s="448" t="str">
        <f>IF(CAPEX!C50&lt;&gt;"",CAPEX!C50,"")</f>
        <v>Flash Tank</v>
      </c>
      <c r="AW50" s="648"/>
      <c r="AX50" s="448" t="str">
        <f>IF(CAPEX!F50&lt;&gt;"",CAPEX!F50,"")</f>
        <v>23' x 48' - 110,000 gal.</v>
      </c>
      <c r="AY50" s="1285" t="str">
        <f>IF(CAPEX!G50&lt;&gt;"",CAPEX!G50,"")</f>
        <v/>
      </c>
      <c r="AZ50" s="448" t="str">
        <f>IF(CAPEX!H50&lt;&gt;"",CAPEX!H50,"")</f>
        <v>SS316</v>
      </c>
      <c r="BA50" s="1285">
        <f>IF(CAPEX!J50&lt;&gt;"",CAPEX!J50,"")</f>
        <v>1</v>
      </c>
      <c r="BB50" s="293">
        <f>CAPEX!K50</f>
        <v>511000</v>
      </c>
      <c r="BC50" s="1272">
        <f>IF(CAPEX!L50&lt;&gt;"",CAPEX!L50,"")</f>
        <v>2009</v>
      </c>
      <c r="BD50" s="905">
        <f>IF(CAPEX!M50&lt;&gt;"",CAPEX!M50,"")</f>
        <v>511000</v>
      </c>
      <c r="BE50" s="900" t="str">
        <f>IF(CAPEX!N50&lt;&gt;"",CAPEX!N50,"")</f>
        <v>strm.a200.223</v>
      </c>
      <c r="BF50" s="1294">
        <f>IF(CAPEX!O50&lt;&gt;"",CAPEX!O50,"")</f>
        <v>264116</v>
      </c>
      <c r="BG50" s="908" t="str">
        <f>IF(CAPEX!P50&lt;&gt;"",CAPEX!P50,"")</f>
        <v>kg/hr</v>
      </c>
      <c r="BH50" s="907">
        <f>IF(CAPEX!Q50&lt;&gt;"",CAPEX!Q50,"")</f>
        <v>0.7</v>
      </c>
      <c r="BI50" s="907">
        <f>IF(CAPEX!R50&lt;&gt;"",CAPEX!R50,"")</f>
        <v>2</v>
      </c>
      <c r="BJ50" s="436">
        <f ca="1">IF(BE50&lt;&gt;"",VLOOKUP(BE50,INDIRECT(LU_SENS),2,FALSE),"")</f>
        <v>291537.27</v>
      </c>
      <c r="BK50" s="239">
        <f ca="1">BJ50/BF50</f>
        <v>1.1038228278483697</v>
      </c>
      <c r="BL50" s="238">
        <f ca="1">BD50*BK50^BH50</f>
        <v>547583.63459309726</v>
      </c>
      <c r="BM50" s="238">
        <f ca="1">BL50*VLOOKUP($J$34,INDIRECT(IX_CAP),4,FALSE)/VLOOKUP(BC50,INDIRECT(IX_CAP),4,FALSE)</f>
        <v>551255.87586743303</v>
      </c>
      <c r="BN50" s="238">
        <f ca="1">BM50*BI50</f>
        <v>1102511.7517348661</v>
      </c>
      <c r="BO50" s="608"/>
      <c r="BP50" s="539"/>
      <c r="BQ50" s="286"/>
      <c r="BR50" s="286"/>
    </row>
    <row r="51" spans="1:70" ht="13.5" customHeight="1" thickBot="1" x14ac:dyDescent="0.3">
      <c r="D51" s="189"/>
      <c r="F51" s="378"/>
      <c r="G51" s="378"/>
      <c r="H51" s="649"/>
      <c r="I51" s="531" t="s">
        <v>270</v>
      </c>
      <c r="J51" s="437"/>
      <c r="K51" s="437"/>
      <c r="L51" s="437"/>
      <c r="M51" s="437"/>
      <c r="N51" s="90">
        <f>J11</f>
        <v>0</v>
      </c>
      <c r="O51" s="90"/>
      <c r="P51" s="90"/>
      <c r="Q51" s="90"/>
      <c r="R51" s="90"/>
      <c r="S51" s="90">
        <f>J11</f>
        <v>0</v>
      </c>
      <c r="T51" s="90"/>
      <c r="U51" s="90"/>
      <c r="V51" s="90"/>
      <c r="W51" s="90"/>
      <c r="X51" s="90">
        <f>J11</f>
        <v>0</v>
      </c>
      <c r="Y51" s="90"/>
      <c r="Z51" s="90"/>
      <c r="AA51" s="90"/>
      <c r="AB51" s="90"/>
      <c r="AC51" s="90">
        <f>J11</f>
        <v>0</v>
      </c>
      <c r="AD51" s="90"/>
      <c r="AE51" s="90"/>
      <c r="AF51" s="90"/>
      <c r="AG51" s="90"/>
      <c r="AH51" s="90"/>
      <c r="AI51" s="90"/>
      <c r="AJ51" s="90"/>
      <c r="AK51" s="90"/>
      <c r="AL51" s="90"/>
      <c r="AM51" s="90"/>
      <c r="AN51" s="90"/>
      <c r="AO51" s="90"/>
      <c r="AP51" s="90"/>
      <c r="AQ51" s="90"/>
      <c r="AR51" s="90"/>
      <c r="AS51" s="303"/>
      <c r="AT51" s="448" t="str">
        <f>IF(CAPEX!A51&lt;&gt;"",CAPEX!A51,"")</f>
        <v>T</v>
      </c>
      <c r="AU51" s="1263">
        <f>IF(CAPEX!B51&lt;&gt;"",CAPEX!B51,"")</f>
        <v>208</v>
      </c>
      <c r="AV51" s="448" t="str">
        <f>IF(CAPEX!C51&lt;&gt;"",CAPEX!C51,"")</f>
        <v>Oligomer Conversion Tank</v>
      </c>
      <c r="AW51" s="648"/>
      <c r="AX51" s="448" t="str">
        <f>IF(CAPEX!F51&lt;&gt;"",CAPEX!F51,"")</f>
        <v>2.6 atm, 130C operating
30 min. hold = 30,000 gal</v>
      </c>
      <c r="AY51" s="1285" t="str">
        <f>IF(CAPEX!G51&lt;&gt;"",CAPEX!G51,"")</f>
        <v/>
      </c>
      <c r="AZ51" s="448" t="str">
        <f>IF(CAPEX!H51&lt;&gt;"",CAPEX!H51,"")</f>
        <v>SS316</v>
      </c>
      <c r="BA51" s="1285">
        <f>IF(CAPEX!J51&lt;&gt;"",CAPEX!J51,"")</f>
        <v>1</v>
      </c>
      <c r="BB51" s="293">
        <f>CAPEX!K51</f>
        <v>203000</v>
      </c>
      <c r="BC51" s="1272">
        <f>IF(CAPEX!L51&lt;&gt;"",CAPEX!L51,"")</f>
        <v>2009</v>
      </c>
      <c r="BD51" s="905">
        <f>IF(CAPEX!M51&lt;&gt;"",CAPEX!M51,"")</f>
        <v>203000</v>
      </c>
      <c r="BE51" s="900" t="str">
        <f>IF(CAPEX!N51&lt;&gt;"",CAPEX!N51,"")</f>
        <v>strm.a200.223</v>
      </c>
      <c r="BF51" s="1294">
        <f>IF(CAPEX!O51&lt;&gt;"",CAPEX!O51,"")</f>
        <v>264116</v>
      </c>
      <c r="BG51" s="908" t="str">
        <f>IF(CAPEX!P51&lt;&gt;"",CAPEX!P51,"")</f>
        <v>kg/hr</v>
      </c>
      <c r="BH51" s="907">
        <f>IF(CAPEX!Q51&lt;&gt;"",CAPEX!Q51,"")</f>
        <v>0.7</v>
      </c>
      <c r="BI51" s="907">
        <f>IF(CAPEX!R51&lt;&gt;"",CAPEX!R51,"")</f>
        <v>2</v>
      </c>
      <c r="BJ51" s="436">
        <f ca="1">IF(BE51&lt;&gt;"",VLOOKUP(BE51,INDIRECT(LU_SENS),2,FALSE),"")</f>
        <v>291537.27</v>
      </c>
      <c r="BK51" s="239">
        <f ca="1">BJ51/BF51</f>
        <v>1.1038228278483697</v>
      </c>
      <c r="BL51" s="238">
        <f ca="1">BD51*BK51^BH51</f>
        <v>217533.22470136741</v>
      </c>
      <c r="BM51" s="238">
        <f ca="1">BL51*VLOOKUP($J$34,INDIRECT(IX_CAP),4,FALSE)/VLOOKUP(BC51,INDIRECT(IX_CAP),4,FALSE)</f>
        <v>218992.06027610353</v>
      </c>
      <c r="BN51" s="238">
        <f ca="1">BM51*BI51</f>
        <v>437984.12055220705</v>
      </c>
      <c r="BO51" s="608"/>
      <c r="BP51" s="92" t="s">
        <v>268</v>
      </c>
      <c r="BQ51" s="286"/>
      <c r="BR51" s="286"/>
    </row>
    <row r="52" spans="1:70" ht="13.5" customHeight="1" thickBot="1" x14ac:dyDescent="0.3">
      <c r="D52" s="189"/>
      <c r="F52" s="382"/>
      <c r="G52" s="382"/>
      <c r="H52" s="649"/>
      <c r="I52" s="531" t="s">
        <v>51</v>
      </c>
      <c r="J52" s="437"/>
      <c r="K52" s="437"/>
      <c r="L52" s="437"/>
      <c r="M52" s="437"/>
      <c r="N52" s="90">
        <f ca="1">J12</f>
        <v>466182.90115532733</v>
      </c>
      <c r="O52" s="90"/>
      <c r="P52" s="90"/>
      <c r="Q52" s="90"/>
      <c r="R52" s="90"/>
      <c r="S52" s="90">
        <f ca="1">J12</f>
        <v>466182.90115532733</v>
      </c>
      <c r="T52" s="90"/>
      <c r="U52" s="90"/>
      <c r="V52" s="90"/>
      <c r="W52" s="90"/>
      <c r="X52" s="90">
        <f ca="1">J12</f>
        <v>466182.90115532733</v>
      </c>
      <c r="Y52" s="90"/>
      <c r="Z52" s="90"/>
      <c r="AA52" s="90"/>
      <c r="AB52" s="90"/>
      <c r="AC52" s="90">
        <f ca="1">J12</f>
        <v>466182.90115532733</v>
      </c>
      <c r="AD52" s="90"/>
      <c r="AE52" s="90"/>
      <c r="AF52" s="90"/>
      <c r="AG52" s="90"/>
      <c r="AH52" s="90">
        <f ca="1">AC52</f>
        <v>466182.90115532733</v>
      </c>
      <c r="AI52" s="90"/>
      <c r="AJ52" s="90"/>
      <c r="AK52" s="90"/>
      <c r="AL52" s="90"/>
      <c r="AM52" s="90">
        <f ca="1">AH52</f>
        <v>466182.90115532733</v>
      </c>
      <c r="AN52" s="90"/>
      <c r="AO52" s="90"/>
      <c r="AP52" s="90"/>
      <c r="AQ52" s="90"/>
      <c r="AR52" s="90"/>
      <c r="AS52" s="303"/>
      <c r="AT52" s="448" t="str">
        <f>IF(CAPEX!A52&lt;&gt;"",CAPEX!A52,"")</f>
        <v>T</v>
      </c>
      <c r="AU52" s="1263">
        <f>IF(CAPEX!B52&lt;&gt;"",CAPEX!B52,"")</f>
        <v>209</v>
      </c>
      <c r="AV52" s="448" t="str">
        <f>IF(CAPEX!C52&lt;&gt;"",CAPEX!C52,"")</f>
        <v>Ammonia Addition Tank</v>
      </c>
      <c r="AW52" s="648"/>
      <c r="AX52" s="448" t="str">
        <f>IF(CAPEX!F52&lt;&gt;"",CAPEX!F52,"")</f>
        <v>118,000 gal, 1hr residence time</v>
      </c>
      <c r="AY52" s="1285" t="str">
        <f>IF(CAPEX!G52&lt;&gt;"",CAPEX!G52,"")</f>
        <v/>
      </c>
      <c r="AZ52" s="448" t="str">
        <f>IF(CAPEX!H52&lt;&gt;"",CAPEX!H52,"")</f>
        <v>SS304</v>
      </c>
      <c r="BA52" s="1285">
        <f>IF(CAPEX!J52&lt;&gt;"",CAPEX!J52,"")</f>
        <v>1</v>
      </c>
      <c r="BB52" s="293">
        <f>CAPEX!K52</f>
        <v>236000</v>
      </c>
      <c r="BC52" s="1272">
        <f>IF(CAPEX!L52&lt;&gt;"",CAPEX!L52,"")</f>
        <v>2009</v>
      </c>
      <c r="BD52" s="905">
        <f>IF(CAPEX!M52&lt;&gt;"",CAPEX!M52,"")</f>
        <v>236000</v>
      </c>
      <c r="BE52" s="900" t="str">
        <f>IF(CAPEX!N52&lt;&gt;"",CAPEX!N52,"")</f>
        <v>strm.a200.228</v>
      </c>
      <c r="BF52" s="1294">
        <f>IF(CAPEX!O52&lt;&gt;"",CAPEX!O52,"")</f>
        <v>410369</v>
      </c>
      <c r="BG52" s="908" t="str">
        <f>IF(CAPEX!P52&lt;&gt;"",CAPEX!P52,"")</f>
        <v>kg/hr</v>
      </c>
      <c r="BH52" s="907">
        <f>IF(CAPEX!Q52&lt;&gt;"",CAPEX!Q52,"")</f>
        <v>0.7</v>
      </c>
      <c r="BI52" s="907">
        <f>IF(CAPEX!R52&lt;&gt;"",CAPEX!R52,"")</f>
        <v>2</v>
      </c>
      <c r="BJ52" s="436">
        <f ca="1">IF(BE52&lt;&gt;"",VLOOKUP(BE52,INDIRECT(LU_SENS),2,FALSE),"")</f>
        <v>429389.386</v>
      </c>
      <c r="BK52" s="239">
        <f ca="1">BJ52/BF52</f>
        <v>1.0463494708420957</v>
      </c>
      <c r="BL52" s="238">
        <f ca="1">BD52*BK52^BH52</f>
        <v>243604.73991270899</v>
      </c>
      <c r="BM52" s="238">
        <f ca="1">BL52*VLOOKUP($J$34,INDIRECT(IX_CAP),4,FALSE)/VLOOKUP(BC52,INDIRECT(IX_CAP),4,FALSE)</f>
        <v>245238.41799221555</v>
      </c>
      <c r="BN52" s="238">
        <f ca="1">BM52*BI52</f>
        <v>490476.83598443109</v>
      </c>
      <c r="BO52" s="608"/>
      <c r="BP52" s="92"/>
      <c r="BQ52" s="286"/>
      <c r="BR52" s="286"/>
    </row>
    <row r="53" spans="1:70" ht="13.5" customHeight="1" x14ac:dyDescent="0.2">
      <c r="A53" s="649"/>
      <c r="B53" s="649"/>
      <c r="C53" s="649"/>
      <c r="D53" s="649"/>
      <c r="E53" s="649"/>
      <c r="F53" s="649"/>
      <c r="G53" s="649"/>
      <c r="H53" s="649"/>
      <c r="I53" s="437" t="s">
        <v>271</v>
      </c>
      <c r="J53" s="437"/>
      <c r="K53" s="437"/>
      <c r="L53" s="437"/>
      <c r="M53" s="437"/>
      <c r="N53" s="90">
        <f ca="1">((SUM($S$100:$S$112)+SUM($S$116:$S$116))*1000000)*(1-J27)+((SUM($S$100:$S$112)+SUM($S$116:$S$116))*1000000)*J27*J29</f>
        <v>38270844.019106194</v>
      </c>
      <c r="O53" s="90">
        <f t="shared" ref="O53:AQ53" ca="1" si="25">(SUM($S$100:$S$112)+SUM($S$116:$S$116))*1000000</f>
        <v>40822233.62037994</v>
      </c>
      <c r="P53" s="90">
        <f t="shared" ca="1" si="25"/>
        <v>40822233.62037994</v>
      </c>
      <c r="Q53" s="90">
        <f t="shared" ca="1" si="25"/>
        <v>40822233.62037994</v>
      </c>
      <c r="R53" s="90">
        <f t="shared" ca="1" si="25"/>
        <v>40822233.62037994</v>
      </c>
      <c r="S53" s="90">
        <f t="shared" ca="1" si="25"/>
        <v>40822233.62037994</v>
      </c>
      <c r="T53" s="90">
        <f t="shared" ca="1" si="25"/>
        <v>40822233.62037994</v>
      </c>
      <c r="U53" s="90">
        <f t="shared" ca="1" si="25"/>
        <v>40822233.62037994</v>
      </c>
      <c r="V53" s="90">
        <f t="shared" ca="1" si="25"/>
        <v>40822233.62037994</v>
      </c>
      <c r="W53" s="90">
        <f t="shared" ca="1" si="25"/>
        <v>40822233.62037994</v>
      </c>
      <c r="X53" s="90">
        <f t="shared" ca="1" si="25"/>
        <v>40822233.62037994</v>
      </c>
      <c r="Y53" s="90">
        <f t="shared" ca="1" si="25"/>
        <v>40822233.62037994</v>
      </c>
      <c r="Z53" s="90">
        <f t="shared" ca="1" si="25"/>
        <v>40822233.62037994</v>
      </c>
      <c r="AA53" s="90">
        <f t="shared" ca="1" si="25"/>
        <v>40822233.62037994</v>
      </c>
      <c r="AB53" s="90">
        <f t="shared" ca="1" si="25"/>
        <v>40822233.62037994</v>
      </c>
      <c r="AC53" s="90">
        <f t="shared" ca="1" si="25"/>
        <v>40822233.62037994</v>
      </c>
      <c r="AD53" s="90">
        <f t="shared" ca="1" si="25"/>
        <v>40822233.62037994</v>
      </c>
      <c r="AE53" s="90">
        <f t="shared" ca="1" si="25"/>
        <v>40822233.62037994</v>
      </c>
      <c r="AF53" s="90">
        <f t="shared" ca="1" si="25"/>
        <v>40822233.62037994</v>
      </c>
      <c r="AG53" s="90">
        <f t="shared" ca="1" si="25"/>
        <v>40822233.62037994</v>
      </c>
      <c r="AH53" s="90">
        <f t="shared" ca="1" si="25"/>
        <v>40822233.62037994</v>
      </c>
      <c r="AI53" s="90">
        <f t="shared" ca="1" si="25"/>
        <v>40822233.62037994</v>
      </c>
      <c r="AJ53" s="90">
        <f t="shared" ca="1" si="25"/>
        <v>40822233.62037994</v>
      </c>
      <c r="AK53" s="90">
        <f t="shared" ca="1" si="25"/>
        <v>40822233.62037994</v>
      </c>
      <c r="AL53" s="90">
        <f t="shared" ca="1" si="25"/>
        <v>40822233.62037994</v>
      </c>
      <c r="AM53" s="90">
        <f t="shared" ca="1" si="25"/>
        <v>40822233.62037994</v>
      </c>
      <c r="AN53" s="90">
        <f t="shared" ca="1" si="25"/>
        <v>40822233.62037994</v>
      </c>
      <c r="AO53" s="90">
        <f t="shared" ca="1" si="25"/>
        <v>40822233.62037994</v>
      </c>
      <c r="AP53" s="90">
        <f t="shared" ca="1" si="25"/>
        <v>40822233.62037994</v>
      </c>
      <c r="AQ53" s="90">
        <f t="shared" ca="1" si="25"/>
        <v>40822233.62037994</v>
      </c>
      <c r="AR53" s="437"/>
      <c r="AS53" s="641"/>
      <c r="AT53" s="448" t="str">
        <f>IF(CAPEX!A53&lt;&gt;"",CAPEX!A53,"")</f>
        <v>T</v>
      </c>
      <c r="AU53" s="1263">
        <f>IF(CAPEX!B53&lt;&gt;"",CAPEX!B53,"")</f>
        <v>224</v>
      </c>
      <c r="AV53" s="448" t="str">
        <f>IF(CAPEX!C53&lt;&gt;"",CAPEX!C53,"")</f>
        <v>Reacidification Tank</v>
      </c>
      <c r="AW53" s="648" t="s">
        <v>891</v>
      </c>
      <c r="AX53" s="448" t="str">
        <f>IF(CAPEX!F53&lt;&gt;"",CAPEX!F53,"")</f>
        <v>500,000 gallon</v>
      </c>
      <c r="AY53" s="1285" t="str">
        <f>IF(CAPEX!G53&lt;&gt;"",CAPEX!G53,"")</f>
        <v/>
      </c>
      <c r="AZ53" s="448" t="str">
        <f>IF(CAPEX!H53&lt;&gt;"",CAPEX!H53,"")</f>
        <v>SS304</v>
      </c>
      <c r="BA53" s="1285">
        <f>IF(CAPEX!J53&lt;&gt;"",CAPEX!J53,"")</f>
        <v>1</v>
      </c>
      <c r="BB53" s="293">
        <f>CAPEX!K53</f>
        <v>0</v>
      </c>
      <c r="BC53" s="1272">
        <f>IF(CAPEX!L53&lt;&gt;"",CAPEX!L53,"")</f>
        <v>2009</v>
      </c>
      <c r="BD53" s="905">
        <f>IF(CAPEX!M53&lt;&gt;"",CAPEX!M53,"")</f>
        <v>0</v>
      </c>
      <c r="BE53" s="900" t="str">
        <f>IF(CAPEX!N53&lt;&gt;"",CAPEX!N53,"")</f>
        <v>strm.a200.239</v>
      </c>
      <c r="BF53" s="1294">
        <f>IF(CAPEX!O53&lt;&gt;"",CAPEX!O53,"")</f>
        <v>410369</v>
      </c>
      <c r="BG53" s="908" t="str">
        <f>IF(CAPEX!P53&lt;&gt;"",CAPEX!P53,"")</f>
        <v>kg/hr</v>
      </c>
      <c r="BH53" s="907">
        <f>IF(CAPEX!Q53&lt;&gt;"",CAPEX!Q53,"")</f>
        <v>0.7</v>
      </c>
      <c r="BI53" s="907">
        <f>IF(CAPEX!R53&lt;&gt;"",CAPEX!R53,"")</f>
        <v>2</v>
      </c>
      <c r="BJ53" s="436">
        <f ca="1">IF(BE53&lt;&gt;"",VLOOKUP(BE53,INDIRECT(LU_SENS),2,FALSE),"")</f>
        <v>429389.71100000001</v>
      </c>
      <c r="BK53" s="239">
        <f ca="1">BJ53/BF53</f>
        <v>1.0463502628122494</v>
      </c>
      <c r="BL53" s="238">
        <f ca="1">BD53*BK53^BH53</f>
        <v>0</v>
      </c>
      <c r="BM53" s="238">
        <f ca="1">BL53*VLOOKUP($J$34,INDIRECT(IX_CAP),4,FALSE)/VLOOKUP(BC53,INDIRECT(IX_CAP),4,FALSE)</f>
        <v>0</v>
      </c>
      <c r="BN53" s="238">
        <f ca="1">BM53*BI53</f>
        <v>0</v>
      </c>
      <c r="BO53" s="608"/>
      <c r="BP53" s="92"/>
      <c r="BQ53" s="286"/>
      <c r="BR53" s="286"/>
    </row>
    <row r="54" spans="1:70" ht="13.5" customHeight="1" thickBot="1" x14ac:dyDescent="0.25">
      <c r="A54" s="651"/>
      <c r="B54" s="651"/>
      <c r="C54" s="651"/>
      <c r="D54" s="651"/>
      <c r="E54" s="651"/>
      <c r="F54" s="651"/>
      <c r="G54" s="651"/>
      <c r="H54" s="649"/>
      <c r="I54" s="437" t="s">
        <v>272</v>
      </c>
      <c r="J54" s="437"/>
      <c r="K54" s="437"/>
      <c r="L54" s="437"/>
      <c r="M54" s="437"/>
      <c r="N54" s="90">
        <f ca="1">($AB$117)*(1-J27)+($AB$117)*J27*J30</f>
        <v>9662877.0821741037</v>
      </c>
      <c r="O54" s="90">
        <f t="shared" ref="O54:AQ54" ca="1" si="26">$AB$117</f>
        <v>9662877.0821741037</v>
      </c>
      <c r="P54" s="90">
        <f t="shared" ca="1" si="26"/>
        <v>9662877.0821741037</v>
      </c>
      <c r="Q54" s="90">
        <f t="shared" ca="1" si="26"/>
        <v>9662877.0821741037</v>
      </c>
      <c r="R54" s="90">
        <f t="shared" ca="1" si="26"/>
        <v>9662877.0821741037</v>
      </c>
      <c r="S54" s="90">
        <f t="shared" ca="1" si="26"/>
        <v>9662877.0821741037</v>
      </c>
      <c r="T54" s="90">
        <f t="shared" ca="1" si="26"/>
        <v>9662877.0821741037</v>
      </c>
      <c r="U54" s="90">
        <f t="shared" ca="1" si="26"/>
        <v>9662877.0821741037</v>
      </c>
      <c r="V54" s="90">
        <f t="shared" ca="1" si="26"/>
        <v>9662877.0821741037</v>
      </c>
      <c r="W54" s="90">
        <f t="shared" ca="1" si="26"/>
        <v>9662877.0821741037</v>
      </c>
      <c r="X54" s="90">
        <f t="shared" ca="1" si="26"/>
        <v>9662877.0821741037</v>
      </c>
      <c r="Y54" s="90">
        <f t="shared" ca="1" si="26"/>
        <v>9662877.0821741037</v>
      </c>
      <c r="Z54" s="90">
        <f t="shared" ca="1" si="26"/>
        <v>9662877.0821741037</v>
      </c>
      <c r="AA54" s="90">
        <f t="shared" ca="1" si="26"/>
        <v>9662877.0821741037</v>
      </c>
      <c r="AB54" s="90">
        <f t="shared" ca="1" si="26"/>
        <v>9662877.0821741037</v>
      </c>
      <c r="AC54" s="90">
        <f t="shared" ca="1" si="26"/>
        <v>9662877.0821741037</v>
      </c>
      <c r="AD54" s="90">
        <f t="shared" ca="1" si="26"/>
        <v>9662877.0821741037</v>
      </c>
      <c r="AE54" s="90">
        <f t="shared" ca="1" si="26"/>
        <v>9662877.0821741037</v>
      </c>
      <c r="AF54" s="90">
        <f t="shared" ca="1" si="26"/>
        <v>9662877.0821741037</v>
      </c>
      <c r="AG54" s="90">
        <f t="shared" ca="1" si="26"/>
        <v>9662877.0821741037</v>
      </c>
      <c r="AH54" s="90">
        <f t="shared" ca="1" si="26"/>
        <v>9662877.0821741037</v>
      </c>
      <c r="AI54" s="90">
        <f t="shared" ca="1" si="26"/>
        <v>9662877.0821741037</v>
      </c>
      <c r="AJ54" s="90">
        <f t="shared" ca="1" si="26"/>
        <v>9662877.0821741037</v>
      </c>
      <c r="AK54" s="90">
        <f t="shared" ca="1" si="26"/>
        <v>9662877.0821741037</v>
      </c>
      <c r="AL54" s="90">
        <f t="shared" ca="1" si="26"/>
        <v>9662877.0821741037</v>
      </c>
      <c r="AM54" s="90">
        <f t="shared" ca="1" si="26"/>
        <v>9662877.0821741037</v>
      </c>
      <c r="AN54" s="90">
        <f t="shared" ca="1" si="26"/>
        <v>9662877.0821741037</v>
      </c>
      <c r="AO54" s="90">
        <f t="shared" ca="1" si="26"/>
        <v>9662877.0821741037</v>
      </c>
      <c r="AP54" s="90">
        <f t="shared" ca="1" si="26"/>
        <v>9662877.0821741037</v>
      </c>
      <c r="AQ54" s="90">
        <f t="shared" ca="1" si="26"/>
        <v>9662877.0821741037</v>
      </c>
      <c r="AR54" s="437"/>
      <c r="AS54" s="641"/>
      <c r="AT54" s="222"/>
      <c r="AU54" s="1266"/>
      <c r="AV54" s="612"/>
      <c r="AW54" s="613"/>
      <c r="AX54" s="614"/>
      <c r="AY54" s="1304"/>
      <c r="AZ54" s="423"/>
      <c r="BA54" s="1286"/>
      <c r="BB54" s="224"/>
      <c r="BC54" s="1275"/>
      <c r="BD54" s="241">
        <f>SUM(BD18:BD53)</f>
        <v>56211053</v>
      </c>
      <c r="BE54" s="241"/>
      <c r="BF54" s="1296"/>
      <c r="BG54" s="241"/>
      <c r="BH54" s="434"/>
      <c r="BI54" s="468"/>
      <c r="BJ54" s="458"/>
      <c r="BK54" s="241"/>
      <c r="BL54" s="241">
        <f ca="1">SUM(BL18:BL53)</f>
        <v>21347895.433177151</v>
      </c>
      <c r="BM54" s="241">
        <f ca="1">SUM(BM18:BM53)</f>
        <v>21482950.471781306</v>
      </c>
      <c r="BN54" s="242">
        <f ca="1">SUM(BN18:BN53)</f>
        <v>32954613.856789459</v>
      </c>
      <c r="BO54" s="608"/>
      <c r="BP54" s="539"/>
      <c r="BQ54" s="286"/>
      <c r="BR54" s="286"/>
    </row>
    <row r="55" spans="1:70" ht="13.5" customHeight="1" thickBot="1" x14ac:dyDescent="0.25">
      <c r="A55" s="652" t="s">
        <v>452</v>
      </c>
      <c r="B55" s="653"/>
      <c r="C55" s="438"/>
      <c r="D55" s="652" t="s">
        <v>455</v>
      </c>
      <c r="E55" s="652"/>
      <c r="F55" s="653"/>
      <c r="G55" s="653"/>
      <c r="H55" s="649"/>
      <c r="I55" s="538" t="s">
        <v>273</v>
      </c>
      <c r="J55" s="538"/>
      <c r="K55" s="538"/>
      <c r="L55" s="538"/>
      <c r="M55" s="538"/>
      <c r="N55" s="91">
        <f t="shared" ref="N55:AF55" ca="1" si="27">SUM(N50:N54)</f>
        <v>90755800.868489072</v>
      </c>
      <c r="O55" s="91">
        <f t="shared" ca="1" si="27"/>
        <v>95664734.026344389</v>
      </c>
      <c r="P55" s="91">
        <f t="shared" ca="1" si="27"/>
        <v>95664734.026344389</v>
      </c>
      <c r="Q55" s="91">
        <f t="shared" ca="1" si="27"/>
        <v>95664734.026344389</v>
      </c>
      <c r="R55" s="91">
        <f t="shared" ca="1" si="27"/>
        <v>95664734.026344389</v>
      </c>
      <c r="S55" s="91">
        <f t="shared" ca="1" si="27"/>
        <v>96130916.927499726</v>
      </c>
      <c r="T55" s="91">
        <f t="shared" ca="1" si="27"/>
        <v>95664734.026344389</v>
      </c>
      <c r="U55" s="91">
        <f t="shared" ca="1" si="27"/>
        <v>95664734.026344389</v>
      </c>
      <c r="V55" s="91">
        <f t="shared" ca="1" si="27"/>
        <v>95664734.026344389</v>
      </c>
      <c r="W55" s="91">
        <f t="shared" ca="1" si="27"/>
        <v>95664734.026344389</v>
      </c>
      <c r="X55" s="91">
        <f t="shared" ca="1" si="27"/>
        <v>96130916.927499726</v>
      </c>
      <c r="Y55" s="91">
        <f t="shared" ca="1" si="27"/>
        <v>95664734.026344389</v>
      </c>
      <c r="Z55" s="91">
        <f t="shared" ca="1" si="27"/>
        <v>95664734.026344389</v>
      </c>
      <c r="AA55" s="91">
        <f t="shared" ca="1" si="27"/>
        <v>95664734.026344389</v>
      </c>
      <c r="AB55" s="91">
        <f t="shared" ca="1" si="27"/>
        <v>95664734.026344389</v>
      </c>
      <c r="AC55" s="91">
        <f t="shared" ca="1" si="27"/>
        <v>96130916.927499726</v>
      </c>
      <c r="AD55" s="91">
        <f t="shared" ca="1" si="27"/>
        <v>95664734.026344389</v>
      </c>
      <c r="AE55" s="91">
        <f t="shared" ca="1" si="27"/>
        <v>95664734.026344389</v>
      </c>
      <c r="AF55" s="91">
        <f t="shared" ca="1" si="27"/>
        <v>95664734.026344389</v>
      </c>
      <c r="AG55" s="91">
        <f t="shared" ref="AG55:AP55" ca="1" si="28">SUM(AG50:AG54)</f>
        <v>95664734.026344389</v>
      </c>
      <c r="AH55" s="91">
        <f t="shared" ca="1" si="28"/>
        <v>96130916.927499726</v>
      </c>
      <c r="AI55" s="91">
        <f t="shared" ca="1" si="28"/>
        <v>95664734.026344389</v>
      </c>
      <c r="AJ55" s="91">
        <f t="shared" ca="1" si="28"/>
        <v>95664734.026344389</v>
      </c>
      <c r="AK55" s="91">
        <f t="shared" ca="1" si="28"/>
        <v>95664734.026344389</v>
      </c>
      <c r="AL55" s="91">
        <f t="shared" ca="1" si="28"/>
        <v>95664734.026344389</v>
      </c>
      <c r="AM55" s="91">
        <f t="shared" ca="1" si="28"/>
        <v>96130916.927499726</v>
      </c>
      <c r="AN55" s="91">
        <f t="shared" ca="1" si="28"/>
        <v>95664734.026344389</v>
      </c>
      <c r="AO55" s="91">
        <f t="shared" ca="1" si="28"/>
        <v>95664734.026344389</v>
      </c>
      <c r="AP55" s="91">
        <f t="shared" ca="1" si="28"/>
        <v>95664734.026344389</v>
      </c>
      <c r="AQ55" s="91">
        <f ca="1">SUM(AQ50:AQ54)</f>
        <v>95664734.026344389</v>
      </c>
      <c r="AR55" s="538"/>
      <c r="AS55" s="650"/>
      <c r="AT55" s="448" t="str">
        <f>IF(CAPEX!A55&lt;&gt;"",CAPEX!A55,"")</f>
        <v>A</v>
      </c>
      <c r="AU55" s="1263">
        <f>IF(CAPEX!B55&lt;&gt;"",CAPEX!B55,"")</f>
        <v>300</v>
      </c>
      <c r="AV55" s="448" t="str">
        <f>IF(CAPEX!C55&lt;&gt;"",CAPEX!C55,"")</f>
        <v>Ethanol Fermentor Agitator</v>
      </c>
      <c r="AW55" s="648" t="s">
        <v>989</v>
      </c>
      <c r="AX55" s="448" t="str">
        <f>IF(CAPEX!F55&lt;&gt;"",CAPEX!F55,"")</f>
        <v/>
      </c>
      <c r="AY55" s="1285" t="str">
        <f>IF(CAPEX!G55&lt;&gt;"",CAPEX!G55,"")</f>
        <v>30 hp</v>
      </c>
      <c r="AZ55" s="448" t="str">
        <f>IF(CAPEX!H55&lt;&gt;"",CAPEX!H55,"")</f>
        <v>SS304</v>
      </c>
      <c r="BA55" s="1285">
        <f>IF(CAPEX!J55&lt;&gt;"",CAPEX!J55,"")</f>
        <v>1</v>
      </c>
      <c r="BB55" s="293">
        <f>CAPEX!K55</f>
        <v>52500</v>
      </c>
      <c r="BC55" s="1272">
        <f>IF(CAPEX!L55&lt;&gt;"",CAPEX!L55,"")</f>
        <v>2009</v>
      </c>
      <c r="BD55" s="905">
        <f>IF(CAPEX!M55&lt;&gt;"",CAPEX!M55,"")</f>
        <v>52500</v>
      </c>
      <c r="BE55" s="900" t="str">
        <f>IF(CAPEX!N55&lt;&gt;"",CAPEX!N55,"")</f>
        <v>inumsscf</v>
      </c>
      <c r="BF55" s="1295">
        <f>IF(CAPEX!O55&lt;&gt;"",CAPEX!O55,"")</f>
        <v>1</v>
      </c>
      <c r="BG55" s="904" t="str">
        <f>IF(CAPEX!P55&lt;&gt;"",CAPEX!P55,"")</f>
        <v>ea</v>
      </c>
      <c r="BH55" s="907">
        <f>IF(CAPEX!Q55&lt;&gt;"",CAPEX!Q55,"")</f>
        <v>1</v>
      </c>
      <c r="BI55" s="907">
        <f>IF(CAPEX!R55&lt;&gt;"",CAPEX!R55,"")</f>
        <v>1.5</v>
      </c>
      <c r="BJ55" s="913">
        <f ca="1">BP57</f>
        <v>8</v>
      </c>
      <c r="BK55" s="239">
        <f t="shared" ref="BK55:BK68" ca="1" si="29">BJ55/BF55</f>
        <v>8</v>
      </c>
      <c r="BL55" s="238">
        <f t="shared" ref="BL55:BL68" ca="1" si="30">BD55*BK55^BH55</f>
        <v>420000</v>
      </c>
      <c r="BM55" s="238">
        <f t="shared" ref="BM55:BM68" ca="1" si="31">BL55*VLOOKUP($J$34,INDIRECT(IX_CAP),4,FALSE)/VLOOKUP(BC55,INDIRECT(IX_CAP),4,FALSE)</f>
        <v>422816.63153860893</v>
      </c>
      <c r="BN55" s="238">
        <f t="shared" ref="BN55:BN68" ca="1" si="32">BM55*BI55</f>
        <v>634224.94730791333</v>
      </c>
      <c r="BO55" s="608" t="s">
        <v>974</v>
      </c>
      <c r="BP55" s="436">
        <f ca="1">VLOOKUP("INUMSSCF",INDIRECT(LU_SENS),2,FALSE)</f>
        <v>12</v>
      </c>
      <c r="BQ55" s="286"/>
      <c r="BR55" s="286"/>
    </row>
    <row r="56" spans="1:70" ht="13.5" customHeight="1" thickBot="1" x14ac:dyDescent="0.25">
      <c r="A56" s="438" t="s">
        <v>424</v>
      </c>
      <c r="B56" s="1122">
        <f ca="1">VLOOKUP( "CMIX.H2SO4.A200.217", INDIRECT(LU_SENS), 2, FALSE )/( VLOOKUP( "CMIX.H2SO4.A200.217", INDIRECT(LU_SENS), 2, FALSE ) + VLOOKUP( "CMIX.H2O.A200.217", INDIRECT(LU_SENS), 2, FALSE ))*100</f>
        <v>0.81702170837888777</v>
      </c>
      <c r="C56" s="438"/>
      <c r="D56" s="728" t="s">
        <v>1103</v>
      </c>
      <c r="E56" s="437"/>
      <c r="F56" s="876">
        <f ca="1">VLOOKUP("cmix.nh3.a200.275",INDIRECT(LU_SENS),2,FALSE)/(VLOOKUP("cmix.nh3.a200.275",INDIRECT(LU_SENS),2,FALSE)-VLOOKUP("cmix.nh3.a200.228",INDIRECT(LU_SENS),2,FALSE))-1</f>
        <v>1.0000000284793309E-4</v>
      </c>
      <c r="G56" s="37"/>
      <c r="H56" s="649"/>
      <c r="I56" s="437" t="s">
        <v>274</v>
      </c>
      <c r="J56" s="437"/>
      <c r="K56" s="437"/>
      <c r="L56" s="437"/>
      <c r="M56" s="437"/>
      <c r="N56" s="437"/>
      <c r="O56" s="437"/>
      <c r="P56" s="437"/>
      <c r="Q56" s="90"/>
      <c r="R56" s="437"/>
      <c r="S56" s="437"/>
      <c r="T56" s="437"/>
      <c r="U56" s="437"/>
      <c r="V56" s="437"/>
      <c r="W56" s="437"/>
      <c r="X56" s="437"/>
      <c r="Y56" s="437"/>
      <c r="Z56" s="437"/>
      <c r="AA56" s="437"/>
      <c r="AB56" s="437"/>
      <c r="AC56" s="437"/>
      <c r="AD56" s="437"/>
      <c r="AE56" s="437"/>
      <c r="AF56" s="437"/>
      <c r="AG56" s="437"/>
      <c r="AH56" s="437"/>
      <c r="AI56" s="437"/>
      <c r="AJ56" s="437"/>
      <c r="AK56" s="437"/>
      <c r="AL56" s="437"/>
      <c r="AM56" s="437"/>
      <c r="AN56" s="437"/>
      <c r="AO56" s="437"/>
      <c r="AP56" s="437"/>
      <c r="AQ56" s="437"/>
      <c r="AR56" s="437"/>
      <c r="AS56" s="641"/>
      <c r="AT56" s="448" t="str">
        <f>IF(CAPEX!A56&lt;&gt;"",CAPEX!A56,"")</f>
        <v>A</v>
      </c>
      <c r="AU56" s="1263">
        <f>IF(CAPEX!B56&lt;&gt;"",CAPEX!B56,"")</f>
        <v>301</v>
      </c>
      <c r="AV56" s="448" t="str">
        <f>IF(CAPEX!C56&lt;&gt;"",CAPEX!C56,"")</f>
        <v>Seed Hold Tank Agitator</v>
      </c>
      <c r="AW56" s="648" t="s">
        <v>989</v>
      </c>
      <c r="AX56" s="448" t="str">
        <f>IF(CAPEX!F56&lt;&gt;"",CAPEX!F56,"")</f>
        <v/>
      </c>
      <c r="AY56" s="1285" t="str">
        <f>IF(CAPEX!G56&lt;&gt;"",CAPEX!G56,"")</f>
        <v>15 hp</v>
      </c>
      <c r="AZ56" s="448" t="str">
        <f>IF(CAPEX!H56&lt;&gt;"",CAPEX!H56,"")</f>
        <v>SS304</v>
      </c>
      <c r="BA56" s="1285">
        <f>IF(CAPEX!J56&lt;&gt;"",CAPEX!J56,"")</f>
        <v>1</v>
      </c>
      <c r="BB56" s="293">
        <f>CAPEX!K56</f>
        <v>31800</v>
      </c>
      <c r="BC56" s="1272">
        <f>IF(CAPEX!L56&lt;&gt;"",CAPEX!L56,"")</f>
        <v>2009</v>
      </c>
      <c r="BD56" s="912">
        <v>0</v>
      </c>
      <c r="BE56" s="900" t="str">
        <f>IF(CAPEX!N56&lt;&gt;"",CAPEX!N56,"")</f>
        <v>STRM.A300.304</v>
      </c>
      <c r="BF56" s="1294">
        <f>IF(CAPEX!O56&lt;&gt;"",CAPEX!O56,"")</f>
        <v>40414</v>
      </c>
      <c r="BG56" s="908" t="str">
        <f>IF(CAPEX!P56&lt;&gt;"",CAPEX!P56,"")</f>
        <v>kg/hr</v>
      </c>
      <c r="BH56" s="907">
        <f>IF(CAPEX!Q56&lt;&gt;"",CAPEX!Q56,"")</f>
        <v>0.5</v>
      </c>
      <c r="BI56" s="907">
        <f>IF(CAPEX!R56&lt;&gt;"",CAPEX!R56,"")</f>
        <v>1.5</v>
      </c>
      <c r="BJ56" s="436">
        <f ca="1">IF(BE56&lt;&gt;"",VLOOKUP(BE56,INDIRECT(LU_SENS),2,FALSE),"")</f>
        <v>42590.408199999998</v>
      </c>
      <c r="BK56" s="239">
        <f t="shared" ca="1" si="29"/>
        <v>1.0538528282278419</v>
      </c>
      <c r="BL56" s="238">
        <f t="shared" ca="1" si="30"/>
        <v>0</v>
      </c>
      <c r="BM56" s="238">
        <f t="shared" ca="1" si="31"/>
        <v>0</v>
      </c>
      <c r="BN56" s="238">
        <f t="shared" ca="1" si="32"/>
        <v>0</v>
      </c>
      <c r="BO56" s="608" t="s">
        <v>2602</v>
      </c>
      <c r="BP56" s="1129">
        <f ca="1">VLOOKUP("CSAC",INDIRECT(LU_SENS),2,FALSE)</f>
        <v>1</v>
      </c>
      <c r="BQ56" s="286"/>
      <c r="BR56" s="286"/>
    </row>
    <row r="57" spans="1:70" ht="13.5" customHeight="1" thickBot="1" x14ac:dyDescent="0.25">
      <c r="A57" s="438" t="s">
        <v>2057</v>
      </c>
      <c r="B57" s="1123">
        <f ca="1">VLOOKUP( "CMIX.H2SO4.A200.217", INDIRECT(LU_SENS), 2, FALSE )/( VLOOKUP( "STRM.101", INDIRECT(LU_SENS), 2, FALSE ) - VLOOKUP( "CMIX.H2O.101", INDIRECT(LU_SENS), 2, FALSE ))*1000</f>
        <v>22.09999994276</v>
      </c>
      <c r="C57" s="438"/>
      <c r="D57" s="728" t="s">
        <v>2058</v>
      </c>
      <c r="F57" s="1125">
        <f ca="1">VLOOKUP("amload",INDIRECT(LU_SENS),2,FALSE)</f>
        <v>4.7603848800000002</v>
      </c>
      <c r="H57" s="649"/>
      <c r="I57" s="437" t="s">
        <v>2286</v>
      </c>
      <c r="J57" s="437"/>
      <c r="K57" s="437"/>
      <c r="L57" s="437"/>
      <c r="M57" s="437"/>
      <c r="N57" s="400">
        <v>0.1429</v>
      </c>
      <c r="O57" s="24">
        <v>0.24490000000000001</v>
      </c>
      <c r="P57" s="24">
        <v>0.1749</v>
      </c>
      <c r="Q57" s="24">
        <v>0.1249</v>
      </c>
      <c r="R57" s="24">
        <v>8.9300000000000004E-2</v>
      </c>
      <c r="S57" s="24">
        <v>8.9200000000000002E-2</v>
      </c>
      <c r="T57" s="24">
        <v>8.9300000000000004E-2</v>
      </c>
      <c r="U57" s="24">
        <v>4.4600000000000001E-2</v>
      </c>
      <c r="V57" s="437"/>
      <c r="W57" s="437"/>
      <c r="X57" s="437"/>
      <c r="Y57" s="437"/>
      <c r="Z57" s="437"/>
      <c r="AA57" s="437"/>
      <c r="AB57" s="437"/>
      <c r="AC57" s="437"/>
      <c r="AD57" s="437"/>
      <c r="AE57" s="437"/>
      <c r="AF57" s="437"/>
      <c r="AG57" s="437"/>
      <c r="AH57" s="437"/>
      <c r="AI57" s="437"/>
      <c r="AJ57" s="437"/>
      <c r="AK57" s="437"/>
      <c r="AL57" s="437"/>
      <c r="AM57" s="437"/>
      <c r="AN57" s="437"/>
      <c r="AO57" s="437"/>
      <c r="AP57" s="437"/>
      <c r="AQ57" s="437"/>
      <c r="AR57" s="90" t="s">
        <v>268</v>
      </c>
      <c r="AS57" s="641"/>
      <c r="AT57" s="448" t="str">
        <f>IF(CAPEX!A57&lt;&gt;"",CAPEX!A57,"")</f>
        <v>A</v>
      </c>
      <c r="AU57" s="1263">
        <f>IF(CAPEX!B57&lt;&gt;"",CAPEX!B57,"")</f>
        <v>304</v>
      </c>
      <c r="AV57" s="448" t="str">
        <f>IF(CAPEX!C57&lt;&gt;"",CAPEX!C57,"")</f>
        <v>4th Seed Vessel Agitator</v>
      </c>
      <c r="AW57" s="648" t="s">
        <v>989</v>
      </c>
      <c r="AX57" s="448" t="str">
        <f>IF(CAPEX!F57&lt;&gt;"",CAPEX!F57,"")</f>
        <v/>
      </c>
      <c r="AY57" s="1285" t="str">
        <f>IF(CAPEX!G57&lt;&gt;"",CAPEX!G57,"")</f>
        <v>7.5 hp</v>
      </c>
      <c r="AZ57" s="448" t="str">
        <f>IF(CAPEX!H57&lt;&gt;"",CAPEX!H57,"")</f>
        <v>SS</v>
      </c>
      <c r="BA57" s="1285">
        <f>IF(CAPEX!J57&lt;&gt;"",CAPEX!J57,"")</f>
        <v>2</v>
      </c>
      <c r="BB57" s="293">
        <f>CAPEX!K57</f>
        <v>26000</v>
      </c>
      <c r="BC57" s="1272">
        <f>IF(CAPEX!L57&lt;&gt;"",CAPEX!L57,"")</f>
        <v>2009</v>
      </c>
      <c r="BD57" s="912">
        <v>0</v>
      </c>
      <c r="BE57" s="900" t="str">
        <f>IF(CAPEX!N57&lt;&gt;"",CAPEX!N57,"")</f>
        <v/>
      </c>
      <c r="BF57" s="909">
        <f>IF(CAPEX!O57&lt;&gt;"",CAPEX!O57,"")</f>
        <v>2</v>
      </c>
      <c r="BG57" s="906" t="str">
        <f>IF(CAPEX!P57&lt;&gt;"",CAPEX!P57,"")</f>
        <v>ea</v>
      </c>
      <c r="BH57" s="907">
        <f>IF(CAPEX!Q57&lt;&gt;"",CAPEX!Q57,"")</f>
        <v>0.5</v>
      </c>
      <c r="BI57" s="907">
        <f>IF(CAPEX!R57&lt;&gt;"",CAPEX!R57,"")</f>
        <v>1.5</v>
      </c>
      <c r="BJ57" s="909">
        <f>IF(CAPEX!S57&lt;&gt;"",CAPEX!S57,"")</f>
        <v>2</v>
      </c>
      <c r="BK57" s="239">
        <f t="shared" si="29"/>
        <v>1</v>
      </c>
      <c r="BL57" s="238">
        <f t="shared" si="30"/>
        <v>0</v>
      </c>
      <c r="BM57" s="238">
        <f t="shared" ca="1" si="31"/>
        <v>0</v>
      </c>
      <c r="BN57" s="238">
        <f t="shared" ca="1" si="32"/>
        <v>0</v>
      </c>
      <c r="BO57" s="608" t="s">
        <v>2538</v>
      </c>
      <c r="BP57" s="1302">
        <f ca="1">CEILING(BP55*(F47-BP56)/(Summary!F46+Summary!F47-BP56),1)</f>
        <v>8</v>
      </c>
      <c r="BQ57" s="286"/>
      <c r="BR57" s="286"/>
    </row>
    <row r="58" spans="1:70" ht="13.5" customHeight="1" thickBot="1" x14ac:dyDescent="0.25">
      <c r="A58" s="438" t="s">
        <v>462</v>
      </c>
      <c r="B58" s="1124">
        <f ca="1">'Operating Summaries'!D7</f>
        <v>0.30074971379722115</v>
      </c>
      <c r="C58" s="438"/>
      <c r="D58" s="523" t="s">
        <v>1086</v>
      </c>
      <c r="E58" s="437"/>
      <c r="F58" s="1126"/>
      <c r="G58" s="383"/>
      <c r="H58" s="649"/>
      <c r="I58" s="437" t="s">
        <v>2283</v>
      </c>
      <c r="J58" s="437"/>
      <c r="K58" s="437"/>
      <c r="L58" s="437"/>
      <c r="M58" s="437"/>
      <c r="N58" s="90">
        <f t="shared" ref="N58:S58" ca="1" si="33">$J$9*N57</f>
        <v>33278595.824382547</v>
      </c>
      <c r="O58" s="90">
        <f t="shared" ca="1" si="33"/>
        <v>57032387.105607316</v>
      </c>
      <c r="P58" s="90">
        <f t="shared" ca="1" si="33"/>
        <v>40730765.638100125</v>
      </c>
      <c r="Q58" s="90">
        <f t="shared" ca="1" si="33"/>
        <v>29086750.30416641</v>
      </c>
      <c r="R58" s="90">
        <f t="shared" ca="1" si="33"/>
        <v>20796211.38640561</v>
      </c>
      <c r="S58" s="90">
        <f t="shared" ca="1" si="33"/>
        <v>20772923.355737742</v>
      </c>
      <c r="T58" s="90">
        <f ca="1">$J$9*T57</f>
        <v>20796211.38640561</v>
      </c>
      <c r="U58" s="90">
        <f ca="1">$J$9*U57</f>
        <v>10386461.677868871</v>
      </c>
      <c r="V58" s="90"/>
      <c r="W58" s="90"/>
      <c r="X58" s="90"/>
      <c r="Y58" s="90"/>
      <c r="Z58" s="90"/>
      <c r="AA58" s="90"/>
      <c r="AB58" s="90"/>
      <c r="AC58" s="90"/>
      <c r="AD58" s="90"/>
      <c r="AE58" s="90"/>
      <c r="AF58" s="90"/>
      <c r="AG58" s="90"/>
      <c r="AH58" s="90"/>
      <c r="AI58" s="90"/>
      <c r="AJ58" s="90"/>
      <c r="AK58" s="90"/>
      <c r="AL58" s="90"/>
      <c r="AM58" s="90"/>
      <c r="AN58" s="90"/>
      <c r="AO58" s="90"/>
      <c r="AP58" s="90"/>
      <c r="AQ58" s="90"/>
      <c r="AR58" s="90">
        <f ca="1">SUM(N58:T58)*0</f>
        <v>0</v>
      </c>
      <c r="AS58" s="641"/>
      <c r="AT58" s="448" t="str">
        <f>IF(CAPEX!A58&lt;&gt;"",CAPEX!A58,"")</f>
        <v>A</v>
      </c>
      <c r="AU58" s="1263">
        <f>IF(CAPEX!B58&lt;&gt;"",CAPEX!B58,"")</f>
        <v>305</v>
      </c>
      <c r="AV58" s="448" t="str">
        <f>IF(CAPEX!C58&lt;&gt;"",CAPEX!C58,"")</f>
        <v>5th Seed Vessel Agitator</v>
      </c>
      <c r="AW58" s="648" t="s">
        <v>989</v>
      </c>
      <c r="AX58" s="448" t="str">
        <f>IF(CAPEX!F58&lt;&gt;"",CAPEX!F58,"")</f>
        <v/>
      </c>
      <c r="AY58" s="1285" t="str">
        <f>IF(CAPEX!G58&lt;&gt;"",CAPEX!G58,"")</f>
        <v>10 hp</v>
      </c>
      <c r="AZ58" s="448" t="str">
        <f>IF(CAPEX!H58&lt;&gt;"",CAPEX!H58,"")</f>
        <v>SS</v>
      </c>
      <c r="BA58" s="1285">
        <f>IF(CAPEX!J58&lt;&gt;"",CAPEX!J58,"")</f>
        <v>2</v>
      </c>
      <c r="BB58" s="293">
        <f>CAPEX!K58</f>
        <v>43000</v>
      </c>
      <c r="BC58" s="1272">
        <f>IF(CAPEX!L58&lt;&gt;"",CAPEX!L58,"")</f>
        <v>2009</v>
      </c>
      <c r="BD58" s="912">
        <v>0</v>
      </c>
      <c r="BE58" s="900" t="str">
        <f>IF(CAPEX!N58&lt;&gt;"",CAPEX!N58,"")</f>
        <v/>
      </c>
      <c r="BF58" s="909">
        <f>IF(CAPEX!O58&lt;&gt;"",CAPEX!O58,"")</f>
        <v>2</v>
      </c>
      <c r="BG58" s="906" t="str">
        <f>IF(CAPEX!P58&lt;&gt;"",CAPEX!P58,"")</f>
        <v>ea</v>
      </c>
      <c r="BH58" s="907">
        <f>IF(CAPEX!Q58&lt;&gt;"",CAPEX!Q58,"")</f>
        <v>0.5</v>
      </c>
      <c r="BI58" s="907">
        <f>IF(CAPEX!R58&lt;&gt;"",CAPEX!R58,"")</f>
        <v>1.5</v>
      </c>
      <c r="BJ58" s="909">
        <f>IF(CAPEX!S58&lt;&gt;"",CAPEX!S58,"")</f>
        <v>2</v>
      </c>
      <c r="BK58" s="239">
        <f t="shared" si="29"/>
        <v>1</v>
      </c>
      <c r="BL58" s="238">
        <f t="shared" si="30"/>
        <v>0</v>
      </c>
      <c r="BM58" s="238">
        <f t="shared" ca="1" si="31"/>
        <v>0</v>
      </c>
      <c r="BN58" s="238">
        <f t="shared" ca="1" si="32"/>
        <v>0</v>
      </c>
      <c r="BO58" s="615"/>
      <c r="BP58" s="539"/>
      <c r="BQ58" s="286"/>
      <c r="BR58" s="286"/>
    </row>
    <row r="59" spans="1:70" ht="13.5" customHeight="1" thickBot="1" x14ac:dyDescent="0.25">
      <c r="A59" s="438" t="s">
        <v>496</v>
      </c>
      <c r="B59" s="124">
        <f ca="1">VLOOKUP("TEMP.A200.217",INDIRECT(LU_SENS),2,FALSE)</f>
        <v>158</v>
      </c>
      <c r="C59" s="438"/>
      <c r="D59" s="438" t="s">
        <v>456</v>
      </c>
      <c r="E59" s="437"/>
      <c r="F59" s="876">
        <f ca="1">VLOOKUP("OSLR1",INDIRECT(LU_SENS),2,FALSE)</f>
        <v>0.01</v>
      </c>
      <c r="G59" s="123"/>
      <c r="H59" s="641"/>
      <c r="I59" s="437" t="s">
        <v>275</v>
      </c>
      <c r="J59" s="437"/>
      <c r="K59" s="437"/>
      <c r="L59" s="437"/>
      <c r="M59" s="437"/>
      <c r="N59" s="90">
        <f ca="1">$J$9-N58</f>
        <v>199601710.85429168</v>
      </c>
      <c r="O59" s="90">
        <f t="shared" ref="O59:U59" ca="1" si="34">N59-O58</f>
        <v>142569323.74868435</v>
      </c>
      <c r="P59" s="90">
        <f t="shared" ca="1" si="34"/>
        <v>101838558.11058423</v>
      </c>
      <c r="Q59" s="90">
        <f t="shared" ca="1" si="34"/>
        <v>72751807.806417823</v>
      </c>
      <c r="R59" s="90">
        <f t="shared" ca="1" si="34"/>
        <v>51955596.420012213</v>
      </c>
      <c r="S59" s="90">
        <f t="shared" ca="1" si="34"/>
        <v>31182673.064274471</v>
      </c>
      <c r="T59" s="90">
        <f t="shared" ca="1" si="34"/>
        <v>10386461.677868862</v>
      </c>
      <c r="U59" s="90">
        <f t="shared" ca="1" si="34"/>
        <v>0</v>
      </c>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641"/>
      <c r="AT59" s="448" t="str">
        <f>IF(CAPEX!A59&lt;&gt;"",CAPEX!A59,"")</f>
        <v>A</v>
      </c>
      <c r="AU59" s="1263">
        <f>IF(CAPEX!B59&lt;&gt;"",CAPEX!B59,"")</f>
        <v>306</v>
      </c>
      <c r="AV59" s="448" t="str">
        <f>IF(CAPEX!C59&lt;&gt;"",CAPEX!C59,"")</f>
        <v>Beer Surge Tank Agitator</v>
      </c>
      <c r="AW59" s="648" t="s">
        <v>989</v>
      </c>
      <c r="AX59" s="448" t="str">
        <f>IF(CAPEX!F59&lt;&gt;"",CAPEX!F59,"")</f>
        <v/>
      </c>
      <c r="AY59" s="1285" t="str">
        <f>IF(CAPEX!G59&lt;&gt;"",CAPEX!G59,"")</f>
        <v>20 hp</v>
      </c>
      <c r="AZ59" s="448" t="str">
        <f>IF(CAPEX!H59&lt;&gt;"",CAPEX!H59,"")</f>
        <v>SS304</v>
      </c>
      <c r="BA59" s="1285">
        <f>IF(CAPEX!J59&lt;&gt;"",CAPEX!J59,"")</f>
        <v>2</v>
      </c>
      <c r="BB59" s="293">
        <f>CAPEX!K59</f>
        <v>68300</v>
      </c>
      <c r="BC59" s="1272">
        <f>IF(CAPEX!L59&lt;&gt;"",CAPEX!L59,"")</f>
        <v>2009</v>
      </c>
      <c r="BD59" s="912">
        <v>0</v>
      </c>
      <c r="BE59" s="900" t="str">
        <f>IF(CAPEX!N59&lt;&gt;"",CAPEX!N59,"")</f>
        <v>strm.501</v>
      </c>
      <c r="BF59" s="1294">
        <f>IF(CAPEX!O59&lt;&gt;"",CAPEX!O59,"")</f>
        <v>425878</v>
      </c>
      <c r="BG59" s="908" t="str">
        <f>IF(CAPEX!P59&lt;&gt;"",CAPEX!P59,"")</f>
        <v>kg/hr</v>
      </c>
      <c r="BH59" s="907">
        <f>IF(CAPEX!Q59&lt;&gt;"",CAPEX!Q59,"")</f>
        <v>0.5</v>
      </c>
      <c r="BI59" s="907">
        <f>IF(CAPEX!R59&lt;&gt;"",CAPEX!R59,"")</f>
        <v>1.5</v>
      </c>
      <c r="BJ59" s="436">
        <f ca="1">IF(BE59&lt;&gt;"",VLOOKUP(BE59,INDIRECT(LU_SENS),2,FALSE),"")</f>
        <v>450517.05599999998</v>
      </c>
      <c r="BK59" s="239">
        <f t="shared" ca="1" si="29"/>
        <v>1.0578547283494333</v>
      </c>
      <c r="BL59" s="238">
        <f t="shared" ca="1" si="30"/>
        <v>0</v>
      </c>
      <c r="BM59" s="238">
        <f t="shared" ca="1" si="31"/>
        <v>0</v>
      </c>
      <c r="BN59" s="238">
        <f t="shared" ca="1" si="32"/>
        <v>0</v>
      </c>
      <c r="BO59" s="608"/>
      <c r="BP59" s="539"/>
      <c r="BQ59" s="286"/>
      <c r="BR59" s="286"/>
    </row>
    <row r="60" spans="1:70" ht="13.5" customHeight="1" thickBot="1" x14ac:dyDescent="0.25">
      <c r="A60" s="438" t="s">
        <v>453</v>
      </c>
      <c r="B60" s="37">
        <f ca="1">VLOOKUP("PRES.A200.217",INDIRECT(LU_SENS),2,FALSE)</f>
        <v>5.6755854000000001</v>
      </c>
      <c r="C60" s="438"/>
      <c r="D60" s="438" t="s">
        <v>457</v>
      </c>
      <c r="E60" s="437"/>
      <c r="F60" s="876">
        <f ca="1">VLOOKUP("OSLR2",INDIRECT(LU_SENS),2,FALSE)</f>
        <v>0.01</v>
      </c>
      <c r="G60" s="123"/>
      <c r="H60" s="641"/>
      <c r="I60" s="437" t="s">
        <v>2287</v>
      </c>
      <c r="J60" s="437"/>
      <c r="K60" s="437"/>
      <c r="L60" s="437"/>
      <c r="M60" s="437"/>
      <c r="N60" s="24">
        <v>3.7499999999999999E-2</v>
      </c>
      <c r="O60" s="24">
        <v>7.2190000000000004E-2</v>
      </c>
      <c r="P60" s="24">
        <v>6.6769999999999996E-2</v>
      </c>
      <c r="Q60" s="24">
        <v>6.1769999999999999E-2</v>
      </c>
      <c r="R60" s="24">
        <v>5.713E-2</v>
      </c>
      <c r="S60" s="24">
        <v>5.2850000000000001E-2</v>
      </c>
      <c r="T60" s="24">
        <v>4.888E-2</v>
      </c>
      <c r="U60" s="24">
        <v>4.5220000000000003E-2</v>
      </c>
      <c r="V60" s="24">
        <v>4.462E-2</v>
      </c>
      <c r="W60" s="24">
        <v>4.4609999999999997E-2</v>
      </c>
      <c r="X60" s="24">
        <v>4.462E-2</v>
      </c>
      <c r="Y60" s="24">
        <v>4.4609999999999997E-2</v>
      </c>
      <c r="Z60" s="24">
        <v>4.462E-2</v>
      </c>
      <c r="AA60" s="24">
        <v>4.4609999999999997E-2</v>
      </c>
      <c r="AB60" s="24">
        <v>4.462E-2</v>
      </c>
      <c r="AC60" s="24">
        <v>4.4609999999999997E-2</v>
      </c>
      <c r="AD60" s="24">
        <v>4.462E-2</v>
      </c>
      <c r="AE60" s="24">
        <v>4.4609999999999997E-2</v>
      </c>
      <c r="AF60" s="24">
        <v>4.462E-2</v>
      </c>
      <c r="AG60" s="24">
        <v>4.4609999999999997E-2</v>
      </c>
      <c r="AH60" s="24">
        <v>2.231E-2</v>
      </c>
      <c r="AI60" s="90" t="s">
        <v>268</v>
      </c>
      <c r="AJ60" s="90" t="s">
        <v>268</v>
      </c>
      <c r="AK60" s="90" t="s">
        <v>268</v>
      </c>
      <c r="AL60" s="90" t="s">
        <v>268</v>
      </c>
      <c r="AM60" s="90" t="s">
        <v>268</v>
      </c>
      <c r="AN60" s="90" t="s">
        <v>268</v>
      </c>
      <c r="AO60" s="90" t="s">
        <v>268</v>
      </c>
      <c r="AP60" s="90" t="s">
        <v>268</v>
      </c>
      <c r="AQ60" s="90" t="s">
        <v>268</v>
      </c>
      <c r="AS60" s="641"/>
      <c r="AT60" s="448" t="str">
        <f>IF(CAPEX!A60&lt;&gt;"",CAPEX!A60,"")</f>
        <v>A</v>
      </c>
      <c r="AU60" s="1263">
        <f>IF(CAPEX!B60&lt;&gt;"",CAPEX!B60,"")</f>
        <v>308</v>
      </c>
      <c r="AV60" s="448" t="str">
        <f>IF(CAPEX!C60&lt;&gt;"",CAPEX!C60,"")</f>
        <v>Enzyme-Hydrolysate Mixer</v>
      </c>
      <c r="AW60" s="648" t="s">
        <v>1639</v>
      </c>
      <c r="AX60" s="448" t="str">
        <f>IF(CAPEX!F60&lt;&gt;"",CAPEX!F60,"")</f>
        <v>inline mixer 1673 gpm</v>
      </c>
      <c r="AY60" s="1285" t="str">
        <f>IF(CAPEX!G60&lt;&gt;"",CAPEX!G60,"")</f>
        <v>100 hp</v>
      </c>
      <c r="AZ60" s="448" t="str">
        <f>IF(CAPEX!H60&lt;&gt;"",CAPEX!H60,"")</f>
        <v>SS316</v>
      </c>
      <c r="BA60" s="1285">
        <f>IF(CAPEX!J60&lt;&gt;"",CAPEX!J60,"")</f>
        <v>1</v>
      </c>
      <c r="BB60" s="293">
        <f>CAPEX!K60</f>
        <v>109000</v>
      </c>
      <c r="BC60" s="1272">
        <f>IF(CAPEX!L60&lt;&gt;"",CAPEX!L60,"")</f>
        <v>2009</v>
      </c>
      <c r="BD60" s="905">
        <f>IF(CAPEX!M60&lt;&gt;"",CAPEX!M60,"")</f>
        <v>109000</v>
      </c>
      <c r="BE60" s="900" t="str">
        <f>IF(CAPEX!N60&lt;&gt;"",CAPEX!N60,"")</f>
        <v>strm.a300.t310fd</v>
      </c>
      <c r="BF60" s="1295">
        <f>IF(CAPEX!O60&lt;&gt;"",CAPEX!O60,"")</f>
        <v>379938</v>
      </c>
      <c r="BG60" s="904" t="str">
        <f>IF(CAPEX!P60&lt;&gt;"",CAPEX!P60,"")</f>
        <v>kg/hr</v>
      </c>
      <c r="BH60" s="907">
        <f>IF(CAPEX!Q60&lt;&gt;"",CAPEX!Q60,"")</f>
        <v>0.5</v>
      </c>
      <c r="BI60" s="907">
        <f>IF(CAPEX!R60&lt;&gt;"",CAPEX!R60,"")</f>
        <v>1.7</v>
      </c>
      <c r="BJ60" s="436">
        <f ca="1">IF(BE60&lt;&gt;"",VLOOKUP(BE60,INDIRECT(LU_SENS),2,FALSE),"")</f>
        <v>443226.19400000002</v>
      </c>
      <c r="BK60" s="239">
        <f t="shared" ca="1" si="29"/>
        <v>1.1665750569829816</v>
      </c>
      <c r="BL60" s="238">
        <f t="shared" ca="1" si="30"/>
        <v>117728.83356261882</v>
      </c>
      <c r="BM60" s="238">
        <f t="shared" ca="1" si="31"/>
        <v>118518.35438551434</v>
      </c>
      <c r="BN60" s="238">
        <f t="shared" ca="1" si="32"/>
        <v>201481.20245537435</v>
      </c>
      <c r="BO60" s="608"/>
      <c r="BP60" s="539"/>
      <c r="BQ60" s="286"/>
      <c r="BR60" s="286"/>
    </row>
    <row r="61" spans="1:70" ht="13.5" customHeight="1" thickBot="1" x14ac:dyDescent="0.25">
      <c r="A61" s="438" t="s">
        <v>454</v>
      </c>
      <c r="B61" s="438"/>
      <c r="C61" s="438"/>
      <c r="D61" s="438" t="s">
        <v>458</v>
      </c>
      <c r="E61" s="437"/>
      <c r="F61" s="876">
        <f ca="1">VLOOKUP("OSLR5",INDIRECT(LU_SENS),2,FALSE)</f>
        <v>0</v>
      </c>
      <c r="G61" s="123"/>
      <c r="H61" s="641"/>
      <c r="I61" s="437" t="s">
        <v>2292</v>
      </c>
      <c r="J61" s="437"/>
      <c r="K61" s="437"/>
      <c r="L61" s="437"/>
      <c r="M61" s="437"/>
      <c r="N61" s="90">
        <f ca="1">$J$10*N60</f>
        <v>2467700.5127813532</v>
      </c>
      <c r="O61" s="90">
        <f t="shared" ref="O61:AC61" ca="1" si="35">$J$10*O60</f>
        <v>4750488.0004716236</v>
      </c>
      <c r="P61" s="90">
        <f t="shared" ca="1" si="35"/>
        <v>4393823.0196909588</v>
      </c>
      <c r="Q61" s="90">
        <f t="shared" ca="1" si="35"/>
        <v>4064796.2846534448</v>
      </c>
      <c r="R61" s="90">
        <f t="shared" ca="1" si="35"/>
        <v>3759459.4745386322</v>
      </c>
      <c r="S61" s="90">
        <f t="shared" ca="1" si="35"/>
        <v>3477812.5893465206</v>
      </c>
      <c r="T61" s="90">
        <f t="shared" ca="1" si="35"/>
        <v>3216565.3617267343</v>
      </c>
      <c r="U61" s="90">
        <f t="shared" ca="1" si="35"/>
        <v>2975717.7916792748</v>
      </c>
      <c r="V61" s="90">
        <f t="shared" ca="1" si="35"/>
        <v>2936234.5834747725</v>
      </c>
      <c r="W61" s="90">
        <f t="shared" ca="1" si="35"/>
        <v>2935576.5300046974</v>
      </c>
      <c r="X61" s="90">
        <f t="shared" ca="1" si="35"/>
        <v>2936234.5834747725</v>
      </c>
      <c r="Y61" s="90">
        <f t="shared" ca="1" si="35"/>
        <v>2935576.5300046974</v>
      </c>
      <c r="Z61" s="90">
        <f t="shared" ca="1" si="35"/>
        <v>2936234.5834747725</v>
      </c>
      <c r="AA61" s="90">
        <f t="shared" ca="1" si="35"/>
        <v>2935576.5300046974</v>
      </c>
      <c r="AB61" s="90">
        <f t="shared" ca="1" si="35"/>
        <v>2936234.5834747725</v>
      </c>
      <c r="AC61" s="90">
        <f t="shared" ca="1" si="35"/>
        <v>2935576.5300046974</v>
      </c>
      <c r="AD61" s="90">
        <f ca="1">$J$10*AD60</f>
        <v>2936234.5834747725</v>
      </c>
      <c r="AE61" s="90">
        <f ca="1">$J$10*AE60</f>
        <v>2935576.5300046974</v>
      </c>
      <c r="AF61" s="90">
        <f ca="1">$J$10*AF60</f>
        <v>2936234.5834747725</v>
      </c>
      <c r="AG61" s="90">
        <f ca="1">$J$10*AG60</f>
        <v>2935576.5300046974</v>
      </c>
      <c r="AH61" s="90">
        <f ca="1">$J$10*AH60</f>
        <v>1468117.2917373863</v>
      </c>
      <c r="AI61" s="90"/>
      <c r="AJ61" s="90"/>
      <c r="AK61" s="90"/>
      <c r="AL61" s="90"/>
      <c r="AM61" s="90"/>
      <c r="AN61" s="90"/>
      <c r="AO61" s="90"/>
      <c r="AP61" s="90"/>
      <c r="AQ61" s="90"/>
      <c r="AR61" s="90">
        <f ca="1">SUM(N61:AQ61)*0</f>
        <v>0</v>
      </c>
      <c r="AS61" s="641"/>
      <c r="AT61" s="448" t="str">
        <f>IF(CAPEX!A61&lt;&gt;"",CAPEX!A61,"")</f>
        <v>F</v>
      </c>
      <c r="AU61" s="1263">
        <f>IF(CAPEX!B61&lt;&gt;"",CAPEX!B61,"")</f>
        <v>300</v>
      </c>
      <c r="AV61" s="448" t="str">
        <f>IF(CAPEX!C61&lt;&gt;"",CAPEX!C61,"")</f>
        <v>Ethanol Fermentor</v>
      </c>
      <c r="AW61" s="648" t="s">
        <v>891</v>
      </c>
      <c r="AX61" s="448" t="str">
        <f>IF(CAPEX!F61&lt;&gt;"",CAPEX!F61,"")</f>
        <v>1,000,000 gallon ea</v>
      </c>
      <c r="AY61" s="1285" t="str">
        <f>IF(CAPEX!G61&lt;&gt;"",CAPEX!G61,"")</f>
        <v/>
      </c>
      <c r="AZ61" s="448" t="str">
        <f>IF(CAPEX!H61&lt;&gt;"",CAPEX!H61,"")</f>
        <v>304SS</v>
      </c>
      <c r="BA61" s="1285">
        <f>IF(CAPEX!J61&lt;&gt;"",CAPEX!J61,"")</f>
        <v>12</v>
      </c>
      <c r="BB61" s="293">
        <f>BA61*844000</f>
        <v>10128000</v>
      </c>
      <c r="BC61" s="1272">
        <f>IF(CAPEX!L61&lt;&gt;"",CAPEX!L61,"")</f>
        <v>2009</v>
      </c>
      <c r="BD61" s="905">
        <f>IF(CAPEX!M61&lt;&gt;"",CAPEX!M61,"")</f>
        <v>10128000</v>
      </c>
      <c r="BE61" s="900" t="str">
        <f>IF(CAPEX!N61&lt;&gt;"",CAPEX!N61,"")</f>
        <v>inumsscf</v>
      </c>
      <c r="BF61" s="1295">
        <f>IF(CAPEX!O61&lt;&gt;"",CAPEX!O61,"")</f>
        <v>12</v>
      </c>
      <c r="BG61" s="904" t="str">
        <f>IF(CAPEX!P61&lt;&gt;"",CAPEX!P61,"")</f>
        <v>ea</v>
      </c>
      <c r="BH61" s="907">
        <f>IF(CAPEX!Q61&lt;&gt;"",CAPEX!Q61,"")</f>
        <v>1</v>
      </c>
      <c r="BI61" s="907">
        <f>IF(CAPEX!R61&lt;&gt;"",CAPEX!R61,"")</f>
        <v>1.5</v>
      </c>
      <c r="BJ61" s="913">
        <f ca="1">BP57</f>
        <v>8</v>
      </c>
      <c r="BK61" s="239">
        <f t="shared" ca="1" si="29"/>
        <v>0.66666666666666663</v>
      </c>
      <c r="BL61" s="238">
        <f t="shared" ca="1" si="30"/>
        <v>6752000</v>
      </c>
      <c r="BM61" s="238">
        <f t="shared" ca="1" si="31"/>
        <v>6797280.7051159227</v>
      </c>
      <c r="BN61" s="238">
        <f t="shared" ca="1" si="32"/>
        <v>10195921.057673885</v>
      </c>
      <c r="BO61" s="608"/>
      <c r="BP61" s="539"/>
      <c r="BQ61" s="286"/>
      <c r="BR61" s="286"/>
    </row>
    <row r="62" spans="1:70" ht="13.5" customHeight="1" thickBot="1" x14ac:dyDescent="0.25">
      <c r="A62" s="523" t="s">
        <v>1848</v>
      </c>
      <c r="B62" s="438"/>
      <c r="C62" s="438"/>
      <c r="D62" s="438" t="s">
        <v>459</v>
      </c>
      <c r="E62" s="437"/>
      <c r="F62" s="876">
        <f ca="1">VLOOKUP("OSLR6",INDIRECT(LU_SENS),2,FALSE)</f>
        <v>0.01</v>
      </c>
      <c r="G62" s="123"/>
      <c r="H62" s="641"/>
      <c r="I62" s="891" t="s">
        <v>275</v>
      </c>
      <c r="J62" s="891"/>
      <c r="K62" s="891"/>
      <c r="L62" s="891"/>
      <c r="M62" s="891"/>
      <c r="N62" s="892">
        <f ca="1">J10-N61</f>
        <v>63337646.494721398</v>
      </c>
      <c r="O62" s="892">
        <f t="shared" ref="O62:AC62" ca="1" si="36">N62-O61</f>
        <v>58587158.494249776</v>
      </c>
      <c r="P62" s="892">
        <f t="shared" ca="1" si="36"/>
        <v>54193335.474558815</v>
      </c>
      <c r="Q62" s="892">
        <f t="shared" ca="1" si="36"/>
        <v>50128539.189905368</v>
      </c>
      <c r="R62" s="892">
        <f t="shared" ca="1" si="36"/>
        <v>46369079.715366736</v>
      </c>
      <c r="S62" s="892">
        <f t="shared" ca="1" si="36"/>
        <v>42891267.126020215</v>
      </c>
      <c r="T62" s="892">
        <f t="shared" ca="1" si="36"/>
        <v>39674701.764293484</v>
      </c>
      <c r="U62" s="892">
        <f t="shared" ca="1" si="36"/>
        <v>36698983.972614206</v>
      </c>
      <c r="V62" s="892">
        <f t="shared" ca="1" si="36"/>
        <v>33762749.389139436</v>
      </c>
      <c r="W62" s="892">
        <f t="shared" ca="1" si="36"/>
        <v>30827172.859134737</v>
      </c>
      <c r="X62" s="892">
        <f t="shared" ca="1" si="36"/>
        <v>27890938.275659963</v>
      </c>
      <c r="Y62" s="892">
        <f t="shared" ca="1" si="36"/>
        <v>24955361.745655265</v>
      </c>
      <c r="Z62" s="892">
        <f t="shared" ca="1" si="36"/>
        <v>22019127.162180491</v>
      </c>
      <c r="AA62" s="892">
        <f t="shared" ca="1" si="36"/>
        <v>19083550.632175792</v>
      </c>
      <c r="AB62" s="892">
        <f t="shared" ca="1" si="36"/>
        <v>16147316.04870102</v>
      </c>
      <c r="AC62" s="892">
        <f t="shared" ca="1" si="36"/>
        <v>13211739.518696323</v>
      </c>
      <c r="AD62" s="892">
        <f ca="1">AC62-AD61</f>
        <v>10275504.935221551</v>
      </c>
      <c r="AE62" s="892">
        <f ca="1">AD62-AE61</f>
        <v>7339928.4052168541</v>
      </c>
      <c r="AF62" s="892">
        <f ca="1">AE62-AF61</f>
        <v>4403693.821742082</v>
      </c>
      <c r="AG62" s="892">
        <f ca="1">AF62-AG61</f>
        <v>1468117.2917373846</v>
      </c>
      <c r="AH62" s="892">
        <f ca="1">AG62-AH61</f>
        <v>0</v>
      </c>
      <c r="AI62" s="892"/>
      <c r="AJ62" s="892"/>
      <c r="AK62" s="892"/>
      <c r="AL62" s="892"/>
      <c r="AM62" s="892"/>
      <c r="AN62" s="892"/>
      <c r="AO62" s="892"/>
      <c r="AP62" s="892"/>
      <c r="AQ62" s="892"/>
      <c r="AR62" s="891"/>
      <c r="AS62" s="641"/>
      <c r="AT62" s="448" t="str">
        <f>IF(CAPEX!A62&lt;&gt;"",CAPEX!A62,"")</f>
        <v>F</v>
      </c>
      <c r="AU62" s="1263">
        <f>IF(CAPEX!B62&lt;&gt;"",CAPEX!B62,"")</f>
        <v>301</v>
      </c>
      <c r="AV62" s="448" t="str">
        <f>IF(CAPEX!C62&lt;&gt;"",CAPEX!C62,"")</f>
        <v>1st Seed Fermentor</v>
      </c>
      <c r="AW62" s="648" t="s">
        <v>996</v>
      </c>
      <c r="AX62" s="448" t="str">
        <f>IF(CAPEX!F62&lt;&gt;"",CAPEX!F62,"")</f>
        <v>20 gallon skid complete - $37,700 ea</v>
      </c>
      <c r="AY62" s="1285" t="str">
        <f>IF(CAPEX!G62&lt;&gt;"",CAPEX!G62,"")</f>
        <v/>
      </c>
      <c r="AZ62" s="448" t="str">
        <f>IF(CAPEX!H62&lt;&gt;"",CAPEX!H62,"")</f>
        <v>304SS</v>
      </c>
      <c r="BA62" s="1285">
        <f>IF(CAPEX!J62&lt;&gt;"",CAPEX!J62,"")</f>
        <v>2</v>
      </c>
      <c r="BB62" s="293">
        <f>CAPEX!K62</f>
        <v>75400</v>
      </c>
      <c r="BC62" s="1272">
        <f>IF(CAPEX!L62&lt;&gt;"",CAPEX!L62,"")</f>
        <v>2009</v>
      </c>
      <c r="BD62" s="912">
        <v>0</v>
      </c>
      <c r="BE62" s="900" t="str">
        <f>IF(CAPEX!N62&lt;&gt;"",CAPEX!N62,"")</f>
        <v/>
      </c>
      <c r="BF62" s="909">
        <f>IF(CAPEX!O62&lt;&gt;"",CAPEX!O62,"")</f>
        <v>2</v>
      </c>
      <c r="BG62" s="906" t="str">
        <f>IF(CAPEX!P62&lt;&gt;"",CAPEX!P62,"")</f>
        <v>ea</v>
      </c>
      <c r="BH62" s="907">
        <f>IF(CAPEX!Q62&lt;&gt;"",CAPEX!Q62,"")</f>
        <v>0.7</v>
      </c>
      <c r="BI62" s="907">
        <f>IF(CAPEX!R62&lt;&gt;"",CAPEX!R62,"")</f>
        <v>1.8</v>
      </c>
      <c r="BJ62" s="909">
        <f>IF(CAPEX!S62&lt;&gt;"",CAPEX!S62,"")</f>
        <v>2</v>
      </c>
      <c r="BK62" s="239">
        <f t="shared" si="29"/>
        <v>1</v>
      </c>
      <c r="BL62" s="238">
        <f t="shared" si="30"/>
        <v>0</v>
      </c>
      <c r="BM62" s="238">
        <f t="shared" ca="1" si="31"/>
        <v>0</v>
      </c>
      <c r="BN62" s="238">
        <f t="shared" ca="1" si="32"/>
        <v>0</v>
      </c>
      <c r="BO62" s="608"/>
      <c r="BP62" s="539"/>
      <c r="BQ62" s="286"/>
      <c r="BR62" s="286"/>
    </row>
    <row r="63" spans="1:70" ht="13.5" customHeight="1" thickBot="1" x14ac:dyDescent="0.25">
      <c r="A63" s="438" t="s">
        <v>464</v>
      </c>
      <c r="B63" s="25">
        <f ca="1">VLOOKUP("PRETRX01",INDIRECT(LU_SENS),2,FALSE)</f>
        <v>3.0000000000000001E-3</v>
      </c>
      <c r="C63" s="438"/>
      <c r="D63" s="438" t="s">
        <v>460</v>
      </c>
      <c r="E63" s="437"/>
      <c r="F63" s="876">
        <f ca="1">VLOOKUP("OSLR6",INDIRECT(LU_SENS),2,FALSE)</f>
        <v>0.01</v>
      </c>
      <c r="G63" s="123"/>
      <c r="H63" s="641"/>
      <c r="I63" s="437" t="s">
        <v>138</v>
      </c>
      <c r="J63" s="437"/>
      <c r="K63" s="437"/>
      <c r="L63" s="437"/>
      <c r="M63" s="437"/>
      <c r="N63" s="90">
        <f t="shared" ref="N63:AF63" ca="1" si="37">N48-N55-N58-N61-N44</f>
        <v>-22187323.260541011</v>
      </c>
      <c r="O63" s="90">
        <f t="shared" ca="1" si="37"/>
        <v>-35192924.76517354</v>
      </c>
      <c r="P63" s="90">
        <f t="shared" ca="1" si="37"/>
        <v>-17465795.082092855</v>
      </c>
      <c r="Q63" s="90">
        <f t="shared" ca="1" si="37"/>
        <v>-4338402.3195453743</v>
      </c>
      <c r="R63" s="90">
        <f t="shared" ca="1" si="37"/>
        <v>5504172.1573925931</v>
      </c>
      <c r="S63" s="90">
        <f t="shared" ca="1" si="37"/>
        <v>6689358.8210845739</v>
      </c>
      <c r="T63" s="90">
        <f t="shared" ca="1" si="37"/>
        <v>8847650.3400981575</v>
      </c>
      <c r="U63" s="90">
        <f t="shared" ca="1" si="37"/>
        <v>21068728.993261188</v>
      </c>
      <c r="V63" s="90">
        <f t="shared" ca="1" si="37"/>
        <v>33190793.763879709</v>
      </c>
      <c r="W63" s="90">
        <f t="shared" ca="1" si="37"/>
        <v>35023261.292658538</v>
      </c>
      <c r="X63" s="90">
        <f t="shared" ca="1" si="37"/>
        <v>36534774.571366578</v>
      </c>
      <c r="Y63" s="90">
        <f t="shared" ca="1" si="37"/>
        <v>37001615.525991991</v>
      </c>
      <c r="Z63" s="90">
        <f t="shared" ca="1" si="37"/>
        <v>37000957.472521916</v>
      </c>
      <c r="AA63" s="90">
        <f t="shared" ca="1" si="37"/>
        <v>37001615.525991991</v>
      </c>
      <c r="AB63" s="90">
        <f t="shared" ca="1" si="37"/>
        <v>37000957.472521916</v>
      </c>
      <c r="AC63" s="90">
        <f t="shared" ca="1" si="37"/>
        <v>36535432.624836653</v>
      </c>
      <c r="AD63" s="90">
        <f t="shared" ca="1" si="37"/>
        <v>37000957.472521909</v>
      </c>
      <c r="AE63" s="90">
        <f t="shared" ca="1" si="37"/>
        <v>37001615.525991984</v>
      </c>
      <c r="AF63" s="90">
        <f t="shared" ca="1" si="37"/>
        <v>37000957.472521909</v>
      </c>
      <c r="AG63" s="90">
        <f t="shared" ref="AG63:AP63" ca="1" si="38">AG48-AG55-AG58-AG61-AG44</f>
        <v>37001615.525991984</v>
      </c>
      <c r="AH63" s="90">
        <f t="shared" ca="1" si="38"/>
        <v>38002891.863103956</v>
      </c>
      <c r="AI63" s="90">
        <f t="shared" ca="1" si="38"/>
        <v>39937192.055996679</v>
      </c>
      <c r="AJ63" s="90">
        <f t="shared" ca="1" si="38"/>
        <v>39937192.055996679</v>
      </c>
      <c r="AK63" s="90">
        <f t="shared" ca="1" si="38"/>
        <v>39937192.055996679</v>
      </c>
      <c r="AL63" s="90">
        <f t="shared" ca="1" si="38"/>
        <v>39937192.055996679</v>
      </c>
      <c r="AM63" s="90">
        <f t="shared" ca="1" si="38"/>
        <v>39471009.154841341</v>
      </c>
      <c r="AN63" s="90">
        <f t="shared" ca="1" si="38"/>
        <v>39937192.055996679</v>
      </c>
      <c r="AO63" s="90">
        <f t="shared" ca="1" si="38"/>
        <v>39937192.055996679</v>
      </c>
      <c r="AP63" s="90">
        <f t="shared" ca="1" si="38"/>
        <v>39937192.055996679</v>
      </c>
      <c r="AQ63" s="90">
        <f ca="1">AQ48-AQ55-AQ58-AQ61-AQ44</f>
        <v>39937192.055996679</v>
      </c>
      <c r="AR63" s="90"/>
      <c r="AS63" s="641"/>
      <c r="AT63" s="448" t="str">
        <f>IF(CAPEX!A63&lt;&gt;"",CAPEX!A63,"")</f>
        <v>F</v>
      </c>
      <c r="AU63" s="1263">
        <f>IF(CAPEX!B63&lt;&gt;"",CAPEX!B63,"")</f>
        <v>302</v>
      </c>
      <c r="AV63" s="448" t="str">
        <f>IF(CAPEX!C63&lt;&gt;"",CAPEX!C63,"")</f>
        <v>2nd Seed Fermentor</v>
      </c>
      <c r="AW63" s="648" t="s">
        <v>996</v>
      </c>
      <c r="AX63" s="448" t="str">
        <f>IF(CAPEX!F63&lt;&gt;"",CAPEX!F63,"")</f>
        <v>200 gallon skid complete - $58,300 ea</v>
      </c>
      <c r="AY63" s="1285" t="str">
        <f>IF(CAPEX!G63&lt;&gt;"",CAPEX!G63,"")</f>
        <v/>
      </c>
      <c r="AZ63" s="448" t="str">
        <f>IF(CAPEX!H63&lt;&gt;"",CAPEX!H63,"")</f>
        <v>304SS</v>
      </c>
      <c r="BA63" s="1285">
        <f>IF(CAPEX!J63&lt;&gt;"",CAPEX!J63,"")</f>
        <v>2</v>
      </c>
      <c r="BB63" s="293">
        <f>CAPEX!K63</f>
        <v>116600</v>
      </c>
      <c r="BC63" s="1272">
        <f>IF(CAPEX!L63&lt;&gt;"",CAPEX!L63,"")</f>
        <v>2009</v>
      </c>
      <c r="BD63" s="912">
        <v>0</v>
      </c>
      <c r="BE63" s="900" t="str">
        <f>IF(CAPEX!N63&lt;&gt;"",CAPEX!N63,"")</f>
        <v/>
      </c>
      <c r="BF63" s="909">
        <f>IF(CAPEX!O63&lt;&gt;"",CAPEX!O63,"")</f>
        <v>2</v>
      </c>
      <c r="BG63" s="906" t="str">
        <f>IF(CAPEX!P63&lt;&gt;"",CAPEX!P63,"")</f>
        <v>ea</v>
      </c>
      <c r="BH63" s="907">
        <f>IF(CAPEX!Q63&lt;&gt;"",CAPEX!Q63,"")</f>
        <v>0.7</v>
      </c>
      <c r="BI63" s="907">
        <f>IF(CAPEX!R63&lt;&gt;"",CAPEX!R63,"")</f>
        <v>1.8</v>
      </c>
      <c r="BJ63" s="909">
        <f>IF(CAPEX!S63&lt;&gt;"",CAPEX!S63,"")</f>
        <v>2</v>
      </c>
      <c r="BK63" s="239">
        <f t="shared" si="29"/>
        <v>1</v>
      </c>
      <c r="BL63" s="238">
        <f t="shared" si="30"/>
        <v>0</v>
      </c>
      <c r="BM63" s="238">
        <f t="shared" ca="1" si="31"/>
        <v>0</v>
      </c>
      <c r="BN63" s="238">
        <f t="shared" ca="1" si="32"/>
        <v>0</v>
      </c>
      <c r="BO63" s="608"/>
      <c r="BP63" s="539"/>
      <c r="BQ63" s="286"/>
      <c r="BR63" s="286"/>
    </row>
    <row r="64" spans="1:70" ht="13.5" customHeight="1" thickBot="1" x14ac:dyDescent="0.25">
      <c r="A64" s="438" t="s">
        <v>465</v>
      </c>
      <c r="B64" s="25">
        <f ca="1">VLOOKUP("PRETRX02",INDIRECT(LU_SENS),2,FALSE)</f>
        <v>0</v>
      </c>
      <c r="C64" s="438"/>
      <c r="D64" s="438" t="s">
        <v>461</v>
      </c>
      <c r="E64" s="437"/>
      <c r="F64" s="876">
        <f ca="1">VLOOKUP("OSLR7",INDIRECT(LU_SENS),2,FALSE)</f>
        <v>0.01</v>
      </c>
      <c r="G64" s="123"/>
      <c r="H64" s="641"/>
      <c r="I64" s="437" t="s">
        <v>139</v>
      </c>
      <c r="J64" s="437"/>
      <c r="K64" s="437"/>
      <c r="L64" s="437"/>
      <c r="M64" s="437"/>
      <c r="N64" s="90"/>
      <c r="O64" s="90">
        <f ca="1">IF(N65&lt;0,N65,0)</f>
        <v>-22187323.260541011</v>
      </c>
      <c r="P64" s="90">
        <f t="shared" ref="P64:AF64" ca="1" si="39">IF(O65&lt;0,O65,0)</f>
        <v>-57380248.025714546</v>
      </c>
      <c r="Q64" s="90">
        <f t="shared" ca="1" si="39"/>
        <v>-74846043.107807398</v>
      </c>
      <c r="R64" s="90">
        <f t="shared" ca="1" si="39"/>
        <v>-79184445.427352771</v>
      </c>
      <c r="S64" s="90">
        <f t="shared" ca="1" si="39"/>
        <v>-73680273.26996018</v>
      </c>
      <c r="T64" s="90">
        <f t="shared" ca="1" si="39"/>
        <v>-66990914.448875606</v>
      </c>
      <c r="U64" s="90">
        <f t="shared" ca="1" si="39"/>
        <v>-58143264.108777449</v>
      </c>
      <c r="V64" s="90">
        <f t="shared" ca="1" si="39"/>
        <v>-37074535.11551626</v>
      </c>
      <c r="W64" s="90">
        <f t="shared" ca="1" si="39"/>
        <v>-3883741.3516365513</v>
      </c>
      <c r="X64" s="90">
        <f t="shared" ca="1" si="39"/>
        <v>0</v>
      </c>
      <c r="Y64" s="90">
        <f t="shared" ca="1" si="39"/>
        <v>0</v>
      </c>
      <c r="Z64" s="90">
        <f t="shared" ca="1" si="39"/>
        <v>0</v>
      </c>
      <c r="AA64" s="90">
        <f t="shared" ca="1" si="39"/>
        <v>0</v>
      </c>
      <c r="AB64" s="90">
        <f t="shared" ca="1" si="39"/>
        <v>0</v>
      </c>
      <c r="AC64" s="90">
        <f t="shared" ca="1" si="39"/>
        <v>0</v>
      </c>
      <c r="AD64" s="90">
        <f t="shared" ca="1" si="39"/>
        <v>0</v>
      </c>
      <c r="AE64" s="90">
        <f t="shared" ca="1" si="39"/>
        <v>0</v>
      </c>
      <c r="AF64" s="90">
        <f t="shared" ca="1" si="39"/>
        <v>0</v>
      </c>
      <c r="AG64" s="90">
        <f t="shared" ref="AG64:AP64" ca="1" si="40">IF(AF65&lt;0,AF65,0)</f>
        <v>0</v>
      </c>
      <c r="AH64" s="90">
        <f t="shared" ca="1" si="40"/>
        <v>0</v>
      </c>
      <c r="AI64" s="90">
        <f t="shared" ca="1" si="40"/>
        <v>0</v>
      </c>
      <c r="AJ64" s="90">
        <f t="shared" ca="1" si="40"/>
        <v>0</v>
      </c>
      <c r="AK64" s="90">
        <f t="shared" ca="1" si="40"/>
        <v>0</v>
      </c>
      <c r="AL64" s="90">
        <f t="shared" ca="1" si="40"/>
        <v>0</v>
      </c>
      <c r="AM64" s="90">
        <f t="shared" ca="1" si="40"/>
        <v>0</v>
      </c>
      <c r="AN64" s="90">
        <f t="shared" ca="1" si="40"/>
        <v>0</v>
      </c>
      <c r="AO64" s="90">
        <f t="shared" ca="1" si="40"/>
        <v>0</v>
      </c>
      <c r="AP64" s="90">
        <f t="shared" ca="1" si="40"/>
        <v>0</v>
      </c>
      <c r="AQ64" s="90">
        <f ca="1">IF(AF65&lt;0,AF65,0)</f>
        <v>0</v>
      </c>
      <c r="AR64" s="90"/>
      <c r="AS64" s="641"/>
      <c r="AT64" s="448" t="str">
        <f>IF(CAPEX!A64&lt;&gt;"",CAPEX!A64,"")</f>
        <v>F</v>
      </c>
      <c r="AU64" s="1263">
        <f>IF(CAPEX!B64&lt;&gt;"",CAPEX!B64,"")</f>
        <v>303</v>
      </c>
      <c r="AV64" s="448" t="str">
        <f>IF(CAPEX!C64&lt;&gt;"",CAPEX!C64,"")</f>
        <v>3rd Seed Fermentor</v>
      </c>
      <c r="AW64" s="648" t="s">
        <v>996</v>
      </c>
      <c r="AX64" s="448" t="str">
        <f>IF(CAPEX!F64&lt;&gt;"",CAPEX!F64,"")</f>
        <v>2000 gallon skid complete - $78,800 ea</v>
      </c>
      <c r="AY64" s="1285" t="str">
        <f>IF(CAPEX!G64&lt;&gt;"",CAPEX!G64,"")</f>
        <v/>
      </c>
      <c r="AZ64" s="448" t="str">
        <f>IF(CAPEX!H64&lt;&gt;"",CAPEX!H64,"")</f>
        <v>304SS</v>
      </c>
      <c r="BA64" s="1285">
        <f>IF(CAPEX!J64&lt;&gt;"",CAPEX!J64,"")</f>
        <v>2</v>
      </c>
      <c r="BB64" s="293">
        <f>CAPEX!K64</f>
        <v>157600</v>
      </c>
      <c r="BC64" s="1272">
        <f>IF(CAPEX!L64&lt;&gt;"",CAPEX!L64,"")</f>
        <v>2009</v>
      </c>
      <c r="BD64" s="912">
        <v>0</v>
      </c>
      <c r="BE64" s="900" t="str">
        <f>IF(CAPEX!N64&lt;&gt;"",CAPEX!N64,"")</f>
        <v/>
      </c>
      <c r="BF64" s="909">
        <f>IF(CAPEX!O64&lt;&gt;"",CAPEX!O64,"")</f>
        <v>2</v>
      </c>
      <c r="BG64" s="906" t="str">
        <f>IF(CAPEX!P64&lt;&gt;"",CAPEX!P64,"")</f>
        <v>ea</v>
      </c>
      <c r="BH64" s="907">
        <f>IF(CAPEX!Q64&lt;&gt;"",CAPEX!Q64,"")</f>
        <v>0.7</v>
      </c>
      <c r="BI64" s="907">
        <f>IF(CAPEX!R64&lt;&gt;"",CAPEX!R64,"")</f>
        <v>1.8</v>
      </c>
      <c r="BJ64" s="909">
        <f>IF(CAPEX!S64&lt;&gt;"",CAPEX!S64,"")</f>
        <v>2</v>
      </c>
      <c r="BK64" s="239">
        <f t="shared" si="29"/>
        <v>1</v>
      </c>
      <c r="BL64" s="238">
        <f t="shared" si="30"/>
        <v>0</v>
      </c>
      <c r="BM64" s="238">
        <f t="shared" ca="1" si="31"/>
        <v>0</v>
      </c>
      <c r="BN64" s="238">
        <f t="shared" ca="1" si="32"/>
        <v>0</v>
      </c>
      <c r="BO64" s="608"/>
      <c r="BP64" s="539"/>
      <c r="BQ64" s="286"/>
      <c r="BR64" s="286"/>
    </row>
    <row r="65" spans="1:70" ht="13.5" customHeight="1" thickBot="1" x14ac:dyDescent="0.25">
      <c r="A65" s="438" t="s">
        <v>466</v>
      </c>
      <c r="B65" s="25">
        <f ca="1">VLOOKUP("PRETRX03",INDIRECT(LU_SENS),2,FALSE)</f>
        <v>9.9000000000000005E-2</v>
      </c>
      <c r="C65" s="438"/>
      <c r="D65" s="438"/>
      <c r="E65" s="437"/>
      <c r="F65" s="438"/>
      <c r="G65" s="438"/>
      <c r="H65" s="641"/>
      <c r="I65" s="437" t="s">
        <v>41</v>
      </c>
      <c r="J65" s="437"/>
      <c r="K65" s="437"/>
      <c r="L65" s="437"/>
      <c r="M65" s="437"/>
      <c r="N65" s="90">
        <f ca="1">N63+N64</f>
        <v>-22187323.260541011</v>
      </c>
      <c r="O65" s="90">
        <f t="shared" ref="O65:AF65" ca="1" si="41">O63+O64</f>
        <v>-57380248.025714546</v>
      </c>
      <c r="P65" s="90">
        <f t="shared" ca="1" si="41"/>
        <v>-74846043.107807398</v>
      </c>
      <c r="Q65" s="90">
        <f t="shared" ca="1" si="41"/>
        <v>-79184445.427352771</v>
      </c>
      <c r="R65" s="90">
        <f t="shared" ca="1" si="41"/>
        <v>-73680273.26996018</v>
      </c>
      <c r="S65" s="90">
        <f t="shared" ca="1" si="41"/>
        <v>-66990914.448875606</v>
      </c>
      <c r="T65" s="90">
        <f t="shared" ca="1" si="41"/>
        <v>-58143264.108777449</v>
      </c>
      <c r="U65" s="90">
        <f t="shared" ca="1" si="41"/>
        <v>-37074535.11551626</v>
      </c>
      <c r="V65" s="90">
        <f t="shared" ca="1" si="41"/>
        <v>-3883741.3516365513</v>
      </c>
      <c r="W65" s="90">
        <f t="shared" ca="1" si="41"/>
        <v>31139519.941021986</v>
      </c>
      <c r="X65" s="90">
        <f t="shared" ca="1" si="41"/>
        <v>36534774.571366578</v>
      </c>
      <c r="Y65" s="90">
        <f t="shared" ca="1" si="41"/>
        <v>37001615.525991991</v>
      </c>
      <c r="Z65" s="90">
        <f t="shared" ca="1" si="41"/>
        <v>37000957.472521916</v>
      </c>
      <c r="AA65" s="90">
        <f t="shared" ca="1" si="41"/>
        <v>37001615.525991991</v>
      </c>
      <c r="AB65" s="90">
        <f t="shared" ca="1" si="41"/>
        <v>37000957.472521916</v>
      </c>
      <c r="AC65" s="90">
        <f t="shared" ca="1" si="41"/>
        <v>36535432.624836653</v>
      </c>
      <c r="AD65" s="90">
        <f t="shared" ca="1" si="41"/>
        <v>37000957.472521909</v>
      </c>
      <c r="AE65" s="90">
        <f t="shared" ca="1" si="41"/>
        <v>37001615.525991984</v>
      </c>
      <c r="AF65" s="90">
        <f t="shared" ca="1" si="41"/>
        <v>37000957.472521909</v>
      </c>
      <c r="AG65" s="90">
        <f t="shared" ref="AG65:AP65" ca="1" si="42">AG63+AG64</f>
        <v>37001615.525991984</v>
      </c>
      <c r="AH65" s="90">
        <f t="shared" ca="1" si="42"/>
        <v>38002891.863103956</v>
      </c>
      <c r="AI65" s="90">
        <f t="shared" ca="1" si="42"/>
        <v>39937192.055996679</v>
      </c>
      <c r="AJ65" s="90">
        <f t="shared" ca="1" si="42"/>
        <v>39937192.055996679</v>
      </c>
      <c r="AK65" s="90">
        <f t="shared" ca="1" si="42"/>
        <v>39937192.055996679</v>
      </c>
      <c r="AL65" s="90">
        <f t="shared" ca="1" si="42"/>
        <v>39937192.055996679</v>
      </c>
      <c r="AM65" s="90">
        <f t="shared" ca="1" si="42"/>
        <v>39471009.154841341</v>
      </c>
      <c r="AN65" s="90">
        <f t="shared" ca="1" si="42"/>
        <v>39937192.055996679</v>
      </c>
      <c r="AO65" s="90">
        <f t="shared" ca="1" si="42"/>
        <v>39937192.055996679</v>
      </c>
      <c r="AP65" s="90">
        <f t="shared" ca="1" si="42"/>
        <v>39937192.055996679</v>
      </c>
      <c r="AQ65" s="90">
        <f ca="1">AQ63+AQ64</f>
        <v>39937192.055996679</v>
      </c>
      <c r="AR65" s="437"/>
      <c r="AS65" s="641"/>
      <c r="AT65" s="448" t="str">
        <f>IF(CAPEX!A65&lt;&gt;"",CAPEX!A65,"")</f>
        <v>F</v>
      </c>
      <c r="AU65" s="1263">
        <f>IF(CAPEX!B65&lt;&gt;"",CAPEX!B65,"")</f>
        <v>304</v>
      </c>
      <c r="AV65" s="448" t="str">
        <f>IF(CAPEX!C65&lt;&gt;"",CAPEX!C65,"")</f>
        <v>4th Seed Fermentor</v>
      </c>
      <c r="AW65" s="648" t="s">
        <v>891</v>
      </c>
      <c r="AX65" s="448" t="str">
        <f>IF(CAPEX!F65&lt;&gt;"",CAPEX!F65,"")</f>
        <v>20,000 gallon, incl. coil - $176,000 ea</v>
      </c>
      <c r="AY65" s="1285" t="str">
        <f>IF(CAPEX!G65&lt;&gt;"",CAPEX!G65,"")</f>
        <v/>
      </c>
      <c r="AZ65" s="448" t="str">
        <f>IF(CAPEX!H65&lt;&gt;"",CAPEX!H65,"")</f>
        <v>304SS</v>
      </c>
      <c r="BA65" s="1285">
        <f>IF(CAPEX!J65&lt;&gt;"",CAPEX!J65,"")</f>
        <v>2</v>
      </c>
      <c r="BB65" s="293">
        <f>CAPEX!K65</f>
        <v>352000</v>
      </c>
      <c r="BC65" s="1272">
        <f>IF(CAPEX!L65&lt;&gt;"",CAPEX!L65,"")</f>
        <v>2009</v>
      </c>
      <c r="BD65" s="912">
        <v>0</v>
      </c>
      <c r="BE65" s="900" t="str">
        <f>IF(CAPEX!N65&lt;&gt;"",CAPEX!N65,"")</f>
        <v/>
      </c>
      <c r="BF65" s="909">
        <f>IF(CAPEX!O65&lt;&gt;"",CAPEX!O65,"")</f>
        <v>2</v>
      </c>
      <c r="BG65" s="906" t="str">
        <f>IF(CAPEX!P65&lt;&gt;"",CAPEX!P65,"")</f>
        <v>ea</v>
      </c>
      <c r="BH65" s="907">
        <f>IF(CAPEX!Q65&lt;&gt;"",CAPEX!Q65,"")</f>
        <v>0.7</v>
      </c>
      <c r="BI65" s="907">
        <f>IF(CAPEX!R65&lt;&gt;"",CAPEX!R65,"")</f>
        <v>2</v>
      </c>
      <c r="BJ65" s="909">
        <f>IF(CAPEX!S65&lt;&gt;"",CAPEX!S65,"")</f>
        <v>2</v>
      </c>
      <c r="BK65" s="239">
        <f t="shared" si="29"/>
        <v>1</v>
      </c>
      <c r="BL65" s="238">
        <f t="shared" si="30"/>
        <v>0</v>
      </c>
      <c r="BM65" s="238">
        <f t="shared" ca="1" si="31"/>
        <v>0</v>
      </c>
      <c r="BN65" s="238">
        <f t="shared" ca="1" si="32"/>
        <v>0</v>
      </c>
      <c r="BO65" s="608"/>
      <c r="BP65" s="539"/>
      <c r="BQ65" s="286"/>
      <c r="BR65" s="286"/>
    </row>
    <row r="66" spans="1:70" ht="13.5" customHeight="1" thickBot="1" x14ac:dyDescent="0.25">
      <c r="A66" s="438" t="s">
        <v>467</v>
      </c>
      <c r="B66" s="25">
        <f ca="1">VLOOKUP("PRETRX04",INDIRECT(LU_SENS),2,FALSE)</f>
        <v>3.0000000000000001E-3</v>
      </c>
      <c r="C66" s="438"/>
      <c r="D66" s="652" t="s">
        <v>487</v>
      </c>
      <c r="E66" s="652"/>
      <c r="F66" s="653"/>
      <c r="G66" s="653"/>
      <c r="H66" s="641"/>
      <c r="I66" s="538" t="s">
        <v>42</v>
      </c>
      <c r="J66" s="538"/>
      <c r="K66" s="538"/>
      <c r="L66" s="538"/>
      <c r="M66" s="538"/>
      <c r="N66" s="91">
        <f t="shared" ref="N66:AF66" ca="1" si="43">IF(N65*($J$32)&lt;0,0,N65*$J$32)</f>
        <v>0</v>
      </c>
      <c r="O66" s="91">
        <f t="shared" ca="1" si="43"/>
        <v>0</v>
      </c>
      <c r="P66" s="91">
        <f t="shared" ca="1" si="43"/>
        <v>0</v>
      </c>
      <c r="Q66" s="91">
        <f t="shared" ca="1" si="43"/>
        <v>0</v>
      </c>
      <c r="R66" s="91">
        <f t="shared" ca="1" si="43"/>
        <v>0</v>
      </c>
      <c r="S66" s="91">
        <f t="shared" ca="1" si="43"/>
        <v>0</v>
      </c>
      <c r="T66" s="91">
        <f t="shared" ca="1" si="43"/>
        <v>0</v>
      </c>
      <c r="U66" s="91">
        <f t="shared" ca="1" si="43"/>
        <v>0</v>
      </c>
      <c r="V66" s="91">
        <f t="shared" ca="1" si="43"/>
        <v>0</v>
      </c>
      <c r="W66" s="91">
        <f t="shared" ca="1" si="43"/>
        <v>10898831.979357695</v>
      </c>
      <c r="X66" s="91">
        <f t="shared" ca="1" si="43"/>
        <v>12787171.099978302</v>
      </c>
      <c r="Y66" s="91">
        <f t="shared" ca="1" si="43"/>
        <v>12950565.434097197</v>
      </c>
      <c r="Z66" s="91">
        <f t="shared" ca="1" si="43"/>
        <v>12950335.115382669</v>
      </c>
      <c r="AA66" s="91">
        <f t="shared" ca="1" si="43"/>
        <v>12950565.434097197</v>
      </c>
      <c r="AB66" s="91">
        <f t="shared" ca="1" si="43"/>
        <v>12950335.115382669</v>
      </c>
      <c r="AC66" s="91">
        <f t="shared" ca="1" si="43"/>
        <v>12787401.418692827</v>
      </c>
      <c r="AD66" s="91">
        <f t="shared" ca="1" si="43"/>
        <v>12950335.115382668</v>
      </c>
      <c r="AE66" s="91">
        <f t="shared" ca="1" si="43"/>
        <v>12950565.434097193</v>
      </c>
      <c r="AF66" s="91">
        <f t="shared" ca="1" si="43"/>
        <v>12950335.115382668</v>
      </c>
      <c r="AG66" s="91">
        <f t="shared" ref="AG66:AP66" ca="1" si="44">IF(AG65*($J$32)&lt;0,0,AG65*$J$32)</f>
        <v>12950565.434097193</v>
      </c>
      <c r="AH66" s="91">
        <f t="shared" ca="1" si="44"/>
        <v>13301012.152086385</v>
      </c>
      <c r="AI66" s="91">
        <f t="shared" ca="1" si="44"/>
        <v>13978017.219598837</v>
      </c>
      <c r="AJ66" s="91">
        <f t="shared" ca="1" si="44"/>
        <v>13978017.219598837</v>
      </c>
      <c r="AK66" s="91">
        <f t="shared" ca="1" si="44"/>
        <v>13978017.219598837</v>
      </c>
      <c r="AL66" s="91">
        <f t="shared" ca="1" si="44"/>
        <v>13978017.219598837</v>
      </c>
      <c r="AM66" s="91">
        <f t="shared" ca="1" si="44"/>
        <v>13814853.204194469</v>
      </c>
      <c r="AN66" s="91">
        <f t="shared" ca="1" si="44"/>
        <v>13978017.219598837</v>
      </c>
      <c r="AO66" s="91">
        <f t="shared" ca="1" si="44"/>
        <v>13978017.219598837</v>
      </c>
      <c r="AP66" s="91">
        <f t="shared" ca="1" si="44"/>
        <v>13978017.219598837</v>
      </c>
      <c r="AQ66" s="91">
        <f ca="1">IF(AQ65*($J$32)&lt;0,0,AQ65*$J$32)</f>
        <v>13978017.219598837</v>
      </c>
      <c r="AR66" s="91" t="s">
        <v>268</v>
      </c>
      <c r="AS66" s="641"/>
      <c r="AT66" s="448" t="str">
        <f>IF(CAPEX!A66&lt;&gt;"",CAPEX!A66,"")</f>
        <v>F</v>
      </c>
      <c r="AU66" s="1263">
        <f>IF(CAPEX!B66&lt;&gt;"",CAPEX!B66,"")</f>
        <v>305</v>
      </c>
      <c r="AV66" s="448" t="str">
        <f>IF(CAPEX!C66&lt;&gt;"",CAPEX!C66,"")</f>
        <v>5th Seed Fermentor</v>
      </c>
      <c r="AW66" s="648" t="s">
        <v>891</v>
      </c>
      <c r="AX66" s="448" t="str">
        <f>IF(CAPEX!F66&lt;&gt;"",CAPEX!F66,"")</f>
        <v>200,000 gallon, incl. coil - $590,000 ea</v>
      </c>
      <c r="AY66" s="1285" t="str">
        <f>IF(CAPEX!G66&lt;&gt;"",CAPEX!G66,"")</f>
        <v/>
      </c>
      <c r="AZ66" s="448" t="str">
        <f>IF(CAPEX!H66&lt;&gt;"",CAPEX!H66,"")</f>
        <v>304SS</v>
      </c>
      <c r="BA66" s="1285">
        <f>IF(CAPEX!J66&lt;&gt;"",CAPEX!J66,"")</f>
        <v>2</v>
      </c>
      <c r="BB66" s="293">
        <f>CAPEX!K66</f>
        <v>1180000</v>
      </c>
      <c r="BC66" s="1272">
        <f>IF(CAPEX!L66&lt;&gt;"",CAPEX!L66,"")</f>
        <v>2009</v>
      </c>
      <c r="BD66" s="912">
        <v>0</v>
      </c>
      <c r="BE66" s="900" t="str">
        <f>IF(CAPEX!N66&lt;&gt;"",CAPEX!N66,"")</f>
        <v/>
      </c>
      <c r="BF66" s="909">
        <f>IF(CAPEX!O66&lt;&gt;"",CAPEX!O66,"")</f>
        <v>2</v>
      </c>
      <c r="BG66" s="906" t="str">
        <f>IF(CAPEX!P66&lt;&gt;"",CAPEX!P66,"")</f>
        <v>ea</v>
      </c>
      <c r="BH66" s="907">
        <f>IF(CAPEX!Q66&lt;&gt;"",CAPEX!Q66,"")</f>
        <v>0.7</v>
      </c>
      <c r="BI66" s="907">
        <f>IF(CAPEX!R66&lt;&gt;"",CAPEX!R66,"")</f>
        <v>2</v>
      </c>
      <c r="BJ66" s="909">
        <f>IF(CAPEX!S66&lt;&gt;"",CAPEX!S66,"")</f>
        <v>2</v>
      </c>
      <c r="BK66" s="239">
        <f t="shared" si="29"/>
        <v>1</v>
      </c>
      <c r="BL66" s="238">
        <f t="shared" si="30"/>
        <v>0</v>
      </c>
      <c r="BM66" s="238">
        <f t="shared" ca="1" si="31"/>
        <v>0</v>
      </c>
      <c r="BN66" s="238">
        <f t="shared" ca="1" si="32"/>
        <v>0</v>
      </c>
      <c r="BO66" s="608"/>
      <c r="BP66" s="539"/>
      <c r="BQ66" s="286"/>
      <c r="BR66" s="286"/>
    </row>
    <row r="67" spans="1:70" ht="13.5" customHeight="1" thickBot="1" x14ac:dyDescent="0.25">
      <c r="A67" s="438" t="s">
        <v>468</v>
      </c>
      <c r="B67" s="25">
        <f ca="1">VLOOKUP("PRETRX05",INDIRECT(LU_SENS),2,FALSE)</f>
        <v>2.4E-2</v>
      </c>
      <c r="C67" s="438"/>
      <c r="D67" s="438" t="s">
        <v>488</v>
      </c>
      <c r="E67" s="437"/>
      <c r="F67" s="37">
        <f ca="1">F46</f>
        <v>19.924855446216078</v>
      </c>
      <c r="G67" s="37"/>
      <c r="H67" s="649"/>
      <c r="I67" s="437" t="s">
        <v>276</v>
      </c>
      <c r="J67" s="437"/>
      <c r="K67" s="437"/>
      <c r="L67" s="437"/>
      <c r="M67" s="437"/>
      <c r="N67" s="90">
        <f t="shared" ref="N67:AF67" ca="1" si="45">N48-N55-N66-N43</f>
        <v>1188102.3035577722</v>
      </c>
      <c r="O67" s="90">
        <f t="shared" ca="1" si="45"/>
        <v>13229409.905995075</v>
      </c>
      <c r="P67" s="90">
        <f t="shared" ca="1" si="45"/>
        <v>13229409.905995075</v>
      </c>
      <c r="Q67" s="90">
        <f t="shared" ca="1" si="45"/>
        <v>13229409.905995075</v>
      </c>
      <c r="R67" s="90">
        <f t="shared" ca="1" si="45"/>
        <v>13229409.905995075</v>
      </c>
      <c r="S67" s="90">
        <f t="shared" ca="1" si="45"/>
        <v>12763227.004839737</v>
      </c>
      <c r="T67" s="90">
        <f t="shared" ca="1" si="45"/>
        <v>13229409.905995075</v>
      </c>
      <c r="U67" s="90">
        <f t="shared" ca="1" si="45"/>
        <v>13229409.905995075</v>
      </c>
      <c r="V67" s="90">
        <f t="shared" ca="1" si="45"/>
        <v>13229409.905995075</v>
      </c>
      <c r="W67" s="90">
        <f t="shared" ca="1" si="45"/>
        <v>2330577.9266373776</v>
      </c>
      <c r="X67" s="90">
        <f t="shared" ca="1" si="45"/>
        <v>26683838.054863047</v>
      </c>
      <c r="Y67" s="90">
        <f t="shared" ca="1" si="45"/>
        <v>26986626.621899489</v>
      </c>
      <c r="Z67" s="90">
        <f t="shared" ca="1" si="45"/>
        <v>26986856.940614015</v>
      </c>
      <c r="AA67" s="90">
        <f t="shared" ca="1" si="45"/>
        <v>26986626.621899489</v>
      </c>
      <c r="AB67" s="90">
        <f t="shared" ca="1" si="45"/>
        <v>26986856.940614015</v>
      </c>
      <c r="AC67" s="90">
        <f t="shared" ca="1" si="45"/>
        <v>26683607.736148521</v>
      </c>
      <c r="AD67" s="90">
        <f t="shared" ca="1" si="45"/>
        <v>26986856.940614019</v>
      </c>
      <c r="AE67" s="90">
        <f t="shared" ca="1" si="45"/>
        <v>26986626.621899493</v>
      </c>
      <c r="AF67" s="90">
        <f t="shared" ca="1" si="45"/>
        <v>26986856.940614019</v>
      </c>
      <c r="AG67" s="90">
        <f t="shared" ref="AG67:AP67" ca="1" si="46">AG48-AG55-AG66-AG43</f>
        <v>26986626.621899493</v>
      </c>
      <c r="AH67" s="90">
        <f t="shared" ca="1" si="46"/>
        <v>26169997.002754964</v>
      </c>
      <c r="AI67" s="90">
        <f t="shared" ca="1" si="46"/>
        <v>25959174.836397849</v>
      </c>
      <c r="AJ67" s="90">
        <f t="shared" ca="1" si="46"/>
        <v>25959174.836397849</v>
      </c>
      <c r="AK67" s="90">
        <f t="shared" ca="1" si="46"/>
        <v>25959174.836397849</v>
      </c>
      <c r="AL67" s="90">
        <f t="shared" ca="1" si="46"/>
        <v>25959174.836397849</v>
      </c>
      <c r="AM67" s="90">
        <f t="shared" ca="1" si="46"/>
        <v>25656155.950646877</v>
      </c>
      <c r="AN67" s="90">
        <f t="shared" ca="1" si="46"/>
        <v>25959174.836397849</v>
      </c>
      <c r="AO67" s="90">
        <f t="shared" ca="1" si="46"/>
        <v>25959174.836397849</v>
      </c>
      <c r="AP67" s="90">
        <f t="shared" ca="1" si="46"/>
        <v>25959174.836397849</v>
      </c>
      <c r="AQ67" s="90">
        <f ca="1">AQ48-AQ55-AQ66-AQ43</f>
        <v>25959174.836397849</v>
      </c>
      <c r="AR67" s="437"/>
      <c r="AS67" s="641"/>
      <c r="AT67" s="448" t="str">
        <f>IF(CAPEX!A67&lt;&gt;"",CAPEX!A67,"")</f>
        <v>H</v>
      </c>
      <c r="AU67" s="1263">
        <f>IF(CAPEX!B67&lt;&gt;"",CAPEX!B67,"")</f>
        <v>300</v>
      </c>
      <c r="AV67" s="448" t="str">
        <f>IF(CAPEX!C67&lt;&gt;"",CAPEX!C67,"")</f>
        <v>Fermentation Cooler</v>
      </c>
      <c r="AW67" s="648" t="s">
        <v>1646</v>
      </c>
      <c r="AX67" s="448" t="str">
        <f>IF(CAPEX!F67&lt;&gt;"",CAPEX!F67,"")</f>
        <v>Plate &amp; frame</v>
      </c>
      <c r="AY67" s="1285" t="str">
        <f>IF(CAPEX!G67&lt;&gt;"",CAPEX!G67,"")</f>
        <v/>
      </c>
      <c r="AZ67" s="448" t="str">
        <f>IF(CAPEX!H67&lt;&gt;"",CAPEX!H67,"")</f>
        <v>304SS</v>
      </c>
      <c r="BA67" s="1285">
        <f>IF(CAPEX!J67&lt;&gt;"",CAPEX!J67,"")</f>
        <v>12</v>
      </c>
      <c r="BB67" s="293">
        <f>CAPEX!K67</f>
        <v>86928</v>
      </c>
      <c r="BC67" s="1272">
        <f>IF(CAPEX!L67&lt;&gt;"",CAPEX!L67,"")</f>
        <v>2009</v>
      </c>
      <c r="BD67" s="905">
        <f>IF(CAPEX!M67&lt;&gt;"",CAPEX!M67,"")</f>
        <v>86928</v>
      </c>
      <c r="BE67" s="900" t="str">
        <f>IF(CAPEX!N67&lt;&gt;"",CAPEX!N67,"")</f>
        <v>inumsscf</v>
      </c>
      <c r="BF67" s="1295">
        <f>IF(CAPEX!O67&lt;&gt;"",CAPEX!O67,"")</f>
        <v>12</v>
      </c>
      <c r="BG67" s="904" t="str">
        <f>IF(CAPEX!P67&lt;&gt;"",CAPEX!P67,"")</f>
        <v>ea</v>
      </c>
      <c r="BH67" s="907">
        <f>IF(CAPEX!Q67&lt;&gt;"",CAPEX!Q67,"")</f>
        <v>1</v>
      </c>
      <c r="BI67" s="907">
        <f>IF(CAPEX!R67&lt;&gt;"",CAPEX!R67,"")</f>
        <v>2.2000000000000002</v>
      </c>
      <c r="BJ67" s="913">
        <f ca="1">BP57</f>
        <v>8</v>
      </c>
      <c r="BK67" s="239">
        <f t="shared" ca="1" si="29"/>
        <v>0.66666666666666663</v>
      </c>
      <c r="BL67" s="238">
        <f t="shared" ca="1" si="30"/>
        <v>57952</v>
      </c>
      <c r="BM67" s="238">
        <f t="shared" ca="1" si="31"/>
        <v>58340.641502203485</v>
      </c>
      <c r="BN67" s="238">
        <f t="shared" ca="1" si="32"/>
        <v>128349.41130484767</v>
      </c>
      <c r="BO67" s="608"/>
      <c r="BP67" s="539"/>
      <c r="BQ67" s="286"/>
      <c r="BR67" s="286"/>
    </row>
    <row r="68" spans="1:70" ht="13.5" customHeight="1" thickBot="1" x14ac:dyDescent="0.25">
      <c r="A68" s="438" t="s">
        <v>469</v>
      </c>
      <c r="B68" s="25">
        <f ca="1">VLOOKUP("PRETRX06",INDIRECT(LU_SENS),2,FALSE)</f>
        <v>0.9</v>
      </c>
      <c r="C68" s="438"/>
      <c r="D68" s="438" t="s">
        <v>462</v>
      </c>
      <c r="E68" s="437"/>
      <c r="F68" s="25">
        <f ca="1">(VLOOKUP("SOL310FD",INDIRECT(LU_SENS),2,FALSE)+VLOOKUP("SCIS.A300.T310FD",INDIRECT(LU_SENS),2,FALSE))/(VLOOKUP("STRM.A300.T310FD",INDIRECT(LU_SENS),2,FALSE))</f>
        <v>0.19976802499177201</v>
      </c>
      <c r="G68" s="25"/>
      <c r="H68" s="649"/>
      <c r="I68" s="437" t="s">
        <v>277</v>
      </c>
      <c r="J68" s="437"/>
      <c r="K68" s="440">
        <f t="shared" ref="K68:AF68" si="47">1/(1+$J$31)^K40</f>
        <v>1.2100000000000002</v>
      </c>
      <c r="L68" s="440">
        <f t="shared" si="47"/>
        <v>1.1000000000000001</v>
      </c>
      <c r="M68" s="440">
        <f t="shared" si="47"/>
        <v>1</v>
      </c>
      <c r="N68" s="440">
        <f t="shared" si="47"/>
        <v>0.90909090909090906</v>
      </c>
      <c r="O68" s="440">
        <f t="shared" si="47"/>
        <v>0.82644628099173545</v>
      </c>
      <c r="P68" s="440">
        <f t="shared" si="47"/>
        <v>0.75131480090157754</v>
      </c>
      <c r="Q68" s="440">
        <f t="shared" si="47"/>
        <v>0.68301345536507052</v>
      </c>
      <c r="R68" s="440">
        <f t="shared" si="47"/>
        <v>0.62092132305915493</v>
      </c>
      <c r="S68" s="440">
        <f t="shared" si="47"/>
        <v>0.56447393005377722</v>
      </c>
      <c r="T68" s="440">
        <f t="shared" si="47"/>
        <v>0.51315811823070645</v>
      </c>
      <c r="U68" s="440">
        <f t="shared" si="47"/>
        <v>0.46650738020973315</v>
      </c>
      <c r="V68" s="440">
        <f t="shared" si="47"/>
        <v>0.42409761837248466</v>
      </c>
      <c r="W68" s="440">
        <f t="shared" si="47"/>
        <v>0.38554328942953148</v>
      </c>
      <c r="X68" s="440">
        <f t="shared" si="47"/>
        <v>0.3504938994813922</v>
      </c>
      <c r="Y68" s="440">
        <f t="shared" si="47"/>
        <v>0.31863081771035656</v>
      </c>
      <c r="Z68" s="440">
        <f t="shared" si="47"/>
        <v>0.28966437973668779</v>
      </c>
      <c r="AA68" s="440">
        <f t="shared" si="47"/>
        <v>0.26333125430607973</v>
      </c>
      <c r="AB68" s="440">
        <f t="shared" si="47"/>
        <v>0.23939204936916339</v>
      </c>
      <c r="AC68" s="440">
        <f t="shared" si="47"/>
        <v>0.21762913579014853</v>
      </c>
      <c r="AD68" s="440">
        <f t="shared" si="47"/>
        <v>0.19784466890013502</v>
      </c>
      <c r="AE68" s="440">
        <f t="shared" si="47"/>
        <v>0.17985878990921364</v>
      </c>
      <c r="AF68" s="440">
        <f t="shared" si="47"/>
        <v>0.16350799082655781</v>
      </c>
      <c r="AG68" s="440">
        <f t="shared" ref="AG68:AP68" si="48">1/(1+$J$31)^AG40</f>
        <v>0.14864362802414349</v>
      </c>
      <c r="AH68" s="440">
        <f t="shared" si="48"/>
        <v>0.13513057093103953</v>
      </c>
      <c r="AI68" s="440">
        <f t="shared" si="48"/>
        <v>0.12284597357367227</v>
      </c>
      <c r="AJ68" s="440">
        <f t="shared" si="48"/>
        <v>0.11167815779424752</v>
      </c>
      <c r="AK68" s="440">
        <f t="shared" si="48"/>
        <v>0.10152559799477048</v>
      </c>
      <c r="AL68" s="440">
        <f t="shared" si="48"/>
        <v>9.2295998177064048E-2</v>
      </c>
      <c r="AM68" s="440">
        <f t="shared" si="48"/>
        <v>8.3905452888240042E-2</v>
      </c>
      <c r="AN68" s="440">
        <f t="shared" si="48"/>
        <v>7.6277684443854576E-2</v>
      </c>
      <c r="AO68" s="440">
        <f t="shared" si="48"/>
        <v>6.9343349494413245E-2</v>
      </c>
      <c r="AP68" s="440">
        <f t="shared" si="48"/>
        <v>6.3039408631284766E-2</v>
      </c>
      <c r="AQ68" s="440">
        <f>1/(1+$J$31)^AG40</f>
        <v>0.14864362802414349</v>
      </c>
      <c r="AR68" s="437"/>
      <c r="AS68" s="641"/>
      <c r="AT68" s="448" t="str">
        <f>IF(CAPEX!A68&lt;&gt;"",CAPEX!A68,"")</f>
        <v>H</v>
      </c>
      <c r="AU68" s="1263">
        <f>IF(CAPEX!B68&lt;&gt;"",CAPEX!B68,"")</f>
        <v>301</v>
      </c>
      <c r="AV68" s="448" t="str">
        <f>IF(CAPEX!C68&lt;&gt;"",CAPEX!C68,"")</f>
        <v>Hydrolyzate Cooler</v>
      </c>
      <c r="AW68" s="648" t="s">
        <v>1648</v>
      </c>
      <c r="AX68" s="448" t="str">
        <f>IF(CAPEX!F68&lt;&gt;"",CAPEX!F68,"")</f>
        <v>Plate &amp; Frame 32.5 MMBtu/hr</v>
      </c>
      <c r="AY68" s="1285" t="str">
        <f>IF(CAPEX!G68&lt;&gt;"",CAPEX!G68,"")</f>
        <v/>
      </c>
      <c r="AZ68" s="448" t="str">
        <f>IF(CAPEX!H68&lt;&gt;"",CAPEX!H68,"")</f>
        <v>SS 304</v>
      </c>
      <c r="BA68" s="1285">
        <f>IF(CAPEX!J68&lt;&gt;"",CAPEX!J68,"")</f>
        <v>1</v>
      </c>
      <c r="BB68" s="293">
        <f>CAPEX!K68</f>
        <v>85000</v>
      </c>
      <c r="BC68" s="1272">
        <f>IF(CAPEX!L68&lt;&gt;"",CAPEX!L68,"")</f>
        <v>2010</v>
      </c>
      <c r="BD68" s="905">
        <f>IF(CAPEX!M68&lt;&gt;"",CAPEX!M68,"")</f>
        <v>85000</v>
      </c>
      <c r="BE68" s="900" t="str">
        <f>IF(CAPEX!N68&lt;&gt;"",CAPEX!N68,"")</f>
        <v>heat.a300.qc301</v>
      </c>
      <c r="BF68" s="1295">
        <f>IF(CAPEX!O68&lt;&gt;"",CAPEX!O68,"")</f>
        <v>8.1999999999999993</v>
      </c>
      <c r="BG68" s="904" t="str">
        <f>IF(CAPEX!P68&lt;&gt;"",CAPEX!P68,"")</f>
        <v>Gcal/hr</v>
      </c>
      <c r="BH68" s="907">
        <f>IF(CAPEX!Q68&lt;&gt;"",CAPEX!Q68,"")</f>
        <v>0.7</v>
      </c>
      <c r="BI68" s="907">
        <f>IF(CAPEX!R68&lt;&gt;"",CAPEX!R68,"")</f>
        <v>2.2000000000000002</v>
      </c>
      <c r="BJ68" s="436">
        <f ca="1">IF(BE68&lt;&gt;"",VLOOKUP(BE68,INDIRECT(LU_SENS),2,FALSE),"")</f>
        <v>10.9259465</v>
      </c>
      <c r="BK68" s="239">
        <f t="shared" ca="1" si="29"/>
        <v>1.3324325000000001</v>
      </c>
      <c r="BL68" s="238">
        <f t="shared" ca="1" si="30"/>
        <v>103913.16618654049</v>
      </c>
      <c r="BM68" s="238">
        <f t="shared" ca="1" si="31"/>
        <v>99121.237317371779</v>
      </c>
      <c r="BN68" s="238">
        <f t="shared" ca="1" si="32"/>
        <v>218066.72209821793</v>
      </c>
      <c r="BO68" s="608"/>
      <c r="BP68" s="539"/>
      <c r="BQ68" s="286"/>
      <c r="BR68" s="286"/>
    </row>
    <row r="69" spans="1:70" ht="13.5" customHeight="1" thickBot="1" x14ac:dyDescent="0.25">
      <c r="A69" s="438" t="s">
        <v>470</v>
      </c>
      <c r="B69" s="25">
        <f ca="1">VLOOKUP("PRETRX07",INDIRECT(LU_SENS),2,FALSE)</f>
        <v>0.05</v>
      </c>
      <c r="C69" s="438"/>
      <c r="D69" s="438" t="s">
        <v>495</v>
      </c>
      <c r="E69" s="539"/>
      <c r="F69" s="25">
        <f ca="1">( VLOOKUP( "SCIS.A300.T310FD", INDIRECT(LU_SENS), 2, FALSE )) / ( VLOOKUP( "STRM.A300.T310FD", INDIRECT(LU_SENS), 2, FALSE ) )</f>
        <v>0.10608331532860622</v>
      </c>
      <c r="G69" s="25"/>
      <c r="H69" s="649"/>
      <c r="I69" s="437" t="s">
        <v>278</v>
      </c>
      <c r="J69" s="90">
        <f ca="1">SUM(N69:AQ69)</f>
        <v>155720473.41138056</v>
      </c>
      <c r="K69" s="437"/>
      <c r="L69" s="437"/>
      <c r="M69" s="437"/>
      <c r="N69" s="90">
        <f t="shared" ref="N69:AF69" ca="1" si="49">N68*N67</f>
        <v>1080093.0032343382</v>
      </c>
      <c r="O69" s="90">
        <f t="shared" ca="1" si="49"/>
        <v>10933396.616524855</v>
      </c>
      <c r="P69" s="90">
        <f t="shared" ca="1" si="49"/>
        <v>9939451.4695680477</v>
      </c>
      <c r="Q69" s="90">
        <f t="shared" ca="1" si="49"/>
        <v>9035864.9723345879</v>
      </c>
      <c r="R69" s="90">
        <f t="shared" ca="1" si="49"/>
        <v>8214422.7021223521</v>
      </c>
      <c r="S69" s="90">
        <f t="shared" ca="1" si="49"/>
        <v>7204508.9075903865</v>
      </c>
      <c r="T69" s="90">
        <f t="shared" ca="1" si="49"/>
        <v>6788779.0926631</v>
      </c>
      <c r="U69" s="90">
        <f t="shared" ca="1" si="49"/>
        <v>6171617.3569664545</v>
      </c>
      <c r="V69" s="90">
        <f t="shared" ca="1" si="49"/>
        <v>5610561.2336058673</v>
      </c>
      <c r="W69" s="90">
        <f t="shared" ca="1" si="49"/>
        <v>898538.68010763184</v>
      </c>
      <c r="X69" s="90">
        <f t="shared" ca="1" si="49"/>
        <v>9352522.4529789165</v>
      </c>
      <c r="Y69" s="90">
        <f t="shared" ca="1" si="49"/>
        <v>8598770.9077799115</v>
      </c>
      <c r="Z69" s="90">
        <f t="shared" ca="1" si="49"/>
        <v>7817131.1767456867</v>
      </c>
      <c r="AA69" s="90">
        <f t="shared" ca="1" si="49"/>
        <v>7106422.2378346361</v>
      </c>
      <c r="AB69" s="90">
        <f t="shared" ca="1" si="49"/>
        <v>6460438.9890460195</v>
      </c>
      <c r="AC69" s="90">
        <f t="shared" ca="1" si="49"/>
        <v>5807130.4913813248</v>
      </c>
      <c r="AD69" s="90">
        <f t="shared" ca="1" si="49"/>
        <v>5339205.7760710912</v>
      </c>
      <c r="AE69" s="90">
        <f t="shared" ca="1" si="49"/>
        <v>4853782.0079466123</v>
      </c>
      <c r="AF69" s="90">
        <f t="shared" ca="1" si="49"/>
        <v>4412566.7570835454</v>
      </c>
      <c r="AG69" s="90">
        <f t="shared" ref="AG69:AP69" ca="1" si="50">AG68*AG67</f>
        <v>4011390.0892120763</v>
      </c>
      <c r="AH69" s="90">
        <f t="shared" ca="1" si="50"/>
        <v>3536366.6362458714</v>
      </c>
      <c r="AI69" s="90">
        <f t="shared" ca="1" si="50"/>
        <v>3188980.1059464687</v>
      </c>
      <c r="AJ69" s="90">
        <f t="shared" ca="1" si="50"/>
        <v>2899072.8235876984</v>
      </c>
      <c r="AK69" s="90">
        <f t="shared" ca="1" si="50"/>
        <v>2635520.7487160899</v>
      </c>
      <c r="AL69" s="90">
        <f t="shared" ca="1" si="50"/>
        <v>2395927.9533782629</v>
      </c>
      <c r="AM69" s="90">
        <f t="shared" ca="1" si="50"/>
        <v>2152691.3844103408</v>
      </c>
      <c r="AN69" s="90">
        <f t="shared" ca="1" si="50"/>
        <v>1980105.7465936055</v>
      </c>
      <c r="AO69" s="90">
        <f t="shared" ca="1" si="50"/>
        <v>1800096.1332669137</v>
      </c>
      <c r="AP69" s="90">
        <f t="shared" ca="1" si="50"/>
        <v>1636451.0302426489</v>
      </c>
      <c r="AQ69" s="90">
        <f ca="1">AQ68*AQ67</f>
        <v>3858665.9281952279</v>
      </c>
      <c r="AR69" s="437"/>
      <c r="AS69" s="641"/>
      <c r="AT69" s="448" t="str">
        <f>IF(CAPEX!A69&lt;&gt;"",CAPEX!A69,"")</f>
        <v>H</v>
      </c>
      <c r="AU69" s="1263">
        <f>IF(CAPEX!B69&lt;&gt;"",CAPEX!B69,"")</f>
        <v>304</v>
      </c>
      <c r="AV69" s="448" t="str">
        <f>IF(CAPEX!C69&lt;&gt;"",CAPEX!C69,"")</f>
        <v>4th Seed Fermentor Coil</v>
      </c>
      <c r="AW69" s="648" t="s">
        <v>891</v>
      </c>
      <c r="AX69" s="448" t="str">
        <f>IF(CAPEX!F69&lt;&gt;"",CAPEX!F69,"")</f>
        <v>incl. w/ tank</v>
      </c>
      <c r="AY69" s="1285" t="str">
        <f>IF(CAPEX!G69&lt;&gt;"",CAPEX!G69,"")</f>
        <v/>
      </c>
      <c r="AZ69" s="448" t="str">
        <f>IF(CAPEX!H69&lt;&gt;"",CAPEX!H69,"")</f>
        <v>304SS</v>
      </c>
      <c r="BA69" s="1285">
        <f>IF(CAPEX!J69&lt;&gt;"",CAPEX!J69,"")</f>
        <v>1</v>
      </c>
      <c r="BB69" s="293" t="str">
        <f>CAPEX!K69</f>
        <v>INCLUDED</v>
      </c>
      <c r="BC69" s="1273" t="str">
        <f>IF(CAPEX!L69&lt;&gt;"",CAPEX!L69,"")</f>
        <v/>
      </c>
      <c r="BD69" s="902" t="str">
        <f>IF(CAPEX!M69&lt;&gt;"",CAPEX!M69,"")</f>
        <v/>
      </c>
      <c r="BE69" s="902" t="str">
        <f>IF(CAPEX!N69&lt;&gt;"",CAPEX!N69,"")</f>
        <v/>
      </c>
      <c r="BF69" s="1291" t="str">
        <f>IF(CAPEX!O69&lt;&gt;"",CAPEX!O69,"")</f>
        <v/>
      </c>
      <c r="BG69" s="901" t="str">
        <f>IF(CAPEX!P69&lt;&gt;"",CAPEX!P69,"")</f>
        <v/>
      </c>
      <c r="BH69" s="903" t="str">
        <f>IF(CAPEX!Q69&lt;&gt;"",CAPEX!Q69,"")</f>
        <v/>
      </c>
      <c r="BI69" s="903" t="str">
        <f>IF(CAPEX!R69&lt;&gt;"",CAPEX!R69,"")</f>
        <v/>
      </c>
      <c r="BJ69" s="436"/>
      <c r="BK69" s="249"/>
      <c r="BL69" s="249"/>
      <c r="BM69" s="249"/>
      <c r="BN69" s="249"/>
      <c r="BO69" s="608"/>
      <c r="BP69" s="539"/>
      <c r="BQ69" s="286"/>
      <c r="BR69" s="286"/>
    </row>
    <row r="70" spans="1:70" ht="13.5" customHeight="1" thickBot="1" x14ac:dyDescent="0.25">
      <c r="A70" s="438" t="s">
        <v>471</v>
      </c>
      <c r="B70" s="25">
        <f ca="1">VLOOKUP("PRETRX08",INDIRECT(LU_SENS),2,FALSE)</f>
        <v>0</v>
      </c>
      <c r="C70" s="438"/>
      <c r="D70" s="438" t="s">
        <v>496</v>
      </c>
      <c r="E70" s="437"/>
      <c r="F70" s="124">
        <f ca="1">VLOOKUP("TEMP.a300.301sug",INDIRECT(LU_SENS),2,FALSE)</f>
        <v>32</v>
      </c>
      <c r="G70" s="438"/>
      <c r="H70" s="649"/>
      <c r="I70" s="90" t="s">
        <v>43</v>
      </c>
      <c r="J70" s="90"/>
      <c r="K70" s="90">
        <f ca="1">(K41+K44)*K68</f>
        <v>12952921.532016225</v>
      </c>
      <c r="L70" s="90">
        <f ca="1">(L41+L44)*L68</f>
        <v>89577022.283099204</v>
      </c>
      <c r="M70" s="90">
        <f ca="1">(M41+M44+M42)*M68</f>
        <v>67502957.733076006</v>
      </c>
      <c r="N70" s="90"/>
      <c r="O70" s="90" t="s">
        <v>268</v>
      </c>
      <c r="P70" s="90"/>
      <c r="Q70" s="90"/>
      <c r="R70" s="90"/>
      <c r="S70" s="90"/>
      <c r="T70" s="90"/>
      <c r="U70" s="90"/>
      <c r="V70" s="90"/>
      <c r="W70" s="90"/>
      <c r="X70" s="90"/>
      <c r="Y70" s="90"/>
      <c r="Z70" s="90"/>
      <c r="AA70" s="90"/>
      <c r="AB70" s="90"/>
      <c r="AC70" s="90"/>
      <c r="AD70" s="90"/>
      <c r="AE70" s="90"/>
      <c r="AF70" s="90"/>
      <c r="AG70" s="90"/>
      <c r="AH70" s="90"/>
      <c r="AI70" s="90"/>
      <c r="AJ70" s="90"/>
      <c r="AK70" s="90"/>
      <c r="AL70" s="90"/>
      <c r="AM70" s="90"/>
      <c r="AN70" s="90"/>
      <c r="AO70" s="90"/>
      <c r="AP70" s="90"/>
      <c r="AQ70" s="90">
        <f ca="1">(AQ41+AQ44+AQ42)*AQ68</f>
        <v>-2219885.960133811</v>
      </c>
      <c r="AR70" s="90"/>
      <c r="AS70" s="650"/>
      <c r="AT70" s="448" t="str">
        <f>IF(CAPEX!A70&lt;&gt;"",CAPEX!A70,"")</f>
        <v>H</v>
      </c>
      <c r="AU70" s="1263">
        <f>IF(CAPEX!B70&lt;&gt;"",CAPEX!B70,"")</f>
        <v>305</v>
      </c>
      <c r="AV70" s="448" t="str">
        <f>IF(CAPEX!C70&lt;&gt;"",CAPEX!C70,"")</f>
        <v>5th Seed Fermentor Coil</v>
      </c>
      <c r="AW70" s="648" t="s">
        <v>891</v>
      </c>
      <c r="AX70" s="448" t="str">
        <f>IF(CAPEX!F70&lt;&gt;"",CAPEX!F70,"")</f>
        <v>incl. w/ tank</v>
      </c>
      <c r="AY70" s="1285" t="str">
        <f>IF(CAPEX!G70&lt;&gt;"",CAPEX!G70,"")</f>
        <v/>
      </c>
      <c r="AZ70" s="448" t="str">
        <f>IF(CAPEX!H70&lt;&gt;"",CAPEX!H70,"")</f>
        <v>304SS</v>
      </c>
      <c r="BA70" s="1285">
        <f>IF(CAPEX!J70&lt;&gt;"",CAPEX!J70,"")</f>
        <v>1</v>
      </c>
      <c r="BB70" s="293" t="str">
        <f>CAPEX!K70</f>
        <v>INCLUDED</v>
      </c>
      <c r="BC70" s="1273" t="str">
        <f>IF(CAPEX!L70&lt;&gt;"",CAPEX!L70,"")</f>
        <v/>
      </c>
      <c r="BD70" s="902" t="str">
        <f>IF(CAPEX!M70&lt;&gt;"",CAPEX!M70,"")</f>
        <v/>
      </c>
      <c r="BE70" s="902" t="str">
        <f>IF(CAPEX!N70&lt;&gt;"",CAPEX!N70,"")</f>
        <v/>
      </c>
      <c r="BF70" s="1291" t="str">
        <f>IF(CAPEX!O70&lt;&gt;"",CAPEX!O70,"")</f>
        <v/>
      </c>
      <c r="BG70" s="901" t="str">
        <f>IF(CAPEX!P70&lt;&gt;"",CAPEX!P70,"")</f>
        <v/>
      </c>
      <c r="BH70" s="903" t="str">
        <f>IF(CAPEX!Q70&lt;&gt;"",CAPEX!Q70,"")</f>
        <v/>
      </c>
      <c r="BI70" s="903" t="str">
        <f>IF(CAPEX!R70&lt;&gt;"",CAPEX!R70,"")</f>
        <v/>
      </c>
      <c r="BJ70" s="436"/>
      <c r="BK70" s="249"/>
      <c r="BL70" s="249"/>
      <c r="BM70" s="249"/>
      <c r="BN70" s="249"/>
      <c r="BO70" s="608"/>
      <c r="BP70" s="539"/>
      <c r="BQ70" s="286"/>
      <c r="BR70" s="286"/>
    </row>
    <row r="71" spans="1:70" ht="13.5" customHeight="1" thickBot="1" x14ac:dyDescent="0.25">
      <c r="A71" s="438" t="s">
        <v>472</v>
      </c>
      <c r="B71" s="25">
        <f ca="1">VLOOKUP("PRETRX09",INDIRECT(LU_SENS),2,FALSE)</f>
        <v>2.4E-2</v>
      </c>
      <c r="C71" s="438"/>
      <c r="D71" s="438" t="s">
        <v>453</v>
      </c>
      <c r="E71" s="437"/>
      <c r="F71" s="37">
        <f ca="1">VLOOKUP("PRES.a300.301sug",INDIRECT(LU_SENS),2,FALSE)</f>
        <v>1</v>
      </c>
      <c r="G71" s="37"/>
      <c r="H71" s="649"/>
      <c r="I71" s="437" t="s">
        <v>263</v>
      </c>
      <c r="J71" s="437"/>
      <c r="K71" s="437"/>
      <c r="L71" s="437"/>
      <c r="M71" s="90">
        <f ca="1">J69-SUM(J70:AQ70)</f>
        <v>-12092542.176677048</v>
      </c>
      <c r="N71" s="437"/>
      <c r="O71" s="90"/>
      <c r="P71" s="437"/>
      <c r="Q71" s="437"/>
      <c r="R71" s="437"/>
      <c r="S71" s="437"/>
      <c r="T71" s="437"/>
      <c r="U71" s="437"/>
      <c r="V71" s="437"/>
      <c r="W71" s="437"/>
      <c r="X71" s="437"/>
      <c r="Y71" s="437"/>
      <c r="Z71" s="437"/>
      <c r="AA71" s="437"/>
      <c r="AB71" s="437"/>
      <c r="AC71" s="437"/>
      <c r="AD71" s="437"/>
      <c r="AE71" s="437"/>
      <c r="AF71" s="437"/>
      <c r="AG71" s="437"/>
      <c r="AH71" s="437"/>
      <c r="AI71" s="437"/>
      <c r="AJ71" s="437"/>
      <c r="AK71" s="437"/>
      <c r="AL71" s="437"/>
      <c r="AM71" s="437"/>
      <c r="AN71" s="437"/>
      <c r="AO71" s="437"/>
      <c r="AP71" s="437"/>
      <c r="AQ71" s="437"/>
      <c r="AR71" s="437"/>
      <c r="AS71" s="641"/>
      <c r="AT71" s="448" t="str">
        <f>IF(CAPEX!A71&lt;&gt;"",CAPEX!A71,"")</f>
        <v>H</v>
      </c>
      <c r="AU71" s="1263">
        <f>IF(CAPEX!B71&lt;&gt;"",CAPEX!B71,"")</f>
        <v>310</v>
      </c>
      <c r="AV71" s="448" t="str">
        <f>IF(CAPEX!C71&lt;&gt;"",CAPEX!C71,"")</f>
        <v>Fermentor Batch Cooler</v>
      </c>
      <c r="AW71" s="648" t="s">
        <v>1646</v>
      </c>
      <c r="AX71" s="448" t="str">
        <f>IF(CAPEX!F71&lt;&gt;"",CAPEX!F71,"")</f>
        <v>Plate &amp; frame</v>
      </c>
      <c r="AY71" s="1285" t="str">
        <f>IF(CAPEX!G71&lt;&gt;"",CAPEX!G71,"")</f>
        <v/>
      </c>
      <c r="AZ71" s="448" t="str">
        <f>IF(CAPEX!H71&lt;&gt;"",CAPEX!H71,"")</f>
        <v>SS304</v>
      </c>
      <c r="BA71" s="1285">
        <f>IF(CAPEX!J71&lt;&gt;"",CAPEX!J71,"")</f>
        <v>1</v>
      </c>
      <c r="BB71" s="293">
        <f>CAPEX!K71</f>
        <v>23900</v>
      </c>
      <c r="BC71" s="1272">
        <f>IF(CAPEX!L71&lt;&gt;"",CAPEX!L71,"")</f>
        <v>2009</v>
      </c>
      <c r="BD71" s="905">
        <f>IF(CAPEX!M71&lt;&gt;"",CAPEX!M71,"")</f>
        <v>23900</v>
      </c>
      <c r="BE71" s="900" t="str">
        <f>IF(CAPEX!N71&lt;&gt;"",CAPEX!N71,"")</f>
        <v>heat.a300.qc310</v>
      </c>
      <c r="BF71" s="1294">
        <f>IF(CAPEX!O71&lt;&gt;"",CAPEX!O71,"")</f>
        <v>5.4039999999999999</v>
      </c>
      <c r="BG71" s="908" t="str">
        <f>IF(CAPEX!P71&lt;&gt;"",CAPEX!P71,"")</f>
        <v>Gcal/hr</v>
      </c>
      <c r="BH71" s="907">
        <f>IF(CAPEX!Q71&lt;&gt;"",CAPEX!Q71,"")</f>
        <v>0.7</v>
      </c>
      <c r="BI71" s="907">
        <f>IF(CAPEX!R71&lt;&gt;"",CAPEX!R71,"")</f>
        <v>1.8</v>
      </c>
      <c r="BJ71" s="436">
        <f t="shared" ref="BJ71:BJ79" ca="1" si="51">IF(BE71&lt;&gt;"",VLOOKUP(BE71,INDIRECT(LU_SENS),2,FALSE),"")</f>
        <v>6.3824260199999996</v>
      </c>
      <c r="BK71" s="239">
        <f t="shared" ref="BK71:BK79" ca="1" si="52">BJ71/BF71</f>
        <v>1.1810558882309399</v>
      </c>
      <c r="BL71" s="238">
        <f t="shared" ref="BL71:BL79" ca="1" si="53">BD71*BK71^BH71</f>
        <v>26852.65396399577</v>
      </c>
      <c r="BM71" s="238">
        <f t="shared" ref="BM71:BM79" ca="1" si="54">BL71*VLOOKUP($J$34,INDIRECT(IX_CAP),4,FALSE)/VLOOKUP(BC71,INDIRECT(IX_CAP),4,FALSE)</f>
        <v>27032.734992687063</v>
      </c>
      <c r="BN71" s="238">
        <f t="shared" ref="BN71:BN79" ca="1" si="55">BM71*BI71</f>
        <v>48658.922986836711</v>
      </c>
      <c r="BO71" s="608"/>
      <c r="BP71" s="539"/>
      <c r="BQ71" s="286"/>
      <c r="BR71" s="286"/>
    </row>
    <row r="72" spans="1:70" ht="13.5" customHeight="1" thickBot="1" x14ac:dyDescent="0.25">
      <c r="A72" s="438" t="s">
        <v>473</v>
      </c>
      <c r="B72" s="25">
        <f ca="1">VLOOKUP("PRETRX10",INDIRECT(LU_SENS),2,FALSE)</f>
        <v>0.9</v>
      </c>
      <c r="C72" s="438"/>
      <c r="D72" s="438" t="s">
        <v>529</v>
      </c>
      <c r="E72" s="437"/>
      <c r="F72" s="37">
        <f ca="1">VLOOKUP("SACHDAYS",INDIRECT(LU_SENS),2,FALSE)</f>
        <v>3.5</v>
      </c>
      <c r="G72" s="123"/>
      <c r="H72" s="641"/>
      <c r="I72" s="437"/>
      <c r="J72" s="437"/>
      <c r="K72" s="437"/>
      <c r="L72" s="437"/>
      <c r="M72" s="437"/>
      <c r="N72" s="437"/>
      <c r="O72" s="90"/>
      <c r="P72" s="437"/>
      <c r="Q72" s="437"/>
      <c r="R72" s="437"/>
      <c r="S72" s="437"/>
      <c r="T72" s="437"/>
      <c r="U72" s="437"/>
      <c r="V72" s="437"/>
      <c r="W72" s="437"/>
      <c r="X72" s="437"/>
      <c r="Y72" s="437"/>
      <c r="Z72" s="437"/>
      <c r="AA72" s="437"/>
      <c r="AB72" s="437"/>
      <c r="AC72" s="437"/>
      <c r="AD72" s="437"/>
      <c r="AE72" s="437"/>
      <c r="AF72" s="437"/>
      <c r="AG72" s="437"/>
      <c r="AH72" s="437"/>
      <c r="AI72" s="437"/>
      <c r="AJ72" s="437"/>
      <c r="AK72" s="437"/>
      <c r="AL72" s="437"/>
      <c r="AM72" s="437"/>
      <c r="AN72" s="437"/>
      <c r="AO72" s="437"/>
      <c r="AP72" s="437"/>
      <c r="AQ72" s="437"/>
      <c r="AR72" s="437"/>
      <c r="AS72" s="641"/>
      <c r="AT72" s="448" t="str">
        <f>IF(CAPEX!A72&lt;&gt;"",CAPEX!A72,"")</f>
        <v>P</v>
      </c>
      <c r="AU72" s="1263">
        <f>IF(CAPEX!B72&lt;&gt;"",CAPEX!B72,"")</f>
        <v>300</v>
      </c>
      <c r="AV72" s="448" t="str">
        <f>IF(CAPEX!C72&lt;&gt;"",CAPEX!C72,"")</f>
        <v>Fermentation Recirc/Transfer Pump</v>
      </c>
      <c r="AW72" s="648" t="s">
        <v>991</v>
      </c>
      <c r="AX72" s="448" t="str">
        <f>IF(CAPEX!F72&lt;&gt;"",CAPEX!F72,"")</f>
        <v>340 GPM, 150 FT</v>
      </c>
      <c r="AY72" s="1285">
        <f>IF(CAPEX!G72&lt;&gt;"",CAPEX!G72,"")</f>
        <v>20</v>
      </c>
      <c r="AZ72" s="448" t="str">
        <f>IF(CAPEX!H72&lt;&gt;"",CAPEX!H72,"")</f>
        <v>316SS</v>
      </c>
      <c r="BA72" s="1285">
        <f>IF(CAPEX!J72&lt;&gt;"",CAPEX!J72,"")</f>
        <v>5</v>
      </c>
      <c r="BB72" s="293">
        <f>CAPEX!K72</f>
        <v>47200</v>
      </c>
      <c r="BC72" s="1272">
        <f>IF(CAPEX!L72&lt;&gt;"",CAPEX!L72,"")</f>
        <v>2009</v>
      </c>
      <c r="BD72" s="905">
        <f>IF(CAPEX!M72&lt;&gt;"",CAPEX!M72,"")</f>
        <v>47200</v>
      </c>
      <c r="BE72" s="900" t="str">
        <f>IF(CAPEX!N72&lt;&gt;"",CAPEX!N72,"")</f>
        <v>inumsscf</v>
      </c>
      <c r="BF72" s="1295">
        <f>IF(CAPEX!O72&lt;&gt;"",CAPEX!O72,"")</f>
        <v>12</v>
      </c>
      <c r="BG72" s="904" t="str">
        <f>IF(CAPEX!P72&lt;&gt;"",CAPEX!P72,"")</f>
        <v>ea</v>
      </c>
      <c r="BH72" s="907">
        <f>IF(CAPEX!Q72&lt;&gt;"",CAPEX!Q72,"")</f>
        <v>0.8</v>
      </c>
      <c r="BI72" s="907">
        <f>IF(CAPEX!R72&lt;&gt;"",CAPEX!R72,"")</f>
        <v>2.2999999999999998</v>
      </c>
      <c r="BJ72" s="436">
        <f ca="1">BP57</f>
        <v>8</v>
      </c>
      <c r="BK72" s="239">
        <f t="shared" ca="1" si="52"/>
        <v>0.66666666666666663</v>
      </c>
      <c r="BL72" s="238">
        <f t="shared" ca="1" si="53"/>
        <v>34124.711733687574</v>
      </c>
      <c r="BM72" s="238">
        <f t="shared" ca="1" si="54"/>
        <v>34353.561113009106</v>
      </c>
      <c r="BN72" s="238">
        <f t="shared" ca="1" si="55"/>
        <v>79013.190559920942</v>
      </c>
      <c r="BO72" s="608"/>
      <c r="BP72" s="539"/>
      <c r="BQ72" s="286"/>
      <c r="BR72" s="286"/>
    </row>
    <row r="73" spans="1:70" ht="13.5" customHeight="1" thickBot="1" x14ac:dyDescent="0.25">
      <c r="A73" s="438" t="s">
        <v>474</v>
      </c>
      <c r="B73" s="25">
        <f ca="1">VLOOKUP("PRETRX11",INDIRECT(LU_SENS),2,FALSE)</f>
        <v>0.05</v>
      </c>
      <c r="C73" s="438"/>
      <c r="D73" s="523" t="s">
        <v>463</v>
      </c>
      <c r="E73" s="90"/>
      <c r="F73" s="438"/>
      <c r="G73" s="438"/>
      <c r="H73" s="641"/>
      <c r="I73" s="437"/>
      <c r="J73" s="437"/>
      <c r="K73" s="437"/>
      <c r="L73" s="437"/>
      <c r="M73" s="437"/>
      <c r="N73" s="437"/>
      <c r="O73" s="90" t="s">
        <v>268</v>
      </c>
      <c r="P73" s="437"/>
      <c r="Q73" s="437"/>
      <c r="R73" s="437"/>
      <c r="S73" s="437"/>
      <c r="T73" s="437"/>
      <c r="U73" s="437"/>
      <c r="V73" s="437"/>
      <c r="W73" s="437"/>
      <c r="X73" s="437"/>
      <c r="Y73" s="437"/>
      <c r="Z73" s="437"/>
      <c r="AA73" s="437"/>
      <c r="AB73" s="437"/>
      <c r="AC73" s="437"/>
      <c r="AD73" s="437"/>
      <c r="AE73" s="437"/>
      <c r="AF73" s="437"/>
      <c r="AG73" s="437"/>
      <c r="AH73" s="437"/>
      <c r="AI73" s="437"/>
      <c r="AJ73" s="437"/>
      <c r="AK73" s="437"/>
      <c r="AL73" s="437"/>
      <c r="AM73" s="437"/>
      <c r="AN73" s="437"/>
      <c r="AO73" s="437"/>
      <c r="AP73" s="437"/>
      <c r="AQ73" s="437"/>
      <c r="AR73" s="437"/>
      <c r="AS73" s="641"/>
      <c r="AT73" s="448" t="str">
        <f>IF(CAPEX!A73&lt;&gt;"",CAPEX!A73,"")</f>
        <v>P</v>
      </c>
      <c r="AU73" s="1263">
        <f>IF(CAPEX!B73&lt;&gt;"",CAPEX!B73,"")</f>
        <v>301</v>
      </c>
      <c r="AV73" s="448" t="str">
        <f>IF(CAPEX!C73&lt;&gt;"",CAPEX!C73,"")</f>
        <v>Seed Hold Transfer Pump</v>
      </c>
      <c r="AW73" s="648" t="s">
        <v>991</v>
      </c>
      <c r="AX73" s="448" t="str">
        <f>IF(CAPEX!F73&lt;&gt;"",CAPEX!F73,"")</f>
        <v>190 GPM, 150 FT TDH</v>
      </c>
      <c r="AY73" s="1285">
        <f>IF(CAPEX!G73&lt;&gt;"",CAPEX!G73,"")</f>
        <v>10</v>
      </c>
      <c r="AZ73" s="448" t="str">
        <f>IF(CAPEX!H73&lt;&gt;"",CAPEX!H73,"")</f>
        <v>316SS</v>
      </c>
      <c r="BA73" s="1285">
        <f>IF(CAPEX!J73&lt;&gt;"",CAPEX!J73,"")</f>
        <v>1</v>
      </c>
      <c r="BB73" s="293">
        <f>CAPEX!K73</f>
        <v>8200</v>
      </c>
      <c r="BC73" s="1272">
        <f>IF(CAPEX!L73&lt;&gt;"",CAPEX!L73,"")</f>
        <v>2009</v>
      </c>
      <c r="BD73" s="912">
        <v>0</v>
      </c>
      <c r="BE73" s="900" t="str">
        <f>IF(CAPEX!N73&lt;&gt;"",CAPEX!N73,"")</f>
        <v>strm.a300.304</v>
      </c>
      <c r="BF73" s="1295">
        <f>IF(CAPEX!O73&lt;&gt;"",CAPEX!O73,"")</f>
        <v>43149</v>
      </c>
      <c r="BG73" s="904" t="str">
        <f>IF(CAPEX!P73&lt;&gt;"",CAPEX!P73,"")</f>
        <v>kg/hr</v>
      </c>
      <c r="BH73" s="907">
        <f>IF(CAPEX!Q73&lt;&gt;"",CAPEX!Q73,"")</f>
        <v>0.8</v>
      </c>
      <c r="BI73" s="907">
        <f>IF(CAPEX!R73&lt;&gt;"",CAPEX!R73,"")</f>
        <v>2.2999999999999998</v>
      </c>
      <c r="BJ73" s="436">
        <f t="shared" ca="1" si="51"/>
        <v>42590.408199999998</v>
      </c>
      <c r="BK73" s="239">
        <f t="shared" ca="1" si="52"/>
        <v>0.98705435120165008</v>
      </c>
      <c r="BL73" s="238">
        <f t="shared" ca="1" si="53"/>
        <v>0</v>
      </c>
      <c r="BM73" s="238">
        <f t="shared" ca="1" si="54"/>
        <v>0</v>
      </c>
      <c r="BN73" s="238">
        <f t="shared" ca="1" si="55"/>
        <v>0</v>
      </c>
      <c r="BO73" s="615"/>
      <c r="BP73" s="539"/>
      <c r="BQ73" s="286"/>
      <c r="BR73" s="286"/>
    </row>
    <row r="74" spans="1:70" ht="13.5" customHeight="1" thickBot="1" x14ac:dyDescent="0.25">
      <c r="A74" s="438" t="s">
        <v>475</v>
      </c>
      <c r="B74" s="25">
        <f ca="1">VLOOKUP("PRETRX12",INDIRECT(LU_SENS),2,FALSE)</f>
        <v>2.4E-2</v>
      </c>
      <c r="C74" s="438"/>
      <c r="D74" s="438" t="s">
        <v>464</v>
      </c>
      <c r="E74" s="437"/>
      <c r="F74" s="25">
        <f ca="1">'Operating Summaries'!D48</f>
        <v>0.04</v>
      </c>
      <c r="G74" s="400"/>
      <c r="H74" s="303"/>
      <c r="I74" s="437"/>
      <c r="J74" s="95"/>
      <c r="K74" s="437"/>
      <c r="L74" s="437"/>
      <c r="M74" s="437"/>
      <c r="N74" s="437" t="s">
        <v>1849</v>
      </c>
      <c r="O74" s="90"/>
      <c r="P74" s="437"/>
      <c r="Q74" s="437"/>
      <c r="R74" s="437"/>
      <c r="S74" s="437"/>
      <c r="T74" s="437"/>
      <c r="U74" s="437"/>
      <c r="V74" s="437"/>
      <c r="W74" s="437"/>
      <c r="X74" s="437"/>
      <c r="Y74" s="437"/>
      <c r="Z74" s="437"/>
      <c r="AA74" s="437"/>
      <c r="AB74" s="437"/>
      <c r="AC74" s="437"/>
      <c r="AD74" s="437"/>
      <c r="AE74" s="437"/>
      <c r="AF74" s="437"/>
      <c r="AG74" s="437"/>
      <c r="AH74" s="437"/>
      <c r="AI74" s="437"/>
      <c r="AJ74" s="437"/>
      <c r="AK74" s="437"/>
      <c r="AL74" s="437"/>
      <c r="AM74" s="437"/>
      <c r="AN74" s="437"/>
      <c r="AO74" s="437"/>
      <c r="AP74" s="437"/>
      <c r="AQ74" s="437"/>
      <c r="AR74" s="437"/>
      <c r="AS74" s="303"/>
      <c r="AT74" s="448" t="str">
        <f>IF(CAPEX!A74&lt;&gt;"",CAPEX!A74,"")</f>
        <v>P</v>
      </c>
      <c r="AU74" s="1263">
        <f>IF(CAPEX!B74&lt;&gt;"",CAPEX!B74,"")</f>
        <v>302</v>
      </c>
      <c r="AV74" s="448" t="str">
        <f>IF(CAPEX!C74&lt;&gt;"",CAPEX!C74,"")</f>
        <v>Seed Transfer Pump</v>
      </c>
      <c r="AW74" s="648" t="s">
        <v>991</v>
      </c>
      <c r="AX74" s="448" t="str">
        <f>IF(CAPEX!F74&lt;&gt;"",CAPEX!F74,"")</f>
        <v>190 GPM, 615 FT TDH</v>
      </c>
      <c r="AY74" s="1285">
        <f>IF(CAPEX!G74&lt;&gt;"",CAPEX!G74,"")</f>
        <v>40</v>
      </c>
      <c r="AZ74" s="448" t="str">
        <f>IF(CAPEX!H74&lt;&gt;"",CAPEX!H74,"")</f>
        <v>316SS</v>
      </c>
      <c r="BA74" s="1285">
        <f>IF(CAPEX!J74&lt;&gt;"",CAPEX!J74,"")</f>
        <v>2</v>
      </c>
      <c r="BB74" s="293">
        <f>CAPEX!K74</f>
        <v>24300</v>
      </c>
      <c r="BC74" s="1272">
        <f>IF(CAPEX!L74&lt;&gt;"",CAPEX!L74,"")</f>
        <v>2009</v>
      </c>
      <c r="BD74" s="912">
        <v>0</v>
      </c>
      <c r="BE74" s="900" t="str">
        <f>IF(CAPEX!N74&lt;&gt;"",CAPEX!N74,"")</f>
        <v>strm.a300.304</v>
      </c>
      <c r="BF74" s="1295">
        <f>IF(CAPEX!O74&lt;&gt;"",CAPEX!O74,"")</f>
        <v>43149</v>
      </c>
      <c r="BG74" s="904" t="str">
        <f>IF(CAPEX!P74&lt;&gt;"",CAPEX!P74,"")</f>
        <v>kg/hr</v>
      </c>
      <c r="BH74" s="907">
        <f>IF(CAPEX!Q74&lt;&gt;"",CAPEX!Q74,"")</f>
        <v>0.8</v>
      </c>
      <c r="BI74" s="907">
        <f>IF(CAPEX!R74&lt;&gt;"",CAPEX!R74,"")</f>
        <v>2.2999999999999998</v>
      </c>
      <c r="BJ74" s="436">
        <f t="shared" ca="1" si="51"/>
        <v>42590.408199999998</v>
      </c>
      <c r="BK74" s="239">
        <f t="shared" ca="1" si="52"/>
        <v>0.98705435120165008</v>
      </c>
      <c r="BL74" s="238">
        <f t="shared" ca="1" si="53"/>
        <v>0</v>
      </c>
      <c r="BM74" s="238">
        <f t="shared" ca="1" si="54"/>
        <v>0</v>
      </c>
      <c r="BN74" s="238">
        <f t="shared" ca="1" si="55"/>
        <v>0</v>
      </c>
      <c r="BO74" s="615"/>
      <c r="BP74" s="539"/>
      <c r="BQ74" s="286"/>
      <c r="BR74" s="286"/>
    </row>
    <row r="75" spans="1:70" ht="13.5" customHeight="1" thickBot="1" x14ac:dyDescent="0.25">
      <c r="A75" s="438" t="s">
        <v>476</v>
      </c>
      <c r="B75" s="25">
        <f ca="1">VLOOKUP("PRETRX13",INDIRECT(LU_SENS),2,FALSE)</f>
        <v>0.9</v>
      </c>
      <c r="C75" s="438"/>
      <c r="D75" s="438" t="s">
        <v>465</v>
      </c>
      <c r="E75" s="437"/>
      <c r="F75" s="25">
        <f ca="1">'Operating Summaries'!D49</f>
        <v>1.2E-2</v>
      </c>
      <c r="G75" s="400"/>
      <c r="H75" s="641"/>
      <c r="I75" s="437"/>
      <c r="J75" s="437"/>
      <c r="K75" s="437"/>
      <c r="L75" s="437"/>
      <c r="M75" s="437"/>
      <c r="N75" s="437" t="s">
        <v>44</v>
      </c>
      <c r="O75" s="90"/>
      <c r="P75" s="437"/>
      <c r="Q75" s="437"/>
      <c r="R75" s="437"/>
      <c r="S75" s="437"/>
      <c r="T75" s="437"/>
      <c r="U75" s="437"/>
      <c r="V75" s="437"/>
      <c r="W75" s="437"/>
      <c r="X75" s="437"/>
      <c r="Y75" s="437"/>
      <c r="Z75" s="437"/>
      <c r="AA75" s="437"/>
      <c r="AB75" s="437"/>
      <c r="AC75" s="437"/>
      <c r="AD75" s="437"/>
      <c r="AE75" s="437"/>
      <c r="AF75" s="437"/>
      <c r="AG75" s="437"/>
      <c r="AH75" s="437"/>
      <c r="AI75" s="437"/>
      <c r="AJ75" s="437"/>
      <c r="AK75" s="437"/>
      <c r="AL75" s="437"/>
      <c r="AM75" s="437"/>
      <c r="AN75" s="437"/>
      <c r="AO75" s="437"/>
      <c r="AP75" s="437"/>
      <c r="AQ75" s="437"/>
      <c r="AR75" s="437"/>
      <c r="AS75" s="641"/>
      <c r="AT75" s="448" t="str">
        <f>IF(CAPEX!A75&lt;&gt;"",CAPEX!A75,"")</f>
        <v>P</v>
      </c>
      <c r="AU75" s="1263">
        <f>IF(CAPEX!B75&lt;&gt;"",CAPEX!B75,"")</f>
        <v>306</v>
      </c>
      <c r="AV75" s="448" t="str">
        <f>IF(CAPEX!C75&lt;&gt;"",CAPEX!C75,"")</f>
        <v>Beer Transfer Pump</v>
      </c>
      <c r="AW75" s="648" t="s">
        <v>991</v>
      </c>
      <c r="AX75" s="448" t="str">
        <f>IF(CAPEX!F75&lt;&gt;"",CAPEX!F75,"")</f>
        <v>2152 GPM, 171 FT TDH</v>
      </c>
      <c r="AY75" s="1285">
        <f>IF(CAPEX!G75&lt;&gt;"",CAPEX!G75,"")</f>
        <v>125</v>
      </c>
      <c r="AZ75" s="448" t="str">
        <f>IF(CAPEX!H75&lt;&gt;"",CAPEX!H75,"")</f>
        <v>316SS</v>
      </c>
      <c r="BA75" s="1285">
        <f>IF(CAPEX!J75&lt;&gt;"",CAPEX!J75,"")</f>
        <v>1</v>
      </c>
      <c r="BB75" s="293">
        <f>CAPEX!K75</f>
        <v>26800</v>
      </c>
      <c r="BC75" s="1272">
        <f>IF(CAPEX!L75&lt;&gt;"",CAPEX!L75,"")</f>
        <v>2009</v>
      </c>
      <c r="BD75" s="912">
        <v>0</v>
      </c>
      <c r="BE75" s="900" t="str">
        <f>IF(CAPEX!N75&lt;&gt;"",CAPEX!N75,"")</f>
        <v>strm.501</v>
      </c>
      <c r="BF75" s="1295">
        <f>IF(CAPEX!O75&lt;&gt;"",CAPEX!O75,"")</f>
        <v>488719</v>
      </c>
      <c r="BG75" s="904" t="str">
        <f>IF(CAPEX!P75&lt;&gt;"",CAPEX!P75,"")</f>
        <v>kg/hr</v>
      </c>
      <c r="BH75" s="907">
        <f>IF(CAPEX!Q75&lt;&gt;"",CAPEX!Q75,"")</f>
        <v>0.8</v>
      </c>
      <c r="BI75" s="907">
        <f>IF(CAPEX!R75&lt;&gt;"",CAPEX!R75,"")</f>
        <v>2.2999999999999998</v>
      </c>
      <c r="BJ75" s="436">
        <f t="shared" ca="1" si="51"/>
        <v>450517.05599999998</v>
      </c>
      <c r="BK75" s="239">
        <f t="shared" ca="1" si="52"/>
        <v>0.92183249679263546</v>
      </c>
      <c r="BL75" s="238">
        <f t="shared" ca="1" si="53"/>
        <v>0</v>
      </c>
      <c r="BM75" s="238">
        <f t="shared" ca="1" si="54"/>
        <v>0</v>
      </c>
      <c r="BN75" s="238">
        <f t="shared" ca="1" si="55"/>
        <v>0</v>
      </c>
      <c r="BO75" s="615"/>
      <c r="BP75" s="92"/>
      <c r="BQ75" s="286"/>
      <c r="BR75" s="286"/>
    </row>
    <row r="76" spans="1:70" ht="13.5" customHeight="1" thickBot="1" x14ac:dyDescent="0.25">
      <c r="A76" s="438" t="s">
        <v>477</v>
      </c>
      <c r="B76" s="25">
        <f ca="1">VLOOKUP("PRETRX14",INDIRECT(LU_SENS),2,FALSE)</f>
        <v>0.05</v>
      </c>
      <c r="C76" s="438"/>
      <c r="D76" s="438" t="s">
        <v>466</v>
      </c>
      <c r="E76" s="437"/>
      <c r="F76" s="25">
        <f ca="1">'Operating Summaries'!D50</f>
        <v>0.9</v>
      </c>
      <c r="G76" s="400"/>
      <c r="H76" s="641"/>
      <c r="I76" s="437"/>
      <c r="J76" s="437"/>
      <c r="K76" s="437"/>
      <c r="L76" s="437"/>
      <c r="M76" s="437"/>
      <c r="N76" s="437" t="s">
        <v>45</v>
      </c>
      <c r="O76" s="90"/>
      <c r="P76" s="437"/>
      <c r="Q76" s="437"/>
      <c r="R76" s="437"/>
      <c r="S76" s="437"/>
      <c r="T76" s="437"/>
      <c r="U76" s="437"/>
      <c r="V76" s="437"/>
      <c r="W76" s="437"/>
      <c r="X76" s="437"/>
      <c r="Y76" s="437"/>
      <c r="Z76" s="437"/>
      <c r="AA76" s="437"/>
      <c r="AB76" s="437"/>
      <c r="AC76" s="437"/>
      <c r="AD76" s="437"/>
      <c r="AE76" s="437"/>
      <c r="AF76" s="437"/>
      <c r="AG76" s="437"/>
      <c r="AH76" s="437"/>
      <c r="AI76" s="437"/>
      <c r="AJ76" s="437"/>
      <c r="AK76" s="437"/>
      <c r="AL76" s="437"/>
      <c r="AM76" s="437"/>
      <c r="AN76" s="437"/>
      <c r="AO76" s="437"/>
      <c r="AP76" s="437"/>
      <c r="AQ76" s="437"/>
      <c r="AR76" s="437"/>
      <c r="AS76" s="641"/>
      <c r="AT76" s="448" t="str">
        <f>IF(CAPEX!A76&lt;&gt;"",CAPEX!A76,"")</f>
        <v>P</v>
      </c>
      <c r="AU76" s="1263">
        <f>IF(CAPEX!B76&lt;&gt;"",CAPEX!B76,"")</f>
        <v>310</v>
      </c>
      <c r="AV76" s="448" t="str">
        <f>IF(CAPEX!C76&lt;&gt;"",CAPEX!C76,"")</f>
        <v>Saccharification Transfer Pump</v>
      </c>
      <c r="AW76" s="648" t="s">
        <v>991</v>
      </c>
      <c r="AX76" s="448" t="str">
        <f>IF(CAPEX!F76&lt;&gt;"",CAPEX!F76,"")</f>
        <v>352 GPM, 150 FT TDH</v>
      </c>
      <c r="AY76" s="1285">
        <f>IF(CAPEX!G76&lt;&gt;"",CAPEX!G76,"")</f>
        <v>20</v>
      </c>
      <c r="AZ76" s="448" t="str">
        <f>IF(CAPEX!H76&lt;&gt;"",CAPEX!H76,"")</f>
        <v>316SS</v>
      </c>
      <c r="BA76" s="1285">
        <f>IF(CAPEX!J76&lt;&gt;"",CAPEX!J76,"")</f>
        <v>5</v>
      </c>
      <c r="BB76" s="293">
        <f>CAPEX!K76</f>
        <v>47200</v>
      </c>
      <c r="BC76" s="1272">
        <f>IF(CAPEX!L76&lt;&gt;"",CAPEX!L76,"")</f>
        <v>2009</v>
      </c>
      <c r="BD76" s="905">
        <f>IF(CAPEX!M76&lt;&gt;"",CAPEX!M76,"")</f>
        <v>47200</v>
      </c>
      <c r="BE76" s="900" t="str">
        <f>IF(CAPEX!N76&lt;&gt;"",CAPEX!N76,"")</f>
        <v>strm.a300.306</v>
      </c>
      <c r="BF76" s="1294">
        <f>IF(CAPEX!O76&lt;&gt;"",CAPEX!O76,"")</f>
        <v>421776</v>
      </c>
      <c r="BG76" s="908" t="str">
        <f>IF(CAPEX!P76&lt;&gt;"",CAPEX!P76,"")</f>
        <v>kg/hr</v>
      </c>
      <c r="BH76" s="907">
        <f>IF(CAPEX!Q76&lt;&gt;"",CAPEX!Q76,"")</f>
        <v>0.8</v>
      </c>
      <c r="BI76" s="907">
        <f>IF(CAPEX!R76&lt;&gt;"",CAPEX!R76,"")</f>
        <v>2.2999999999999998</v>
      </c>
      <c r="BJ76" s="436">
        <f t="shared" ca="1" si="51"/>
        <v>443226.19400000002</v>
      </c>
      <c r="BK76" s="239">
        <f t="shared" ca="1" si="52"/>
        <v>1.0508568387011115</v>
      </c>
      <c r="BL76" s="238">
        <f t="shared" ca="1" si="53"/>
        <v>49110.781205899177</v>
      </c>
      <c r="BM76" s="238">
        <f t="shared" ca="1" si="54"/>
        <v>49440.131146923595</v>
      </c>
      <c r="BN76" s="238">
        <f t="shared" ca="1" si="55"/>
        <v>113712.30163792426</v>
      </c>
      <c r="BO76" s="615"/>
      <c r="BP76" s="539"/>
      <c r="BQ76" s="286"/>
      <c r="BR76" s="286"/>
    </row>
    <row r="77" spans="1:70" ht="13.5" customHeight="1" thickBot="1" x14ac:dyDescent="0.25">
      <c r="A77" s="438" t="s">
        <v>478</v>
      </c>
      <c r="B77" s="25">
        <f ca="1">VLOOKUP("PRETRX15",INDIRECT(LU_SENS),2,FALSE)</f>
        <v>2.4E-2</v>
      </c>
      <c r="C77" s="438"/>
      <c r="D77" s="438" t="s">
        <v>489</v>
      </c>
      <c r="E77" s="437"/>
      <c r="F77" s="25">
        <f ca="1">'Operating Summaries'!D51</f>
        <v>0</v>
      </c>
      <c r="G77" s="400"/>
      <c r="H77" s="641"/>
      <c r="I77" s="437"/>
      <c r="J77" s="437"/>
      <c r="K77" s="437"/>
      <c r="L77" s="437"/>
      <c r="M77" s="437"/>
      <c r="N77" s="437" t="s">
        <v>46</v>
      </c>
      <c r="O77" s="90"/>
      <c r="P77" s="437"/>
      <c r="Q77" s="437"/>
      <c r="R77" s="437"/>
      <c r="S77" s="437"/>
      <c r="T77" s="437"/>
      <c r="U77" s="437"/>
      <c r="V77" s="437"/>
      <c r="W77" s="437"/>
      <c r="X77" s="437"/>
      <c r="Y77" s="437"/>
      <c r="Z77" s="437"/>
      <c r="AA77" s="437"/>
      <c r="AB77" s="437"/>
      <c r="AC77" s="437"/>
      <c r="AD77" s="437"/>
      <c r="AE77" s="437"/>
      <c r="AF77" s="437"/>
      <c r="AG77" s="437"/>
      <c r="AH77" s="437"/>
      <c r="AI77" s="437"/>
      <c r="AJ77" s="437"/>
      <c r="AK77" s="437"/>
      <c r="AL77" s="437"/>
      <c r="AM77" s="437"/>
      <c r="AN77" s="437"/>
      <c r="AO77" s="437"/>
      <c r="AP77" s="437"/>
      <c r="AQ77" s="437"/>
      <c r="AR77" s="437"/>
      <c r="AS77" s="641"/>
      <c r="AT77" s="448" t="str">
        <f>IF(CAPEX!A77&lt;&gt;"",CAPEX!A77,"")</f>
        <v>T</v>
      </c>
      <c r="AU77" s="1263">
        <f>IF(CAPEX!B77&lt;&gt;"",CAPEX!B77,"")</f>
        <v>301</v>
      </c>
      <c r="AV77" s="448" t="str">
        <f>IF(CAPEX!C77&lt;&gt;"",CAPEX!C77,"")</f>
        <v>Seed Hold Tank</v>
      </c>
      <c r="AW77" s="648" t="s">
        <v>891</v>
      </c>
      <c r="AX77" s="448" t="str">
        <f>IF(CAPEX!F77&lt;&gt;"",CAPEX!F77,"")</f>
        <v>300,000 gallon</v>
      </c>
      <c r="AY77" s="1285" t="str">
        <f>IF(CAPEX!G77&lt;&gt;"",CAPEX!G77,"")</f>
        <v/>
      </c>
      <c r="AZ77" s="448" t="str">
        <f>IF(CAPEX!H77&lt;&gt;"",CAPEX!H77,"")</f>
        <v>316SS</v>
      </c>
      <c r="BA77" s="1285">
        <f>IF(CAPEX!J77&lt;&gt;"",CAPEX!J77,"")</f>
        <v>1</v>
      </c>
      <c r="BB77" s="293">
        <f>CAPEX!K77</f>
        <v>439000</v>
      </c>
      <c r="BC77" s="1272">
        <f>IF(CAPEX!L77&lt;&gt;"",CAPEX!L77,"")</f>
        <v>2009</v>
      </c>
      <c r="BD77" s="912">
        <v>0</v>
      </c>
      <c r="BE77" s="900" t="str">
        <f>IF(CAPEX!N77&lt;&gt;"",CAPEX!N77,"")</f>
        <v>strm.a300.304</v>
      </c>
      <c r="BF77" s="1294">
        <f>IF(CAPEX!O77&lt;&gt;"",CAPEX!O77,"")</f>
        <v>40414</v>
      </c>
      <c r="BG77" s="908" t="str">
        <f>IF(CAPEX!P77&lt;&gt;"",CAPEX!P77,"")</f>
        <v>kg/hr</v>
      </c>
      <c r="BH77" s="907">
        <f>IF(CAPEX!Q77&lt;&gt;"",CAPEX!Q77,"")</f>
        <v>0.7</v>
      </c>
      <c r="BI77" s="907">
        <f>IF(CAPEX!R77&lt;&gt;"",CAPEX!R77,"")</f>
        <v>1.8</v>
      </c>
      <c r="BJ77" s="436">
        <f t="shared" ca="1" si="51"/>
        <v>42590.408199999998</v>
      </c>
      <c r="BK77" s="239">
        <f t="shared" ca="1" si="52"/>
        <v>1.0538528282278419</v>
      </c>
      <c r="BL77" s="238">
        <f t="shared" ca="1" si="53"/>
        <v>0</v>
      </c>
      <c r="BM77" s="238">
        <f t="shared" ca="1" si="54"/>
        <v>0</v>
      </c>
      <c r="BN77" s="238">
        <f t="shared" ca="1" si="55"/>
        <v>0</v>
      </c>
      <c r="BO77" s="608"/>
      <c r="BP77" s="539"/>
      <c r="BQ77" s="286"/>
      <c r="BR77" s="286"/>
    </row>
    <row r="78" spans="1:70" ht="13.5" customHeight="1" thickBot="1" x14ac:dyDescent="0.25">
      <c r="A78" s="438" t="s">
        <v>479</v>
      </c>
      <c r="B78" s="25">
        <f ca="1">VLOOKUP("PRETRX16",INDIRECT(LU_SENS),2,FALSE)</f>
        <v>0.9</v>
      </c>
      <c r="C78" s="438"/>
      <c r="D78" s="438" t="s">
        <v>490</v>
      </c>
      <c r="E78" s="437"/>
      <c r="F78" s="25">
        <f ca="1">'Operating Summaries'!D52</f>
        <v>0</v>
      </c>
      <c r="G78" s="400"/>
      <c r="H78" s="641"/>
      <c r="I78" s="437"/>
      <c r="J78" s="437"/>
      <c r="K78" s="437"/>
      <c r="L78" s="437"/>
      <c r="M78" s="437"/>
      <c r="N78" s="437"/>
      <c r="O78" s="90" t="s">
        <v>268</v>
      </c>
      <c r="P78" s="437"/>
      <c r="Q78" s="437"/>
      <c r="R78" s="437"/>
      <c r="S78" s="437"/>
      <c r="T78" s="437"/>
      <c r="U78" s="437"/>
      <c r="V78" s="437"/>
      <c r="W78" s="437"/>
      <c r="X78" s="437"/>
      <c r="Y78" s="437"/>
      <c r="Z78" s="437"/>
      <c r="AA78" s="437"/>
      <c r="AB78" s="437"/>
      <c r="AC78" s="437"/>
      <c r="AD78" s="437"/>
      <c r="AE78" s="437"/>
      <c r="AF78" s="437"/>
      <c r="AG78" s="437"/>
      <c r="AH78" s="437"/>
      <c r="AI78" s="437"/>
      <c r="AJ78" s="437"/>
      <c r="AK78" s="437"/>
      <c r="AL78" s="437"/>
      <c r="AM78" s="437"/>
      <c r="AN78" s="437"/>
      <c r="AO78" s="437"/>
      <c r="AP78" s="437"/>
      <c r="AQ78" s="437"/>
      <c r="AR78" s="437"/>
      <c r="AS78" s="641"/>
      <c r="AT78" s="448" t="str">
        <f>IF(CAPEX!A78&lt;&gt;"",CAPEX!A78,"")</f>
        <v>T</v>
      </c>
      <c r="AU78" s="1263">
        <f>IF(CAPEX!B78&lt;&gt;"",CAPEX!B78,"")</f>
        <v>306</v>
      </c>
      <c r="AV78" s="448" t="str">
        <f>IF(CAPEX!C78&lt;&gt;"",CAPEX!C78,"")</f>
        <v>Beer Storage Tank</v>
      </c>
      <c r="AW78" s="648" t="s">
        <v>891</v>
      </c>
      <c r="AX78" s="448" t="str">
        <f>IF(CAPEX!F78&lt;&gt;"",CAPEX!F78,"")</f>
        <v>500,000 gallon</v>
      </c>
      <c r="AY78" s="1285" t="str">
        <f>IF(CAPEX!G78&lt;&gt;"",CAPEX!G78,"")</f>
        <v/>
      </c>
      <c r="AZ78" s="448" t="str">
        <f>IF(CAPEX!H78&lt;&gt;"",CAPEX!H78,"")</f>
        <v>316SS</v>
      </c>
      <c r="BA78" s="1285">
        <f>IF(CAPEX!J78&lt;&gt;"",CAPEX!J78,"")</f>
        <v>1</v>
      </c>
      <c r="BB78" s="293">
        <f>CAPEX!K78</f>
        <v>636000</v>
      </c>
      <c r="BC78" s="1272">
        <f>IF(CAPEX!L78&lt;&gt;"",CAPEX!L78,"")</f>
        <v>2009</v>
      </c>
      <c r="BD78" s="912">
        <v>0</v>
      </c>
      <c r="BE78" s="900" t="str">
        <f>IF(CAPEX!N78&lt;&gt;"",CAPEX!N78,"")</f>
        <v>strm.501</v>
      </c>
      <c r="BF78" s="1294">
        <f>IF(CAPEX!O78&lt;&gt;"",CAPEX!O78,"")</f>
        <v>425878</v>
      </c>
      <c r="BG78" s="908" t="str">
        <f>IF(CAPEX!P78&lt;&gt;"",CAPEX!P78,"")</f>
        <v>kg/hr</v>
      </c>
      <c r="BH78" s="907">
        <f>IF(CAPEX!Q78&lt;&gt;"",CAPEX!Q78,"")</f>
        <v>0.7</v>
      </c>
      <c r="BI78" s="907">
        <f>IF(CAPEX!R78&lt;&gt;"",CAPEX!R78,"")</f>
        <v>1.8</v>
      </c>
      <c r="BJ78" s="436">
        <f t="shared" ca="1" si="51"/>
        <v>450517.05599999998</v>
      </c>
      <c r="BK78" s="239">
        <f t="shared" ca="1" si="52"/>
        <v>1.0578547283494333</v>
      </c>
      <c r="BL78" s="238">
        <f t="shared" ca="1" si="53"/>
        <v>0</v>
      </c>
      <c r="BM78" s="238">
        <f t="shared" ca="1" si="54"/>
        <v>0</v>
      </c>
      <c r="BN78" s="238">
        <f t="shared" ca="1" si="55"/>
        <v>0</v>
      </c>
      <c r="BO78" s="608"/>
      <c r="BP78" s="539"/>
      <c r="BQ78" s="286"/>
      <c r="BR78" s="286"/>
    </row>
    <row r="79" spans="1:70" ht="13.5" customHeight="1" x14ac:dyDescent="0.2">
      <c r="A79" s="438" t="s">
        <v>480</v>
      </c>
      <c r="B79" s="25">
        <f ca="1">VLOOKUP("PRETRX17",INDIRECT(LU_SENS),2,FALSE)</f>
        <v>0.05</v>
      </c>
      <c r="C79" s="438"/>
      <c r="D79" s="438" t="s">
        <v>491</v>
      </c>
      <c r="E79" s="437"/>
      <c r="F79" s="25">
        <f ca="1">'Operating Summaries'!D53</f>
        <v>0</v>
      </c>
      <c r="G79" s="400"/>
      <c r="H79" s="641"/>
      <c r="I79" s="437" t="s">
        <v>227</v>
      </c>
      <c r="J79" s="96">
        <f ca="1">SUM(N79:AQ79)</f>
        <v>48727175.444499381</v>
      </c>
      <c r="K79" s="92"/>
      <c r="L79" s="92"/>
      <c r="M79" s="92"/>
      <c r="N79" s="92">
        <f t="shared" ref="N79:AF79" ca="1" si="56">N66*N68</f>
        <v>0</v>
      </c>
      <c r="O79" s="92">
        <f t="shared" ca="1" si="56"/>
        <v>0</v>
      </c>
      <c r="P79" s="92">
        <f t="shared" ca="1" si="56"/>
        <v>0</v>
      </c>
      <c r="Q79" s="92">
        <f t="shared" ca="1" si="56"/>
        <v>0</v>
      </c>
      <c r="R79" s="92">
        <f t="shared" ca="1" si="56"/>
        <v>0</v>
      </c>
      <c r="S79" s="92">
        <f t="shared" ca="1" si="56"/>
        <v>0</v>
      </c>
      <c r="T79" s="92">
        <f t="shared" ca="1" si="56"/>
        <v>0</v>
      </c>
      <c r="U79" s="92">
        <f t="shared" ca="1" si="56"/>
        <v>0</v>
      </c>
      <c r="V79" s="92">
        <f t="shared" ca="1" si="56"/>
        <v>0</v>
      </c>
      <c r="W79" s="92">
        <f t="shared" ca="1" si="56"/>
        <v>4201971.5322613372</v>
      </c>
      <c r="X79" s="92">
        <f t="shared" ca="1" si="56"/>
        <v>4481825.4621671578</v>
      </c>
      <c r="Y79" s="92">
        <f t="shared" ca="1" si="56"/>
        <v>4126449.2540778685</v>
      </c>
      <c r="Z79" s="92">
        <f t="shared" ca="1" si="56"/>
        <v>3751250.7885795683</v>
      </c>
      <c r="AA79" s="92">
        <f t="shared" ca="1" si="56"/>
        <v>3410288.6397337746</v>
      </c>
      <c r="AB79" s="92">
        <f t="shared" ca="1" si="56"/>
        <v>3100207.2632888984</v>
      </c>
      <c r="AC79" s="92">
        <f t="shared" ca="1" si="56"/>
        <v>2782911.1197518394</v>
      </c>
      <c r="AD79" s="92">
        <f t="shared" ca="1" si="56"/>
        <v>2562154.7630486758</v>
      </c>
      <c r="AE79" s="92">
        <f t="shared" ca="1" si="56"/>
        <v>2329273.027616811</v>
      </c>
      <c r="AF79" s="92">
        <f t="shared" ca="1" si="56"/>
        <v>2117483.2752468386</v>
      </c>
      <c r="AG79" s="92">
        <f t="shared" ref="AG79:AP79" ca="1" si="57">AG66*AG68</f>
        <v>1925019.0310882735</v>
      </c>
      <c r="AH79" s="92">
        <f t="shared" ca="1" si="57"/>
        <v>1797373.3660721278</v>
      </c>
      <c r="AI79" s="92">
        <f t="shared" ca="1" si="57"/>
        <v>1717143.1339711747</v>
      </c>
      <c r="AJ79" s="92">
        <f t="shared" ca="1" si="57"/>
        <v>1561039.2127010678</v>
      </c>
      <c r="AK79" s="92">
        <f t="shared" ca="1" si="57"/>
        <v>1419126.5570009709</v>
      </c>
      <c r="AL79" s="92">
        <f t="shared" ca="1" si="57"/>
        <v>1290115.0518190642</v>
      </c>
      <c r="AM79" s="92">
        <f t="shared" ca="1" si="57"/>
        <v>1159141.5146824911</v>
      </c>
      <c r="AN79" s="92">
        <f t="shared" ca="1" si="57"/>
        <v>1066210.7866273257</v>
      </c>
      <c r="AO79" s="92">
        <f t="shared" ca="1" si="57"/>
        <v>969282.53329756868</v>
      </c>
      <c r="AP79" s="92">
        <f t="shared" ca="1" si="57"/>
        <v>881165.93936142605</v>
      </c>
      <c r="AQ79" s="92">
        <f ca="1">AQ66*AQ68</f>
        <v>2077743.1921051219</v>
      </c>
      <c r="AR79" s="437"/>
      <c r="AS79" s="641"/>
      <c r="AT79" s="448" t="str">
        <f>IF(CAPEX!A79&lt;&gt;"",CAPEX!A79,"")</f>
        <v>T</v>
      </c>
      <c r="AU79" s="1263">
        <f>IF(CAPEX!B79&lt;&gt;"",CAPEX!B79,"")</f>
        <v>310</v>
      </c>
      <c r="AV79" s="448" t="str">
        <f>IF(CAPEX!C79&lt;&gt;"",CAPEX!C79,"")</f>
        <v>Saccharification Tank</v>
      </c>
      <c r="AW79" s="648" t="s">
        <v>1654</v>
      </c>
      <c r="AX79" s="448" t="str">
        <f>IF(CAPEX!F79&lt;&gt;"",CAPEX!F79,"")</f>
        <v>250,000 gal each - 19' dia. x 120' tall</v>
      </c>
      <c r="AY79" s="1285" t="str">
        <f>IF(CAPEX!G79&lt;&gt;"",CAPEX!G79,"")</f>
        <v/>
      </c>
      <c r="AZ79" s="448" t="str">
        <f>IF(CAPEX!H79&lt;&gt;"",CAPEX!H79,"")</f>
        <v>304SS</v>
      </c>
      <c r="BA79" s="1285">
        <f>IF(CAPEX!J79&lt;&gt;"",CAPEX!J79,"")</f>
        <v>8</v>
      </c>
      <c r="BB79" s="293">
        <f>CAPEX!K79</f>
        <v>3840000</v>
      </c>
      <c r="BC79" s="1272">
        <f>IF(CAPEX!L79&lt;&gt;"",CAPEX!L79,"")</f>
        <v>2009</v>
      </c>
      <c r="BD79" s="905">
        <f>IF(CAPEX!M79&lt;&gt;"",CAPEX!M79,"")</f>
        <v>3840000</v>
      </c>
      <c r="BE79" s="900" t="str">
        <f>IF(CAPEX!N79&lt;&gt;"",CAPEX!N79,"")</f>
        <v>strm.a300.306</v>
      </c>
      <c r="BF79" s="1294">
        <f>IF(CAPEX!O79&lt;&gt;"",CAPEX!O79,"")</f>
        <v>421776</v>
      </c>
      <c r="BG79" s="908" t="str">
        <f>IF(CAPEX!P79&lt;&gt;"",CAPEX!P79,"")</f>
        <v>kg/hr</v>
      </c>
      <c r="BH79" s="907">
        <f>IF(CAPEX!Q79&lt;&gt;"",CAPEX!Q79,"")</f>
        <v>0.7</v>
      </c>
      <c r="BI79" s="907">
        <f>IF(CAPEX!R79&lt;&gt;"",CAPEX!R79,"")</f>
        <v>2</v>
      </c>
      <c r="BJ79" s="436">
        <f t="shared" ca="1" si="51"/>
        <v>443226.19400000002</v>
      </c>
      <c r="BK79" s="239">
        <f t="shared" ca="1" si="52"/>
        <v>1.0508568387011115</v>
      </c>
      <c r="BL79" s="238">
        <f t="shared" ca="1" si="53"/>
        <v>3975682.6705328291</v>
      </c>
      <c r="BM79" s="238">
        <f t="shared" ca="1" si="54"/>
        <v>4002344.6543359808</v>
      </c>
      <c r="BN79" s="238">
        <f t="shared" ca="1" si="55"/>
        <v>8004689.3086719615</v>
      </c>
      <c r="BO79" s="608"/>
      <c r="BP79" s="539"/>
      <c r="BQ79" s="286"/>
      <c r="BR79" s="286"/>
    </row>
    <row r="80" spans="1:70" ht="13.5" customHeight="1" thickBot="1" x14ac:dyDescent="0.25">
      <c r="A80" s="438" t="s">
        <v>481</v>
      </c>
      <c r="B80" s="25">
        <f ca="1">VLOOKUP("PRETRX18",INDIRECT(LU_SENS),2,FALSE)</f>
        <v>0</v>
      </c>
      <c r="C80" s="438"/>
      <c r="D80" s="438" t="s">
        <v>468</v>
      </c>
      <c r="E80" s="437"/>
      <c r="F80" s="25">
        <f>'Operating Summaries'!D54</f>
        <v>0</v>
      </c>
      <c r="G80" s="400"/>
      <c r="H80" s="641"/>
      <c r="I80" s="437" t="s">
        <v>2588</v>
      </c>
      <c r="J80" s="96">
        <f ca="1">SUM(N80:AQ80)</f>
        <v>1228314988.8357913</v>
      </c>
      <c r="K80" s="92"/>
      <c r="L80" s="92"/>
      <c r="M80" s="92"/>
      <c r="N80" s="92">
        <f t="shared" ref="N80:AF80" ca="1" si="58">N46*N68</f>
        <v>103892496.43964414</v>
      </c>
      <c r="O80" s="92">
        <f t="shared" ca="1" si="58"/>
        <v>107940256.04118872</v>
      </c>
      <c r="P80" s="92">
        <f t="shared" ca="1" si="58"/>
        <v>98127505.491989717</v>
      </c>
      <c r="Q80" s="92">
        <f t="shared" ca="1" si="58"/>
        <v>89206823.174536109</v>
      </c>
      <c r="R80" s="92">
        <f t="shared" ca="1" si="58"/>
        <v>81097111.976851001</v>
      </c>
      <c r="S80" s="92">
        <f t="shared" ca="1" si="58"/>
        <v>73724647.251682729</v>
      </c>
      <c r="T80" s="92">
        <f t="shared" ca="1" si="58"/>
        <v>67022406.592438832</v>
      </c>
      <c r="U80" s="92">
        <f t="shared" ca="1" si="58"/>
        <v>60929460.538580753</v>
      </c>
      <c r="V80" s="92">
        <f t="shared" ca="1" si="58"/>
        <v>55390418.671437047</v>
      </c>
      <c r="W80" s="92">
        <f t="shared" ca="1" si="58"/>
        <v>50354926.06494277</v>
      </c>
      <c r="X80" s="92">
        <f t="shared" ca="1" si="58"/>
        <v>45777205.513584323</v>
      </c>
      <c r="Y80" s="92">
        <f t="shared" ca="1" si="58"/>
        <v>41615641.375985757</v>
      </c>
      <c r="Z80" s="92">
        <f t="shared" ca="1" si="58"/>
        <v>37832401.250896141</v>
      </c>
      <c r="AA80" s="92">
        <f t="shared" ca="1" si="58"/>
        <v>34393092.046269208</v>
      </c>
      <c r="AB80" s="92">
        <f t="shared" ca="1" si="58"/>
        <v>31266447.314790189</v>
      </c>
      <c r="AC80" s="92">
        <f t="shared" ca="1" si="58"/>
        <v>28424043.013445627</v>
      </c>
      <c r="AD80" s="92">
        <f t="shared" ca="1" si="58"/>
        <v>25840039.103132386</v>
      </c>
      <c r="AE80" s="92">
        <f t="shared" ca="1" si="58"/>
        <v>23490944.63921126</v>
      </c>
      <c r="AF80" s="92">
        <f t="shared" ca="1" si="58"/>
        <v>21355404.217464775</v>
      </c>
      <c r="AG80" s="92">
        <f t="shared" ref="AG80:AP80" ca="1" si="59">AG46*AG68</f>
        <v>19414003.834058888</v>
      </c>
      <c r="AH80" s="92">
        <f t="shared" ca="1" si="59"/>
        <v>17649094.394598991</v>
      </c>
      <c r="AI80" s="92">
        <f t="shared" ca="1" si="59"/>
        <v>16044631.267817259</v>
      </c>
      <c r="AJ80" s="92">
        <f t="shared" ca="1" si="59"/>
        <v>14586028.425288416</v>
      </c>
      <c r="AK80" s="92">
        <f t="shared" ca="1" si="59"/>
        <v>13260025.841171291</v>
      </c>
      <c r="AL80" s="92">
        <f t="shared" ca="1" si="59"/>
        <v>12054568.946519351</v>
      </c>
      <c r="AM80" s="92">
        <f t="shared" ca="1" si="59"/>
        <v>10958699.042290319</v>
      </c>
      <c r="AN80" s="92">
        <f t="shared" ca="1" si="59"/>
        <v>9962453.6748093795</v>
      </c>
      <c r="AO80" s="92">
        <f t="shared" ca="1" si="59"/>
        <v>9056776.0680085272</v>
      </c>
      <c r="AP80" s="92">
        <f t="shared" ca="1" si="59"/>
        <v>8233432.7890986595</v>
      </c>
      <c r="AQ80" s="92">
        <f ca="1">AQ46*AQ68</f>
        <v>19414003.834058888</v>
      </c>
      <c r="AR80" s="437"/>
      <c r="AS80" s="641"/>
      <c r="AT80" s="222"/>
      <c r="AU80" s="1266"/>
      <c r="AV80" s="612"/>
      <c r="AW80" s="613"/>
      <c r="AX80" s="614"/>
      <c r="AY80" s="1304"/>
      <c r="AZ80" s="423"/>
      <c r="BA80" s="1286"/>
      <c r="BB80" s="224"/>
      <c r="BC80" s="1276"/>
      <c r="BD80" s="228">
        <f>SUM(BD55:BD79)</f>
        <v>14419728</v>
      </c>
      <c r="BE80" s="621"/>
      <c r="BF80" s="1297"/>
      <c r="BG80" s="622"/>
      <c r="BH80" s="456"/>
      <c r="BI80" s="468"/>
      <c r="BJ80" s="459"/>
      <c r="BK80" s="623"/>
      <c r="BL80" s="228">
        <f ca="1">SUM(BL55:BL79)</f>
        <v>11537364.817185571</v>
      </c>
      <c r="BM80" s="228">
        <f ca="1">SUM(BM55:BM79)</f>
        <v>11609248.651448222</v>
      </c>
      <c r="BN80" s="229">
        <f ca="1">SUM(BN55:BN79)</f>
        <v>19624117.064696882</v>
      </c>
      <c r="BO80" s="615"/>
      <c r="BP80" s="539"/>
      <c r="BQ80" s="286"/>
      <c r="BR80" s="286"/>
    </row>
    <row r="81" spans="1:68" ht="13.5" customHeight="1" thickBot="1" x14ac:dyDescent="0.25">
      <c r="A81" s="438" t="s">
        <v>482</v>
      </c>
      <c r="B81" s="25">
        <f ca="1">VLOOKUP("PRETRX19",INDIRECT(LU_SENS),2,FALSE)</f>
        <v>0</v>
      </c>
      <c r="C81" s="438"/>
      <c r="D81" s="438" t="s">
        <v>469</v>
      </c>
      <c r="E81" s="437"/>
      <c r="F81" s="25">
        <f>'Operating Summaries'!D55</f>
        <v>0</v>
      </c>
      <c r="G81" s="400"/>
      <c r="H81" s="641"/>
      <c r="AS81" s="641"/>
      <c r="AT81" s="448" t="str">
        <f>IF(CAPEX!A81&lt;&gt;"",CAPEX!A81,"")</f>
        <v>A</v>
      </c>
      <c r="AU81" s="1263">
        <f>IF(CAPEX!B81&lt;&gt;"",CAPEX!B81,"")</f>
        <v>400</v>
      </c>
      <c r="AV81" s="448" t="str">
        <f>IF(CAPEX!C81&lt;&gt;"",CAPEX!C81,"")</f>
        <v>Cellulase Fermentor Agitators</v>
      </c>
      <c r="AW81" s="648" t="s">
        <v>989</v>
      </c>
      <c r="AX81" s="448" t="str">
        <f>IF(CAPEX!F81&lt;&gt;"",CAPEX!F81,"")</f>
        <v/>
      </c>
      <c r="AY81" s="1285">
        <f>IF(CAPEX!G81&lt;&gt;"",CAPEX!G81,"")</f>
        <v>800</v>
      </c>
      <c r="AZ81" s="448" t="str">
        <f>IF(CAPEX!H81&lt;&gt;"",CAPEX!H81,"")</f>
        <v>SS316</v>
      </c>
      <c r="BA81" s="1285" t="str">
        <f>IF(CAPEX!J81&lt;&gt;"",CAPEX!J81,"")</f>
        <v/>
      </c>
      <c r="BB81" s="293">
        <f>CAPEX!K81</f>
        <v>580000</v>
      </c>
      <c r="BC81" s="1272">
        <f>IF(CAPEX!L81&lt;&gt;"",CAPEX!L81,"")</f>
        <v>2009</v>
      </c>
      <c r="BD81" s="905">
        <f>IF(CAPEX!M81&lt;&gt;"",CAPEX!M81,"")</f>
        <v>580000</v>
      </c>
      <c r="BE81" s="900" t="str">
        <f>IF(CAPEX!N81&lt;&gt;"",CAPEX!N81,"")</f>
        <v>CLVESSEL</v>
      </c>
      <c r="BF81" s="1295">
        <f>IF(CAPEX!O81&lt;&gt;"",CAPEX!O81,"")</f>
        <v>1</v>
      </c>
      <c r="BG81" s="904" t="str">
        <f>IF(CAPEX!P81&lt;&gt;"",CAPEX!P81,"")</f>
        <v>ea</v>
      </c>
      <c r="BH81" s="907">
        <f>IF(CAPEX!Q81&lt;&gt;"",CAPEX!Q81,"")</f>
        <v>1</v>
      </c>
      <c r="BI81" s="907">
        <f>IF(CAPEX!R81&lt;&gt;"",CAPEX!R81,"")</f>
        <v>1.5</v>
      </c>
      <c r="BJ81" s="436">
        <f ca="1">IF(BE81&lt;&gt;"",CEILING(VLOOKUP(BE81,INDIRECT(LU_SENS),2,FALSE),1),"")</f>
        <v>9</v>
      </c>
      <c r="BK81" s="239">
        <f t="shared" ref="BK81:BK91" ca="1" si="60">BJ81/BF81</f>
        <v>9</v>
      </c>
      <c r="BL81" s="238">
        <f t="shared" ref="BL81:BL91" ca="1" si="61">BD81*BK81^BH81</f>
        <v>5220000</v>
      </c>
      <c r="BM81" s="238">
        <f t="shared" ref="BM81:BM91" ca="1" si="62">BL81*VLOOKUP($J$34,INDIRECT(IX_CAP),4,FALSE)/VLOOKUP(BC81,INDIRECT(IX_CAP),4,FALSE)</f>
        <v>5255006.7062655687</v>
      </c>
      <c r="BN81" s="238">
        <f t="shared" ref="BN81:BN91" ca="1" si="63">BM81*BI81</f>
        <v>7882510.0593983531</v>
      </c>
      <c r="BO81" s="615"/>
      <c r="BP81" s="437"/>
    </row>
    <row r="82" spans="1:68" ht="13.5" customHeight="1" thickBot="1" x14ac:dyDescent="0.25">
      <c r="A82" s="438" t="s">
        <v>483</v>
      </c>
      <c r="B82" s="25">
        <f ca="1">VLOOKUP("PRETRX20",INDIRECT(LU_SENS),2,FALSE)</f>
        <v>1</v>
      </c>
      <c r="C82" s="438"/>
      <c r="D82" s="438" t="s">
        <v>492</v>
      </c>
      <c r="E82" s="437"/>
      <c r="F82" s="25">
        <f>'Operating Summaries'!D56</f>
        <v>0</v>
      </c>
      <c r="G82" s="400"/>
      <c r="H82" s="641"/>
      <c r="AS82" s="641"/>
      <c r="AT82" s="448" t="str">
        <f>IF(CAPEX!A82&lt;&gt;"",CAPEX!A82,"")</f>
        <v>A</v>
      </c>
      <c r="AU82" s="1263">
        <f>IF(CAPEX!B82&lt;&gt;"",CAPEX!B82,"")</f>
        <v>401</v>
      </c>
      <c r="AV82" s="448" t="str">
        <f>IF(CAPEX!C82&lt;&gt;"",CAPEX!C82,"")</f>
        <v>Cellulase Fermentor Agitators</v>
      </c>
      <c r="AW82" s="648" t="s">
        <v>989</v>
      </c>
      <c r="AX82" s="448" t="str">
        <f>IF(CAPEX!F82&lt;&gt;"",CAPEX!F82,"")</f>
        <v/>
      </c>
      <c r="AY82" s="1285" t="str">
        <f>IF(CAPEX!G82&lt;&gt;"",CAPEX!G82,"")</f>
        <v>0.75hp</v>
      </c>
      <c r="AZ82" s="448" t="str">
        <f>IF(CAPEX!H82&lt;&gt;"",CAPEX!H82,"")</f>
        <v>SS316</v>
      </c>
      <c r="BA82" s="1285" t="str">
        <f>IF(CAPEX!J82&lt;&gt;"",CAPEX!J82,"")</f>
        <v/>
      </c>
      <c r="BB82" s="293">
        <f>CAPEX!K82</f>
        <v>3420</v>
      </c>
      <c r="BC82" s="1272">
        <f>IF(CAPEX!L82&lt;&gt;"",CAPEX!L82,"")</f>
        <v>2009</v>
      </c>
      <c r="BD82" s="905">
        <f>IF(CAPEX!M82&lt;&gt;"",CAPEX!M82,"")</f>
        <v>3420</v>
      </c>
      <c r="BE82" s="900" t="str">
        <f>IF(CAPEX!N82&lt;&gt;"",CAPEX!N82,"")</f>
        <v>ICLSEED</v>
      </c>
      <c r="BF82" s="909">
        <f>IF(CAPEX!O82&lt;&gt;"",CAPEX!O82,"")</f>
        <v>1</v>
      </c>
      <c r="BG82" s="906" t="str">
        <f>IF(CAPEX!P82&lt;&gt;"",CAPEX!P82,"")</f>
        <v>ea</v>
      </c>
      <c r="BH82" s="907">
        <f>IF(CAPEX!Q82&lt;&gt;"",CAPEX!Q82,"")</f>
        <v>1</v>
      </c>
      <c r="BI82" s="907">
        <f>IF(CAPEX!R82&lt;&gt;"",CAPEX!R82,"")</f>
        <v>1.5</v>
      </c>
      <c r="BJ82" s="436">
        <f ca="1">IF(BE82&lt;&gt;"",CEILING(VLOOKUP(BE82,INDIRECT(LU_SENS),2,FALSE),1),"")</f>
        <v>4</v>
      </c>
      <c r="BK82" s="239">
        <f t="shared" ca="1" si="60"/>
        <v>4</v>
      </c>
      <c r="BL82" s="238">
        <f t="shared" ca="1" si="61"/>
        <v>13680</v>
      </c>
      <c r="BM82" s="238">
        <f t="shared" ca="1" si="62"/>
        <v>13771.741712971834</v>
      </c>
      <c r="BN82" s="238">
        <f t="shared" ca="1" si="63"/>
        <v>20657.612569457749</v>
      </c>
      <c r="BO82" s="615"/>
      <c r="BP82" s="437"/>
    </row>
    <row r="83" spans="1:68" ht="13.5" customHeight="1" thickBot="1" x14ac:dyDescent="0.25">
      <c r="A83" s="438" t="s">
        <v>484</v>
      </c>
      <c r="B83" s="25">
        <f ca="1">VLOOKUP("PRETRX21",INDIRECT(LU_SENS),2,FALSE)</f>
        <v>1</v>
      </c>
      <c r="C83" s="438"/>
      <c r="D83" s="438" t="s">
        <v>471</v>
      </c>
      <c r="E83" s="437"/>
      <c r="F83" s="25">
        <f>'Operating Summaries'!D57</f>
        <v>0</v>
      </c>
      <c r="G83" s="400"/>
      <c r="H83" s="641"/>
      <c r="AS83" s="641"/>
      <c r="AT83" s="448" t="str">
        <f>IF(CAPEX!A83&lt;&gt;"",CAPEX!A83,"")</f>
        <v>A</v>
      </c>
      <c r="AU83" s="1263">
        <f>IF(CAPEX!B83&lt;&gt;"",CAPEX!B83,"")</f>
        <v>402</v>
      </c>
      <c r="AV83" s="448" t="str">
        <f>IF(CAPEX!C83&lt;&gt;"",CAPEX!C83,"")</f>
        <v>Cellulase Fermentor Agitators</v>
      </c>
      <c r="AW83" s="648" t="s">
        <v>989</v>
      </c>
      <c r="AX83" s="448" t="str">
        <f>IF(CAPEX!F83&lt;&gt;"",CAPEX!F83,"")</f>
        <v/>
      </c>
      <c r="AY83" s="1285" t="str">
        <f>IF(CAPEX!G83&lt;&gt;"",CAPEX!G83,"")</f>
        <v>8 hp</v>
      </c>
      <c r="AZ83" s="448" t="str">
        <f>IF(CAPEX!H83&lt;&gt;"",CAPEX!H83,"")</f>
        <v>SS316</v>
      </c>
      <c r="BA83" s="1285" t="str">
        <f>IF(CAPEX!J83&lt;&gt;"",CAPEX!J83,"")</f>
        <v/>
      </c>
      <c r="BB83" s="293">
        <f>CAPEX!K83</f>
        <v>63000</v>
      </c>
      <c r="BC83" s="1272">
        <f>IF(CAPEX!L83&lt;&gt;"",CAPEX!L83,"")</f>
        <v>2009</v>
      </c>
      <c r="BD83" s="905">
        <f>IF(CAPEX!M83&lt;&gt;"",CAPEX!M83,"")</f>
        <v>63000</v>
      </c>
      <c r="BE83" s="900" t="str">
        <f>IF(CAPEX!N83&lt;&gt;"",CAPEX!N83,"")</f>
        <v>ICLSEED</v>
      </c>
      <c r="BF83" s="909">
        <f>IF(CAPEX!O83&lt;&gt;"",CAPEX!O83,"")</f>
        <v>1</v>
      </c>
      <c r="BG83" s="906" t="str">
        <f>IF(CAPEX!P83&lt;&gt;"",CAPEX!P83,"")</f>
        <v>ea</v>
      </c>
      <c r="BH83" s="907">
        <f>IF(CAPEX!Q83&lt;&gt;"",CAPEX!Q83,"")</f>
        <v>1</v>
      </c>
      <c r="BI83" s="907">
        <f>IF(CAPEX!R83&lt;&gt;"",CAPEX!R83,"")</f>
        <v>1.5</v>
      </c>
      <c r="BJ83" s="436">
        <f ca="1">IF(BE83&lt;&gt;"",CEILING(VLOOKUP(BE83,INDIRECT(LU_SENS),2,FALSE),1),"")</f>
        <v>4</v>
      </c>
      <c r="BK83" s="239">
        <f t="shared" ca="1" si="60"/>
        <v>4</v>
      </c>
      <c r="BL83" s="238">
        <f t="shared" ca="1" si="61"/>
        <v>252000</v>
      </c>
      <c r="BM83" s="238">
        <f t="shared" ca="1" si="62"/>
        <v>253689.97892316536</v>
      </c>
      <c r="BN83" s="238">
        <f t="shared" ca="1" si="63"/>
        <v>380534.96838474803</v>
      </c>
      <c r="BO83" s="615"/>
      <c r="BP83" s="437"/>
    </row>
    <row r="84" spans="1:68" ht="13.5" customHeight="1" thickBot="1" x14ac:dyDescent="0.25">
      <c r="A84" s="438" t="s">
        <v>485</v>
      </c>
      <c r="B84" s="25">
        <f ca="1">VLOOKUP("PRETRX22",INDIRECT(LU_SENS),2,FALSE)</f>
        <v>1</v>
      </c>
      <c r="C84" s="438"/>
      <c r="D84" s="438" t="s">
        <v>478</v>
      </c>
      <c r="E84" s="437"/>
      <c r="F84" s="25">
        <f>'Operating Summaries'!D58</f>
        <v>0</v>
      </c>
      <c r="G84" s="400"/>
      <c r="H84" s="641"/>
      <c r="AS84" s="641"/>
      <c r="AT84" s="448" t="str">
        <f>IF(CAPEX!A84&lt;&gt;"",CAPEX!A84,"")</f>
        <v>A</v>
      </c>
      <c r="AU84" s="1263">
        <f>IF(CAPEX!B84&lt;&gt;"",CAPEX!B84,"")</f>
        <v>403</v>
      </c>
      <c r="AV84" s="448" t="str">
        <f>IF(CAPEX!C84&lt;&gt;"",CAPEX!C84,"")</f>
        <v>Cellulase Fermentor Agitators</v>
      </c>
      <c r="AW84" s="648" t="s">
        <v>989</v>
      </c>
      <c r="AX84" s="448" t="str">
        <f>IF(CAPEX!F84&lt;&gt;"",CAPEX!F84,"")</f>
        <v/>
      </c>
      <c r="AY84" s="1285" t="str">
        <f>IF(CAPEX!G84&lt;&gt;"",CAPEX!G84,"")</f>
        <v>80 hp</v>
      </c>
      <c r="AZ84" s="448" t="str">
        <f>IF(CAPEX!H84&lt;&gt;"",CAPEX!H84,"")</f>
        <v>SS316</v>
      </c>
      <c r="BA84" s="1285" t="str">
        <f>IF(CAPEX!J84&lt;&gt;"",CAPEX!J84,"")</f>
        <v/>
      </c>
      <c r="BB84" s="293">
        <f>CAPEX!K84</f>
        <v>11000</v>
      </c>
      <c r="BC84" s="1272">
        <f>IF(CAPEX!L84&lt;&gt;"",CAPEX!L84,"")</f>
        <v>2009</v>
      </c>
      <c r="BD84" s="905">
        <f>IF(CAPEX!M84&lt;&gt;"",CAPEX!M84,"")</f>
        <v>11000</v>
      </c>
      <c r="BE84" s="900" t="str">
        <f>IF(CAPEX!N84&lt;&gt;"",CAPEX!N84,"")</f>
        <v>ICLSEED</v>
      </c>
      <c r="BF84" s="909">
        <f>IF(CAPEX!O84&lt;&gt;"",CAPEX!O84,"")</f>
        <v>1</v>
      </c>
      <c r="BG84" s="906" t="str">
        <f>IF(CAPEX!P84&lt;&gt;"",CAPEX!P84,"")</f>
        <v>ea</v>
      </c>
      <c r="BH84" s="907">
        <f>IF(CAPEX!Q84&lt;&gt;"",CAPEX!Q84,"")</f>
        <v>1</v>
      </c>
      <c r="BI84" s="907">
        <f>IF(CAPEX!R84&lt;&gt;"",CAPEX!R84,"")</f>
        <v>1.5</v>
      </c>
      <c r="BJ84" s="436">
        <f ca="1">IF(BE84&lt;&gt;"",CEILING(VLOOKUP(BE84,INDIRECT(LU_SENS),2,FALSE),1),"")</f>
        <v>4</v>
      </c>
      <c r="BK84" s="239">
        <f t="shared" ca="1" si="60"/>
        <v>4</v>
      </c>
      <c r="BL84" s="238">
        <f t="shared" ca="1" si="61"/>
        <v>44000</v>
      </c>
      <c r="BM84" s="238">
        <f t="shared" ca="1" si="62"/>
        <v>44295.075684997129</v>
      </c>
      <c r="BN84" s="238">
        <f t="shared" ca="1" si="63"/>
        <v>66442.613527495691</v>
      </c>
      <c r="BO84" s="615"/>
      <c r="BP84" s="437"/>
    </row>
    <row r="85" spans="1:68" ht="13.5" customHeight="1" thickBot="1" x14ac:dyDescent="0.25">
      <c r="A85" s="438" t="s">
        <v>486</v>
      </c>
      <c r="B85" s="25">
        <f ca="1">VLOOKUP("PRETRX23",INDIRECT(LU_SENS),2,FALSE)</f>
        <v>0.05</v>
      </c>
      <c r="C85" s="438"/>
      <c r="D85" s="438" t="s">
        <v>479</v>
      </c>
      <c r="E85" s="437"/>
      <c r="F85" s="25">
        <f>'Operating Summaries'!D59</f>
        <v>0</v>
      </c>
      <c r="G85" s="400"/>
      <c r="H85" s="641"/>
      <c r="I85" s="437"/>
      <c r="J85" s="437"/>
      <c r="K85" s="437"/>
      <c r="L85" s="437"/>
      <c r="M85" s="437"/>
      <c r="N85" s="437"/>
      <c r="O85" s="90" t="s">
        <v>268</v>
      </c>
      <c r="P85" s="437"/>
      <c r="Q85" s="437"/>
      <c r="R85" s="437"/>
      <c r="S85" s="437"/>
      <c r="T85" s="437"/>
      <c r="U85" s="437"/>
      <c r="V85" s="437"/>
      <c r="W85" s="437"/>
      <c r="X85" s="437"/>
      <c r="Y85" s="437"/>
      <c r="Z85" s="437"/>
      <c r="AA85" s="437"/>
      <c r="AB85" s="437"/>
      <c r="AC85" s="437"/>
      <c r="AD85" s="437"/>
      <c r="AE85" s="437"/>
      <c r="AF85" s="437"/>
      <c r="AG85" s="437"/>
      <c r="AH85" s="437"/>
      <c r="AI85" s="437"/>
      <c r="AJ85" s="437"/>
      <c r="AK85" s="437"/>
      <c r="AL85" s="437"/>
      <c r="AM85" s="437"/>
      <c r="AN85" s="437"/>
      <c r="AO85" s="437"/>
      <c r="AP85" s="437"/>
      <c r="AQ85" s="437"/>
      <c r="AR85" s="437"/>
      <c r="AS85" s="641"/>
      <c r="AT85" s="448" t="str">
        <f>IF(CAPEX!A85&lt;&gt;"",CAPEX!A85,"")</f>
        <v>A</v>
      </c>
      <c r="AU85" s="1263">
        <f>IF(CAPEX!B85&lt;&gt;"",CAPEX!B85,"")</f>
        <v>405</v>
      </c>
      <c r="AV85" s="448" t="str">
        <f>IF(CAPEX!C85&lt;&gt;"",CAPEX!C85,"")</f>
        <v>Media-Prep Tank Agitator</v>
      </c>
      <c r="AW85" s="648" t="s">
        <v>989</v>
      </c>
      <c r="AX85" s="448" t="str">
        <f>IF(CAPEX!F85&lt;&gt;"",CAPEX!F85,"")</f>
        <v/>
      </c>
      <c r="AY85" s="1285" t="str">
        <f>IF(CAPEX!G85&lt;&gt;"",CAPEX!G85,"")</f>
        <v>7.5 hp</v>
      </c>
      <c r="AZ85" s="448" t="str">
        <f>IF(CAPEX!H85&lt;&gt;"",CAPEX!H85,"")</f>
        <v>A285C</v>
      </c>
      <c r="BA85" s="1285">
        <f>IF(CAPEX!J85&lt;&gt;"",CAPEX!J85,"")</f>
        <v>1</v>
      </c>
      <c r="BB85" s="293">
        <f>CAPEX!K85</f>
        <v>8500</v>
      </c>
      <c r="BC85" s="1272">
        <f>IF(CAPEX!L85&lt;&gt;"",CAPEX!L85,"")</f>
        <v>2009</v>
      </c>
      <c r="BD85" s="905">
        <f>IF(CAPEX!M85&lt;&gt;"",CAPEX!M85,"")</f>
        <v>8500</v>
      </c>
      <c r="BE85" s="900" t="str">
        <f>IF(CAPEX!N85&lt;&gt;"",CAPEX!N85,"")</f>
        <v>strm.a400.402</v>
      </c>
      <c r="BF85" s="1294">
        <f>IF(CAPEX!O85&lt;&gt;"",CAPEX!O85,"")</f>
        <v>12255</v>
      </c>
      <c r="BG85" s="908" t="str">
        <f>IF(CAPEX!P85&lt;&gt;"",CAPEX!P85,"")</f>
        <v>kg/hr</v>
      </c>
      <c r="BH85" s="907">
        <f>IF(CAPEX!Q85&lt;&gt;"",CAPEX!Q85,"")</f>
        <v>0.5</v>
      </c>
      <c r="BI85" s="907">
        <f>IF(CAPEX!R85&lt;&gt;"",CAPEX!R85,"")</f>
        <v>1.5</v>
      </c>
      <c r="BJ85" s="436">
        <f ca="1">IF(BE85&lt;&gt;"",VLOOKUP(BE85,INDIRECT(LU_SENS),2,FALSE),"")</f>
        <v>15801.260699999999</v>
      </c>
      <c r="BK85" s="239">
        <f t="shared" ca="1" si="60"/>
        <v>1.2893725581395348</v>
      </c>
      <c r="BL85" s="238">
        <f t="shared" ca="1" si="61"/>
        <v>9651.7960673431862</v>
      </c>
      <c r="BM85" s="238">
        <f t="shared" ca="1" si="62"/>
        <v>9716.5235749800922</v>
      </c>
      <c r="BN85" s="238">
        <f t="shared" ca="1" si="63"/>
        <v>14574.785362470138</v>
      </c>
      <c r="BO85" s="615"/>
      <c r="BP85" s="437"/>
    </row>
    <row r="86" spans="1:68" ht="13.5" customHeight="1" thickBot="1" x14ac:dyDescent="0.25">
      <c r="A86" s="523" t="s">
        <v>1850</v>
      </c>
      <c r="B86" s="123"/>
      <c r="C86" s="438"/>
      <c r="D86" s="438" t="s">
        <v>475</v>
      </c>
      <c r="E86" s="437"/>
      <c r="F86" s="25">
        <f>'Operating Summaries'!D60</f>
        <v>0</v>
      </c>
      <c r="G86" s="400"/>
      <c r="H86" s="641"/>
      <c r="I86" s="437"/>
      <c r="J86" s="437"/>
      <c r="K86" s="437"/>
      <c r="L86" s="437"/>
      <c r="M86" s="437"/>
      <c r="N86" s="437"/>
      <c r="O86" s="90" t="s">
        <v>268</v>
      </c>
      <c r="P86" s="437"/>
      <c r="Q86" s="437"/>
      <c r="R86" s="437"/>
      <c r="S86" s="437"/>
      <c r="T86" s="437"/>
      <c r="U86" s="437"/>
      <c r="V86" s="437"/>
      <c r="W86" s="437"/>
      <c r="X86" s="437"/>
      <c r="Y86" s="437"/>
      <c r="Z86" s="437"/>
      <c r="AA86" s="437"/>
      <c r="AB86" s="437"/>
      <c r="AC86" s="437"/>
      <c r="AD86" s="437"/>
      <c r="AE86" s="437"/>
      <c r="AF86" s="437"/>
      <c r="AG86" s="437"/>
      <c r="AH86" s="437"/>
      <c r="AI86" s="437"/>
      <c r="AJ86" s="437"/>
      <c r="AK86" s="437"/>
      <c r="AL86" s="437"/>
      <c r="AM86" s="437"/>
      <c r="AN86" s="437"/>
      <c r="AO86" s="437"/>
      <c r="AP86" s="437"/>
      <c r="AQ86" s="437"/>
      <c r="AR86" s="437"/>
      <c r="AS86" s="641"/>
      <c r="AT86" s="448" t="str">
        <f>IF(CAPEX!A86&lt;&gt;"",CAPEX!A86,"")</f>
        <v>A</v>
      </c>
      <c r="AU86" s="1263">
        <f>IF(CAPEX!B86&lt;&gt;"",CAPEX!B86,"")</f>
        <v>406</v>
      </c>
      <c r="AV86" s="448" t="str">
        <f>IF(CAPEX!C86&lt;&gt;"",CAPEX!C86,"")</f>
        <v>Cellulase Nutrient Mix Tank Agitator</v>
      </c>
      <c r="AW86" s="648" t="s">
        <v>989</v>
      </c>
      <c r="AX86" s="448" t="str">
        <f>IF(CAPEX!F86&lt;&gt;"",CAPEX!F86,"")</f>
        <v/>
      </c>
      <c r="AY86" s="1285" t="str">
        <f>IF(CAPEX!G86&lt;&gt;"",CAPEX!G86,"")</f>
        <v>3 hp</v>
      </c>
      <c r="AZ86" s="448" t="str">
        <f>IF(CAPEX!H86&lt;&gt;"",CAPEX!H86,"")</f>
        <v>CS</v>
      </c>
      <c r="BA86" s="1285">
        <f>IF(CAPEX!J86&lt;&gt;"",CAPEX!J86,"")</f>
        <v>1</v>
      </c>
      <c r="BB86" s="293">
        <f>CAPEX!K86</f>
        <v>4800</v>
      </c>
      <c r="BC86" s="1272">
        <f>IF(CAPEX!L86&lt;&gt;"",CAPEX!L86,"")</f>
        <v>2009</v>
      </c>
      <c r="BD86" s="905">
        <f>IF(CAPEX!M86&lt;&gt;"",CAPEX!M86,"")</f>
        <v>4800</v>
      </c>
      <c r="BE86" s="900" t="str">
        <f>IF(CAPEX!N86&lt;&gt;"",CAPEX!N86,"")</f>
        <v>strm.a400.416</v>
      </c>
      <c r="BF86" s="1294">
        <f>IF(CAPEX!O86&lt;&gt;"",CAPEX!O86,"")</f>
        <v>174</v>
      </c>
      <c r="BG86" s="908" t="str">
        <f>IF(CAPEX!P86&lt;&gt;"",CAPEX!P86,"")</f>
        <v>kg/hr</v>
      </c>
      <c r="BH86" s="907">
        <f>IF(CAPEX!Q86&lt;&gt;"",CAPEX!Q86,"")</f>
        <v>0.5</v>
      </c>
      <c r="BI86" s="907">
        <f>IF(CAPEX!R86&lt;&gt;"",CAPEX!R86,"")</f>
        <v>1.6</v>
      </c>
      <c r="BJ86" s="436">
        <f ca="1">IF(BE86&lt;&gt;"",VLOOKUP(BE86,INDIRECT(LU_SENS),2,FALSE),"")</f>
        <v>223.984489</v>
      </c>
      <c r="BK86" s="239">
        <f t="shared" ca="1" si="60"/>
        <v>1.2872671781609195</v>
      </c>
      <c r="BL86" s="238">
        <f t="shared" ca="1" si="61"/>
        <v>5445.9742732432715</v>
      </c>
      <c r="BM86" s="238">
        <f t="shared" ca="1" si="62"/>
        <v>5482.4964229967709</v>
      </c>
      <c r="BN86" s="238">
        <f t="shared" ca="1" si="63"/>
        <v>8771.9942767948341</v>
      </c>
      <c r="BO86" s="615"/>
      <c r="BP86" s="437"/>
    </row>
    <row r="87" spans="1:68" ht="13.5" customHeight="1" thickBot="1" x14ac:dyDescent="0.25">
      <c r="A87" s="438" t="s">
        <v>1082</v>
      </c>
      <c r="B87" s="25">
        <f ca="1">VLOOKUP("OLIG04",INDIRECT(LU_SENS),2,FALSE)</f>
        <v>0</v>
      </c>
      <c r="C87" s="438"/>
      <c r="D87" s="438" t="s">
        <v>476</v>
      </c>
      <c r="E87" s="437"/>
      <c r="F87" s="25">
        <f>'Operating Summaries'!D61</f>
        <v>0</v>
      </c>
      <c r="G87" s="400"/>
      <c r="H87" s="641"/>
      <c r="I87" s="437"/>
      <c r="J87" s="437"/>
      <c r="K87" s="437"/>
      <c r="L87" s="437"/>
      <c r="M87" s="437"/>
      <c r="N87" s="437"/>
      <c r="O87" s="90" t="s">
        <v>268</v>
      </c>
      <c r="P87" s="437"/>
      <c r="Q87" s="437"/>
      <c r="R87" s="437"/>
      <c r="S87" s="437"/>
      <c r="T87" s="437"/>
      <c r="U87" s="437"/>
      <c r="V87" s="437"/>
      <c r="W87" s="437"/>
      <c r="X87" s="437"/>
      <c r="Y87" s="437"/>
      <c r="Z87" s="437"/>
      <c r="AA87" s="437"/>
      <c r="AB87" s="437"/>
      <c r="AC87" s="437"/>
      <c r="AD87" s="437"/>
      <c r="AE87" s="437"/>
      <c r="AF87" s="437"/>
      <c r="AG87" s="437"/>
      <c r="AH87" s="437"/>
      <c r="AI87" s="437"/>
      <c r="AJ87" s="437"/>
      <c r="AK87" s="437"/>
      <c r="AL87" s="437"/>
      <c r="AM87" s="437"/>
      <c r="AN87" s="437"/>
      <c r="AO87" s="437"/>
      <c r="AP87" s="437"/>
      <c r="AQ87" s="437"/>
      <c r="AR87" s="437"/>
      <c r="AS87" s="641"/>
      <c r="AT87" s="448" t="str">
        <f>IF(CAPEX!A87&lt;&gt;"",CAPEX!A87,"")</f>
        <v>A</v>
      </c>
      <c r="AU87" s="1263">
        <f>IF(CAPEX!B87&lt;&gt;"",CAPEX!B87,"")</f>
        <v>410</v>
      </c>
      <c r="AV87" s="448" t="str">
        <f>IF(CAPEX!C87&lt;&gt;"",CAPEX!C87,"")</f>
        <v>Cellulase Hold Tank Agitator</v>
      </c>
      <c r="AW87" s="648" t="s">
        <v>989</v>
      </c>
      <c r="AX87" s="448" t="str">
        <f>IF(CAPEX!F87&lt;&gt;"",CAPEX!F87,"")</f>
        <v/>
      </c>
      <c r="AY87" s="1285" t="str">
        <f>IF(CAPEX!G87&lt;&gt;"",CAPEX!G87,"")</f>
        <v>10 hp</v>
      </c>
      <c r="AZ87" s="448" t="str">
        <f>IF(CAPEX!H87&lt;&gt;"",CAPEX!H87,"")</f>
        <v>SS316</v>
      </c>
      <c r="BA87" s="1285">
        <f>IF(CAPEX!J87&lt;&gt;"",CAPEX!J87,"")</f>
        <v>1</v>
      </c>
      <c r="BB87" s="293">
        <f>CAPEX!K87</f>
        <v>26900</v>
      </c>
      <c r="BC87" s="1272">
        <f>IF(CAPEX!L87&lt;&gt;"",CAPEX!L87,"")</f>
        <v>2009</v>
      </c>
      <c r="BD87" s="905">
        <f>IF(CAPEX!M87&lt;&gt;"",CAPEX!M87,"")</f>
        <v>26900</v>
      </c>
      <c r="BE87" s="900" t="str">
        <f>IF(CAPEX!N87&lt;&gt;"",CAPEX!N87,"")</f>
        <v>strm.422</v>
      </c>
      <c r="BF87" s="1294">
        <f>IF(CAPEX!O87&lt;&gt;"",CAPEX!O87,"")</f>
        <v>10930</v>
      </c>
      <c r="BG87" s="908" t="str">
        <f>IF(CAPEX!P87&lt;&gt;"",CAPEX!P87,"")</f>
        <v>kg/hr</v>
      </c>
      <c r="BH87" s="907">
        <f>IF(CAPEX!Q87&lt;&gt;"",CAPEX!Q87,"")</f>
        <v>0.5</v>
      </c>
      <c r="BI87" s="907">
        <f>IF(CAPEX!R87&lt;&gt;"",CAPEX!R87,"")</f>
        <v>1.5</v>
      </c>
      <c r="BJ87" s="436">
        <f ca="1">IF(BE87&lt;&gt;"",VLOOKUP(BE87,INDIRECT(LU_SENS),2,FALSE),"")</f>
        <v>13836.482900000001</v>
      </c>
      <c r="BK87" s="239">
        <f t="shared" ca="1" si="60"/>
        <v>1.265917923147301</v>
      </c>
      <c r="BL87" s="238">
        <f t="shared" ca="1" si="61"/>
        <v>30266.001856350609</v>
      </c>
      <c r="BM87" s="238">
        <f t="shared" ca="1" si="62"/>
        <v>30468.973702484403</v>
      </c>
      <c r="BN87" s="238">
        <f t="shared" ca="1" si="63"/>
        <v>45703.460553726603</v>
      </c>
      <c r="BO87" s="615"/>
      <c r="BP87" s="437"/>
    </row>
    <row r="88" spans="1:68" ht="13.5" customHeight="1" thickBot="1" x14ac:dyDescent="0.25">
      <c r="A88" s="438" t="s">
        <v>1083</v>
      </c>
      <c r="B88" s="25">
        <f ca="1">VLOOKUP("OLIG03",INDIRECT(LU_SENS),2,FALSE)</f>
        <v>0</v>
      </c>
      <c r="C88" s="438"/>
      <c r="D88" s="438" t="s">
        <v>493</v>
      </c>
      <c r="E88" s="437"/>
      <c r="F88" s="25">
        <f>'Operating Summaries'!D62</f>
        <v>0</v>
      </c>
      <c r="G88" s="400"/>
      <c r="H88" s="641"/>
      <c r="I88" s="641"/>
      <c r="J88" s="641"/>
      <c r="K88" s="641"/>
      <c r="L88" s="641"/>
      <c r="M88" s="641"/>
      <c r="N88" s="641"/>
      <c r="O88" s="303" t="s">
        <v>268</v>
      </c>
      <c r="P88" s="641"/>
      <c r="Q88" s="641"/>
      <c r="R88" s="641"/>
      <c r="S88" s="641"/>
      <c r="T88" s="641"/>
      <c r="U88" s="641"/>
      <c r="V88" s="641"/>
      <c r="W88" s="641"/>
      <c r="X88" s="641"/>
      <c r="Y88" s="641"/>
      <c r="Z88" s="641"/>
      <c r="AA88" s="641"/>
      <c r="AB88" s="641"/>
      <c r="AC88" s="641"/>
      <c r="AD88" s="641"/>
      <c r="AE88" s="641"/>
      <c r="AF88" s="641"/>
      <c r="AG88" s="641"/>
      <c r="AH88" s="641"/>
      <c r="AI88" s="641"/>
      <c r="AJ88" s="641"/>
      <c r="AK88" s="641"/>
      <c r="AL88" s="641"/>
      <c r="AM88" s="641"/>
      <c r="AN88" s="641"/>
      <c r="AO88" s="641"/>
      <c r="AP88" s="641"/>
      <c r="AQ88" s="641"/>
      <c r="AR88" s="641"/>
      <c r="AS88" s="641"/>
      <c r="AT88" s="448" t="str">
        <f>IF(CAPEX!A88&lt;&gt;"",CAPEX!A88,"")</f>
        <v>F</v>
      </c>
      <c r="AU88" s="1263">
        <f>IF(CAPEX!B88&lt;&gt;"",CAPEX!B88,"")</f>
        <v>400</v>
      </c>
      <c r="AV88" s="448" t="str">
        <f>IF(CAPEX!C88&lt;&gt;"",CAPEX!C88,"")</f>
        <v>Cellulase Fermentor</v>
      </c>
      <c r="AW88" s="648" t="s">
        <v>891</v>
      </c>
      <c r="AX88" s="448" t="str">
        <f>IF(CAPEX!F88&lt;&gt;"",CAPEX!F88,"")</f>
        <v>80,000 gal, 1 atm, 28 °C, Internal coil</v>
      </c>
      <c r="AY88" s="1285" t="str">
        <f>IF(CAPEX!G88&lt;&gt;"",CAPEX!G88,"")</f>
        <v/>
      </c>
      <c r="AZ88" s="448" t="str">
        <f>IF(CAPEX!H88&lt;&gt;"",CAPEX!H88,"")</f>
        <v>SS316</v>
      </c>
      <c r="BA88" s="1285" t="str">
        <f>IF(CAPEX!J88&lt;&gt;"",CAPEX!J88,"")</f>
        <v/>
      </c>
      <c r="BB88" s="293">
        <f>CAPEX!K88</f>
        <v>400500</v>
      </c>
      <c r="BC88" s="1272">
        <f>IF(CAPEX!L88&lt;&gt;"",CAPEX!L88,"")</f>
        <v>2009</v>
      </c>
      <c r="BD88" s="905">
        <f>IF(CAPEX!M88&lt;&gt;"",CAPEX!M88,"")</f>
        <v>400500</v>
      </c>
      <c r="BE88" s="900" t="str">
        <f>IF(CAPEX!N88&lt;&gt;"",CAPEX!N88,"")</f>
        <v>CLVESSEL</v>
      </c>
      <c r="BF88" s="1295">
        <f>IF(CAPEX!O88&lt;&gt;"",CAPEX!O88,"")</f>
        <v>1</v>
      </c>
      <c r="BG88" s="904" t="str">
        <f>IF(CAPEX!P88&lt;&gt;"",CAPEX!P88,"")</f>
        <v>ea</v>
      </c>
      <c r="BH88" s="907">
        <f>IF(CAPEX!Q88&lt;&gt;"",CAPEX!Q88,"")</f>
        <v>1</v>
      </c>
      <c r="BI88" s="907">
        <f>IF(CAPEX!R88&lt;&gt;"",CAPEX!R88,"")</f>
        <v>2</v>
      </c>
      <c r="BJ88" s="436">
        <f ca="1">IF(BE88&lt;&gt;"",CEILING(VLOOKUP(BE88,INDIRECT(LU_SENS),2,FALSE),1),"")</f>
        <v>9</v>
      </c>
      <c r="BK88" s="239">
        <f t="shared" ca="1" si="60"/>
        <v>9</v>
      </c>
      <c r="BL88" s="238">
        <f t="shared" ca="1" si="61"/>
        <v>3604500</v>
      </c>
      <c r="BM88" s="238">
        <f t="shared" ca="1" si="62"/>
        <v>3628672.7342402763</v>
      </c>
      <c r="BN88" s="238">
        <f t="shared" ca="1" si="63"/>
        <v>7257345.4684805525</v>
      </c>
      <c r="BO88" s="615"/>
      <c r="BP88" s="437"/>
    </row>
    <row r="89" spans="1:68" ht="13.5" customHeight="1" thickBot="1" x14ac:dyDescent="0.25">
      <c r="A89" s="438" t="s">
        <v>1084</v>
      </c>
      <c r="B89" s="25">
        <f ca="1">VLOOKUP("OLIG01",INDIRECT(LU_SENS),2,FALSE)</f>
        <v>0</v>
      </c>
      <c r="C89" s="438"/>
      <c r="D89" s="438" t="s">
        <v>472</v>
      </c>
      <c r="E89" s="437"/>
      <c r="F89" s="25">
        <f>'Operating Summaries'!D63</f>
        <v>0</v>
      </c>
      <c r="G89" s="400"/>
      <c r="H89" s="641"/>
      <c r="I89" s="437"/>
      <c r="J89" s="437"/>
      <c r="K89" s="437"/>
      <c r="L89" s="437"/>
      <c r="M89" s="437"/>
      <c r="N89" s="437"/>
      <c r="O89" s="90" t="s">
        <v>268</v>
      </c>
      <c r="P89" s="437"/>
      <c r="Q89" s="437"/>
      <c r="R89" s="437"/>
      <c r="S89" s="437"/>
      <c r="T89" s="437"/>
      <c r="U89" s="437"/>
      <c r="V89" s="437"/>
      <c r="W89" s="437"/>
      <c r="X89" s="437"/>
      <c r="Y89" s="437"/>
      <c r="Z89" s="437"/>
      <c r="AA89" s="437"/>
      <c r="AB89" s="437"/>
      <c r="AC89" s="437"/>
      <c r="AD89" s="437"/>
      <c r="AE89" s="437"/>
      <c r="AF89" s="437"/>
      <c r="AG89" s="437"/>
      <c r="AH89" s="437"/>
      <c r="AI89" s="437"/>
      <c r="AJ89" s="437"/>
      <c r="AK89" s="437"/>
      <c r="AL89" s="437"/>
      <c r="AM89" s="437"/>
      <c r="AN89" s="437"/>
      <c r="AO89" s="437"/>
      <c r="AP89" s="437"/>
      <c r="AQ89" s="437"/>
      <c r="AR89" s="437"/>
      <c r="AS89" s="641"/>
      <c r="AT89" s="448" t="str">
        <f>IF(CAPEX!A89&lt;&gt;"",CAPEX!A89,"")</f>
        <v>F</v>
      </c>
      <c r="AU89" s="1263">
        <f>IF(CAPEX!B89&lt;&gt;"",CAPEX!B89,"")</f>
        <v>401</v>
      </c>
      <c r="AV89" s="448" t="str">
        <f>IF(CAPEX!C89&lt;&gt;"",CAPEX!C89,"")</f>
        <v>1st Cellulase Seed Fermentor</v>
      </c>
      <c r="AW89" s="648" t="s">
        <v>996</v>
      </c>
      <c r="AX89" s="448" t="str">
        <f>IF(CAPEX!F89&lt;&gt;"",CAPEX!F89,"")</f>
        <v>80 gallon skid complete - $46,000 ea</v>
      </c>
      <c r="AY89" s="1285" t="str">
        <f>IF(CAPEX!G89&lt;&gt;"",CAPEX!G89,"")</f>
        <v/>
      </c>
      <c r="AZ89" s="448" t="str">
        <f>IF(CAPEX!H89&lt;&gt;"",CAPEX!H89,"")</f>
        <v>304SS</v>
      </c>
      <c r="BA89" s="1285" t="str">
        <f>IF(CAPEX!J89&lt;&gt;"",CAPEX!J89,"")</f>
        <v/>
      </c>
      <c r="BB89" s="293">
        <f>CAPEX!K89</f>
        <v>46000</v>
      </c>
      <c r="BC89" s="1272">
        <f>IF(CAPEX!L89&lt;&gt;"",CAPEX!L89,"")</f>
        <v>2009</v>
      </c>
      <c r="BD89" s="905">
        <f>IF(CAPEX!M89&lt;&gt;"",CAPEX!M89,"")</f>
        <v>46000</v>
      </c>
      <c r="BE89" s="900" t="str">
        <f>IF(CAPEX!N89&lt;&gt;"",CAPEX!N89,"")</f>
        <v>ICLSEED</v>
      </c>
      <c r="BF89" s="909">
        <f>IF(CAPEX!O89&lt;&gt;"",CAPEX!O89,"")</f>
        <v>1</v>
      </c>
      <c r="BG89" s="906" t="str">
        <f>IF(CAPEX!P89&lt;&gt;"",CAPEX!P89,"")</f>
        <v>ea</v>
      </c>
      <c r="BH89" s="907">
        <f>IF(CAPEX!Q89&lt;&gt;"",CAPEX!Q89,"")</f>
        <v>1</v>
      </c>
      <c r="BI89" s="907">
        <f>IF(CAPEX!R89&lt;&gt;"",CAPEX!R89,"")</f>
        <v>1.8</v>
      </c>
      <c r="BJ89" s="436">
        <f ca="1">IF(BE89&lt;&gt;"",CEILING(VLOOKUP(BE89,INDIRECT(LU_SENS),2,FALSE),1),"")</f>
        <v>4</v>
      </c>
      <c r="BK89" s="239">
        <f t="shared" ca="1" si="60"/>
        <v>4</v>
      </c>
      <c r="BL89" s="238">
        <f t="shared" ca="1" si="61"/>
        <v>184000</v>
      </c>
      <c r="BM89" s="238">
        <f t="shared" ca="1" si="62"/>
        <v>185233.95286453344</v>
      </c>
      <c r="BN89" s="238">
        <f t="shared" ca="1" si="63"/>
        <v>333421.1151561602</v>
      </c>
      <c r="BO89" s="615"/>
      <c r="BP89" s="437"/>
    </row>
    <row r="90" spans="1:68" ht="13.5" customHeight="1" thickBot="1" x14ac:dyDescent="0.25">
      <c r="A90" s="438" t="s">
        <v>1085</v>
      </c>
      <c r="B90" s="25">
        <f ca="1">VLOOKUP("OLIG02",INDIRECT(LU_SENS),2,FALSE)</f>
        <v>0</v>
      </c>
      <c r="C90" s="438"/>
      <c r="D90" s="438" t="s">
        <v>473</v>
      </c>
      <c r="E90" s="437"/>
      <c r="F90" s="25">
        <f>'Operating Summaries'!D64</f>
        <v>0</v>
      </c>
      <c r="G90" s="400"/>
      <c r="H90" s="641"/>
      <c r="I90" s="517" t="s">
        <v>1852</v>
      </c>
      <c r="J90" s="540"/>
      <c r="K90" s="70">
        <f ca="1">K154*$J$93*2.20462/(1000000)</f>
        <v>910.37647207251609</v>
      </c>
      <c r="L90" s="66"/>
      <c r="M90" s="67"/>
      <c r="N90" s="68"/>
      <c r="O90" s="69"/>
      <c r="P90" s="65"/>
      <c r="Q90" s="541"/>
      <c r="R90" s="542"/>
      <c r="S90" s="470"/>
      <c r="T90" s="470"/>
      <c r="U90" s="470"/>
      <c r="V90" s="470"/>
      <c r="W90" s="470"/>
      <c r="X90" s="470"/>
      <c r="Y90" s="470"/>
      <c r="Z90" s="470"/>
      <c r="AA90" s="470"/>
      <c r="AB90" s="470"/>
      <c r="AC90" s="470"/>
      <c r="AD90" s="437"/>
      <c r="AE90" s="437"/>
      <c r="AF90" s="437"/>
      <c r="AG90" s="437"/>
      <c r="AH90" s="437"/>
      <c r="AI90" s="437"/>
      <c r="AJ90" s="437"/>
      <c r="AK90" s="437"/>
      <c r="AL90" s="437"/>
      <c r="AM90" s="437"/>
      <c r="AN90" s="437"/>
      <c r="AO90" s="437"/>
      <c r="AP90" s="437"/>
      <c r="AQ90" s="437"/>
      <c r="AR90" s="437"/>
      <c r="AS90" s="641"/>
      <c r="AT90" s="448" t="str">
        <f>IF(CAPEX!A90&lt;&gt;"",CAPEX!A90,"")</f>
        <v>F</v>
      </c>
      <c r="AU90" s="1263">
        <f>IF(CAPEX!B90&lt;&gt;"",CAPEX!B90,"")</f>
        <v>402</v>
      </c>
      <c r="AV90" s="448" t="str">
        <f>IF(CAPEX!C90&lt;&gt;"",CAPEX!C90,"")</f>
        <v>2nd Cellulase Seed Fermentor</v>
      </c>
      <c r="AW90" s="648" t="s">
        <v>996</v>
      </c>
      <c r="AX90" s="448" t="str">
        <f>IF(CAPEX!F90&lt;&gt;"",CAPEX!F90,"")</f>
        <v>800 gallon skid complete - $57,500 ea</v>
      </c>
      <c r="AY90" s="1285" t="str">
        <f>IF(CAPEX!G90&lt;&gt;"",CAPEX!G90,"")</f>
        <v/>
      </c>
      <c r="AZ90" s="448" t="str">
        <f>IF(CAPEX!H90&lt;&gt;"",CAPEX!H90,"")</f>
        <v>304SS</v>
      </c>
      <c r="BA90" s="1285" t="str">
        <f>IF(CAPEX!J90&lt;&gt;"",CAPEX!J90,"")</f>
        <v/>
      </c>
      <c r="BB90" s="293">
        <f>CAPEX!K90</f>
        <v>57500</v>
      </c>
      <c r="BC90" s="1272">
        <f>IF(CAPEX!L90&lt;&gt;"",CAPEX!L90,"")</f>
        <v>2009</v>
      </c>
      <c r="BD90" s="905">
        <f>IF(CAPEX!M90&lt;&gt;"",CAPEX!M90,"")</f>
        <v>57500</v>
      </c>
      <c r="BE90" s="900" t="str">
        <f>IF(CAPEX!N90&lt;&gt;"",CAPEX!N90,"")</f>
        <v>ICLSEED</v>
      </c>
      <c r="BF90" s="909">
        <f>IF(CAPEX!O90&lt;&gt;"",CAPEX!O90,"")</f>
        <v>1</v>
      </c>
      <c r="BG90" s="906" t="str">
        <f>IF(CAPEX!P90&lt;&gt;"",CAPEX!P90,"")</f>
        <v>ea</v>
      </c>
      <c r="BH90" s="907">
        <f>IF(CAPEX!Q90&lt;&gt;"",CAPEX!Q90,"")</f>
        <v>1</v>
      </c>
      <c r="BI90" s="907">
        <f>IF(CAPEX!R90&lt;&gt;"",CAPEX!R90,"")</f>
        <v>1.8</v>
      </c>
      <c r="BJ90" s="436">
        <f ca="1">IF(BE90&lt;&gt;"",CEILING(VLOOKUP(BE90,INDIRECT(LU_SENS),2,FALSE),1),"")</f>
        <v>4</v>
      </c>
      <c r="BK90" s="239">
        <f t="shared" ca="1" si="60"/>
        <v>4</v>
      </c>
      <c r="BL90" s="238">
        <f t="shared" ca="1" si="61"/>
        <v>230000</v>
      </c>
      <c r="BM90" s="238">
        <f t="shared" ca="1" si="62"/>
        <v>231542.44108066682</v>
      </c>
      <c r="BN90" s="238">
        <f t="shared" ca="1" si="63"/>
        <v>416776.39394520025</v>
      </c>
      <c r="BO90" s="615"/>
      <c r="BP90" s="437"/>
    </row>
    <row r="91" spans="1:68" ht="13.5" customHeight="1" thickBot="1" x14ac:dyDescent="0.25">
      <c r="A91" s="523" t="s">
        <v>1851</v>
      </c>
      <c r="B91" s="123"/>
      <c r="C91" s="438"/>
      <c r="D91" s="438" t="s">
        <v>494</v>
      </c>
      <c r="E91" s="437"/>
      <c r="F91" s="25">
        <f>'Operating Summaries'!D65</f>
        <v>0</v>
      </c>
      <c r="G91" s="400"/>
      <c r="H91" s="641"/>
      <c r="I91" s="470"/>
      <c r="J91" s="470"/>
      <c r="K91" s="64"/>
      <c r="L91" s="470" t="s">
        <v>281</v>
      </c>
      <c r="M91" s="71">
        <f ca="1">L99*2.20462*(1-$K$139)*J93/2000</f>
        <v>772168.15839753987</v>
      </c>
      <c r="N91" s="64"/>
      <c r="O91" s="72"/>
      <c r="P91" s="72"/>
      <c r="Q91" s="470"/>
      <c r="R91" s="470"/>
      <c r="S91" s="470"/>
      <c r="T91" s="470"/>
      <c r="U91" s="470"/>
      <c r="V91" s="470"/>
      <c r="W91" s="470"/>
      <c r="X91" s="470"/>
      <c r="Y91" s="470"/>
      <c r="Z91" s="470"/>
      <c r="AA91" s="470"/>
      <c r="AB91" s="470"/>
      <c r="AC91" s="470"/>
      <c r="AD91" s="437"/>
      <c r="AE91" s="437"/>
      <c r="AF91" s="437"/>
      <c r="AG91" s="437"/>
      <c r="AH91" s="437"/>
      <c r="AI91" s="437"/>
      <c r="AJ91" s="437"/>
      <c r="AK91" s="437"/>
      <c r="AL91" s="437"/>
      <c r="AM91" s="437"/>
      <c r="AN91" s="437"/>
      <c r="AO91" s="437"/>
      <c r="AP91" s="437"/>
      <c r="AQ91" s="437"/>
      <c r="AR91" s="437"/>
      <c r="AS91" s="641"/>
      <c r="AT91" s="448" t="str">
        <f>IF(CAPEX!A91&lt;&gt;"",CAPEX!A91,"")</f>
        <v>F</v>
      </c>
      <c r="AU91" s="1263">
        <f>IF(CAPEX!B91&lt;&gt;"",CAPEX!B91,"")</f>
        <v>403</v>
      </c>
      <c r="AV91" s="448" t="str">
        <f>IF(CAPEX!C91&lt;&gt;"",CAPEX!C91,"")</f>
        <v>3rd Cellulase Seed Fermentor</v>
      </c>
      <c r="AW91" s="648" t="s">
        <v>996</v>
      </c>
      <c r="AX91" s="448" t="str">
        <f>IF(CAPEX!F91&lt;&gt;"",CAPEX!F91,"")</f>
        <v>8,000 gallon skid complete - $95,400 ea</v>
      </c>
      <c r="AY91" s="1285" t="str">
        <f>IF(CAPEX!G91&lt;&gt;"",CAPEX!G91,"")</f>
        <v/>
      </c>
      <c r="AZ91" s="448" t="str">
        <f>IF(CAPEX!H91&lt;&gt;"",CAPEX!H91,"")</f>
        <v>304SS</v>
      </c>
      <c r="BA91" s="1285" t="str">
        <f>IF(CAPEX!J91&lt;&gt;"",CAPEX!J91,"")</f>
        <v/>
      </c>
      <c r="BB91" s="293">
        <f>CAPEX!K91</f>
        <v>95400</v>
      </c>
      <c r="BC91" s="1272">
        <f>IF(CAPEX!L91&lt;&gt;"",CAPEX!L91,"")</f>
        <v>2009</v>
      </c>
      <c r="BD91" s="905">
        <f>IF(CAPEX!M91&lt;&gt;"",CAPEX!M91,"")</f>
        <v>95400</v>
      </c>
      <c r="BE91" s="900" t="str">
        <f>IF(CAPEX!N91&lt;&gt;"",CAPEX!N91,"")</f>
        <v>ICLSEED</v>
      </c>
      <c r="BF91" s="909">
        <f>IF(CAPEX!O91&lt;&gt;"",CAPEX!O91,"")</f>
        <v>1</v>
      </c>
      <c r="BG91" s="906" t="str">
        <f>IF(CAPEX!P91&lt;&gt;"",CAPEX!P91,"")</f>
        <v>ea</v>
      </c>
      <c r="BH91" s="907">
        <f>IF(CAPEX!Q91&lt;&gt;"",CAPEX!Q91,"")</f>
        <v>1</v>
      </c>
      <c r="BI91" s="907">
        <f>IF(CAPEX!R91&lt;&gt;"",CAPEX!R91,"")</f>
        <v>1.8</v>
      </c>
      <c r="BJ91" s="436">
        <f ca="1">IF(BE91&lt;&gt;"",CEILING(VLOOKUP(BE91,INDIRECT(LU_SENS),2,FALSE),1),"")</f>
        <v>4</v>
      </c>
      <c r="BK91" s="239">
        <f t="shared" ca="1" si="60"/>
        <v>4</v>
      </c>
      <c r="BL91" s="238">
        <f t="shared" ca="1" si="61"/>
        <v>381600</v>
      </c>
      <c r="BM91" s="238">
        <f t="shared" ca="1" si="62"/>
        <v>384159.1109407933</v>
      </c>
      <c r="BN91" s="238">
        <f t="shared" ca="1" si="63"/>
        <v>691486.39969342796</v>
      </c>
      <c r="BO91" s="615"/>
      <c r="BP91" s="437"/>
    </row>
    <row r="92" spans="1:68" ht="13.5" customHeight="1" thickBot="1" x14ac:dyDescent="0.25">
      <c r="A92" s="438" t="s">
        <v>464</v>
      </c>
      <c r="B92" s="25">
        <f ca="1">VLOOKUP("PRETRX01",INDIRECT(LU_SENS),2,FALSE)</f>
        <v>3.0000000000000001E-3</v>
      </c>
      <c r="C92" s="438"/>
      <c r="D92" s="438"/>
      <c r="E92" s="437"/>
      <c r="F92" s="438"/>
      <c r="G92" s="438"/>
      <c r="H92" s="641"/>
      <c r="I92" s="470"/>
      <c r="J92" s="470"/>
      <c r="K92" s="64"/>
      <c r="L92" s="470" t="s">
        <v>2580</v>
      </c>
      <c r="M92" s="71">
        <f ca="1">K90*1000000/M91</f>
        <v>1178.9873257164556</v>
      </c>
      <c r="N92" s="64"/>
      <c r="O92" s="72"/>
      <c r="P92" s="72"/>
      <c r="Q92" s="470"/>
      <c r="R92" s="470"/>
      <c r="S92" s="470"/>
      <c r="T92" s="470"/>
      <c r="U92" s="470"/>
      <c r="V92" s="470"/>
      <c r="W92" s="470"/>
      <c r="X92" s="470"/>
      <c r="Y92" s="470"/>
      <c r="Z92" s="470"/>
      <c r="AA92" s="470"/>
      <c r="AB92" s="470"/>
      <c r="AC92" s="470"/>
      <c r="AD92" s="437"/>
      <c r="AE92" s="437"/>
      <c r="AF92" s="437"/>
      <c r="AG92" s="437"/>
      <c r="AH92" s="437"/>
      <c r="AI92" s="437"/>
      <c r="AJ92" s="437"/>
      <c r="AK92" s="437"/>
      <c r="AL92" s="437"/>
      <c r="AM92" s="437"/>
      <c r="AN92" s="437"/>
      <c r="AO92" s="437"/>
      <c r="AP92" s="437"/>
      <c r="AQ92" s="437"/>
      <c r="AR92" s="437"/>
      <c r="AS92" s="641"/>
      <c r="AT92" s="448" t="str">
        <f>IF(CAPEX!A92&lt;&gt;"",CAPEX!A92,"")</f>
        <v>H</v>
      </c>
      <c r="AU92" s="1263">
        <f>IF(CAPEX!B92&lt;&gt;"",CAPEX!B92,"")</f>
        <v>400</v>
      </c>
      <c r="AV92" s="448" t="str">
        <f>IF(CAPEX!C92&lt;&gt;"",CAPEX!C92,"")</f>
        <v>Cellulase Fermentation Cooler</v>
      </c>
      <c r="AW92" s="648" t="s">
        <v>891</v>
      </c>
      <c r="AX92" s="448" t="str">
        <f>IF(CAPEX!F92&lt;&gt;"",CAPEX!F92,"")</f>
        <v>Cooling coil included with Cellulase Fermenter</v>
      </c>
      <c r="AY92" s="1285" t="str">
        <f>IF(CAPEX!G92&lt;&gt;"",CAPEX!G92,"")</f>
        <v/>
      </c>
      <c r="AZ92" s="448" t="str">
        <f>IF(CAPEX!H92&lt;&gt;"",CAPEX!H92,"")</f>
        <v>304SS</v>
      </c>
      <c r="BA92" s="1285" t="str">
        <f>IF(CAPEX!J92&lt;&gt;"",CAPEX!J92,"")</f>
        <v/>
      </c>
      <c r="BB92" s="293" t="str">
        <f>CAPEX!K92</f>
        <v>INCLUDED</v>
      </c>
      <c r="BC92" s="1273" t="str">
        <f>IF(CAPEX!L92&lt;&gt;"",CAPEX!L92,"")</f>
        <v/>
      </c>
      <c r="BD92" s="902" t="str">
        <f>IF(CAPEX!M92&lt;&gt;"",CAPEX!M92,"")</f>
        <v/>
      </c>
      <c r="BE92" s="902" t="str">
        <f>IF(CAPEX!N92&lt;&gt;"",CAPEX!N92,"")</f>
        <v/>
      </c>
      <c r="BF92" s="1291" t="str">
        <f>IF(CAPEX!O92&lt;&gt;"",CAPEX!O92,"")</f>
        <v/>
      </c>
      <c r="BG92" s="901" t="str">
        <f>IF(CAPEX!P92&lt;&gt;"",CAPEX!P92,"")</f>
        <v/>
      </c>
      <c r="BH92" s="903" t="str">
        <f>IF(CAPEX!Q92&lt;&gt;"",CAPEX!Q92,"")</f>
        <v/>
      </c>
      <c r="BI92" s="903" t="str">
        <f>IF(CAPEX!R92&lt;&gt;"",CAPEX!R92,"")</f>
        <v/>
      </c>
      <c r="BJ92" s="436"/>
      <c r="BK92" s="249"/>
      <c r="BL92" s="249"/>
      <c r="BM92" s="249"/>
      <c r="BN92" s="249"/>
      <c r="BO92" s="615"/>
      <c r="BP92" s="437"/>
    </row>
    <row r="93" spans="1:68" ht="13.5" customHeight="1" thickBot="1" x14ac:dyDescent="0.25">
      <c r="A93" s="438" t="s">
        <v>465</v>
      </c>
      <c r="B93" s="25">
        <f ca="1">VLOOKUP("PRETRX02",INDIRECT(LU_SENS),2,FALSE)</f>
        <v>0</v>
      </c>
      <c r="C93" s="438"/>
      <c r="D93" s="523" t="s">
        <v>425</v>
      </c>
      <c r="E93" s="437"/>
      <c r="F93" s="438"/>
      <c r="G93" s="438"/>
      <c r="H93" s="641"/>
      <c r="I93" s="547" t="s">
        <v>1853</v>
      </c>
      <c r="J93" s="120">
        <v>8406</v>
      </c>
      <c r="K93" s="64"/>
      <c r="L93" s="119" t="s">
        <v>1854</v>
      </c>
      <c r="M93" s="858">
        <v>1E-10</v>
      </c>
      <c r="N93" s="120" t="s">
        <v>2581</v>
      </c>
      <c r="O93" s="72"/>
      <c r="P93" s="121" t="s">
        <v>595</v>
      </c>
      <c r="Q93" s="122">
        <v>58.5</v>
      </c>
      <c r="R93" s="654" t="s">
        <v>1855</v>
      </c>
      <c r="S93" s="470"/>
      <c r="T93" s="470"/>
      <c r="U93" s="470"/>
      <c r="V93" s="470"/>
      <c r="W93" s="470"/>
      <c r="X93" s="470"/>
      <c r="Y93" s="470"/>
      <c r="Z93" s="470"/>
      <c r="AA93" s="470"/>
      <c r="AB93" s="470"/>
      <c r="AC93" s="470"/>
      <c r="AD93" s="437"/>
      <c r="AE93" s="437"/>
      <c r="AF93" s="437"/>
      <c r="AG93" s="437"/>
      <c r="AH93" s="437"/>
      <c r="AI93" s="437"/>
      <c r="AJ93" s="437"/>
      <c r="AK93" s="437"/>
      <c r="AL93" s="437"/>
      <c r="AM93" s="437"/>
      <c r="AN93" s="437"/>
      <c r="AO93" s="437"/>
      <c r="AP93" s="437"/>
      <c r="AQ93" s="437"/>
      <c r="AR93" s="437"/>
      <c r="AS93" s="641"/>
      <c r="AT93" s="448" t="str">
        <f>IF(CAPEX!A93&lt;&gt;"",CAPEX!A93,"")</f>
        <v>H</v>
      </c>
      <c r="AU93" s="1263">
        <f>IF(CAPEX!B93&lt;&gt;"",CAPEX!B93,"")</f>
        <v>405</v>
      </c>
      <c r="AV93" s="448" t="str">
        <f>IF(CAPEX!C93&lt;&gt;"",CAPEX!C93,"")</f>
        <v>Media Prep Tank Cooler</v>
      </c>
      <c r="AW93" s="648" t="s">
        <v>891</v>
      </c>
      <c r="AX93" s="448" t="str">
        <f>IF(CAPEX!F93&lt;&gt;"",CAPEX!F93,"")</f>
        <v>Cooling coil included with Media Prep Tank</v>
      </c>
      <c r="AY93" s="1285" t="str">
        <f>IF(CAPEX!G93&lt;&gt;"",CAPEX!G93,"")</f>
        <v/>
      </c>
      <c r="AZ93" s="448" t="str">
        <f>IF(CAPEX!H93&lt;&gt;"",CAPEX!H93,"")</f>
        <v>304SS</v>
      </c>
      <c r="BA93" s="1285">
        <f>IF(CAPEX!J93&lt;&gt;"",CAPEX!J93,"")</f>
        <v>1</v>
      </c>
      <c r="BB93" s="293" t="str">
        <f>CAPEX!K93</f>
        <v>INCLUDED</v>
      </c>
      <c r="BC93" s="1273" t="str">
        <f>IF(CAPEX!L93&lt;&gt;"",CAPEX!L93,"")</f>
        <v/>
      </c>
      <c r="BD93" s="902" t="str">
        <f>IF(CAPEX!M93&lt;&gt;"",CAPEX!M93,"")</f>
        <v/>
      </c>
      <c r="BE93" s="902" t="str">
        <f>IF(CAPEX!N93&lt;&gt;"",CAPEX!N93,"")</f>
        <v/>
      </c>
      <c r="BF93" s="1291" t="str">
        <f>IF(CAPEX!O93&lt;&gt;"",CAPEX!O93,"")</f>
        <v/>
      </c>
      <c r="BG93" s="901" t="str">
        <f>IF(CAPEX!P93&lt;&gt;"",CAPEX!P93,"")</f>
        <v/>
      </c>
      <c r="BH93" s="903" t="str">
        <f>IF(CAPEX!Q93&lt;&gt;"",CAPEX!Q93,"")</f>
        <v/>
      </c>
      <c r="BI93" s="903" t="str">
        <f>IF(CAPEX!R93&lt;&gt;"",CAPEX!R93,"")</f>
        <v/>
      </c>
      <c r="BJ93" s="436"/>
      <c r="BK93" s="249"/>
      <c r="BL93" s="249"/>
      <c r="BM93" s="249"/>
      <c r="BN93" s="249"/>
      <c r="BO93" s="615"/>
      <c r="BP93" s="437"/>
    </row>
    <row r="94" spans="1:68" ht="13.5" customHeight="1" thickBot="1" x14ac:dyDescent="0.25">
      <c r="A94" s="438" t="s">
        <v>466</v>
      </c>
      <c r="B94" s="25">
        <f ca="1">VLOOKUP("PRETRX03",INDIRECT(LU_SENS),2,FALSE)</f>
        <v>9.9000000000000005E-2</v>
      </c>
      <c r="C94" s="438"/>
      <c r="D94" s="438" t="s">
        <v>2598</v>
      </c>
      <c r="F94" s="107">
        <f ca="1">VLOOKUP( "CMIX.GLUCOSE.A300.301", INDIRECT(LU_SENS), 2, FALSE ) + VLOOKUP( "CMIX.XYLOSE.A300.301", INDIRECT(LU_SENS), 2, FALSE ) +
VLOOKUP( "CMIX.ARABINOS.A300.301", INDIRECT(LU_SENS), 2, FALSE ) + VLOOKUP( "CMIX.MANNOSE.A300.301", INDIRECT(LU_SENS), 2, FALSE ) +
VLOOKUP( "CMIX.GALACTOS.A300.301", INDIRECT(LU_SENS), 2, FALSE )</f>
        <v>23708.973512000004</v>
      </c>
      <c r="G94" s="107"/>
      <c r="H94" s="641"/>
      <c r="I94" s="33"/>
      <c r="J94" s="33"/>
      <c r="K94" s="304"/>
      <c r="L94" s="304"/>
      <c r="M94" s="304"/>
      <c r="N94" s="73"/>
      <c r="O94" s="304"/>
      <c r="P94" s="73"/>
      <c r="Q94" s="73"/>
      <c r="R94" s="470"/>
      <c r="S94" s="470"/>
      <c r="T94" s="470"/>
      <c r="U94" s="470"/>
      <c r="V94" s="470"/>
      <c r="W94" s="470"/>
      <c r="X94" s="470"/>
      <c r="Y94" s="470"/>
      <c r="Z94" s="470"/>
      <c r="AA94" s="470"/>
      <c r="AB94" s="470"/>
      <c r="AC94" s="470"/>
      <c r="AD94" s="437"/>
      <c r="AE94" s="437"/>
      <c r="AF94" s="437"/>
      <c r="AG94" s="437"/>
      <c r="AH94" s="437"/>
      <c r="AI94" s="437"/>
      <c r="AJ94" s="437"/>
      <c r="AK94" s="437"/>
      <c r="AL94" s="437"/>
      <c r="AM94" s="437"/>
      <c r="AN94" s="437"/>
      <c r="AO94" s="437"/>
      <c r="AP94" s="437"/>
      <c r="AQ94" s="437"/>
      <c r="AR94" s="437"/>
      <c r="AS94" s="641"/>
      <c r="AT94" s="448" t="str">
        <f>IF(CAPEX!A94&lt;&gt;"",CAPEX!A94,"")</f>
        <v>M</v>
      </c>
      <c r="AU94" s="1263">
        <f>IF(CAPEX!B94&lt;&gt;"",CAPEX!B94,"")</f>
        <v>401</v>
      </c>
      <c r="AV94" s="448" t="str">
        <f>IF(CAPEX!C94&lt;&gt;"",CAPEX!C94,"")</f>
        <v>Fermenter Air Compressor Package</v>
      </c>
      <c r="AW94" s="648" t="s">
        <v>956</v>
      </c>
      <c r="AX94" s="448" t="str">
        <f>IF(CAPEX!F94&lt;&gt;"",CAPEX!F94,"")</f>
        <v>8000 SCFM @ 16 psig</v>
      </c>
      <c r="AY94" s="1285" t="str">
        <f>IF(CAPEX!G94&lt;&gt;"",CAPEX!G94,"")</f>
        <v/>
      </c>
      <c r="AZ94" s="448" t="str">
        <f>IF(CAPEX!H94&lt;&gt;"",CAPEX!H94,"")</f>
        <v>CS</v>
      </c>
      <c r="BA94" s="1285">
        <f>IF(CAPEX!J94&lt;&gt;"",CAPEX!J94,"")</f>
        <v>2</v>
      </c>
      <c r="BB94" s="293">
        <f>CAPEX!K94</f>
        <v>350000</v>
      </c>
      <c r="BC94" s="1272">
        <f>IF(CAPEX!L94&lt;&gt;"",CAPEX!L94,"")</f>
        <v>2009</v>
      </c>
      <c r="BD94" s="905">
        <f>IF(CAPEX!M94&lt;&gt;"",CAPEX!M94,"")</f>
        <v>350000</v>
      </c>
      <c r="BE94" s="900" t="str">
        <f>IF(CAPEX!N94&lt;&gt;"",CAPEX!N94,"")</f>
        <v>strm.a400.450</v>
      </c>
      <c r="BF94" s="1295">
        <f>IF(CAPEX!O94&lt;&gt;"",CAPEX!O94,"")</f>
        <v>33168</v>
      </c>
      <c r="BG94" s="904" t="str">
        <f>IF(CAPEX!P94&lt;&gt;"",CAPEX!P94,"")</f>
        <v>kg/hr</v>
      </c>
      <c r="BH94" s="907">
        <f>IF(CAPEX!Q94&lt;&gt;"",CAPEX!Q94,"")</f>
        <v>0.6</v>
      </c>
      <c r="BI94" s="907">
        <f>IF(CAPEX!R94&lt;&gt;"",CAPEX!R94,"")</f>
        <v>1.6</v>
      </c>
      <c r="BJ94" s="436">
        <f t="shared" ref="BJ94:BJ100" ca="1" si="64">IF(BE94&lt;&gt;"",VLOOKUP(BE94,INDIRECT(LU_SENS),2,FALSE),"")</f>
        <v>32582.828799999999</v>
      </c>
      <c r="BK94" s="239">
        <f t="shared" ref="BK94:BK100" ca="1" si="65">BJ94/BF94</f>
        <v>0.98235735648818134</v>
      </c>
      <c r="BL94" s="238">
        <f t="shared" ref="BL94:BL100" ca="1" si="66">BD94*BK94^BH94</f>
        <v>346281.86303536652</v>
      </c>
      <c r="BM94" s="238">
        <f t="shared" ref="BM94:BM100" ca="1" si="67">BL94*VLOOKUP($J$34,INDIRECT(IX_CAP),4,FALSE)/VLOOKUP(BC94,INDIRECT(IX_CAP),4,FALSE)</f>
        <v>348604.12117030384</v>
      </c>
      <c r="BN94" s="238">
        <f t="shared" ref="BN94:BN100" ca="1" si="68">BM94*BI94</f>
        <v>557766.59387248615</v>
      </c>
      <c r="BO94" s="615"/>
      <c r="BP94" s="437"/>
    </row>
    <row r="95" spans="1:68" ht="13.5" customHeight="1" thickBot="1" x14ac:dyDescent="0.25">
      <c r="A95" s="438" t="s">
        <v>467</v>
      </c>
      <c r="B95" s="25">
        <f ca="1">VLOOKUP("PRETRX04",INDIRECT(LU_SENS),2,FALSE)</f>
        <v>3.0000000000000001E-3</v>
      </c>
      <c r="C95" s="438"/>
      <c r="D95" s="438" t="s">
        <v>2599</v>
      </c>
      <c r="E95" s="437"/>
      <c r="F95" s="107">
        <f ca="1">VLOOKUP( "CMIX.GLUCOLIG.A300.301", INDIRECT(LU_SENS), 2, FALSE ) +
VLOOKUP( "CMIX.CELLOB.A300.301", INDIRECT(LU_SENS), 2, FALSE ) + VLOOKUP( "CMIX.XYLOLIG.A300.301", INDIRECT(LU_SENS), 2, FALSE ) +
VLOOKUP( "CMIX.MANOLIG.A300.301", INDIRECT(LU_SENS), 2, FALSE ) + VLOOKUP( "CMIX.GALAOLIG.A300.301", INDIRECT(LU_SENS), 2, FALSE ) +
VLOOKUP( "CMIX.ARABOLIG.A300.301", INDIRECT(LU_SENS), 2, FALSE )</f>
        <v>566.35519383681594</v>
      </c>
      <c r="G95" s="107"/>
      <c r="H95" s="641"/>
      <c r="I95" s="26"/>
      <c r="J95" s="74"/>
      <c r="K95" s="64"/>
      <c r="L95" s="75"/>
      <c r="M95" s="64"/>
      <c r="N95" s="71"/>
      <c r="O95" s="64"/>
      <c r="P95" s="71"/>
      <c r="Q95" s="71"/>
      <c r="R95" s="470"/>
      <c r="S95" s="470"/>
      <c r="T95" s="470"/>
      <c r="U95" s="470"/>
      <c r="V95" s="470"/>
      <c r="W95" s="470"/>
      <c r="X95" s="470"/>
      <c r="Y95" s="470"/>
      <c r="Z95" s="470"/>
      <c r="AA95" s="470"/>
      <c r="AB95" s="470"/>
      <c r="AC95" s="470"/>
      <c r="AD95" s="437"/>
      <c r="AE95" s="437"/>
      <c r="AF95" s="437"/>
      <c r="AG95" s="437"/>
      <c r="AH95" s="437"/>
      <c r="AI95" s="437"/>
      <c r="AJ95" s="437"/>
      <c r="AK95" s="437"/>
      <c r="AL95" s="437"/>
      <c r="AM95" s="437"/>
      <c r="AN95" s="437"/>
      <c r="AO95" s="437"/>
      <c r="AP95" s="437"/>
      <c r="AQ95" s="437"/>
      <c r="AR95" s="437"/>
      <c r="AS95" s="641"/>
      <c r="AT95" s="448" t="str">
        <f>IF(CAPEX!A95&lt;&gt;"",CAPEX!A95,"")</f>
        <v>P</v>
      </c>
      <c r="AU95" s="1263">
        <f>IF(CAPEX!B95&lt;&gt;"",CAPEX!B95,"")</f>
        <v>400</v>
      </c>
      <c r="AV95" s="448" t="str">
        <f>IF(CAPEX!C95&lt;&gt;"",CAPEX!C95,"")</f>
        <v>Cellulase Transfer Pump</v>
      </c>
      <c r="AW95" s="648" t="s">
        <v>991</v>
      </c>
      <c r="AX95" s="448" t="str">
        <f>IF(CAPEX!F95&lt;&gt;"",CAPEX!F95,"")</f>
        <v>59 gpm, 100 FT, TDH SIZE 2X1-10C</v>
      </c>
      <c r="AY95" s="1285">
        <f>IF(CAPEX!G95&lt;&gt;"",CAPEX!G95,"")</f>
        <v>3</v>
      </c>
      <c r="AZ95" s="448" t="str">
        <f>IF(CAPEX!H95&lt;&gt;"",CAPEX!H95,"")</f>
        <v>316SS</v>
      </c>
      <c r="BA95" s="1285">
        <f>IF(CAPEX!J95&lt;&gt;"",CAPEX!J95,"")</f>
        <v>1</v>
      </c>
      <c r="BB95" s="293">
        <f>CAPEX!K95</f>
        <v>7357</v>
      </c>
      <c r="BC95" s="1272">
        <f>IF(CAPEX!L95&lt;&gt;"",CAPEX!L95,"")</f>
        <v>2010</v>
      </c>
      <c r="BD95" s="905">
        <f>IF(CAPEX!M95&lt;&gt;"",CAPEX!M95,"")</f>
        <v>7357</v>
      </c>
      <c r="BE95" s="900" t="str">
        <f>IF(CAPEX!N95&lt;&gt;"",CAPEX!N95,"")</f>
        <v>strm.a400.420</v>
      </c>
      <c r="BF95" s="1295">
        <f>IF(CAPEX!O95&lt;&gt;"",CAPEX!O95,"")</f>
        <v>13398.9</v>
      </c>
      <c r="BG95" s="904" t="str">
        <f>IF(CAPEX!P95&lt;&gt;"",CAPEX!P95,"")</f>
        <v>kg/hr</v>
      </c>
      <c r="BH95" s="907">
        <f>IF(CAPEX!Q95&lt;&gt;"",CAPEX!Q95,"")</f>
        <v>0.8</v>
      </c>
      <c r="BI95" s="907">
        <f>IF(CAPEX!R95&lt;&gt;"",CAPEX!R95,"")</f>
        <v>2.2999999999999998</v>
      </c>
      <c r="BJ95" s="436">
        <f t="shared" ca="1" si="64"/>
        <v>13836.482900000001</v>
      </c>
      <c r="BK95" s="239">
        <f t="shared" ca="1" si="65"/>
        <v>1.0326581211890529</v>
      </c>
      <c r="BL95" s="238">
        <f t="shared" ca="1" si="66"/>
        <v>7548.5929636233586</v>
      </c>
      <c r="BM95" s="238">
        <f t="shared" ca="1" si="67"/>
        <v>7200.4915451846646</v>
      </c>
      <c r="BN95" s="238">
        <f t="shared" ca="1" si="68"/>
        <v>16561.130553924726</v>
      </c>
      <c r="BO95" s="615"/>
      <c r="BP95" s="437"/>
    </row>
    <row r="96" spans="1:68" ht="13.5" customHeight="1" thickBot="1" x14ac:dyDescent="0.25">
      <c r="A96" s="438" t="s">
        <v>468</v>
      </c>
      <c r="B96" s="25">
        <f ca="1">B67*(1-B87)</f>
        <v>2.4E-2</v>
      </c>
      <c r="C96" s="438"/>
      <c r="D96" s="438" t="s">
        <v>2595</v>
      </c>
      <c r="E96" s="437"/>
      <c r="F96" s="107">
        <f ca="1">VLOOKUP("SOL310FD",INDIRECT(LU_SENS),2,FALSE)-F94-F95</f>
        <v>17248.188594163181</v>
      </c>
      <c r="G96" s="107"/>
      <c r="H96" s="641"/>
      <c r="I96" s="571" t="s">
        <v>285</v>
      </c>
      <c r="J96" s="470"/>
      <c r="K96" s="64"/>
      <c r="L96" s="64"/>
      <c r="M96" s="72"/>
      <c r="N96" s="64"/>
      <c r="O96" s="72"/>
      <c r="P96" s="72"/>
      <c r="Q96" s="470"/>
      <c r="R96" s="470"/>
      <c r="S96" s="470"/>
      <c r="T96" s="470"/>
      <c r="U96" s="470"/>
      <c r="V96" s="470"/>
      <c r="W96" s="571" t="s">
        <v>297</v>
      </c>
      <c r="X96" s="470"/>
      <c r="Y96" s="470"/>
      <c r="Z96" s="470"/>
      <c r="AA96" s="470"/>
      <c r="AB96" s="470"/>
      <c r="AC96" s="470"/>
      <c r="AD96" s="437"/>
      <c r="AE96" s="437"/>
      <c r="AF96" s="437"/>
      <c r="AG96" s="437"/>
      <c r="AH96" s="437"/>
      <c r="AI96" s="437"/>
      <c r="AJ96" s="437"/>
      <c r="AK96" s="437"/>
      <c r="AL96" s="437"/>
      <c r="AM96" s="437"/>
      <c r="AN96" s="437"/>
      <c r="AO96" s="437"/>
      <c r="AP96" s="437"/>
      <c r="AQ96" s="437"/>
      <c r="AR96" s="437"/>
      <c r="AS96" s="641"/>
      <c r="AT96" s="448" t="str">
        <f>IF(CAPEX!A96&lt;&gt;"",CAPEX!A96,"")</f>
        <v>P</v>
      </c>
      <c r="AU96" s="1263">
        <f>IF(CAPEX!B96&lt;&gt;"",CAPEX!B96,"")</f>
        <v>401</v>
      </c>
      <c r="AV96" s="448" t="str">
        <f>IF(CAPEX!C96&lt;&gt;"",CAPEX!C96,"")</f>
        <v>Cellulase Seed Pump</v>
      </c>
      <c r="AW96" s="648" t="s">
        <v>991</v>
      </c>
      <c r="AX96" s="448" t="str">
        <f>IF(CAPEX!F96&lt;&gt;"",CAPEX!F96,"")</f>
        <v>3 GPM, 100 FT TDH SIZE 2X1-10</v>
      </c>
      <c r="AY96" s="1285">
        <f>IF(CAPEX!G96&lt;&gt;"",CAPEX!G96,"")</f>
        <v>2</v>
      </c>
      <c r="AZ96" s="448" t="str">
        <f>IF(CAPEX!H96&lt;&gt;"",CAPEX!H96,"")</f>
        <v>316SS</v>
      </c>
      <c r="BA96" s="1285">
        <f>IF(CAPEX!J96&lt;&gt;"",CAPEX!J96,"")</f>
        <v>4</v>
      </c>
      <c r="BB96" s="293">
        <f>CAPEX!K96</f>
        <v>29972</v>
      </c>
      <c r="BC96" s="1272">
        <f>IF(CAPEX!L96&lt;&gt;"",CAPEX!L96,"")</f>
        <v>2010</v>
      </c>
      <c r="BD96" s="905">
        <f>IF(CAPEX!M96&lt;&gt;"",CAPEX!M96,"")</f>
        <v>29972</v>
      </c>
      <c r="BE96" s="900" t="str">
        <f>IF(CAPEX!N96&lt;&gt;"",CAPEX!N96,"")</f>
        <v>strm.a400.409</v>
      </c>
      <c r="BF96" s="1295">
        <f>IF(CAPEX!O96&lt;&gt;"",CAPEX!O96,"")</f>
        <v>681.30000000000007</v>
      </c>
      <c r="BG96" s="904" t="str">
        <f>IF(CAPEX!P96&lt;&gt;"",CAPEX!P96,"")</f>
        <v>kg/hr</v>
      </c>
      <c r="BH96" s="907">
        <f>IF(CAPEX!Q96&lt;&gt;"",CAPEX!Q96,"")</f>
        <v>0.8</v>
      </c>
      <c r="BI96" s="907">
        <f>IF(CAPEX!R96&lt;&gt;"",CAPEX!R96,"")</f>
        <v>2.2999999999999998</v>
      </c>
      <c r="BJ96" s="436">
        <f t="shared" ca="1" si="64"/>
        <v>769.70806000000005</v>
      </c>
      <c r="BK96" s="239">
        <f t="shared" ca="1" si="65"/>
        <v>1.1297637751357699</v>
      </c>
      <c r="BL96" s="238">
        <f t="shared" ca="1" si="66"/>
        <v>33045.00639203241</v>
      </c>
      <c r="BM96" s="238">
        <f t="shared" ca="1" si="67"/>
        <v>31521.144441492066</v>
      </c>
      <c r="BN96" s="238">
        <f t="shared" ca="1" si="68"/>
        <v>72498.632215431746</v>
      </c>
      <c r="BO96" s="615"/>
      <c r="BP96" s="437"/>
    </row>
    <row r="97" spans="1:68" ht="25.5" customHeight="1" thickBot="1" x14ac:dyDescent="0.25">
      <c r="A97" s="438" t="s">
        <v>469</v>
      </c>
      <c r="B97" s="25">
        <f ca="1">B68+B87*B67</f>
        <v>0.9</v>
      </c>
      <c r="C97" s="438"/>
      <c r="D97" s="438"/>
      <c r="E97" s="437"/>
      <c r="F97" s="107"/>
      <c r="G97" s="107"/>
      <c r="H97" s="641"/>
      <c r="I97" s="471" t="s">
        <v>81</v>
      </c>
      <c r="J97" s="655" t="s">
        <v>286</v>
      </c>
      <c r="K97" s="655" t="s">
        <v>283</v>
      </c>
      <c r="L97" s="305" t="s">
        <v>287</v>
      </c>
      <c r="M97" s="305" t="s">
        <v>288</v>
      </c>
      <c r="N97" s="305" t="s">
        <v>80</v>
      </c>
      <c r="O97" s="655" t="s">
        <v>79</v>
      </c>
      <c r="P97" s="113" t="str">
        <f>J34 &amp; " Cost (cents / ton)"</f>
        <v>2007 Cost (cents / ton)</v>
      </c>
      <c r="Q97" s="306" t="str">
        <f>J34 &amp; " Cost ($/lb)"</f>
        <v>2007 Cost ($/lb)</v>
      </c>
      <c r="R97" s="305" t="s">
        <v>289</v>
      </c>
      <c r="S97" s="306" t="str">
        <f>"MM$/yr ("&amp;J34&amp;")"</f>
        <v>MM$/yr (2007)</v>
      </c>
      <c r="T97" s="306" t="str">
        <f>"Cents/lb sugar ("&amp;J34&amp;")"</f>
        <v>Cents/lb sugar (2007)</v>
      </c>
      <c r="U97" s="471"/>
      <c r="V97" s="471"/>
      <c r="W97" s="471"/>
      <c r="X97" s="471"/>
      <c r="Y97" s="471"/>
      <c r="Z97" s="471"/>
      <c r="AA97" s="471"/>
      <c r="AB97" s="471"/>
      <c r="AC97" s="471"/>
      <c r="AD97" s="437"/>
      <c r="AE97" s="437"/>
      <c r="AF97" s="437"/>
      <c r="AG97" s="437"/>
      <c r="AH97" s="437"/>
      <c r="AI97" s="437"/>
      <c r="AJ97" s="437"/>
      <c r="AK97" s="437"/>
      <c r="AL97" s="437"/>
      <c r="AM97" s="437"/>
      <c r="AN97" s="437"/>
      <c r="AO97" s="437"/>
      <c r="AP97" s="437"/>
      <c r="AQ97" s="437"/>
      <c r="AR97" s="437"/>
      <c r="AS97" s="641"/>
      <c r="AT97" s="448" t="str">
        <f>IF(CAPEX!A97&lt;&gt;"",CAPEX!A97,"")</f>
        <v>P</v>
      </c>
      <c r="AU97" s="1263">
        <f>IF(CAPEX!B97&lt;&gt;"",CAPEX!B97,"")</f>
        <v>405</v>
      </c>
      <c r="AV97" s="448" t="str">
        <f>IF(CAPEX!C97&lt;&gt;"",CAPEX!C97,"")</f>
        <v>Media Pump</v>
      </c>
      <c r="AW97" s="648" t="s">
        <v>991</v>
      </c>
      <c r="AX97" s="448" t="str">
        <f>IF(CAPEX!F97&lt;&gt;"",CAPEX!F97,"")</f>
        <v>63 GPM, 100 FT TDH SIZE 2X1-10C</v>
      </c>
      <c r="AY97" s="1285">
        <f>IF(CAPEX!G97&lt;&gt;"",CAPEX!G97,"")</f>
        <v>3</v>
      </c>
      <c r="AZ97" s="448" t="str">
        <f>IF(CAPEX!H97&lt;&gt;"",CAPEX!H97,"")</f>
        <v>316SS</v>
      </c>
      <c r="BA97" s="1285">
        <f>IF(CAPEX!J97&lt;&gt;"",CAPEX!J97,"")</f>
        <v>1</v>
      </c>
      <c r="BB97" s="293">
        <f>CAPEX!K97</f>
        <v>7357</v>
      </c>
      <c r="BC97" s="1272">
        <f>IF(CAPEX!L97&lt;&gt;"",CAPEX!L97,"")</f>
        <v>2010</v>
      </c>
      <c r="BD97" s="905">
        <f>IF(CAPEX!M97&lt;&gt;"",CAPEX!M97,"")</f>
        <v>7357</v>
      </c>
      <c r="BE97" s="900" t="str">
        <f>IF(CAPEX!N97&lt;&gt;"",CAPEX!N97,"")</f>
        <v>strm.a400.402</v>
      </c>
      <c r="BF97" s="1295">
        <f>IF(CAPEX!O97&lt;&gt;"",CAPEX!O97,"")</f>
        <v>14307.300000000001</v>
      </c>
      <c r="BG97" s="904" t="str">
        <f>IF(CAPEX!P97&lt;&gt;"",CAPEX!P97,"")</f>
        <v>kg/hr</v>
      </c>
      <c r="BH97" s="907">
        <f>IF(CAPEX!Q97&lt;&gt;"",CAPEX!Q97,"")</f>
        <v>0.8</v>
      </c>
      <c r="BI97" s="907">
        <f>IF(CAPEX!R97&lt;&gt;"",CAPEX!R97,"")</f>
        <v>2.2999999999999998</v>
      </c>
      <c r="BJ97" s="436">
        <f t="shared" ca="1" si="64"/>
        <v>15801.260699999999</v>
      </c>
      <c r="BK97" s="239">
        <f t="shared" ca="1" si="65"/>
        <v>1.1044194711790483</v>
      </c>
      <c r="BL97" s="238">
        <f t="shared" ca="1" si="66"/>
        <v>7965.4075218290154</v>
      </c>
      <c r="BM97" s="238">
        <f t="shared" ca="1" si="67"/>
        <v>7598.0848074963051</v>
      </c>
      <c r="BN97" s="238">
        <f t="shared" ca="1" si="68"/>
        <v>17475.595057241499</v>
      </c>
      <c r="BO97" s="615"/>
      <c r="BP97" s="437"/>
    </row>
    <row r="98" spans="1:68" ht="13.5" customHeight="1" thickBot="1" x14ac:dyDescent="0.25">
      <c r="A98" s="438" t="s">
        <v>470</v>
      </c>
      <c r="B98" s="25">
        <f ca="1">VLOOKUP("PRETRX07",INDIRECT(LU_SENS),2,FALSE)</f>
        <v>0.05</v>
      </c>
      <c r="C98" s="438"/>
      <c r="D98" s="438" t="s">
        <v>2596</v>
      </c>
      <c r="E98" s="437"/>
      <c r="F98" s="107">
        <f ca="1">VLOOKUP( "CMIX.GLUCOSE.a300.301sug", INDIRECT(LU_SENS), 2, FALSE ) + VLOOKUP( "CMIX.XYLOSE.a300.301sug", INDIRECT(LU_SENS), 2, FALSE ) +
VLOOKUP( "CMIX.ARABINOS.a300.301sug", INDIRECT(LU_SENS), 2, FALSE ) + VLOOKUP( "CMIX.MANNOSE.a300.301sug", INDIRECT(LU_SENS), 2, FALSE ) +
VLOOKUP( "CMIX.GALACTOS.a300.301sug", INDIRECT(LU_SENS), 2, FALSE )</f>
        <v>49847.262922000002</v>
      </c>
      <c r="G98" s="107"/>
      <c r="H98" s="641"/>
      <c r="I98" s="470"/>
      <c r="J98" s="470"/>
      <c r="K98" s="470"/>
      <c r="L98" s="64"/>
      <c r="M98" s="64"/>
      <c r="N98" s="64"/>
      <c r="O98" s="64"/>
      <c r="P98" s="114"/>
      <c r="Q98" s="307"/>
      <c r="R98" s="64"/>
      <c r="S98" s="72"/>
      <c r="T98" s="72"/>
      <c r="U98" s="470"/>
      <c r="V98" s="470"/>
      <c r="W98" s="470"/>
      <c r="X98" s="470"/>
      <c r="Y98" s="470"/>
      <c r="Z98" s="470"/>
      <c r="AA98" s="470"/>
      <c r="AB98" s="470"/>
      <c r="AC98" s="470"/>
      <c r="AD98" s="437"/>
      <c r="AE98" s="437"/>
      <c r="AF98" s="437"/>
      <c r="AG98" s="437"/>
      <c r="AH98" s="437"/>
      <c r="AI98" s="437"/>
      <c r="AJ98" s="437"/>
      <c r="AK98" s="437"/>
      <c r="AL98" s="437"/>
      <c r="AM98" s="437"/>
      <c r="AN98" s="437"/>
      <c r="AO98" s="437"/>
      <c r="AP98" s="437"/>
      <c r="AQ98" s="437"/>
      <c r="AR98" s="437"/>
      <c r="AS98" s="641"/>
      <c r="AT98" s="448" t="str">
        <f>IF(CAPEX!A98&lt;&gt;"",CAPEX!A98,"")</f>
        <v>P</v>
      </c>
      <c r="AU98" s="1263">
        <f>IF(CAPEX!B98&lt;&gt;"",CAPEX!B98,"")</f>
        <v>406</v>
      </c>
      <c r="AV98" s="448" t="str">
        <f>IF(CAPEX!C98&lt;&gt;"",CAPEX!C98,"")</f>
        <v>Cellulase Nutrient Transfer Pump</v>
      </c>
      <c r="AW98" s="648" t="s">
        <v>990</v>
      </c>
      <c r="AX98" s="448" t="str">
        <f>IF(CAPEX!F98&lt;&gt;"",CAPEX!F98,"")</f>
        <v>Gear Pump 2 GPM, 100 FT</v>
      </c>
      <c r="AY98" s="1285">
        <f>IF(CAPEX!G98&lt;&gt;"",CAPEX!G98,"")</f>
        <v>0.5</v>
      </c>
      <c r="AZ98" s="448" t="str">
        <f>IF(CAPEX!H98&lt;&gt;"",CAPEX!H98,"")</f>
        <v>316SS</v>
      </c>
      <c r="BA98" s="1285">
        <f>IF(CAPEX!J98&lt;&gt;"",CAPEX!J98,"")</f>
        <v>1</v>
      </c>
      <c r="BB98" s="293">
        <f>CAPEX!K98</f>
        <v>1500</v>
      </c>
      <c r="BC98" s="1272">
        <f>IF(CAPEX!L98&lt;&gt;"",CAPEX!L98,"")</f>
        <v>2009</v>
      </c>
      <c r="BD98" s="905">
        <f>IF(CAPEX!M98&lt;&gt;"",CAPEX!M98,"")</f>
        <v>1500</v>
      </c>
      <c r="BE98" s="900" t="str">
        <f>IF(CAPEX!N98&lt;&gt;"",CAPEX!N98,"")</f>
        <v>strm.a400.416</v>
      </c>
      <c r="BF98" s="1295">
        <f>IF(CAPEX!O98&lt;&gt;"",CAPEX!O98,"")</f>
        <v>454</v>
      </c>
      <c r="BG98" s="904" t="str">
        <f>IF(CAPEX!P98&lt;&gt;"",CAPEX!P98,"")</f>
        <v>kg/hr</v>
      </c>
      <c r="BH98" s="907">
        <f>IF(CAPEX!Q98&lt;&gt;"",CAPEX!Q98,"")</f>
        <v>0.8</v>
      </c>
      <c r="BI98" s="907">
        <f>IF(CAPEX!R98&lt;&gt;"",CAPEX!R98,"")</f>
        <v>2.2999999999999998</v>
      </c>
      <c r="BJ98" s="436">
        <f t="shared" ca="1" si="64"/>
        <v>223.984489</v>
      </c>
      <c r="BK98" s="239">
        <f t="shared" ca="1" si="65"/>
        <v>0.4933579052863436</v>
      </c>
      <c r="BL98" s="238">
        <f t="shared" ca="1" si="66"/>
        <v>852.35582259123305</v>
      </c>
      <c r="BM98" s="238">
        <f t="shared" ca="1" si="67"/>
        <v>858.07194709606028</v>
      </c>
      <c r="BN98" s="238">
        <f t="shared" ca="1" si="68"/>
        <v>1973.5654783209386</v>
      </c>
      <c r="BO98" s="615"/>
      <c r="BP98" s="437"/>
    </row>
    <row r="99" spans="1:68" ht="13.5" customHeight="1" thickBot="1" x14ac:dyDescent="0.25">
      <c r="A99" s="438" t="s">
        <v>471</v>
      </c>
      <c r="B99" s="25">
        <f ca="1">VLOOKUP("PRETRX08",INDIRECT(LU_SENS),2,FALSE)</f>
        <v>0</v>
      </c>
      <c r="C99" s="438"/>
      <c r="D99" s="438" t="s">
        <v>2597</v>
      </c>
      <c r="E99" s="437"/>
      <c r="F99" s="107">
        <f ca="1">VLOOKUP( "CMIX.GLUCOLIG.a300.301sug", INDIRECT(LU_SENS), 2, FALSE ) +
VLOOKUP( "CMIX.CELLOB.a300.301sug", INDIRECT(LU_SENS), 2, FALSE ) + VLOOKUP( "CMIX.XYLOLIG.a300.301sug", INDIRECT(LU_SENS), 2, FALSE ) +
VLOOKUP( "CMIX.MANOLIG.a300.301sug", INDIRECT(LU_SENS), 2, FALSE ) + VLOOKUP( "CMIX.GALAOLIG.a300.301sug", INDIRECT(LU_SENS), 2, FALSE ) +
VLOOKUP( "CMIX.ARABOLIG.a300.301sug", INDIRECT(LU_SENS), 2, FALSE )</f>
        <v>1942.9752421000001</v>
      </c>
      <c r="G99" s="107"/>
      <c r="H99" s="641"/>
      <c r="I99" s="656" t="s">
        <v>83</v>
      </c>
      <c r="J99" s="656" t="s">
        <v>231</v>
      </c>
      <c r="K99" s="1162" t="s">
        <v>536</v>
      </c>
      <c r="L99" s="308">
        <f t="shared" ref="L99:L110" ca="1" si="69">VLOOKUP(K99,INDIRECT(LU_SENS),2,FALSE)</f>
        <v>104166.667</v>
      </c>
      <c r="M99" s="308">
        <f t="shared" ref="M99:M110" ca="1" si="70">L99*2.205</f>
        <v>229687.50073500001</v>
      </c>
      <c r="N99" s="309">
        <f ca="1">Q93*100*(1-$K$139)</f>
        <v>4680.0000056159997</v>
      </c>
      <c r="O99" s="1308">
        <f>$J$34</f>
        <v>2007</v>
      </c>
      <c r="P99" s="310">
        <f ca="1">N99*VLOOKUP($J$34,INDIRECT(IX_CHEM),4,FALSE)/VLOOKUP(O99,INDIRECT(IX_CHEM),4,FALSE)</f>
        <v>4680.0000056159997</v>
      </c>
      <c r="Q99" s="311">
        <f ca="1">P99/100/2000</f>
        <v>2.3400000028079997E-2</v>
      </c>
      <c r="R99" s="312">
        <f ca="1">M99*Q99</f>
        <v>5374.6875236486248</v>
      </c>
      <c r="S99" s="313">
        <f ca="1">($R99*$J$93/1000000)</f>
        <v>45.179623323790345</v>
      </c>
      <c r="T99" s="313">
        <f ca="1">(S99*100)/$K$90</f>
        <v>4.9627406583714482</v>
      </c>
      <c r="U99" s="657" t="s">
        <v>1856</v>
      </c>
      <c r="V99" s="600"/>
      <c r="W99" s="578" t="s">
        <v>754</v>
      </c>
      <c r="X99" s="578" t="s">
        <v>755</v>
      </c>
      <c r="Y99" s="578" t="s">
        <v>756</v>
      </c>
      <c r="Z99" s="578" t="s">
        <v>200</v>
      </c>
      <c r="AA99" s="184" t="s">
        <v>757</v>
      </c>
      <c r="AB99" s="185" t="s">
        <v>1857</v>
      </c>
      <c r="AC99" s="600"/>
      <c r="AD99" s="437"/>
      <c r="AE99" s="437"/>
      <c r="AF99" s="437"/>
      <c r="AG99" s="437"/>
      <c r="AH99" s="437"/>
      <c r="AI99" s="437"/>
      <c r="AJ99" s="437"/>
      <c r="AK99" s="437"/>
      <c r="AL99" s="437"/>
      <c r="AM99" s="437"/>
      <c r="AN99" s="437"/>
      <c r="AO99" s="437"/>
      <c r="AP99" s="437"/>
      <c r="AQ99" s="437"/>
      <c r="AR99" s="437"/>
      <c r="AS99" s="641"/>
      <c r="AT99" s="448" t="str">
        <f>IF(CAPEX!A99&lt;&gt;"",CAPEX!A99,"")</f>
        <v>P</v>
      </c>
      <c r="AU99" s="1263">
        <f>IF(CAPEX!B99&lt;&gt;"",CAPEX!B99,"")</f>
        <v>410</v>
      </c>
      <c r="AV99" s="448" t="str">
        <f>IF(CAPEX!C99&lt;&gt;"",CAPEX!C99,"")</f>
        <v>Cellulase Feed Pump</v>
      </c>
      <c r="AW99" s="648" t="s">
        <v>990</v>
      </c>
      <c r="AX99" s="448" t="str">
        <f>IF(CAPEX!F99&lt;&gt;"",CAPEX!F99,"")</f>
        <v>Gear Pump</v>
      </c>
      <c r="AY99" s="1285">
        <f>IF(CAPEX!G99&lt;&gt;"",CAPEX!G99,"")</f>
        <v>1</v>
      </c>
      <c r="AZ99" s="448" t="str">
        <f>IF(CAPEX!H99&lt;&gt;"",CAPEX!H99,"")</f>
        <v>316SS</v>
      </c>
      <c r="BA99" s="1285">
        <f>IF(CAPEX!J99&lt;&gt;"",CAPEX!J99,"")</f>
        <v>1</v>
      </c>
      <c r="BB99" s="293">
        <f>CAPEX!K99</f>
        <v>1500</v>
      </c>
      <c r="BC99" s="1272">
        <f>IF(CAPEX!L99&lt;&gt;"",CAPEX!L99,"")</f>
        <v>2009</v>
      </c>
      <c r="BD99" s="905">
        <f>IF(CAPEX!M99&lt;&gt;"",CAPEX!M99,"")</f>
        <v>5700</v>
      </c>
      <c r="BE99" s="900" t="str">
        <f>IF(CAPEX!N99&lt;&gt;"",CAPEX!N99,"")</f>
        <v>strm.a400.422</v>
      </c>
      <c r="BF99" s="1295">
        <f>IF(CAPEX!O99&lt;&gt;"",CAPEX!O99,"")</f>
        <v>18168</v>
      </c>
      <c r="BG99" s="904" t="str">
        <f>IF(CAPEX!P99&lt;&gt;"",CAPEX!P99,"")</f>
        <v>kg/hr</v>
      </c>
      <c r="BH99" s="907">
        <f>IF(CAPEX!Q99&lt;&gt;"",CAPEX!Q99,"")</f>
        <v>0.8</v>
      </c>
      <c r="BI99" s="907">
        <f>IF(CAPEX!R99&lt;&gt;"",CAPEX!R99,"")</f>
        <v>2.2999999999999998</v>
      </c>
      <c r="BJ99" s="436">
        <f t="shared" ca="1" si="64"/>
        <v>13836.482900000001</v>
      </c>
      <c r="BK99" s="239">
        <f t="shared" ca="1" si="65"/>
        <v>0.76158536437692648</v>
      </c>
      <c r="BL99" s="238">
        <f t="shared" ca="1" si="66"/>
        <v>4584.0540242376665</v>
      </c>
      <c r="BM99" s="238">
        <f t="shared" ca="1" si="67"/>
        <v>4614.7959079027969</v>
      </c>
      <c r="BN99" s="238">
        <f t="shared" ca="1" si="68"/>
        <v>10614.030588176433</v>
      </c>
      <c r="BO99" s="608"/>
      <c r="BP99" s="437"/>
    </row>
    <row r="100" spans="1:68" ht="13.5" customHeight="1" thickBot="1" x14ac:dyDescent="0.25">
      <c r="A100" s="438" t="s">
        <v>472</v>
      </c>
      <c r="B100" s="25">
        <f ca="1">B71*(1-B88)</f>
        <v>2.4E-2</v>
      </c>
      <c r="C100" s="438"/>
      <c r="D100" s="438" t="s">
        <v>436</v>
      </c>
      <c r="E100" s="437"/>
      <c r="F100" s="107">
        <f ca="1">VLOOKUP("SOL301S",INDIRECT(LU_SENS),2,FALSE)-F98-F99</f>
        <v>17248.188535899993</v>
      </c>
      <c r="G100" s="438"/>
      <c r="H100" s="641"/>
      <c r="I100" s="463" t="s">
        <v>82</v>
      </c>
      <c r="J100" s="463" t="s">
        <v>1585</v>
      </c>
      <c r="K100" s="1163" t="s">
        <v>1858</v>
      </c>
      <c r="L100" s="314">
        <f t="shared" ca="1" si="69"/>
        <v>1980.6120000000003</v>
      </c>
      <c r="M100" s="314">
        <f t="shared" ca="1" si="70"/>
        <v>4367.2494600000009</v>
      </c>
      <c r="N100" s="315">
        <f>OPEX!G13</f>
        <v>9000</v>
      </c>
      <c r="O100" s="1309">
        <f>OPEX!H13</f>
        <v>2009</v>
      </c>
      <c r="P100" s="316">
        <f ca="1">N100*VLOOKUP($J$34,INDIRECT(IX_CHEM),4,FALSE)/VLOOKUP(O100,INDIRECT(IX_CHEM),4,FALSE)</f>
        <v>8142.8571428571431</v>
      </c>
      <c r="Q100" s="317">
        <f ca="1">P100/100/2000</f>
        <v>4.0714285714285717E-2</v>
      </c>
      <c r="R100" s="318">
        <f ca="1">M100*Q100</f>
        <v>177.80944230000006</v>
      </c>
      <c r="S100" s="319">
        <f ca="1">($R100*$J$93/1000000)</f>
        <v>1.4946661719738006</v>
      </c>
      <c r="T100" s="319">
        <f ca="1">(S100*100)/$K$90</f>
        <v>0.16418110724798507</v>
      </c>
      <c r="U100" s="470"/>
      <c r="V100" s="470"/>
      <c r="W100" s="417" t="s">
        <v>7</v>
      </c>
      <c r="X100" s="169">
        <f>OPEX!D42</f>
        <v>147000</v>
      </c>
      <c r="Y100" s="114">
        <f>OPEX!G42</f>
        <v>1</v>
      </c>
      <c r="Z100" s="114">
        <f t="shared" ref="Z100:Z109" si="71">Y100*X100</f>
        <v>147000</v>
      </c>
      <c r="AA100" s="169">
        <f>OPEX!E42</f>
        <v>2009</v>
      </c>
      <c r="AB100" s="114">
        <f t="shared" ref="AB100:AB109" ca="1" si="72">(Z100)*VLOOKUP($J$34,INDIRECT(IX_LABOR),4,FALSE)/VLOOKUP(AA100,INDIRECT(IX_LABOR),4,FALSE)</f>
        <v>141568.96551724136</v>
      </c>
      <c r="AC100" s="470"/>
      <c r="AD100" s="437"/>
      <c r="AE100" s="437"/>
      <c r="AF100" s="437"/>
      <c r="AG100" s="437"/>
      <c r="AH100" s="437"/>
      <c r="AI100" s="437"/>
      <c r="AJ100" s="437"/>
      <c r="AK100" s="437"/>
      <c r="AL100" s="437"/>
      <c r="AM100" s="437"/>
      <c r="AN100" s="437"/>
      <c r="AO100" s="437"/>
      <c r="AP100" s="437"/>
      <c r="AQ100" s="437"/>
      <c r="AR100" s="437"/>
      <c r="AS100" s="641"/>
      <c r="AT100" s="448" t="str">
        <f>IF(CAPEX!A100&lt;&gt;"",CAPEX!A100,"")</f>
        <v>P</v>
      </c>
      <c r="AU100" s="1263">
        <f>IF(CAPEX!B100&lt;&gt;"",CAPEX!B100,"")</f>
        <v>420</v>
      </c>
      <c r="AV100" s="448" t="str">
        <f>IF(CAPEX!C100&lt;&gt;"",CAPEX!C100,"")</f>
        <v>Anti-foam Pump</v>
      </c>
      <c r="AW100" s="648" t="s">
        <v>990</v>
      </c>
      <c r="AX100" s="448" t="str">
        <f>IF(CAPEX!F100&lt;&gt;"",CAPEX!F100,"")</f>
        <v>Gear Pump 2 GPM, 100 FT</v>
      </c>
      <c r="AY100" s="1285">
        <f>IF(CAPEX!G100&lt;&gt;"",CAPEX!G100,"")</f>
        <v>1</v>
      </c>
      <c r="AZ100" s="448" t="str">
        <f>IF(CAPEX!H100&lt;&gt;"",CAPEX!H100,"")</f>
        <v>316SS</v>
      </c>
      <c r="BA100" s="1285">
        <f>IF(CAPEX!J100&lt;&gt;"",CAPEX!J100,"")</f>
        <v>1</v>
      </c>
      <c r="BB100" s="293">
        <f>CAPEX!K100</f>
        <v>1500</v>
      </c>
      <c r="BC100" s="1272">
        <f>IF(CAPEX!L100&lt;&gt;"",CAPEX!L100,"")</f>
        <v>2009</v>
      </c>
      <c r="BD100" s="905">
        <f>IF(CAPEX!M100&lt;&gt;"",CAPEX!M100,"")</f>
        <v>1500</v>
      </c>
      <c r="BE100" s="900" t="str">
        <f>IF(CAPEX!N100&lt;&gt;"",CAPEX!N100,"")</f>
        <v>strm.a400.444</v>
      </c>
      <c r="BF100" s="1294">
        <f>IF(CAPEX!O100&lt;&gt;"",CAPEX!O100,"")</f>
        <v>10.6</v>
      </c>
      <c r="BG100" s="908" t="str">
        <f>IF(CAPEX!P100&lt;&gt;"",CAPEX!P100,"")</f>
        <v>kg/hr</v>
      </c>
      <c r="BH100" s="907">
        <f>IF(CAPEX!Q100&lt;&gt;"",CAPEX!Q100,"")</f>
        <v>0.8</v>
      </c>
      <c r="BI100" s="907">
        <f>IF(CAPEX!R100&lt;&gt;"",CAPEX!R100,"")</f>
        <v>2.2999999999999998</v>
      </c>
      <c r="BJ100" s="436">
        <f t="shared" ca="1" si="64"/>
        <v>13.357530000000001</v>
      </c>
      <c r="BK100" s="239">
        <f t="shared" ca="1" si="65"/>
        <v>1.2601443396226415</v>
      </c>
      <c r="BL100" s="238">
        <f t="shared" ca="1" si="66"/>
        <v>1804.7933971753921</v>
      </c>
      <c r="BM100" s="238">
        <f t="shared" ca="1" si="67"/>
        <v>1816.8968209924335</v>
      </c>
      <c r="BN100" s="238">
        <f t="shared" ca="1" si="68"/>
        <v>4178.8626882825965</v>
      </c>
      <c r="BO100" s="608"/>
      <c r="BP100" s="437"/>
    </row>
    <row r="101" spans="1:68" ht="13.5" customHeight="1" thickBot="1" x14ac:dyDescent="0.25">
      <c r="A101" s="438" t="s">
        <v>473</v>
      </c>
      <c r="B101" s="25">
        <f ca="1">B72+B88*B71</f>
        <v>0.9</v>
      </c>
      <c r="C101" s="438"/>
      <c r="D101" s="438"/>
      <c r="E101" s="437"/>
      <c r="F101" s="107"/>
      <c r="G101" s="107"/>
      <c r="H101" s="641"/>
      <c r="I101" s="463" t="s">
        <v>429</v>
      </c>
      <c r="J101" s="463" t="s">
        <v>431</v>
      </c>
      <c r="K101" s="1164" t="s">
        <v>1105</v>
      </c>
      <c r="L101" s="314">
        <f t="shared" ca="1" si="69"/>
        <v>1050.60419</v>
      </c>
      <c r="M101" s="314">
        <f t="shared" ca="1" si="70"/>
        <v>2316.5822389499999</v>
      </c>
      <c r="N101" s="315">
        <f>OPEX!G14</f>
        <v>45000</v>
      </c>
      <c r="O101" s="1309">
        <f>OPEX!H14</f>
        <v>2009</v>
      </c>
      <c r="P101" s="316">
        <f ca="1">N101*VLOOKUP($J$34,INDIRECT(IX_CHEM),4,FALSE)/VLOOKUP(O101,INDIRECT(IX_CHEM),4,FALSE)</f>
        <v>40714.285714285717</v>
      </c>
      <c r="Q101" s="317">
        <f ca="1">P101/100/2000</f>
        <v>0.20357142857142857</v>
      </c>
      <c r="R101" s="318">
        <f ca="1">M101*Q101</f>
        <v>471.58995578624996</v>
      </c>
      <c r="S101" s="319">
        <f ca="1">($R101*$J$93/1000000)</f>
        <v>3.9641851683392173</v>
      </c>
      <c r="T101" s="319">
        <f ca="1">(S101*100)/$K$90</f>
        <v>0.43544459791612999</v>
      </c>
      <c r="U101" s="470"/>
      <c r="V101" s="470"/>
      <c r="W101" s="417" t="s">
        <v>8</v>
      </c>
      <c r="X101" s="169">
        <f>OPEX!D43</f>
        <v>70000</v>
      </c>
      <c r="Y101" s="114">
        <f>OPEX!G43</f>
        <v>2</v>
      </c>
      <c r="Z101" s="114">
        <f t="shared" si="71"/>
        <v>140000</v>
      </c>
      <c r="AA101" s="169">
        <f>OPEX!E43</f>
        <v>2009</v>
      </c>
      <c r="AB101" s="114">
        <f t="shared" ca="1" si="72"/>
        <v>134827.58620689655</v>
      </c>
      <c r="AC101" s="470"/>
      <c r="AD101" s="437"/>
      <c r="AE101" s="437"/>
      <c r="AF101" s="437"/>
      <c r="AG101" s="437"/>
      <c r="AH101" s="437"/>
      <c r="AI101" s="437"/>
      <c r="AJ101" s="437"/>
      <c r="AK101" s="437"/>
      <c r="AL101" s="437"/>
      <c r="AM101" s="437"/>
      <c r="AN101" s="437"/>
      <c r="AO101" s="437"/>
      <c r="AP101" s="437"/>
      <c r="AQ101" s="437"/>
      <c r="AR101" s="437"/>
      <c r="AS101" s="641"/>
      <c r="AT101" s="448" t="str">
        <f>IF(CAPEX!A101&lt;&gt;"",CAPEX!A101,"")</f>
        <v>T</v>
      </c>
      <c r="AU101" s="1263">
        <f>IF(CAPEX!B101&lt;&gt;"",CAPEX!B101,"")</f>
        <v>401</v>
      </c>
      <c r="AV101" s="448" t="str">
        <f>IF(CAPEX!C101&lt;&gt;"",CAPEX!C101,"")</f>
        <v>SO2 Storage Tank</v>
      </c>
      <c r="AW101" s="648" t="s">
        <v>1665</v>
      </c>
      <c r="AX101" s="448" t="str">
        <f>IF(CAPEX!F101&lt;&gt;"",CAPEX!F101,"")</f>
        <v>1 ton cylinders, incl w/ delivery</v>
      </c>
      <c r="AY101" s="1285" t="str">
        <f>IF(CAPEX!G101&lt;&gt;"",CAPEX!G101,"")</f>
        <v/>
      </c>
      <c r="AZ101" s="448" t="str">
        <f>IF(CAPEX!H101&lt;&gt;"",CAPEX!H101,"")</f>
        <v>SS304</v>
      </c>
      <c r="BA101" s="1285">
        <f>IF(CAPEX!J101&lt;&gt;"",CAPEX!J101,"")</f>
        <v>1</v>
      </c>
      <c r="BB101" s="293">
        <f>CAPEX!K101</f>
        <v>0</v>
      </c>
      <c r="BC101" s="1273" t="str">
        <f>IF(CAPEX!L101&lt;&gt;"",CAPEX!L101,"")</f>
        <v/>
      </c>
      <c r="BD101" s="902" t="str">
        <f>IF(CAPEX!M101&lt;&gt;"",CAPEX!M101,"")</f>
        <v/>
      </c>
      <c r="BE101" s="902" t="str">
        <f>IF(CAPEX!N101&lt;&gt;"",CAPEX!N101,"")</f>
        <v/>
      </c>
      <c r="BF101" s="1291" t="str">
        <f>IF(CAPEX!O101&lt;&gt;"",CAPEX!O101,"")</f>
        <v/>
      </c>
      <c r="BG101" s="901" t="str">
        <f>IF(CAPEX!P101&lt;&gt;"",CAPEX!P101,"")</f>
        <v/>
      </c>
      <c r="BH101" s="903" t="str">
        <f>IF(CAPEX!Q101&lt;&gt;"",CAPEX!Q101,"")</f>
        <v/>
      </c>
      <c r="BI101" s="903" t="str">
        <f>IF(CAPEX!R101&lt;&gt;"",CAPEX!R101,"")</f>
        <v/>
      </c>
      <c r="BJ101" s="436"/>
      <c r="BK101" s="249"/>
      <c r="BL101" s="249"/>
      <c r="BM101" s="249"/>
      <c r="BN101" s="249"/>
      <c r="BO101" s="608"/>
      <c r="BP101" s="437"/>
    </row>
    <row r="102" spans="1:68" ht="13.5" customHeight="1" thickBot="1" x14ac:dyDescent="0.25">
      <c r="A102" s="438" t="s">
        <v>474</v>
      </c>
      <c r="B102" s="25">
        <f ca="1">VLOOKUP("PRETRX11",INDIRECT(LU_SENS),2,FALSE)</f>
        <v>0.05</v>
      </c>
      <c r="C102" s="438"/>
      <c r="D102" s="652" t="s">
        <v>2601</v>
      </c>
      <c r="E102" s="652"/>
      <c r="F102" s="653"/>
      <c r="G102" s="653"/>
      <c r="H102" s="641"/>
      <c r="I102" s="464"/>
      <c r="J102" s="658" t="s">
        <v>758</v>
      </c>
      <c r="K102" s="1165" t="s">
        <v>1098</v>
      </c>
      <c r="L102" s="320">
        <f t="shared" ca="1" si="69"/>
        <v>1.0000000000000001E-5</v>
      </c>
      <c r="M102" s="320">
        <f t="shared" ca="1" si="70"/>
        <v>2.2050000000000004E-5</v>
      </c>
      <c r="N102" s="1116">
        <f ca="1">IF(L102&gt;0.00001,1/(J93/(K90*1000000)*M102/2000/M93)*100,0)</f>
        <v>0</v>
      </c>
      <c r="O102" s="1310">
        <f>$J$34</f>
        <v>2007</v>
      </c>
      <c r="P102" s="322"/>
      <c r="Q102" s="323"/>
      <c r="R102" s="324"/>
      <c r="S102" s="325"/>
      <c r="T102" s="325"/>
      <c r="U102" s="470"/>
      <c r="V102" s="470"/>
      <c r="W102" s="417" t="s">
        <v>9</v>
      </c>
      <c r="X102" s="169">
        <f>OPEX!D44</f>
        <v>57000</v>
      </c>
      <c r="Y102" s="114">
        <f>OPEX!G44</f>
        <v>1</v>
      </c>
      <c r="Z102" s="114">
        <f t="shared" si="71"/>
        <v>57000</v>
      </c>
      <c r="AA102" s="169">
        <f>OPEX!E44</f>
        <v>2009</v>
      </c>
      <c r="AB102" s="114">
        <f t="shared" ca="1" si="72"/>
        <v>54894.088669950739</v>
      </c>
      <c r="AC102" s="470"/>
      <c r="AD102" s="437"/>
      <c r="AE102" s="437"/>
      <c r="AF102" s="437"/>
      <c r="AG102" s="437"/>
      <c r="AH102" s="437"/>
      <c r="AI102" s="437"/>
      <c r="AJ102" s="437"/>
      <c r="AK102" s="437"/>
      <c r="AL102" s="437"/>
      <c r="AM102" s="437"/>
      <c r="AN102" s="437"/>
      <c r="AO102" s="437"/>
      <c r="AP102" s="437"/>
      <c r="AQ102" s="437"/>
      <c r="AR102" s="437"/>
      <c r="AS102" s="641"/>
      <c r="AT102" s="448" t="str">
        <f>IF(CAPEX!A102&lt;&gt;"",CAPEX!A102,"")</f>
        <v>T</v>
      </c>
      <c r="AU102" s="1263">
        <f>IF(CAPEX!B102&lt;&gt;"",CAPEX!B102,"")</f>
        <v>405</v>
      </c>
      <c r="AV102" s="448" t="str">
        <f>IF(CAPEX!C102&lt;&gt;"",CAPEX!C102,"")</f>
        <v>Media-Prep Tank</v>
      </c>
      <c r="AW102" s="648" t="s">
        <v>891</v>
      </c>
      <c r="AX102" s="448" t="str">
        <f>IF(CAPEX!F102&lt;&gt;"",CAPEX!F102,"")</f>
        <v>20,000 gallon, incl. coil</v>
      </c>
      <c r="AY102" s="1285" t="str">
        <f>IF(CAPEX!G102&lt;&gt;"",CAPEX!G102,"")</f>
        <v/>
      </c>
      <c r="AZ102" s="448" t="str">
        <f>IF(CAPEX!H102&lt;&gt;"",CAPEX!H102,"")</f>
        <v>304SS</v>
      </c>
      <c r="BA102" s="1285">
        <f>IF(CAPEX!J102&lt;&gt;"",CAPEX!J102,"")</f>
        <v>1</v>
      </c>
      <c r="BB102" s="293">
        <f>CAPEX!K102</f>
        <v>176000</v>
      </c>
      <c r="BC102" s="1272">
        <f>IF(CAPEX!L102&lt;&gt;"",CAPEX!L102,"")</f>
        <v>2009</v>
      </c>
      <c r="BD102" s="905">
        <f>IF(CAPEX!M102&lt;&gt;"",CAPEX!M102,"")</f>
        <v>176000</v>
      </c>
      <c r="BE102" s="900" t="str">
        <f>IF(CAPEX!N102&lt;&gt;"",CAPEX!N102,"")</f>
        <v>strm.a400.402</v>
      </c>
      <c r="BF102" s="1294">
        <f>IF(CAPEX!O102&lt;&gt;"",CAPEX!O102,"")</f>
        <v>12255</v>
      </c>
      <c r="BG102" s="908" t="str">
        <f>IF(CAPEX!P102&lt;&gt;"",CAPEX!P102,"")</f>
        <v>kg/hr</v>
      </c>
      <c r="BH102" s="907">
        <f>IF(CAPEX!Q102&lt;&gt;"",CAPEX!Q102,"")</f>
        <v>0.7</v>
      </c>
      <c r="BI102" s="907">
        <f>IF(CAPEX!R102&lt;&gt;"",CAPEX!R102,"")</f>
        <v>1.8</v>
      </c>
      <c r="BJ102" s="436">
        <f ca="1">IF(BE102&lt;&gt;"",VLOOKUP(BE102,INDIRECT(LU_SENS),2,FALSE),"")</f>
        <v>15801.260699999999</v>
      </c>
      <c r="BK102" s="239">
        <f ca="1">BJ102/BF102</f>
        <v>1.2893725581395348</v>
      </c>
      <c r="BL102" s="238">
        <f ca="1">BD102*BK102^BH102</f>
        <v>210270.12060335118</v>
      </c>
      <c r="BM102" s="238">
        <f ca="1">BL102*VLOOKUP($J$34,INDIRECT(IX_CAP),4,FALSE)/VLOOKUP(BC102,INDIRECT(IX_CAP),4,FALSE)</f>
        <v>211680.24787315715</v>
      </c>
      <c r="BN102" s="238">
        <f ca="1">BM102*BI102</f>
        <v>381024.44617168285</v>
      </c>
      <c r="BO102" s="608"/>
      <c r="BP102" s="437"/>
    </row>
    <row r="103" spans="1:68" ht="13.5" customHeight="1" thickBot="1" x14ac:dyDescent="0.25">
      <c r="A103" s="438" t="s">
        <v>475</v>
      </c>
      <c r="B103" s="25">
        <f ca="1">B74*(1-B90)</f>
        <v>2.4E-2</v>
      </c>
      <c r="C103" s="438"/>
      <c r="D103" s="438" t="s">
        <v>2600</v>
      </c>
      <c r="E103" s="437"/>
      <c r="F103" s="1127">
        <f ca="1">SUM(K149:K153)/F98</f>
        <v>0.98549988989102544</v>
      </c>
      <c r="G103" s="107"/>
      <c r="H103" s="641"/>
      <c r="I103" s="464"/>
      <c r="J103" s="659" t="s">
        <v>1074</v>
      </c>
      <c r="K103" s="1166" t="s">
        <v>721</v>
      </c>
      <c r="L103" s="320">
        <f t="shared" ca="1" si="69"/>
        <v>2417.9653600000001</v>
      </c>
      <c r="M103" s="320">
        <f t="shared" ca="1" si="70"/>
        <v>5331.6136188</v>
      </c>
      <c r="N103" s="321">
        <f>OPEX!G19</f>
        <v>58220</v>
      </c>
      <c r="O103" s="1311">
        <f>OPEX!H19</f>
        <v>2009</v>
      </c>
      <c r="P103" s="322">
        <f t="shared" ref="P103:P111" ca="1" si="73">N103*VLOOKUP($J$34,INDIRECT(IX_CHEM),4,FALSE)/VLOOKUP(O103,INDIRECT(IX_CHEM),4,FALSE)</f>
        <v>52675.238095238099</v>
      </c>
      <c r="Q103" s="323">
        <f t="shared" ref="Q103:Q110" ca="1" si="74">P103/100/2000</f>
        <v>0.26337619047619054</v>
      </c>
      <c r="R103" s="324">
        <f t="shared" ref="R103:R110" ca="1" si="75">M103*Q103</f>
        <v>1404.2200840105204</v>
      </c>
      <c r="S103" s="325">
        <f t="shared" ref="S103:S111" ca="1" si="76">($R103*$J$93/1000000)</f>
        <v>11.803874026192434</v>
      </c>
      <c r="T103" s="325">
        <f t="shared" ref="T103:T111" ca="1" si="77">(S103*100)/$K$90</f>
        <v>1.2965926062786248</v>
      </c>
      <c r="U103" s="470"/>
      <c r="V103" s="470"/>
      <c r="W103" s="417" t="s">
        <v>13</v>
      </c>
      <c r="X103" s="169">
        <f>OPEX!D45</f>
        <v>40000</v>
      </c>
      <c r="Y103" s="114">
        <f>OPEX!G45</f>
        <v>12</v>
      </c>
      <c r="Z103" s="114">
        <f t="shared" si="71"/>
        <v>480000</v>
      </c>
      <c r="AA103" s="169">
        <f>OPEX!E45</f>
        <v>2009</v>
      </c>
      <c r="AB103" s="114">
        <f t="shared" ca="1" si="72"/>
        <v>462266.00985221675</v>
      </c>
      <c r="AC103" s="470"/>
      <c r="AD103" s="437"/>
      <c r="AE103" s="437"/>
      <c r="AF103" s="437"/>
      <c r="AG103" s="437"/>
      <c r="AH103" s="437"/>
      <c r="AI103" s="437"/>
      <c r="AJ103" s="437"/>
      <c r="AK103" s="437"/>
      <c r="AL103" s="437"/>
      <c r="AM103" s="437"/>
      <c r="AN103" s="437"/>
      <c r="AO103" s="437"/>
      <c r="AP103" s="437"/>
      <c r="AQ103" s="437"/>
      <c r="AR103" s="437"/>
      <c r="AS103" s="641"/>
      <c r="AT103" s="448" t="str">
        <f>IF(CAPEX!A103&lt;&gt;"",CAPEX!A103,"")</f>
        <v>T</v>
      </c>
      <c r="AU103" s="1263">
        <f>IF(CAPEX!B103&lt;&gt;"",CAPEX!B103,"")</f>
        <v>406</v>
      </c>
      <c r="AV103" s="448" t="str">
        <f>IF(CAPEX!C103&lt;&gt;"",CAPEX!C103,"")</f>
        <v>Cellulase Nutrient Mix Tank</v>
      </c>
      <c r="AW103" s="648" t="s">
        <v>1669</v>
      </c>
      <c r="AX103" s="448" t="str">
        <f>IF(CAPEX!F103&lt;&gt;"",CAPEX!F103,"")</f>
        <v>HDPE, 8,000 gal</v>
      </c>
      <c r="AY103" s="1285" t="str">
        <f>IF(CAPEX!G103&lt;&gt;"",CAPEX!G103,"")</f>
        <v/>
      </c>
      <c r="AZ103" s="448" t="str">
        <f>IF(CAPEX!H103&lt;&gt;"",CAPEX!H103,"")</f>
        <v>HDPE</v>
      </c>
      <c r="BA103" s="1285">
        <f>IF(CAPEX!J103&lt;&gt;"",CAPEX!J103,"")</f>
        <v>1</v>
      </c>
      <c r="BB103" s="293">
        <f>CAPEX!K103</f>
        <v>9000</v>
      </c>
      <c r="BC103" s="1272">
        <f>IF(CAPEX!L103&lt;&gt;"",CAPEX!L103,"")</f>
        <v>2010</v>
      </c>
      <c r="BD103" s="905">
        <f>IF(CAPEX!M103&lt;&gt;"",CAPEX!M103,"")</f>
        <v>9000</v>
      </c>
      <c r="BE103" s="900" t="str">
        <f>IF(CAPEX!N103&lt;&gt;"",CAPEX!N103,"")</f>
        <v>strm.a400.416</v>
      </c>
      <c r="BF103" s="1294">
        <f>IF(CAPEX!O103&lt;&gt;"",CAPEX!O103,"")</f>
        <v>224</v>
      </c>
      <c r="BG103" s="908" t="str">
        <f>IF(CAPEX!P103&lt;&gt;"",CAPEX!P103,"")</f>
        <v>kg/hr</v>
      </c>
      <c r="BH103" s="907">
        <f>IF(CAPEX!Q103&lt;&gt;"",CAPEX!Q103,"")</f>
        <v>0.7</v>
      </c>
      <c r="BI103" s="907">
        <f>IF(CAPEX!R103&lt;&gt;"",CAPEX!R103,"")</f>
        <v>3</v>
      </c>
      <c r="BJ103" s="436">
        <f ca="1">IF(BE103&lt;&gt;"",VLOOKUP(BE103,INDIRECT(LU_SENS),2,FALSE),"")</f>
        <v>223.984489</v>
      </c>
      <c r="BK103" s="239">
        <f ca="1">BJ103/BF103</f>
        <v>0.9999307544642857</v>
      </c>
      <c r="BL103" s="238">
        <f ca="1">BD103*BK103^BH103</f>
        <v>8999.5637485936422</v>
      </c>
      <c r="BM103" s="238">
        <f ca="1">BL103*VLOOKUP($J$34,INDIRECT(IX_CAP),4,FALSE)/VLOOKUP(BC103,INDIRECT(IX_CAP),4,FALSE)</f>
        <v>8584.5511864762157</v>
      </c>
      <c r="BN103" s="238">
        <f ca="1">BM103*BI103</f>
        <v>25753.653559428647</v>
      </c>
      <c r="BO103" s="608"/>
      <c r="BP103" s="437"/>
    </row>
    <row r="104" spans="1:68" ht="13.5" customHeight="1" x14ac:dyDescent="0.2">
      <c r="A104" s="438" t="s">
        <v>476</v>
      </c>
      <c r="B104" s="25">
        <f ca="1">B75+B90*B74</f>
        <v>0.9</v>
      </c>
      <c r="C104" s="438"/>
      <c r="D104" s="438" t="s">
        <v>3396</v>
      </c>
      <c r="E104" s="437"/>
      <c r="F104" s="107"/>
      <c r="G104" s="107"/>
      <c r="H104" s="641"/>
      <c r="I104" s="464"/>
      <c r="J104" s="659" t="s">
        <v>78</v>
      </c>
      <c r="K104" s="1166" t="s">
        <v>797</v>
      </c>
      <c r="L104" s="320">
        <f t="shared" ca="1" si="69"/>
        <v>164.492718</v>
      </c>
      <c r="M104" s="320">
        <f t="shared" ca="1" si="70"/>
        <v>362.70644319000002</v>
      </c>
      <c r="N104" s="321">
        <f>OPEX!G20</f>
        <v>5700</v>
      </c>
      <c r="O104" s="1311">
        <f>OPEX!H20</f>
        <v>2009</v>
      </c>
      <c r="P104" s="322">
        <f t="shared" ca="1" si="73"/>
        <v>5157.1428571428578</v>
      </c>
      <c r="Q104" s="323">
        <f t="shared" ca="1" si="74"/>
        <v>2.5785714285714287E-2</v>
      </c>
      <c r="R104" s="324">
        <f t="shared" ca="1" si="75"/>
        <v>9.3526447136850006</v>
      </c>
      <c r="S104" s="325">
        <f t="shared" ca="1" si="76"/>
        <v>7.8618331463236116E-2</v>
      </c>
      <c r="T104" s="325">
        <f t="shared" ca="1" si="77"/>
        <v>8.6358044034527473E-3</v>
      </c>
      <c r="U104" s="470"/>
      <c r="V104" s="470"/>
      <c r="W104" s="417" t="s">
        <v>10</v>
      </c>
      <c r="X104" s="169">
        <f>OPEX!D46</f>
        <v>56000</v>
      </c>
      <c r="Y104" s="114">
        <f>OPEX!G46</f>
        <v>1</v>
      </c>
      <c r="Z104" s="114">
        <f t="shared" si="71"/>
        <v>56000</v>
      </c>
      <c r="AA104" s="169">
        <f>OPEX!E46</f>
        <v>2009</v>
      </c>
      <c r="AB104" s="114">
        <f t="shared" ca="1" si="72"/>
        <v>53931.034482758616</v>
      </c>
      <c r="AC104" s="470"/>
      <c r="AD104" s="437"/>
      <c r="AE104" s="437"/>
      <c r="AF104" s="437"/>
      <c r="AG104" s="437"/>
      <c r="AH104" s="437"/>
      <c r="AI104" s="437"/>
      <c r="AJ104" s="437"/>
      <c r="AK104" s="437"/>
      <c r="AL104" s="437"/>
      <c r="AM104" s="437"/>
      <c r="AN104" s="437"/>
      <c r="AO104" s="437"/>
      <c r="AP104" s="437"/>
      <c r="AQ104" s="437"/>
      <c r="AR104" s="437"/>
      <c r="AS104" s="641"/>
      <c r="AT104" s="448" t="str">
        <f>IF(CAPEX!A104&lt;&gt;"",CAPEX!A104,"")</f>
        <v>T</v>
      </c>
      <c r="AU104" s="1263">
        <f>IF(CAPEX!B104&lt;&gt;"",CAPEX!B104,"")</f>
        <v>410</v>
      </c>
      <c r="AV104" s="448" t="str">
        <f>IF(CAPEX!C104&lt;&gt;"",CAPEX!C104,"")</f>
        <v>Cellulase Hold Tank</v>
      </c>
      <c r="AW104" s="648" t="s">
        <v>891</v>
      </c>
      <c r="AX104" s="448" t="str">
        <f>IF(CAPEX!F104&lt;&gt;"",CAPEX!F104,"")</f>
        <v>80,000 gal</v>
      </c>
      <c r="AY104" s="1285" t="str">
        <f>IF(CAPEX!G104&lt;&gt;"",CAPEX!G104,"")</f>
        <v/>
      </c>
      <c r="AZ104" s="448" t="str">
        <f>IF(CAPEX!H104&lt;&gt;"",CAPEX!H104,"")</f>
        <v>304SS</v>
      </c>
      <c r="BA104" s="1285">
        <f>IF(CAPEX!J104&lt;&gt;"",CAPEX!J104,"")</f>
        <v>1</v>
      </c>
      <c r="BB104" s="293">
        <f>CAPEX!K104</f>
        <v>248069.86171544748</v>
      </c>
      <c r="BC104" s="1272">
        <f>IF(CAPEX!L104&lt;&gt;"",CAPEX!L104,"")</f>
        <v>2009</v>
      </c>
      <c r="BD104" s="905">
        <f>IF(CAPEX!M104&lt;&gt;"",CAPEX!M104,"")</f>
        <v>248069.86171544748</v>
      </c>
      <c r="BE104" s="900" t="str">
        <f>IF(CAPEX!N104&lt;&gt;"",CAPEX!N104,"")</f>
        <v>strm.a400.422</v>
      </c>
      <c r="BF104" s="1294">
        <f>IF(CAPEX!O104&lt;&gt;"",CAPEX!O104,"")</f>
        <v>10930</v>
      </c>
      <c r="BG104" s="908" t="str">
        <f>IF(CAPEX!P104&lt;&gt;"",CAPEX!P104,"")</f>
        <v>kg/hr</v>
      </c>
      <c r="BH104" s="907">
        <f>IF(CAPEX!Q104&lt;&gt;"",CAPEX!Q104,"")</f>
        <v>0.7</v>
      </c>
      <c r="BI104" s="907">
        <f>IF(CAPEX!R104&lt;&gt;"",CAPEX!R104,"")</f>
        <v>1.8</v>
      </c>
      <c r="BJ104" s="436">
        <f ca="1">IF(BE104&lt;&gt;"",VLOOKUP(BE104,INDIRECT(LU_SENS),2,FALSE),"")</f>
        <v>13836.482900000001</v>
      </c>
      <c r="BK104" s="239">
        <f ca="1">BJ104/BF104</f>
        <v>1.265917923147301</v>
      </c>
      <c r="BL104" s="238">
        <f ca="1">BD104*BK104^BH104</f>
        <v>292588.92862414051</v>
      </c>
      <c r="BM104" s="238">
        <f ca="1">BL104*VLOOKUP($J$34,INDIRECT(IX_CAP),4,FALSE)/VLOOKUP(BC104,INDIRECT(IX_CAP),4,FALSE)</f>
        <v>294551.10768178466</v>
      </c>
      <c r="BN104" s="238">
        <f ca="1">BM104*BI104</f>
        <v>530191.99382721237</v>
      </c>
      <c r="BO104" s="615"/>
      <c r="BP104" s="437"/>
    </row>
    <row r="105" spans="1:68" ht="13.5" customHeight="1" thickBot="1" x14ac:dyDescent="0.25">
      <c r="A105" s="438" t="s">
        <v>477</v>
      </c>
      <c r="B105" s="25">
        <f ca="1">VLOOKUP("PRETRX14",INDIRECT(LU_SENS),2,FALSE)</f>
        <v>0.05</v>
      </c>
      <c r="C105" s="438"/>
      <c r="D105" s="438"/>
      <c r="E105" s="437" t="s">
        <v>1074</v>
      </c>
      <c r="F105" s="663">
        <f ca="1">K151*1000/K158</f>
        <v>276.13771571577735</v>
      </c>
      <c r="G105" s="107"/>
      <c r="H105" s="641"/>
      <c r="I105" s="464"/>
      <c r="J105" s="659" t="s">
        <v>431</v>
      </c>
      <c r="K105" s="1167" t="s">
        <v>798</v>
      </c>
      <c r="L105" s="320">
        <f t="shared" ca="1" si="69"/>
        <v>114.97313300000002</v>
      </c>
      <c r="M105" s="320">
        <f t="shared" ca="1" si="70"/>
        <v>253.51575826500004</v>
      </c>
      <c r="N105" s="321">
        <f>OPEX!G21</f>
        <v>45000</v>
      </c>
      <c r="O105" s="1311">
        <f>OPEX!H21</f>
        <v>2009</v>
      </c>
      <c r="P105" s="322">
        <f t="shared" ca="1" si="73"/>
        <v>40714.285714285717</v>
      </c>
      <c r="Q105" s="323">
        <f t="shared" ca="1" si="74"/>
        <v>0.20357142857142857</v>
      </c>
      <c r="R105" s="324">
        <f t="shared" ca="1" si="75"/>
        <v>51.608565075375012</v>
      </c>
      <c r="S105" s="325">
        <f t="shared" ca="1" si="76"/>
        <v>0.43382159802360232</v>
      </c>
      <c r="T105" s="325">
        <f t="shared" ca="1" si="77"/>
        <v>4.7652988772434603E-2</v>
      </c>
      <c r="U105" s="470"/>
      <c r="V105" s="470"/>
      <c r="W105" s="417" t="s">
        <v>12</v>
      </c>
      <c r="X105" s="169">
        <f>OPEX!D47</f>
        <v>40000</v>
      </c>
      <c r="Y105" s="114">
        <f>OPEX!G47</f>
        <v>2</v>
      </c>
      <c r="Z105" s="114">
        <f t="shared" si="71"/>
        <v>80000</v>
      </c>
      <c r="AA105" s="169">
        <f>OPEX!E47</f>
        <v>2009</v>
      </c>
      <c r="AB105" s="114">
        <f t="shared" ca="1" si="72"/>
        <v>77044.334975369449</v>
      </c>
      <c r="AC105" s="470"/>
      <c r="AD105" s="437"/>
      <c r="AE105" s="437"/>
      <c r="AF105" s="437"/>
      <c r="AG105" s="437"/>
      <c r="AH105" s="437"/>
      <c r="AI105" s="437"/>
      <c r="AJ105" s="437"/>
      <c r="AK105" s="437"/>
      <c r="AL105" s="437"/>
      <c r="AM105" s="437"/>
      <c r="AN105" s="437"/>
      <c r="AO105" s="437"/>
      <c r="AP105" s="437"/>
      <c r="AQ105" s="437"/>
      <c r="AR105" s="437"/>
      <c r="AS105" s="641"/>
      <c r="AT105" s="222"/>
      <c r="AU105" s="1266"/>
      <c r="AV105" s="423"/>
      <c r="AW105" s="613"/>
      <c r="AX105" s="614"/>
      <c r="AY105" s="1304"/>
      <c r="AZ105" s="423"/>
      <c r="BA105" s="1286"/>
      <c r="BB105" s="224"/>
      <c r="BC105" s="1277"/>
      <c r="BD105" s="243">
        <f>SUM(BD81:BD104)</f>
        <v>2133475.8617154476</v>
      </c>
      <c r="BE105" s="433"/>
      <c r="BF105" s="1298"/>
      <c r="BG105" s="432"/>
      <c r="BH105" s="457"/>
      <c r="BI105" s="469"/>
      <c r="BJ105" s="460"/>
      <c r="BK105" s="428"/>
      <c r="BL105" s="243">
        <f ca="1">SUM(BL81:BL104)</f>
        <v>10889084.458329877</v>
      </c>
      <c r="BM105" s="243">
        <f ca="1">SUM(BM81:BM104)</f>
        <v>10959069.248795323</v>
      </c>
      <c r="BN105" s="244">
        <f ca="1">SUM(BN81:BN104)</f>
        <v>18736263.375360578</v>
      </c>
      <c r="BO105" s="615"/>
      <c r="BP105" s="437"/>
    </row>
    <row r="106" spans="1:68" ht="13.5" customHeight="1" thickBot="1" x14ac:dyDescent="0.25">
      <c r="A106" s="438" t="s">
        <v>478</v>
      </c>
      <c r="B106" s="25">
        <f ca="1">B77*(1-B89)</f>
        <v>2.4E-2</v>
      </c>
      <c r="C106" s="438"/>
      <c r="D106" s="438"/>
      <c r="E106" s="437" t="s">
        <v>1794</v>
      </c>
      <c r="F106" s="663">
        <f ca="1">K153*1000/K158</f>
        <v>153.24873474833109</v>
      </c>
      <c r="G106" s="107"/>
      <c r="H106" s="641"/>
      <c r="I106" s="464"/>
      <c r="J106" s="659" t="s">
        <v>799</v>
      </c>
      <c r="K106" s="1167" t="s">
        <v>800</v>
      </c>
      <c r="L106" s="320">
        <f t="shared" ca="1" si="69"/>
        <v>67.351979200000002</v>
      </c>
      <c r="M106" s="320">
        <f t="shared" ca="1" si="70"/>
        <v>148.511114136</v>
      </c>
      <c r="N106" s="321">
        <f>OPEX!G22</f>
        <v>74530</v>
      </c>
      <c r="O106" s="1311">
        <f>OPEX!H22</f>
        <v>2007</v>
      </c>
      <c r="P106" s="322">
        <f t="shared" ca="1" si="73"/>
        <v>74530</v>
      </c>
      <c r="Q106" s="323">
        <f t="shared" ca="1" si="74"/>
        <v>0.37264999999999998</v>
      </c>
      <c r="R106" s="324">
        <f t="shared" ca="1" si="75"/>
        <v>55.342666682780397</v>
      </c>
      <c r="S106" s="325">
        <f t="shared" ca="1" si="76"/>
        <v>0.46521045613545203</v>
      </c>
      <c r="T106" s="325">
        <f t="shared" ca="1" si="77"/>
        <v>5.1100887424779105E-2</v>
      </c>
      <c r="U106" s="470"/>
      <c r="V106" s="470"/>
      <c r="W106" s="417" t="s">
        <v>2583</v>
      </c>
      <c r="X106" s="169">
        <f>OPEX!D48</f>
        <v>40000</v>
      </c>
      <c r="Y106" s="114">
        <f>OPEX!G48</f>
        <v>2</v>
      </c>
      <c r="Z106" s="114">
        <f t="shared" si="71"/>
        <v>80000</v>
      </c>
      <c r="AA106" s="169">
        <f>OPEX!E48</f>
        <v>2009</v>
      </c>
      <c r="AB106" s="114">
        <f t="shared" ca="1" si="72"/>
        <v>77044.334975369449</v>
      </c>
      <c r="AD106" s="437"/>
      <c r="AE106" s="437"/>
      <c r="AF106" s="437"/>
      <c r="AG106" s="437"/>
      <c r="AH106" s="437"/>
      <c r="AI106" s="437"/>
      <c r="AJ106" s="437"/>
      <c r="AK106" s="437"/>
      <c r="AL106" s="437"/>
      <c r="AM106" s="437"/>
      <c r="AN106" s="437"/>
      <c r="AO106" s="437"/>
      <c r="AP106" s="437"/>
      <c r="AQ106" s="437"/>
      <c r="AR106" s="437"/>
      <c r="AS106" s="641"/>
      <c r="AT106" s="448" t="str">
        <f>IF(CAPEX!A106&lt;&gt;"",CAPEX!A106,"")</f>
        <v>A</v>
      </c>
      <c r="AU106" s="1263">
        <f>IF(CAPEX!B106&lt;&gt;"",CAPEX!B106,"")</f>
        <v>530</v>
      </c>
      <c r="AV106" s="448" t="str">
        <f>IF(CAPEX!C106&lt;&gt;"",CAPEX!C106,"")</f>
        <v>Filtrate Tank Agitator</v>
      </c>
      <c r="AW106" s="648" t="s">
        <v>989</v>
      </c>
      <c r="AX106" s="448" t="str">
        <f>IF(CAPEX!F106&lt;&gt;"",CAPEX!F106,"")</f>
        <v/>
      </c>
      <c r="AY106" s="1285" t="str">
        <f>IF(CAPEX!G106&lt;&gt;"",CAPEX!G106,"")</f>
        <v>7.5 hp</v>
      </c>
      <c r="AZ106" s="448" t="str">
        <f>IF(CAPEX!H106&lt;&gt;"",CAPEX!H106,"")</f>
        <v>SS</v>
      </c>
      <c r="BA106" s="1285">
        <f>IF(CAPEX!J106&lt;&gt;"",CAPEX!J106,"")</f>
        <v>1</v>
      </c>
      <c r="BB106" s="293">
        <f>CAPEX!K106</f>
        <v>26000</v>
      </c>
      <c r="BC106" s="1272">
        <f>IF(CAPEX!L106&lt;&gt;"",CAPEX!L106,"")</f>
        <v>2009</v>
      </c>
      <c r="BD106" s="912">
        <v>0</v>
      </c>
      <c r="BE106" s="900" t="s">
        <v>3445</v>
      </c>
      <c r="BF106" s="1294">
        <f>IF(CAPEX!O106&lt;&gt;"",CAPEX!O106,"")</f>
        <v>337439</v>
      </c>
      <c r="BG106" s="908" t="str">
        <f>IF(CAPEX!P106&lt;&gt;"",CAPEX!P106,"")</f>
        <v>kg/hr</v>
      </c>
      <c r="BH106" s="907">
        <f>IF(CAPEX!Q106&lt;&gt;"",CAPEX!Q106,"")</f>
        <v>0.5</v>
      </c>
      <c r="BI106" s="907">
        <f>IF(CAPEX!R106&lt;&gt;"",CAPEX!R106,"")</f>
        <v>1.5</v>
      </c>
      <c r="BJ106" s="436">
        <f ca="1">IF(BE106&lt;&gt;"",VLOOKUP(BE106,INDIRECT(LU_SENS),2,FALSE),"")</f>
        <v>416465.397</v>
      </c>
      <c r="BK106" s="239">
        <f ca="1">BJ106/BF106</f>
        <v>1.2341946159157655</v>
      </c>
      <c r="BL106" s="238">
        <f ca="1">BD106*BK106^BH106</f>
        <v>0</v>
      </c>
      <c r="BM106" s="238">
        <f ca="1">BL106*VLOOKUP($J$34,INDIRECT(IX_CAP),4,FALSE)/VLOOKUP(BC106,INDIRECT(IX_CAP),4,FALSE)</f>
        <v>0</v>
      </c>
      <c r="BN106" s="238">
        <f ca="1">BM106*BI106</f>
        <v>0</v>
      </c>
      <c r="BO106" s="615"/>
      <c r="BP106" s="437"/>
    </row>
    <row r="107" spans="1:68" ht="13.5" customHeight="1" thickBot="1" x14ac:dyDescent="0.25">
      <c r="A107" s="438" t="s">
        <v>479</v>
      </c>
      <c r="B107" s="25">
        <f ca="1">B78+B89*B77</f>
        <v>0.9</v>
      </c>
      <c r="C107" s="438"/>
      <c r="D107" s="438"/>
      <c r="E107" s="437" t="s">
        <v>2126</v>
      </c>
      <c r="F107" s="663">
        <f ca="1">K149*1000/K158</f>
        <v>18.675473051091391</v>
      </c>
      <c r="G107" s="107"/>
      <c r="H107" s="641"/>
      <c r="I107" s="464"/>
      <c r="J107" s="659" t="s">
        <v>801</v>
      </c>
      <c r="K107" s="1167" t="s">
        <v>802</v>
      </c>
      <c r="L107" s="320">
        <f t="shared" ca="1" si="69"/>
        <v>16.4154968</v>
      </c>
      <c r="M107" s="320">
        <f t="shared" ca="1" si="70"/>
        <v>36.196170444000003</v>
      </c>
      <c r="N107" s="321">
        <f>OPEX!G23</f>
        <v>25400</v>
      </c>
      <c r="O107" s="1311">
        <f>OPEX!H23</f>
        <v>2005</v>
      </c>
      <c r="P107" s="322">
        <f t="shared" ca="1" si="73"/>
        <v>27569.781099839827</v>
      </c>
      <c r="Q107" s="323">
        <f t="shared" ca="1" si="74"/>
        <v>0.13784890549919912</v>
      </c>
      <c r="R107" s="324">
        <f t="shared" ca="1" si="75"/>
        <v>4.9896024789678606</v>
      </c>
      <c r="S107" s="325">
        <f t="shared" ca="1" si="76"/>
        <v>4.1942598438203839E-2</v>
      </c>
      <c r="T107" s="325">
        <f t="shared" ca="1" si="77"/>
        <v>4.6071707392348884E-3</v>
      </c>
      <c r="U107" s="470"/>
      <c r="V107" s="470"/>
      <c r="W107" s="417" t="s">
        <v>11</v>
      </c>
      <c r="X107" s="169">
        <f>OPEX!D49</f>
        <v>48000</v>
      </c>
      <c r="Y107" s="114">
        <f>OPEX!G49</f>
        <v>4</v>
      </c>
      <c r="Z107" s="114">
        <f t="shared" si="71"/>
        <v>192000</v>
      </c>
      <c r="AA107" s="169">
        <f>OPEX!E49</f>
        <v>2009</v>
      </c>
      <c r="AB107" s="114">
        <f t="shared" ca="1" si="72"/>
        <v>184906.4039408867</v>
      </c>
      <c r="AC107" s="470"/>
      <c r="AD107" s="437"/>
      <c r="AE107" s="437"/>
      <c r="AF107" s="437"/>
      <c r="AG107" s="437"/>
      <c r="AH107" s="437"/>
      <c r="AI107" s="437"/>
      <c r="AJ107" s="437"/>
      <c r="AK107" s="437"/>
      <c r="AL107" s="437"/>
      <c r="AM107" s="437"/>
      <c r="AN107" s="437"/>
      <c r="AO107" s="437"/>
      <c r="AP107" s="437"/>
      <c r="AQ107" s="437"/>
      <c r="AR107" s="437"/>
      <c r="AS107" s="641"/>
      <c r="AT107" s="448" t="str">
        <f>IF(CAPEX!A107&lt;&gt;"",CAPEX!A107,"")</f>
        <v>C</v>
      </c>
      <c r="AU107" s="1263">
        <f>IF(CAPEX!B107&lt;&gt;"",CAPEX!B107,"")</f>
        <v>501</v>
      </c>
      <c r="AV107" s="448" t="str">
        <f>IF(CAPEX!C107&lt;&gt;"",CAPEX!C107,"")</f>
        <v>Lignin Wet Cake Conveyor</v>
      </c>
      <c r="AW107" s="648" t="s">
        <v>961</v>
      </c>
      <c r="AX107" s="448" t="str">
        <f>IF(CAPEX!F107&lt;&gt;"",CAPEX!F107,"")</f>
        <v>Belt 100 ft. long x 24" wide, enclosed</v>
      </c>
      <c r="AY107" s="1285">
        <f>IF(CAPEX!G107&lt;&gt;"",CAPEX!G107,"")</f>
        <v>10</v>
      </c>
      <c r="AZ107" s="448" t="str">
        <f>IF(CAPEX!H107&lt;&gt;"",CAPEX!H107,"")</f>
        <v>SS304</v>
      </c>
      <c r="BA107" s="1285">
        <f>IF(CAPEX!J107&lt;&gt;"",CAPEX!J107,"")</f>
        <v>1</v>
      </c>
      <c r="BB107" s="293">
        <f>CAPEX!K107</f>
        <v>70000</v>
      </c>
      <c r="BC107" s="1272">
        <f>IF(CAPEX!L107&lt;&gt;"",CAPEX!L107,"")</f>
        <v>2009</v>
      </c>
      <c r="BD107" s="905">
        <f>IF(CAPEX!M107&lt;&gt;"",CAPEX!M107,"")</f>
        <v>70000</v>
      </c>
      <c r="BE107" s="900" t="s">
        <v>3441</v>
      </c>
      <c r="BF107" s="1294">
        <f>IF(CAPEX!O107&lt;&gt;"",CAPEX!O107,"")</f>
        <v>28630</v>
      </c>
      <c r="BG107" s="908" t="str">
        <f>IF(CAPEX!P107&lt;&gt;"",CAPEX!P107,"")</f>
        <v>kg/hr</v>
      </c>
      <c r="BH107" s="907">
        <f>IF(CAPEX!Q107&lt;&gt;"",CAPEX!Q107,"")</f>
        <v>0.8</v>
      </c>
      <c r="BI107" s="907">
        <f>IF(CAPEX!R107&lt;&gt;"",CAPEX!R107,"")</f>
        <v>1.7</v>
      </c>
      <c r="BJ107" s="436">
        <f ca="1">IF(BE107&lt;&gt;"",VLOOKUP(BE107,INDIRECT(LU_SENS),2,FALSE),"")</f>
        <v>39530.811800000003</v>
      </c>
      <c r="BK107" s="239">
        <f ca="1">BJ107/BF107</f>
        <v>1.3807478798463151</v>
      </c>
      <c r="BL107" s="238">
        <f ca="1">BD107*BK107^BH107</f>
        <v>90612.799461556177</v>
      </c>
      <c r="BM107" s="238">
        <f ca="1">BL107*VLOOKUP($J$34,INDIRECT(IX_CAP),4,FALSE)/VLOOKUP(BC107,INDIRECT(IX_CAP),4,FALSE)</f>
        <v>91220.472958615865</v>
      </c>
      <c r="BN107" s="238">
        <f ca="1">BM107*BI107</f>
        <v>155074.80402964697</v>
      </c>
      <c r="BO107" s="615"/>
      <c r="BP107" s="437"/>
    </row>
    <row r="108" spans="1:68" ht="13.5" customHeight="1" thickBot="1" x14ac:dyDescent="0.25">
      <c r="A108" s="438" t="s">
        <v>480</v>
      </c>
      <c r="B108" s="25">
        <f ca="1">VLOOKUP("PRETRX17",INDIRECT(LU_SENS),2,FALSE)</f>
        <v>0.05</v>
      </c>
      <c r="C108" s="438"/>
      <c r="D108" s="438"/>
      <c r="E108" s="437" t="s">
        <v>2127</v>
      </c>
      <c r="F108" s="663">
        <f ca="1">K152*1000/K158</f>
        <v>4.6035142687137913</v>
      </c>
      <c r="G108" s="118"/>
      <c r="H108" s="641"/>
      <c r="I108" s="465" t="s">
        <v>85</v>
      </c>
      <c r="J108" s="465" t="s">
        <v>1859</v>
      </c>
      <c r="K108" s="1168" t="s">
        <v>581</v>
      </c>
      <c r="L108" s="326">
        <f t="shared" ca="1" si="69"/>
        <v>0.24903522299999997</v>
      </c>
      <c r="M108" s="326">
        <f t="shared" ca="1" si="70"/>
        <v>0.54912266671499999</v>
      </c>
      <c r="N108" s="327">
        <f>OPEX!G25</f>
        <v>280000</v>
      </c>
      <c r="O108" s="1312">
        <f>OPEX!H25</f>
        <v>1991</v>
      </c>
      <c r="P108" s="328">
        <f t="shared" ca="1" si="73"/>
        <v>453216.56050955417</v>
      </c>
      <c r="Q108" s="329">
        <f t="shared" ca="1" si="74"/>
        <v>2.2660828025477708</v>
      </c>
      <c r="R108" s="330">
        <f t="shared" ca="1" si="75"/>
        <v>1.2443574315320327</v>
      </c>
      <c r="S108" s="331">
        <f t="shared" ca="1" si="76"/>
        <v>1.0460068569458266E-2</v>
      </c>
      <c r="T108" s="331">
        <f t="shared" ca="1" si="77"/>
        <v>1.1489827439900128E-3</v>
      </c>
      <c r="U108" s="571"/>
      <c r="V108" s="470"/>
      <c r="W108" s="417" t="s">
        <v>14</v>
      </c>
      <c r="X108" s="169">
        <f>OPEX!D50</f>
        <v>40000</v>
      </c>
      <c r="Y108" s="114">
        <f>OPEX!G50</f>
        <v>20</v>
      </c>
      <c r="Z108" s="114">
        <f t="shared" si="71"/>
        <v>800000</v>
      </c>
      <c r="AA108" s="169">
        <f>OPEX!E50</f>
        <v>2009</v>
      </c>
      <c r="AB108" s="114">
        <f t="shared" ca="1" si="72"/>
        <v>770443.34975369461</v>
      </c>
      <c r="AC108" s="470"/>
      <c r="AD108" s="437"/>
      <c r="AE108" s="437"/>
      <c r="AF108" s="437"/>
      <c r="AG108" s="437"/>
      <c r="AH108" s="437"/>
      <c r="AI108" s="437"/>
      <c r="AJ108" s="437"/>
      <c r="AK108" s="437"/>
      <c r="AL108" s="437"/>
      <c r="AM108" s="437"/>
      <c r="AN108" s="437"/>
      <c r="AO108" s="437"/>
      <c r="AP108" s="437"/>
      <c r="AQ108" s="437"/>
      <c r="AR108" s="437"/>
      <c r="AS108" s="641"/>
      <c r="AT108" s="448" t="str">
        <f>IF(CAPEX!A108&lt;&gt;"",CAPEX!A108,"")</f>
        <v>C</v>
      </c>
      <c r="AU108" s="1263">
        <f>IF(CAPEX!B108&lt;&gt;"",CAPEX!B108,"")</f>
        <v>502</v>
      </c>
      <c r="AV108" s="448" t="str">
        <f>IF(CAPEX!C108&lt;&gt;"",CAPEX!C108,"")</f>
        <v>Lignin Wet Cake Screw</v>
      </c>
      <c r="AW108" s="648" t="s">
        <v>961</v>
      </c>
      <c r="AX108" s="448" t="str">
        <f>IF(CAPEX!F108&lt;&gt;"",CAPEX!F108,"")</f>
        <v>Screw conveyor - 25 ft lg x 14" dia</v>
      </c>
      <c r="AY108" s="1285">
        <f>IF(CAPEX!G108&lt;&gt;"",CAPEX!G108,"")</f>
        <v>15</v>
      </c>
      <c r="AZ108" s="448" t="str">
        <f>IF(CAPEX!H108&lt;&gt;"",CAPEX!H108,"")</f>
        <v>SS304</v>
      </c>
      <c r="BA108" s="1285">
        <f>IF(CAPEX!J108&lt;&gt;"",CAPEX!J108,"")</f>
        <v>1</v>
      </c>
      <c r="BB108" s="293">
        <f>CAPEX!K108</f>
        <v>20000</v>
      </c>
      <c r="BC108" s="1272">
        <f>IF(CAPEX!L108&lt;&gt;"",CAPEX!L108,"")</f>
        <v>2009</v>
      </c>
      <c r="BD108" s="905">
        <f>IF(CAPEX!M108&lt;&gt;"",CAPEX!M108,"")</f>
        <v>20000</v>
      </c>
      <c r="BE108" s="900" t="s">
        <v>3441</v>
      </c>
      <c r="BF108" s="1294">
        <f>IF(CAPEX!O108&lt;&gt;"",CAPEX!O108,"")</f>
        <v>28630</v>
      </c>
      <c r="BG108" s="908" t="str">
        <f>IF(CAPEX!P108&lt;&gt;"",CAPEX!P108,"")</f>
        <v>kg/hr</v>
      </c>
      <c r="BH108" s="907">
        <f>IF(CAPEX!Q108&lt;&gt;"",CAPEX!Q108,"")</f>
        <v>0.8</v>
      </c>
      <c r="BI108" s="907">
        <f>IF(CAPEX!R108&lt;&gt;"",CAPEX!R108,"")</f>
        <v>1.7</v>
      </c>
      <c r="BJ108" s="436">
        <f ca="1">IF(BE108&lt;&gt;"",VLOOKUP(BE108,INDIRECT(LU_SENS),2,FALSE),"")</f>
        <v>39530.811800000003</v>
      </c>
      <c r="BK108" s="239">
        <f ca="1">BJ108/BF108</f>
        <v>1.3807478798463151</v>
      </c>
      <c r="BL108" s="238">
        <f ca="1">BD108*BK108^BH108</f>
        <v>25889.371274730336</v>
      </c>
      <c r="BM108" s="238">
        <f ca="1">BL108*VLOOKUP($J$34,INDIRECT(IX_CAP),4,FALSE)/VLOOKUP(BC108,INDIRECT(IX_CAP),4,FALSE)</f>
        <v>26062.992273890242</v>
      </c>
      <c r="BN108" s="238">
        <f ca="1">BM108*BI108</f>
        <v>44307.086865613412</v>
      </c>
      <c r="BO108" s="615"/>
      <c r="BP108" s="437"/>
    </row>
    <row r="109" spans="1:68" ht="13.5" customHeight="1" thickBot="1" x14ac:dyDescent="0.25">
      <c r="A109" s="438" t="s">
        <v>481</v>
      </c>
      <c r="B109" s="25">
        <f ca="1">VLOOKUP("PRETRX18",INDIRECT(LU_SENS),2,FALSE)</f>
        <v>0</v>
      </c>
      <c r="C109" s="438"/>
      <c r="E109" s="437" t="s">
        <v>2128</v>
      </c>
      <c r="F109" s="663">
        <f ca="1">K150*1000/K158</f>
        <v>10.971708976742276</v>
      </c>
      <c r="H109" s="641"/>
      <c r="I109" s="466" t="s">
        <v>86</v>
      </c>
      <c r="J109" s="466" t="s">
        <v>1860</v>
      </c>
      <c r="K109" s="1169" t="s">
        <v>582</v>
      </c>
      <c r="L109" s="332">
        <f t="shared" ca="1" si="69"/>
        <v>2.2213445599999999</v>
      </c>
      <c r="M109" s="332">
        <f t="shared" ca="1" si="70"/>
        <v>4.8980647548</v>
      </c>
      <c r="N109" s="333">
        <f>OPEX!G28</f>
        <v>200000</v>
      </c>
      <c r="O109" s="1313">
        <f>OPEX!H28</f>
        <v>1999</v>
      </c>
      <c r="P109" s="334">
        <f t="shared" ca="1" si="73"/>
        <v>271609.88643954578</v>
      </c>
      <c r="Q109" s="335">
        <f t="shared" ca="1" si="74"/>
        <v>1.358049432197729</v>
      </c>
      <c r="R109" s="336">
        <f t="shared" ca="1" si="75"/>
        <v>6.6518140591238488</v>
      </c>
      <c r="S109" s="337">
        <f t="shared" ca="1" si="76"/>
        <v>5.5915148980995075E-2</v>
      </c>
      <c r="T109" s="337">
        <f t="shared" ca="1" si="77"/>
        <v>6.1419808943108485E-3</v>
      </c>
      <c r="U109" s="470"/>
      <c r="V109" s="470"/>
      <c r="W109" s="417" t="s">
        <v>2584</v>
      </c>
      <c r="X109" s="169">
        <f>OPEX!D51</f>
        <v>40000</v>
      </c>
      <c r="Y109" s="114">
        <f>OPEX!G51</f>
        <v>8</v>
      </c>
      <c r="Z109" s="114">
        <f t="shared" si="71"/>
        <v>320000</v>
      </c>
      <c r="AA109" s="169">
        <f>OPEX!E51</f>
        <v>2009</v>
      </c>
      <c r="AB109" s="114">
        <f t="shared" ca="1" si="72"/>
        <v>308177.3399014778</v>
      </c>
      <c r="AD109" s="437"/>
      <c r="AE109" s="437"/>
      <c r="AF109" s="437"/>
      <c r="AG109" s="437"/>
      <c r="AH109" s="437"/>
      <c r="AI109" s="437"/>
      <c r="AJ109" s="437"/>
      <c r="AK109" s="437"/>
      <c r="AL109" s="437"/>
      <c r="AM109" s="437"/>
      <c r="AN109" s="437"/>
      <c r="AO109" s="437"/>
      <c r="AP109" s="437"/>
      <c r="AQ109" s="437"/>
      <c r="AR109" s="437"/>
      <c r="AS109" s="641"/>
      <c r="AT109" s="448" t="str">
        <f>IF(CAPEX!A109&lt;&gt;"",CAPEX!A109,"")</f>
        <v>D</v>
      </c>
      <c r="AU109" s="1263">
        <f>IF(CAPEX!B109&lt;&gt;"",CAPEX!B109,"")</f>
        <v>501</v>
      </c>
      <c r="AV109" s="448" t="str">
        <f>IF(CAPEX!C109&lt;&gt;"",CAPEX!C109,"")</f>
        <v>Beer Column</v>
      </c>
      <c r="AW109" s="648" t="s">
        <v>1018</v>
      </c>
      <c r="AX109" s="448" t="str">
        <f>IF(CAPEX!F109&lt;&gt;"",CAPEX!F109,"")</f>
        <v>14' dia. x 76' tall, 32 trays, 24" spacing</v>
      </c>
      <c r="AY109" s="1285" t="str">
        <f>IF(CAPEX!G109&lt;&gt;"",CAPEX!G109,"")</f>
        <v/>
      </c>
      <c r="AZ109" s="448" t="str">
        <f>IF(CAPEX!H109&lt;&gt;"",CAPEX!H109,"")</f>
        <v>316SS</v>
      </c>
      <c r="BA109" s="1285">
        <f>IF(CAPEX!J109&lt;&gt;"",CAPEX!J109,"")</f>
        <v>1</v>
      </c>
      <c r="BB109" s="293">
        <f>CAPEX!K109</f>
        <v>3407000</v>
      </c>
      <c r="BC109" s="1272">
        <f>IF(CAPEX!L109&lt;&gt;"",CAPEX!L109,"")</f>
        <v>2009</v>
      </c>
      <c r="BD109" s="912">
        <v>0</v>
      </c>
      <c r="BE109" s="900" t="str">
        <f>IF(CAPEX!N109&lt;&gt;"",CAPEX!N109,"")</f>
        <v>strm.a500.511</v>
      </c>
      <c r="BF109" s="1294">
        <f>IF(CAPEX!O109&lt;&gt;"",CAPEX!O109,"")</f>
        <v>30379</v>
      </c>
      <c r="BG109" s="908" t="str">
        <f>IF(CAPEX!P109&lt;&gt;"",CAPEX!P109,"")</f>
        <v>kg/hr</v>
      </c>
      <c r="BH109" s="907">
        <f>IF(CAPEX!Q109&lt;&gt;"",CAPEX!Q109,"")</f>
        <v>0.6</v>
      </c>
      <c r="BI109" s="907">
        <f>IF(CAPEX!R109&lt;&gt;"",CAPEX!R109,"")</f>
        <v>2.4</v>
      </c>
      <c r="BJ109" s="436">
        <f ca="1">IF(BE109&lt;&gt;"",VLOOKUP(BE109,INDIRECT(LU_SENS),2,FALSE),"")</f>
        <v>29168.800400000004</v>
      </c>
      <c r="BK109" s="239">
        <f ca="1">BJ109/BF109</f>
        <v>0.96016328384739469</v>
      </c>
      <c r="BL109" s="238">
        <f ca="1">BD109*BK109^BH109</f>
        <v>0</v>
      </c>
      <c r="BM109" s="238">
        <f ca="1">BL109*VLOOKUP($J$34,INDIRECT(IX_CAP),4,FALSE)/VLOOKUP(BC109,INDIRECT(IX_CAP),4,FALSE)</f>
        <v>0</v>
      </c>
      <c r="BN109" s="238">
        <f ca="1">BM109*BI109</f>
        <v>0</v>
      </c>
      <c r="BO109" s="615"/>
      <c r="BP109" s="437"/>
    </row>
    <row r="110" spans="1:68" ht="13.5" customHeight="1" thickBot="1" x14ac:dyDescent="0.25">
      <c r="A110" s="438" t="s">
        <v>482</v>
      </c>
      <c r="B110" s="25">
        <f ca="1">VLOOKUP("PRETRX19",INDIRECT(LU_SENS),2,FALSE)</f>
        <v>0</v>
      </c>
      <c r="C110" s="438"/>
      <c r="E110" s="437" t="s">
        <v>200</v>
      </c>
      <c r="F110" s="663">
        <f ca="1">SUM(F105:F109)</f>
        <v>463.63714676065587</v>
      </c>
      <c r="H110" s="641"/>
      <c r="I110" s="466" t="s">
        <v>84</v>
      </c>
      <c r="J110" s="466" t="s">
        <v>290</v>
      </c>
      <c r="K110" s="1169" t="s">
        <v>664</v>
      </c>
      <c r="L110" s="332">
        <f t="shared" ca="1" si="69"/>
        <v>147722.20199999999</v>
      </c>
      <c r="M110" s="332">
        <f t="shared" ca="1" si="70"/>
        <v>325727.45541</v>
      </c>
      <c r="N110" s="333">
        <f>OPEX!G29</f>
        <v>19.97</v>
      </c>
      <c r="O110" s="1313">
        <f>OPEX!H29</f>
        <v>2004</v>
      </c>
      <c r="P110" s="334">
        <f t="shared" ca="1" si="73"/>
        <v>23.494797453703701</v>
      </c>
      <c r="Q110" s="335">
        <f t="shared" ca="1" si="74"/>
        <v>1.174739872685185E-4</v>
      </c>
      <c r="R110" s="336">
        <f t="shared" ca="1" si="75"/>
        <v>38.264502949841265</v>
      </c>
      <c r="S110" s="337">
        <f t="shared" ca="1" si="76"/>
        <v>0.32165141179636569</v>
      </c>
      <c r="T110" s="337">
        <f t="shared" ca="1" si="77"/>
        <v>3.5331692070656298E-2</v>
      </c>
      <c r="U110" s="470"/>
      <c r="V110" s="470"/>
      <c r="W110" s="417" t="s">
        <v>15</v>
      </c>
      <c r="X110" s="169">
        <f>OPEX!D52</f>
        <v>28000</v>
      </c>
      <c r="Y110" s="114">
        <f>OPEX!G52</f>
        <v>4</v>
      </c>
      <c r="Z110" s="114">
        <f>Y110*X110</f>
        <v>112000</v>
      </c>
      <c r="AA110" s="169">
        <f>OPEX!E52</f>
        <v>2009</v>
      </c>
      <c r="AB110" s="114">
        <f ca="1">(Z110)*VLOOKUP($J$34,INDIRECT(IX_LABOR),4,FALSE)/VLOOKUP(AA110,INDIRECT(IX_LABOR),4,FALSE)</f>
        <v>107862.06896551723</v>
      </c>
      <c r="AC110" s="470"/>
      <c r="AD110" s="437"/>
      <c r="AE110" s="437"/>
      <c r="AF110" s="437"/>
      <c r="AG110" s="437"/>
      <c r="AH110" s="437"/>
      <c r="AI110" s="437"/>
      <c r="AJ110" s="437"/>
      <c r="AK110" s="437"/>
      <c r="AL110" s="437"/>
      <c r="AM110" s="437"/>
      <c r="AN110" s="437"/>
      <c r="AO110" s="437"/>
      <c r="AP110" s="437"/>
      <c r="AQ110" s="437"/>
      <c r="AR110" s="437"/>
      <c r="AS110" s="641"/>
      <c r="AT110" s="448" t="str">
        <f>IF(CAPEX!A110&lt;&gt;"",CAPEX!A110,"")</f>
        <v>D</v>
      </c>
      <c r="AU110" s="1263">
        <f>IF(CAPEX!B110&lt;&gt;"",CAPEX!B110,"")</f>
        <v>502</v>
      </c>
      <c r="AV110" s="448" t="str">
        <f>IF(CAPEX!C110&lt;&gt;"",CAPEX!C110,"")</f>
        <v>Rectification Column</v>
      </c>
      <c r="AW110" s="648" t="s">
        <v>1018</v>
      </c>
      <c r="AX110" s="448" t="str">
        <f>IF(CAPEX!F110&lt;&gt;"",CAPEX!F110,"")</f>
        <v>Top 13' dia. x 68' h, Bottom 4'6" x 31' h</v>
      </c>
      <c r="AY110" s="1285" t="str">
        <f>IF(CAPEX!G110&lt;&gt;"",CAPEX!G110,"")</f>
        <v/>
      </c>
      <c r="AZ110" s="448" t="str">
        <f>IF(CAPEX!H110&lt;&gt;"",CAPEX!H110,"")</f>
        <v>316SS</v>
      </c>
      <c r="BA110" s="1285">
        <f>IF(CAPEX!J110&lt;&gt;"",CAPEX!J110,"")</f>
        <v>1</v>
      </c>
      <c r="BB110" s="293" t="str">
        <f>CAPEX!K110</f>
        <v>INCLUDED</v>
      </c>
      <c r="BC110" s="1273" t="str">
        <f>IF(CAPEX!L110&lt;&gt;"",CAPEX!L110,"")</f>
        <v/>
      </c>
      <c r="BD110" s="902" t="str">
        <f>IF(CAPEX!M110&lt;&gt;"",CAPEX!M110,"")</f>
        <v/>
      </c>
      <c r="BE110" s="902" t="str">
        <f>IF(CAPEX!N110&lt;&gt;"",CAPEX!N110,"")</f>
        <v/>
      </c>
      <c r="BF110" s="1291" t="str">
        <f>IF(CAPEX!O110&lt;&gt;"",CAPEX!O110,"")</f>
        <v/>
      </c>
      <c r="BG110" s="901" t="str">
        <f>IF(CAPEX!P110&lt;&gt;"",CAPEX!P110,"")</f>
        <v/>
      </c>
      <c r="BH110" s="903" t="str">
        <f>IF(CAPEX!Q110&lt;&gt;"",CAPEX!Q110,"")</f>
        <v/>
      </c>
      <c r="BI110" s="903" t="str">
        <f>IF(CAPEX!R110&lt;&gt;"",CAPEX!R110,"")</f>
        <v/>
      </c>
      <c r="BJ110" s="436"/>
      <c r="BK110" s="249"/>
      <c r="BL110" s="249"/>
      <c r="BM110" s="249"/>
      <c r="BN110" s="249"/>
      <c r="BO110" s="615"/>
      <c r="BP110" s="437"/>
    </row>
    <row r="111" spans="1:68" ht="13.5" customHeight="1" thickBot="1" x14ac:dyDescent="0.25">
      <c r="A111" s="438" t="s">
        <v>483</v>
      </c>
      <c r="B111" s="25">
        <f ca="1">VLOOKUP("PRETRX20",INDIRECT(LU_SENS),2,FALSE)</f>
        <v>1</v>
      </c>
      <c r="C111" s="438"/>
      <c r="H111" s="641"/>
      <c r="I111" s="466"/>
      <c r="J111" s="1307" t="s">
        <v>2978</v>
      </c>
      <c r="K111" s="1169" t="s">
        <v>2980</v>
      </c>
      <c r="L111" s="332">
        <f ca="1">IF(L6="Concentrated sugars",VLOOKUP(K111,INDIRECT(LU_SENS),2,FALSE),0)</f>
        <v>339.44647099999997</v>
      </c>
      <c r="M111" s="332" t="s">
        <v>2979</v>
      </c>
      <c r="N111" s="333">
        <f>7.68/1000/1089*1000000*100</f>
        <v>705.23415977961429</v>
      </c>
      <c r="O111" s="1314">
        <v>2007</v>
      </c>
      <c r="P111" s="334">
        <f t="shared" ca="1" si="73"/>
        <v>705.23415977961429</v>
      </c>
      <c r="Q111" s="335">
        <f ca="1">P111/100</f>
        <v>7.0523415977961426</v>
      </c>
      <c r="R111" s="336">
        <f ca="1">Q111*L111</f>
        <v>2393.892467658402</v>
      </c>
      <c r="S111" s="337">
        <f t="shared" ca="1" si="76"/>
        <v>20.123060083136529</v>
      </c>
      <c r="T111" s="337">
        <f t="shared" ca="1" si="77"/>
        <v>2.21041082458177</v>
      </c>
      <c r="U111" s="470"/>
      <c r="V111" s="470"/>
      <c r="W111" s="418" t="s">
        <v>20</v>
      </c>
      <c r="X111" s="216">
        <f>OPEX!D53</f>
        <v>36000</v>
      </c>
      <c r="Y111" s="171">
        <f>OPEX!G53</f>
        <v>3</v>
      </c>
      <c r="Z111" s="171">
        <f>Y111*X111</f>
        <v>108000</v>
      </c>
      <c r="AA111" s="216">
        <f>OPEX!E53</f>
        <v>2009</v>
      </c>
      <c r="AB111" s="114">
        <f ca="1">(Z111)*VLOOKUP($J$34,INDIRECT(IX_LABOR),4,FALSE)/VLOOKUP(AA111,INDIRECT(IX_LABOR),4,FALSE)</f>
        <v>104009.85221674877</v>
      </c>
      <c r="AC111" s="470"/>
      <c r="AD111" s="437"/>
      <c r="AE111" s="437"/>
      <c r="AF111" s="437"/>
      <c r="AG111" s="437"/>
      <c r="AH111" s="437"/>
      <c r="AI111" s="437"/>
      <c r="AJ111" s="437"/>
      <c r="AK111" s="437"/>
      <c r="AL111" s="437"/>
      <c r="AM111" s="437"/>
      <c r="AN111" s="437"/>
      <c r="AO111" s="437"/>
      <c r="AP111" s="437"/>
      <c r="AQ111" s="437"/>
      <c r="AR111" s="437"/>
      <c r="AS111" s="641"/>
      <c r="AT111" s="448" t="str">
        <f>IF(CAPEX!A111&lt;&gt;"",CAPEX!A111,"")</f>
        <v>H</v>
      </c>
      <c r="AU111" s="1263">
        <f>IF(CAPEX!B111&lt;&gt;"",CAPEX!B111,"")</f>
        <v>501</v>
      </c>
      <c r="AV111" s="448" t="str">
        <f>IF(CAPEX!C111&lt;&gt;"",CAPEX!C111,"")</f>
        <v>Beer Column Reboiler</v>
      </c>
      <c r="AW111" s="648" t="s">
        <v>1018</v>
      </c>
      <c r="AX111" s="448" t="str">
        <f>IF(CAPEX!F111&lt;&gt;"",CAPEX!F111,"")</f>
        <v>S &amp; T</v>
      </c>
      <c r="AY111" s="1285" t="str">
        <f>IF(CAPEX!G111&lt;&gt;"",CAPEX!G111,"")</f>
        <v/>
      </c>
      <c r="AZ111" s="448" t="str">
        <f>IF(CAPEX!H111&lt;&gt;"",CAPEX!H111,"")</f>
        <v>316SS;CS</v>
      </c>
      <c r="BA111" s="1285">
        <f>IF(CAPEX!J111&lt;&gt;"",CAPEX!J111,"")</f>
        <v>1</v>
      </c>
      <c r="BB111" s="293" t="str">
        <f>CAPEX!K111</f>
        <v>INCLUDED</v>
      </c>
      <c r="BC111" s="1273" t="str">
        <f>IF(CAPEX!L111&lt;&gt;"",CAPEX!L111,"")</f>
        <v/>
      </c>
      <c r="BD111" s="902" t="str">
        <f>IF(CAPEX!M111&lt;&gt;"",CAPEX!M111,"")</f>
        <v/>
      </c>
      <c r="BE111" s="902" t="str">
        <f>IF(CAPEX!N111&lt;&gt;"",CAPEX!N111,"")</f>
        <v/>
      </c>
      <c r="BF111" s="1291" t="str">
        <f>IF(CAPEX!O111&lt;&gt;"",CAPEX!O111,"")</f>
        <v/>
      </c>
      <c r="BG111" s="901" t="str">
        <f>IF(CAPEX!P111&lt;&gt;"",CAPEX!P111,"")</f>
        <v/>
      </c>
      <c r="BH111" s="903" t="str">
        <f>IF(CAPEX!Q111&lt;&gt;"",CAPEX!Q111,"")</f>
        <v/>
      </c>
      <c r="BI111" s="903" t="str">
        <f>IF(CAPEX!R111&lt;&gt;"",CAPEX!R111,"")</f>
        <v/>
      </c>
      <c r="BJ111" s="436"/>
      <c r="BK111" s="249"/>
      <c r="BL111" s="249"/>
      <c r="BM111" s="249"/>
      <c r="BN111" s="249"/>
      <c r="BO111" s="615"/>
      <c r="BP111" s="437"/>
    </row>
    <row r="112" spans="1:68" ht="13.5" customHeight="1" thickBot="1" x14ac:dyDescent="0.25">
      <c r="A112" s="438" t="s">
        <v>484</v>
      </c>
      <c r="B112" s="25">
        <f ca="1">VLOOKUP("PRETRX21",INDIRECT(LU_SENS),2,FALSE)</f>
        <v>1</v>
      </c>
      <c r="C112" s="438"/>
      <c r="D112" s="438" t="s">
        <v>3397</v>
      </c>
      <c r="E112" s="437"/>
      <c r="F112" s="107"/>
      <c r="H112" s="641"/>
      <c r="I112" s="466"/>
      <c r="J112" s="466" t="s">
        <v>1861</v>
      </c>
      <c r="K112" s="1169" t="s">
        <v>2586</v>
      </c>
      <c r="L112" s="332">
        <f ca="1">VLOOKUP(K112,INDIRECT(LU_SENS),2,FALSE)</f>
        <v>640.705871</v>
      </c>
      <c r="M112" s="332">
        <f ca="1">L112*2.205</f>
        <v>1412.756445555</v>
      </c>
      <c r="N112" s="333">
        <v>8376</v>
      </c>
      <c r="O112" s="1314">
        <v>2007</v>
      </c>
      <c r="P112" s="334">
        <f ca="1">N112*VLOOKUP($J$34,INDIRECT(IX_CHEM),4,FALSE)/VLOOKUP(O112,INDIRECT(IX_CHEM),4,FALSE)</f>
        <v>8376</v>
      </c>
      <c r="Q112" s="335">
        <f ca="1">P112/100/2000</f>
        <v>4.1880000000000001E-2</v>
      </c>
      <c r="R112" s="336">
        <f ca="1">M112*Q112</f>
        <v>59.1662399398434</v>
      </c>
      <c r="S112" s="337">
        <f ca="1">($R112*$J$93/1000000)</f>
        <v>0.49735141293432361</v>
      </c>
      <c r="T112" s="337">
        <f ca="1">(S112*100)/$K$90</f>
        <v>5.4631400106604146E-2</v>
      </c>
      <c r="U112" s="470"/>
      <c r="V112" s="470"/>
      <c r="W112" s="470" t="s">
        <v>21</v>
      </c>
      <c r="X112" s="470"/>
      <c r="Y112" s="64"/>
      <c r="Z112" s="64">
        <f>SUM(Z100:Z111)</f>
        <v>2572000</v>
      </c>
      <c r="AA112" s="72"/>
      <c r="AB112" s="338">
        <f ca="1">SUM(AB100:AB111)</f>
        <v>2476975.3694581287</v>
      </c>
      <c r="AC112" s="470"/>
      <c r="AD112" s="437"/>
      <c r="AE112" s="437"/>
      <c r="AF112" s="437"/>
      <c r="AG112" s="437"/>
      <c r="AH112" s="437"/>
      <c r="AI112" s="437"/>
      <c r="AJ112" s="437"/>
      <c r="AK112" s="437"/>
      <c r="AL112" s="437"/>
      <c r="AM112" s="437"/>
      <c r="AN112" s="437"/>
      <c r="AO112" s="437"/>
      <c r="AP112" s="437"/>
      <c r="AQ112" s="437"/>
      <c r="AR112" s="437"/>
      <c r="AS112" s="641"/>
      <c r="AT112" s="448" t="str">
        <f>IF(CAPEX!A112&lt;&gt;"",CAPEX!A112,"")</f>
        <v>H</v>
      </c>
      <c r="AU112" s="1263">
        <f>IF(CAPEX!B112&lt;&gt;"",CAPEX!B112,"")</f>
        <v>502</v>
      </c>
      <c r="AV112" s="448" t="str">
        <f>IF(CAPEX!C112&lt;&gt;"",CAPEX!C112,"")</f>
        <v>Rectification Column Reboiler</v>
      </c>
      <c r="AW112" s="648" t="s">
        <v>1018</v>
      </c>
      <c r="AX112" s="448" t="str">
        <f>IF(CAPEX!F112&lt;&gt;"",CAPEX!F112,"")</f>
        <v>S &amp; T</v>
      </c>
      <c r="AY112" s="1285" t="str">
        <f>IF(CAPEX!G112&lt;&gt;"",CAPEX!G112,"")</f>
        <v/>
      </c>
      <c r="AZ112" s="448" t="str">
        <f>IF(CAPEX!H112&lt;&gt;"",CAPEX!H112,"")</f>
        <v>316SS;CS</v>
      </c>
      <c r="BA112" s="1285">
        <f>IF(CAPEX!J112&lt;&gt;"",CAPEX!J112,"")</f>
        <v>1</v>
      </c>
      <c r="BB112" s="293" t="str">
        <f>CAPEX!K112</f>
        <v>INCLUDED</v>
      </c>
      <c r="BC112" s="1273" t="str">
        <f>IF(CAPEX!L112&lt;&gt;"",CAPEX!L112,"")</f>
        <v/>
      </c>
      <c r="BD112" s="902" t="str">
        <f>IF(CAPEX!M112&lt;&gt;"",CAPEX!M112,"")</f>
        <v/>
      </c>
      <c r="BE112" s="902" t="str">
        <f>IF(CAPEX!N112&lt;&gt;"",CAPEX!N112,"")</f>
        <v/>
      </c>
      <c r="BF112" s="1291" t="str">
        <f>IF(CAPEX!O112&lt;&gt;"",CAPEX!O112,"")</f>
        <v/>
      </c>
      <c r="BG112" s="901" t="str">
        <f>IF(CAPEX!P112&lt;&gt;"",CAPEX!P112,"")</f>
        <v/>
      </c>
      <c r="BH112" s="903" t="str">
        <f>IF(CAPEX!Q112&lt;&gt;"",CAPEX!Q112,"")</f>
        <v/>
      </c>
      <c r="BI112" s="903" t="str">
        <f>IF(CAPEX!R112&lt;&gt;"",CAPEX!R112,"")</f>
        <v/>
      </c>
      <c r="BJ112" s="436"/>
      <c r="BK112" s="249"/>
      <c r="BL112" s="249"/>
      <c r="BM112" s="249"/>
      <c r="BN112" s="249"/>
      <c r="BO112" s="615"/>
      <c r="BP112" s="437"/>
    </row>
    <row r="113" spans="1:68" ht="13.5" customHeight="1" thickBot="1" x14ac:dyDescent="0.25">
      <c r="A113" s="438" t="s">
        <v>485</v>
      </c>
      <c r="B113" s="25">
        <f ca="1">VLOOKUP("PRETRX22",INDIRECT(LU_SENS),2,FALSE)</f>
        <v>1</v>
      </c>
      <c r="C113" s="438"/>
      <c r="D113" s="438"/>
      <c r="E113" s="437" t="s">
        <v>1074</v>
      </c>
      <c r="F113" s="663">
        <f ca="1">K151*1000/$K$162</f>
        <v>74.823102380144917</v>
      </c>
      <c r="G113" s="437"/>
      <c r="H113" s="641"/>
      <c r="I113" s="470"/>
      <c r="J113" s="471" t="s">
        <v>293</v>
      </c>
      <c r="K113" s="470"/>
      <c r="L113" s="339"/>
      <c r="M113" s="339"/>
      <c r="N113" s="78"/>
      <c r="O113" s="600"/>
      <c r="P113" s="115"/>
      <c r="Q113" s="340"/>
      <c r="R113" s="341">
        <f ca="1">SUM(R99:R112)</f>
        <v>10048.819866734946</v>
      </c>
      <c r="S113" s="73">
        <f ca="1">SUM(S99:S112)</f>
        <v>84.470379799773966</v>
      </c>
      <c r="T113" s="73">
        <f ca="1">SUM(T99:T112)</f>
        <v>9.2786207015514215</v>
      </c>
      <c r="U113" s="470"/>
      <c r="V113" s="470"/>
      <c r="W113" s="470"/>
      <c r="X113" s="470"/>
      <c r="Y113" s="64"/>
      <c r="Z113" s="64"/>
      <c r="AA113" s="72"/>
      <c r="AB113" s="72"/>
      <c r="AC113" s="470"/>
      <c r="AD113" s="437"/>
      <c r="AE113" s="437"/>
      <c r="AF113" s="437"/>
      <c r="AG113" s="437"/>
      <c r="AH113" s="437"/>
      <c r="AI113" s="437"/>
      <c r="AJ113" s="437"/>
      <c r="AK113" s="437"/>
      <c r="AL113" s="437"/>
      <c r="AM113" s="437"/>
      <c r="AN113" s="437"/>
      <c r="AO113" s="437"/>
      <c r="AP113" s="437"/>
      <c r="AQ113" s="437"/>
      <c r="AR113" s="437"/>
      <c r="AS113" s="641"/>
      <c r="AT113" s="448" t="str">
        <f>IF(CAPEX!A113&lt;&gt;"",CAPEX!A113,"")</f>
        <v>H</v>
      </c>
      <c r="AU113" s="1263">
        <f>IF(CAPEX!B113&lt;&gt;"",CAPEX!B113,"")</f>
        <v>504</v>
      </c>
      <c r="AV113" s="448" t="str">
        <f>IF(CAPEX!C113&lt;&gt;"",CAPEX!C113,"")</f>
        <v>Beer Column Condenser</v>
      </c>
      <c r="AW113" s="648" t="s">
        <v>1018</v>
      </c>
      <c r="AX113" s="448" t="str">
        <f>IF(CAPEX!F113&lt;&gt;"",CAPEX!F113,"")</f>
        <v>S &amp; T</v>
      </c>
      <c r="AY113" s="1285" t="str">
        <f>IF(CAPEX!G113&lt;&gt;"",CAPEX!G113,"")</f>
        <v/>
      </c>
      <c r="AZ113" s="448" t="str">
        <f>IF(CAPEX!H113&lt;&gt;"",CAPEX!H113,"")</f>
        <v>316SS;CS</v>
      </c>
      <c r="BA113" s="1285">
        <f>IF(CAPEX!J113&lt;&gt;"",CAPEX!J113,"")</f>
        <v>1</v>
      </c>
      <c r="BB113" s="293" t="str">
        <f>CAPEX!K113</f>
        <v>INCLUDED</v>
      </c>
      <c r="BC113" s="1273" t="str">
        <f>IF(CAPEX!L113&lt;&gt;"",CAPEX!L113,"")</f>
        <v/>
      </c>
      <c r="BD113" s="902" t="str">
        <f>IF(CAPEX!M113&lt;&gt;"",CAPEX!M113,"")</f>
        <v/>
      </c>
      <c r="BE113" s="902" t="str">
        <f>IF(CAPEX!N113&lt;&gt;"",CAPEX!N113,"")</f>
        <v/>
      </c>
      <c r="BF113" s="1291" t="str">
        <f>IF(CAPEX!O113&lt;&gt;"",CAPEX!O113,"")</f>
        <v/>
      </c>
      <c r="BG113" s="901" t="str">
        <f>IF(CAPEX!P113&lt;&gt;"",CAPEX!P113,"")</f>
        <v/>
      </c>
      <c r="BH113" s="903" t="str">
        <f>IF(CAPEX!Q113&lt;&gt;"",CAPEX!Q113,"")</f>
        <v/>
      </c>
      <c r="BI113" s="903" t="str">
        <f>IF(CAPEX!R113&lt;&gt;"",CAPEX!R113,"")</f>
        <v/>
      </c>
      <c r="BJ113" s="436"/>
      <c r="BK113" s="249"/>
      <c r="BL113" s="249"/>
      <c r="BM113" s="249"/>
      <c r="BN113" s="249"/>
      <c r="BO113" s="615"/>
      <c r="BP113" s="437"/>
    </row>
    <row r="114" spans="1:68" ht="13.5" customHeight="1" thickBot="1" x14ac:dyDescent="0.25">
      <c r="A114" s="438" t="s">
        <v>486</v>
      </c>
      <c r="B114" s="25">
        <f ca="1">VLOOKUP("PRETRX23",INDIRECT(LU_SENS),2,FALSE)</f>
        <v>0.05</v>
      </c>
      <c r="C114" s="438"/>
      <c r="D114" s="438"/>
      <c r="E114" s="437" t="s">
        <v>1794</v>
      </c>
      <c r="F114" s="663">
        <f ca="1">K153*1000/$K$162</f>
        <v>41.524736090394541</v>
      </c>
      <c r="G114" s="437"/>
      <c r="H114" s="641"/>
      <c r="I114" s="470"/>
      <c r="J114" s="470"/>
      <c r="K114" s="470"/>
      <c r="L114" s="339"/>
      <c r="M114" s="339"/>
      <c r="N114" s="78"/>
      <c r="O114" s="600"/>
      <c r="P114" s="115"/>
      <c r="Q114" s="340"/>
      <c r="R114" s="70"/>
      <c r="S114" s="72"/>
      <c r="T114" s="72"/>
      <c r="U114" s="470"/>
      <c r="V114" s="470"/>
      <c r="W114" s="583" t="s">
        <v>760</v>
      </c>
      <c r="X114" s="175">
        <v>0.9</v>
      </c>
      <c r="Y114" s="584" t="s">
        <v>298</v>
      </c>
      <c r="Z114" s="149"/>
      <c r="AA114" s="168"/>
      <c r="AB114" s="114">
        <f ca="1">X114*AB112</f>
        <v>2229277.8325123158</v>
      </c>
      <c r="AC114" s="470"/>
      <c r="AD114" s="437"/>
      <c r="AE114" s="437"/>
      <c r="AF114" s="437"/>
      <c r="AG114" s="437"/>
      <c r="AH114" s="437"/>
      <c r="AI114" s="437"/>
      <c r="AJ114" s="437"/>
      <c r="AK114" s="437"/>
      <c r="AL114" s="437"/>
      <c r="AM114" s="437"/>
      <c r="AN114" s="437"/>
      <c r="AO114" s="437"/>
      <c r="AP114" s="437"/>
      <c r="AQ114" s="437"/>
      <c r="AR114" s="437"/>
      <c r="AS114" s="641"/>
      <c r="AT114" s="448" t="str">
        <f>IF(CAPEX!A114&lt;&gt;"",CAPEX!A114,"")</f>
        <v>H</v>
      </c>
      <c r="AU114" s="1263">
        <f>IF(CAPEX!B114&lt;&gt;"",CAPEX!B114,"")</f>
        <v>505</v>
      </c>
      <c r="AV114" s="448" t="str">
        <f>IF(CAPEX!C114&lt;&gt;"",CAPEX!C114,"")</f>
        <v>Rectification Column Condenser</v>
      </c>
      <c r="AW114" s="648" t="s">
        <v>1620</v>
      </c>
      <c r="AX114" s="448" t="str">
        <f>IF(CAPEX!F114&lt;&gt;"",CAPEX!F114,"")</f>
        <v xml:space="preserve">92.2 MM Btu/hr 3 cells </v>
      </c>
      <c r="AY114" s="1285" t="str">
        <f>IF(CAPEX!G114&lt;&gt;"",CAPEX!G114,"")</f>
        <v>300 tot</v>
      </c>
      <c r="AZ114" s="448" t="str">
        <f>IF(CAPEX!H114&lt;&gt;"",CAPEX!H114,"")</f>
        <v>CS</v>
      </c>
      <c r="BA114" s="1285">
        <f>IF(CAPEX!J114&lt;&gt;"",CAPEX!J114,"")</f>
        <v>1</v>
      </c>
      <c r="BB114" s="293">
        <f>CAPEX!K114</f>
        <v>487000</v>
      </c>
      <c r="BC114" s="1272">
        <f>IF(CAPEX!L114&lt;&gt;"",CAPEX!L114,"")</f>
        <v>2010</v>
      </c>
      <c r="BD114" s="912">
        <v>0</v>
      </c>
      <c r="BE114" s="900" t="str">
        <f>IF(CAPEX!N114&lt;&gt;"",CAPEX!N114,"")</f>
        <v>heat.a500.qcd502</v>
      </c>
      <c r="BF114" s="1293">
        <f>IF(CAPEX!O114&lt;&gt;"",CAPEX!O114,"")</f>
        <v>23.2</v>
      </c>
      <c r="BG114" s="898" t="str">
        <f>IF(CAPEX!P114&lt;&gt;"",CAPEX!P114,"")</f>
        <v>Gcal/hr</v>
      </c>
      <c r="BH114" s="907">
        <f>IF(CAPEX!Q114&lt;&gt;"",CAPEX!Q114,"")</f>
        <v>0.6</v>
      </c>
      <c r="BI114" s="907">
        <f>IF(CAPEX!R114&lt;&gt;"",CAPEX!R114,"")</f>
        <v>2.8</v>
      </c>
      <c r="BJ114" s="436">
        <f ca="1">IF(BE114&lt;&gt;"",VLOOKUP(BE114,INDIRECT(LU_SENS),2,FALSE),"")</f>
        <v>23.199588899999998</v>
      </c>
      <c r="BK114" s="239">
        <f ca="1">BJ114/BF114</f>
        <v>0.99998228017241375</v>
      </c>
      <c r="BL114" s="238">
        <f ca="1">BD114*BK114^BH114</f>
        <v>0</v>
      </c>
      <c r="BM114" s="238">
        <f ca="1">BL114*VLOOKUP($J$34,INDIRECT(IX_CAP),4,FALSE)/VLOOKUP(BC114,INDIRECT(IX_CAP),4,FALSE)</f>
        <v>0</v>
      </c>
      <c r="BN114" s="238">
        <f ca="1">BM114*BI114</f>
        <v>0</v>
      </c>
      <c r="BO114" s="615"/>
      <c r="BP114" s="437"/>
    </row>
    <row r="115" spans="1:68" ht="13.5" customHeight="1" thickBot="1" x14ac:dyDescent="0.25">
      <c r="D115" s="438"/>
      <c r="E115" s="437" t="s">
        <v>2126</v>
      </c>
      <c r="F115" s="663">
        <f ca="1">K149*1000/$K$162</f>
        <v>5.0603621040224649</v>
      </c>
      <c r="H115" s="641"/>
      <c r="I115" s="470"/>
      <c r="J115" s="471" t="s">
        <v>294</v>
      </c>
      <c r="K115" s="470"/>
      <c r="L115" s="64"/>
      <c r="M115" s="64"/>
      <c r="N115" s="78"/>
      <c r="O115" s="600"/>
      <c r="P115" s="115"/>
      <c r="Q115" s="340"/>
      <c r="R115" s="70"/>
      <c r="S115" s="72"/>
      <c r="T115" s="72"/>
      <c r="U115" s="571"/>
      <c r="V115" s="470"/>
      <c r="W115" s="417" t="s">
        <v>299</v>
      </c>
      <c r="X115" s="257">
        <f>OPEX!D57</f>
        <v>0.03</v>
      </c>
      <c r="Y115" s="585" t="s">
        <v>403</v>
      </c>
      <c r="Z115" s="114"/>
      <c r="AA115" s="116"/>
      <c r="AB115" s="114">
        <f ca="1">S12*X115</f>
        <v>2865824.3044004207</v>
      </c>
      <c r="AC115" s="470"/>
      <c r="AD115" s="437"/>
      <c r="AE115" s="437"/>
      <c r="AF115" s="437"/>
      <c r="AG115" s="437"/>
      <c r="AH115" s="437"/>
      <c r="AI115" s="437"/>
      <c r="AJ115" s="437"/>
      <c r="AK115" s="437"/>
      <c r="AL115" s="437"/>
      <c r="AM115" s="437"/>
      <c r="AN115" s="437"/>
      <c r="AO115" s="437"/>
      <c r="AP115" s="437"/>
      <c r="AQ115" s="437"/>
      <c r="AR115" s="437"/>
      <c r="AS115" s="641"/>
      <c r="AT115" s="448" t="str">
        <f>IF(CAPEX!A115&lt;&gt;"",CAPEX!A115,"")</f>
        <v>H</v>
      </c>
      <c r="AU115" s="1263">
        <f>IF(CAPEX!B115&lt;&gt;"",CAPEX!B115,"")</f>
        <v>512</v>
      </c>
      <c r="AV115" s="448" t="str">
        <f>IF(CAPEX!C115&lt;&gt;"",CAPEX!C115,"")</f>
        <v>Beer Column Feed Interchanger</v>
      </c>
      <c r="AW115" s="648" t="s">
        <v>1018</v>
      </c>
      <c r="AX115" s="448" t="str">
        <f>IF(CAPEX!F115&lt;&gt;"",CAPEX!F115,"")</f>
        <v>Plate &amp; Frame</v>
      </c>
      <c r="AY115" s="1285" t="str">
        <f>IF(CAPEX!G115&lt;&gt;"",CAPEX!G115,"")</f>
        <v/>
      </c>
      <c r="AZ115" s="448" t="str">
        <f>IF(CAPEX!H115&lt;&gt;"",CAPEX!H115,"")</f>
        <v>316SS</v>
      </c>
      <c r="BA115" s="1285">
        <f>IF(CAPEX!J115&lt;&gt;"",CAPEX!J115,"")</f>
        <v>1</v>
      </c>
      <c r="BB115" s="293" t="str">
        <f>CAPEX!K115</f>
        <v>INCLUDED</v>
      </c>
      <c r="BC115" s="1273" t="str">
        <f>IF(CAPEX!L115&lt;&gt;"",CAPEX!L115,"")</f>
        <v/>
      </c>
      <c r="BD115" s="902" t="str">
        <f>IF(CAPEX!M115&lt;&gt;"",CAPEX!M115,"")</f>
        <v/>
      </c>
      <c r="BE115" s="902" t="str">
        <f>IF(CAPEX!N115&lt;&gt;"",CAPEX!N115,"")</f>
        <v/>
      </c>
      <c r="BF115" s="1291" t="str">
        <f>IF(CAPEX!O115&lt;&gt;"",CAPEX!O115,"")</f>
        <v/>
      </c>
      <c r="BG115" s="901" t="str">
        <f>IF(CAPEX!P115&lt;&gt;"",CAPEX!P115,"")</f>
        <v/>
      </c>
      <c r="BH115" s="903" t="str">
        <f>IF(CAPEX!Q115&lt;&gt;"",CAPEX!Q115,"")</f>
        <v/>
      </c>
      <c r="BI115" s="903" t="str">
        <f>IF(CAPEX!R115&lt;&gt;"",CAPEX!R115,"")</f>
        <v/>
      </c>
      <c r="BJ115" s="436"/>
      <c r="BK115" s="249"/>
      <c r="BL115" s="249"/>
      <c r="BM115" s="249"/>
      <c r="BN115" s="249"/>
      <c r="BO115" s="615"/>
      <c r="BP115" s="437"/>
    </row>
    <row r="116" spans="1:68" ht="13.5" customHeight="1" thickBot="1" x14ac:dyDescent="0.25">
      <c r="D116" s="438"/>
      <c r="E116" s="437" t="s">
        <v>2127</v>
      </c>
      <c r="F116" s="663">
        <f ca="1">K152*1000/$K$162</f>
        <v>1.247382012064459</v>
      </c>
      <c r="H116" s="641"/>
      <c r="I116" s="467" t="s">
        <v>87</v>
      </c>
      <c r="J116" s="467" t="s">
        <v>1862</v>
      </c>
      <c r="K116" s="660" t="s">
        <v>569</v>
      </c>
      <c r="L116" s="342">
        <f ca="1">VLOOKUP(K116,INDIRECT(LU_SENS),2,FALSE)</f>
        <v>5725.61042</v>
      </c>
      <c r="M116" s="342">
        <f ca="1">L116*2.205</f>
        <v>12624.970976099999</v>
      </c>
      <c r="N116" s="343">
        <f>OPEX!G32</f>
        <v>1820</v>
      </c>
      <c r="O116" s="343">
        <f>OPEX!H32</f>
        <v>1993</v>
      </c>
      <c r="P116" s="344">
        <f ca="1">N116*VLOOKUP($J$34,INDIRECT(IX_CHEM),4,FALSE)/VLOOKUP(O116,INDIRECT(IX_CHEM),4,FALSE)</f>
        <v>2886.1622464898596</v>
      </c>
      <c r="Q116" s="345">
        <f ca="1">P116/100/2000</f>
        <v>1.4430811232449298E-2</v>
      </c>
      <c r="R116" s="346">
        <f ca="1">M116*Q116</f>
        <v>182.18857297125024</v>
      </c>
      <c r="S116" s="347">
        <f ca="1">($R116*$J$93/1000000)</f>
        <v>1.5314771443963295</v>
      </c>
      <c r="T116" s="347">
        <f ca="1">(S116*100)/$K$90</f>
        <v>0.16822459623872393</v>
      </c>
      <c r="U116" s="470"/>
      <c r="V116" s="470"/>
      <c r="W116" s="417" t="s">
        <v>2585</v>
      </c>
      <c r="X116" s="257">
        <f>OPEX!D58</f>
        <v>7.0000000000000001E-3</v>
      </c>
      <c r="Y116" s="865" t="s">
        <v>2240</v>
      </c>
      <c r="Z116" s="114"/>
      <c r="AA116" s="116"/>
      <c r="AB116" s="114">
        <f ca="1">Q26*X116</f>
        <v>2090799.5758032387</v>
      </c>
      <c r="AC116" s="470"/>
      <c r="AD116" s="437"/>
      <c r="AE116" s="437"/>
      <c r="AF116" s="437"/>
      <c r="AG116" s="437"/>
      <c r="AH116" s="437"/>
      <c r="AI116" s="437"/>
      <c r="AJ116" s="437"/>
      <c r="AK116" s="437"/>
      <c r="AL116" s="437"/>
      <c r="AM116" s="437"/>
      <c r="AN116" s="437"/>
      <c r="AO116" s="437"/>
      <c r="AP116" s="437"/>
      <c r="AQ116" s="437"/>
      <c r="AR116" s="437"/>
      <c r="AS116" s="641"/>
      <c r="AT116" s="448" t="str">
        <f>IF(CAPEX!A116&lt;&gt;"",CAPEX!A116,"")</f>
        <v>M</v>
      </c>
      <c r="AU116" s="1263">
        <f>IF(CAPEX!B116&lt;&gt;"",CAPEX!B116,"")</f>
        <v>503</v>
      </c>
      <c r="AV116" s="448" t="str">
        <f>IF(CAPEX!C116&lt;&gt;"",CAPEX!C116,"")</f>
        <v>Molecular Sieve Package (9 pieces)</v>
      </c>
      <c r="AW116" s="648" t="s">
        <v>1027</v>
      </c>
      <c r="AX116" s="448" t="str">
        <f>IF(CAPEX!F116&lt;&gt;"",CAPEX!F116,"")</f>
        <v/>
      </c>
      <c r="AY116" s="1285" t="str">
        <f>IF(CAPEX!G116&lt;&gt;"",CAPEX!G116,"")</f>
        <v/>
      </c>
      <c r="AZ116" s="448" t="str">
        <f>IF(CAPEX!H116&lt;&gt;"",CAPEX!H116,"")</f>
        <v>SS</v>
      </c>
      <c r="BA116" s="1285">
        <f>IF(CAPEX!J116&lt;&gt;"",CAPEX!J116,"")</f>
        <v>1</v>
      </c>
      <c r="BB116" s="293">
        <f>CAPEX!K116</f>
        <v>2601000</v>
      </c>
      <c r="BC116" s="1272">
        <f>IF(CAPEX!L116&lt;&gt;"",CAPEX!L116,"")</f>
        <v>2009</v>
      </c>
      <c r="BD116" s="912">
        <v>0</v>
      </c>
      <c r="BE116" s="900" t="str">
        <f>IF(CAPEX!N116&lt;&gt;"",CAPEX!N116,"")</f>
        <v>strm.a500.515</v>
      </c>
      <c r="BF116" s="1294">
        <f>IF(CAPEX!O116&lt;&gt;"",CAPEX!O116,"")</f>
        <v>22687</v>
      </c>
      <c r="BG116" s="908" t="str">
        <f>IF(CAPEX!P116&lt;&gt;"",CAPEX!P116,"")</f>
        <v>kg/hr</v>
      </c>
      <c r="BH116" s="907">
        <f>IF(CAPEX!Q116&lt;&gt;"",CAPEX!Q116,"")</f>
        <v>0.6</v>
      </c>
      <c r="BI116" s="907">
        <f>IF(CAPEX!R116&lt;&gt;"",CAPEX!R116,"")</f>
        <v>1.8</v>
      </c>
      <c r="BJ116" s="436">
        <f ca="1">IF(BE116&lt;&gt;"",VLOOKUP(BE116,INDIRECT(LU_SENS),2,FALSE),"")</f>
        <v>21808.6862</v>
      </c>
      <c r="BK116" s="239">
        <f ca="1">BJ116/BF116</f>
        <v>0.96128559086701637</v>
      </c>
      <c r="BL116" s="238">
        <f ca="1">BD116*BK116^BH116</f>
        <v>0</v>
      </c>
      <c r="BM116" s="238">
        <f ca="1">BL116*VLOOKUP($J$34,INDIRECT(IX_CAP),4,FALSE)/VLOOKUP(BC116,INDIRECT(IX_CAP),4,FALSE)</f>
        <v>0</v>
      </c>
      <c r="BN116" s="238">
        <f ca="1">BM116*BI116</f>
        <v>0</v>
      </c>
      <c r="BO116" s="615"/>
      <c r="BP116" s="437"/>
    </row>
    <row r="117" spans="1:68" ht="13.5" customHeight="1" thickBot="1" x14ac:dyDescent="0.25">
      <c r="E117" s="437" t="s">
        <v>2128</v>
      </c>
      <c r="F117" s="663">
        <f ca="1">K150*1000/$K$162</f>
        <v>2.9729271205274816</v>
      </c>
      <c r="H117" s="641"/>
      <c r="I117" s="470"/>
      <c r="J117" s="471" t="s">
        <v>293</v>
      </c>
      <c r="K117" s="470"/>
      <c r="L117" s="64"/>
      <c r="M117" s="64"/>
      <c r="N117" s="340"/>
      <c r="O117" s="339"/>
      <c r="P117" s="348"/>
      <c r="Q117" s="72"/>
      <c r="R117" s="341">
        <f ca="1">SUM(R116:R116)</f>
        <v>182.18857297125024</v>
      </c>
      <c r="S117" s="73">
        <f ca="1">SUM(S116:S116)</f>
        <v>1.5314771443963295</v>
      </c>
      <c r="T117" s="73">
        <f ca="1">SUM(T116:T116)</f>
        <v>0.16822459623872393</v>
      </c>
      <c r="U117" s="470"/>
      <c r="V117" s="470"/>
      <c r="W117" s="587" t="s">
        <v>300</v>
      </c>
      <c r="X117" s="567"/>
      <c r="Y117" s="151"/>
      <c r="Z117" s="151"/>
      <c r="AA117" s="153"/>
      <c r="AB117" s="349">
        <f ca="1">SUM(AB112:AB116)</f>
        <v>9662877.0821741037</v>
      </c>
      <c r="AC117" s="72">
        <f ca="1">AB117/K90/1000000*100</f>
        <v>1.0614155109013412</v>
      </c>
      <c r="AD117" s="437"/>
      <c r="AE117" s="437"/>
      <c r="AF117" s="437"/>
      <c r="AG117" s="437"/>
      <c r="AH117" s="437"/>
      <c r="AI117" s="437"/>
      <c r="AJ117" s="437"/>
      <c r="AK117" s="437"/>
      <c r="AL117" s="437"/>
      <c r="AM117" s="437"/>
      <c r="AN117" s="437"/>
      <c r="AO117" s="437"/>
      <c r="AP117" s="437"/>
      <c r="AQ117" s="437"/>
      <c r="AR117" s="437"/>
      <c r="AS117" s="641"/>
      <c r="AT117" s="448" t="str">
        <f>IF(CAPEX!A117&lt;&gt;"",CAPEX!A117,"")</f>
        <v>M</v>
      </c>
      <c r="AU117" s="1263">
        <f>IF(CAPEX!B117&lt;&gt;"",CAPEX!B117,"")</f>
        <v>505</v>
      </c>
      <c r="AV117" s="448" t="str">
        <f>IF(CAPEX!C117&lt;&gt;"",CAPEX!C117,"")</f>
        <v>Pressure Filter Pressing Compr</v>
      </c>
      <c r="AW117" s="648" t="s">
        <v>1682</v>
      </c>
      <c r="AX117" s="448" t="str">
        <f>IF(CAPEX!F117&lt;&gt;"",CAPEX!F117,"")</f>
        <v>460 SCFM, 300 psig</v>
      </c>
      <c r="AY117" s="1285" t="str">
        <f>IF(CAPEX!G117&lt;&gt;"",CAPEX!G117,"")</f>
        <v>150 hp</v>
      </c>
      <c r="AZ117" s="448" t="str">
        <f>IF(CAPEX!H117&lt;&gt;"",CAPEX!H117,"")</f>
        <v/>
      </c>
      <c r="BA117" s="1285">
        <f>IF(CAPEX!J117&lt;&gt;"",CAPEX!J117,"")</f>
        <v>1</v>
      </c>
      <c r="BB117" s="293">
        <f>CAPEX!K117</f>
        <v>75200</v>
      </c>
      <c r="BC117" s="1272">
        <f>IF(CAPEX!L117&lt;&gt;"",CAPEX!L117,"")</f>
        <v>2009</v>
      </c>
      <c r="BD117" s="912">
        <v>0</v>
      </c>
      <c r="BE117" s="900" t="str">
        <f>IF(CAPEX!N117&lt;&gt;"",CAPEX!N117,"")</f>
        <v>strm.a500.evap.sqairin</v>
      </c>
      <c r="BF117" s="1294">
        <f>IF(CAPEX!O117&lt;&gt;"",CAPEX!O117,"")</f>
        <v>808</v>
      </c>
      <c r="BG117" s="908" t="str">
        <f>IF(CAPEX!P117&lt;&gt;"",CAPEX!P117,"")</f>
        <v>kg/hr</v>
      </c>
      <c r="BH117" s="907">
        <f>IF(CAPEX!Q117&lt;&gt;"",CAPEX!Q117,"")</f>
        <v>0.6</v>
      </c>
      <c r="BI117" s="907">
        <f>IF(CAPEX!R117&lt;&gt;"",CAPEX!R117,"")</f>
        <v>1.6</v>
      </c>
      <c r="BJ117" s="436">
        <f ca="1">IF(BE117&lt;&gt;"",VLOOKUP(BE117,INDIRECT(LU_SENS),2,FALSE),"")</f>
        <v>809.38039300000003</v>
      </c>
      <c r="BK117" s="239">
        <f ca="1">BJ117/BF117</f>
        <v>1.0017084071782179</v>
      </c>
      <c r="BL117" s="238">
        <f ca="1">BD117*BK117^BH117</f>
        <v>0</v>
      </c>
      <c r="BM117" s="238">
        <f ca="1">BL117*VLOOKUP($J$34,INDIRECT(IX_CAP),4,FALSE)/VLOOKUP(BC117,INDIRECT(IX_CAP),4,FALSE)</f>
        <v>0</v>
      </c>
      <c r="BN117" s="238">
        <f ca="1">BM117*BI117</f>
        <v>0</v>
      </c>
      <c r="BO117" s="615"/>
      <c r="BP117" s="437"/>
    </row>
    <row r="118" spans="1:68" ht="13.5" customHeight="1" thickBot="1" x14ac:dyDescent="0.25">
      <c r="C118" s="437"/>
      <c r="E118" s="437" t="s">
        <v>200</v>
      </c>
      <c r="F118" s="663">
        <f ca="1">SUM(F113:F117)</f>
        <v>125.62850970715387</v>
      </c>
      <c r="G118" s="437"/>
      <c r="H118" s="641"/>
      <c r="I118" s="470"/>
      <c r="J118" s="470"/>
      <c r="K118" s="470"/>
      <c r="L118" s="64"/>
      <c r="M118" s="64"/>
      <c r="N118" s="340"/>
      <c r="O118" s="339"/>
      <c r="P118" s="116"/>
      <c r="Q118" s="72"/>
      <c r="R118" s="70"/>
      <c r="S118" s="72"/>
      <c r="T118" s="72"/>
      <c r="U118" s="470"/>
      <c r="V118" s="470"/>
      <c r="AD118" s="437"/>
      <c r="AE118" s="437"/>
      <c r="AF118" s="437"/>
      <c r="AG118" s="437"/>
      <c r="AH118" s="437"/>
      <c r="AI118" s="437"/>
      <c r="AJ118" s="437"/>
      <c r="AK118" s="437"/>
      <c r="AL118" s="437"/>
      <c r="AM118" s="437"/>
      <c r="AN118" s="437"/>
      <c r="AO118" s="437"/>
      <c r="AP118" s="437"/>
      <c r="AQ118" s="437"/>
      <c r="AR118" s="437"/>
      <c r="AS118" s="641"/>
      <c r="AT118" s="448" t="str">
        <f>IF(CAPEX!A118&lt;&gt;"",CAPEX!A118,"")</f>
        <v>M</v>
      </c>
      <c r="AU118" s="1263">
        <f>IF(CAPEX!B118&lt;&gt;"",CAPEX!B118,"")</f>
        <v>507</v>
      </c>
      <c r="AV118" s="448" t="str">
        <f>IF(CAPEX!C118&lt;&gt;"",CAPEX!C118,"")</f>
        <v>Pressure Filter Drying Compr</v>
      </c>
      <c r="AW118" s="648" t="s">
        <v>1682</v>
      </c>
      <c r="AX118" s="448" t="str">
        <f>IF(CAPEX!F118&lt;&gt;"",CAPEX!F118,"")</f>
        <v>4000 SCFM, 130 psig (ea)</v>
      </c>
      <c r="AY118" s="1285" t="str">
        <f>IF(CAPEX!G118&lt;&gt;"",CAPEX!G118,"")</f>
        <v>700 hp ea.</v>
      </c>
      <c r="AZ118" s="448" t="str">
        <f>IF(CAPEX!H118&lt;&gt;"",CAPEX!H118,"")</f>
        <v/>
      </c>
      <c r="BA118" s="1285">
        <f>IF(CAPEX!J118&lt;&gt;"",CAPEX!J118,"")</f>
        <v>2</v>
      </c>
      <c r="BB118" s="293">
        <f>CAPEX!K118</f>
        <v>405000</v>
      </c>
      <c r="BC118" s="1272">
        <f>IF(CAPEX!L118&lt;&gt;"",CAPEX!L118,"")</f>
        <v>2009</v>
      </c>
      <c r="BD118" s="899">
        <f>IF(CAPEX!M118&lt;&gt;"",CAPEX!M118,"")</f>
        <v>405000</v>
      </c>
      <c r="BE118" s="900" t="s">
        <v>1743</v>
      </c>
      <c r="BF118" s="1294">
        <f>IF(CAPEX!O118&lt;&gt;"",CAPEX!O118,"")</f>
        <v>12233</v>
      </c>
      <c r="BG118" s="908" t="str">
        <f>IF(CAPEX!P118&lt;&gt;"",CAPEX!P118,"")</f>
        <v>kg/hr</v>
      </c>
      <c r="BH118" s="907">
        <f>IF(CAPEX!Q118&lt;&gt;"",CAPEX!Q118,"")</f>
        <v>0.6</v>
      </c>
      <c r="BI118" s="907">
        <f>IF(CAPEX!R118&lt;&gt;"",CAPEX!R118,"")</f>
        <v>1.6</v>
      </c>
      <c r="BJ118" s="436">
        <f ca="1">IF(BE118&lt;&gt;"",VLOOKUP(BE118,INDIRECT(LU_SENS),2,FALSE)*(BJ107/VLOOKUP("strm.a500.evap.571",INDIRECT(LU_SENS),2,FALSE)),"")</f>
        <v>13108.518043441587</v>
      </c>
      <c r="BK118" s="239">
        <f ca="1">BJ118/BF118</f>
        <v>1.0715701825751318</v>
      </c>
      <c r="BL118" s="238">
        <f ca="1">BD118*BK118^BH118</f>
        <v>422150.58505177166</v>
      </c>
      <c r="BM118" s="238">
        <f ca="1">BL118*VLOOKUP($J$34,INDIRECT(IX_CAP),4,FALSE)/VLOOKUP(BC118,INDIRECT(IX_CAP),4,FALSE)</f>
        <v>424981.63898486458</v>
      </c>
      <c r="BN118" s="238">
        <f ca="1">BM118*BI118</f>
        <v>679970.62237578339</v>
      </c>
      <c r="BO118" s="615"/>
      <c r="BP118" s="437"/>
    </row>
    <row r="119" spans="1:68" ht="13.5" customHeight="1" thickBot="1" x14ac:dyDescent="0.25">
      <c r="C119" s="437"/>
      <c r="D119" s="437"/>
      <c r="E119" s="437"/>
      <c r="F119" s="437"/>
      <c r="G119" s="437"/>
      <c r="H119" s="641"/>
      <c r="I119" s="470"/>
      <c r="J119" s="471" t="s">
        <v>295</v>
      </c>
      <c r="K119" s="470"/>
      <c r="L119" s="350" t="s">
        <v>420</v>
      </c>
      <c r="M119" s="64"/>
      <c r="N119" s="351" t="s">
        <v>1863</v>
      </c>
      <c r="O119" s="339"/>
      <c r="P119" s="116"/>
      <c r="Q119" s="352" t="s">
        <v>1501</v>
      </c>
      <c r="R119" s="70"/>
      <c r="S119" s="72"/>
      <c r="T119" s="72"/>
      <c r="U119" s="470"/>
      <c r="V119" s="470"/>
      <c r="W119" s="470"/>
      <c r="X119" s="470"/>
      <c r="Y119" s="470"/>
      <c r="Z119" s="470"/>
      <c r="AA119" s="470"/>
      <c r="AB119" s="470"/>
      <c r="AC119" s="470"/>
      <c r="AD119" s="437"/>
      <c r="AE119" s="437"/>
      <c r="AF119" s="437"/>
      <c r="AG119" s="437"/>
      <c r="AH119" s="437"/>
      <c r="AI119" s="437"/>
      <c r="AJ119" s="437"/>
      <c r="AK119" s="437"/>
      <c r="AL119" s="437"/>
      <c r="AM119" s="437"/>
      <c r="AN119" s="437"/>
      <c r="AO119" s="437"/>
      <c r="AP119" s="437"/>
      <c r="AQ119" s="437"/>
      <c r="AR119" s="437"/>
      <c r="AS119" s="641"/>
      <c r="AT119" s="448" t="str">
        <f>IF(CAPEX!A119&lt;&gt;"",CAPEX!A119,"")</f>
        <v>P</v>
      </c>
      <c r="AU119" s="1263">
        <f>IF(CAPEX!B119&lt;&gt;"",CAPEX!B119,"")</f>
        <v>501</v>
      </c>
      <c r="AV119" s="448" t="str">
        <f>IF(CAPEX!C119&lt;&gt;"",CAPEX!C119,"")</f>
        <v>Beer Column Bottoms Recirc Pump</v>
      </c>
      <c r="AW119" s="648" t="s">
        <v>1018</v>
      </c>
      <c r="AX119" s="448" t="str">
        <f>IF(CAPEX!F119&lt;&gt;"",CAPEX!F119,"")</f>
        <v>10,000 gpm</v>
      </c>
      <c r="AY119" s="1285">
        <f>IF(CAPEX!G119&lt;&gt;"",CAPEX!G119,"")</f>
        <v>200</v>
      </c>
      <c r="AZ119" s="448" t="str">
        <f>IF(CAPEX!H119&lt;&gt;"",CAPEX!H119,"")</f>
        <v>316SS</v>
      </c>
      <c r="BA119" s="1285">
        <f>IF(CAPEX!J119&lt;&gt;"",CAPEX!J119,"")</f>
        <v>1</v>
      </c>
      <c r="BB119" s="293" t="str">
        <f>CAPEX!K119</f>
        <v>INCLUDED</v>
      </c>
      <c r="BC119" s="1273" t="str">
        <f>IF(CAPEX!L119&lt;&gt;"",CAPEX!L119,"")</f>
        <v/>
      </c>
      <c r="BD119" s="902" t="str">
        <f>IF(CAPEX!M119&lt;&gt;"",CAPEX!M119,"")</f>
        <v/>
      </c>
      <c r="BE119" s="902" t="str">
        <f>IF(CAPEX!N119&lt;&gt;"",CAPEX!N119,"")</f>
        <v/>
      </c>
      <c r="BF119" s="1291" t="str">
        <f>IF(CAPEX!O119&lt;&gt;"",CAPEX!O119,"")</f>
        <v/>
      </c>
      <c r="BG119" s="901" t="str">
        <f>IF(CAPEX!P119&lt;&gt;"",CAPEX!P119,"")</f>
        <v/>
      </c>
      <c r="BH119" s="903" t="str">
        <f>IF(CAPEX!Q119&lt;&gt;"",CAPEX!Q119,"")</f>
        <v/>
      </c>
      <c r="BI119" s="903" t="str">
        <f>IF(CAPEX!R119&lt;&gt;"",CAPEX!R119,"")</f>
        <v/>
      </c>
      <c r="BJ119" s="461"/>
      <c r="BK119" s="255"/>
      <c r="BL119" s="255"/>
      <c r="BM119" s="255"/>
      <c r="BN119" s="255"/>
      <c r="BO119" s="615"/>
      <c r="BP119" s="437"/>
    </row>
    <row r="120" spans="1:68" ht="13.5" customHeight="1" thickBot="1" x14ac:dyDescent="0.25">
      <c r="C120" s="437"/>
      <c r="D120" s="1134" t="s">
        <v>2603</v>
      </c>
      <c r="E120" s="1135"/>
      <c r="F120" s="1136">
        <f ca="1">K149/'Energy Bal'!C29*'Energy Bal'!D29+K150/'Energy Bal'!C30*'Energy Bal'!D30+K151/'Energy Bal'!C25*'Energy Bal'!D25+K152/'Energy Bal'!C31*'Energy Bal'!D31+K153/'Energy Bal'!C26*'Energy Bal'!D26</f>
        <v>-166.45359597371916</v>
      </c>
      <c r="G120" s="437"/>
      <c r="H120" s="641"/>
      <c r="I120" s="661" t="s">
        <v>88</v>
      </c>
      <c r="J120" s="661" t="s">
        <v>235</v>
      </c>
      <c r="K120" s="384" t="s">
        <v>590</v>
      </c>
      <c r="L120" s="353">
        <f ca="1">-VLOOKUP(K120,INDIRECT(LU_SENS),2,FALSE)</f>
        <v>12794.672399999999</v>
      </c>
      <c r="M120" s="353" t="s">
        <v>1864</v>
      </c>
      <c r="N120" s="354">
        <f ca="1">OPEX!J35</f>
        <v>5.716754912076346E-2</v>
      </c>
      <c r="O120" s="355">
        <f>OPEX!H35</f>
        <v>2016</v>
      </c>
      <c r="P120" s="356"/>
      <c r="Q120" s="354">
        <f ca="1">N120*VLOOKUP(J34,INDIRECT(IX_CHEM),4,FALSE)/VLOOKUP(O120,INDIRECT(IX_CHEM),4)</f>
        <v>4.3512402606706142E-2</v>
      </c>
      <c r="R120" s="357">
        <f ca="1">Q120*L120</f>
        <v>556.72693668971112</v>
      </c>
      <c r="S120" s="358">
        <f ca="1">($R120*$J$93/1000000)</f>
        <v>4.6798466298137118</v>
      </c>
      <c r="T120" s="358">
        <f ca="1">(S120*100)/$K$90</f>
        <v>0.51405619250680046</v>
      </c>
      <c r="U120" s="470"/>
      <c r="V120" s="470"/>
      <c r="W120" s="470"/>
      <c r="X120" s="470"/>
      <c r="Y120" s="470"/>
      <c r="Z120" s="470"/>
      <c r="AA120" s="470"/>
      <c r="AB120" s="470"/>
      <c r="AC120" s="470"/>
      <c r="AD120" s="437"/>
      <c r="AE120" s="437"/>
      <c r="AF120" s="437"/>
      <c r="AG120" s="437"/>
      <c r="AH120" s="437"/>
      <c r="AI120" s="437"/>
      <c r="AJ120" s="437"/>
      <c r="AK120" s="437"/>
      <c r="AL120" s="437"/>
      <c r="AM120" s="437"/>
      <c r="AN120" s="437"/>
      <c r="AO120" s="437"/>
      <c r="AP120" s="437"/>
      <c r="AQ120" s="437"/>
      <c r="AR120" s="437"/>
      <c r="AS120" s="641"/>
      <c r="AT120" s="448" t="str">
        <f>IF(CAPEX!A120&lt;&gt;"",CAPEX!A120,"")</f>
        <v>P</v>
      </c>
      <c r="AU120" s="1263">
        <f>IF(CAPEX!B120&lt;&gt;"",CAPEX!B120,"")</f>
        <v>503</v>
      </c>
      <c r="AV120" s="448" t="str">
        <f>IF(CAPEX!C120&lt;&gt;"",CAPEX!C120,"")</f>
        <v>Beer Column Reflux Pump</v>
      </c>
      <c r="AW120" s="648" t="s">
        <v>1018</v>
      </c>
      <c r="AX120" s="448" t="str">
        <f>IF(CAPEX!F120&lt;&gt;"",CAPEX!F120,"")</f>
        <v>15 gpm</v>
      </c>
      <c r="AY120" s="1285">
        <f>IF(CAPEX!G120&lt;&gt;"",CAPEX!G120,"")</f>
        <v>2</v>
      </c>
      <c r="AZ120" s="448" t="str">
        <f>IF(CAPEX!H120&lt;&gt;"",CAPEX!H120,"")</f>
        <v>316SS</v>
      </c>
      <c r="BA120" s="1285">
        <f>IF(CAPEX!J120&lt;&gt;"",CAPEX!J120,"")</f>
        <v>1</v>
      </c>
      <c r="BB120" s="293" t="str">
        <f>CAPEX!K120</f>
        <v>INCLUDED</v>
      </c>
      <c r="BC120" s="1273" t="str">
        <f>IF(CAPEX!L120&lt;&gt;"",CAPEX!L120,"")</f>
        <v/>
      </c>
      <c r="BD120" s="902" t="str">
        <f>IF(CAPEX!M120&lt;&gt;"",CAPEX!M120,"")</f>
        <v/>
      </c>
      <c r="BE120" s="902" t="str">
        <f>IF(CAPEX!N120&lt;&gt;"",CAPEX!N120,"")</f>
        <v/>
      </c>
      <c r="BF120" s="1291" t="str">
        <f>IF(CAPEX!O120&lt;&gt;"",CAPEX!O120,"")</f>
        <v/>
      </c>
      <c r="BG120" s="901" t="str">
        <f>IF(CAPEX!P120&lt;&gt;"",CAPEX!P120,"")</f>
        <v/>
      </c>
      <c r="BH120" s="903" t="str">
        <f>IF(CAPEX!Q120&lt;&gt;"",CAPEX!Q120,"")</f>
        <v/>
      </c>
      <c r="BI120" s="903" t="str">
        <f>IF(CAPEX!R120&lt;&gt;"",CAPEX!R120,"")</f>
        <v/>
      </c>
      <c r="BJ120" s="436"/>
      <c r="BK120" s="249"/>
      <c r="BL120" s="249"/>
      <c r="BM120" s="249"/>
      <c r="BN120" s="249"/>
      <c r="BO120" s="615"/>
      <c r="BP120" s="437"/>
    </row>
    <row r="121" spans="1:68" ht="13.5" customHeight="1" thickBot="1" x14ac:dyDescent="0.25">
      <c r="C121" s="437"/>
      <c r="D121" s="1134" t="s">
        <v>2605</v>
      </c>
      <c r="E121" s="1134"/>
      <c r="F121" s="1137">
        <f ca="1">F120/'Energy Bal'!F87</f>
        <v>0.50796600392851665</v>
      </c>
      <c r="G121" s="437"/>
      <c r="H121" s="641"/>
      <c r="I121" s="661"/>
      <c r="J121" s="661" t="s">
        <v>2582</v>
      </c>
      <c r="K121" s="1117" t="s">
        <v>793</v>
      </c>
      <c r="L121" s="353">
        <f ca="1">VLOOKUP(K121,INDIRECT(LU_SENS),2,FALSE)</f>
        <v>859.48470299999997</v>
      </c>
      <c r="M121" s="353" t="s">
        <v>1864</v>
      </c>
      <c r="N121" s="356">
        <f ca="1">N120</f>
        <v>5.716754912076346E-2</v>
      </c>
      <c r="O121" s="355">
        <f>O120</f>
        <v>2016</v>
      </c>
      <c r="P121" s="356"/>
      <c r="Q121" s="354">
        <f ca="1">N121*VLOOKUP(J34,INDIRECT(IX_CHEM),4,FALSE)/VLOOKUP(O121,INDIRECT(IX_CHEM),4)</f>
        <v>4.3512402606706142E-2</v>
      </c>
      <c r="R121" s="357">
        <f ca="1">Q121*L121</f>
        <v>37.398244431241253</v>
      </c>
      <c r="S121" s="358">
        <f ca="1">($R121*$J$93/1000000)</f>
        <v>0.31436964268901396</v>
      </c>
      <c r="T121" s="358">
        <f ca="1">(S121*100)/$K$90</f>
        <v>3.4531828571243303E-2</v>
      </c>
      <c r="U121" s="470"/>
      <c r="V121" s="470"/>
      <c r="W121" s="470"/>
      <c r="X121" s="470"/>
      <c r="Y121" s="470"/>
      <c r="Z121" s="470"/>
      <c r="AA121" s="470"/>
      <c r="AB121" s="470"/>
      <c r="AC121" s="470"/>
      <c r="AD121" s="437"/>
      <c r="AE121" s="437"/>
      <c r="AF121" s="437"/>
      <c r="AG121" s="437"/>
      <c r="AH121" s="437"/>
      <c r="AI121" s="437"/>
      <c r="AJ121" s="437"/>
      <c r="AK121" s="437"/>
      <c r="AL121" s="437"/>
      <c r="AM121" s="437"/>
      <c r="AN121" s="437"/>
      <c r="AO121" s="437"/>
      <c r="AP121" s="437"/>
      <c r="AQ121" s="437"/>
      <c r="AR121" s="437"/>
      <c r="AS121" s="641"/>
      <c r="AT121" s="448" t="str">
        <f>IF(CAPEX!A121&lt;&gt;"",CAPEX!A121,"")</f>
        <v>P</v>
      </c>
      <c r="AU121" s="1263">
        <f>IF(CAPEX!B121&lt;&gt;"",CAPEX!B121,"")</f>
        <v>504</v>
      </c>
      <c r="AV121" s="448" t="str">
        <f>IF(CAPEX!C121&lt;&gt;"",CAPEX!C121,"")</f>
        <v>Rectification Column Btms Pump</v>
      </c>
      <c r="AW121" s="648" t="s">
        <v>1018</v>
      </c>
      <c r="AX121" s="448" t="str">
        <f>IF(CAPEX!F121&lt;&gt;"",CAPEX!F121,"")</f>
        <v>150 gpm</v>
      </c>
      <c r="AY121" s="1285">
        <f>IF(CAPEX!G121&lt;&gt;"",CAPEX!G121,"")</f>
        <v>15</v>
      </c>
      <c r="AZ121" s="448" t="str">
        <f>IF(CAPEX!H121&lt;&gt;"",CAPEX!H121,"")</f>
        <v>316SS</v>
      </c>
      <c r="BA121" s="1285">
        <f>IF(CAPEX!J121&lt;&gt;"",CAPEX!J121,"")</f>
        <v>1</v>
      </c>
      <c r="BB121" s="293" t="str">
        <f>CAPEX!K121</f>
        <v>INCLUDED</v>
      </c>
      <c r="BC121" s="1273" t="str">
        <f>IF(CAPEX!L121&lt;&gt;"",CAPEX!L121,"")</f>
        <v/>
      </c>
      <c r="BD121" s="902" t="str">
        <f>IF(CAPEX!M121&lt;&gt;"",CAPEX!M121,"")</f>
        <v/>
      </c>
      <c r="BE121" s="902" t="str">
        <f>IF(CAPEX!N121&lt;&gt;"",CAPEX!N121,"")</f>
        <v/>
      </c>
      <c r="BF121" s="1291" t="str">
        <f>IF(CAPEX!O121&lt;&gt;"",CAPEX!O121,"")</f>
        <v/>
      </c>
      <c r="BG121" s="901" t="str">
        <f>IF(CAPEX!P121&lt;&gt;"",CAPEX!P121,"")</f>
        <v/>
      </c>
      <c r="BH121" s="903" t="str">
        <f>IF(CAPEX!Q121&lt;&gt;"",CAPEX!Q121,"")</f>
        <v/>
      </c>
      <c r="BI121" s="903" t="str">
        <f>IF(CAPEX!R121&lt;&gt;"",CAPEX!R121,"")</f>
        <v/>
      </c>
      <c r="BJ121" s="436"/>
      <c r="BK121" s="249"/>
      <c r="BL121" s="249"/>
      <c r="BM121" s="249"/>
      <c r="BN121" s="249"/>
      <c r="BO121" s="615"/>
      <c r="BP121" s="437"/>
    </row>
    <row r="122" spans="1:68" ht="13.5" customHeight="1" thickBot="1" x14ac:dyDescent="0.25">
      <c r="C122" s="437"/>
      <c r="D122" s="437"/>
      <c r="E122" s="437"/>
      <c r="F122" s="437"/>
      <c r="G122" s="437"/>
      <c r="H122" s="641"/>
      <c r="I122" s="470"/>
      <c r="J122" s="471" t="s">
        <v>293</v>
      </c>
      <c r="K122" s="470"/>
      <c r="L122" s="64"/>
      <c r="M122" s="64"/>
      <c r="N122" s="64"/>
      <c r="O122" s="64"/>
      <c r="P122" s="64"/>
      <c r="Q122" s="72"/>
      <c r="R122" s="341">
        <f ca="1">SUM(R120:R121)</f>
        <v>594.12518112095233</v>
      </c>
      <c r="S122" s="73">
        <f ca="1">SUM(S120:S121)</f>
        <v>4.9942162725027259</v>
      </c>
      <c r="T122" s="73">
        <f ca="1">SUM(T120:T121)</f>
        <v>0.54858802107804372</v>
      </c>
      <c r="U122" s="470"/>
      <c r="V122" s="470"/>
      <c r="W122" s="470"/>
      <c r="X122" s="470"/>
      <c r="Y122" s="470"/>
      <c r="Z122" s="470"/>
      <c r="AA122" s="470"/>
      <c r="AB122" s="470"/>
      <c r="AC122" s="470"/>
      <c r="AD122" s="437"/>
      <c r="AE122" s="437"/>
      <c r="AF122" s="437"/>
      <c r="AG122" s="437"/>
      <c r="AH122" s="437"/>
      <c r="AI122" s="437"/>
      <c r="AJ122" s="437"/>
      <c r="AK122" s="437"/>
      <c r="AL122" s="437"/>
      <c r="AM122" s="437"/>
      <c r="AN122" s="437"/>
      <c r="AO122" s="437"/>
      <c r="AP122" s="437"/>
      <c r="AQ122" s="437"/>
      <c r="AR122" s="437"/>
      <c r="AS122" s="641"/>
      <c r="AT122" s="448" t="str">
        <f>IF(CAPEX!A122&lt;&gt;"",CAPEX!A122,"")</f>
        <v>P</v>
      </c>
      <c r="AU122" s="1263">
        <f>IF(CAPEX!B122&lt;&gt;"",CAPEX!B122,"")</f>
        <v>505</v>
      </c>
      <c r="AV122" s="448" t="str">
        <f>IF(CAPEX!C122&lt;&gt;"",CAPEX!C122,"")</f>
        <v>Rectification Column Reflux Pump</v>
      </c>
      <c r="AW122" s="648" t="s">
        <v>1018</v>
      </c>
      <c r="AX122" s="448" t="str">
        <f>IF(CAPEX!F122&lt;&gt;"",CAPEX!F122,"")</f>
        <v>500 gpm</v>
      </c>
      <c r="AY122" s="1285">
        <f>IF(CAPEX!G122&lt;&gt;"",CAPEX!G122,"")</f>
        <v>50</v>
      </c>
      <c r="AZ122" s="448" t="str">
        <f>IF(CAPEX!H122&lt;&gt;"",CAPEX!H122,"")</f>
        <v>316SS</v>
      </c>
      <c r="BA122" s="1285">
        <f>IF(CAPEX!J122&lt;&gt;"",CAPEX!J122,"")</f>
        <v>1</v>
      </c>
      <c r="BB122" s="293" t="str">
        <f>CAPEX!K122</f>
        <v>INCLUDED</v>
      </c>
      <c r="BC122" s="1273" t="str">
        <f>IF(CAPEX!L122&lt;&gt;"",CAPEX!L122,"")</f>
        <v/>
      </c>
      <c r="BD122" s="902" t="str">
        <f>IF(CAPEX!M122&lt;&gt;"",CAPEX!M122,"")</f>
        <v/>
      </c>
      <c r="BE122" s="902" t="str">
        <f>IF(CAPEX!N122&lt;&gt;"",CAPEX!N122,"")</f>
        <v/>
      </c>
      <c r="BF122" s="1291" t="str">
        <f>IF(CAPEX!O122&lt;&gt;"",CAPEX!O122,"")</f>
        <v/>
      </c>
      <c r="BG122" s="901" t="str">
        <f>IF(CAPEX!P122&lt;&gt;"",CAPEX!P122,"")</f>
        <v/>
      </c>
      <c r="BH122" s="903" t="str">
        <f>IF(CAPEX!Q122&lt;&gt;"",CAPEX!Q122,"")</f>
        <v/>
      </c>
      <c r="BI122" s="903" t="str">
        <f>IF(CAPEX!R122&lt;&gt;"",CAPEX!R122,"")</f>
        <v/>
      </c>
      <c r="BJ122" s="436"/>
      <c r="BK122" s="249"/>
      <c r="BL122" s="249"/>
      <c r="BM122" s="249"/>
      <c r="BN122" s="249"/>
      <c r="BO122" s="615"/>
      <c r="BP122" s="437"/>
    </row>
    <row r="123" spans="1:68" ht="13.5" customHeight="1" thickBot="1" x14ac:dyDescent="0.25">
      <c r="A123" s="641"/>
      <c r="B123" s="641"/>
      <c r="C123" s="641"/>
      <c r="D123" s="641"/>
      <c r="E123" s="641"/>
      <c r="F123" s="641"/>
      <c r="G123" s="641"/>
      <c r="H123" s="641"/>
      <c r="I123" s="470"/>
      <c r="J123" s="471"/>
      <c r="K123" s="470"/>
      <c r="L123" s="64"/>
      <c r="M123" s="64"/>
      <c r="N123" s="64"/>
      <c r="O123" s="64"/>
      <c r="P123" s="64"/>
      <c r="Q123" s="72"/>
      <c r="R123" s="341"/>
      <c r="S123" s="73"/>
      <c r="T123" s="73"/>
      <c r="U123" s="470"/>
      <c r="V123" s="470"/>
      <c r="W123" s="470"/>
      <c r="X123" s="73"/>
      <c r="Y123" s="470"/>
      <c r="Z123" s="470"/>
      <c r="AA123" s="470"/>
      <c r="AB123" s="470"/>
      <c r="AC123" s="470"/>
      <c r="AD123" s="437"/>
      <c r="AE123" s="437"/>
      <c r="AF123" s="437"/>
      <c r="AG123" s="437"/>
      <c r="AH123" s="437"/>
      <c r="AI123" s="437"/>
      <c r="AJ123" s="437"/>
      <c r="AK123" s="437"/>
      <c r="AL123" s="437"/>
      <c r="AM123" s="437"/>
      <c r="AN123" s="437"/>
      <c r="AO123" s="437"/>
      <c r="AP123" s="437"/>
      <c r="AQ123" s="437"/>
      <c r="AR123" s="437"/>
      <c r="AS123" s="641"/>
      <c r="AT123" s="448" t="str">
        <f>IF(CAPEX!A123&lt;&gt;"",CAPEX!A123,"")</f>
        <v>P</v>
      </c>
      <c r="AU123" s="1263">
        <f>IF(CAPEX!B123&lt;&gt;"",CAPEX!B123,"")</f>
        <v>506</v>
      </c>
      <c r="AV123" s="448" t="str">
        <f>IF(CAPEX!C123&lt;&gt;"",CAPEX!C123,"")</f>
        <v>Beer Column Stillage Pump</v>
      </c>
      <c r="AW123" s="648" t="s">
        <v>1018</v>
      </c>
      <c r="AX123" s="448" t="str">
        <f>IF(CAPEX!F123&lt;&gt;"",CAPEX!F123,"")</f>
        <v>2000 gpm</v>
      </c>
      <c r="AY123" s="1285">
        <f>IF(CAPEX!G123&lt;&gt;"",CAPEX!G123,"")</f>
        <v>75</v>
      </c>
      <c r="AZ123" s="448" t="str">
        <f>IF(CAPEX!H123&lt;&gt;"",CAPEX!H123,"")</f>
        <v>316SS</v>
      </c>
      <c r="BA123" s="1285">
        <f>IF(CAPEX!J123&lt;&gt;"",CAPEX!J123,"")</f>
        <v>1</v>
      </c>
      <c r="BB123" s="293" t="str">
        <f>CAPEX!K123</f>
        <v>INCLUDED</v>
      </c>
      <c r="BC123" s="1273" t="str">
        <f>IF(CAPEX!L123&lt;&gt;"",CAPEX!L123,"")</f>
        <v/>
      </c>
      <c r="BD123" s="902" t="str">
        <f>IF(CAPEX!M123&lt;&gt;"",CAPEX!M123,"")</f>
        <v/>
      </c>
      <c r="BE123" s="902" t="str">
        <f>IF(CAPEX!N123&lt;&gt;"",CAPEX!N123,"")</f>
        <v/>
      </c>
      <c r="BF123" s="1291" t="str">
        <f>IF(CAPEX!O123&lt;&gt;"",CAPEX!O123,"")</f>
        <v/>
      </c>
      <c r="BG123" s="901" t="str">
        <f>IF(CAPEX!P123&lt;&gt;"",CAPEX!P123,"")</f>
        <v/>
      </c>
      <c r="BH123" s="903" t="str">
        <f>IF(CAPEX!Q123&lt;&gt;"",CAPEX!Q123,"")</f>
        <v/>
      </c>
      <c r="BI123" s="903" t="str">
        <f>IF(CAPEX!R123&lt;&gt;"",CAPEX!R123,"")</f>
        <v/>
      </c>
      <c r="BJ123" s="436"/>
      <c r="BK123" s="249"/>
      <c r="BL123" s="249"/>
      <c r="BM123" s="249"/>
      <c r="BN123" s="249"/>
      <c r="BO123" s="615"/>
      <c r="BP123" s="437"/>
    </row>
    <row r="124" spans="1:68" ht="13.5" customHeight="1" thickBot="1" x14ac:dyDescent="0.25">
      <c r="A124" s="437"/>
      <c r="B124" s="437"/>
      <c r="C124" s="437"/>
      <c r="D124" s="437"/>
      <c r="E124" s="437"/>
      <c r="F124" s="437"/>
      <c r="G124" s="437"/>
      <c r="H124" s="641"/>
      <c r="I124" s="470"/>
      <c r="J124" s="471" t="s">
        <v>296</v>
      </c>
      <c r="K124" s="470"/>
      <c r="L124" s="64"/>
      <c r="M124" s="64"/>
      <c r="N124" s="64"/>
      <c r="O124" s="64"/>
      <c r="P124" s="64"/>
      <c r="Q124" s="64"/>
      <c r="R124" s="341">
        <f ca="1">R117+R113-R120</f>
        <v>9674.2815030164857</v>
      </c>
      <c r="S124" s="341">
        <f ca="1">S117+S113-S120</f>
        <v>81.322010314356589</v>
      </c>
      <c r="T124" s="341">
        <f ca="1">T117+T113-T120</f>
        <v>8.9327891052833461</v>
      </c>
      <c r="U124" s="470"/>
      <c r="V124" s="470"/>
      <c r="W124" s="470"/>
      <c r="X124" s="470"/>
      <c r="Y124" s="470"/>
      <c r="Z124" s="470"/>
      <c r="AA124" s="470"/>
      <c r="AB124" s="470"/>
      <c r="AC124" s="470"/>
      <c r="AD124" s="437"/>
      <c r="AE124" s="437"/>
      <c r="AF124" s="437"/>
      <c r="AG124" s="437"/>
      <c r="AH124" s="437"/>
      <c r="AI124" s="437"/>
      <c r="AJ124" s="437"/>
      <c r="AK124" s="437"/>
      <c r="AL124" s="437"/>
      <c r="AM124" s="437"/>
      <c r="AN124" s="437"/>
      <c r="AO124" s="437"/>
      <c r="AP124" s="437"/>
      <c r="AQ124" s="437"/>
      <c r="AR124" s="437"/>
      <c r="AS124" s="641"/>
      <c r="AT124" s="448" t="str">
        <f>IF(CAPEX!A124&lt;&gt;"",CAPEX!A124,"")</f>
        <v>P</v>
      </c>
      <c r="AU124" s="1263">
        <f>IF(CAPEX!B124&lt;&gt;"",CAPEX!B124,"")</f>
        <v>515</v>
      </c>
      <c r="AV124" s="448" t="str">
        <f>IF(CAPEX!C124&lt;&gt;"",CAPEX!C124,"")</f>
        <v>Scrubber Bottoms Pump</v>
      </c>
      <c r="AW124" s="662" t="s">
        <v>991</v>
      </c>
      <c r="AX124" s="448" t="str">
        <f>IF(CAPEX!F124&lt;&gt;"",CAPEX!F124,"")</f>
        <v>108 GPM, 104 FT TDH</v>
      </c>
      <c r="AY124" s="1285" t="str">
        <f>IF(CAPEX!G124&lt;&gt;"",CAPEX!G124,"")</f>
        <v/>
      </c>
      <c r="AZ124" s="448" t="str">
        <f>IF(CAPEX!H124&lt;&gt;"",CAPEX!H124,"")</f>
        <v>316SS</v>
      </c>
      <c r="BA124" s="1285">
        <f>IF(CAPEX!J124&lt;&gt;"",CAPEX!J124,"")</f>
        <v>1</v>
      </c>
      <c r="BB124" s="293">
        <f>CAPEX!K124</f>
        <v>6300</v>
      </c>
      <c r="BC124" s="1272">
        <f>IF(CAPEX!L124&lt;&gt;"",CAPEX!L124,"")</f>
        <v>2009</v>
      </c>
      <c r="BD124" s="912">
        <v>0</v>
      </c>
      <c r="BE124" s="900" t="s">
        <v>986</v>
      </c>
      <c r="BF124" s="1295">
        <f>IF(CAPEX!O124&lt;&gt;"",CAPEX!O124,"")</f>
        <v>24527</v>
      </c>
      <c r="BG124" s="904" t="str">
        <f>IF(CAPEX!P124&lt;&gt;"",CAPEX!P124,"")</f>
        <v>kg/hr</v>
      </c>
      <c r="BH124" s="907">
        <f>IF(CAPEX!Q124&lt;&gt;"",CAPEX!Q124,"")</f>
        <v>0.8</v>
      </c>
      <c r="BI124" s="907">
        <f>IF(CAPEX!R124&lt;&gt;"",CAPEX!R124,"")</f>
        <v>2.2999999999999998</v>
      </c>
      <c r="BJ124" s="436">
        <f t="shared" ref="BJ124:BJ130" ca="1" si="78">IF(BE124&lt;&gt;"",VLOOKUP(BE124,INDIRECT(LU_SENS),2,FALSE),"")</f>
        <v>27138.3868</v>
      </c>
      <c r="BK124" s="239">
        <f t="shared" ref="BK124:BK130" ca="1" si="79">BJ124/BF124</f>
        <v>1.1064698821706691</v>
      </c>
      <c r="BL124" s="238">
        <f t="shared" ref="BL124:BL130" ca="1" si="80">BD124*BK124^BH124</f>
        <v>0</v>
      </c>
      <c r="BM124" s="238">
        <f t="shared" ref="BM124:BM130" ca="1" si="81">BL124*VLOOKUP($J$34,INDIRECT(IX_CAP),4,FALSE)/VLOOKUP(BC124,INDIRECT(IX_CAP),4,FALSE)</f>
        <v>0</v>
      </c>
      <c r="BN124" s="238">
        <f t="shared" ref="BN124:BN130" ca="1" si="82">BM124*BI124</f>
        <v>0</v>
      </c>
      <c r="BO124" s="615"/>
      <c r="BP124" s="437"/>
    </row>
    <row r="125" spans="1:68" ht="13.5" customHeight="1" thickBot="1" x14ac:dyDescent="0.25">
      <c r="A125" s="437" t="s">
        <v>2129</v>
      </c>
      <c r="B125" s="664" t="str">
        <f>CASEID</f>
        <v>DW1102A</v>
      </c>
      <c r="C125" s="437"/>
      <c r="D125" s="437"/>
      <c r="E125" s="437"/>
      <c r="F125" s="437"/>
      <c r="G125" s="437"/>
      <c r="H125" s="641"/>
      <c r="P125" s="72"/>
      <c r="Q125" s="470"/>
      <c r="R125" s="470"/>
      <c r="S125" s="470"/>
      <c r="T125" s="470"/>
      <c r="U125" s="470"/>
      <c r="V125" s="470"/>
      <c r="W125" s="470"/>
      <c r="X125" s="470"/>
      <c r="Y125" s="470"/>
      <c r="Z125" s="470"/>
      <c r="AA125" s="470"/>
      <c r="AB125" s="470"/>
      <c r="AC125" s="470"/>
      <c r="AD125" s="437"/>
      <c r="AE125" s="437"/>
      <c r="AF125" s="437"/>
      <c r="AG125" s="437"/>
      <c r="AH125" s="437"/>
      <c r="AI125" s="437"/>
      <c r="AJ125" s="437"/>
      <c r="AK125" s="437"/>
      <c r="AL125" s="437"/>
      <c r="AM125" s="437"/>
      <c r="AN125" s="437"/>
      <c r="AO125" s="437"/>
      <c r="AP125" s="437"/>
      <c r="AQ125" s="437"/>
      <c r="AR125" s="437"/>
      <c r="AS125" s="641"/>
      <c r="AT125" s="448" t="str">
        <f>IF(CAPEX!A125&lt;&gt;"",CAPEX!A125,"")</f>
        <v>P</v>
      </c>
      <c r="AU125" s="1263">
        <f>IF(CAPEX!B125&lt;&gt;"",CAPEX!B125,"")</f>
        <v>530</v>
      </c>
      <c r="AV125" s="448" t="str">
        <f>IF(CAPEX!C125&lt;&gt;"",CAPEX!C125,"")</f>
        <v>Filtrate Tank Discharge Pump</v>
      </c>
      <c r="AW125" s="648" t="s">
        <v>1691</v>
      </c>
      <c r="AX125" s="448" t="str">
        <f>IF(CAPEX!F125&lt;&gt;"",CAPEX!F125,"")</f>
        <v>590 GPM, 100 FT TDH SIZE 4X3-13</v>
      </c>
      <c r="AY125" s="1285" t="str">
        <f>IF(CAPEX!G125&lt;&gt;"",CAPEX!G125,"")</f>
        <v/>
      </c>
      <c r="AZ125" s="448" t="str">
        <f>IF(CAPEX!H125&lt;&gt;"",CAPEX!H125,"")</f>
        <v>SS</v>
      </c>
      <c r="BA125" s="1285">
        <f>IF(CAPEX!J125&lt;&gt;"",CAPEX!J125,"")</f>
        <v>1</v>
      </c>
      <c r="BB125" s="293">
        <f>CAPEX!K125</f>
        <v>13040</v>
      </c>
      <c r="BC125" s="1272">
        <f>IF(CAPEX!L125&lt;&gt;"",CAPEX!L125,"")</f>
        <v>2010</v>
      </c>
      <c r="BD125" s="912">
        <v>0</v>
      </c>
      <c r="BE125" s="900" t="s">
        <v>3441</v>
      </c>
      <c r="BF125" s="1293">
        <f>IF(CAPEX!O125&lt;&gt;"",CAPEX!O125,"")</f>
        <v>31815</v>
      </c>
      <c r="BG125" s="898" t="str">
        <f>IF(CAPEX!P125&lt;&gt;"",CAPEX!P125,"")</f>
        <v>kg/hr</v>
      </c>
      <c r="BH125" s="907">
        <f>IF(CAPEX!Q125&lt;&gt;"",CAPEX!Q125,"")</f>
        <v>0.8</v>
      </c>
      <c r="BI125" s="907">
        <f>IF(CAPEX!R125&lt;&gt;"",CAPEX!R125,"")</f>
        <v>2.2999999999999998</v>
      </c>
      <c r="BJ125" s="436">
        <f t="shared" ca="1" si="78"/>
        <v>39530.811800000003</v>
      </c>
      <c r="BK125" s="239">
        <f t="shared" ca="1" si="79"/>
        <v>1.2425211944051548</v>
      </c>
      <c r="BL125" s="238">
        <f t="shared" ca="1" si="80"/>
        <v>0</v>
      </c>
      <c r="BM125" s="238">
        <f t="shared" ca="1" si="81"/>
        <v>0</v>
      </c>
      <c r="BN125" s="238">
        <f t="shared" ca="1" si="82"/>
        <v>0</v>
      </c>
      <c r="BO125" s="615"/>
      <c r="BP125" s="437"/>
    </row>
    <row r="126" spans="1:68" ht="13.5" customHeight="1" thickBot="1" x14ac:dyDescent="0.25">
      <c r="A126" s="437"/>
      <c r="B126" s="437"/>
      <c r="C126" s="437"/>
      <c r="G126" s="437"/>
      <c r="H126" s="641"/>
      <c r="I126" s="470"/>
      <c r="J126" s="470"/>
      <c r="K126" s="64"/>
      <c r="L126" s="81" t="s">
        <v>1865</v>
      </c>
      <c r="M126" s="72"/>
      <c r="N126" s="64"/>
      <c r="O126" s="72"/>
      <c r="P126" s="72"/>
      <c r="Q126" s="470"/>
      <c r="R126" s="470"/>
      <c r="S126" s="470"/>
      <c r="T126" s="470"/>
      <c r="U126" s="470"/>
      <c r="V126" s="470"/>
      <c r="W126" s="470"/>
      <c r="X126" s="470"/>
      <c r="Y126" s="470"/>
      <c r="Z126" s="470"/>
      <c r="AA126" s="470"/>
      <c r="AB126" s="470"/>
      <c r="AC126" s="470"/>
      <c r="AD126" s="437"/>
      <c r="AE126" s="437"/>
      <c r="AF126" s="437"/>
      <c r="AG126" s="437"/>
      <c r="AH126" s="437"/>
      <c r="AI126" s="437"/>
      <c r="AJ126" s="437"/>
      <c r="AK126" s="437"/>
      <c r="AL126" s="437"/>
      <c r="AM126" s="437"/>
      <c r="AN126" s="437"/>
      <c r="AO126" s="437"/>
      <c r="AP126" s="437"/>
      <c r="AQ126" s="437"/>
      <c r="AR126" s="437"/>
      <c r="AS126" s="641"/>
      <c r="AT126" s="448" t="str">
        <f>IF(CAPEX!A126&lt;&gt;"",CAPEX!A126,"")</f>
        <v>P</v>
      </c>
      <c r="AU126" s="1263">
        <f>IF(CAPEX!B126&lt;&gt;"",CAPEX!B126,"")</f>
        <v>531</v>
      </c>
      <c r="AV126" s="448" t="str">
        <f>IF(CAPEX!C126&lt;&gt;"",CAPEX!C126,"")</f>
        <v>Feed Pump</v>
      </c>
      <c r="AW126" s="648" t="s">
        <v>1695</v>
      </c>
      <c r="AX126" s="448" t="str">
        <f>IF(CAPEX!F126&lt;&gt;"",CAPEX!F126,"")</f>
        <v>1014 GPM 230 FT TDH SIZE 8X6-15</v>
      </c>
      <c r="AY126" s="1285" t="str">
        <f>IF(CAPEX!G126&lt;&gt;"",CAPEX!G126,"")</f>
        <v>100 hp</v>
      </c>
      <c r="AZ126" s="448" t="str">
        <f>IF(CAPEX!H126&lt;&gt;"",CAPEX!H126,"")</f>
        <v>SS</v>
      </c>
      <c r="BA126" s="1285">
        <f>IF(CAPEX!J126&lt;&gt;"",CAPEX!J126,"")</f>
        <v>1</v>
      </c>
      <c r="BB126" s="293">
        <f>CAPEX!K126</f>
        <v>18173</v>
      </c>
      <c r="BC126" s="1272">
        <f>IF(CAPEX!L126&lt;&gt;"",CAPEX!L126,"")</f>
        <v>2010</v>
      </c>
      <c r="BD126" s="912">
        <v>0</v>
      </c>
      <c r="BE126" s="900" t="s">
        <v>3441</v>
      </c>
      <c r="BF126" s="1293">
        <f>IF(CAPEX!O126&lt;&gt;"",CAPEX!O126,"")</f>
        <v>31815</v>
      </c>
      <c r="BG126" s="898" t="str">
        <f>IF(CAPEX!P126&lt;&gt;"",CAPEX!P126,"")</f>
        <v>kg/hr</v>
      </c>
      <c r="BH126" s="907">
        <f>IF(CAPEX!Q126&lt;&gt;"",CAPEX!Q126,"")</f>
        <v>0.8</v>
      </c>
      <c r="BI126" s="907">
        <f>IF(CAPEX!R126&lt;&gt;"",CAPEX!R126,"")</f>
        <v>2.2999999999999998</v>
      </c>
      <c r="BJ126" s="436">
        <f t="shared" ca="1" si="78"/>
        <v>39530.811800000003</v>
      </c>
      <c r="BK126" s="239">
        <f t="shared" ca="1" si="79"/>
        <v>1.2425211944051548</v>
      </c>
      <c r="BL126" s="238">
        <f t="shared" ca="1" si="80"/>
        <v>0</v>
      </c>
      <c r="BM126" s="238">
        <f t="shared" ca="1" si="81"/>
        <v>0</v>
      </c>
      <c r="BN126" s="238">
        <f t="shared" ca="1" si="82"/>
        <v>0</v>
      </c>
      <c r="BO126" s="615"/>
      <c r="BP126" s="437"/>
    </row>
    <row r="127" spans="1:68" ht="13.5" customHeight="1" thickBot="1" x14ac:dyDescent="0.25">
      <c r="A127" s="437"/>
      <c r="B127" s="437"/>
      <c r="C127" s="437"/>
      <c r="D127" s="437"/>
      <c r="E127" s="437"/>
      <c r="F127" s="437"/>
      <c r="G127" s="437"/>
      <c r="H127" s="641"/>
      <c r="I127" s="470"/>
      <c r="J127" s="470"/>
      <c r="K127" s="64" t="s">
        <v>301</v>
      </c>
      <c r="L127" s="64" t="s">
        <v>301</v>
      </c>
      <c r="M127" s="72" t="s">
        <v>302</v>
      </c>
      <c r="N127" s="64"/>
      <c r="O127" s="72"/>
      <c r="P127" s="72"/>
      <c r="Q127" s="470"/>
      <c r="R127" s="470"/>
      <c r="S127" s="470"/>
      <c r="T127" s="470"/>
      <c r="U127" s="470"/>
      <c r="V127" s="470"/>
      <c r="W127" s="470"/>
      <c r="X127" s="470"/>
      <c r="Y127" s="470"/>
      <c r="Z127" s="470"/>
      <c r="AA127" s="470"/>
      <c r="AB127" s="470"/>
      <c r="AC127" s="470"/>
      <c r="AD127" s="437"/>
      <c r="AE127" s="437"/>
      <c r="AF127" s="437"/>
      <c r="AG127" s="437"/>
      <c r="AH127" s="437"/>
      <c r="AI127" s="437"/>
      <c r="AJ127" s="437"/>
      <c r="AK127" s="437"/>
      <c r="AL127" s="437"/>
      <c r="AM127" s="437"/>
      <c r="AN127" s="437"/>
      <c r="AO127" s="437"/>
      <c r="AP127" s="437"/>
      <c r="AQ127" s="437"/>
      <c r="AR127" s="437"/>
      <c r="AS127" s="641"/>
      <c r="AT127" s="448" t="str">
        <f>IF(CAPEX!A127&lt;&gt;"",CAPEX!A127,"")</f>
        <v>P</v>
      </c>
      <c r="AU127" s="1263">
        <f>IF(CAPEX!B127&lt;&gt;"",CAPEX!B127,"")</f>
        <v>532</v>
      </c>
      <c r="AV127" s="448" t="str">
        <f>IF(CAPEX!C127&lt;&gt;"",CAPEX!C127,"")</f>
        <v>Manifold Flush Pump</v>
      </c>
      <c r="AW127" s="648" t="s">
        <v>1695</v>
      </c>
      <c r="AX127" s="448" t="str">
        <f>IF(CAPEX!F127&lt;&gt;"",CAPEX!F127,"")</f>
        <v/>
      </c>
      <c r="AY127" s="1285" t="str">
        <f>IF(CAPEX!G127&lt;&gt;"",CAPEX!G127,"")</f>
        <v>100 hp</v>
      </c>
      <c r="AZ127" s="448" t="str">
        <f>IF(CAPEX!H127&lt;&gt;"",CAPEX!H127,"")</f>
        <v>SS</v>
      </c>
      <c r="BA127" s="1285">
        <f>IF(CAPEX!J127&lt;&gt;"",CAPEX!J127,"")</f>
        <v>1</v>
      </c>
      <c r="BB127" s="293">
        <f>CAPEX!K127</f>
        <v>17057</v>
      </c>
      <c r="BC127" s="1272">
        <f>IF(CAPEX!L127&lt;&gt;"",CAPEX!L127,"")</f>
        <v>2010</v>
      </c>
      <c r="BD127" s="912">
        <v>0</v>
      </c>
      <c r="BE127" s="900" t="s">
        <v>3441</v>
      </c>
      <c r="BF127" s="1293">
        <f>IF(CAPEX!O127&lt;&gt;"",CAPEX!O127,"")</f>
        <v>31815</v>
      </c>
      <c r="BG127" s="898" t="str">
        <f>IF(CAPEX!P127&lt;&gt;"",CAPEX!P127,"")</f>
        <v>kg/hr</v>
      </c>
      <c r="BH127" s="907">
        <f>IF(CAPEX!Q127&lt;&gt;"",CAPEX!Q127,"")</f>
        <v>0.8</v>
      </c>
      <c r="BI127" s="907">
        <f>IF(CAPEX!R127&lt;&gt;"",CAPEX!R127,"")</f>
        <v>2.2999999999999998</v>
      </c>
      <c r="BJ127" s="436">
        <f t="shared" ca="1" si="78"/>
        <v>39530.811800000003</v>
      </c>
      <c r="BK127" s="239">
        <f t="shared" ca="1" si="79"/>
        <v>1.2425211944051548</v>
      </c>
      <c r="BL127" s="238">
        <f t="shared" ca="1" si="80"/>
        <v>0</v>
      </c>
      <c r="BM127" s="238">
        <f t="shared" ca="1" si="81"/>
        <v>0</v>
      </c>
      <c r="BN127" s="238">
        <f t="shared" ca="1" si="82"/>
        <v>0</v>
      </c>
      <c r="BO127" s="615"/>
      <c r="BP127" s="437"/>
    </row>
    <row r="128" spans="1:68" ht="13.5" customHeight="1" x14ac:dyDescent="0.2">
      <c r="A128" s="437"/>
      <c r="B128" s="437"/>
      <c r="C128" s="437"/>
      <c r="D128" s="437"/>
      <c r="E128" s="437"/>
      <c r="F128" s="437"/>
      <c r="G128" s="437"/>
      <c r="H128" s="641"/>
      <c r="I128" s="470" t="s">
        <v>303</v>
      </c>
      <c r="J128" s="540" t="s">
        <v>603</v>
      </c>
      <c r="K128" s="64">
        <f ca="1">VLOOKUP(J128,INDIRECT(LU_SENS),2,FALSE)</f>
        <v>29204.880399999995</v>
      </c>
      <c r="L128" s="64">
        <f ca="1">K128*0.568256</f>
        <v>16595.848516582395</v>
      </c>
      <c r="M128" s="359">
        <f ca="1">L128*$J$93/($K$137*3.7854*1000000)</f>
        <v>46.985371162356927</v>
      </c>
      <c r="N128" s="64"/>
      <c r="O128" s="72"/>
      <c r="P128" s="72"/>
      <c r="Q128" s="470"/>
      <c r="R128" s="470"/>
      <c r="S128" s="470"/>
      <c r="T128" s="470"/>
      <c r="U128" s="470"/>
      <c r="V128" s="470"/>
      <c r="W128" s="470"/>
      <c r="X128" s="470"/>
      <c r="Y128" s="470"/>
      <c r="Z128" s="470"/>
      <c r="AA128" s="470"/>
      <c r="AB128" s="470"/>
      <c r="AC128" s="470"/>
      <c r="AD128" s="437"/>
      <c r="AE128" s="437"/>
      <c r="AF128" s="437"/>
      <c r="AG128" s="437"/>
      <c r="AH128" s="437"/>
      <c r="AI128" s="437"/>
      <c r="AJ128" s="437"/>
      <c r="AK128" s="437"/>
      <c r="AL128" s="437"/>
      <c r="AM128" s="437"/>
      <c r="AN128" s="437"/>
      <c r="AO128" s="437"/>
      <c r="AP128" s="437"/>
      <c r="AQ128" s="437"/>
      <c r="AR128" s="437"/>
      <c r="AS128" s="641"/>
      <c r="AT128" s="448" t="str">
        <f>IF(CAPEX!A128&lt;&gt;"",CAPEX!A128,"")</f>
        <v>P</v>
      </c>
      <c r="AU128" s="1263">
        <f>IF(CAPEX!B128&lt;&gt;"",CAPEX!B128,"")</f>
        <v>533</v>
      </c>
      <c r="AV128" s="448" t="str">
        <f>IF(CAPEX!C128&lt;&gt;"",CAPEX!C128,"")</f>
        <v>Cloth Wash Pump</v>
      </c>
      <c r="AW128" s="648" t="s">
        <v>1695</v>
      </c>
      <c r="AX128" s="448" t="str">
        <f>IF(CAPEX!F128&lt;&gt;"",CAPEX!F128,"")</f>
        <v/>
      </c>
      <c r="AY128" s="1285" t="str">
        <f>IF(CAPEX!G128&lt;&gt;"",CAPEX!G128,"")</f>
        <v>150 hp</v>
      </c>
      <c r="AZ128" s="448" t="str">
        <f>IF(CAPEX!H128&lt;&gt;"",CAPEX!H128,"")</f>
        <v>SS</v>
      </c>
      <c r="BA128" s="1285">
        <f>IF(CAPEX!J128&lt;&gt;"",CAPEX!J128,"")</f>
        <v>1</v>
      </c>
      <c r="BB128" s="293">
        <f>CAPEX!K128</f>
        <v>29154</v>
      </c>
      <c r="BC128" s="1272">
        <f>IF(CAPEX!L128&lt;&gt;"",CAPEX!L128,"")</f>
        <v>2010</v>
      </c>
      <c r="BD128" s="912">
        <v>0</v>
      </c>
      <c r="BE128" s="900" t="s">
        <v>3441</v>
      </c>
      <c r="BF128" s="1293">
        <f>IF(CAPEX!O128&lt;&gt;"",CAPEX!O128,"")</f>
        <v>31815</v>
      </c>
      <c r="BG128" s="898" t="str">
        <f>IF(CAPEX!P128&lt;&gt;"",CAPEX!P128,"")</f>
        <v>kg/hr</v>
      </c>
      <c r="BH128" s="907">
        <f>IF(CAPEX!Q128&lt;&gt;"",CAPEX!Q128,"")</f>
        <v>0.8</v>
      </c>
      <c r="BI128" s="907">
        <f>IF(CAPEX!R128&lt;&gt;"",CAPEX!R128,"")</f>
        <v>2.2999999999999998</v>
      </c>
      <c r="BJ128" s="436">
        <f t="shared" ca="1" si="78"/>
        <v>39530.811800000003</v>
      </c>
      <c r="BK128" s="239">
        <f t="shared" ca="1" si="79"/>
        <v>1.2425211944051548</v>
      </c>
      <c r="BL128" s="238">
        <f t="shared" ca="1" si="80"/>
        <v>0</v>
      </c>
      <c r="BM128" s="238">
        <f t="shared" ca="1" si="81"/>
        <v>0</v>
      </c>
      <c r="BN128" s="238">
        <f t="shared" ca="1" si="82"/>
        <v>0</v>
      </c>
      <c r="BO128" s="615"/>
      <c r="BP128" s="437"/>
    </row>
    <row r="129" spans="1:68" ht="13.5" customHeight="1" thickBot="1" x14ac:dyDescent="0.25">
      <c r="H129" s="641"/>
      <c r="I129" s="470" t="s">
        <v>304</v>
      </c>
      <c r="J129" s="540" t="s">
        <v>606</v>
      </c>
      <c r="K129" s="64">
        <f ca="1">VLOOKUP(J129,INDIRECT(LU_SENS),2,FALSE)</f>
        <v>16273.075999999997</v>
      </c>
      <c r="L129" s="64">
        <f ca="1">K129*0.58117</f>
        <v>9457.4235789199975</v>
      </c>
      <c r="M129" s="359">
        <f ca="1">L129*$J$93/($K$137*3.7854*1000000)</f>
        <v>26.775404502588813</v>
      </c>
      <c r="N129" s="64"/>
      <c r="O129" s="72"/>
      <c r="P129" s="72"/>
      <c r="Q129" s="470"/>
      <c r="R129" s="470"/>
      <c r="S129" s="470"/>
      <c r="T129" s="470"/>
      <c r="U129" s="470"/>
      <c r="V129" s="470"/>
      <c r="W129" s="470"/>
      <c r="X129" s="470"/>
      <c r="Y129" s="470"/>
      <c r="Z129" s="470"/>
      <c r="AA129" s="470"/>
      <c r="AB129" s="470"/>
      <c r="AC129" s="470"/>
      <c r="AD129" s="437"/>
      <c r="AE129" s="437"/>
      <c r="AF129" s="437"/>
      <c r="AG129" s="437"/>
      <c r="AH129" s="437"/>
      <c r="AI129" s="437"/>
      <c r="AJ129" s="437"/>
      <c r="AK129" s="437"/>
      <c r="AL129" s="437"/>
      <c r="AM129" s="437"/>
      <c r="AN129" s="437"/>
      <c r="AO129" s="437"/>
      <c r="AP129" s="437"/>
      <c r="AQ129" s="437"/>
      <c r="AR129" s="437"/>
      <c r="AS129" s="641"/>
      <c r="AT129" s="294" t="s">
        <v>881</v>
      </c>
      <c r="AU129" s="1267">
        <v>534</v>
      </c>
      <c r="AV129" s="910" t="s">
        <v>1866</v>
      </c>
      <c r="AW129" s="648" t="s">
        <v>1018</v>
      </c>
      <c r="AX129" s="647" t="s">
        <v>1689</v>
      </c>
      <c r="AY129" s="1305">
        <v>75</v>
      </c>
      <c r="AZ129" s="449" t="s">
        <v>909</v>
      </c>
      <c r="BA129" s="1287">
        <v>1</v>
      </c>
      <c r="BB129" s="295">
        <v>6300</v>
      </c>
      <c r="BC129" s="1278">
        <v>2009</v>
      </c>
      <c r="BD129" s="252">
        <f>BB129</f>
        <v>6300</v>
      </c>
      <c r="BE129" s="236" t="s">
        <v>3442</v>
      </c>
      <c r="BF129" s="1299">
        <v>24527</v>
      </c>
      <c r="BG129" s="911" t="s">
        <v>287</v>
      </c>
      <c r="BH129" s="253">
        <v>0.8</v>
      </c>
      <c r="BI129" s="245">
        <v>2.2999999999999998</v>
      </c>
      <c r="BJ129" s="436">
        <f t="shared" ca="1" si="78"/>
        <v>136251.514</v>
      </c>
      <c r="BK129" s="239">
        <f t="shared" ca="1" si="79"/>
        <v>5.555164267949606</v>
      </c>
      <c r="BL129" s="238">
        <f t="shared" ca="1" si="80"/>
        <v>24836.939190322195</v>
      </c>
      <c r="BM129" s="238">
        <f t="shared" ca="1" si="81"/>
        <v>25003.502300431657</v>
      </c>
      <c r="BN129" s="238">
        <f t="shared" ca="1" si="82"/>
        <v>57508.055290992808</v>
      </c>
      <c r="BO129" s="615"/>
      <c r="BP129" s="437"/>
    </row>
    <row r="130" spans="1:68" ht="13.5" customHeight="1" thickBot="1" x14ac:dyDescent="0.25">
      <c r="H130" s="641"/>
      <c r="I130" s="470" t="s">
        <v>305</v>
      </c>
      <c r="J130" s="540" t="s">
        <v>602</v>
      </c>
      <c r="K130" s="64">
        <f ca="1">VLOOKUP(J130,INDIRECT(LU_SENS),2,FALSE)</f>
        <v>1983.0988700000003</v>
      </c>
      <c r="L130" s="64">
        <f ca="1">K130*0.58117</f>
        <v>1152.5175702779002</v>
      </c>
      <c r="M130" s="359">
        <f ca="1">L130*$J$93/($K$137*3.7854*1000000)</f>
        <v>3.2629525243338637</v>
      </c>
      <c r="N130" s="64"/>
      <c r="O130" s="72"/>
      <c r="P130" s="72"/>
      <c r="Q130" s="470"/>
      <c r="R130" s="470"/>
      <c r="S130" s="470"/>
      <c r="T130" s="470"/>
      <c r="U130" s="470"/>
      <c r="V130" s="470"/>
      <c r="W130" s="470"/>
      <c r="X130" s="470"/>
      <c r="Y130" s="470"/>
      <c r="Z130" s="470"/>
      <c r="AA130" s="470"/>
      <c r="AB130" s="470"/>
      <c r="AC130" s="470"/>
      <c r="AD130" s="437"/>
      <c r="AE130" s="437"/>
      <c r="AF130" s="437"/>
      <c r="AG130" s="437"/>
      <c r="AH130" s="437"/>
      <c r="AI130" s="437"/>
      <c r="AJ130" s="437"/>
      <c r="AK130" s="437"/>
      <c r="AL130" s="437"/>
      <c r="AM130" s="437"/>
      <c r="AN130" s="437"/>
      <c r="AO130" s="437"/>
      <c r="AP130" s="437"/>
      <c r="AQ130" s="437"/>
      <c r="AR130" s="437"/>
      <c r="AS130" s="641"/>
      <c r="AT130" s="448" t="str">
        <f>IF(CAPEX!A129&lt;&gt;"",CAPEX!A129,"")</f>
        <v>P</v>
      </c>
      <c r="AU130" s="1263">
        <f>IF(CAPEX!B129&lt;&gt;"",CAPEX!B129,"")</f>
        <v>581</v>
      </c>
      <c r="AV130" s="448" t="str">
        <f>IF(CAPEX!C129&lt;&gt;"",CAPEX!C129,"")</f>
        <v>Filtrate Discharge Pump</v>
      </c>
      <c r="AW130" s="448" t="e">
        <f>IF(CAPEX!#REF!&lt;&gt;"",CAPEX!#REF!,"")</f>
        <v>#REF!</v>
      </c>
      <c r="AX130" s="448" t="str">
        <f>IF(CAPEX!F129&lt;&gt;"",CAPEX!F129,"")</f>
        <v>590 GPM, 100 FT TDH SIZE 4X3-13</v>
      </c>
      <c r="AY130" s="1285" t="str">
        <f>IF(CAPEX!G129&lt;&gt;"",CAPEX!G129,"")</f>
        <v>75 hp</v>
      </c>
      <c r="AZ130" s="448" t="str">
        <f>IF(CAPEX!H129&lt;&gt;"",CAPEX!H129,"")</f>
        <v>SS</v>
      </c>
      <c r="BA130" s="1285">
        <f>IF(CAPEX!J129&lt;&gt;"",CAPEX!J129,"")</f>
        <v>1</v>
      </c>
      <c r="BB130" s="293">
        <f>CAPEX!K129</f>
        <v>13040</v>
      </c>
      <c r="BC130" s="1272">
        <f>IF(CAPEX!L129&lt;&gt;"",CAPEX!L129,"")</f>
        <v>2010</v>
      </c>
      <c r="BD130" s="912">
        <v>0</v>
      </c>
      <c r="BE130" s="900" t="s">
        <v>3441</v>
      </c>
      <c r="BF130" s="1293">
        <f>IF(CAPEX!O129&lt;&gt;"",CAPEX!O129,"")</f>
        <v>31815</v>
      </c>
      <c r="BG130" s="898" t="str">
        <f>IF(CAPEX!P129&lt;&gt;"",CAPEX!P129,"")</f>
        <v>kg/hr</v>
      </c>
      <c r="BH130" s="907">
        <f>IF(CAPEX!Q129&lt;&gt;"",CAPEX!Q129,"")</f>
        <v>0.8</v>
      </c>
      <c r="BI130" s="907">
        <f>IF(CAPEX!R129&lt;&gt;"",CAPEX!R129,"")</f>
        <v>2.2999999999999998</v>
      </c>
      <c r="BJ130" s="436">
        <f t="shared" ca="1" si="78"/>
        <v>39530.811800000003</v>
      </c>
      <c r="BK130" s="239">
        <f t="shared" ca="1" si="79"/>
        <v>1.2425211944051548</v>
      </c>
      <c r="BL130" s="238">
        <f t="shared" ca="1" si="80"/>
        <v>0</v>
      </c>
      <c r="BM130" s="238">
        <f t="shared" ca="1" si="81"/>
        <v>0</v>
      </c>
      <c r="BN130" s="238">
        <f t="shared" ca="1" si="82"/>
        <v>0</v>
      </c>
      <c r="BO130" s="615"/>
      <c r="BP130" s="437"/>
    </row>
    <row r="131" spans="1:68" ht="13.5" customHeight="1" thickBot="1" x14ac:dyDescent="0.3">
      <c r="H131" s="641"/>
      <c r="I131" s="470" t="s">
        <v>306</v>
      </c>
      <c r="J131" s="540" t="s">
        <v>605</v>
      </c>
      <c r="K131" s="64">
        <f ca="1">VLOOKUP(J131,INDIRECT(LU_SENS),2,FALSE)</f>
        <v>499.94089100000002</v>
      </c>
      <c r="L131" s="64">
        <f ca="1">K131*0.568256</f>
        <v>284.094410956096</v>
      </c>
      <c r="M131" s="359">
        <f ca="1">L131*$J$93/($K$137*3.7854*1000000)</f>
        <v>0.80431448446796017</v>
      </c>
      <c r="N131" s="64"/>
      <c r="O131" s="72"/>
      <c r="P131" s="72"/>
      <c r="Q131" s="470"/>
      <c r="R131" s="470"/>
      <c r="S131" s="470"/>
      <c r="T131" s="470"/>
      <c r="U131" s="470"/>
      <c r="V131" s="470"/>
      <c r="W131" s="470"/>
      <c r="X131" s="470"/>
      <c r="Y131" s="470"/>
      <c r="Z131" s="470"/>
      <c r="AA131" s="470"/>
      <c r="AB131" s="470"/>
      <c r="AC131" s="470"/>
      <c r="AD131" s="437"/>
      <c r="AE131" s="437"/>
      <c r="AF131" s="437"/>
      <c r="AG131" s="437"/>
      <c r="AH131" s="437"/>
      <c r="AI131" s="437"/>
      <c r="AJ131" s="437"/>
      <c r="AK131" s="437"/>
      <c r="AL131" s="437"/>
      <c r="AM131" s="437"/>
      <c r="AN131" s="437"/>
      <c r="AO131" s="437"/>
      <c r="AP131" s="437"/>
      <c r="AQ131" s="437"/>
      <c r="AR131" s="437"/>
      <c r="AS131" s="641"/>
      <c r="AT131" s="280" t="s">
        <v>908</v>
      </c>
      <c r="AU131" s="281">
        <v>301</v>
      </c>
      <c r="AV131" s="1171" t="s">
        <v>2976</v>
      </c>
      <c r="AW131" s="280"/>
      <c r="AX131" s="280" t="s">
        <v>2977</v>
      </c>
      <c r="AY131" s="1288"/>
      <c r="AZ131" s="280" t="s">
        <v>649</v>
      </c>
      <c r="BA131" s="1288">
        <v>1</v>
      </c>
      <c r="BB131" s="293">
        <v>7400000</v>
      </c>
      <c r="BC131" s="1278">
        <v>2009</v>
      </c>
      <c r="BD131" s="1132">
        <f>IF(L6="Concentrated sugars",BB131,0)</f>
        <v>7400000</v>
      </c>
      <c r="BE131" s="900" t="s">
        <v>3445</v>
      </c>
      <c r="BF131" s="1293">
        <v>423095</v>
      </c>
      <c r="BG131" s="898" t="s">
        <v>287</v>
      </c>
      <c r="BH131" s="907">
        <v>0.7</v>
      </c>
      <c r="BI131" s="907">
        <v>2</v>
      </c>
      <c r="BJ131" s="436">
        <f ca="1">IF(BE131&lt;&gt;"",VLOOKUP(BE131,INDIRECT(LU_SENS),2,FALSE),"")</f>
        <v>416465.397</v>
      </c>
      <c r="BK131" s="239">
        <f ca="1">BJ131/BF131</f>
        <v>0.98433069877923396</v>
      </c>
      <c r="BL131" s="238">
        <f ca="1">BD131*BK131^BH131</f>
        <v>7318640.9380392022</v>
      </c>
      <c r="BM131" s="238">
        <f ca="1">BL131*VLOOKUP($J$34,INDIRECT(IX_CAP),4,FALSE)/VLOOKUP(BC131,INDIRECT(IX_CAP),4,FALSE)</f>
        <v>7367721.6877673818</v>
      </c>
      <c r="BN131" s="238">
        <f ca="1">BM131*BI131</f>
        <v>14735443.375534764</v>
      </c>
    </row>
    <row r="132" spans="1:68" ht="13.5" customHeight="1" thickBot="1" x14ac:dyDescent="0.3">
      <c r="A132" s="437"/>
      <c r="B132" s="437"/>
      <c r="C132" s="437"/>
      <c r="D132" s="437"/>
      <c r="E132" s="437"/>
      <c r="F132" s="437"/>
      <c r="G132" s="437"/>
      <c r="H132" s="641"/>
      <c r="I132" s="470" t="s">
        <v>307</v>
      </c>
      <c r="J132" s="540" t="s">
        <v>604</v>
      </c>
      <c r="K132" s="64">
        <f ca="1">VLOOKUP(J132,INDIRECT(LU_SENS),2,FALSE)</f>
        <v>1191.5257899999999</v>
      </c>
      <c r="L132" s="64">
        <f ca="1">K132*0.568256</f>
        <v>677.09167932223988</v>
      </c>
      <c r="M132" s="359">
        <f ca="1">L132*$J$93/($K$137*3.7854*1000000)</f>
        <v>1.9169495209667275</v>
      </c>
      <c r="N132" s="64"/>
      <c r="O132" s="72"/>
      <c r="P132" s="72"/>
      <c r="Q132" s="470"/>
      <c r="R132" s="470"/>
      <c r="S132" s="470"/>
      <c r="T132" s="470"/>
      <c r="U132" s="470"/>
      <c r="V132" s="470"/>
      <c r="W132" s="470"/>
      <c r="X132" s="470"/>
      <c r="Y132" s="470"/>
      <c r="Z132" s="470"/>
      <c r="AA132" s="470"/>
      <c r="AB132" s="470"/>
      <c r="AC132" s="470"/>
      <c r="AD132" s="437"/>
      <c r="AE132" s="437"/>
      <c r="AF132" s="437"/>
      <c r="AG132" s="437"/>
      <c r="AH132" s="437"/>
      <c r="AI132" s="437"/>
      <c r="AJ132" s="437"/>
      <c r="AK132" s="437"/>
      <c r="AL132" s="437"/>
      <c r="AM132" s="437"/>
      <c r="AN132" s="437"/>
      <c r="AO132" s="437"/>
      <c r="AP132" s="437"/>
      <c r="AQ132" s="437"/>
      <c r="AR132" s="437"/>
      <c r="AS132" s="641"/>
      <c r="AT132" s="280" t="s">
        <v>869</v>
      </c>
      <c r="AU132" s="281">
        <v>317</v>
      </c>
      <c r="AV132" s="1171" t="s">
        <v>2981</v>
      </c>
      <c r="AW132" s="280"/>
      <c r="AX132" s="280" t="str">
        <f t="shared" ref="AX132:BC132" si="83">AX114</f>
        <v xml:space="preserve">92.2 MM Btu/hr 3 cells </v>
      </c>
      <c r="AY132" s="1288" t="str">
        <f t="shared" si="83"/>
        <v>300 tot</v>
      </c>
      <c r="AZ132" s="280" t="str">
        <f t="shared" si="83"/>
        <v>CS</v>
      </c>
      <c r="BA132" s="1288">
        <f t="shared" si="83"/>
        <v>1</v>
      </c>
      <c r="BB132" s="293">
        <f t="shared" si="83"/>
        <v>487000</v>
      </c>
      <c r="BC132" s="1278">
        <f t="shared" si="83"/>
        <v>2010</v>
      </c>
      <c r="BD132" s="1132">
        <f>IF(L6="Concentrated sugars",BB132,0)</f>
        <v>487000</v>
      </c>
      <c r="BE132" s="900" t="s">
        <v>3468</v>
      </c>
      <c r="BF132" s="1293">
        <f>BF114</f>
        <v>23.2</v>
      </c>
      <c r="BG132" s="898" t="str">
        <f>BG114</f>
        <v>Gcal/hr</v>
      </c>
      <c r="BH132" s="907">
        <f>BH114</f>
        <v>0.6</v>
      </c>
      <c r="BI132" s="907">
        <f>BI114</f>
        <v>2.8</v>
      </c>
      <c r="BJ132" s="436">
        <f ca="1">IF(BE132&lt;&gt;"",VLOOKUP(BE132,INDIRECT(LU_SENS),2,FALSE),"")</f>
        <v>55.025697999999998</v>
      </c>
      <c r="BK132" s="239">
        <f ca="1">BJ132/BF132</f>
        <v>2.371797327586207</v>
      </c>
      <c r="BL132" s="238">
        <f ca="1">BD132*BK132^BH132</f>
        <v>817665.18487118685</v>
      </c>
      <c r="BM132" s="238">
        <f ca="1">BL132*VLOOKUP($J$34,INDIRECT(IX_CAP),4,FALSE)/VLOOKUP(BC132,INDIRECT(IX_CAP),4,FALSE)</f>
        <v>779958.76567051851</v>
      </c>
      <c r="BN132" s="238">
        <f ca="1">BM132*BI132</f>
        <v>2183884.5438774517</v>
      </c>
    </row>
    <row r="133" spans="1:68" ht="13.5" customHeight="1" thickBot="1" x14ac:dyDescent="0.25">
      <c r="A133" s="437"/>
      <c r="B133" s="437"/>
      <c r="C133" s="437"/>
      <c r="D133" s="437"/>
      <c r="E133" s="437"/>
      <c r="F133" s="437"/>
      <c r="G133" s="437"/>
      <c r="H133" s="641"/>
      <c r="I133" s="470"/>
      <c r="J133" s="470"/>
      <c r="K133" s="64"/>
      <c r="L133" s="64">
        <f ca="1">SUM(L128:L132)</f>
        <v>28166.975756058626</v>
      </c>
      <c r="M133" s="359"/>
      <c r="N133" s="64"/>
      <c r="O133" s="72"/>
      <c r="P133" s="72"/>
      <c r="Q133" s="470"/>
      <c r="R133" s="470"/>
      <c r="S133" s="470"/>
      <c r="T133" s="470"/>
      <c r="U133" s="470"/>
      <c r="V133" s="470"/>
      <c r="W133" s="470"/>
      <c r="X133" s="470"/>
      <c r="Y133" s="470"/>
      <c r="Z133" s="470"/>
      <c r="AA133" s="470"/>
      <c r="AB133" s="470"/>
      <c r="AC133" s="470"/>
      <c r="AD133" s="437"/>
      <c r="AE133" s="437"/>
      <c r="AF133" s="437"/>
      <c r="AG133" s="437"/>
      <c r="AH133" s="437"/>
      <c r="AI133" s="437"/>
      <c r="AJ133" s="437"/>
      <c r="AK133" s="437"/>
      <c r="AL133" s="437"/>
      <c r="AM133" s="437"/>
      <c r="AN133" s="437"/>
      <c r="AO133" s="437"/>
      <c r="AP133" s="437"/>
      <c r="AQ133" s="437"/>
      <c r="AR133" s="437"/>
      <c r="AS133" s="641"/>
      <c r="AT133" s="1161" t="str">
        <f>IF(CAPEX!A130&lt;&gt;"",CAPEX!A130,"")</f>
        <v>S</v>
      </c>
      <c r="AU133" s="1268">
        <f>IF(CAPEX!B130&lt;&gt;"",CAPEX!B130,"")</f>
        <v>505</v>
      </c>
      <c r="AV133" s="1161" t="str">
        <f>IF(CAPEX!C130&lt;&gt;"",CAPEX!C130,"")</f>
        <v>Pressure Filter</v>
      </c>
      <c r="AW133" s="1161" t="e">
        <f>IF(CAPEX!#REF!&lt;&gt;"",CAPEX!#REF!,"")</f>
        <v>#REF!</v>
      </c>
      <c r="AX133" s="1161" t="str">
        <f>IF(CAPEX!F130&lt;&gt;"",CAPEX!F130,"")</f>
        <v>384 sq. m fitration area ea incl packing</v>
      </c>
      <c r="AY133" s="1289" t="str">
        <f>IF(CAPEX!G130&lt;&gt;"",CAPEX!G130,"")</f>
        <v/>
      </c>
      <c r="AZ133" s="1161" t="str">
        <f>IF(CAPEX!H130&lt;&gt;"",CAPEX!H130,"")</f>
        <v>SS316</v>
      </c>
      <c r="BA133" s="1289">
        <f>IF(CAPEX!J130&lt;&gt;"",CAPEX!J130,"")</f>
        <v>2</v>
      </c>
      <c r="BB133" s="293">
        <f>CAPEX!K130</f>
        <v>3294700</v>
      </c>
      <c r="BC133" s="1272">
        <f>IF(CAPEX!L130&lt;&gt;"",CAPEX!L130,"")</f>
        <v>2010</v>
      </c>
      <c r="BD133" s="899">
        <f>IF(CAPEX!M130&lt;&gt;"",CAPEX!M130,"")</f>
        <v>3294700</v>
      </c>
      <c r="BE133" s="900" t="s">
        <v>3441</v>
      </c>
      <c r="BF133" s="1293">
        <f>IF(CAPEX!O130&lt;&gt;"",CAPEX!O130,"")</f>
        <v>31815</v>
      </c>
      <c r="BG133" s="898" t="str">
        <f>IF(CAPEX!P130&lt;&gt;"",CAPEX!P130,"")</f>
        <v>kg/hr</v>
      </c>
      <c r="BH133" s="907">
        <f>IF(CAPEX!Q130&lt;&gt;"",CAPEX!Q130,"")</f>
        <v>0.8</v>
      </c>
      <c r="BI133" s="907">
        <f>IF(CAPEX!R130&lt;&gt;"",CAPEX!R130,"")</f>
        <v>1.7</v>
      </c>
      <c r="BJ133" s="436">
        <f ca="1">IF(BE133&lt;&gt;"",VLOOKUP(BE133,INDIRECT(LU_SENS),2,FALSE),"")</f>
        <v>39530.811800000003</v>
      </c>
      <c r="BK133" s="239">
        <f ca="1">BJ133/BF133</f>
        <v>1.2425211944051548</v>
      </c>
      <c r="BL133" s="238">
        <f ca="1">BD133*BK133^BH133</f>
        <v>3919754.9776217784</v>
      </c>
      <c r="BM133" s="238">
        <f ca="1">BL133*VLOOKUP($J$34,INDIRECT(IX_CAP),4,FALSE)/VLOOKUP(BC133,INDIRECT(IX_CAP),4,FALSE)</f>
        <v>3738996.4873683411</v>
      </c>
      <c r="BN133" s="238">
        <f ca="1">BM133*BI133</f>
        <v>6356294.0285261795</v>
      </c>
      <c r="BO133" s="615"/>
      <c r="BP133" s="437"/>
    </row>
    <row r="134" spans="1:68" ht="13.5" customHeight="1" thickBot="1" x14ac:dyDescent="0.25">
      <c r="A134" s="437"/>
      <c r="B134" s="437"/>
      <c r="C134" s="437"/>
      <c r="D134" s="437"/>
      <c r="E134" s="437"/>
      <c r="F134" s="437"/>
      <c r="G134" s="437"/>
      <c r="H134" s="641"/>
      <c r="I134" s="517" t="s">
        <v>308</v>
      </c>
      <c r="J134" s="470"/>
      <c r="K134" s="64"/>
      <c r="L134" s="64"/>
      <c r="M134" s="359">
        <f ca="1">SUM(M128:M133)</f>
        <v>79.7449921947143</v>
      </c>
      <c r="N134" s="64"/>
      <c r="O134" s="72"/>
      <c r="P134" s="72"/>
      <c r="Q134" s="470"/>
      <c r="R134" s="470"/>
      <c r="S134" s="470"/>
      <c r="T134" s="470"/>
      <c r="U134" s="470"/>
      <c r="V134" s="470"/>
      <c r="W134" s="470"/>
      <c r="X134" s="470"/>
      <c r="Y134" s="470"/>
      <c r="Z134" s="470"/>
      <c r="AA134" s="470"/>
      <c r="AB134" s="470"/>
      <c r="AC134" s="470"/>
      <c r="AD134" s="437"/>
      <c r="AE134" s="437"/>
      <c r="AF134" s="437"/>
      <c r="AG134" s="437"/>
      <c r="AH134" s="437"/>
      <c r="AI134" s="437"/>
      <c r="AJ134" s="437"/>
      <c r="AK134" s="437"/>
      <c r="AL134" s="437"/>
      <c r="AM134" s="437"/>
      <c r="AN134" s="437"/>
      <c r="AO134" s="437"/>
      <c r="AP134" s="437"/>
      <c r="AQ134" s="437"/>
      <c r="AR134" s="437"/>
      <c r="AS134" s="641"/>
      <c r="AT134" s="448" t="str">
        <f>IF(CAPEX!A131&lt;&gt;"",CAPEX!A131,"")</f>
        <v>T</v>
      </c>
      <c r="AU134" s="1263">
        <f>IF(CAPEX!B131&lt;&gt;"",CAPEX!B131,"")</f>
        <v>503</v>
      </c>
      <c r="AV134" s="448" t="str">
        <f>IF(CAPEX!C131&lt;&gt;"",CAPEX!C131,"")</f>
        <v>Beer Column Reflux Drum</v>
      </c>
      <c r="AW134" s="448" t="e">
        <f>IF(CAPEX!#REF!&lt;&gt;"",CAPEX!#REF!,"")</f>
        <v>#REF!</v>
      </c>
      <c r="AX134" s="448" t="str">
        <f>IF(CAPEX!F131&lt;&gt;"",CAPEX!F131,"")</f>
        <v>4' dia, 6' high, 50 psig design</v>
      </c>
      <c r="AY134" s="1285" t="str">
        <f>IF(CAPEX!G131&lt;&gt;"",CAPEX!G131,"")</f>
        <v/>
      </c>
      <c r="AZ134" s="448" t="str">
        <f>IF(CAPEX!H131&lt;&gt;"",CAPEX!H131,"")</f>
        <v>316SS</v>
      </c>
      <c r="BA134" s="1285">
        <f>IF(CAPEX!J131&lt;&gt;"",CAPEX!J131,"")</f>
        <v>1</v>
      </c>
      <c r="BB134" s="293" t="str">
        <f>CAPEX!K131</f>
        <v>INCLUDED</v>
      </c>
      <c r="BC134" s="1273" t="str">
        <f>IF(CAPEX!L131&lt;&gt;"",CAPEX!L131,"")</f>
        <v/>
      </c>
      <c r="BD134" s="902" t="str">
        <f>IF(CAPEX!M131&lt;&gt;"",CAPEX!M131,"")</f>
        <v/>
      </c>
      <c r="BE134" s="902" t="str">
        <f>IF(CAPEX!N131&lt;&gt;"",CAPEX!N131,"")</f>
        <v/>
      </c>
      <c r="BF134" s="1291" t="str">
        <f>IF(CAPEX!O131&lt;&gt;"",CAPEX!O131,"")</f>
        <v/>
      </c>
      <c r="BG134" s="901" t="str">
        <f>IF(CAPEX!P131&lt;&gt;"",CAPEX!P131,"")</f>
        <v/>
      </c>
      <c r="BH134" s="903" t="str">
        <f>IF(CAPEX!Q131&lt;&gt;"",CAPEX!Q131,"")</f>
        <v/>
      </c>
      <c r="BI134" s="903" t="str">
        <f>IF(CAPEX!R131&lt;&gt;"",CAPEX!R131,"")</f>
        <v/>
      </c>
      <c r="BJ134" s="436"/>
      <c r="BK134" s="249"/>
      <c r="BL134" s="249"/>
      <c r="BM134" s="249"/>
      <c r="BN134" s="249"/>
      <c r="BO134" s="615"/>
      <c r="BP134" s="437"/>
    </row>
    <row r="135" spans="1:68" ht="13.5" customHeight="1" thickBot="1" x14ac:dyDescent="0.25">
      <c r="A135" s="437"/>
      <c r="B135" s="437"/>
      <c r="C135" s="437"/>
      <c r="D135" s="437"/>
      <c r="E135" s="437"/>
      <c r="F135" s="437"/>
      <c r="G135" s="437"/>
      <c r="H135" s="641"/>
      <c r="I135" s="517" t="s">
        <v>309</v>
      </c>
      <c r="J135" s="470"/>
      <c r="K135" s="64"/>
      <c r="L135" s="64"/>
      <c r="M135" s="359">
        <f ca="1">M134*1000000/M91</f>
        <v>103.27412666200451</v>
      </c>
      <c r="N135" s="64"/>
      <c r="O135" s="72"/>
      <c r="P135" s="72"/>
      <c r="Q135" s="470"/>
      <c r="R135" s="470"/>
      <c r="S135" s="470"/>
      <c r="T135" s="470"/>
      <c r="U135" s="470"/>
      <c r="V135" s="470"/>
      <c r="W135" s="470"/>
      <c r="X135" s="470"/>
      <c r="Y135" s="470"/>
      <c r="Z135" s="470"/>
      <c r="AA135" s="470"/>
      <c r="AB135" s="470"/>
      <c r="AC135" s="470"/>
      <c r="AD135" s="437"/>
      <c r="AE135" s="437"/>
      <c r="AF135" s="437"/>
      <c r="AG135" s="437"/>
      <c r="AH135" s="437"/>
      <c r="AI135" s="437"/>
      <c r="AJ135" s="437"/>
      <c r="AK135" s="437"/>
      <c r="AL135" s="437"/>
      <c r="AM135" s="437"/>
      <c r="AN135" s="437"/>
      <c r="AO135" s="437"/>
      <c r="AP135" s="437"/>
      <c r="AQ135" s="437"/>
      <c r="AR135" s="437"/>
      <c r="AS135" s="641"/>
      <c r="AT135" s="448" t="str">
        <f>IF(CAPEX!A132&lt;&gt;"",CAPEX!A132,"")</f>
        <v>T</v>
      </c>
      <c r="AU135" s="1263">
        <f>IF(CAPEX!B132&lt;&gt;"",CAPEX!B132,"")</f>
        <v>505</v>
      </c>
      <c r="AV135" s="448" t="str">
        <f>IF(CAPEX!C132&lt;&gt;"",CAPEX!C132,"")</f>
        <v>Rectification Column Reflux Drum</v>
      </c>
      <c r="AW135" s="448" t="e">
        <f>IF(CAPEX!#REF!&lt;&gt;"",CAPEX!#REF!,"")</f>
        <v>#REF!</v>
      </c>
      <c r="AX135" s="448" t="str">
        <f>IF(CAPEX!F132&lt;&gt;"",CAPEX!F132,"")</f>
        <v>4' dia, 6' high, 50 psig design</v>
      </c>
      <c r="AY135" s="1285" t="str">
        <f>IF(CAPEX!G132&lt;&gt;"",CAPEX!G132,"")</f>
        <v/>
      </c>
      <c r="AZ135" s="448" t="str">
        <f>IF(CAPEX!H132&lt;&gt;"",CAPEX!H132,"")</f>
        <v>316SS</v>
      </c>
      <c r="BA135" s="1285">
        <f>IF(CAPEX!J132&lt;&gt;"",CAPEX!J132,"")</f>
        <v>1</v>
      </c>
      <c r="BB135" s="293" t="str">
        <f>CAPEX!K132</f>
        <v>INCLUDED</v>
      </c>
      <c r="BC135" s="1273" t="str">
        <f>IF(CAPEX!L132&lt;&gt;"",CAPEX!L132,"")</f>
        <v/>
      </c>
      <c r="BD135" s="902" t="str">
        <f>IF(CAPEX!M132&lt;&gt;"",CAPEX!M132,"")</f>
        <v/>
      </c>
      <c r="BE135" s="902" t="str">
        <f>IF(CAPEX!N132&lt;&gt;"",CAPEX!N132,"")</f>
        <v/>
      </c>
      <c r="BF135" s="1291" t="str">
        <f>IF(CAPEX!O132&lt;&gt;"",CAPEX!O132,"")</f>
        <v/>
      </c>
      <c r="BG135" s="901" t="str">
        <f>IF(CAPEX!P132&lt;&gt;"",CAPEX!P132,"")</f>
        <v/>
      </c>
      <c r="BH135" s="903" t="str">
        <f>IF(CAPEX!Q132&lt;&gt;"",CAPEX!Q132,"")</f>
        <v/>
      </c>
      <c r="BI135" s="903" t="str">
        <f>IF(CAPEX!R132&lt;&gt;"",CAPEX!R132,"")</f>
        <v/>
      </c>
      <c r="BJ135" s="436"/>
      <c r="BK135" s="249"/>
      <c r="BL135" s="249"/>
      <c r="BM135" s="249"/>
      <c r="BN135" s="249"/>
      <c r="BO135" s="615"/>
      <c r="BP135" s="437"/>
    </row>
    <row r="136" spans="1:68" ht="13.5" customHeight="1" thickBot="1" x14ac:dyDescent="0.25">
      <c r="A136" s="437"/>
      <c r="B136" s="437"/>
      <c r="C136" s="437"/>
      <c r="D136" s="437"/>
      <c r="E136" s="437"/>
      <c r="F136" s="437"/>
      <c r="G136" s="437"/>
      <c r="H136" s="641"/>
      <c r="I136" s="470"/>
      <c r="J136" s="470"/>
      <c r="K136" s="64"/>
      <c r="L136" s="64"/>
      <c r="M136" s="72"/>
      <c r="N136" s="64"/>
      <c r="O136" s="72"/>
      <c r="P136" s="72"/>
      <c r="Q136" s="470"/>
      <c r="R136" s="470"/>
      <c r="S136" s="470"/>
      <c r="T136" s="470"/>
      <c r="U136" s="470"/>
      <c r="V136" s="470"/>
      <c r="W136" s="470"/>
      <c r="X136" s="470"/>
      <c r="Y136" s="470"/>
      <c r="Z136" s="470"/>
      <c r="AA136" s="470"/>
      <c r="AB136" s="470"/>
      <c r="AC136" s="470"/>
      <c r="AD136" s="437"/>
      <c r="AE136" s="437"/>
      <c r="AF136" s="437"/>
      <c r="AG136" s="437"/>
      <c r="AH136" s="437"/>
      <c r="AI136" s="437"/>
      <c r="AJ136" s="437"/>
      <c r="AK136" s="437"/>
      <c r="AL136" s="437"/>
      <c r="AM136" s="437"/>
      <c r="AN136" s="437"/>
      <c r="AO136" s="437"/>
      <c r="AP136" s="437"/>
      <c r="AQ136" s="437"/>
      <c r="AR136" s="437"/>
      <c r="AS136" s="641"/>
      <c r="AT136" s="448" t="str">
        <f>IF(CAPEX!A133&lt;&gt;"",CAPEX!A133,"")</f>
        <v>T</v>
      </c>
      <c r="AU136" s="1263">
        <f>IF(CAPEX!B133&lt;&gt;"",CAPEX!B133,"")</f>
        <v>512</v>
      </c>
      <c r="AV136" s="448" t="str">
        <f>IF(CAPEX!C133&lt;&gt;"",CAPEX!C133,"")</f>
        <v>Vent Scrubber</v>
      </c>
      <c r="AW136" s="448" t="e">
        <f>IF(CAPEX!#REF!&lt;&gt;"",CAPEX!#REF!,"")</f>
        <v>#REF!</v>
      </c>
      <c r="AX136" s="448" t="str">
        <f>IF(CAPEX!F133&lt;&gt;"",CAPEX!F133,"")</f>
        <v>Inlet Gas: 9681 acfm, 91°F, 1.97 mass% Ethanol</v>
      </c>
      <c r="AY136" s="1285" t="str">
        <f>IF(CAPEX!G133&lt;&gt;"",CAPEX!G133,"")</f>
        <v/>
      </c>
      <c r="AZ136" s="448" t="str">
        <f>IF(CAPEX!H133&lt;&gt;"",CAPEX!H133,"")</f>
        <v>SS304;PP</v>
      </c>
      <c r="BA136" s="1285">
        <f>IF(CAPEX!J133&lt;&gt;"",CAPEX!J133,"")</f>
        <v>1</v>
      </c>
      <c r="BB136" s="293">
        <f>CAPEX!K133</f>
        <v>215000</v>
      </c>
      <c r="BC136" s="1272">
        <f>IF(CAPEX!L133&lt;&gt;"",CAPEX!L133,"")</f>
        <v>2009</v>
      </c>
      <c r="BD136" s="912">
        <v>0</v>
      </c>
      <c r="BE136" s="900" t="str">
        <f>IF(CAPEX!N133&lt;&gt;"",CAPEX!N133,"")</f>
        <v>strm.a500.523</v>
      </c>
      <c r="BF136" s="1294">
        <f>IF(CAPEX!O133&lt;&gt;"",CAPEX!O133,"")</f>
        <v>22608</v>
      </c>
      <c r="BG136" s="908" t="str">
        <f>IF(CAPEX!P133&lt;&gt;"",CAPEX!P133,"")</f>
        <v>kg/hr</v>
      </c>
      <c r="BH136" s="907">
        <f>IF(CAPEX!Q133&lt;&gt;"",CAPEX!Q133,"")</f>
        <v>0.6</v>
      </c>
      <c r="BI136" s="907">
        <f>IF(CAPEX!R133&lt;&gt;"",CAPEX!R133,"")</f>
        <v>2.4</v>
      </c>
      <c r="BJ136" s="436">
        <f t="shared" ref="BJ136:BJ141" ca="1" si="84">IF(BE136&lt;&gt;"",VLOOKUP(BE136,INDIRECT(LU_SENS),2,FALSE),"")</f>
        <v>21759.645199999999</v>
      </c>
      <c r="BK136" s="239">
        <f t="shared" ref="BK136:BK141" ca="1" si="85">BJ136/BF136</f>
        <v>0.96247546001415429</v>
      </c>
      <c r="BL136" s="238">
        <f t="shared" ref="BL136:BL141" ca="1" si="86">BD136*BK136^BH136</f>
        <v>0</v>
      </c>
      <c r="BM136" s="238">
        <f t="shared" ref="BM136:BM141" ca="1" si="87">BL136*VLOOKUP($J$34,INDIRECT(IX_CAP),4,FALSE)/VLOOKUP(BC136,INDIRECT(IX_CAP),4,FALSE)</f>
        <v>0</v>
      </c>
      <c r="BN136" s="238">
        <f t="shared" ref="BN136:BN141" ca="1" si="88">BM136*BI136</f>
        <v>0</v>
      </c>
      <c r="BO136" s="615"/>
      <c r="BP136" s="437"/>
    </row>
    <row r="137" spans="1:68" ht="13.5" customHeight="1" thickBot="1" x14ac:dyDescent="0.25">
      <c r="A137" s="437"/>
      <c r="B137" s="437"/>
      <c r="C137" s="437"/>
      <c r="D137" s="437"/>
      <c r="E137" s="437"/>
      <c r="F137" s="437"/>
      <c r="G137" s="437"/>
      <c r="H137" s="641"/>
      <c r="I137" s="470" t="s">
        <v>1867</v>
      </c>
      <c r="J137" s="540" t="s">
        <v>1868</v>
      </c>
      <c r="K137" s="82">
        <f ca="1">VLOOKUP(J137,INDIRECT(LU_SENS),2,FALSE)</f>
        <v>0.78435814000000004</v>
      </c>
      <c r="L137" s="64" t="s">
        <v>212</v>
      </c>
      <c r="M137" s="72">
        <f ca="1">K137*2.2*3.785</f>
        <v>6.5313502317800012</v>
      </c>
      <c r="N137" s="64" t="s">
        <v>213</v>
      </c>
      <c r="O137" s="72"/>
      <c r="P137" s="72"/>
      <c r="Q137" s="470"/>
      <c r="R137" s="470"/>
      <c r="S137" s="470"/>
      <c r="T137" s="470"/>
      <c r="U137" s="470"/>
      <c r="V137" s="470"/>
      <c r="W137" s="470"/>
      <c r="X137" s="470"/>
      <c r="Y137" s="470"/>
      <c r="Z137" s="470"/>
      <c r="AA137" s="470"/>
      <c r="AB137" s="470"/>
      <c r="AC137" s="470"/>
      <c r="AD137" s="437"/>
      <c r="AE137" s="437"/>
      <c r="AF137" s="437"/>
      <c r="AG137" s="437"/>
      <c r="AH137" s="437"/>
      <c r="AI137" s="437"/>
      <c r="AJ137" s="437"/>
      <c r="AK137" s="437"/>
      <c r="AL137" s="437"/>
      <c r="AM137" s="437"/>
      <c r="AN137" s="437"/>
      <c r="AO137" s="437"/>
      <c r="AP137" s="437"/>
      <c r="AQ137" s="437"/>
      <c r="AR137" s="437"/>
      <c r="AS137" s="641"/>
      <c r="AT137" s="448" t="str">
        <f>IF(CAPEX!A134&lt;&gt;"",CAPEX!A134,"")</f>
        <v>T</v>
      </c>
      <c r="AU137" s="1263">
        <f>IF(CAPEX!B134&lt;&gt;"",CAPEX!B134,"")</f>
        <v>530</v>
      </c>
      <c r="AV137" s="448" t="str">
        <f>IF(CAPEX!C134&lt;&gt;"",CAPEX!C134,"")</f>
        <v>Filtrate Tank</v>
      </c>
      <c r="AW137" s="448" t="e">
        <f>IF(CAPEX!#REF!&lt;&gt;"",CAPEX!#REF!,"")</f>
        <v>#REF!</v>
      </c>
      <c r="AX137" s="448" t="str">
        <f>IF(CAPEX!F134&lt;&gt;"",CAPEX!F134,"")</f>
        <v>13,750 gal 14' dia x 12' H</v>
      </c>
      <c r="AY137" s="1285" t="str">
        <f>IF(CAPEX!G134&lt;&gt;"",CAPEX!G134,"")</f>
        <v/>
      </c>
      <c r="AZ137" s="448" t="str">
        <f>IF(CAPEX!H134&lt;&gt;"",CAPEX!H134,"")</f>
        <v>SS</v>
      </c>
      <c r="BA137" s="1285">
        <f>IF(CAPEX!J134&lt;&gt;"",CAPEX!J134,"")</f>
        <v>1</v>
      </c>
      <c r="BB137" s="293">
        <f>CAPEX!K134</f>
        <v>103000</v>
      </c>
      <c r="BC137" s="1272">
        <f>IF(CAPEX!L134&lt;&gt;"",CAPEX!L134,"")</f>
        <v>2010</v>
      </c>
      <c r="BD137" s="912">
        <v>0</v>
      </c>
      <c r="BE137" s="900" t="s">
        <v>3441</v>
      </c>
      <c r="BF137" s="1293">
        <f>IF(CAPEX!O134&lt;&gt;"",CAPEX!O134,"")</f>
        <v>31815</v>
      </c>
      <c r="BG137" s="898" t="str">
        <f>IF(CAPEX!P134&lt;&gt;"",CAPEX!P134,"")</f>
        <v>kg/hr</v>
      </c>
      <c r="BH137" s="907">
        <f>IF(CAPEX!Q134&lt;&gt;"",CAPEX!Q134,"")</f>
        <v>0.7</v>
      </c>
      <c r="BI137" s="907">
        <f>IF(CAPEX!R134&lt;&gt;"",CAPEX!R134,"")</f>
        <v>2</v>
      </c>
      <c r="BJ137" s="436">
        <f t="shared" ca="1" si="84"/>
        <v>39530.811800000003</v>
      </c>
      <c r="BK137" s="239">
        <f t="shared" ca="1" si="85"/>
        <v>1.2425211944051548</v>
      </c>
      <c r="BL137" s="238">
        <f t="shared" ca="1" si="86"/>
        <v>0</v>
      </c>
      <c r="BM137" s="238">
        <f t="shared" ca="1" si="87"/>
        <v>0</v>
      </c>
      <c r="BN137" s="238">
        <f t="shared" ca="1" si="88"/>
        <v>0</v>
      </c>
      <c r="BO137" s="615"/>
      <c r="BP137" s="437"/>
    </row>
    <row r="138" spans="1:68" ht="13.5" customHeight="1" thickBot="1" x14ac:dyDescent="0.25">
      <c r="A138" s="437"/>
      <c r="B138" s="437"/>
      <c r="C138" s="437"/>
      <c r="D138" s="437"/>
      <c r="E138" s="437"/>
      <c r="F138" s="437"/>
      <c r="G138" s="437"/>
      <c r="H138" s="641"/>
      <c r="I138" s="470" t="s">
        <v>1869</v>
      </c>
      <c r="J138" s="540" t="s">
        <v>592</v>
      </c>
      <c r="K138" s="64">
        <f ca="1">VLOOKUP(J138,INDIRECT(LU_SENS),2,FALSE)</f>
        <v>20833.333299999998</v>
      </c>
      <c r="L138" s="64"/>
      <c r="M138" s="72"/>
      <c r="N138" s="64"/>
      <c r="O138" s="72"/>
      <c r="P138" s="72"/>
      <c r="Q138" s="470"/>
      <c r="R138" s="470"/>
      <c r="S138" s="470"/>
      <c r="T138" s="470"/>
      <c r="U138" s="470"/>
      <c r="V138" s="470"/>
      <c r="W138" s="470"/>
      <c r="X138" s="470"/>
      <c r="Y138" s="470"/>
      <c r="Z138" s="470"/>
      <c r="AA138" s="470"/>
      <c r="AB138" s="470"/>
      <c r="AC138" s="470"/>
      <c r="AD138" s="437"/>
      <c r="AE138" s="437"/>
      <c r="AF138" s="437"/>
      <c r="AG138" s="437"/>
      <c r="AH138" s="437"/>
      <c r="AI138" s="437"/>
      <c r="AJ138" s="437"/>
      <c r="AK138" s="437"/>
      <c r="AL138" s="437"/>
      <c r="AM138" s="437"/>
      <c r="AN138" s="437"/>
      <c r="AO138" s="437"/>
      <c r="AP138" s="437"/>
      <c r="AQ138" s="437"/>
      <c r="AR138" s="437"/>
      <c r="AS138" s="641"/>
      <c r="AT138" s="448" t="str">
        <f>IF(CAPEX!A135&lt;&gt;"",CAPEX!A135,"")</f>
        <v>T</v>
      </c>
      <c r="AU138" s="1263">
        <f>IF(CAPEX!B135&lt;&gt;"",CAPEX!B135,"")</f>
        <v>531</v>
      </c>
      <c r="AV138" s="448" t="str">
        <f>IF(CAPEX!C135&lt;&gt;"",CAPEX!C135,"")</f>
        <v>Feed Tank</v>
      </c>
      <c r="AW138" s="448" t="e">
        <f>IF(CAPEX!#REF!&lt;&gt;"",CAPEX!#REF!,"")</f>
        <v>#REF!</v>
      </c>
      <c r="AX138" s="448" t="str">
        <f>IF(CAPEX!F135&lt;&gt;"",CAPEX!F135,"")</f>
        <v>20,300 gal 14' dia x 18' H</v>
      </c>
      <c r="AY138" s="1285" t="str">
        <f>IF(CAPEX!G135&lt;&gt;"",CAPEX!G135,"")</f>
        <v/>
      </c>
      <c r="AZ138" s="448" t="str">
        <f>IF(CAPEX!H135&lt;&gt;"",CAPEX!H135,"")</f>
        <v>SS</v>
      </c>
      <c r="BA138" s="1285">
        <f>IF(CAPEX!J135&lt;&gt;"",CAPEX!J135,"")</f>
        <v>1</v>
      </c>
      <c r="BB138" s="293">
        <f>CAPEX!K135</f>
        <v>174800</v>
      </c>
      <c r="BC138" s="1272">
        <f>IF(CAPEX!L135&lt;&gt;"",CAPEX!L135,"")</f>
        <v>2010</v>
      </c>
      <c r="BD138" s="912">
        <v>0</v>
      </c>
      <c r="BE138" s="900" t="s">
        <v>3441</v>
      </c>
      <c r="BF138" s="1293">
        <f>IF(CAPEX!O135&lt;&gt;"",CAPEX!O135,"")</f>
        <v>31815</v>
      </c>
      <c r="BG138" s="898" t="str">
        <f>IF(CAPEX!P135&lt;&gt;"",CAPEX!P135,"")</f>
        <v>kg/hr</v>
      </c>
      <c r="BH138" s="907">
        <f>IF(CAPEX!Q135&lt;&gt;"",CAPEX!Q135,"")</f>
        <v>0.7</v>
      </c>
      <c r="BI138" s="907">
        <f>IF(CAPEX!R135&lt;&gt;"",CAPEX!R135,"")</f>
        <v>2</v>
      </c>
      <c r="BJ138" s="436">
        <f t="shared" ca="1" si="84"/>
        <v>39530.811800000003</v>
      </c>
      <c r="BK138" s="239">
        <f t="shared" ca="1" si="85"/>
        <v>1.2425211944051548</v>
      </c>
      <c r="BL138" s="238">
        <f t="shared" ca="1" si="86"/>
        <v>0</v>
      </c>
      <c r="BM138" s="238">
        <f t="shared" ca="1" si="87"/>
        <v>0</v>
      </c>
      <c r="BN138" s="238">
        <f t="shared" ca="1" si="88"/>
        <v>0</v>
      </c>
      <c r="BO138" s="615"/>
      <c r="BP138" s="437"/>
    </row>
    <row r="139" spans="1:68" ht="13.5" customHeight="1" thickBot="1" x14ac:dyDescent="0.25">
      <c r="A139" s="437"/>
      <c r="B139" s="437"/>
      <c r="C139" s="437"/>
      <c r="D139" s="437"/>
      <c r="E139" s="437"/>
      <c r="F139" s="437"/>
      <c r="G139" s="437"/>
      <c r="H139" s="641"/>
      <c r="I139" s="470" t="s">
        <v>1870</v>
      </c>
      <c r="J139" s="470"/>
      <c r="K139" s="360">
        <f ca="1">K138/L99</f>
        <v>0.19999999903999999</v>
      </c>
      <c r="L139" s="64"/>
      <c r="M139" s="72"/>
      <c r="N139" s="64"/>
      <c r="O139" s="72"/>
      <c r="P139" s="72"/>
      <c r="Q139" s="470"/>
      <c r="R139" s="470"/>
      <c r="S139" s="470"/>
      <c r="T139" s="470"/>
      <c r="U139" s="470"/>
      <c r="V139" s="470"/>
      <c r="W139" s="470"/>
      <c r="X139" s="470"/>
      <c r="Y139" s="470"/>
      <c r="Z139" s="470"/>
      <c r="AA139" s="470"/>
      <c r="AB139" s="470"/>
      <c r="AC139" s="470"/>
      <c r="AD139" s="437"/>
      <c r="AE139" s="437"/>
      <c r="AF139" s="437"/>
      <c r="AG139" s="437"/>
      <c r="AH139" s="437"/>
      <c r="AI139" s="437"/>
      <c r="AJ139" s="437"/>
      <c r="AK139" s="437"/>
      <c r="AL139" s="437"/>
      <c r="AM139" s="437"/>
      <c r="AN139" s="437"/>
      <c r="AO139" s="437"/>
      <c r="AP139" s="437"/>
      <c r="AQ139" s="437"/>
      <c r="AR139" s="437"/>
      <c r="AS139" s="641"/>
      <c r="AT139" s="448" t="str">
        <f>IF(CAPEX!A136&lt;&gt;"",CAPEX!A136,"")</f>
        <v>T</v>
      </c>
      <c r="AU139" s="1263">
        <f>IF(CAPEX!B136&lt;&gt;"",CAPEX!B136,"")</f>
        <v>532</v>
      </c>
      <c r="AV139" s="448" t="str">
        <f>IF(CAPEX!C136&lt;&gt;"",CAPEX!C136,"")</f>
        <v>Recycled Water Tank</v>
      </c>
      <c r="AW139" s="448" t="e">
        <f>IF(CAPEX!#REF!&lt;&gt;"",CAPEX!#REF!,"")</f>
        <v>#REF!</v>
      </c>
      <c r="AX139" s="448" t="str">
        <f>IF(CAPEX!F136&lt;&gt;"",CAPEX!F136,"")</f>
        <v>4000 gal.</v>
      </c>
      <c r="AY139" s="1285" t="str">
        <f>IF(CAPEX!G136&lt;&gt;"",CAPEX!G136,"")</f>
        <v/>
      </c>
      <c r="AZ139" s="448" t="str">
        <f>IF(CAPEX!H136&lt;&gt;"",CAPEX!H136,"")</f>
        <v>HDPE</v>
      </c>
      <c r="BA139" s="1285">
        <f>IF(CAPEX!J136&lt;&gt;"",CAPEX!J136,"")</f>
        <v>1</v>
      </c>
      <c r="BB139" s="293">
        <f>CAPEX!K136</f>
        <v>1520</v>
      </c>
      <c r="BC139" s="1272">
        <f>IF(CAPEX!L136&lt;&gt;"",CAPEX!L136,"")</f>
        <v>2010</v>
      </c>
      <c r="BD139" s="912">
        <v>0</v>
      </c>
      <c r="BE139" s="900" t="s">
        <v>3441</v>
      </c>
      <c r="BF139" s="1293">
        <f>IF(CAPEX!O136&lt;&gt;"",CAPEX!O136,"")</f>
        <v>31815</v>
      </c>
      <c r="BG139" s="898" t="str">
        <f>IF(CAPEX!P136&lt;&gt;"",CAPEX!P136,"")</f>
        <v>kg/hr</v>
      </c>
      <c r="BH139" s="907">
        <f>IF(CAPEX!Q136&lt;&gt;"",CAPEX!Q136,"")</f>
        <v>0.7</v>
      </c>
      <c r="BI139" s="907">
        <f>IF(CAPEX!R136&lt;&gt;"",CAPEX!R136,"")</f>
        <v>3</v>
      </c>
      <c r="BJ139" s="436">
        <f t="shared" ca="1" si="84"/>
        <v>39530.811800000003</v>
      </c>
      <c r="BK139" s="239">
        <f t="shared" ca="1" si="85"/>
        <v>1.2425211944051548</v>
      </c>
      <c r="BL139" s="238">
        <f t="shared" ca="1" si="86"/>
        <v>0</v>
      </c>
      <c r="BM139" s="238">
        <f t="shared" ca="1" si="87"/>
        <v>0</v>
      </c>
      <c r="BN139" s="238">
        <f t="shared" ca="1" si="88"/>
        <v>0</v>
      </c>
      <c r="BO139" s="615"/>
      <c r="BP139" s="437"/>
    </row>
    <row r="140" spans="1:68" ht="13.5" customHeight="1" thickBot="1" x14ac:dyDescent="0.25">
      <c r="A140" s="437"/>
      <c r="B140" s="437"/>
      <c r="C140" s="437"/>
      <c r="D140" s="437"/>
      <c r="E140" s="437"/>
      <c r="F140" s="437"/>
      <c r="G140" s="437"/>
      <c r="H140" s="641"/>
      <c r="I140" s="470"/>
      <c r="J140" s="470"/>
      <c r="K140" s="64"/>
      <c r="L140" s="64"/>
      <c r="M140" s="72"/>
      <c r="N140" s="64"/>
      <c r="O140" s="72"/>
      <c r="P140" s="72"/>
      <c r="Q140" s="470"/>
      <c r="R140" s="470"/>
      <c r="S140" s="470"/>
      <c r="T140" s="470"/>
      <c r="U140" s="470"/>
      <c r="V140" s="470"/>
      <c r="W140" s="470"/>
      <c r="X140" s="470"/>
      <c r="Y140" s="470"/>
      <c r="Z140" s="470"/>
      <c r="AA140" s="470"/>
      <c r="AB140" s="470"/>
      <c r="AC140" s="470"/>
      <c r="AD140" s="437"/>
      <c r="AE140" s="437"/>
      <c r="AF140" s="437"/>
      <c r="AG140" s="437"/>
      <c r="AH140" s="437"/>
      <c r="AI140" s="437"/>
      <c r="AJ140" s="437"/>
      <c r="AK140" s="437"/>
      <c r="AL140" s="437"/>
      <c r="AM140" s="437"/>
      <c r="AN140" s="437"/>
      <c r="AO140" s="437"/>
      <c r="AP140" s="437"/>
      <c r="AQ140" s="437"/>
      <c r="AR140" s="437"/>
      <c r="AS140" s="641"/>
      <c r="AT140" s="448" t="str">
        <f>IF(CAPEX!A137&lt;&gt;"",CAPEX!A137,"")</f>
        <v>T</v>
      </c>
      <c r="AU140" s="1263">
        <f>IF(CAPEX!B137&lt;&gt;"",CAPEX!B137,"")</f>
        <v>533</v>
      </c>
      <c r="AV140" s="448" t="str">
        <f>IF(CAPEX!C137&lt;&gt;"",CAPEX!C137,"")</f>
        <v>Pressing Air Compressor Receiver</v>
      </c>
      <c r="AW140" s="448" t="e">
        <f>IF(CAPEX!#REF!&lt;&gt;"",CAPEX!#REF!,"")</f>
        <v>#REF!</v>
      </c>
      <c r="AX140" s="448" t="str">
        <f>IF(CAPEX!F137&lt;&gt;"",CAPEX!F137,"")</f>
        <v>1350 gal., 300 psig design</v>
      </c>
      <c r="AY140" s="1285" t="str">
        <f>IF(CAPEX!G137&lt;&gt;"",CAPEX!G137,"")</f>
        <v/>
      </c>
      <c r="AZ140" s="448" t="str">
        <f>IF(CAPEX!H137&lt;&gt;"",CAPEX!H137,"")</f>
        <v>CS</v>
      </c>
      <c r="BA140" s="1285">
        <f>IF(CAPEX!J137&lt;&gt;"",CAPEX!J137,"")</f>
        <v>1</v>
      </c>
      <c r="BB140" s="293">
        <f>CAPEX!K137</f>
        <v>8000</v>
      </c>
      <c r="BC140" s="1272">
        <f>IF(CAPEX!L137&lt;&gt;"",CAPEX!L137,"")</f>
        <v>2010</v>
      </c>
      <c r="BD140" s="912">
        <v>0</v>
      </c>
      <c r="BE140" s="900" t="s">
        <v>3441</v>
      </c>
      <c r="BF140" s="1293">
        <f>IF(CAPEX!O137&lt;&gt;"",CAPEX!O137,"")</f>
        <v>31815</v>
      </c>
      <c r="BG140" s="898" t="str">
        <f>IF(CAPEX!P137&lt;&gt;"",CAPEX!P137,"")</f>
        <v>kg/hr</v>
      </c>
      <c r="BH140" s="907">
        <f>IF(CAPEX!Q137&lt;&gt;"",CAPEX!Q137,"")</f>
        <v>0.7</v>
      </c>
      <c r="BI140" s="907">
        <f>IF(CAPEX!R137&lt;&gt;"",CAPEX!R137,"")</f>
        <v>3.1</v>
      </c>
      <c r="BJ140" s="436">
        <f t="shared" ca="1" si="84"/>
        <v>39530.811800000003</v>
      </c>
      <c r="BK140" s="239">
        <f t="shared" ca="1" si="85"/>
        <v>1.2425211944051548</v>
      </c>
      <c r="BL140" s="238">
        <f t="shared" ca="1" si="86"/>
        <v>0</v>
      </c>
      <c r="BM140" s="238">
        <f t="shared" ca="1" si="87"/>
        <v>0</v>
      </c>
      <c r="BN140" s="238">
        <f t="shared" ca="1" si="88"/>
        <v>0</v>
      </c>
      <c r="BO140" s="615"/>
      <c r="BP140" s="437"/>
    </row>
    <row r="141" spans="1:68" ht="13.5" customHeight="1" x14ac:dyDescent="0.2">
      <c r="A141" s="437"/>
      <c r="B141" s="437"/>
      <c r="C141" s="437"/>
      <c r="D141" s="437"/>
      <c r="E141" s="437"/>
      <c r="F141" s="437"/>
      <c r="G141" s="437"/>
      <c r="H141" s="641"/>
      <c r="I141" s="470"/>
      <c r="J141" s="470"/>
      <c r="K141" s="64"/>
      <c r="L141" s="64"/>
      <c r="M141" s="72"/>
      <c r="N141" s="64"/>
      <c r="O141" s="72"/>
      <c r="P141" s="72"/>
      <c r="Q141" s="470"/>
      <c r="R141" s="470"/>
      <c r="S141" s="470"/>
      <c r="T141" s="470"/>
      <c r="U141" s="470"/>
      <c r="V141" s="470"/>
      <c r="W141" s="470"/>
      <c r="X141" s="470"/>
      <c r="Y141" s="470"/>
      <c r="Z141" s="470"/>
      <c r="AA141" s="470"/>
      <c r="AB141" s="470"/>
      <c r="AC141" s="470"/>
      <c r="AD141" s="437"/>
      <c r="AE141" s="437"/>
      <c r="AF141" s="437"/>
      <c r="AG141" s="437"/>
      <c r="AH141" s="437"/>
      <c r="AI141" s="437"/>
      <c r="AJ141" s="437"/>
      <c r="AK141" s="437"/>
      <c r="AL141" s="437"/>
      <c r="AM141" s="437"/>
      <c r="AN141" s="437"/>
      <c r="AO141" s="437"/>
      <c r="AP141" s="437"/>
      <c r="AQ141" s="437"/>
      <c r="AR141" s="437"/>
      <c r="AS141" s="641"/>
      <c r="AT141" s="448" t="str">
        <f>IF(CAPEX!A138&lt;&gt;"",CAPEX!A138,"")</f>
        <v>T</v>
      </c>
      <c r="AU141" s="1263">
        <f>IF(CAPEX!B138&lt;&gt;"",CAPEX!B138,"")</f>
        <v>534</v>
      </c>
      <c r="AV141" s="448" t="str">
        <f>IF(CAPEX!C138&lt;&gt;"",CAPEX!C138,"")</f>
        <v>Drying Air Compressor Receiver</v>
      </c>
      <c r="AW141" s="448" t="e">
        <f>IF(CAPEX!#REF!&lt;&gt;"",CAPEX!#REF!,"")</f>
        <v>#REF!</v>
      </c>
      <c r="AX141" s="448" t="str">
        <f>IF(CAPEX!F138&lt;&gt;"",CAPEX!F138,"")</f>
        <v>9,000 gal., 150 psig design</v>
      </c>
      <c r="AY141" s="1285" t="str">
        <f>IF(CAPEX!G138&lt;&gt;"",CAPEX!G138,"")</f>
        <v/>
      </c>
      <c r="AZ141" s="448" t="str">
        <f>IF(CAPEX!H138&lt;&gt;"",CAPEX!H138,"")</f>
        <v>CS</v>
      </c>
      <c r="BA141" s="1285">
        <f>IF(CAPEX!J138&lt;&gt;"",CAPEX!J138,"")</f>
        <v>2</v>
      </c>
      <c r="BB141" s="293">
        <f>CAPEX!K138</f>
        <v>17000</v>
      </c>
      <c r="BC141" s="1272">
        <f>IF(CAPEX!L138&lt;&gt;"",CAPEX!L138,"")</f>
        <v>2010</v>
      </c>
      <c r="BD141" s="912">
        <v>0</v>
      </c>
      <c r="BE141" s="900" t="s">
        <v>3441</v>
      </c>
      <c r="BF141" s="1293">
        <f>IF(CAPEX!O138&lt;&gt;"",CAPEX!O138,"")</f>
        <v>31815</v>
      </c>
      <c r="BG141" s="898" t="str">
        <f>IF(CAPEX!P138&lt;&gt;"",CAPEX!P138,"")</f>
        <v>kg/hr</v>
      </c>
      <c r="BH141" s="907">
        <f>IF(CAPEX!Q138&lt;&gt;"",CAPEX!Q138,"")</f>
        <v>0.7</v>
      </c>
      <c r="BI141" s="907">
        <f>IF(CAPEX!R138&lt;&gt;"",CAPEX!R138,"")</f>
        <v>3.1</v>
      </c>
      <c r="BJ141" s="436">
        <f t="shared" ca="1" si="84"/>
        <v>39530.811800000003</v>
      </c>
      <c r="BK141" s="239">
        <f t="shared" ca="1" si="85"/>
        <v>1.2425211944051548</v>
      </c>
      <c r="BL141" s="238">
        <f t="shared" ca="1" si="86"/>
        <v>0</v>
      </c>
      <c r="BM141" s="238">
        <f t="shared" ca="1" si="87"/>
        <v>0</v>
      </c>
      <c r="BN141" s="238">
        <f t="shared" ca="1" si="88"/>
        <v>0</v>
      </c>
      <c r="BO141" s="615"/>
      <c r="BP141" s="437"/>
    </row>
    <row r="142" spans="1:68" ht="13.5" customHeight="1" x14ac:dyDescent="0.2">
      <c r="A142" s="437"/>
      <c r="B142" s="437"/>
      <c r="C142" s="437"/>
      <c r="D142" s="437"/>
      <c r="E142" s="437"/>
      <c r="F142" s="437"/>
      <c r="G142" s="437"/>
      <c r="H142" s="641"/>
      <c r="I142" s="470"/>
      <c r="J142" s="470"/>
      <c r="K142" s="361"/>
      <c r="L142" s="64"/>
      <c r="M142" s="72"/>
      <c r="N142" s="64"/>
      <c r="O142" s="72"/>
      <c r="P142" s="72"/>
      <c r="Q142" s="470"/>
      <c r="R142" s="470"/>
      <c r="S142" s="470"/>
      <c r="T142" s="470"/>
      <c r="U142" s="470"/>
      <c r="V142" s="470"/>
      <c r="W142" s="470"/>
      <c r="X142" s="470"/>
      <c r="Y142" s="470"/>
      <c r="Z142" s="470"/>
      <c r="AA142" s="470"/>
      <c r="AB142" s="470"/>
      <c r="AC142" s="470"/>
      <c r="AD142" s="437"/>
      <c r="AE142" s="437"/>
      <c r="AF142" s="437"/>
      <c r="AG142" s="437"/>
      <c r="AH142" s="437"/>
      <c r="AI142" s="437"/>
      <c r="AJ142" s="437"/>
      <c r="AK142" s="437"/>
      <c r="AL142" s="437"/>
      <c r="AM142" s="437"/>
      <c r="AN142" s="437"/>
      <c r="AO142" s="437"/>
      <c r="AP142" s="437"/>
      <c r="AQ142" s="437"/>
      <c r="AR142" s="437"/>
      <c r="AS142" s="641"/>
      <c r="AT142" s="222"/>
      <c r="AU142" s="1266"/>
      <c r="AV142" s="612"/>
      <c r="AW142" s="613"/>
      <c r="AX142" s="614"/>
      <c r="AY142" s="1304"/>
      <c r="AZ142" s="423"/>
      <c r="BA142" s="1286"/>
      <c r="BB142" s="224"/>
      <c r="BC142" s="1277"/>
      <c r="BD142" s="243">
        <f>SUM(BD106:BD141)</f>
        <v>11683000</v>
      </c>
      <c r="BE142" s="433"/>
      <c r="BF142" s="1298"/>
      <c r="BG142" s="432"/>
      <c r="BH142" s="457"/>
      <c r="BI142" s="469"/>
      <c r="BJ142" s="460"/>
      <c r="BK142" s="428"/>
      <c r="BL142" s="243">
        <f ca="1">SUM(BL106:BL141)</f>
        <v>12619550.795510549</v>
      </c>
      <c r="BM142" s="243">
        <f ca="1">SUM(BM106:BM141)</f>
        <v>12453945.547324045</v>
      </c>
      <c r="BN142" s="244">
        <f ca="1">SUM(BN106:BN141)</f>
        <v>24212482.516500432</v>
      </c>
      <c r="BO142" s="615"/>
      <c r="BP142" s="437"/>
    </row>
    <row r="143" spans="1:68" ht="13.5" customHeight="1" x14ac:dyDescent="0.2">
      <c r="A143" s="437"/>
      <c r="B143" s="437"/>
      <c r="C143" s="437"/>
      <c r="D143" s="437"/>
      <c r="E143" s="437"/>
      <c r="F143" s="437"/>
      <c r="G143" s="437"/>
      <c r="H143" s="641"/>
      <c r="I143" s="471" t="s">
        <v>1871</v>
      </c>
      <c r="J143" s="599" t="s">
        <v>1872</v>
      </c>
      <c r="K143" s="64">
        <f ca="1">-1*VLOOKUP(J143,INDIRECT(LU_SENS),2,FALSE)</f>
        <v>41139.1976</v>
      </c>
      <c r="L143" s="64"/>
      <c r="M143" s="72"/>
      <c r="N143" s="64"/>
      <c r="O143" s="72"/>
      <c r="P143" s="72"/>
      <c r="Q143" s="470"/>
      <c r="R143" s="470"/>
      <c r="S143" s="470"/>
      <c r="T143" s="470"/>
      <c r="U143" s="470"/>
      <c r="V143" s="470"/>
      <c r="W143" s="470"/>
      <c r="X143" s="470"/>
      <c r="Y143" s="470"/>
      <c r="Z143" s="470"/>
      <c r="AA143" s="470"/>
      <c r="AB143" s="470"/>
      <c r="AC143" s="470"/>
      <c r="AD143" s="437"/>
      <c r="AE143" s="437"/>
      <c r="AF143" s="437"/>
      <c r="AG143" s="437"/>
      <c r="AH143" s="437"/>
      <c r="AI143" s="437"/>
      <c r="AJ143" s="437"/>
      <c r="AK143" s="437"/>
      <c r="AL143" s="437"/>
      <c r="AM143" s="437"/>
      <c r="AN143" s="437"/>
      <c r="AO143" s="437"/>
      <c r="AP143" s="437"/>
      <c r="AQ143" s="437"/>
      <c r="AR143" s="437"/>
      <c r="AS143" s="641"/>
      <c r="AT143" s="294"/>
      <c r="AU143" s="1267"/>
      <c r="AV143" s="1118" t="s">
        <v>2131</v>
      </c>
      <c r="AW143" s="648"/>
      <c r="AX143" s="647" t="s">
        <v>2587</v>
      </c>
      <c r="AY143" s="1305"/>
      <c r="AZ143" s="449"/>
      <c r="BA143" s="1287"/>
      <c r="BB143" s="295">
        <v>2290080</v>
      </c>
      <c r="BC143" s="1278">
        <v>1997</v>
      </c>
      <c r="BD143" s="1132">
        <v>0</v>
      </c>
      <c r="BE143" s="236" t="s">
        <v>1748</v>
      </c>
      <c r="BF143" s="1300">
        <v>1</v>
      </c>
      <c r="BG143" s="430" t="s">
        <v>287</v>
      </c>
      <c r="BH143" s="253">
        <v>0.6</v>
      </c>
      <c r="BI143" s="245">
        <v>1</v>
      </c>
      <c r="BJ143" s="436">
        <v>1</v>
      </c>
      <c r="BK143" s="239">
        <f>BJ143/BF143</f>
        <v>1</v>
      </c>
      <c r="BL143" s="238">
        <f>BD143*BK143^BH143</f>
        <v>0</v>
      </c>
      <c r="BM143" s="238">
        <f ca="1">BL143*VLOOKUP($J$34,INDIRECT(IX_CAP),4,FALSE)/VLOOKUP(BC143,INDIRECT(IX_CAP),4,FALSE)</f>
        <v>0</v>
      </c>
      <c r="BN143" s="238">
        <f ca="1">BM143*BI143</f>
        <v>0</v>
      </c>
      <c r="BO143" s="615"/>
      <c r="BP143" s="437"/>
    </row>
    <row r="144" spans="1:68" ht="13.5" customHeight="1" thickBot="1" x14ac:dyDescent="0.25">
      <c r="A144" s="437"/>
      <c r="B144" s="437"/>
      <c r="C144" s="437"/>
      <c r="D144" s="437"/>
      <c r="E144" s="437"/>
      <c r="F144" s="437"/>
      <c r="G144" s="437"/>
      <c r="H144" s="641"/>
      <c r="I144" s="571"/>
      <c r="J144" s="470"/>
      <c r="K144" s="64"/>
      <c r="L144" s="64"/>
      <c r="M144" s="72"/>
      <c r="N144" s="64"/>
      <c r="O144" s="72"/>
      <c r="P144" s="72"/>
      <c r="Q144" s="470"/>
      <c r="R144" s="470"/>
      <c r="S144" s="470"/>
      <c r="T144" s="470"/>
      <c r="U144" s="470"/>
      <c r="V144" s="470"/>
      <c r="W144" s="470"/>
      <c r="X144" s="470"/>
      <c r="Y144" s="470"/>
      <c r="Z144" s="470"/>
      <c r="AA144" s="470"/>
      <c r="AB144" s="470"/>
      <c r="AC144" s="470"/>
      <c r="AD144" s="437"/>
      <c r="AE144" s="437"/>
      <c r="AF144" s="437"/>
      <c r="AG144" s="437"/>
      <c r="AH144" s="437"/>
      <c r="AI144" s="437"/>
      <c r="AJ144" s="437"/>
      <c r="AK144" s="437"/>
      <c r="AL144" s="437"/>
      <c r="AM144" s="437"/>
      <c r="AN144" s="437"/>
      <c r="AO144" s="437"/>
      <c r="AP144" s="437"/>
      <c r="AQ144" s="437"/>
      <c r="AR144" s="437"/>
      <c r="AS144" s="641"/>
      <c r="AT144" s="222"/>
      <c r="AU144" s="1266"/>
      <c r="AV144" s="612"/>
      <c r="AW144" s="613"/>
      <c r="AX144" s="614"/>
      <c r="AY144" s="1304"/>
      <c r="AZ144" s="423"/>
      <c r="BA144" s="1286"/>
      <c r="BB144" s="224"/>
      <c r="BC144" s="1277"/>
      <c r="BD144" s="243">
        <f>SUM(BD143:BD143)</f>
        <v>0</v>
      </c>
      <c r="BE144" s="433"/>
      <c r="BF144" s="1298"/>
      <c r="BG144" s="432"/>
      <c r="BH144" s="457"/>
      <c r="BI144" s="469"/>
      <c r="BJ144" s="460"/>
      <c r="BK144" s="428"/>
      <c r="BL144" s="243">
        <f>SUM(BL143:BL143)</f>
        <v>0</v>
      </c>
      <c r="BM144" s="243">
        <f ca="1">SUM(BM143:BM143)</f>
        <v>0</v>
      </c>
      <c r="BN144" s="244">
        <f ca="1">SUM(BN143:BN143)</f>
        <v>0</v>
      </c>
      <c r="BO144" s="615"/>
      <c r="BP144" s="437"/>
    </row>
    <row r="145" spans="1:68" ht="13.5" customHeight="1" thickBot="1" x14ac:dyDescent="0.25">
      <c r="A145" s="437"/>
      <c r="B145" s="437"/>
      <c r="C145" s="437"/>
      <c r="D145" s="437"/>
      <c r="E145" s="437"/>
      <c r="F145" s="437"/>
      <c r="G145" s="437"/>
      <c r="H145" s="641"/>
      <c r="I145" s="471" t="s">
        <v>1873</v>
      </c>
      <c r="J145" s="470" t="s">
        <v>571</v>
      </c>
      <c r="K145" s="64">
        <f ca="1">VLOOKUP(J145,INDIRECT(LU_SENS),2,FALSE)</f>
        <v>235125.15599999999</v>
      </c>
      <c r="L145" s="64"/>
      <c r="M145" s="72"/>
      <c r="N145" s="64"/>
      <c r="O145" s="72"/>
      <c r="P145" s="1120"/>
      <c r="Q145" s="470"/>
      <c r="R145" s="470"/>
      <c r="S145" s="470"/>
      <c r="T145" s="470"/>
      <c r="U145" s="470"/>
      <c r="V145" s="470"/>
      <c r="W145" s="470"/>
      <c r="X145" s="470"/>
      <c r="Y145" s="470"/>
      <c r="Z145" s="470"/>
      <c r="AA145" s="470"/>
      <c r="AB145" s="470"/>
      <c r="AC145" s="470"/>
      <c r="AD145" s="437"/>
      <c r="AE145" s="437"/>
      <c r="AF145" s="437"/>
      <c r="AG145" s="437"/>
      <c r="AH145" s="437"/>
      <c r="AI145" s="437"/>
      <c r="AJ145" s="437"/>
      <c r="AK145" s="437"/>
      <c r="AL145" s="437"/>
      <c r="AM145" s="437"/>
      <c r="AN145" s="437"/>
      <c r="AO145" s="437"/>
      <c r="AP145" s="437"/>
      <c r="AQ145" s="437"/>
      <c r="AR145" s="437"/>
      <c r="AS145" s="641"/>
      <c r="AT145" s="448" t="str">
        <f>IF(CAPEX!A164&lt;&gt;"",CAPEX!A164,"")</f>
        <v>A</v>
      </c>
      <c r="AU145" s="1263">
        <f>IF(CAPEX!B164&lt;&gt;"",CAPEX!B164,"")</f>
        <v>701</v>
      </c>
      <c r="AV145" s="448" t="str">
        <f>IF(CAPEX!C164&lt;&gt;"",CAPEX!C164,"")</f>
        <v>Denaturant In-line Mixer</v>
      </c>
      <c r="AW145" s="648"/>
      <c r="AX145" s="448" t="str">
        <f>IF(CAPEX!F164&lt;&gt;"",CAPEX!F164,"")</f>
        <v xml:space="preserve">4 inch </v>
      </c>
      <c r="AY145" s="1285" t="str">
        <f>IF(CAPEX!G164&lt;&gt;"",CAPEX!G164,"")</f>
        <v/>
      </c>
      <c r="AZ145" s="448" t="str">
        <f>IF(CAPEX!H164&lt;&gt;"",CAPEX!H164,"")</f>
        <v>SS304</v>
      </c>
      <c r="BA145" s="1285" t="e">
        <f>IF(CAPEX!J164&lt;&gt;"",CAPEX!#REF!,"")</f>
        <v>#REF!</v>
      </c>
      <c r="BB145" s="293">
        <f>CAPEX!K164</f>
        <v>3850</v>
      </c>
      <c r="BC145" s="1272">
        <f>IF(CAPEX!L164&lt;&gt;"",CAPEX!L164,"")</f>
        <v>2009</v>
      </c>
      <c r="BD145" s="912">
        <v>0</v>
      </c>
      <c r="BE145" s="900" t="str">
        <f>IF(CAPEX!N164&lt;&gt;"",CAPEX!N164,"")</f>
        <v>strm.703</v>
      </c>
      <c r="BF145" s="1294">
        <f>IF(CAPEX!O164&lt;&gt;"",CAPEX!O164,"")</f>
        <v>23154</v>
      </c>
      <c r="BG145" s="908" t="str">
        <f>IF(CAPEX!P164&lt;&gt;"",CAPEX!P164,"")</f>
        <v>kg/hr</v>
      </c>
      <c r="BH145" s="907">
        <f>IF(CAPEX!Q164&lt;&gt;"",CAPEX!Q164,"")</f>
        <v>0.5</v>
      </c>
      <c r="BI145" s="907">
        <f>IF(CAPEX!R164&lt;&gt;"",CAPEX!R164,"")</f>
        <v>1</v>
      </c>
      <c r="BJ145" s="436">
        <f t="shared" ref="BJ145:BJ160" ca="1" si="89">IF(BE145&lt;&gt;"",VLOOKUP(BE145,INDIRECT(LU_SENS),2,FALSE),"")</f>
        <v>22273.615600000001</v>
      </c>
      <c r="BK145" s="239">
        <f t="shared" ref="BK145:BK160" ca="1" si="90">BJ145/BF145</f>
        <v>0.96197700613284964</v>
      </c>
      <c r="BL145" s="238">
        <f t="shared" ref="BL145:BL160" ca="1" si="91">BD145*BK145^BH145</f>
        <v>0</v>
      </c>
      <c r="BM145" s="238">
        <f t="shared" ref="BM145:BM160" ca="1" si="92">BL145*VLOOKUP($J$34,INDIRECT(IX_CAP),4,FALSE)/VLOOKUP(BC145,INDIRECT(IX_CAP),4,FALSE)</f>
        <v>0</v>
      </c>
      <c r="BN145" s="238">
        <f t="shared" ref="BN145:BN160" ca="1" si="93">BM145*BI145</f>
        <v>0</v>
      </c>
      <c r="BO145" s="615"/>
      <c r="BP145" s="437"/>
    </row>
    <row r="146" spans="1:68" ht="13.5" customHeight="1" thickBot="1" x14ac:dyDescent="0.25">
      <c r="A146" s="437"/>
      <c r="B146" s="437"/>
      <c r="C146" s="437"/>
      <c r="D146" s="437"/>
      <c r="E146" s="437"/>
      <c r="F146" s="437"/>
      <c r="G146" s="437"/>
      <c r="H146" s="641"/>
      <c r="I146" s="470"/>
      <c r="J146" s="470"/>
      <c r="K146" s="64"/>
      <c r="L146" s="339"/>
      <c r="M146" s="1119"/>
      <c r="N146" s="1119"/>
      <c r="O146" s="1119"/>
      <c r="P146" s="72"/>
      <c r="Q146" s="470"/>
      <c r="R146" s="470"/>
      <c r="S146" s="470"/>
      <c r="T146" s="470"/>
      <c r="U146" s="470"/>
      <c r="V146" s="470"/>
      <c r="W146" s="470"/>
      <c r="X146" s="470"/>
      <c r="Y146" s="470"/>
      <c r="Z146" s="470"/>
      <c r="AA146" s="470"/>
      <c r="AB146" s="470"/>
      <c r="AC146" s="470"/>
      <c r="AD146" s="437"/>
      <c r="AE146" s="437"/>
      <c r="AF146" s="437"/>
      <c r="AG146" s="437"/>
      <c r="AH146" s="437"/>
      <c r="AI146" s="437"/>
      <c r="AJ146" s="437"/>
      <c r="AK146" s="437"/>
      <c r="AL146" s="437"/>
      <c r="AM146" s="437"/>
      <c r="AN146" s="437"/>
      <c r="AO146" s="437"/>
      <c r="AP146" s="437"/>
      <c r="AQ146" s="437"/>
      <c r="AR146" s="437"/>
      <c r="AS146" s="641"/>
      <c r="AT146" s="448" t="str">
        <f>IF(CAPEX!A165&lt;&gt;"",CAPEX!A165,"")</f>
        <v>A</v>
      </c>
      <c r="AU146" s="1263">
        <f>IF(CAPEX!B165&lt;&gt;"",CAPEX!B165,"")</f>
        <v>720</v>
      </c>
      <c r="AV146" s="448" t="str">
        <f>IF(CAPEX!C165&lt;&gt;"",CAPEX!C165,"")</f>
        <v>CSL Storage Tank Agitator</v>
      </c>
      <c r="AW146" s="648" t="s">
        <v>989</v>
      </c>
      <c r="AX146" s="448" t="str">
        <f>IF(CAPEX!F165&lt;&gt;"",CAPEX!F165,"")</f>
        <v/>
      </c>
      <c r="AY146" s="1285" t="str">
        <f>IF(CAPEX!G165&lt;&gt;"",CAPEX!G165,"")</f>
        <v>10 hp</v>
      </c>
      <c r="AZ146" s="448" t="str">
        <f>IF(CAPEX!H165&lt;&gt;"",CAPEX!H165,"")</f>
        <v>SS304</v>
      </c>
      <c r="BA146" s="1285">
        <f>IF(CAPEX!J165&lt;&gt;"",CAPEX!J160,"")</f>
        <v>4</v>
      </c>
      <c r="BB146" s="293">
        <f>CAPEX!K165</f>
        <v>21200</v>
      </c>
      <c r="BC146" s="1272">
        <f>IF(CAPEX!L165&lt;&gt;"",CAPEX!L165,"")</f>
        <v>2009</v>
      </c>
      <c r="BD146" s="912">
        <v>0</v>
      </c>
      <c r="BE146" s="900" t="str">
        <f>IF(CAPEX!N165&lt;&gt;"",CAPEX!N165,"")</f>
        <v>strm.735</v>
      </c>
      <c r="BF146" s="1294">
        <f>IF(CAPEX!O165&lt;&gt;"",CAPEX!O165,"")</f>
        <v>1393</v>
      </c>
      <c r="BG146" s="908" t="str">
        <f>IF(CAPEX!P165&lt;&gt;"",CAPEX!P165,"")</f>
        <v>kg/hr</v>
      </c>
      <c r="BH146" s="907">
        <f>IF(CAPEX!Q165&lt;&gt;"",CAPEX!Q165,"")</f>
        <v>0.5</v>
      </c>
      <c r="BI146" s="907">
        <f>IF(CAPEX!R165&lt;&gt;"",CAPEX!R165,"")</f>
        <v>1.5</v>
      </c>
      <c r="BJ146" s="436">
        <f t="shared" ca="1" si="89"/>
        <v>1322.49305</v>
      </c>
      <c r="BK146" s="239">
        <f t="shared" ca="1" si="90"/>
        <v>0.94938481694185217</v>
      </c>
      <c r="BL146" s="238">
        <f t="shared" ca="1" si="91"/>
        <v>0</v>
      </c>
      <c r="BM146" s="238">
        <f t="shared" ca="1" si="92"/>
        <v>0</v>
      </c>
      <c r="BN146" s="238">
        <f t="shared" ca="1" si="93"/>
        <v>0</v>
      </c>
      <c r="BO146" s="615"/>
      <c r="BP146" s="437"/>
    </row>
    <row r="147" spans="1:68" ht="13.5" customHeight="1" thickBot="1" x14ac:dyDescent="0.25">
      <c r="A147" s="437"/>
      <c r="B147" s="437"/>
      <c r="C147" s="437"/>
      <c r="D147" s="437"/>
      <c r="E147" s="437"/>
      <c r="F147" s="437"/>
      <c r="G147" s="437"/>
      <c r="H147" s="641"/>
      <c r="I147" s="470"/>
      <c r="L147" s="64"/>
      <c r="M147" s="72"/>
      <c r="N147" s="64"/>
      <c r="O147" s="72"/>
      <c r="P147" s="72"/>
      <c r="Q147" s="470"/>
      <c r="R147" s="470"/>
      <c r="S147" s="470"/>
      <c r="T147" s="470"/>
      <c r="U147" s="470"/>
      <c r="V147" s="470"/>
      <c r="W147" s="470"/>
      <c r="X147" s="470"/>
      <c r="Y147" s="470"/>
      <c r="Z147" s="470"/>
      <c r="AA147" s="470"/>
      <c r="AB147" s="470"/>
      <c r="AC147" s="470"/>
      <c r="AD147" s="437"/>
      <c r="AE147" s="437"/>
      <c r="AF147" s="437"/>
      <c r="AG147" s="437"/>
      <c r="AH147" s="437"/>
      <c r="AI147" s="437"/>
      <c r="AJ147" s="437"/>
      <c r="AK147" s="437"/>
      <c r="AL147" s="437"/>
      <c r="AM147" s="437"/>
      <c r="AN147" s="437"/>
      <c r="AO147" s="437"/>
      <c r="AP147" s="437"/>
      <c r="AQ147" s="437"/>
      <c r="AR147" s="437"/>
      <c r="AS147" s="641"/>
      <c r="AT147" s="448" t="str">
        <f>IF(CAPEX!A166&lt;&gt;"",CAPEX!A166,"")</f>
        <v>A</v>
      </c>
      <c r="AU147" s="1263">
        <f>IF(CAPEX!B166&lt;&gt;"",CAPEX!B166,"")</f>
        <v>760</v>
      </c>
      <c r="AV147" s="448" t="str">
        <f>IF(CAPEX!C166&lt;&gt;"",CAPEX!C166,"")</f>
        <v>DAP Make-up Tank Agitator</v>
      </c>
      <c r="AW147" s="648" t="s">
        <v>989</v>
      </c>
      <c r="AX147" s="448" t="str">
        <f>IF(CAPEX!F166&lt;&gt;"",CAPEX!F166,"")</f>
        <v/>
      </c>
      <c r="AY147" s="1285" t="str">
        <f>IF(CAPEX!G166&lt;&gt;"",CAPEX!G166,"")</f>
        <v>5.5 hp</v>
      </c>
      <c r="AZ147" s="448" t="str">
        <f>IF(CAPEX!H166&lt;&gt;"",CAPEX!H166,"")</f>
        <v>SS304</v>
      </c>
      <c r="BA147" s="1285">
        <f>IF(CAPEX!J166&lt;&gt;"",CAPEX!J149,"")</f>
        <v>4</v>
      </c>
      <c r="BB147" s="293">
        <f>CAPEX!K166</f>
        <v>9800</v>
      </c>
      <c r="BC147" s="1272">
        <f>IF(CAPEX!L166&lt;&gt;"",CAPEX!L166,"")</f>
        <v>2009</v>
      </c>
      <c r="BD147" s="912">
        <v>0</v>
      </c>
      <c r="BE147" s="900" t="str">
        <f>IF(CAPEX!N166&lt;&gt;"",CAPEX!N166,"")</f>
        <v>strm.755</v>
      </c>
      <c r="BF147" s="1294">
        <f>IF(CAPEX!O166&lt;&gt;"",CAPEX!O166,"")</f>
        <v>163</v>
      </c>
      <c r="BG147" s="908" t="str">
        <f>IF(CAPEX!P166&lt;&gt;"",CAPEX!P166,"")</f>
        <v>kg/hr</v>
      </c>
      <c r="BH147" s="907">
        <f>IF(CAPEX!Q166&lt;&gt;"",CAPEX!Q166,"")</f>
        <v>0.5</v>
      </c>
      <c r="BI147" s="907">
        <f>IF(CAPEX!R166&lt;&gt;"",CAPEX!R166,"")</f>
        <v>1.5</v>
      </c>
      <c r="BJ147" s="436">
        <f t="shared" ca="1" si="89"/>
        <v>144.017628</v>
      </c>
      <c r="BK147" s="239">
        <f t="shared" ca="1" si="90"/>
        <v>0.88354373006134967</v>
      </c>
      <c r="BL147" s="238">
        <f t="shared" ca="1" si="91"/>
        <v>0</v>
      </c>
      <c r="BM147" s="238">
        <f t="shared" ca="1" si="92"/>
        <v>0</v>
      </c>
      <c r="BN147" s="238">
        <f t="shared" ca="1" si="93"/>
        <v>0</v>
      </c>
      <c r="BO147" s="615"/>
      <c r="BP147" s="437"/>
    </row>
    <row r="148" spans="1:68" ht="13.5" customHeight="1" thickBot="1" x14ac:dyDescent="0.25">
      <c r="A148" s="437"/>
      <c r="B148" s="437"/>
      <c r="C148" s="437"/>
      <c r="D148" s="437"/>
      <c r="E148" s="437"/>
      <c r="F148" s="437"/>
      <c r="G148" s="437"/>
      <c r="H148" s="641"/>
      <c r="I148" s="470"/>
      <c r="J148" s="470"/>
      <c r="K148" s="361"/>
      <c r="L148" s="64"/>
      <c r="M148" s="72"/>
      <c r="N148" s="64"/>
      <c r="O148" s="72"/>
      <c r="P148" s="72"/>
      <c r="Q148" s="470"/>
      <c r="R148" s="470"/>
      <c r="S148" s="470"/>
      <c r="T148" s="470"/>
      <c r="U148" s="470"/>
      <c r="V148" s="470"/>
      <c r="W148" s="470"/>
      <c r="X148" s="470"/>
      <c r="Y148" s="470"/>
      <c r="Z148" s="470"/>
      <c r="AA148" s="470"/>
      <c r="AB148" s="470"/>
      <c r="AC148" s="470"/>
      <c r="AD148" s="437"/>
      <c r="AE148" s="437"/>
      <c r="AF148" s="437"/>
      <c r="AG148" s="437"/>
      <c r="AH148" s="437"/>
      <c r="AI148" s="437"/>
      <c r="AJ148" s="437"/>
      <c r="AK148" s="437"/>
      <c r="AL148" s="437"/>
      <c r="AM148" s="437"/>
      <c r="AN148" s="437"/>
      <c r="AO148" s="437"/>
      <c r="AP148" s="437"/>
      <c r="AQ148" s="437"/>
      <c r="AR148" s="437"/>
      <c r="AS148" s="641"/>
      <c r="AT148" s="448" t="str">
        <f>IF(CAPEX!A167&lt;&gt;"",CAPEX!A167,"")</f>
        <v>C</v>
      </c>
      <c r="AU148" s="1263">
        <f>IF(CAPEX!B167&lt;&gt;"",CAPEX!B167,"")</f>
        <v>755</v>
      </c>
      <c r="AV148" s="448" t="str">
        <f>IF(CAPEX!C167&lt;&gt;"",CAPEX!C167,"")</f>
        <v>DAP Bulk Bag Unloader</v>
      </c>
      <c r="AW148" s="648" t="s">
        <v>1043</v>
      </c>
      <c r="AX148" s="448" t="str">
        <f>IF(CAPEX!F167&lt;&gt;"",CAPEX!F167,"")</f>
        <v>Super sack unloader</v>
      </c>
      <c r="AY148" s="1285" t="str">
        <f>IF(CAPEX!G167&lt;&gt;"",CAPEX!G167,"")</f>
        <v/>
      </c>
      <c r="AZ148" s="448" t="str">
        <f>IF(CAPEX!H167&lt;&gt;"",CAPEX!H167,"")</f>
        <v/>
      </c>
      <c r="BA148" s="1285">
        <f>IF(CAPEX!J167&lt;&gt;"",CAPEX!J144,"")</f>
        <v>4</v>
      </c>
      <c r="BB148" s="293">
        <f>CAPEX!K167</f>
        <v>30000</v>
      </c>
      <c r="BC148" s="1272">
        <f>IF(CAPEX!L167&lt;&gt;"",CAPEX!L167,"")</f>
        <v>2009</v>
      </c>
      <c r="BD148" s="912">
        <v>0</v>
      </c>
      <c r="BE148" s="900" t="str">
        <f>IF(CAPEX!N167&lt;&gt;"",CAPEX!N167,"")</f>
        <v>strm.755</v>
      </c>
      <c r="BF148" s="1294">
        <f>IF(CAPEX!O167&lt;&gt;"",CAPEX!O167,"")</f>
        <v>163</v>
      </c>
      <c r="BG148" s="908" t="str">
        <f>IF(CAPEX!P167&lt;&gt;"",CAPEX!P167,"")</f>
        <v>kg/hr</v>
      </c>
      <c r="BH148" s="907">
        <f>IF(CAPEX!Q167&lt;&gt;"",CAPEX!Q167,"")</f>
        <v>0.6</v>
      </c>
      <c r="BI148" s="907">
        <f>IF(CAPEX!R167&lt;&gt;"",CAPEX!R167,"")</f>
        <v>1.7</v>
      </c>
      <c r="BJ148" s="436">
        <f t="shared" ca="1" si="89"/>
        <v>144.017628</v>
      </c>
      <c r="BK148" s="239">
        <f t="shared" ca="1" si="90"/>
        <v>0.88354373006134967</v>
      </c>
      <c r="BL148" s="238">
        <f t="shared" ca="1" si="91"/>
        <v>0</v>
      </c>
      <c r="BM148" s="238">
        <f t="shared" ca="1" si="92"/>
        <v>0</v>
      </c>
      <c r="BN148" s="238">
        <f t="shared" ca="1" si="93"/>
        <v>0</v>
      </c>
      <c r="BO148" s="615"/>
      <c r="BP148" s="437"/>
    </row>
    <row r="149" spans="1:68" ht="13.5" customHeight="1" thickBot="1" x14ac:dyDescent="0.25">
      <c r="A149" s="437"/>
      <c r="B149" s="437"/>
      <c r="C149" s="437"/>
      <c r="D149" s="437"/>
      <c r="E149" s="437"/>
      <c r="F149" s="437"/>
      <c r="G149" s="437"/>
      <c r="H149" s="641"/>
      <c r="I149" s="571" t="s">
        <v>1874</v>
      </c>
      <c r="J149" s="1482" t="s">
        <v>3459</v>
      </c>
      <c r="K149" s="64">
        <f ca="1">VLOOKUP(J149,INDIRECT(LU_SENS),2,FALSE)</f>
        <v>1978.7516200000002</v>
      </c>
      <c r="L149" s="64"/>
      <c r="M149" s="72"/>
      <c r="N149" s="64"/>
      <c r="O149" s="72"/>
      <c r="P149" s="72"/>
      <c r="Q149" s="470"/>
      <c r="R149" s="470"/>
      <c r="S149" s="470"/>
      <c r="T149" s="470"/>
      <c r="U149" s="470"/>
      <c r="V149" s="470"/>
      <c r="W149" s="470"/>
      <c r="X149" s="470"/>
      <c r="Y149" s="470"/>
      <c r="Z149" s="470"/>
      <c r="AA149" s="470"/>
      <c r="AB149" s="470"/>
      <c r="AC149" s="470"/>
      <c r="AD149" s="437"/>
      <c r="AE149" s="437"/>
      <c r="AF149" s="437"/>
      <c r="AG149" s="437"/>
      <c r="AH149" s="437"/>
      <c r="AI149" s="437"/>
      <c r="AJ149" s="437"/>
      <c r="AK149" s="437"/>
      <c r="AL149" s="437"/>
      <c r="AM149" s="437"/>
      <c r="AN149" s="437"/>
      <c r="AO149" s="437"/>
      <c r="AP149" s="437"/>
      <c r="AQ149" s="437"/>
      <c r="AR149" s="437"/>
      <c r="AS149" s="641"/>
      <c r="AT149" s="448" t="str">
        <f>IF(CAPEX!A168&lt;&gt;"",CAPEX!A168,"")</f>
        <v>P</v>
      </c>
      <c r="AU149" s="1263">
        <f>IF(CAPEX!B168&lt;&gt;"",CAPEX!B168,"")</f>
        <v>701</v>
      </c>
      <c r="AV149" s="448" t="str">
        <f>IF(CAPEX!C168&lt;&gt;"",CAPEX!C168,"")</f>
        <v>Ethanol Product Pump</v>
      </c>
      <c r="AW149" s="648" t="s">
        <v>991</v>
      </c>
      <c r="AX149" s="448" t="str">
        <f>IF(CAPEX!F168&lt;&gt;"",CAPEX!F168,"")</f>
        <v>150 GPM, 112 FT TDH</v>
      </c>
      <c r="AY149" s="1285">
        <f>IF(CAPEX!G168&lt;&gt;"",CAPEX!G168,"")</f>
        <v>5</v>
      </c>
      <c r="AZ149" s="448" t="str">
        <f>IF(CAPEX!H168&lt;&gt;"",CAPEX!H168,"")</f>
        <v>CS</v>
      </c>
      <c r="BA149" s="1285">
        <f>IF(CAPEX!J168&lt;&gt;"",CAPEX!J140,"")</f>
        <v>4</v>
      </c>
      <c r="BB149" s="293">
        <f>CAPEX!K168</f>
        <v>9200</v>
      </c>
      <c r="BC149" s="1272">
        <f>IF(CAPEX!L168&lt;&gt;"",CAPEX!L168,"")</f>
        <v>2009</v>
      </c>
      <c r="BD149" s="912">
        <v>0</v>
      </c>
      <c r="BE149" s="900" t="str">
        <f>IF(CAPEX!N168&lt;&gt;"",CAPEX!N168,"")</f>
        <v>strm.a500.515</v>
      </c>
      <c r="BF149" s="1294">
        <f>IF(CAPEX!O168&lt;&gt;"",CAPEX!O168,"")</f>
        <v>22681</v>
      </c>
      <c r="BG149" s="908" t="str">
        <f>IF(CAPEX!P168&lt;&gt;"",CAPEX!P168,"")</f>
        <v>kg/hr</v>
      </c>
      <c r="BH149" s="907">
        <f>IF(CAPEX!Q168&lt;&gt;"",CAPEX!Q168,"")</f>
        <v>0.8</v>
      </c>
      <c r="BI149" s="907">
        <f>IF(CAPEX!R168&lt;&gt;"",CAPEX!R168,"")</f>
        <v>3.1</v>
      </c>
      <c r="BJ149" s="436">
        <f t="shared" ca="1" si="89"/>
        <v>21808.6862</v>
      </c>
      <c r="BK149" s="239">
        <f t="shared" ca="1" si="90"/>
        <v>0.96153988801199242</v>
      </c>
      <c r="BL149" s="238">
        <f t="shared" ca="1" si="91"/>
        <v>0</v>
      </c>
      <c r="BM149" s="238">
        <f t="shared" ca="1" si="92"/>
        <v>0</v>
      </c>
      <c r="BN149" s="238">
        <f t="shared" ca="1" si="93"/>
        <v>0</v>
      </c>
      <c r="BO149" s="615"/>
      <c r="BP149" s="437"/>
    </row>
    <row r="150" spans="1:68" ht="13.5" customHeight="1" thickBot="1" x14ac:dyDescent="0.25">
      <c r="A150" s="437"/>
      <c r="B150" s="437"/>
      <c r="C150" s="437"/>
      <c r="D150" s="437"/>
      <c r="E150" s="437"/>
      <c r="F150" s="437"/>
      <c r="G150" s="437"/>
      <c r="H150" s="641"/>
      <c r="I150" s="470"/>
      <c r="J150" s="1482" t="s">
        <v>3460</v>
      </c>
      <c r="K150" s="64">
        <f ca="1">VLOOKUP(J150,INDIRECT(LU_SENS),2,FALSE)</f>
        <v>1162.5026499999999</v>
      </c>
      <c r="L150" s="64"/>
      <c r="M150" s="72"/>
      <c r="N150" s="64"/>
      <c r="O150" s="72"/>
      <c r="P150" s="72"/>
      <c r="Q150" s="470"/>
      <c r="R150" s="470"/>
      <c r="S150" s="470"/>
      <c r="T150" s="470"/>
      <c r="U150" s="470"/>
      <c r="V150" s="470"/>
      <c r="W150" s="470"/>
      <c r="X150" s="470"/>
      <c r="Y150" s="470"/>
      <c r="Z150" s="470"/>
      <c r="AA150" s="470"/>
      <c r="AB150" s="470"/>
      <c r="AC150" s="470"/>
      <c r="AD150" s="437"/>
      <c r="AE150" s="437"/>
      <c r="AF150" s="437"/>
      <c r="AG150" s="437"/>
      <c r="AH150" s="437"/>
      <c r="AI150" s="437"/>
      <c r="AJ150" s="437"/>
      <c r="AK150" s="437"/>
      <c r="AL150" s="437"/>
      <c r="AM150" s="437"/>
      <c r="AN150" s="437"/>
      <c r="AO150" s="437"/>
      <c r="AP150" s="437"/>
      <c r="AQ150" s="437"/>
      <c r="AR150" s="437"/>
      <c r="AS150" s="641"/>
      <c r="AT150" s="448" t="str">
        <f>IF(CAPEX!A169&lt;&gt;"",CAPEX!A169,"")</f>
        <v>P</v>
      </c>
      <c r="AU150" s="1263">
        <f>IF(CAPEX!B169&lt;&gt;"",CAPEX!B169,"")</f>
        <v>703</v>
      </c>
      <c r="AV150" s="448" t="str">
        <f>IF(CAPEX!C169&lt;&gt;"",CAPEX!C169,"")</f>
        <v>Sulfuric Acid Pump</v>
      </c>
      <c r="AW150" s="648" t="s">
        <v>991</v>
      </c>
      <c r="AX150" s="448" t="str">
        <f>IF(CAPEX!F169&lt;&gt;"",CAPEX!F169,"")</f>
        <v>5 GPM, 150 FT TDH SIZE 2X1-10</v>
      </c>
      <c r="AY150" s="1285">
        <f>IF(CAPEX!G169&lt;&gt;"",CAPEX!G169,"")</f>
        <v>0.5</v>
      </c>
      <c r="AZ150" s="448" t="str">
        <f>IF(CAPEX!H169&lt;&gt;"",CAPEX!H169,"")</f>
        <v>SS316</v>
      </c>
      <c r="BA150" s="1285">
        <f>IF(CAPEX!J169&lt;&gt;"",CAPEX!J150,"")</f>
        <v>6</v>
      </c>
      <c r="BB150" s="293">
        <f>CAPEX!K169</f>
        <v>7493</v>
      </c>
      <c r="BC150" s="1272">
        <f>IF(CAPEX!L169&lt;&gt;"",CAPEX!L169,"")</f>
        <v>2010</v>
      </c>
      <c r="BD150" s="905">
        <f>IF(CAPEX!M169&lt;&gt;"",CAPEX!M169,"")</f>
        <v>7493</v>
      </c>
      <c r="BE150" s="900" t="str">
        <f>IF(CAPEX!N169&lt;&gt;"",CAPEX!N169,"")</f>
        <v>strm.710</v>
      </c>
      <c r="BF150" s="1295">
        <f>IF(CAPEX!O169&lt;&gt;"",CAPEX!O169,"")</f>
        <v>1981</v>
      </c>
      <c r="BG150" s="904" t="str">
        <f>IF(CAPEX!P169&lt;&gt;"",CAPEX!P169,"")</f>
        <v>kg/hr</v>
      </c>
      <c r="BH150" s="907">
        <f>IF(CAPEX!Q169&lt;&gt;"",CAPEX!Q169,"")</f>
        <v>0.8</v>
      </c>
      <c r="BI150" s="907">
        <f>IF(CAPEX!R169&lt;&gt;"",CAPEX!R169,"")</f>
        <v>2.2999999999999998</v>
      </c>
      <c r="BJ150" s="436">
        <f t="shared" ca="1" si="89"/>
        <v>1980.6120000000003</v>
      </c>
      <c r="BK150" s="239">
        <f t="shared" ca="1" si="90"/>
        <v>0.99980413932357415</v>
      </c>
      <c r="BL150" s="238">
        <f t="shared" ca="1" si="91"/>
        <v>7491.8259097640703</v>
      </c>
      <c r="BM150" s="238">
        <f t="shared" ca="1" si="92"/>
        <v>7146.3422893791621</v>
      </c>
      <c r="BN150" s="238">
        <f t="shared" ca="1" si="93"/>
        <v>16436.58726557207</v>
      </c>
      <c r="BO150" s="615"/>
      <c r="BP150" s="437"/>
    </row>
    <row r="151" spans="1:68" ht="13.5" customHeight="1" thickBot="1" x14ac:dyDescent="0.25">
      <c r="A151" s="437"/>
      <c r="B151" s="437"/>
      <c r="C151" s="437"/>
      <c r="D151" s="437"/>
      <c r="E151" s="437"/>
      <c r="F151" s="437"/>
      <c r="G151" s="437"/>
      <c r="H151" s="641"/>
      <c r="I151" s="470"/>
      <c r="J151" s="1482" t="s">
        <v>3462</v>
      </c>
      <c r="K151" s="64">
        <f ca="1">VLOOKUP(J151,INDIRECT(LU_SENS),2,FALSE)</f>
        <v>29258.051500000001</v>
      </c>
      <c r="L151" s="64"/>
      <c r="M151" s="72"/>
      <c r="N151" s="64"/>
      <c r="O151" s="72"/>
      <c r="P151" s="72"/>
      <c r="Q151" s="470"/>
      <c r="R151" s="470"/>
      <c r="S151" s="470"/>
      <c r="T151" s="470"/>
      <c r="U151" s="470"/>
      <c r="V151" s="470"/>
      <c r="W151" s="470"/>
      <c r="X151" s="470"/>
      <c r="Y151" s="470"/>
      <c r="Z151" s="470"/>
      <c r="AA151" s="470"/>
      <c r="AB151" s="470"/>
      <c r="AC151" s="470"/>
      <c r="AD151" s="437"/>
      <c r="AE151" s="437"/>
      <c r="AF151" s="437"/>
      <c r="AG151" s="437"/>
      <c r="AH151" s="437"/>
      <c r="AI151" s="437"/>
      <c r="AJ151" s="437"/>
      <c r="AK151" s="437"/>
      <c r="AL151" s="437"/>
      <c r="AM151" s="437"/>
      <c r="AN151" s="437"/>
      <c r="AO151" s="437"/>
      <c r="AP151" s="437"/>
      <c r="AQ151" s="437"/>
      <c r="AR151" s="437"/>
      <c r="AS151" s="641"/>
      <c r="AT151" s="448" t="str">
        <f>IF(CAPEX!A170&lt;&gt;"",CAPEX!A170,"")</f>
        <v>P</v>
      </c>
      <c r="AU151" s="1263">
        <f>IF(CAPEX!B170&lt;&gt;"",CAPEX!B170,"")</f>
        <v>704</v>
      </c>
      <c r="AV151" s="448" t="str">
        <f>IF(CAPEX!C170&lt;&gt;"",CAPEX!C170,"")</f>
        <v>Firewater Pump</v>
      </c>
      <c r="AW151" s="648" t="s">
        <v>991</v>
      </c>
      <c r="AX151" s="448" t="str">
        <f>IF(CAPEX!F170&lt;&gt;"",CAPEX!F170,"")</f>
        <v>2500 GPM, 150 FT TDH</v>
      </c>
      <c r="AY151" s="1285">
        <f>IF(CAPEX!G170&lt;&gt;"",CAPEX!G170,"")</f>
        <v>125</v>
      </c>
      <c r="AZ151" s="448" t="str">
        <f>IF(CAPEX!H170&lt;&gt;"",CAPEX!H170,"")</f>
        <v>CS</v>
      </c>
      <c r="BA151" s="1285">
        <f>IF(CAPEX!J170&lt;&gt;"",CAPEX!J151,"")</f>
        <v>4</v>
      </c>
      <c r="BB151" s="293">
        <f>CAPEX!K170</f>
        <v>15000</v>
      </c>
      <c r="BC151" s="1272">
        <f>IF(CAPEX!L170&lt;&gt;"",CAPEX!L170,"")</f>
        <v>2009</v>
      </c>
      <c r="BD151" s="905">
        <f>IF(CAPEX!M170&lt;&gt;"",CAPEX!M170,"")</f>
        <v>15000</v>
      </c>
      <c r="BE151" s="900" t="str">
        <f>IF(CAPEX!N170&lt;&gt;"",CAPEX!N170,"")</f>
        <v>strm.a700.713</v>
      </c>
      <c r="BF151" s="1294">
        <f>IF(CAPEX!O170&lt;&gt;"",CAPEX!O170,"")</f>
        <v>8343</v>
      </c>
      <c r="BG151" s="908" t="str">
        <f>IF(CAPEX!P170&lt;&gt;"",CAPEX!P170,"")</f>
        <v>kg/hr</v>
      </c>
      <c r="BH151" s="907">
        <f>IF(CAPEX!Q170&lt;&gt;"",CAPEX!Q170,"")</f>
        <v>0.8</v>
      </c>
      <c r="BI151" s="907">
        <f>IF(CAPEX!R170&lt;&gt;"",CAPEX!R170,"")</f>
        <v>3.1</v>
      </c>
      <c r="BJ151" s="436">
        <f t="shared" ca="1" si="89"/>
        <v>8021.5972499999989</v>
      </c>
      <c r="BK151" s="239">
        <f t="shared" ca="1" si="90"/>
        <v>0.9614763574253864</v>
      </c>
      <c r="BL151" s="238">
        <f t="shared" ca="1" si="91"/>
        <v>14535.90736520033</v>
      </c>
      <c r="BM151" s="238">
        <f t="shared" ca="1" si="92"/>
        <v>14633.389020264904</v>
      </c>
      <c r="BN151" s="238">
        <f t="shared" ca="1" si="93"/>
        <v>45363.505962821204</v>
      </c>
      <c r="BO151" s="615"/>
      <c r="BP151" s="437"/>
    </row>
    <row r="152" spans="1:68" ht="13.5" customHeight="1" thickBot="1" x14ac:dyDescent="0.25">
      <c r="A152" s="437"/>
      <c r="B152" s="437"/>
      <c r="C152" s="437"/>
      <c r="D152" s="437"/>
      <c r="E152" s="437"/>
      <c r="F152" s="437"/>
      <c r="G152" s="437"/>
      <c r="H152" s="641"/>
      <c r="I152" s="470"/>
      <c r="J152" s="1482" t="s">
        <v>3464</v>
      </c>
      <c r="K152" s="64">
        <f ca="1">VLOOKUP(J152,INDIRECT(LU_SENS),2,FALSE)</f>
        <v>487.763351</v>
      </c>
      <c r="L152" s="64"/>
      <c r="M152" s="72"/>
      <c r="N152" s="64"/>
      <c r="O152" s="72"/>
      <c r="P152" s="72"/>
      <c r="Q152" s="470"/>
      <c r="R152" s="470"/>
      <c r="S152" s="470"/>
      <c r="T152" s="470"/>
      <c r="U152" s="470"/>
      <c r="V152" s="470"/>
      <c r="W152" s="470"/>
      <c r="X152" s="470"/>
      <c r="Y152" s="470"/>
      <c r="Z152" s="470"/>
      <c r="AA152" s="470"/>
      <c r="AB152" s="470"/>
      <c r="AC152" s="470"/>
      <c r="AD152" s="437"/>
      <c r="AE152" s="437"/>
      <c r="AF152" s="437"/>
      <c r="AG152" s="437"/>
      <c r="AH152" s="437"/>
      <c r="AI152" s="437"/>
      <c r="AJ152" s="437"/>
      <c r="AK152" s="437"/>
      <c r="AL152" s="437"/>
      <c r="AM152" s="437"/>
      <c r="AN152" s="437"/>
      <c r="AO152" s="437"/>
      <c r="AP152" s="437"/>
      <c r="AQ152" s="437"/>
      <c r="AR152" s="437"/>
      <c r="AS152" s="641"/>
      <c r="AT152" s="448" t="str">
        <f>IF(CAPEX!A171&lt;&gt;"",CAPEX!A171,"")</f>
        <v>P</v>
      </c>
      <c r="AU152" s="1263">
        <f>IF(CAPEX!B171&lt;&gt;"",CAPEX!B171,"")</f>
        <v>710</v>
      </c>
      <c r="AV152" s="448" t="str">
        <f>IF(CAPEX!C171&lt;&gt;"",CAPEX!C171,"")</f>
        <v>Gasoline Pump</v>
      </c>
      <c r="AW152" s="648" t="s">
        <v>991</v>
      </c>
      <c r="AX152" s="448" t="str">
        <f>IF(CAPEX!F171&lt;&gt;"",CAPEX!F171,"")</f>
        <v>4 GPM, 60 FT</v>
      </c>
      <c r="AY152" s="1285">
        <f>IF(CAPEX!G171&lt;&gt;"",CAPEX!G171,"")</f>
        <v>0.5</v>
      </c>
      <c r="AZ152" s="448" t="str">
        <f>IF(CAPEX!H171&lt;&gt;"",CAPEX!H171,"")</f>
        <v>CS</v>
      </c>
      <c r="BA152" s="1285">
        <f>IF(CAPEX!J171&lt;&gt;"",CAPEX!J161,"")</f>
        <v>3</v>
      </c>
      <c r="BB152" s="293">
        <f>CAPEX!K171</f>
        <v>3000</v>
      </c>
      <c r="BC152" s="1272">
        <f>IF(CAPEX!L171&lt;&gt;"",CAPEX!L171,"")</f>
        <v>2009</v>
      </c>
      <c r="BD152" s="912">
        <v>0</v>
      </c>
      <c r="BE152" s="900" t="str">
        <f>IF(CAPEX!N171&lt;&gt;"",CAPEX!N171,"")</f>
        <v>strm.a700.701</v>
      </c>
      <c r="BF152" s="1294">
        <f>IF(CAPEX!O171&lt;&gt;"",CAPEX!O171,"")</f>
        <v>473</v>
      </c>
      <c r="BG152" s="908" t="str">
        <f>IF(CAPEX!P171&lt;&gt;"",CAPEX!P171,"")</f>
        <v>kg/hr</v>
      </c>
      <c r="BH152" s="907">
        <f>IF(CAPEX!Q171&lt;&gt;"",CAPEX!Q171,"")</f>
        <v>0.8</v>
      </c>
      <c r="BI152" s="907">
        <f>IF(CAPEX!R171&lt;&gt;"",CAPEX!R171,"")</f>
        <v>3.1</v>
      </c>
      <c r="BJ152" s="436">
        <f t="shared" ca="1" si="89"/>
        <v>464.92940899999996</v>
      </c>
      <c r="BK152" s="239">
        <f t="shared" ca="1" si="90"/>
        <v>0.9829374397463001</v>
      </c>
      <c r="BL152" s="238">
        <f t="shared" ca="1" si="91"/>
        <v>0</v>
      </c>
      <c r="BM152" s="238">
        <f t="shared" ca="1" si="92"/>
        <v>0</v>
      </c>
      <c r="BN152" s="238">
        <f t="shared" ca="1" si="93"/>
        <v>0</v>
      </c>
      <c r="BO152" s="615"/>
      <c r="BP152" s="437"/>
    </row>
    <row r="153" spans="1:68" ht="13.5" customHeight="1" thickBot="1" x14ac:dyDescent="0.25">
      <c r="A153" s="437"/>
      <c r="B153" s="437"/>
      <c r="C153" s="437"/>
      <c r="D153" s="437"/>
      <c r="E153" s="437"/>
      <c r="F153" s="437"/>
      <c r="G153" s="437"/>
      <c r="H153" s="641"/>
      <c r="I153" s="470"/>
      <c r="J153" s="1482" t="s">
        <v>3449</v>
      </c>
      <c r="K153" s="64">
        <f ca="1">VLOOKUP(J153,INDIRECT(LU_SENS),2,FALSE)</f>
        <v>16237.403</v>
      </c>
      <c r="L153" s="64"/>
      <c r="M153" s="72"/>
      <c r="N153" s="64"/>
      <c r="O153" s="72"/>
      <c r="P153" s="72"/>
      <c r="Q153" s="470"/>
      <c r="R153" s="470"/>
      <c r="S153" s="470"/>
      <c r="T153" s="470"/>
      <c r="U153" s="470"/>
      <c r="V153" s="470"/>
      <c r="W153" s="470"/>
      <c r="X153" s="470"/>
      <c r="Y153" s="470"/>
      <c r="Z153" s="470"/>
      <c r="AA153" s="470"/>
      <c r="AB153" s="470"/>
      <c r="AC153" s="470"/>
      <c r="AD153" s="437"/>
      <c r="AE153" s="437"/>
      <c r="AF153" s="437"/>
      <c r="AG153" s="437"/>
      <c r="AH153" s="437"/>
      <c r="AI153" s="437"/>
      <c r="AJ153" s="437"/>
      <c r="AK153" s="437"/>
      <c r="AL153" s="437"/>
      <c r="AM153" s="437"/>
      <c r="AN153" s="437"/>
      <c r="AO153" s="437"/>
      <c r="AP153" s="437"/>
      <c r="AQ153" s="437"/>
      <c r="AR153" s="437"/>
      <c r="AS153" s="641"/>
      <c r="AT153" s="448" t="str">
        <f>IF(CAPEX!A172&lt;&gt;"",CAPEX!A172,"")</f>
        <v>P</v>
      </c>
      <c r="AU153" s="1263">
        <f>IF(CAPEX!B172&lt;&gt;"",CAPEX!B172,"")</f>
        <v>720</v>
      </c>
      <c r="AV153" s="448" t="str">
        <f>IF(CAPEX!C172&lt;&gt;"",CAPEX!C172,"")</f>
        <v>CSL Pump</v>
      </c>
      <c r="AW153" s="648" t="s">
        <v>991</v>
      </c>
      <c r="AX153" s="448" t="str">
        <f>IF(CAPEX!F172&lt;&gt;"",CAPEX!F172,"")</f>
        <v>8 GPM, 80 FT TDH</v>
      </c>
      <c r="AY153" s="1285">
        <f>IF(CAPEX!G172&lt;&gt;"",CAPEX!G172,"")</f>
        <v>0.5</v>
      </c>
      <c r="AZ153" s="448" t="str">
        <f>IF(CAPEX!H172&lt;&gt;"",CAPEX!H172,"")</f>
        <v>CS</v>
      </c>
      <c r="BA153" s="1285">
        <f>IF(CAPEX!J172&lt;&gt;"",CAPEX!J141,"")</f>
        <v>8</v>
      </c>
      <c r="BB153" s="293">
        <f>CAPEX!K172</f>
        <v>3000</v>
      </c>
      <c r="BC153" s="1272">
        <f>IF(CAPEX!L172&lt;&gt;"",CAPEX!L172,"")</f>
        <v>2009</v>
      </c>
      <c r="BD153" s="912">
        <v>0</v>
      </c>
      <c r="BE153" s="900" t="str">
        <f>IF(CAPEX!N172&lt;&gt;"",CAPEX!N172,"")</f>
        <v>strm.735</v>
      </c>
      <c r="BF153" s="1294">
        <f>IF(CAPEX!O172&lt;&gt;"",CAPEX!O172,"")</f>
        <v>1393</v>
      </c>
      <c r="BG153" s="908" t="str">
        <f>IF(CAPEX!P172&lt;&gt;"",CAPEX!P172,"")</f>
        <v>kg/hr</v>
      </c>
      <c r="BH153" s="907">
        <f>IF(CAPEX!Q172&lt;&gt;"",CAPEX!Q172,"")</f>
        <v>0.8</v>
      </c>
      <c r="BI153" s="907">
        <f>IF(CAPEX!R172&lt;&gt;"",CAPEX!R172,"")</f>
        <v>3.1</v>
      </c>
      <c r="BJ153" s="436">
        <f t="shared" ca="1" si="89"/>
        <v>1322.49305</v>
      </c>
      <c r="BK153" s="239">
        <f t="shared" ca="1" si="90"/>
        <v>0.94938481694185217</v>
      </c>
      <c r="BL153" s="238">
        <f t="shared" ca="1" si="91"/>
        <v>0</v>
      </c>
      <c r="BM153" s="238">
        <f t="shared" ca="1" si="92"/>
        <v>0</v>
      </c>
      <c r="BN153" s="238">
        <f t="shared" ca="1" si="93"/>
        <v>0</v>
      </c>
      <c r="BO153" s="615"/>
      <c r="BP153" s="437"/>
    </row>
    <row r="154" spans="1:68" ht="13.5" customHeight="1" thickBot="1" x14ac:dyDescent="0.25">
      <c r="A154" s="437"/>
      <c r="B154" s="437"/>
      <c r="C154" s="437"/>
      <c r="D154" s="437"/>
      <c r="E154" s="437"/>
      <c r="F154" s="437"/>
      <c r="G154" s="437"/>
      <c r="H154" s="641"/>
      <c r="I154" s="470"/>
      <c r="J154" s="1482" t="s">
        <v>2604</v>
      </c>
      <c r="K154" s="64">
        <f ca="1">SUM(K149:K153)</f>
        <v>49124.472120999999</v>
      </c>
      <c r="L154" s="64"/>
      <c r="M154" s="72"/>
      <c r="N154" s="64"/>
      <c r="O154" s="72"/>
      <c r="P154" s="72"/>
      <c r="Q154" s="470"/>
      <c r="R154" s="470"/>
      <c r="S154" s="470"/>
      <c r="T154" s="470"/>
      <c r="U154" s="470"/>
      <c r="V154" s="470"/>
      <c r="W154" s="470"/>
      <c r="X154" s="470"/>
      <c r="Y154" s="470"/>
      <c r="Z154" s="470"/>
      <c r="AA154" s="470"/>
      <c r="AB154" s="470"/>
      <c r="AC154" s="470"/>
      <c r="AD154" s="437"/>
      <c r="AE154" s="437"/>
      <c r="AF154" s="437"/>
      <c r="AG154" s="437"/>
      <c r="AH154" s="437"/>
      <c r="AI154" s="437"/>
      <c r="AJ154" s="437"/>
      <c r="AK154" s="437"/>
      <c r="AL154" s="437"/>
      <c r="AM154" s="437"/>
      <c r="AN154" s="437"/>
      <c r="AO154" s="437"/>
      <c r="AP154" s="437"/>
      <c r="AQ154" s="437"/>
      <c r="AR154" s="437"/>
      <c r="AS154" s="641"/>
      <c r="AT154" s="448" t="str">
        <f>IF(CAPEX!A173&lt;&gt;"",CAPEX!A173,"")</f>
        <v>P</v>
      </c>
      <c r="AU154" s="1263">
        <f>IF(CAPEX!B173&lt;&gt;"",CAPEX!B173,"")</f>
        <v>760</v>
      </c>
      <c r="AV154" s="448" t="str">
        <f>IF(CAPEX!C173&lt;&gt;"",CAPEX!C173,"")</f>
        <v>DAP Pump</v>
      </c>
      <c r="AW154" s="648" t="s">
        <v>991</v>
      </c>
      <c r="AX154" s="448" t="str">
        <f>IF(CAPEX!F173&lt;&gt;"",CAPEX!F173,"")</f>
        <v>2 GPM, 100 FT TDH</v>
      </c>
      <c r="AY154" s="1285">
        <f>IF(CAPEX!G173&lt;&gt;"",CAPEX!G173,"")</f>
        <v>0.5</v>
      </c>
      <c r="AZ154" s="448" t="str">
        <f>IF(CAPEX!H173&lt;&gt;"",CAPEX!H173,"")</f>
        <v>CS</v>
      </c>
      <c r="BA154" s="1285">
        <f>IF(CAPEX!J173&lt;&gt;"",CAPEX!J162,"")</f>
        <v>1</v>
      </c>
      <c r="BB154" s="293">
        <f>CAPEX!K173</f>
        <v>3000</v>
      </c>
      <c r="BC154" s="1272">
        <f>IF(CAPEX!L173&lt;&gt;"",CAPEX!L173,"")</f>
        <v>2009</v>
      </c>
      <c r="BD154" s="912">
        <v>0</v>
      </c>
      <c r="BE154" s="900" t="str">
        <f>IF(CAPEX!N173&lt;&gt;"",CAPEX!N173,"")</f>
        <v>strm.755</v>
      </c>
      <c r="BF154" s="1294">
        <f>IF(CAPEX!O173&lt;&gt;"",CAPEX!O173,"")</f>
        <v>163</v>
      </c>
      <c r="BG154" s="908" t="str">
        <f>IF(CAPEX!P173&lt;&gt;"",CAPEX!P173,"")</f>
        <v>kg/hr</v>
      </c>
      <c r="BH154" s="907">
        <f>IF(CAPEX!Q173&lt;&gt;"",CAPEX!Q173,"")</f>
        <v>0.8</v>
      </c>
      <c r="BI154" s="907">
        <f>IF(CAPEX!R173&lt;&gt;"",CAPEX!R173,"")</f>
        <v>3.1</v>
      </c>
      <c r="BJ154" s="436">
        <f t="shared" ca="1" si="89"/>
        <v>144.017628</v>
      </c>
      <c r="BK154" s="239">
        <f t="shared" ca="1" si="90"/>
        <v>0.88354373006134967</v>
      </c>
      <c r="BL154" s="238">
        <f t="shared" ca="1" si="91"/>
        <v>0</v>
      </c>
      <c r="BM154" s="238">
        <f t="shared" ca="1" si="92"/>
        <v>0</v>
      </c>
      <c r="BN154" s="238">
        <f t="shared" ca="1" si="93"/>
        <v>0</v>
      </c>
      <c r="BO154" s="615"/>
      <c r="BP154" s="437"/>
    </row>
    <row r="155" spans="1:68" ht="13.5" customHeight="1" thickBot="1" x14ac:dyDescent="0.25">
      <c r="A155" s="437"/>
      <c r="B155" s="437"/>
      <c r="C155" s="437"/>
      <c r="D155" s="437"/>
      <c r="E155" s="437"/>
      <c r="F155" s="437"/>
      <c r="G155" s="437"/>
      <c r="H155" s="641"/>
      <c r="K155" s="64"/>
      <c r="L155" s="64"/>
      <c r="M155" s="72"/>
      <c r="N155" s="64"/>
      <c r="O155" s="72"/>
      <c r="P155" s="72"/>
      <c r="Q155" s="470"/>
      <c r="R155" s="470"/>
      <c r="S155" s="470"/>
      <c r="T155" s="470"/>
      <c r="U155" s="470"/>
      <c r="V155" s="470"/>
      <c r="W155" s="470"/>
      <c r="X155" s="470"/>
      <c r="Y155" s="470"/>
      <c r="Z155" s="470"/>
      <c r="AA155" s="470"/>
      <c r="AB155" s="470"/>
      <c r="AC155" s="470"/>
      <c r="AD155" s="437"/>
      <c r="AE155" s="437"/>
      <c r="AF155" s="437"/>
      <c r="AG155" s="437"/>
      <c r="AH155" s="437"/>
      <c r="AI155" s="437"/>
      <c r="AJ155" s="437"/>
      <c r="AK155" s="437"/>
      <c r="AL155" s="437"/>
      <c r="AM155" s="437"/>
      <c r="AN155" s="437"/>
      <c r="AO155" s="437"/>
      <c r="AP155" s="437"/>
      <c r="AQ155" s="437"/>
      <c r="AR155" s="437"/>
      <c r="AS155" s="641"/>
      <c r="AT155" s="448" t="str">
        <f>IF(CAPEX!A174&lt;&gt;"",CAPEX!A174,"")</f>
        <v>T</v>
      </c>
      <c r="AU155" s="1263">
        <f>IF(CAPEX!B174&lt;&gt;"",CAPEX!B174,"")</f>
        <v>701</v>
      </c>
      <c r="AV155" s="448" t="str">
        <f>IF(CAPEX!C174&lt;&gt;"",CAPEX!C174,"")</f>
        <v>Ethanol Product Storage Tank</v>
      </c>
      <c r="AW155" s="648" t="s">
        <v>891</v>
      </c>
      <c r="AX155" s="448" t="str">
        <f>IF(CAPEX!F174&lt;&gt;"",CAPEX!F174,"")</f>
        <v>750,000 gal., 7 day storage, Floating roof</v>
      </c>
      <c r="AY155" s="1285" t="str">
        <f>IF(CAPEX!G174&lt;&gt;"",CAPEX!G174,"")</f>
        <v/>
      </c>
      <c r="AZ155" s="448" t="str">
        <f>IF(CAPEX!H174&lt;&gt;"",CAPEX!H174,"")</f>
        <v>A285C</v>
      </c>
      <c r="BA155" s="1285">
        <f>IF(CAPEX!J174&lt;&gt;"",CAPEX!J157,"")</f>
        <v>3</v>
      </c>
      <c r="BB155" s="293">
        <f>CAPEX!K174</f>
        <v>1340000</v>
      </c>
      <c r="BC155" s="1272">
        <f>IF(CAPEX!L174&lt;&gt;"",CAPEX!L174,"")</f>
        <v>2009</v>
      </c>
      <c r="BD155" s="912">
        <v>0</v>
      </c>
      <c r="BE155" s="900" t="str">
        <f>IF(CAPEX!N174&lt;&gt;"",CAPEX!N174,"")</f>
        <v>strm.a500.515</v>
      </c>
      <c r="BF155" s="1294">
        <f>IF(CAPEX!O174&lt;&gt;"",CAPEX!O174,"")</f>
        <v>22681</v>
      </c>
      <c r="BG155" s="908" t="str">
        <f>IF(CAPEX!P174&lt;&gt;"",CAPEX!P174,"")</f>
        <v>kg/hr</v>
      </c>
      <c r="BH155" s="907">
        <f>IF(CAPEX!Q174&lt;&gt;"",CAPEX!Q174,"")</f>
        <v>0.7</v>
      </c>
      <c r="BI155" s="907">
        <f>IF(CAPEX!R174&lt;&gt;"",CAPEX!R174,"")</f>
        <v>1.7</v>
      </c>
      <c r="BJ155" s="436">
        <f t="shared" ca="1" si="89"/>
        <v>21808.6862</v>
      </c>
      <c r="BK155" s="239">
        <f t="shared" ca="1" si="90"/>
        <v>0.96153988801199242</v>
      </c>
      <c r="BL155" s="238">
        <f t="shared" ca="1" si="91"/>
        <v>0</v>
      </c>
      <c r="BM155" s="238">
        <f t="shared" ca="1" si="92"/>
        <v>0</v>
      </c>
      <c r="BN155" s="238">
        <f t="shared" ca="1" si="93"/>
        <v>0</v>
      </c>
      <c r="BO155" s="615"/>
      <c r="BP155" s="437"/>
    </row>
    <row r="156" spans="1:68" ht="13.5" customHeight="1" thickBot="1" x14ac:dyDescent="0.25">
      <c r="A156" s="437"/>
      <c r="B156" s="437"/>
      <c r="C156" s="437"/>
      <c r="D156" s="437"/>
      <c r="E156" s="437"/>
      <c r="F156" s="437"/>
      <c r="G156" s="437"/>
      <c r="H156" s="641"/>
      <c r="I156" s="470" t="s">
        <v>3398</v>
      </c>
      <c r="J156" s="470" t="s">
        <v>3442</v>
      </c>
      <c r="K156" s="64">
        <f ca="1">VLOOKUP(J156,INDIRECT(LU_SENS),2,FALSE)</f>
        <v>136251.514</v>
      </c>
      <c r="L156" s="26" t="s">
        <v>287</v>
      </c>
      <c r="M156" s="72"/>
      <c r="N156" s="64"/>
      <c r="O156" s="72"/>
      <c r="P156" s="72"/>
      <c r="Q156" s="470"/>
      <c r="R156" s="470"/>
      <c r="S156" s="470"/>
      <c r="T156" s="470"/>
      <c r="U156" s="470"/>
      <c r="V156" s="470"/>
      <c r="W156" s="470"/>
      <c r="X156" s="470"/>
      <c r="Y156" s="470"/>
      <c r="Z156" s="470"/>
      <c r="AA156" s="470"/>
      <c r="AB156" s="470"/>
      <c r="AC156" s="470"/>
      <c r="AD156" s="437"/>
      <c r="AE156" s="437"/>
      <c r="AF156" s="437"/>
      <c r="AG156" s="437"/>
      <c r="AH156" s="437"/>
      <c r="AI156" s="437"/>
      <c r="AJ156" s="437"/>
      <c r="AK156" s="437"/>
      <c r="AL156" s="437"/>
      <c r="AM156" s="437"/>
      <c r="AN156" s="437"/>
      <c r="AO156" s="437"/>
      <c r="AP156" s="437"/>
      <c r="AQ156" s="437"/>
      <c r="AR156" s="437"/>
      <c r="AS156" s="641"/>
      <c r="AT156" s="448" t="str">
        <f>IF(CAPEX!A175&lt;&gt;"",CAPEX!A175,"")</f>
        <v>T</v>
      </c>
      <c r="AU156" s="1263">
        <f>IF(CAPEX!B175&lt;&gt;"",CAPEX!B175,"")</f>
        <v>703</v>
      </c>
      <c r="AV156" s="448" t="str">
        <f>IF(CAPEX!C175&lt;&gt;"",CAPEX!C175,"")</f>
        <v>Sulfuric Acid Storage Tank</v>
      </c>
      <c r="AW156" s="648"/>
      <c r="AX156" s="448" t="str">
        <f>IF(CAPEX!F175&lt;&gt;"",CAPEX!F175,"")</f>
        <v>12,600 gal, 12' dia x15' H</v>
      </c>
      <c r="AY156" s="1285" t="str">
        <f>IF(CAPEX!G175&lt;&gt;"",CAPEX!G175,"")</f>
        <v/>
      </c>
      <c r="AZ156" s="448" t="str">
        <f>IF(CAPEX!H175&lt;&gt;"",CAPEX!H175,"")</f>
        <v>SS</v>
      </c>
      <c r="BA156" s="1285" t="e">
        <f>IF(CAPEX!J175&lt;&gt;"",CAPEX!#REF!,"")</f>
        <v>#REF!</v>
      </c>
      <c r="BB156" s="293">
        <f>CAPEX!K175</f>
        <v>96000</v>
      </c>
      <c r="BC156" s="1272">
        <f>IF(CAPEX!L175&lt;&gt;"",CAPEX!L175,"")</f>
        <v>2010</v>
      </c>
      <c r="BD156" s="905">
        <f>IF(CAPEX!M175&lt;&gt;"",CAPEX!M175,"")</f>
        <v>96000</v>
      </c>
      <c r="BE156" s="900" t="str">
        <f>IF(CAPEX!N175&lt;&gt;"",CAPEX!N175,"")</f>
        <v>strm.710</v>
      </c>
      <c r="BF156" s="1295">
        <f>IF(CAPEX!O175&lt;&gt;"",CAPEX!O175,"")</f>
        <v>1981</v>
      </c>
      <c r="BG156" s="904" t="str">
        <f>IF(CAPEX!P175&lt;&gt;"",CAPEX!P175,"")</f>
        <v>kg/hr</v>
      </c>
      <c r="BH156" s="907">
        <f>IF(CAPEX!Q175&lt;&gt;"",CAPEX!Q175,"")</f>
        <v>0.7</v>
      </c>
      <c r="BI156" s="907">
        <f>IF(CAPEX!R175&lt;&gt;"",CAPEX!R175,"")</f>
        <v>1.5</v>
      </c>
      <c r="BJ156" s="436">
        <f t="shared" ca="1" si="89"/>
        <v>1980.6120000000003</v>
      </c>
      <c r="BK156" s="239">
        <f t="shared" ca="1" si="90"/>
        <v>0.99980413932357415</v>
      </c>
      <c r="BL156" s="238">
        <f t="shared" ca="1" si="91"/>
        <v>95986.837775828404</v>
      </c>
      <c r="BM156" s="238">
        <f t="shared" ca="1" si="92"/>
        <v>91560.429497858117</v>
      </c>
      <c r="BN156" s="238">
        <f t="shared" ca="1" si="93"/>
        <v>137340.64424678718</v>
      </c>
      <c r="BO156" s="615"/>
      <c r="BP156" s="437"/>
    </row>
    <row r="157" spans="1:68" ht="13.5" customHeight="1" thickBot="1" x14ac:dyDescent="0.25">
      <c r="A157" s="437"/>
      <c r="B157" s="437"/>
      <c r="C157" s="437"/>
      <c r="D157" s="437"/>
      <c r="E157" s="437"/>
      <c r="F157" s="437"/>
      <c r="G157" s="437"/>
      <c r="H157" s="641"/>
      <c r="I157" s="26" t="s">
        <v>3399</v>
      </c>
      <c r="J157" s="600" t="s">
        <v>3450</v>
      </c>
      <c r="K157" s="82">
        <f ca="1">VLOOKUP(J157,INDIRECT(LU_SENS),2,FALSE)</f>
        <v>1.2859428399999999</v>
      </c>
      <c r="L157" s="26" t="s">
        <v>212</v>
      </c>
      <c r="M157" s="72"/>
      <c r="N157" s="64"/>
      <c r="O157" s="72"/>
      <c r="P157" s="72"/>
      <c r="Q157" s="470"/>
      <c r="R157" s="470"/>
      <c r="S157" s="470"/>
      <c r="T157" s="470"/>
      <c r="U157" s="470"/>
      <c r="V157" s="470"/>
      <c r="W157" s="470"/>
      <c r="X157" s="470"/>
      <c r="Y157" s="470"/>
      <c r="Z157" s="470"/>
      <c r="AA157" s="470"/>
      <c r="AB157" s="470"/>
      <c r="AC157" s="470"/>
      <c r="AD157" s="437"/>
      <c r="AE157" s="437"/>
      <c r="AF157" s="437"/>
      <c r="AG157" s="437"/>
      <c r="AH157" s="437"/>
      <c r="AI157" s="437"/>
      <c r="AJ157" s="437"/>
      <c r="AK157" s="437"/>
      <c r="AL157" s="437"/>
      <c r="AM157" s="437"/>
      <c r="AN157" s="437"/>
      <c r="AO157" s="437"/>
      <c r="AP157" s="437"/>
      <c r="AQ157" s="437"/>
      <c r="AR157" s="437"/>
      <c r="AS157" s="641"/>
      <c r="AT157" s="448" t="str">
        <f>IF(CAPEX!A176&lt;&gt;"",CAPEX!A176,"")</f>
        <v>T</v>
      </c>
      <c r="AU157" s="1263">
        <f>IF(CAPEX!B176&lt;&gt;"",CAPEX!B176,"")</f>
        <v>704</v>
      </c>
      <c r="AV157" s="448" t="str">
        <f>IF(CAPEX!C176&lt;&gt;"",CAPEX!C176,"")</f>
        <v>Firewater Storage Tank</v>
      </c>
      <c r="AW157" s="648"/>
      <c r="AX157" s="448" t="str">
        <f>IF(CAPEX!F176&lt;&gt;"",CAPEX!F176,"")</f>
        <v>600,000 gal - 4 hrs @ 2500 gpm</v>
      </c>
      <c r="AY157" s="1285" t="str">
        <f>IF(CAPEX!G176&lt;&gt;"",CAPEX!G176,"")</f>
        <v/>
      </c>
      <c r="AZ157" s="448" t="str">
        <f>IF(CAPEX!H176&lt;&gt;"",CAPEX!H176,"")</f>
        <v>Glass lined</v>
      </c>
      <c r="BA157" s="1285" t="e">
        <f>IF(CAPEX!J176&lt;&gt;"",CAPEX!#REF!,"")</f>
        <v>#REF!</v>
      </c>
      <c r="BB157" s="293">
        <f>CAPEX!K176</f>
        <v>803000</v>
      </c>
      <c r="BC157" s="1272">
        <f>IF(CAPEX!L176&lt;&gt;"",CAPEX!L176,"")</f>
        <v>2009</v>
      </c>
      <c r="BD157" s="905">
        <f>IF(CAPEX!M176&lt;&gt;"",CAPEX!M176,"")</f>
        <v>803000</v>
      </c>
      <c r="BE157" s="900" t="str">
        <f>IF(CAPEX!N176&lt;&gt;"",CAPEX!N176,"")</f>
        <v>strm.a700.713</v>
      </c>
      <c r="BF157" s="1294">
        <f>IF(CAPEX!O176&lt;&gt;"",CAPEX!O176,"")</f>
        <v>8343</v>
      </c>
      <c r="BG157" s="908" t="str">
        <f>IF(CAPEX!P176&lt;&gt;"",CAPEX!P176,"")</f>
        <v>kg/hr</v>
      </c>
      <c r="BH157" s="907">
        <f>IF(CAPEX!Q176&lt;&gt;"",CAPEX!Q176,"")</f>
        <v>0.7</v>
      </c>
      <c r="BI157" s="907">
        <f>IF(CAPEX!R176&lt;&gt;"",CAPEX!R176,"")</f>
        <v>1.7</v>
      </c>
      <c r="BJ157" s="436">
        <f t="shared" ca="1" si="89"/>
        <v>8021.5972499999989</v>
      </c>
      <c r="BK157" s="239">
        <f t="shared" ca="1" si="90"/>
        <v>0.9614763574253864</v>
      </c>
      <c r="BL157" s="238">
        <f t="shared" ca="1" si="91"/>
        <v>781218.59472061542</v>
      </c>
      <c r="BM157" s="238">
        <f t="shared" ca="1" si="92"/>
        <v>786457.65408356267</v>
      </c>
      <c r="BN157" s="238">
        <f t="shared" ca="1" si="93"/>
        <v>1336978.0119420565</v>
      </c>
      <c r="BO157" s="615"/>
      <c r="BP157" s="437"/>
    </row>
    <row r="158" spans="1:68" ht="13.5" customHeight="1" thickBot="1" x14ac:dyDescent="0.25">
      <c r="A158" s="437"/>
      <c r="B158" s="437"/>
      <c r="C158" s="437"/>
      <c r="D158" s="437"/>
      <c r="E158" s="437"/>
      <c r="F158" s="437"/>
      <c r="G158" s="437"/>
      <c r="H158" s="641"/>
      <c r="I158" s="26" t="s">
        <v>3400</v>
      </c>
      <c r="K158" s="1128">
        <f ca="1">K156/K157</f>
        <v>105954.56482342559</v>
      </c>
      <c r="L158" s="26" t="s">
        <v>2130</v>
      </c>
      <c r="M158" s="72"/>
      <c r="N158" s="64"/>
      <c r="O158" s="72"/>
      <c r="P158" s="72"/>
      <c r="Q158" s="470"/>
      <c r="R158" s="470"/>
      <c r="S158" s="470"/>
      <c r="T158" s="470"/>
      <c r="U158" s="470"/>
      <c r="V158" s="470"/>
      <c r="W158" s="470"/>
      <c r="X158" s="470"/>
      <c r="Y158" s="470"/>
      <c r="Z158" s="470"/>
      <c r="AA158" s="470"/>
      <c r="AB158" s="470"/>
      <c r="AC158" s="470"/>
      <c r="AD158" s="437"/>
      <c r="AE158" s="437"/>
      <c r="AF158" s="437"/>
      <c r="AG158" s="437"/>
      <c r="AH158" s="437"/>
      <c r="AI158" s="437"/>
      <c r="AJ158" s="437"/>
      <c r="AK158" s="437"/>
      <c r="AL158" s="437"/>
      <c r="AM158" s="437"/>
      <c r="AN158" s="437"/>
      <c r="AO158" s="437"/>
      <c r="AP158" s="437"/>
      <c r="AQ158" s="437"/>
      <c r="AR158" s="437"/>
      <c r="AS158" s="641"/>
      <c r="AT158" s="448" t="str">
        <f>IF(CAPEX!A177&lt;&gt;"",CAPEX!A177,"")</f>
        <v>T</v>
      </c>
      <c r="AU158" s="1263">
        <f>IF(CAPEX!B177&lt;&gt;"",CAPEX!B177,"")</f>
        <v>706</v>
      </c>
      <c r="AV158" s="448" t="str">
        <f>IF(CAPEX!C177&lt;&gt;"",CAPEX!C177,"")</f>
        <v>Ammonia Storage Tank</v>
      </c>
      <c r="AW158" s="648" t="s">
        <v>1714</v>
      </c>
      <c r="AX158" s="448" t="str">
        <f>IF(CAPEX!F177&lt;&gt;"",CAPEX!F177,"")</f>
        <v>28,000 gal</v>
      </c>
      <c r="AY158" s="1285" t="str">
        <f>IF(CAPEX!G177&lt;&gt;"",CAPEX!G177,"")</f>
        <v/>
      </c>
      <c r="AZ158" s="448" t="str">
        <f>IF(CAPEX!H177&lt;&gt;"",CAPEX!H177,"")</f>
        <v>SA- 516-70</v>
      </c>
      <c r="BA158" s="1285">
        <f>IF(CAPEX!J177&lt;&gt;"",CAPEX!J158,"")</f>
        <v>1</v>
      </c>
      <c r="BB158" s="293">
        <f>CAPEX!K177</f>
        <v>196000</v>
      </c>
      <c r="BC158" s="1272">
        <f>IF(CAPEX!L177&lt;&gt;"",CAPEX!L177,"")</f>
        <v>2010</v>
      </c>
      <c r="BD158" s="905">
        <f>IF(CAPEX!M177&lt;&gt;"",CAPEX!M177,"")</f>
        <v>196000</v>
      </c>
      <c r="BE158" s="900" t="str">
        <f>IF(CAPEX!N177&lt;&gt;"",CAPEX!N177,"")</f>
        <v>strm.717</v>
      </c>
      <c r="BF158" s="1294">
        <f>IF(CAPEX!O177&lt;&gt;"",CAPEX!O177,"")</f>
        <v>1171</v>
      </c>
      <c r="BG158" s="908" t="str">
        <f>IF(CAPEX!P177&lt;&gt;"",CAPEX!P177,"")</f>
        <v>kg/hr</v>
      </c>
      <c r="BH158" s="907">
        <f>IF(CAPEX!Q177&lt;&gt;"",CAPEX!Q177,"")</f>
        <v>0.7</v>
      </c>
      <c r="BI158" s="907">
        <f>IF(CAPEX!R177&lt;&gt;"",CAPEX!R177,"")</f>
        <v>2</v>
      </c>
      <c r="BJ158" s="436">
        <f t="shared" ca="1" si="89"/>
        <v>1165.5773200000001</v>
      </c>
      <c r="BK158" s="239">
        <f t="shared" ca="1" si="90"/>
        <v>0.9953691887275834</v>
      </c>
      <c r="BL158" s="238">
        <f t="shared" ca="1" si="91"/>
        <v>195364.21047943647</v>
      </c>
      <c r="BM158" s="238">
        <f t="shared" ca="1" si="92"/>
        <v>186355.04027940438</v>
      </c>
      <c r="BN158" s="238">
        <f t="shared" ca="1" si="93"/>
        <v>372710.08055880875</v>
      </c>
      <c r="BO158" s="615"/>
      <c r="BP158" s="437"/>
    </row>
    <row r="159" spans="1:68" ht="13.5" customHeight="1" thickBot="1" x14ac:dyDescent="0.25">
      <c r="A159" s="437"/>
      <c r="B159" s="437"/>
      <c r="C159" s="437"/>
      <c r="D159" s="437"/>
      <c r="E159" s="437"/>
      <c r="F159" s="437"/>
      <c r="G159" s="437"/>
      <c r="H159" s="641"/>
      <c r="I159" s="470"/>
      <c r="J159" s="470"/>
      <c r="K159" s="64"/>
      <c r="L159" s="64"/>
      <c r="M159" s="72"/>
      <c r="N159" s="64"/>
      <c r="O159" s="72"/>
      <c r="P159" s="72"/>
      <c r="Q159" s="470"/>
      <c r="R159" s="470"/>
      <c r="S159" s="470"/>
      <c r="T159" s="470"/>
      <c r="U159" s="470"/>
      <c r="V159" s="470"/>
      <c r="W159" s="470"/>
      <c r="X159" s="470"/>
      <c r="Y159" s="470"/>
      <c r="Z159" s="470"/>
      <c r="AA159" s="470"/>
      <c r="AB159" s="470"/>
      <c r="AC159" s="470"/>
      <c r="AD159" s="437"/>
      <c r="AE159" s="437"/>
      <c r="AF159" s="437"/>
      <c r="AG159" s="437"/>
      <c r="AH159" s="437"/>
      <c r="AI159" s="437"/>
      <c r="AJ159" s="437"/>
      <c r="AK159" s="437"/>
      <c r="AL159" s="437"/>
      <c r="AM159" s="437"/>
      <c r="AN159" s="437"/>
      <c r="AO159" s="437"/>
      <c r="AP159" s="437"/>
      <c r="AQ159" s="437"/>
      <c r="AR159" s="437"/>
      <c r="AS159" s="641"/>
      <c r="AT159" s="448" t="str">
        <f>IF(CAPEX!A178&lt;&gt;"",CAPEX!A178,"")</f>
        <v>T</v>
      </c>
      <c r="AU159" s="1263">
        <f>IF(CAPEX!B178&lt;&gt;"",CAPEX!B178,"")</f>
        <v>710</v>
      </c>
      <c r="AV159" s="448" t="str">
        <f>IF(CAPEX!C178&lt;&gt;"",CAPEX!C178,"")</f>
        <v>Gasoline Storage Tank</v>
      </c>
      <c r="AW159" s="648"/>
      <c r="AX159" s="448" t="str">
        <f>IF(CAPEX!F178&lt;&gt;"",CAPEX!F178,"")</f>
        <v>65,000 gal., floating roof</v>
      </c>
      <c r="AY159" s="1285" t="str">
        <f>IF(CAPEX!G178&lt;&gt;"",CAPEX!G178,"")</f>
        <v/>
      </c>
      <c r="AZ159" s="448" t="str">
        <f>IF(CAPEX!H178&lt;&gt;"",CAPEX!H178,"")</f>
        <v>CS</v>
      </c>
      <c r="BA159" s="1285">
        <f>IF(CAPEX!J178&lt;&gt;"",CAPEX!J154,"")</f>
        <v>2</v>
      </c>
      <c r="BB159" s="293">
        <f>CAPEX!K178</f>
        <v>200000</v>
      </c>
      <c r="BC159" s="1272">
        <f>IF(CAPEX!L178&lt;&gt;"",CAPEX!L178,"")</f>
        <v>2009</v>
      </c>
      <c r="BD159" s="912">
        <v>0</v>
      </c>
      <c r="BE159" s="900" t="str">
        <f>IF(CAPEX!N178&lt;&gt;"",CAPEX!N178,"")</f>
        <v>strm.a700.701</v>
      </c>
      <c r="BF159" s="1294">
        <f>IF(CAPEX!O178&lt;&gt;"",CAPEX!O178,"")</f>
        <v>473</v>
      </c>
      <c r="BG159" s="908" t="str">
        <f>IF(CAPEX!P178&lt;&gt;"",CAPEX!P178,"")</f>
        <v>kg/hr</v>
      </c>
      <c r="BH159" s="907">
        <f>IF(CAPEX!Q178&lt;&gt;"",CAPEX!Q178,"")</f>
        <v>0.7</v>
      </c>
      <c r="BI159" s="907">
        <f>IF(CAPEX!R178&lt;&gt;"",CAPEX!R178,"")</f>
        <v>1.7</v>
      </c>
      <c r="BJ159" s="436">
        <f t="shared" ca="1" si="89"/>
        <v>464.92940899999996</v>
      </c>
      <c r="BK159" s="239">
        <f t="shared" ca="1" si="90"/>
        <v>0.9829374397463001</v>
      </c>
      <c r="BL159" s="238">
        <f t="shared" ca="1" si="91"/>
        <v>0</v>
      </c>
      <c r="BM159" s="238">
        <f t="shared" ca="1" si="92"/>
        <v>0</v>
      </c>
      <c r="BN159" s="238">
        <f t="shared" ca="1" si="93"/>
        <v>0</v>
      </c>
      <c r="BO159" s="615"/>
      <c r="BP159" s="437"/>
    </row>
    <row r="160" spans="1:68" ht="13.5" customHeight="1" thickBot="1" x14ac:dyDescent="0.25">
      <c r="A160" s="437"/>
      <c r="B160" s="437"/>
      <c r="C160" s="437"/>
      <c r="D160" s="437"/>
      <c r="E160" s="437"/>
      <c r="F160" s="437"/>
      <c r="G160" s="437"/>
      <c r="H160" s="641"/>
      <c r="I160" s="470" t="s">
        <v>3401</v>
      </c>
      <c r="J160" s="470" t="s">
        <v>3445</v>
      </c>
      <c r="K160" s="81">
        <f ca="1">VLOOKUP(J160,INDIRECT(LU_SENS),2,FALSE)</f>
        <v>416465.397</v>
      </c>
      <c r="L160" s="26" t="s">
        <v>287</v>
      </c>
      <c r="M160" s="72"/>
      <c r="N160" s="64"/>
      <c r="O160" s="72"/>
      <c r="P160" s="72"/>
      <c r="Q160" s="470"/>
      <c r="R160" s="470"/>
      <c r="S160" s="470"/>
      <c r="T160" s="470"/>
      <c r="U160" s="470"/>
      <c r="V160" s="470"/>
      <c r="W160" s="470"/>
      <c r="X160" s="470"/>
      <c r="Y160" s="470"/>
      <c r="Z160" s="470"/>
      <c r="AA160" s="470"/>
      <c r="AB160" s="470"/>
      <c r="AC160" s="470"/>
      <c r="AD160" s="437"/>
      <c r="AE160" s="437"/>
      <c r="AF160" s="437"/>
      <c r="AG160" s="437"/>
      <c r="AH160" s="437"/>
      <c r="AI160" s="437"/>
      <c r="AJ160" s="437"/>
      <c r="AK160" s="437"/>
      <c r="AL160" s="437"/>
      <c r="AM160" s="437"/>
      <c r="AN160" s="437"/>
      <c r="AO160" s="437"/>
      <c r="AP160" s="437"/>
      <c r="AQ160" s="437"/>
      <c r="AR160" s="437"/>
      <c r="AS160" s="641"/>
      <c r="AT160" s="448" t="str">
        <f>IF(CAPEX!A179&lt;&gt;"",CAPEX!A179,"")</f>
        <v>T</v>
      </c>
      <c r="AU160" s="1263">
        <f>IF(CAPEX!B179&lt;&gt;"",CAPEX!B179,"")</f>
        <v>720</v>
      </c>
      <c r="AV160" s="448" t="str">
        <f>IF(CAPEX!C179&lt;&gt;"",CAPEX!C179,"")</f>
        <v>CSL Storage Tank</v>
      </c>
      <c r="AW160" s="648"/>
      <c r="AX160" s="448" t="str">
        <f>IF(CAPEX!F179&lt;&gt;"",CAPEX!F179,"")</f>
        <v>70,000 gal</v>
      </c>
      <c r="AY160" s="1285" t="str">
        <f>IF(CAPEX!G179&lt;&gt;"",CAPEX!G179,"")</f>
        <v/>
      </c>
      <c r="AZ160" s="448" t="str">
        <f>IF(CAPEX!H179&lt;&gt;"",CAPEX!H179,"")</f>
        <v>Glass lined CS</v>
      </c>
      <c r="BA160" s="1285" t="e">
        <f>IF(CAPEX!J179&lt;&gt;"",CAPEX!#REF!,"")</f>
        <v>#REF!</v>
      </c>
      <c r="BB160" s="293">
        <f>CAPEX!K179</f>
        <v>70000</v>
      </c>
      <c r="BC160" s="1272">
        <f>IF(CAPEX!L179&lt;&gt;"",CAPEX!L179,"")</f>
        <v>2009</v>
      </c>
      <c r="BD160" s="912">
        <v>0</v>
      </c>
      <c r="BE160" s="900" t="str">
        <f>IF(CAPEX!N179&lt;&gt;"",CAPEX!N179,"")</f>
        <v>strm.735</v>
      </c>
      <c r="BF160" s="1294">
        <f>IF(CAPEX!O179&lt;&gt;"",CAPEX!O179,"")</f>
        <v>1393</v>
      </c>
      <c r="BG160" s="908" t="str">
        <f>IF(CAPEX!P179&lt;&gt;"",CAPEX!P179,"")</f>
        <v>kg/hr</v>
      </c>
      <c r="BH160" s="907">
        <f>IF(CAPEX!Q179&lt;&gt;"",CAPEX!Q179,"")</f>
        <v>0.7</v>
      </c>
      <c r="BI160" s="907">
        <f>IF(CAPEX!R179&lt;&gt;"",CAPEX!R179,"")</f>
        <v>2.6</v>
      </c>
      <c r="BJ160" s="436">
        <f t="shared" ca="1" si="89"/>
        <v>1322.49305</v>
      </c>
      <c r="BK160" s="239">
        <f t="shared" ca="1" si="90"/>
        <v>0.94938481694185217</v>
      </c>
      <c r="BL160" s="238">
        <f t="shared" ca="1" si="91"/>
        <v>0</v>
      </c>
      <c r="BM160" s="238">
        <f t="shared" ca="1" si="92"/>
        <v>0</v>
      </c>
      <c r="BN160" s="238">
        <f t="shared" ca="1" si="93"/>
        <v>0</v>
      </c>
      <c r="BO160" s="615"/>
      <c r="BP160" s="437"/>
    </row>
    <row r="161" spans="1:68" ht="13.5" customHeight="1" thickBot="1" x14ac:dyDescent="0.25">
      <c r="A161" s="437"/>
      <c r="B161" s="437"/>
      <c r="C161" s="437"/>
      <c r="D161" s="437"/>
      <c r="E161" s="437"/>
      <c r="F161" s="437"/>
      <c r="G161" s="437"/>
      <c r="H161" s="641"/>
      <c r="I161" s="26" t="s">
        <v>3402</v>
      </c>
      <c r="J161" s="600" t="s">
        <v>3443</v>
      </c>
      <c r="K161" s="1472">
        <f ca="1">VLOOKUP(J161,INDIRECT(LU_SENS),2,FALSE)</f>
        <v>1.0650481300000001</v>
      </c>
      <c r="L161" s="26" t="s">
        <v>212</v>
      </c>
      <c r="M161" s="72"/>
      <c r="N161" s="64"/>
      <c r="O161" s="72"/>
      <c r="P161" s="72"/>
      <c r="Q161" s="470"/>
      <c r="R161" s="470"/>
      <c r="S161" s="470"/>
      <c r="T161" s="470"/>
      <c r="U161" s="470"/>
      <c r="V161" s="470"/>
      <c r="W161" s="470"/>
      <c r="X161" s="470"/>
      <c r="Y161" s="470"/>
      <c r="Z161" s="470"/>
      <c r="AA161" s="470"/>
      <c r="AB161" s="470"/>
      <c r="AC161" s="470"/>
      <c r="AD161" s="437"/>
      <c r="AE161" s="437"/>
      <c r="AF161" s="437"/>
      <c r="AG161" s="437"/>
      <c r="AH161" s="437"/>
      <c r="AI161" s="437"/>
      <c r="AJ161" s="437"/>
      <c r="AK161" s="437"/>
      <c r="AL161" s="437"/>
      <c r="AM161" s="437"/>
      <c r="AN161" s="437"/>
      <c r="AO161" s="437"/>
      <c r="AP161" s="437"/>
      <c r="AQ161" s="437"/>
      <c r="AR161" s="437"/>
      <c r="AS161" s="641"/>
      <c r="AT161" s="448" t="str">
        <f>IF(CAPEX!A180&lt;&gt;"",CAPEX!A180,"")</f>
        <v>T</v>
      </c>
      <c r="AU161" s="1263">
        <f>IF(CAPEX!B180&lt;&gt;"",CAPEX!B180,"")</f>
        <v>755</v>
      </c>
      <c r="AV161" s="448" t="str">
        <f>IF(CAPEX!C180&lt;&gt;"",CAPEX!C180,"")</f>
        <v>DAP Bulk Bag Holder</v>
      </c>
      <c r="AW161" s="648" t="s">
        <v>1043</v>
      </c>
      <c r="AX161" s="448" t="str">
        <f>IF(CAPEX!F180&lt;&gt;"",CAPEX!F180,"")</f>
        <v>Super sack holder</v>
      </c>
      <c r="AY161" s="1285" t="str">
        <f>IF(CAPEX!G180&lt;&gt;"",CAPEX!G180,"")</f>
        <v/>
      </c>
      <c r="AZ161" s="448" t="str">
        <f>IF(CAPEX!H180&lt;&gt;"",CAPEX!H180,"")</f>
        <v/>
      </c>
      <c r="BA161" s="1285" t="e">
        <f>IF(CAPEX!J180&lt;&gt;"",CAPEX!#REF!,"")</f>
        <v>#REF!</v>
      </c>
      <c r="BB161" s="293" t="str">
        <f>CAPEX!K180</f>
        <v>INCLUDED</v>
      </c>
      <c r="BC161" s="1273" t="str">
        <f>IF(CAPEX!L180&lt;&gt;"",CAPEX!L180,"")</f>
        <v/>
      </c>
      <c r="BD161" s="902" t="str">
        <f>IF(CAPEX!M180&lt;&gt;"",CAPEX!M180,"")</f>
        <v/>
      </c>
      <c r="BE161" s="902" t="str">
        <f>IF(CAPEX!N180&lt;&gt;"",CAPEX!N180,"")</f>
        <v/>
      </c>
      <c r="BF161" s="1291" t="str">
        <f>IF(CAPEX!O180&lt;&gt;"",CAPEX!O180,"")</f>
        <v/>
      </c>
      <c r="BG161" s="901" t="str">
        <f>IF(CAPEX!P180&lt;&gt;"",CAPEX!P180,"")</f>
        <v/>
      </c>
      <c r="BH161" s="903" t="str">
        <f>IF(CAPEX!Q180&lt;&gt;"",CAPEX!Q180,"")</f>
        <v/>
      </c>
      <c r="BI161" s="903" t="str">
        <f>IF(CAPEX!R180&lt;&gt;"",CAPEX!R180,"")</f>
        <v/>
      </c>
      <c r="BJ161" s="436"/>
      <c r="BK161" s="249"/>
      <c r="BL161" s="249"/>
      <c r="BM161" s="249"/>
      <c r="BN161" s="249"/>
      <c r="BO161" s="615"/>
      <c r="BP161" s="437"/>
    </row>
    <row r="162" spans="1:68" ht="13.5" customHeight="1" x14ac:dyDescent="0.2">
      <c r="A162" s="437"/>
      <c r="B162" s="437"/>
      <c r="C162" s="437"/>
      <c r="D162" s="437"/>
      <c r="E162" s="437"/>
      <c r="F162" s="437"/>
      <c r="G162" s="437"/>
      <c r="H162" s="641"/>
      <c r="I162" s="26" t="s">
        <v>3403</v>
      </c>
      <c r="K162" s="1128">
        <f ca="1">K160/K161</f>
        <v>391029.64952391398</v>
      </c>
      <c r="L162" s="26" t="s">
        <v>2130</v>
      </c>
      <c r="M162" s="72"/>
      <c r="N162" s="64"/>
      <c r="O162" s="72"/>
      <c r="P162" s="72"/>
      <c r="Q162" s="470"/>
      <c r="R162" s="470"/>
      <c r="S162" s="470"/>
      <c r="T162" s="470"/>
      <c r="U162" s="470"/>
      <c r="V162" s="470"/>
      <c r="W162" s="470"/>
      <c r="X162" s="470"/>
      <c r="Y162" s="470"/>
      <c r="Z162" s="470"/>
      <c r="AA162" s="470"/>
      <c r="AB162" s="470"/>
      <c r="AC162" s="470"/>
      <c r="AD162" s="437"/>
      <c r="AE162" s="437"/>
      <c r="AF162" s="437"/>
      <c r="AG162" s="437"/>
      <c r="AH162" s="437"/>
      <c r="AI162" s="437"/>
      <c r="AJ162" s="437"/>
      <c r="AK162" s="437"/>
      <c r="AL162" s="437"/>
      <c r="AM162" s="437"/>
      <c r="AN162" s="437"/>
      <c r="AO162" s="437"/>
      <c r="AP162" s="437"/>
      <c r="AQ162" s="437"/>
      <c r="AR162" s="437"/>
      <c r="AS162" s="641"/>
      <c r="AT162" s="448" t="str">
        <f>IF(CAPEX!A181&lt;&gt;"",CAPEX!A181,"")</f>
        <v>T</v>
      </c>
      <c r="AU162" s="1263">
        <f>IF(CAPEX!B181&lt;&gt;"",CAPEX!B181,"")</f>
        <v>760</v>
      </c>
      <c r="AV162" s="448" t="str">
        <f>IF(CAPEX!C181&lt;&gt;"",CAPEX!C181,"")</f>
        <v>DAP Make-up Tank</v>
      </c>
      <c r="AW162" s="648"/>
      <c r="AX162" s="448" t="str">
        <f>IF(CAPEX!F181&lt;&gt;"",CAPEX!F181,"")</f>
        <v>12,800 gal</v>
      </c>
      <c r="AY162" s="1285" t="str">
        <f>IF(CAPEX!G181&lt;&gt;"",CAPEX!G181,"")</f>
        <v/>
      </c>
      <c r="AZ162" s="448" t="str">
        <f>IF(CAPEX!H181&lt;&gt;"",CAPEX!H181,"")</f>
        <v>SS304</v>
      </c>
      <c r="BA162" s="1285" t="e">
        <f>IF(CAPEX!J181&lt;&gt;"",CAPEX!#REF!,"")</f>
        <v>#REF!</v>
      </c>
      <c r="BB162" s="293">
        <f>CAPEX!K181</f>
        <v>102000</v>
      </c>
      <c r="BC162" s="1272">
        <f>IF(CAPEX!L181&lt;&gt;"",CAPEX!L181,"")</f>
        <v>2009</v>
      </c>
      <c r="BD162" s="912">
        <v>0</v>
      </c>
      <c r="BE162" s="900" t="str">
        <f>IF(CAPEX!N181&lt;&gt;"",CAPEX!N181,"")</f>
        <v>strm.717</v>
      </c>
      <c r="BF162" s="1294">
        <f>IF(CAPEX!O181&lt;&gt;"",CAPEX!O181,"")</f>
        <v>1615</v>
      </c>
      <c r="BG162" s="908" t="str">
        <f>IF(CAPEX!P181&lt;&gt;"",CAPEX!P181,"")</f>
        <v>kg/hr</v>
      </c>
      <c r="BH162" s="907">
        <f>IF(CAPEX!Q181&lt;&gt;"",CAPEX!Q181,"")</f>
        <v>0.7</v>
      </c>
      <c r="BI162" s="907">
        <f>IF(CAPEX!R181&lt;&gt;"",CAPEX!R181,"")</f>
        <v>1.8</v>
      </c>
      <c r="BJ162" s="436">
        <f ca="1">IF(BE162&lt;&gt;"",VLOOKUP(BE162,INDIRECT(LU_SENS),2,FALSE),"")</f>
        <v>1165.5773200000001</v>
      </c>
      <c r="BK162" s="239">
        <f ca="1">BJ162/BF162</f>
        <v>0.72171970278637776</v>
      </c>
      <c r="BL162" s="238">
        <f ca="1">BD162*BK162^BH162</f>
        <v>0</v>
      </c>
      <c r="BM162" s="238">
        <f ca="1">BL162*VLOOKUP($J$34,INDIRECT(IX_CAP),4,FALSE)/VLOOKUP(BC162,INDIRECT(IX_CAP),4,FALSE)</f>
        <v>0</v>
      </c>
      <c r="BN162" s="238">
        <f ca="1">BM162*BI162</f>
        <v>0</v>
      </c>
      <c r="BO162" s="615"/>
      <c r="BP162" s="437"/>
    </row>
    <row r="163" spans="1:68" ht="13.5" customHeight="1" thickBot="1" x14ac:dyDescent="0.25">
      <c r="A163" s="437"/>
      <c r="B163" s="437"/>
      <c r="C163" s="437"/>
      <c r="D163" s="437"/>
      <c r="E163" s="437"/>
      <c r="F163" s="437"/>
      <c r="G163" s="437"/>
      <c r="H163" s="641"/>
      <c r="M163" s="72"/>
      <c r="N163" s="64"/>
      <c r="O163" s="72"/>
      <c r="P163" s="72"/>
      <c r="Q163" s="470"/>
      <c r="R163" s="470"/>
      <c r="S163" s="470"/>
      <c r="T163" s="470"/>
      <c r="U163" s="470"/>
      <c r="V163" s="470"/>
      <c r="W163" s="470"/>
      <c r="X163" s="470"/>
      <c r="Y163" s="470"/>
      <c r="Z163" s="470"/>
      <c r="AA163" s="470"/>
      <c r="AB163" s="470"/>
      <c r="AC163" s="470"/>
      <c r="AD163" s="437"/>
      <c r="AE163" s="437"/>
      <c r="AF163" s="437"/>
      <c r="AG163" s="437"/>
      <c r="AH163" s="437"/>
      <c r="AI163" s="437"/>
      <c r="AJ163" s="437"/>
      <c r="AK163" s="437"/>
      <c r="AL163" s="437"/>
      <c r="AM163" s="437"/>
      <c r="AN163" s="437"/>
      <c r="AO163" s="437"/>
      <c r="AP163" s="437"/>
      <c r="AQ163" s="437"/>
      <c r="AR163" s="437"/>
      <c r="AS163" s="641"/>
      <c r="AT163" s="222"/>
      <c r="AU163" s="1266"/>
      <c r="AV163" s="612"/>
      <c r="AW163" s="613"/>
      <c r="AX163" s="614"/>
      <c r="AY163" s="1304"/>
      <c r="AZ163" s="423"/>
      <c r="BA163" s="1286"/>
      <c r="BB163" s="224"/>
      <c r="BC163" s="1279"/>
      <c r="BD163" s="243">
        <f>SUM(BD145:BD162)</f>
        <v>1117493</v>
      </c>
      <c r="BE163" s="433"/>
      <c r="BF163" s="1298"/>
      <c r="BG163" s="432"/>
      <c r="BH163" s="457"/>
      <c r="BI163" s="469"/>
      <c r="BJ163" s="460"/>
      <c r="BK163" s="428"/>
      <c r="BL163" s="243">
        <f ca="1">SUM(BL145:BL162)</f>
        <v>1094597.3762508447</v>
      </c>
      <c r="BM163" s="243">
        <f ca="1">SUM(BM145:BM162)</f>
        <v>1086152.8551704693</v>
      </c>
      <c r="BN163" s="244">
        <f ca="1">SUM(BN145:BN162)</f>
        <v>1908828.8299760458</v>
      </c>
      <c r="BO163" s="615"/>
      <c r="BP163" s="437"/>
    </row>
    <row r="164" spans="1:68" ht="13.5" customHeight="1" thickBot="1" x14ac:dyDescent="0.25">
      <c r="A164" s="437"/>
      <c r="B164" s="437"/>
      <c r="C164" s="437"/>
      <c r="D164" s="437"/>
      <c r="E164" s="437"/>
      <c r="F164" s="437"/>
      <c r="G164" s="437"/>
      <c r="H164" s="641"/>
      <c r="M164" s="72"/>
      <c r="N164" s="64"/>
      <c r="O164" s="72"/>
      <c r="P164" s="72"/>
      <c r="Q164" s="470"/>
      <c r="R164" s="470"/>
      <c r="S164" s="470"/>
      <c r="T164" s="470"/>
      <c r="U164" s="470"/>
      <c r="V164" s="470"/>
      <c r="W164" s="470"/>
      <c r="X164" s="470"/>
      <c r="Y164" s="470"/>
      <c r="Z164" s="470"/>
      <c r="AA164" s="470"/>
      <c r="AB164" s="470"/>
      <c r="AC164" s="470"/>
      <c r="AD164" s="437"/>
      <c r="AE164" s="437"/>
      <c r="AF164" s="437"/>
      <c r="AG164" s="437"/>
      <c r="AH164" s="437"/>
      <c r="AI164" s="437"/>
      <c r="AJ164" s="437"/>
      <c r="AK164" s="437"/>
      <c r="AL164" s="437"/>
      <c r="AM164" s="437"/>
      <c r="AN164" s="437"/>
      <c r="AO164" s="437"/>
      <c r="AP164" s="437"/>
      <c r="AQ164" s="437"/>
      <c r="AR164" s="437"/>
      <c r="AS164" s="641"/>
      <c r="AT164" s="448" t="str">
        <f>IF(CAPEX!A183&lt;&gt;"",CAPEX!A183,"")</f>
        <v>H</v>
      </c>
      <c r="AU164" s="1263">
        <f>IF(CAPEX!B183&lt;&gt;"",CAPEX!B183,"")</f>
        <v>801</v>
      </c>
      <c r="AV164" s="448" t="str">
        <f>IF(CAPEX!C183&lt;&gt;"",CAPEX!C183,"")</f>
        <v>Burner Combustion Air Preheater</v>
      </c>
      <c r="AW164" s="648" t="s">
        <v>1716</v>
      </c>
      <c r="AX164" s="448" t="str">
        <f>IF(CAPEX!F183&lt;&gt;"",CAPEX!F183,"")</f>
        <v/>
      </c>
      <c r="AY164" s="1285" t="str">
        <f>IF(CAPEX!G183&lt;&gt;"",CAPEX!G183,"")</f>
        <v/>
      </c>
      <c r="AZ164" s="448" t="str">
        <f>IF(CAPEX!H183&lt;&gt;"",CAPEX!H183,"")</f>
        <v/>
      </c>
      <c r="BA164" s="1285">
        <f>IF(CAPEX!J183&lt;&gt;"",CAPEX!J164,"")</f>
        <v>1</v>
      </c>
      <c r="BB164" s="293" t="str">
        <f>CAPEX!K183</f>
        <v>INCLUDED</v>
      </c>
      <c r="BC164" s="1273" t="str">
        <f>IF(CAPEX!L183&lt;&gt;"",CAPEX!L183,"")</f>
        <v/>
      </c>
      <c r="BD164" s="902" t="str">
        <f>IF(CAPEX!M183&lt;&gt;"",CAPEX!M183,"")</f>
        <v/>
      </c>
      <c r="BE164" s="902" t="str">
        <f>IF(CAPEX!N183&lt;&gt;"",CAPEX!N183,"")</f>
        <v/>
      </c>
      <c r="BF164" s="1291" t="str">
        <f>IF(CAPEX!O183&lt;&gt;"",CAPEX!O183,"")</f>
        <v/>
      </c>
      <c r="BG164" s="901" t="str">
        <f>IF(CAPEX!P183&lt;&gt;"",CAPEX!P183,"")</f>
        <v/>
      </c>
      <c r="BH164" s="903" t="str">
        <f>IF(CAPEX!Q183&lt;&gt;"",CAPEX!Q183,"")</f>
        <v/>
      </c>
      <c r="BI164" s="903" t="str">
        <f>IF(CAPEX!R183&lt;&gt;"",CAPEX!R183,"")</f>
        <v/>
      </c>
      <c r="BJ164" s="436"/>
      <c r="BK164" s="249"/>
      <c r="BL164" s="249"/>
      <c r="BM164" s="249"/>
      <c r="BN164" s="249"/>
      <c r="BO164" s="615"/>
      <c r="BP164" s="437"/>
    </row>
    <row r="165" spans="1:68" ht="13.5" customHeight="1" thickBot="1" x14ac:dyDescent="0.25">
      <c r="A165" s="437"/>
      <c r="B165" s="437"/>
      <c r="C165" s="437"/>
      <c r="D165" s="437"/>
      <c r="E165" s="437"/>
      <c r="F165" s="437"/>
      <c r="G165" s="437"/>
      <c r="H165" s="641"/>
      <c r="M165" s="72"/>
      <c r="N165" s="64"/>
      <c r="O165" s="72"/>
      <c r="P165" s="72"/>
      <c r="Q165" s="470"/>
      <c r="R165" s="470"/>
      <c r="S165" s="470"/>
      <c r="T165" s="470"/>
      <c r="U165" s="470"/>
      <c r="V165" s="470"/>
      <c r="W165" s="470"/>
      <c r="X165" s="470"/>
      <c r="Y165" s="470"/>
      <c r="Z165" s="470"/>
      <c r="AA165" s="470"/>
      <c r="AB165" s="470"/>
      <c r="AC165" s="470"/>
      <c r="AD165" s="437"/>
      <c r="AE165" s="437"/>
      <c r="AF165" s="437"/>
      <c r="AG165" s="437"/>
      <c r="AH165" s="437"/>
      <c r="AI165" s="437"/>
      <c r="AJ165" s="437"/>
      <c r="AK165" s="437"/>
      <c r="AL165" s="437"/>
      <c r="AM165" s="437"/>
      <c r="AN165" s="437"/>
      <c r="AO165" s="437"/>
      <c r="AP165" s="437"/>
      <c r="AQ165" s="437"/>
      <c r="AR165" s="437"/>
      <c r="AS165" s="641"/>
      <c r="AT165" s="448" t="str">
        <f>IF(CAPEX!A184&lt;&gt;"",CAPEX!A184,"")</f>
        <v>H</v>
      </c>
      <c r="AU165" s="1263">
        <f>IF(CAPEX!B184&lt;&gt;"",CAPEX!B184,"")</f>
        <v>811</v>
      </c>
      <c r="AV165" s="448" t="str">
        <f>IF(CAPEX!C184&lt;&gt;"",CAPEX!C184,"")</f>
        <v>BFW Preheater</v>
      </c>
      <c r="AW165" s="648" t="s">
        <v>1716</v>
      </c>
      <c r="AX165" s="448" t="str">
        <f>IF(CAPEX!F184&lt;&gt;"",CAPEX!F184,"")</f>
        <v/>
      </c>
      <c r="AY165" s="1285" t="str">
        <f>IF(CAPEX!G184&lt;&gt;"",CAPEX!G184,"")</f>
        <v/>
      </c>
      <c r="AZ165" s="448" t="str">
        <f>IF(CAPEX!H184&lt;&gt;"",CAPEX!H184,"")</f>
        <v/>
      </c>
      <c r="BA165" s="1285">
        <f>IF(CAPEX!J184&lt;&gt;"",CAPEX!J165,"")</f>
        <v>1</v>
      </c>
      <c r="BB165" s="293" t="str">
        <f>CAPEX!K184</f>
        <v>INCLUDED</v>
      </c>
      <c r="BC165" s="1273" t="str">
        <f>IF(CAPEX!L184&lt;&gt;"",CAPEX!L184,"")</f>
        <v/>
      </c>
      <c r="BD165" s="902" t="str">
        <f>IF(CAPEX!M184&lt;&gt;"",CAPEX!M184,"")</f>
        <v/>
      </c>
      <c r="BE165" s="902" t="str">
        <f>IF(CAPEX!N184&lt;&gt;"",CAPEX!N184,"")</f>
        <v/>
      </c>
      <c r="BF165" s="1291" t="str">
        <f>IF(CAPEX!O184&lt;&gt;"",CAPEX!O184,"")</f>
        <v/>
      </c>
      <c r="BG165" s="901" t="str">
        <f>IF(CAPEX!P184&lt;&gt;"",CAPEX!P184,"")</f>
        <v/>
      </c>
      <c r="BH165" s="903" t="str">
        <f>IF(CAPEX!Q184&lt;&gt;"",CAPEX!Q184,"")</f>
        <v/>
      </c>
      <c r="BI165" s="903" t="str">
        <f>IF(CAPEX!R184&lt;&gt;"",CAPEX!R184,"")</f>
        <v/>
      </c>
      <c r="BJ165" s="436"/>
      <c r="BK165" s="249"/>
      <c r="BL165" s="249"/>
      <c r="BM165" s="249"/>
      <c r="BN165" s="249"/>
      <c r="BO165" s="615"/>
      <c r="BP165" s="437"/>
    </row>
    <row r="166" spans="1:68" ht="13.5" customHeight="1" thickBot="1" x14ac:dyDescent="0.25">
      <c r="A166" s="437"/>
      <c r="B166" s="437"/>
      <c r="C166" s="437"/>
      <c r="D166" s="437"/>
      <c r="E166" s="437"/>
      <c r="F166" s="437"/>
      <c r="G166" s="437"/>
      <c r="H166" s="641"/>
      <c r="M166" s="72"/>
      <c r="N166" s="64"/>
      <c r="O166" s="72"/>
      <c r="P166" s="72"/>
      <c r="Q166" s="470"/>
      <c r="R166" s="470"/>
      <c r="S166" s="470"/>
      <c r="T166" s="470"/>
      <c r="U166" s="470"/>
      <c r="V166" s="470"/>
      <c r="W166" s="470"/>
      <c r="X166" s="470"/>
      <c r="Y166" s="470"/>
      <c r="Z166" s="470"/>
      <c r="AA166" s="470"/>
      <c r="AB166" s="470"/>
      <c r="AC166" s="470"/>
      <c r="AD166" s="437"/>
      <c r="AE166" s="437"/>
      <c r="AF166" s="437"/>
      <c r="AG166" s="437"/>
      <c r="AH166" s="437"/>
      <c r="AI166" s="437"/>
      <c r="AJ166" s="437"/>
      <c r="AK166" s="437"/>
      <c r="AL166" s="437"/>
      <c r="AM166" s="437"/>
      <c r="AN166" s="437"/>
      <c r="AO166" s="437"/>
      <c r="AP166" s="437"/>
      <c r="AQ166" s="437"/>
      <c r="AR166" s="437"/>
      <c r="AS166" s="641"/>
      <c r="AT166" s="448" t="str">
        <f>IF(CAPEX!A185&lt;&gt;"",CAPEX!A185,"")</f>
        <v>H</v>
      </c>
      <c r="AU166" s="1263">
        <f>IF(CAPEX!B185&lt;&gt;"",CAPEX!B185,"")</f>
        <v>812</v>
      </c>
      <c r="AV166" s="448" t="str">
        <f>IF(CAPEX!C185&lt;&gt;"",CAPEX!C185,"")</f>
        <v>Pretreatment/BFW heat recovery</v>
      </c>
      <c r="AW166" s="648" t="s">
        <v>891</v>
      </c>
      <c r="AX166" s="448" t="str">
        <f>IF(CAPEX!F185&lt;&gt;"",CAPEX!F185,"")</f>
        <v>9.4 MM Btu/hr</v>
      </c>
      <c r="AY166" s="1285" t="str">
        <f>IF(CAPEX!G185&lt;&gt;"",CAPEX!G185,"")</f>
        <v/>
      </c>
      <c r="AZ166" s="448" t="str">
        <f>IF(CAPEX!H185&lt;&gt;"",CAPEX!H185,"")</f>
        <v>SS304</v>
      </c>
      <c r="BA166" s="1285">
        <f>IF(CAPEX!J185&lt;&gt;"",CAPEX!J166,"")</f>
        <v>1</v>
      </c>
      <c r="BB166" s="293">
        <f>CAPEX!K185</f>
        <v>41000</v>
      </c>
      <c r="BC166" s="1272">
        <f>IF(CAPEX!L185&lt;&gt;"",CAPEX!L185,"")</f>
        <v>2009</v>
      </c>
      <c r="BD166" s="905">
        <f>IF(CAPEX!M185&lt;&gt;"",CAPEX!M185,"")</f>
        <v>41000</v>
      </c>
      <c r="BE166" s="900" t="str">
        <f>IF(CAPEX!N185&lt;&gt;"",CAPEX!N185,"")</f>
        <v>heat.QH812</v>
      </c>
      <c r="BF166" s="1295">
        <f>IF(CAPEX!O185&lt;&gt;"",CAPEX!O185,"")</f>
        <v>-2.4</v>
      </c>
      <c r="BG166" s="904" t="str">
        <f>IF(CAPEX!P185&lt;&gt;"",CAPEX!P185,"")</f>
        <v>Gcal/hr</v>
      </c>
      <c r="BH166" s="907">
        <f>IF(CAPEX!Q185&lt;&gt;"",CAPEX!Q185,"")</f>
        <v>0.7</v>
      </c>
      <c r="BI166" s="907">
        <f>IF(CAPEX!R185&lt;&gt;"",CAPEX!R185,"")</f>
        <v>2.2000000000000002</v>
      </c>
      <c r="BJ166" s="436">
        <f ca="1">IF(BE166&lt;&gt;"",VLOOKUP(BE166,INDIRECT(LU_SENS),2,FALSE),"")</f>
        <v>-2.2741624900000001</v>
      </c>
      <c r="BK166" s="239">
        <f ca="1">BJ166/BF166</f>
        <v>0.9475677041666668</v>
      </c>
      <c r="BL166" s="238">
        <f ca="1">BD166*BK166^BH166</f>
        <v>39483.080738417302</v>
      </c>
      <c r="BM166" s="238">
        <f ca="1">BL166*VLOOKUP($J$34,INDIRECT(IX_CAP),4,FALSE)/VLOOKUP(BC166,INDIRECT(IX_CAP),4,FALSE)</f>
        <v>39747.864763296515</v>
      </c>
      <c r="BN166" s="238">
        <f ca="1">BM166*BI166</f>
        <v>87445.302479252336</v>
      </c>
      <c r="BO166" s="615"/>
      <c r="BP166" s="437"/>
    </row>
    <row r="167" spans="1:68" ht="13.5" customHeight="1" thickBot="1" x14ac:dyDescent="0.25">
      <c r="A167" s="437"/>
      <c r="B167" s="437"/>
      <c r="C167" s="437"/>
      <c r="D167" s="437"/>
      <c r="E167" s="437"/>
      <c r="F167" s="437"/>
      <c r="G167" s="437"/>
      <c r="H167" s="641"/>
      <c r="M167" s="72"/>
      <c r="N167" s="64"/>
      <c r="O167" s="72"/>
      <c r="P167" s="72"/>
      <c r="Q167" s="470"/>
      <c r="R167" s="470"/>
      <c r="S167" s="470"/>
      <c r="T167" s="470"/>
      <c r="U167" s="470"/>
      <c r="V167" s="470"/>
      <c r="W167" s="470"/>
      <c r="X167" s="470"/>
      <c r="Y167" s="470"/>
      <c r="Z167" s="470"/>
      <c r="AA167" s="470"/>
      <c r="AB167" s="470"/>
      <c r="AC167" s="470"/>
      <c r="AD167" s="437"/>
      <c r="AE167" s="437"/>
      <c r="AF167" s="437"/>
      <c r="AG167" s="437"/>
      <c r="AH167" s="437"/>
      <c r="AI167" s="437"/>
      <c r="AJ167" s="437"/>
      <c r="AK167" s="437"/>
      <c r="AL167" s="437"/>
      <c r="AM167" s="437"/>
      <c r="AN167" s="437"/>
      <c r="AO167" s="437"/>
      <c r="AP167" s="437"/>
      <c r="AQ167" s="437"/>
      <c r="AR167" s="437"/>
      <c r="AS167" s="641"/>
      <c r="AT167" s="448" t="str">
        <f>IF(CAPEX!A187&lt;&gt;"",CAPEX!A187,"")</f>
        <v>M</v>
      </c>
      <c r="AU167" s="1263">
        <f>IF(CAPEX!B187&lt;&gt;"",CAPEX!B187,"")</f>
        <v>803</v>
      </c>
      <c r="AV167" s="448" t="str">
        <f>IF(CAPEX!C187&lt;&gt;"",CAPEX!C187,"")</f>
        <v>Boiler</v>
      </c>
      <c r="AW167" s="648" t="s">
        <v>1716</v>
      </c>
      <c r="AX167" s="448" t="str">
        <f>IF(CAPEX!F187&lt;&gt;"",CAPEX!F187,"")</f>
        <v>525,000 lb/hr @ 900 psig</v>
      </c>
      <c r="AY167" s="1285" t="str">
        <f>IF(CAPEX!G187&lt;&gt;"",CAPEX!G187,"")</f>
        <v>2752 kW</v>
      </c>
      <c r="AZ167" s="448" t="str">
        <f>IF(CAPEX!H187&lt;&gt;"",CAPEX!H187,"")</f>
        <v>CS</v>
      </c>
      <c r="BA167" s="1285">
        <f>IF(CAPEX!J187&lt;&gt;"",CAPEX!J167,"")</f>
        <v>1</v>
      </c>
      <c r="BB167" s="293">
        <f>CAPEX!K187</f>
        <v>28550000</v>
      </c>
      <c r="BC167" s="1272">
        <f>IF(CAPEX!L187&lt;&gt;"",CAPEX!L187,"")</f>
        <v>2010</v>
      </c>
      <c r="BD167" s="899">
        <f>IF(CAPEX!M187&lt;&gt;"",CAPEX!M187,"")</f>
        <v>28550000</v>
      </c>
      <c r="BE167" s="900" t="str">
        <f>IF(CAPEX!N187&lt;&gt;"",CAPEX!N187,"")</f>
        <v>strm.a800.a810.812</v>
      </c>
      <c r="BF167" s="1293">
        <f>IF(CAPEX!O187&lt;&gt;"",CAPEX!O187,"")</f>
        <v>238686</v>
      </c>
      <c r="BG167" s="898" t="str">
        <f>IF(CAPEX!P187&lt;&gt;"",CAPEX!P187,"")</f>
        <v>kg/hr</v>
      </c>
      <c r="BH167" s="907">
        <f>IF(CAPEX!Q187&lt;&gt;"",CAPEX!Q187,"")</f>
        <v>0.6</v>
      </c>
      <c r="BI167" s="907">
        <f>IF(CAPEX!R187&lt;&gt;"",CAPEX!R187,"")</f>
        <v>1.8</v>
      </c>
      <c r="BJ167" s="436">
        <f ca="1">IF(BE167&lt;&gt;"",VLOOKUP(BE167,INDIRECT(LU_SENS),2,FALSE),"")</f>
        <v>235125.15599999999</v>
      </c>
      <c r="BK167" s="239">
        <f ca="1">BJ167/BF167</f>
        <v>0.98508147105402066</v>
      </c>
      <c r="BL167" s="238">
        <f ca="1">BD167*BK167^BH167</f>
        <v>28293677.743501768</v>
      </c>
      <c r="BM167" s="238">
        <f ca="1">BL167*VLOOKUP($J$34,INDIRECT(IX_CAP),4,FALSE)/VLOOKUP(BC167,INDIRECT(IX_CAP),4,FALSE)</f>
        <v>26988922.088663451</v>
      </c>
      <c r="BN167" s="238">
        <f ca="1">BM167*BI167</f>
        <v>48580059.759594217</v>
      </c>
      <c r="BO167" s="615"/>
      <c r="BP167" s="437"/>
    </row>
    <row r="168" spans="1:68" ht="13.5" customHeight="1" thickBot="1" x14ac:dyDescent="0.25">
      <c r="A168" s="437"/>
      <c r="B168" s="437"/>
      <c r="C168" s="437"/>
      <c r="D168" s="437"/>
      <c r="E168" s="437"/>
      <c r="F168" s="437"/>
      <c r="G168" s="437"/>
      <c r="H168" s="641"/>
      <c r="Q168" s="470"/>
      <c r="R168" s="470"/>
      <c r="S168" s="470"/>
      <c r="T168" s="470"/>
      <c r="U168" s="470"/>
      <c r="V168" s="470"/>
      <c r="W168" s="470"/>
      <c r="X168" s="470"/>
      <c r="Y168" s="470"/>
      <c r="Z168" s="470"/>
      <c r="AA168" s="470"/>
      <c r="AB168" s="470"/>
      <c r="AC168" s="470"/>
      <c r="AD168" s="437"/>
      <c r="AE168" s="437"/>
      <c r="AF168" s="437"/>
      <c r="AG168" s="437"/>
      <c r="AH168" s="437"/>
      <c r="AI168" s="437"/>
      <c r="AJ168" s="437"/>
      <c r="AK168" s="437"/>
      <c r="AL168" s="437"/>
      <c r="AM168" s="437"/>
      <c r="AN168" s="437"/>
      <c r="AO168" s="437"/>
      <c r="AP168" s="437"/>
      <c r="AQ168" s="437"/>
      <c r="AR168" s="437"/>
      <c r="AS168" s="641"/>
      <c r="AT168" s="448" t="str">
        <f>IF(CAPEX!A188&lt;&gt;"",CAPEX!A188,"")</f>
        <v>M</v>
      </c>
      <c r="AU168" s="1263">
        <f>IF(CAPEX!B188&lt;&gt;"",CAPEX!B188,"")</f>
        <v>804</v>
      </c>
      <c r="AV168" s="448" t="str">
        <f>IF(CAPEX!C188&lt;&gt;"",CAPEX!C188,"")</f>
        <v>Combustion Gas Baghouse</v>
      </c>
      <c r="AW168" s="648" t="s">
        <v>1716</v>
      </c>
      <c r="AX168" s="448" t="str">
        <f>IF(CAPEX!F188&lt;&gt;"",CAPEX!F188,"")</f>
        <v>INCLUDED WITH FGD SYSTEM</v>
      </c>
      <c r="AY168" s="1285" t="str">
        <f>IF(CAPEX!G188&lt;&gt;"",CAPEX!G188,"")</f>
        <v/>
      </c>
      <c r="AZ168" s="448" t="str">
        <f>IF(CAPEX!H188&lt;&gt;"",CAPEX!H188,"")</f>
        <v/>
      </c>
      <c r="BA168" s="1285" t="str">
        <f>IF(CAPEX!J188&lt;&gt;"",CAPEX!J168,"")</f>
        <v/>
      </c>
      <c r="BB168" s="293" t="str">
        <f>CAPEX!K188</f>
        <v>INCLUDED</v>
      </c>
      <c r="BC168" s="1273" t="str">
        <f>IF(CAPEX!L188&lt;&gt;"",CAPEX!L188,"")</f>
        <v/>
      </c>
      <c r="BD168" s="902" t="str">
        <f>IF(CAPEX!M188&lt;&gt;"",CAPEX!M188,"")</f>
        <v/>
      </c>
      <c r="BE168" s="902" t="str">
        <f>IF(CAPEX!N188&lt;&gt;"",CAPEX!N188,"")</f>
        <v/>
      </c>
      <c r="BF168" s="1291" t="str">
        <f>IF(CAPEX!O188&lt;&gt;"",CAPEX!O188,"")</f>
        <v/>
      </c>
      <c r="BG168" s="901" t="str">
        <f>IF(CAPEX!P188&lt;&gt;"",CAPEX!P188,"")</f>
        <v/>
      </c>
      <c r="BH168" s="903" t="str">
        <f>IF(CAPEX!Q188&lt;&gt;"",CAPEX!Q188,"")</f>
        <v/>
      </c>
      <c r="BI168" s="903" t="str">
        <f>IF(CAPEX!R188&lt;&gt;"",CAPEX!R188,"")</f>
        <v/>
      </c>
      <c r="BJ168" s="436"/>
      <c r="BK168" s="249"/>
      <c r="BL168" s="249"/>
      <c r="BM168" s="249"/>
      <c r="BN168" s="249"/>
      <c r="BO168" s="615"/>
      <c r="BP168" s="437"/>
    </row>
    <row r="169" spans="1:68" ht="13.5" customHeight="1" thickBot="1" x14ac:dyDescent="0.25">
      <c r="A169" s="437"/>
      <c r="B169" s="437"/>
      <c r="C169" s="437"/>
      <c r="D169" s="437"/>
      <c r="E169" s="437"/>
      <c r="F169" s="437"/>
      <c r="G169" s="437"/>
      <c r="H169" s="641"/>
      <c r="Q169" s="470"/>
      <c r="R169" s="470"/>
      <c r="S169" s="470"/>
      <c r="T169" s="470"/>
      <c r="U169" s="470"/>
      <c r="V169" s="470"/>
      <c r="W169" s="470"/>
      <c r="X169" s="470"/>
      <c r="Y169" s="470"/>
      <c r="Z169" s="470"/>
      <c r="AA169" s="470"/>
      <c r="AB169" s="470"/>
      <c r="AC169" s="470"/>
      <c r="AD169" s="437"/>
      <c r="AE169" s="437"/>
      <c r="AF169" s="437"/>
      <c r="AG169" s="437"/>
      <c r="AH169" s="437"/>
      <c r="AI169" s="437"/>
      <c r="AJ169" s="437"/>
      <c r="AK169" s="437"/>
      <c r="AL169" s="437"/>
      <c r="AM169" s="437"/>
      <c r="AN169" s="437"/>
      <c r="AO169" s="437"/>
      <c r="AP169" s="437"/>
      <c r="AQ169" s="437"/>
      <c r="AR169" s="437"/>
      <c r="AS169" s="641"/>
      <c r="AT169" s="448" t="str">
        <f>IF(CAPEX!A189&lt;&gt;"",CAPEX!A189,"")</f>
        <v>M</v>
      </c>
      <c r="AU169" s="1263">
        <f>IF(CAPEX!B189&lt;&gt;"",CAPEX!B189,"")</f>
        <v>811</v>
      </c>
      <c r="AV169" s="448" t="str">
        <f>IF(CAPEX!C189&lt;&gt;"",CAPEX!C189,"")</f>
        <v>Turbine/Generator</v>
      </c>
      <c r="AW169" s="648" t="s">
        <v>1721</v>
      </c>
      <c r="AX169" s="448" t="str">
        <f>IF(CAPEX!F189&lt;&gt;"",CAPEX!F189,"")</f>
        <v>23.6 kW, 2 extractions</v>
      </c>
      <c r="AY169" s="1285" t="str">
        <f>IF(CAPEX!G189&lt;&gt;"",CAPEX!G189,"")</f>
        <v/>
      </c>
      <c r="AZ169" s="448" t="str">
        <f>IF(CAPEX!H189&lt;&gt;"",CAPEX!H189,"")</f>
        <v/>
      </c>
      <c r="BA169" s="1285">
        <f>IF(CAPEX!J189&lt;&gt;"",CAPEX!J169,"")</f>
        <v>1</v>
      </c>
      <c r="BB169" s="293">
        <f>CAPEX!K189</f>
        <v>9500000</v>
      </c>
      <c r="BC169" s="1272">
        <f>IF(CAPEX!L189&lt;&gt;"",CAPEX!L189,"")</f>
        <v>2010</v>
      </c>
      <c r="BD169" s="899">
        <f>IF(CAPEX!M189&lt;&gt;"",CAPEX!M189,"")</f>
        <v>9500000</v>
      </c>
      <c r="BE169" s="900" t="str">
        <f>IF(CAPEX!N189&lt;&gt;"",CAPEX!N189,"")</f>
        <v>work.wtotal</v>
      </c>
      <c r="BF169" s="1293">
        <f>IF(CAPEX!O189&lt;&gt;"",CAPEX!O189,"")</f>
        <v>-42200</v>
      </c>
      <c r="BG169" s="898" t="str">
        <f>IF(CAPEX!P189&lt;&gt;"",CAPEX!P189,"")</f>
        <v>kW</v>
      </c>
      <c r="BH169" s="907">
        <f>IF(CAPEX!Q189&lt;&gt;"",CAPEX!Q189,"")</f>
        <v>0.6</v>
      </c>
      <c r="BI169" s="907">
        <f>IF(CAPEX!R189&lt;&gt;"",CAPEX!R189,"")</f>
        <v>1.8</v>
      </c>
      <c r="BJ169" s="436">
        <f ca="1">IF(BE169&lt;&gt;"",VLOOKUP(BE169,INDIRECT(LU_SENS),2,FALSE),"")</f>
        <v>-41139.1976</v>
      </c>
      <c r="BK169" s="239">
        <f ca="1">BJ169/BF169</f>
        <v>0.9748625023696682</v>
      </c>
      <c r="BL169" s="238">
        <f ca="1">BD169*BK169^BH169</f>
        <v>9355987.3245073259</v>
      </c>
      <c r="BM169" s="238">
        <f ca="1">BL169*VLOOKUP($J$34,INDIRECT(IX_CAP),4,FALSE)/VLOOKUP(BC169,INDIRECT(IX_CAP),4,FALSE)</f>
        <v>8924538.3810750712</v>
      </c>
      <c r="BN169" s="238">
        <f ca="1">BM169*BI169</f>
        <v>16064169.085935129</v>
      </c>
      <c r="BO169" s="615"/>
      <c r="BP169" s="437"/>
    </row>
    <row r="170" spans="1:68" ht="13.5" customHeight="1" thickBot="1" x14ac:dyDescent="0.25">
      <c r="A170" s="437"/>
      <c r="B170" s="437"/>
      <c r="C170" s="437"/>
      <c r="D170" s="437"/>
      <c r="E170" s="437"/>
      <c r="F170" s="437"/>
      <c r="G170" s="437"/>
      <c r="H170" s="641"/>
      <c r="Q170" s="470"/>
      <c r="R170" s="470"/>
      <c r="S170" s="470"/>
      <c r="T170" s="470"/>
      <c r="U170" s="470"/>
      <c r="V170" s="470"/>
      <c r="W170" s="470"/>
      <c r="X170" s="470"/>
      <c r="Y170" s="470"/>
      <c r="Z170" s="470"/>
      <c r="AA170" s="470"/>
      <c r="AB170" s="470"/>
      <c r="AC170" s="470"/>
      <c r="AD170" s="437"/>
      <c r="AE170" s="437"/>
      <c r="AF170" s="437"/>
      <c r="AG170" s="437"/>
      <c r="AH170" s="437"/>
      <c r="AI170" s="437"/>
      <c r="AJ170" s="437"/>
      <c r="AK170" s="437"/>
      <c r="AL170" s="437"/>
      <c r="AM170" s="437"/>
      <c r="AN170" s="437"/>
      <c r="AO170" s="437"/>
      <c r="AP170" s="437"/>
      <c r="AQ170" s="437"/>
      <c r="AR170" s="437"/>
      <c r="AS170" s="641"/>
      <c r="AT170" s="448" t="str">
        <f>IF(CAPEX!A190&lt;&gt;"",CAPEX!A190,"")</f>
        <v>M</v>
      </c>
      <c r="AU170" s="1263">
        <f>IF(CAPEX!B190&lt;&gt;"",CAPEX!B190,"")</f>
        <v>820</v>
      </c>
      <c r="AV170" s="448" t="str">
        <f>IF(CAPEX!C190&lt;&gt;"",CAPEX!C190,"")</f>
        <v>Hot Process Water Softener System</v>
      </c>
      <c r="AW170" s="648" t="s">
        <v>1724</v>
      </c>
      <c r="AX170" s="448" t="str">
        <f>IF(CAPEX!F190&lt;&gt;"",CAPEX!F190,"")</f>
        <v/>
      </c>
      <c r="AY170" s="1285" t="str">
        <f>IF(CAPEX!G190&lt;&gt;"",CAPEX!G190,"")</f>
        <v/>
      </c>
      <c r="AZ170" s="448" t="str">
        <f>IF(CAPEX!H190&lt;&gt;"",CAPEX!H190,"")</f>
        <v/>
      </c>
      <c r="BA170" s="1285">
        <f>IF(CAPEX!J190&lt;&gt;"",CAPEX!J170,"")</f>
        <v>1</v>
      </c>
      <c r="BB170" s="293">
        <f>CAPEX!K190</f>
        <v>78000</v>
      </c>
      <c r="BC170" s="1272">
        <f>IF(CAPEX!L190&lt;&gt;"",CAPEX!L190,"")</f>
        <v>2010</v>
      </c>
      <c r="BD170" s="905">
        <f>IF(CAPEX!M190&lt;&gt;"",CAPEX!M190,"")</f>
        <v>78000</v>
      </c>
      <c r="BE170" s="900" t="str">
        <f>IF(CAPEX!N190&lt;&gt;"",CAPEX!N190,"")</f>
        <v>strm.a800.a810.812</v>
      </c>
      <c r="BF170" s="1294">
        <f>IF(CAPEX!O190&lt;&gt;"",CAPEX!O190,"")</f>
        <v>235803</v>
      </c>
      <c r="BG170" s="908" t="str">
        <f>IF(CAPEX!P190&lt;&gt;"",CAPEX!P190,"")</f>
        <v>kg/hr</v>
      </c>
      <c r="BH170" s="907">
        <f>IF(CAPEX!Q190&lt;&gt;"",CAPEX!Q190,"")</f>
        <v>0.6</v>
      </c>
      <c r="BI170" s="907">
        <f>IF(CAPEX!R190&lt;&gt;"",CAPEX!R190,"")</f>
        <v>1.8</v>
      </c>
      <c r="BJ170" s="436">
        <f ca="1">IF(BE170&lt;&gt;"",VLOOKUP(BE170,INDIRECT(LU_SENS),2,FALSE),"")</f>
        <v>235125.15599999999</v>
      </c>
      <c r="BK170" s="239">
        <f ca="1">BJ170/BF170</f>
        <v>0.9971253800842228</v>
      </c>
      <c r="BL170" s="238">
        <f ca="1">BD170*BK170^BH170</f>
        <v>77865.390338208541</v>
      </c>
      <c r="BM170" s="238">
        <f ca="1">BL170*VLOOKUP($J$34,INDIRECT(IX_CAP),4,FALSE)/VLOOKUP(BC170,INDIRECT(IX_CAP),4,FALSE)</f>
        <v>74274.647936991227</v>
      </c>
      <c r="BN170" s="238">
        <f ca="1">BM170*BI170</f>
        <v>133694.36628658421</v>
      </c>
      <c r="BO170" s="615"/>
      <c r="BP170" s="437"/>
    </row>
    <row r="171" spans="1:68" ht="13.5" customHeight="1" thickBot="1" x14ac:dyDescent="0.25">
      <c r="A171" s="437"/>
      <c r="B171" s="437"/>
      <c r="C171" s="437"/>
      <c r="D171" s="437"/>
      <c r="E171" s="437"/>
      <c r="F171" s="437"/>
      <c r="G171" s="437"/>
      <c r="H171" s="641"/>
      <c r="I171" s="470"/>
      <c r="J171" s="470"/>
      <c r="K171" s="64"/>
      <c r="L171" s="64"/>
      <c r="M171" s="72"/>
      <c r="N171" s="64"/>
      <c r="O171" s="72"/>
      <c r="P171" s="72"/>
      <c r="Q171" s="470"/>
      <c r="R171" s="470"/>
      <c r="S171" s="470"/>
      <c r="T171" s="470"/>
      <c r="U171" s="470"/>
      <c r="V171" s="470"/>
      <c r="W171" s="470"/>
      <c r="X171" s="470"/>
      <c r="Y171" s="470"/>
      <c r="Z171" s="470"/>
      <c r="AA171" s="470"/>
      <c r="AB171" s="470"/>
      <c r="AC171" s="470"/>
      <c r="AD171" s="437"/>
      <c r="AE171" s="437"/>
      <c r="AF171" s="437"/>
      <c r="AG171" s="437"/>
      <c r="AH171" s="437"/>
      <c r="AI171" s="437"/>
      <c r="AJ171" s="437"/>
      <c r="AK171" s="437"/>
      <c r="AL171" s="437"/>
      <c r="AM171" s="437"/>
      <c r="AN171" s="437"/>
      <c r="AO171" s="437"/>
      <c r="AP171" s="437"/>
      <c r="AQ171" s="437"/>
      <c r="AR171" s="437"/>
      <c r="AS171" s="641"/>
      <c r="AT171" s="448" t="str">
        <f>IF(CAPEX!A191&lt;&gt;"",CAPEX!A191,"")</f>
        <v>M</v>
      </c>
      <c r="AU171" s="1263">
        <f>IF(CAPEX!B191&lt;&gt;"",CAPEX!B191,"")</f>
        <v>830</v>
      </c>
      <c r="AV171" s="448" t="str">
        <f>IF(CAPEX!C191&lt;&gt;"",CAPEX!C191,"")</f>
        <v>Amine Addition Pkg.</v>
      </c>
      <c r="AW171" s="648" t="s">
        <v>1724</v>
      </c>
      <c r="AX171" s="448" t="str">
        <f>IF(CAPEX!F191&lt;&gt;"",CAPEX!F191,"")</f>
        <v/>
      </c>
      <c r="AY171" s="1285" t="str">
        <f>IF(CAPEX!G191&lt;&gt;"",CAPEX!G191,"")</f>
        <v/>
      </c>
      <c r="AZ171" s="448" t="str">
        <f>IF(CAPEX!H191&lt;&gt;"",CAPEX!H191,"")</f>
        <v/>
      </c>
      <c r="BA171" s="1285">
        <f>IF(CAPEX!J191&lt;&gt;"",CAPEX!J171,"")</f>
        <v>1</v>
      </c>
      <c r="BB171" s="293">
        <f>CAPEX!K191</f>
        <v>40000</v>
      </c>
      <c r="BC171" s="1272">
        <f>IF(CAPEX!L191&lt;&gt;"",CAPEX!L191,"")</f>
        <v>2010</v>
      </c>
      <c r="BD171" s="905">
        <f>IF(CAPEX!M191&lt;&gt;"",CAPEX!M191,"")</f>
        <v>40000</v>
      </c>
      <c r="BE171" s="900" t="str">
        <f>IF(CAPEX!N191&lt;&gt;"",CAPEX!N191,"")</f>
        <v>strm.a800.a810.812</v>
      </c>
      <c r="BF171" s="1294">
        <f>IF(CAPEX!O191&lt;&gt;"",CAPEX!O191,"")</f>
        <v>235803</v>
      </c>
      <c r="BG171" s="908" t="str">
        <f>IF(CAPEX!P191&lt;&gt;"",CAPEX!P191,"")</f>
        <v>kg/hr</v>
      </c>
      <c r="BH171" s="907">
        <f>IF(CAPEX!Q191&lt;&gt;"",CAPEX!Q191,"")</f>
        <v>0</v>
      </c>
      <c r="BI171" s="907">
        <f>IF(CAPEX!R191&lt;&gt;"",CAPEX!R191,"")</f>
        <v>1.8</v>
      </c>
      <c r="BJ171" s="436">
        <f ca="1">IF(BE171&lt;&gt;"",VLOOKUP(BE171,INDIRECT(LU_SENS),2,FALSE),"")</f>
        <v>235125.15599999999</v>
      </c>
      <c r="BK171" s="239">
        <f ca="1">BJ171/BF171</f>
        <v>0.9971253800842228</v>
      </c>
      <c r="BL171" s="238">
        <f ca="1">BD171*BK171^BH171</f>
        <v>40000</v>
      </c>
      <c r="BM171" s="238">
        <f ca="1">BL171*VLOOKUP($J$34,INDIRECT(IX_CAP),4,FALSE)/VLOOKUP(BC171,INDIRECT(IX_CAP),4,FALSE)</f>
        <v>38155.410312273059</v>
      </c>
      <c r="BN171" s="238">
        <f ca="1">BM171*BI171</f>
        <v>68679.738562091516</v>
      </c>
      <c r="BO171" s="615"/>
      <c r="BP171" s="437"/>
    </row>
    <row r="172" spans="1:68" ht="13.5" customHeight="1" thickBot="1" x14ac:dyDescent="0.25">
      <c r="A172" s="437"/>
      <c r="B172" s="437"/>
      <c r="C172" s="437"/>
      <c r="D172" s="437"/>
      <c r="E172" s="437"/>
      <c r="F172" s="437"/>
      <c r="G172" s="437"/>
      <c r="H172" s="641"/>
      <c r="I172" s="437"/>
      <c r="J172" s="437"/>
      <c r="K172" s="437"/>
      <c r="L172" s="437"/>
      <c r="M172" s="437"/>
      <c r="N172" s="437"/>
      <c r="O172" s="437"/>
      <c r="P172" s="437"/>
      <c r="Q172" s="437"/>
      <c r="R172" s="437"/>
      <c r="S172" s="437"/>
      <c r="T172" s="437"/>
      <c r="U172" s="437"/>
      <c r="V172" s="437"/>
      <c r="W172" s="437"/>
      <c r="X172" s="437"/>
      <c r="Y172" s="437"/>
      <c r="Z172" s="437"/>
      <c r="AA172" s="437"/>
      <c r="AB172" s="437"/>
      <c r="AC172" s="437"/>
      <c r="AD172" s="437"/>
      <c r="AE172" s="437"/>
      <c r="AF172" s="437"/>
      <c r="AG172" s="437"/>
      <c r="AH172" s="437"/>
      <c r="AI172" s="437"/>
      <c r="AJ172" s="437"/>
      <c r="AK172" s="437"/>
      <c r="AL172" s="437"/>
      <c r="AM172" s="437"/>
      <c r="AN172" s="437"/>
      <c r="AO172" s="437"/>
      <c r="AP172" s="437"/>
      <c r="AQ172" s="437"/>
      <c r="AR172" s="437"/>
      <c r="AS172" s="641"/>
      <c r="AT172" s="448" t="str">
        <f>IF(CAPEX!A192&lt;&gt;"",CAPEX!A192,"")</f>
        <v>M</v>
      </c>
      <c r="AU172" s="1263">
        <f>IF(CAPEX!B192&lt;&gt;"",CAPEX!B192,"")</f>
        <v>832</v>
      </c>
      <c r="AV172" s="448" t="str">
        <f>IF(CAPEX!C192&lt;&gt;"",CAPEX!C192,"")</f>
        <v>Ammonia Addition Pkg</v>
      </c>
      <c r="AW172" s="648" t="s">
        <v>1724</v>
      </c>
      <c r="AX172" s="448" t="str">
        <f>IF(CAPEX!F192&lt;&gt;"",CAPEX!F192,"")</f>
        <v/>
      </c>
      <c r="AY172" s="1285" t="str">
        <f>IF(CAPEX!G192&lt;&gt;"",CAPEX!G192,"")</f>
        <v/>
      </c>
      <c r="AZ172" s="448" t="str">
        <f>IF(CAPEX!H192&lt;&gt;"",CAPEX!H192,"")</f>
        <v/>
      </c>
      <c r="BA172" s="1285">
        <f>IF(CAPEX!J192&lt;&gt;"",CAPEX!J172,"")</f>
        <v>1</v>
      </c>
      <c r="BB172" s="293" t="str">
        <f>CAPEX!K192</f>
        <v>INCLUDED</v>
      </c>
      <c r="BC172" s="1273" t="str">
        <f>IF(CAPEX!L192&lt;&gt;"",CAPEX!L192,"")</f>
        <v/>
      </c>
      <c r="BD172" s="902" t="str">
        <f>IF(CAPEX!M192&lt;&gt;"",CAPEX!M192,"")</f>
        <v/>
      </c>
      <c r="BE172" s="902" t="str">
        <f>IF(CAPEX!N192&lt;&gt;"",CAPEX!N192,"")</f>
        <v/>
      </c>
      <c r="BF172" s="1291" t="str">
        <f>IF(CAPEX!O192&lt;&gt;"",CAPEX!O192,"")</f>
        <v/>
      </c>
      <c r="BG172" s="901" t="str">
        <f>IF(CAPEX!P192&lt;&gt;"",CAPEX!P192,"")</f>
        <v/>
      </c>
      <c r="BH172" s="903" t="str">
        <f>IF(CAPEX!Q192&lt;&gt;"",CAPEX!Q192,"")</f>
        <v/>
      </c>
      <c r="BI172" s="903" t="str">
        <f>IF(CAPEX!R192&lt;&gt;"",CAPEX!R192,"")</f>
        <v/>
      </c>
      <c r="BJ172" s="436"/>
      <c r="BK172" s="249"/>
      <c r="BL172" s="249"/>
      <c r="BM172" s="249"/>
      <c r="BN172" s="249"/>
      <c r="BO172" s="615"/>
      <c r="BP172" s="437"/>
    </row>
    <row r="173" spans="1:68" ht="13.5" customHeight="1" thickBot="1" x14ac:dyDescent="0.25">
      <c r="A173" s="437"/>
      <c r="B173" s="437"/>
      <c r="C173" s="437"/>
      <c r="D173" s="437"/>
      <c r="E173" s="437"/>
      <c r="F173" s="437"/>
      <c r="G173" s="437"/>
      <c r="H173" s="641"/>
      <c r="I173" s="437"/>
      <c r="J173" s="437"/>
      <c r="K173" s="437"/>
      <c r="L173" s="437"/>
      <c r="M173" s="437"/>
      <c r="N173" s="437"/>
      <c r="O173" s="437"/>
      <c r="P173" s="437"/>
      <c r="Q173" s="437"/>
      <c r="R173" s="437"/>
      <c r="S173" s="437"/>
      <c r="T173" s="437"/>
      <c r="U173" s="437"/>
      <c r="V173" s="437"/>
      <c r="W173" s="437"/>
      <c r="X173" s="437"/>
      <c r="Y173" s="437"/>
      <c r="Z173" s="437"/>
      <c r="AA173" s="437"/>
      <c r="AB173" s="437"/>
      <c r="AC173" s="437"/>
      <c r="AD173" s="437"/>
      <c r="AE173" s="437"/>
      <c r="AF173" s="437"/>
      <c r="AG173" s="437"/>
      <c r="AH173" s="437"/>
      <c r="AI173" s="437"/>
      <c r="AJ173" s="437"/>
      <c r="AK173" s="437"/>
      <c r="AL173" s="437"/>
      <c r="AM173" s="437"/>
      <c r="AN173" s="437"/>
      <c r="AO173" s="437"/>
      <c r="AP173" s="437"/>
      <c r="AQ173" s="437"/>
      <c r="AR173" s="437"/>
      <c r="AS173" s="641"/>
      <c r="AT173" s="448" t="str">
        <f>IF(CAPEX!A193&lt;&gt;"",CAPEX!A193,"")</f>
        <v>M</v>
      </c>
      <c r="AU173" s="1263">
        <f>IF(CAPEX!B193&lt;&gt;"",CAPEX!B193,"")</f>
        <v>834</v>
      </c>
      <c r="AV173" s="448" t="str">
        <f>IF(CAPEX!C193&lt;&gt;"",CAPEX!C193,"")</f>
        <v>Phosphate Addition Pkg.</v>
      </c>
      <c r="AW173" s="648" t="s">
        <v>1724</v>
      </c>
      <c r="AX173" s="448" t="str">
        <f>IF(CAPEX!F193&lt;&gt;"",CAPEX!F193,"")</f>
        <v/>
      </c>
      <c r="AY173" s="1285" t="str">
        <f>IF(CAPEX!G193&lt;&gt;"",CAPEX!G193,"")</f>
        <v/>
      </c>
      <c r="AZ173" s="448" t="str">
        <f>IF(CAPEX!H193&lt;&gt;"",CAPEX!H193,"")</f>
        <v/>
      </c>
      <c r="BA173" s="1285">
        <f>IF(CAPEX!J193&lt;&gt;"",CAPEX!J173,"")</f>
        <v>1</v>
      </c>
      <c r="BB173" s="293" t="str">
        <f>CAPEX!K193</f>
        <v>INCLUDED</v>
      </c>
      <c r="BC173" s="1273" t="str">
        <f>IF(CAPEX!L193&lt;&gt;"",CAPEX!L193,"")</f>
        <v/>
      </c>
      <c r="BD173" s="902" t="str">
        <f>IF(CAPEX!M193&lt;&gt;"",CAPEX!M193,"")</f>
        <v/>
      </c>
      <c r="BE173" s="902" t="str">
        <f>IF(CAPEX!N193&lt;&gt;"",CAPEX!N193,"")</f>
        <v/>
      </c>
      <c r="BF173" s="1291" t="str">
        <f>IF(CAPEX!O193&lt;&gt;"",CAPEX!O193,"")</f>
        <v/>
      </c>
      <c r="BG173" s="901" t="str">
        <f>IF(CAPEX!P193&lt;&gt;"",CAPEX!P193,"")</f>
        <v/>
      </c>
      <c r="BH173" s="903" t="str">
        <f>IF(CAPEX!Q193&lt;&gt;"",CAPEX!Q193,"")</f>
        <v/>
      </c>
      <c r="BI173" s="903" t="str">
        <f>IF(CAPEX!R193&lt;&gt;"",CAPEX!R193,"")</f>
        <v/>
      </c>
      <c r="BJ173" s="436"/>
      <c r="BK173" s="249"/>
      <c r="BL173" s="249"/>
      <c r="BM173" s="249"/>
      <c r="BN173" s="249"/>
      <c r="BO173" s="615"/>
      <c r="BP173" s="437"/>
    </row>
    <row r="174" spans="1:68" ht="13.5" customHeight="1" thickBot="1" x14ac:dyDescent="0.25">
      <c r="A174" s="437"/>
      <c r="B174" s="437"/>
      <c r="C174" s="437"/>
      <c r="D174" s="437"/>
      <c r="E174" s="437"/>
      <c r="F174" s="437"/>
      <c r="G174" s="437"/>
      <c r="H174" s="437"/>
      <c r="I174" s="437"/>
      <c r="J174" s="437"/>
      <c r="K174" s="437"/>
      <c r="L174" s="437"/>
      <c r="M174" s="437"/>
      <c r="N174" s="437"/>
      <c r="O174" s="437"/>
      <c r="P174" s="437"/>
      <c r="Q174" s="437"/>
      <c r="R174" s="437"/>
      <c r="S174" s="437"/>
      <c r="T174" s="437"/>
      <c r="U174" s="437"/>
      <c r="V174" s="437"/>
      <c r="W174" s="437"/>
      <c r="X174" s="437"/>
      <c r="Y174" s="437"/>
      <c r="Z174" s="437"/>
      <c r="AA174" s="437"/>
      <c r="AB174" s="437"/>
      <c r="AC174" s="437"/>
      <c r="AD174" s="437"/>
      <c r="AE174" s="437"/>
      <c r="AF174" s="437"/>
      <c r="AG174" s="437"/>
      <c r="AH174" s="437"/>
      <c r="AI174" s="437"/>
      <c r="AJ174" s="437"/>
      <c r="AK174" s="437"/>
      <c r="AL174" s="437"/>
      <c r="AM174" s="437"/>
      <c r="AN174" s="437"/>
      <c r="AO174" s="437"/>
      <c r="AP174" s="437"/>
      <c r="AQ174" s="437"/>
      <c r="AR174" s="437"/>
      <c r="AS174" s="641"/>
      <c r="AT174" s="448" t="str">
        <f>IF(CAPEX!A194&lt;&gt;"",CAPEX!A194,"")</f>
        <v>P</v>
      </c>
      <c r="AU174" s="1263">
        <f>IF(CAPEX!B194&lt;&gt;"",CAPEX!B194,"")</f>
        <v>804</v>
      </c>
      <c r="AV174" s="448" t="str">
        <f>IF(CAPEX!C194&lt;&gt;"",CAPEX!C194,"")</f>
        <v>Condensate Pump</v>
      </c>
      <c r="AW174" s="648" t="s">
        <v>1724</v>
      </c>
      <c r="AX174" s="448" t="str">
        <f>IF(CAPEX!F194&lt;&gt;"",CAPEX!F194,"")</f>
        <v/>
      </c>
      <c r="AY174" s="1285" t="str">
        <f>IF(CAPEX!G194&lt;&gt;"",CAPEX!G194,"")</f>
        <v/>
      </c>
      <c r="AZ174" s="448" t="str">
        <f>IF(CAPEX!H194&lt;&gt;"",CAPEX!H194,"")</f>
        <v>SS316</v>
      </c>
      <c r="BA174" s="1285">
        <f>IF(CAPEX!J194&lt;&gt;"",CAPEX!J174,"")</f>
        <v>2</v>
      </c>
      <c r="BB174" s="293" t="str">
        <f>CAPEX!K194</f>
        <v>INCLUDED</v>
      </c>
      <c r="BC174" s="1273" t="str">
        <f>IF(CAPEX!L194&lt;&gt;"",CAPEX!L194,"")</f>
        <v/>
      </c>
      <c r="BD174" s="902" t="str">
        <f>IF(CAPEX!M194&lt;&gt;"",CAPEX!M194,"")</f>
        <v/>
      </c>
      <c r="BE174" s="902" t="str">
        <f>IF(CAPEX!N194&lt;&gt;"",CAPEX!N194,"")</f>
        <v/>
      </c>
      <c r="BF174" s="1291" t="str">
        <f>IF(CAPEX!O194&lt;&gt;"",CAPEX!O194,"")</f>
        <v/>
      </c>
      <c r="BG174" s="901" t="str">
        <f>IF(CAPEX!P194&lt;&gt;"",CAPEX!P194,"")</f>
        <v/>
      </c>
      <c r="BH174" s="903" t="str">
        <f>IF(CAPEX!Q194&lt;&gt;"",CAPEX!Q194,"")</f>
        <v/>
      </c>
      <c r="BI174" s="903" t="str">
        <f>IF(CAPEX!R194&lt;&gt;"",CAPEX!R194,"")</f>
        <v/>
      </c>
      <c r="BJ174" s="436"/>
      <c r="BK174" s="249"/>
      <c r="BL174" s="249"/>
      <c r="BM174" s="249"/>
      <c r="BN174" s="249"/>
      <c r="BO174" s="615"/>
      <c r="BP174" s="437"/>
    </row>
    <row r="175" spans="1:68" ht="13.5" customHeight="1" thickBot="1" x14ac:dyDescent="0.25">
      <c r="A175" s="437"/>
      <c r="B175" s="437"/>
      <c r="C175" s="437"/>
      <c r="D175" s="437"/>
      <c r="E175" s="437"/>
      <c r="F175" s="437"/>
      <c r="G175" s="437"/>
      <c r="H175" s="437"/>
      <c r="I175" s="437"/>
      <c r="J175" s="437"/>
      <c r="K175" s="437"/>
      <c r="L175" s="437"/>
      <c r="M175" s="437"/>
      <c r="N175" s="437"/>
      <c r="O175" s="437"/>
      <c r="P175" s="437"/>
      <c r="Q175" s="437"/>
      <c r="R175" s="437"/>
      <c r="S175" s="437"/>
      <c r="T175" s="437"/>
      <c r="U175" s="437"/>
      <c r="V175" s="437"/>
      <c r="W175" s="437"/>
      <c r="X175" s="437"/>
      <c r="Y175" s="437"/>
      <c r="Z175" s="437"/>
      <c r="AA175" s="437"/>
      <c r="AB175" s="437"/>
      <c r="AC175" s="437"/>
      <c r="AD175" s="437"/>
      <c r="AE175" s="437"/>
      <c r="AF175" s="437"/>
      <c r="AG175" s="437"/>
      <c r="AH175" s="437"/>
      <c r="AI175" s="437"/>
      <c r="AJ175" s="437"/>
      <c r="AK175" s="437"/>
      <c r="AL175" s="437"/>
      <c r="AM175" s="437"/>
      <c r="AN175" s="437"/>
      <c r="AO175" s="437"/>
      <c r="AP175" s="437"/>
      <c r="AQ175" s="437"/>
      <c r="AR175" s="437"/>
      <c r="AS175" s="641"/>
      <c r="AT175" s="448" t="str">
        <f>IF(CAPEX!A195&lt;&gt;"",CAPEX!A195,"")</f>
        <v>P</v>
      </c>
      <c r="AU175" s="1263">
        <f>IF(CAPEX!B195&lt;&gt;"",CAPEX!B195,"")</f>
        <v>811</v>
      </c>
      <c r="AV175" s="448" t="str">
        <f>IF(CAPEX!C195&lt;&gt;"",CAPEX!C195,"")</f>
        <v>Turbine Condensate Pump</v>
      </c>
      <c r="AW175" s="648" t="s">
        <v>1724</v>
      </c>
      <c r="AX175" s="448" t="str">
        <f>IF(CAPEX!F195&lt;&gt;"",CAPEX!F195,"")</f>
        <v/>
      </c>
      <c r="AY175" s="1285" t="str">
        <f>IF(CAPEX!G195&lt;&gt;"",CAPEX!G195,"")</f>
        <v/>
      </c>
      <c r="AZ175" s="448" t="str">
        <f>IF(CAPEX!H195&lt;&gt;"",CAPEX!H195,"")</f>
        <v>SS304</v>
      </c>
      <c r="BA175" s="1285">
        <f>IF(CAPEX!J195&lt;&gt;"",CAPEX!J175,"")</f>
        <v>1</v>
      </c>
      <c r="BB175" s="293" t="str">
        <f>CAPEX!K195</f>
        <v>INCLUDED</v>
      </c>
      <c r="BC175" s="1273" t="str">
        <f>IF(CAPEX!L195&lt;&gt;"",CAPEX!L195,"")</f>
        <v/>
      </c>
      <c r="BD175" s="902" t="str">
        <f>IF(CAPEX!M195&lt;&gt;"",CAPEX!M195,"")</f>
        <v/>
      </c>
      <c r="BE175" s="902" t="str">
        <f>IF(CAPEX!N195&lt;&gt;"",CAPEX!N195,"")</f>
        <v/>
      </c>
      <c r="BF175" s="1291" t="str">
        <f>IF(CAPEX!O195&lt;&gt;"",CAPEX!O195,"")</f>
        <v/>
      </c>
      <c r="BG175" s="901" t="str">
        <f>IF(CAPEX!P195&lt;&gt;"",CAPEX!P195,"")</f>
        <v/>
      </c>
      <c r="BH175" s="903" t="str">
        <f>IF(CAPEX!Q195&lt;&gt;"",CAPEX!Q195,"")</f>
        <v/>
      </c>
      <c r="BI175" s="903" t="str">
        <f>IF(CAPEX!R195&lt;&gt;"",CAPEX!R195,"")</f>
        <v/>
      </c>
      <c r="BJ175" s="436"/>
      <c r="BK175" s="249"/>
      <c r="BL175" s="249"/>
      <c r="BM175" s="249"/>
      <c r="BN175" s="249"/>
      <c r="BO175" s="615"/>
      <c r="BP175" s="437"/>
    </row>
    <row r="176" spans="1:68" ht="13.5" customHeight="1" thickBot="1" x14ac:dyDescent="0.25">
      <c r="A176" s="437"/>
      <c r="B176" s="437"/>
      <c r="C176" s="437"/>
      <c r="D176" s="437"/>
      <c r="E176" s="437"/>
      <c r="F176" s="437"/>
      <c r="G176" s="437"/>
      <c r="H176" s="437"/>
      <c r="I176" s="437"/>
      <c r="J176" s="437"/>
      <c r="K176" s="437"/>
      <c r="L176" s="437"/>
      <c r="M176" s="437"/>
      <c r="N176" s="437"/>
      <c r="O176" s="437"/>
      <c r="P176" s="437"/>
      <c r="Q176" s="437"/>
      <c r="R176" s="437"/>
      <c r="S176" s="437"/>
      <c r="T176" s="437"/>
      <c r="U176" s="437"/>
      <c r="V176" s="437"/>
      <c r="W176" s="437"/>
      <c r="X176" s="437"/>
      <c r="Y176" s="437"/>
      <c r="Z176" s="437"/>
      <c r="AA176" s="437"/>
      <c r="AB176" s="437"/>
      <c r="AC176" s="437"/>
      <c r="AD176" s="437"/>
      <c r="AE176" s="437"/>
      <c r="AF176" s="437"/>
      <c r="AG176" s="437"/>
      <c r="AH176" s="437"/>
      <c r="AI176" s="437"/>
      <c r="AJ176" s="437"/>
      <c r="AK176" s="437"/>
      <c r="AL176" s="437"/>
      <c r="AM176" s="437"/>
      <c r="AN176" s="437"/>
      <c r="AO176" s="437"/>
      <c r="AP176" s="437"/>
      <c r="AQ176" s="437"/>
      <c r="AR176" s="437"/>
      <c r="AS176" s="641"/>
      <c r="AT176" s="448" t="str">
        <f>IF(CAPEX!A196&lt;&gt;"",CAPEX!A196,"")</f>
        <v>P</v>
      </c>
      <c r="AU176" s="1263">
        <f>IF(CAPEX!B196&lt;&gt;"",CAPEX!B196,"")</f>
        <v>824</v>
      </c>
      <c r="AV176" s="448" t="str">
        <f>IF(CAPEX!C196&lt;&gt;"",CAPEX!C196,"")</f>
        <v>Deaerator Feed Pump</v>
      </c>
      <c r="AW176" s="648" t="s">
        <v>1724</v>
      </c>
      <c r="AX176" s="448" t="str">
        <f>IF(CAPEX!F196&lt;&gt;"",CAPEX!F196,"")</f>
        <v/>
      </c>
      <c r="AY176" s="1285" t="str">
        <f>IF(CAPEX!G196&lt;&gt;"",CAPEX!G196,"")</f>
        <v/>
      </c>
      <c r="AZ176" s="448" t="str">
        <f>IF(CAPEX!H196&lt;&gt;"",CAPEX!H196,"")</f>
        <v>SS304</v>
      </c>
      <c r="BA176" s="1285">
        <f>IF(CAPEX!J196&lt;&gt;"",CAPEX!J176,"")</f>
        <v>1</v>
      </c>
      <c r="BB176" s="293" t="str">
        <f>CAPEX!K196</f>
        <v>INCLUDED</v>
      </c>
      <c r="BC176" s="1273" t="str">
        <f>IF(CAPEX!L196&lt;&gt;"",CAPEX!L196,"")</f>
        <v/>
      </c>
      <c r="BD176" s="902" t="str">
        <f>IF(CAPEX!M196&lt;&gt;"",CAPEX!M196,"")</f>
        <v/>
      </c>
      <c r="BE176" s="902" t="str">
        <f>IF(CAPEX!N196&lt;&gt;"",CAPEX!N196,"")</f>
        <v/>
      </c>
      <c r="BF176" s="1291" t="str">
        <f>IF(CAPEX!O196&lt;&gt;"",CAPEX!O196,"")</f>
        <v/>
      </c>
      <c r="BG176" s="901" t="str">
        <f>IF(CAPEX!P196&lt;&gt;"",CAPEX!P196,"")</f>
        <v/>
      </c>
      <c r="BH176" s="903" t="str">
        <f>IF(CAPEX!Q196&lt;&gt;"",CAPEX!Q196,"")</f>
        <v/>
      </c>
      <c r="BI176" s="903" t="str">
        <f>IF(CAPEX!R196&lt;&gt;"",CAPEX!R196,"")</f>
        <v/>
      </c>
      <c r="BJ176" s="436"/>
      <c r="BK176" s="249"/>
      <c r="BL176" s="249"/>
      <c r="BM176" s="249"/>
      <c r="BN176" s="249"/>
      <c r="BO176" s="615"/>
      <c r="BP176" s="437"/>
    </row>
    <row r="177" spans="1:68" ht="13.5" customHeight="1" thickBot="1" x14ac:dyDescent="0.25">
      <c r="A177" s="437"/>
      <c r="B177" s="437"/>
      <c r="C177" s="437"/>
      <c r="D177" s="437"/>
      <c r="E177" s="437"/>
      <c r="F177" s="437"/>
      <c r="G177" s="437"/>
      <c r="H177" s="437"/>
      <c r="I177" s="437"/>
      <c r="J177" s="437"/>
      <c r="K177" s="437"/>
      <c r="L177" s="437"/>
      <c r="M177" s="437"/>
      <c r="N177" s="437"/>
      <c r="O177" s="437"/>
      <c r="P177" s="437"/>
      <c r="Q177" s="437"/>
      <c r="R177" s="437"/>
      <c r="S177" s="437"/>
      <c r="T177" s="437"/>
      <c r="U177" s="437"/>
      <c r="V177" s="437"/>
      <c r="W177" s="437"/>
      <c r="X177" s="437"/>
      <c r="Y177" s="437"/>
      <c r="Z177" s="437"/>
      <c r="AA177" s="437"/>
      <c r="AB177" s="437"/>
      <c r="AC177" s="437"/>
      <c r="AD177" s="437"/>
      <c r="AE177" s="437"/>
      <c r="AF177" s="437"/>
      <c r="AG177" s="437"/>
      <c r="AH177" s="437"/>
      <c r="AI177" s="437"/>
      <c r="AJ177" s="437"/>
      <c r="AK177" s="437"/>
      <c r="AL177" s="437"/>
      <c r="AM177" s="437"/>
      <c r="AN177" s="437"/>
      <c r="AO177" s="437"/>
      <c r="AP177" s="437"/>
      <c r="AQ177" s="437"/>
      <c r="AR177" s="437"/>
      <c r="AS177" s="641"/>
      <c r="AT177" s="448" t="str">
        <f>IF(CAPEX!A197&lt;&gt;"",CAPEX!A197,"")</f>
        <v>P</v>
      </c>
      <c r="AU177" s="1263">
        <f>IF(CAPEX!B197&lt;&gt;"",CAPEX!B197,"")</f>
        <v>826</v>
      </c>
      <c r="AV177" s="448" t="str">
        <f>IF(CAPEX!C197&lt;&gt;"",CAPEX!C197,"")</f>
        <v>BFW Pump</v>
      </c>
      <c r="AW177" s="648" t="s">
        <v>1724</v>
      </c>
      <c r="AX177" s="448" t="str">
        <f>IF(CAPEX!F197&lt;&gt;"",CAPEX!F197,"")</f>
        <v/>
      </c>
      <c r="AY177" s="1285" t="str">
        <f>IF(CAPEX!G197&lt;&gt;"",CAPEX!G197,"")</f>
        <v/>
      </c>
      <c r="AZ177" s="448" t="str">
        <f>IF(CAPEX!H197&lt;&gt;"",CAPEX!H197,"")</f>
        <v>SS316</v>
      </c>
      <c r="BA177" s="1285">
        <f>IF(CAPEX!J197&lt;&gt;"",CAPEX!J177,"")</f>
        <v>2</v>
      </c>
      <c r="BB177" s="293" t="str">
        <f>CAPEX!K197</f>
        <v>INCLUDED</v>
      </c>
      <c r="BC177" s="1273" t="str">
        <f>IF(CAPEX!L197&lt;&gt;"",CAPEX!L197,"")</f>
        <v/>
      </c>
      <c r="BD177" s="902" t="str">
        <f>IF(CAPEX!M197&lt;&gt;"",CAPEX!M197,"")</f>
        <v/>
      </c>
      <c r="BE177" s="902" t="str">
        <f>IF(CAPEX!N197&lt;&gt;"",CAPEX!N197,"")</f>
        <v/>
      </c>
      <c r="BF177" s="1291" t="str">
        <f>IF(CAPEX!O197&lt;&gt;"",CAPEX!O197,"")</f>
        <v/>
      </c>
      <c r="BG177" s="901" t="str">
        <f>IF(CAPEX!P197&lt;&gt;"",CAPEX!P197,"")</f>
        <v/>
      </c>
      <c r="BH177" s="903" t="str">
        <f>IF(CAPEX!Q197&lt;&gt;"",CAPEX!Q197,"")</f>
        <v/>
      </c>
      <c r="BI177" s="903" t="str">
        <f>IF(CAPEX!R197&lt;&gt;"",CAPEX!R197,"")</f>
        <v/>
      </c>
      <c r="BJ177" s="436"/>
      <c r="BK177" s="249"/>
      <c r="BL177" s="249"/>
      <c r="BM177" s="249"/>
      <c r="BN177" s="249"/>
      <c r="BO177" s="615"/>
      <c r="BP177" s="437"/>
    </row>
    <row r="178" spans="1:68" ht="13.5" customHeight="1" thickBot="1" x14ac:dyDescent="0.25">
      <c r="A178" s="437"/>
      <c r="B178" s="437"/>
      <c r="C178" s="437"/>
      <c r="D178" s="437"/>
      <c r="E178" s="437"/>
      <c r="F178" s="437"/>
      <c r="G178" s="437"/>
      <c r="H178" s="437"/>
      <c r="I178" s="437"/>
      <c r="J178" s="437"/>
      <c r="K178" s="437"/>
      <c r="L178" s="437"/>
      <c r="M178" s="437"/>
      <c r="N178" s="437"/>
      <c r="O178" s="437"/>
      <c r="P178" s="437"/>
      <c r="Q178" s="437"/>
      <c r="R178" s="437"/>
      <c r="S178" s="437"/>
      <c r="T178" s="437"/>
      <c r="U178" s="437"/>
      <c r="V178" s="437"/>
      <c r="W178" s="437"/>
      <c r="X178" s="437"/>
      <c r="Y178" s="437"/>
      <c r="Z178" s="437"/>
      <c r="AA178" s="437"/>
      <c r="AB178" s="437"/>
      <c r="AC178" s="437"/>
      <c r="AD178" s="437"/>
      <c r="AE178" s="437"/>
      <c r="AF178" s="437"/>
      <c r="AG178" s="437"/>
      <c r="AH178" s="437"/>
      <c r="AI178" s="437"/>
      <c r="AJ178" s="437"/>
      <c r="AK178" s="437"/>
      <c r="AL178" s="437"/>
      <c r="AM178" s="437"/>
      <c r="AN178" s="437"/>
      <c r="AO178" s="437"/>
      <c r="AP178" s="437"/>
      <c r="AQ178" s="437"/>
      <c r="AR178" s="437"/>
      <c r="AS178" s="641"/>
      <c r="AT178" s="448" t="str">
        <f>IF(CAPEX!A198&lt;&gt;"",CAPEX!A198,"")</f>
        <v>P</v>
      </c>
      <c r="AU178" s="1263">
        <f>IF(CAPEX!B198&lt;&gt;"",CAPEX!B198,"")</f>
        <v>828</v>
      </c>
      <c r="AV178" s="448" t="str">
        <f>IF(CAPEX!C198&lt;&gt;"",CAPEX!C198,"")</f>
        <v>Blowdown Pump</v>
      </c>
      <c r="AW178" s="648" t="s">
        <v>1724</v>
      </c>
      <c r="AX178" s="448" t="str">
        <f>IF(CAPEX!F198&lt;&gt;"",CAPEX!F198,"")</f>
        <v/>
      </c>
      <c r="AY178" s="1285" t="str">
        <f>IF(CAPEX!G198&lt;&gt;"",CAPEX!G198,"")</f>
        <v/>
      </c>
      <c r="AZ178" s="448" t="str">
        <f>IF(CAPEX!H198&lt;&gt;"",CAPEX!H198,"")</f>
        <v>CS</v>
      </c>
      <c r="BA178" s="1285">
        <f>IF(CAPEX!J198&lt;&gt;"",CAPEX!J178,"")</f>
        <v>1</v>
      </c>
      <c r="BB178" s="293" t="str">
        <f>CAPEX!K198</f>
        <v>INCLUDED</v>
      </c>
      <c r="BC178" s="1273" t="str">
        <f>IF(CAPEX!L198&lt;&gt;"",CAPEX!L198,"")</f>
        <v/>
      </c>
      <c r="BD178" s="902" t="str">
        <f>IF(CAPEX!M198&lt;&gt;"",CAPEX!M198,"")</f>
        <v/>
      </c>
      <c r="BE178" s="902" t="str">
        <f>IF(CAPEX!N198&lt;&gt;"",CAPEX!N198,"")</f>
        <v/>
      </c>
      <c r="BF178" s="1291" t="str">
        <f>IF(CAPEX!O198&lt;&gt;"",CAPEX!O198,"")</f>
        <v/>
      </c>
      <c r="BG178" s="901" t="str">
        <f>IF(CAPEX!P198&lt;&gt;"",CAPEX!P198,"")</f>
        <v/>
      </c>
      <c r="BH178" s="903" t="str">
        <f>IF(CAPEX!Q198&lt;&gt;"",CAPEX!Q198,"")</f>
        <v/>
      </c>
      <c r="BI178" s="903" t="str">
        <f>IF(CAPEX!R198&lt;&gt;"",CAPEX!R198,"")</f>
        <v/>
      </c>
      <c r="BJ178" s="436"/>
      <c r="BK178" s="249"/>
      <c r="BL178" s="249"/>
      <c r="BM178" s="249"/>
      <c r="BN178" s="249"/>
      <c r="BO178" s="615"/>
      <c r="BP178" s="437"/>
    </row>
    <row r="179" spans="1:68" ht="13.5" customHeight="1" thickBot="1" x14ac:dyDescent="0.25">
      <c r="A179" s="437"/>
      <c r="B179" s="437"/>
      <c r="C179" s="437"/>
      <c r="D179" s="437"/>
      <c r="E179" s="437"/>
      <c r="F179" s="437"/>
      <c r="G179" s="437"/>
      <c r="H179" s="437"/>
      <c r="I179" s="437"/>
      <c r="J179" s="437"/>
      <c r="K179" s="437"/>
      <c r="L179" s="437"/>
      <c r="M179" s="437"/>
      <c r="N179" s="437"/>
      <c r="O179" s="437"/>
      <c r="P179" s="437"/>
      <c r="Q179" s="437"/>
      <c r="R179" s="437"/>
      <c r="S179" s="437"/>
      <c r="T179" s="437"/>
      <c r="U179" s="437"/>
      <c r="V179" s="437"/>
      <c r="W179" s="437"/>
      <c r="X179" s="437"/>
      <c r="Y179" s="437"/>
      <c r="Z179" s="437"/>
      <c r="AA179" s="437"/>
      <c r="AB179" s="437"/>
      <c r="AC179" s="437"/>
      <c r="AD179" s="437"/>
      <c r="AE179" s="437"/>
      <c r="AF179" s="437"/>
      <c r="AG179" s="437"/>
      <c r="AH179" s="437"/>
      <c r="AI179" s="437"/>
      <c r="AJ179" s="437"/>
      <c r="AK179" s="437"/>
      <c r="AL179" s="437"/>
      <c r="AM179" s="437"/>
      <c r="AN179" s="437"/>
      <c r="AO179" s="437"/>
      <c r="AP179" s="437"/>
      <c r="AQ179" s="437"/>
      <c r="AR179" s="437"/>
      <c r="AS179" s="641"/>
      <c r="AT179" s="448" t="str">
        <f>IF(CAPEX!A199&lt;&gt;"",CAPEX!A199,"")</f>
        <v>P</v>
      </c>
      <c r="AU179" s="1263">
        <f>IF(CAPEX!B199&lt;&gt;"",CAPEX!B199,"")</f>
        <v>830</v>
      </c>
      <c r="AV179" s="448" t="str">
        <f>IF(CAPEX!C199&lt;&gt;"",CAPEX!C199,"")</f>
        <v>Amine Transfer Pump</v>
      </c>
      <c r="AW179" s="648" t="s">
        <v>1724</v>
      </c>
      <c r="AX179" s="448" t="str">
        <f>IF(CAPEX!F199&lt;&gt;"",CAPEX!F199,"")</f>
        <v/>
      </c>
      <c r="AY179" s="1285" t="str">
        <f>IF(CAPEX!G199&lt;&gt;"",CAPEX!G199,"")</f>
        <v/>
      </c>
      <c r="AZ179" s="448" t="str">
        <f>IF(CAPEX!H199&lt;&gt;"",CAPEX!H199,"")</f>
        <v>CS</v>
      </c>
      <c r="BA179" s="1285">
        <f>IF(CAPEX!J199&lt;&gt;"",CAPEX!J179,"")</f>
        <v>1</v>
      </c>
      <c r="BB179" s="293" t="str">
        <f>CAPEX!K199</f>
        <v>INCLUDED</v>
      </c>
      <c r="BC179" s="1273" t="str">
        <f>IF(CAPEX!L199&lt;&gt;"",CAPEX!L199,"")</f>
        <v/>
      </c>
      <c r="BD179" s="902" t="str">
        <f>IF(CAPEX!M199&lt;&gt;"",CAPEX!M199,"")</f>
        <v/>
      </c>
      <c r="BE179" s="902" t="str">
        <f>IF(CAPEX!N199&lt;&gt;"",CAPEX!N199,"")</f>
        <v/>
      </c>
      <c r="BF179" s="1291" t="str">
        <f>IF(CAPEX!O199&lt;&gt;"",CAPEX!O199,"")</f>
        <v/>
      </c>
      <c r="BG179" s="901" t="str">
        <f>IF(CAPEX!P199&lt;&gt;"",CAPEX!P199,"")</f>
        <v/>
      </c>
      <c r="BH179" s="903" t="str">
        <f>IF(CAPEX!Q199&lt;&gt;"",CAPEX!Q199,"")</f>
        <v/>
      </c>
      <c r="BI179" s="903" t="str">
        <f>IF(CAPEX!R199&lt;&gt;"",CAPEX!R199,"")</f>
        <v/>
      </c>
      <c r="BJ179" s="436"/>
      <c r="BK179" s="249"/>
      <c r="BL179" s="249"/>
      <c r="BM179" s="249"/>
      <c r="BN179" s="249"/>
      <c r="BO179" s="615"/>
      <c r="BP179" s="437"/>
    </row>
    <row r="180" spans="1:68" ht="13.5" customHeight="1" thickBot="1" x14ac:dyDescent="0.25">
      <c r="A180" s="437"/>
      <c r="B180" s="437"/>
      <c r="C180" s="437"/>
      <c r="D180" s="437"/>
      <c r="E180" s="437"/>
      <c r="F180" s="437"/>
      <c r="G180" s="437"/>
      <c r="H180" s="437"/>
      <c r="I180" s="437"/>
      <c r="J180" s="437"/>
      <c r="K180" s="437"/>
      <c r="L180" s="437"/>
      <c r="M180" s="437"/>
      <c r="N180" s="437"/>
      <c r="O180" s="437"/>
      <c r="P180" s="437"/>
      <c r="Q180" s="437"/>
      <c r="R180" s="437"/>
      <c r="S180" s="437"/>
      <c r="T180" s="437"/>
      <c r="U180" s="437"/>
      <c r="V180" s="437"/>
      <c r="W180" s="437"/>
      <c r="X180" s="437"/>
      <c r="Y180" s="437"/>
      <c r="Z180" s="437"/>
      <c r="AA180" s="437"/>
      <c r="AB180" s="437"/>
      <c r="AC180" s="437"/>
      <c r="AD180" s="437"/>
      <c r="AE180" s="437"/>
      <c r="AF180" s="437"/>
      <c r="AG180" s="437"/>
      <c r="AH180" s="437"/>
      <c r="AI180" s="437"/>
      <c r="AJ180" s="437"/>
      <c r="AK180" s="437"/>
      <c r="AL180" s="437"/>
      <c r="AM180" s="437"/>
      <c r="AN180" s="437"/>
      <c r="AO180" s="437"/>
      <c r="AP180" s="437"/>
      <c r="AQ180" s="437"/>
      <c r="AR180" s="437"/>
      <c r="AS180" s="641"/>
      <c r="AT180" s="448" t="str">
        <f>IF(CAPEX!A200&lt;&gt;"",CAPEX!A200,"")</f>
        <v>T</v>
      </c>
      <c r="AU180" s="1263">
        <f>IF(CAPEX!B200&lt;&gt;"",CAPEX!B200,"")</f>
        <v>804</v>
      </c>
      <c r="AV180" s="448" t="str">
        <f>IF(CAPEX!C200&lt;&gt;"",CAPEX!C200,"")</f>
        <v>Condensate Collection Tank</v>
      </c>
      <c r="AW180" s="648" t="s">
        <v>1724</v>
      </c>
      <c r="AX180" s="448" t="str">
        <f>IF(CAPEX!F200&lt;&gt;"",CAPEX!F200,"")</f>
        <v/>
      </c>
      <c r="AY180" s="1285" t="str">
        <f>IF(CAPEX!G200&lt;&gt;"",CAPEX!G200,"")</f>
        <v/>
      </c>
      <c r="AZ180" s="448" t="str">
        <f>IF(CAPEX!H200&lt;&gt;"",CAPEX!H200,"")</f>
        <v>A285C</v>
      </c>
      <c r="BA180" s="1285">
        <f>IF(CAPEX!J200&lt;&gt;"",CAPEX!J180,"")</f>
        <v>1</v>
      </c>
      <c r="BB180" s="293" t="str">
        <f>CAPEX!K200</f>
        <v>INCLUDED</v>
      </c>
      <c r="BC180" s="1273" t="str">
        <f>IF(CAPEX!L200&lt;&gt;"",CAPEX!L200,"")</f>
        <v/>
      </c>
      <c r="BD180" s="902" t="str">
        <f>IF(CAPEX!M200&lt;&gt;"",CAPEX!M200,"")</f>
        <v/>
      </c>
      <c r="BE180" s="902" t="str">
        <f>IF(CAPEX!N200&lt;&gt;"",CAPEX!N200,"")</f>
        <v/>
      </c>
      <c r="BF180" s="1291" t="str">
        <f>IF(CAPEX!O200&lt;&gt;"",CAPEX!O200,"")</f>
        <v/>
      </c>
      <c r="BG180" s="901" t="str">
        <f>IF(CAPEX!P200&lt;&gt;"",CAPEX!P200,"")</f>
        <v/>
      </c>
      <c r="BH180" s="903" t="str">
        <f>IF(CAPEX!Q200&lt;&gt;"",CAPEX!Q200,"")</f>
        <v/>
      </c>
      <c r="BI180" s="903" t="str">
        <f>IF(CAPEX!R200&lt;&gt;"",CAPEX!R200,"")</f>
        <v/>
      </c>
      <c r="BJ180" s="436"/>
      <c r="BK180" s="249"/>
      <c r="BL180" s="249"/>
      <c r="BM180" s="249"/>
      <c r="BN180" s="249"/>
      <c r="BO180" s="615"/>
      <c r="BP180" s="437"/>
    </row>
    <row r="181" spans="1:68" ht="13.5" customHeight="1" thickBot="1" x14ac:dyDescent="0.25">
      <c r="A181" s="437"/>
      <c r="B181" s="437"/>
      <c r="C181" s="437"/>
      <c r="D181" s="437"/>
      <c r="E181" s="437"/>
      <c r="F181" s="437"/>
      <c r="G181" s="437"/>
      <c r="H181" s="437"/>
      <c r="I181" s="437"/>
      <c r="J181" s="437"/>
      <c r="K181" s="437"/>
      <c r="L181" s="437"/>
      <c r="M181" s="437"/>
      <c r="N181" s="437"/>
      <c r="O181" s="437"/>
      <c r="P181" s="437"/>
      <c r="Q181" s="437"/>
      <c r="R181" s="437"/>
      <c r="S181" s="437"/>
      <c r="T181" s="437"/>
      <c r="U181" s="437"/>
      <c r="V181" s="437"/>
      <c r="W181" s="437"/>
      <c r="X181" s="437"/>
      <c r="Y181" s="437"/>
      <c r="Z181" s="437"/>
      <c r="AA181" s="437"/>
      <c r="AB181" s="437"/>
      <c r="AC181" s="437"/>
      <c r="AD181" s="437"/>
      <c r="AE181" s="437"/>
      <c r="AF181" s="437"/>
      <c r="AG181" s="437"/>
      <c r="AH181" s="437"/>
      <c r="AI181" s="437"/>
      <c r="AJ181" s="437"/>
      <c r="AK181" s="437"/>
      <c r="AL181" s="437"/>
      <c r="AM181" s="437"/>
      <c r="AN181" s="437"/>
      <c r="AO181" s="437"/>
      <c r="AP181" s="437"/>
      <c r="AQ181" s="437"/>
      <c r="AR181" s="437"/>
      <c r="AS181" s="641"/>
      <c r="AT181" s="448" t="str">
        <f>IF(CAPEX!A201&lt;&gt;"",CAPEX!A201,"")</f>
        <v>T</v>
      </c>
      <c r="AU181" s="1263">
        <f>IF(CAPEX!B201&lt;&gt;"",CAPEX!B201,"")</f>
        <v>824</v>
      </c>
      <c r="AV181" s="448" t="str">
        <f>IF(CAPEX!C201&lt;&gt;"",CAPEX!C201,"")</f>
        <v>Condensate Surge Drum</v>
      </c>
      <c r="AW181" s="648" t="s">
        <v>1724</v>
      </c>
      <c r="AX181" s="448" t="str">
        <f>IF(CAPEX!F201&lt;&gt;"",CAPEX!F201,"")</f>
        <v/>
      </c>
      <c r="AY181" s="1285" t="str">
        <f>IF(CAPEX!G201&lt;&gt;"",CAPEX!G201,"")</f>
        <v/>
      </c>
      <c r="AZ181" s="448" t="str">
        <f>IF(CAPEX!H201&lt;&gt;"",CAPEX!H201,"")</f>
        <v>SS304</v>
      </c>
      <c r="BA181" s="1285">
        <f>IF(CAPEX!J201&lt;&gt;"",CAPEX!J181,"")</f>
        <v>1</v>
      </c>
      <c r="BB181" s="293" t="str">
        <f>CAPEX!K201</f>
        <v>INCLUDED</v>
      </c>
      <c r="BC181" s="1273" t="str">
        <f>IF(CAPEX!L201&lt;&gt;"",CAPEX!L201,"")</f>
        <v/>
      </c>
      <c r="BD181" s="902" t="str">
        <f>IF(CAPEX!M201&lt;&gt;"",CAPEX!M201,"")</f>
        <v/>
      </c>
      <c r="BE181" s="902" t="str">
        <f>IF(CAPEX!N201&lt;&gt;"",CAPEX!N201,"")</f>
        <v/>
      </c>
      <c r="BF181" s="1291" t="str">
        <f>IF(CAPEX!O201&lt;&gt;"",CAPEX!O201,"")</f>
        <v/>
      </c>
      <c r="BG181" s="901" t="str">
        <f>IF(CAPEX!P201&lt;&gt;"",CAPEX!P201,"")</f>
        <v/>
      </c>
      <c r="BH181" s="903" t="str">
        <f>IF(CAPEX!Q201&lt;&gt;"",CAPEX!Q201,"")</f>
        <v/>
      </c>
      <c r="BI181" s="903" t="str">
        <f>IF(CAPEX!R201&lt;&gt;"",CAPEX!R201,"")</f>
        <v/>
      </c>
      <c r="BJ181" s="436"/>
      <c r="BK181" s="249"/>
      <c r="BL181" s="249"/>
      <c r="BM181" s="249"/>
      <c r="BN181" s="249"/>
      <c r="BO181" s="615"/>
      <c r="BP181" s="437"/>
    </row>
    <row r="182" spans="1:68" ht="13.5" customHeight="1" thickBot="1" x14ac:dyDescent="0.25">
      <c r="A182" s="437"/>
      <c r="B182" s="437"/>
      <c r="C182" s="437"/>
      <c r="D182" s="437"/>
      <c r="E182" s="437"/>
      <c r="F182" s="437"/>
      <c r="G182" s="437"/>
      <c r="H182" s="437"/>
      <c r="I182" s="437"/>
      <c r="J182" s="437"/>
      <c r="K182" s="437"/>
      <c r="L182" s="437"/>
      <c r="M182" s="437"/>
      <c r="N182" s="437"/>
      <c r="O182" s="437"/>
      <c r="P182" s="437"/>
      <c r="Q182" s="437"/>
      <c r="R182" s="437"/>
      <c r="S182" s="437"/>
      <c r="T182" s="437"/>
      <c r="U182" s="437"/>
      <c r="V182" s="437"/>
      <c r="W182" s="437"/>
      <c r="X182" s="437"/>
      <c r="Y182" s="437"/>
      <c r="Z182" s="437"/>
      <c r="AA182" s="437"/>
      <c r="AB182" s="437"/>
      <c r="AC182" s="437"/>
      <c r="AD182" s="437"/>
      <c r="AE182" s="437"/>
      <c r="AF182" s="437"/>
      <c r="AG182" s="437"/>
      <c r="AH182" s="437"/>
      <c r="AI182" s="437"/>
      <c r="AJ182" s="437"/>
      <c r="AK182" s="437"/>
      <c r="AL182" s="437"/>
      <c r="AM182" s="437"/>
      <c r="AN182" s="437"/>
      <c r="AO182" s="437"/>
      <c r="AP182" s="437"/>
      <c r="AQ182" s="437"/>
      <c r="AR182" s="437"/>
      <c r="AS182" s="641"/>
      <c r="AT182" s="448" t="str">
        <f>IF(CAPEX!A202&lt;&gt;"",CAPEX!A202,"")</f>
        <v>T</v>
      </c>
      <c r="AU182" s="1263">
        <f>IF(CAPEX!B202&lt;&gt;"",CAPEX!B202,"")</f>
        <v>826</v>
      </c>
      <c r="AV182" s="448" t="str">
        <f>IF(CAPEX!C202&lt;&gt;"",CAPEX!C202,"")</f>
        <v>Deaerator</v>
      </c>
      <c r="AW182" s="648" t="s">
        <v>1724</v>
      </c>
      <c r="AX182" s="448" t="str">
        <f>IF(CAPEX!F202&lt;&gt;"",CAPEX!F202,"")</f>
        <v>Tray type</v>
      </c>
      <c r="AY182" s="1285" t="str">
        <f>IF(CAPEX!G202&lt;&gt;"",CAPEX!G202,"")</f>
        <v/>
      </c>
      <c r="AZ182" s="448" t="str">
        <f>IF(CAPEX!H202&lt;&gt;"",CAPEX!H202,"")</f>
        <v>CS;SS316</v>
      </c>
      <c r="BA182" s="1285">
        <f>IF(CAPEX!J202&lt;&gt;"",CAPEX!J182,"")</f>
        <v>0</v>
      </c>
      <c r="BB182" s="293">
        <f>CAPEX!K202</f>
        <v>305000</v>
      </c>
      <c r="BC182" s="1272">
        <f>IF(CAPEX!L202&lt;&gt;"",CAPEX!L202,"")</f>
        <v>2010</v>
      </c>
      <c r="BD182" s="905">
        <f>IF(CAPEX!M202&lt;&gt;"",CAPEX!M202,"")</f>
        <v>305000</v>
      </c>
      <c r="BE182" s="900" t="str">
        <f>IF(CAPEX!N202&lt;&gt;"",CAPEX!N202,"")</f>
        <v>strm.a800.a810.812</v>
      </c>
      <c r="BF182" s="1294">
        <f>IF(CAPEX!O202&lt;&gt;"",CAPEX!O202,"")</f>
        <v>235803</v>
      </c>
      <c r="BG182" s="908" t="str">
        <f>IF(CAPEX!P202&lt;&gt;"",CAPEX!P202,"")</f>
        <v>kg/hr</v>
      </c>
      <c r="BH182" s="907">
        <f>IF(CAPEX!Q202&lt;&gt;"",CAPEX!Q202,"")</f>
        <v>0.6</v>
      </c>
      <c r="BI182" s="907">
        <f>IF(CAPEX!R202&lt;&gt;"",CAPEX!R202,"")</f>
        <v>3</v>
      </c>
      <c r="BJ182" s="436">
        <f ca="1">IF(BE182&lt;&gt;"",VLOOKUP(BE182,INDIRECT(LU_SENS),2,FALSE),"")</f>
        <v>235125.15599999999</v>
      </c>
      <c r="BK182" s="239">
        <f ca="1">BJ182/BF182</f>
        <v>0.9971253800842228</v>
      </c>
      <c r="BL182" s="238">
        <f ca="1">BD182*BK182^BH182</f>
        <v>304473.64170709753</v>
      </c>
      <c r="BM182" s="238">
        <f ca="1">BL182*VLOOKUP($J$34,INDIRECT(IX_CAP),4,FALSE)/VLOOKUP(BC182,INDIRECT(IX_CAP),4,FALSE)</f>
        <v>290432.91821515805</v>
      </c>
      <c r="BN182" s="238">
        <f ca="1">BM182*BI182</f>
        <v>871298.75464547414</v>
      </c>
      <c r="BO182" s="615"/>
      <c r="BP182" s="437"/>
    </row>
    <row r="183" spans="1:68" ht="13.5" customHeight="1" thickBot="1" x14ac:dyDescent="0.25">
      <c r="A183" s="437"/>
      <c r="B183" s="437"/>
      <c r="C183" s="437"/>
      <c r="D183" s="437"/>
      <c r="E183" s="437"/>
      <c r="F183" s="437"/>
      <c r="G183" s="437"/>
      <c r="H183" s="437"/>
      <c r="I183" s="437"/>
      <c r="J183" s="437"/>
      <c r="K183" s="437"/>
      <c r="L183" s="437"/>
      <c r="M183" s="437"/>
      <c r="N183" s="437"/>
      <c r="O183" s="437"/>
      <c r="P183" s="437"/>
      <c r="Q183" s="437"/>
      <c r="R183" s="437"/>
      <c r="S183" s="437"/>
      <c r="T183" s="437"/>
      <c r="U183" s="437"/>
      <c r="V183" s="437"/>
      <c r="W183" s="437"/>
      <c r="X183" s="437"/>
      <c r="Y183" s="437"/>
      <c r="Z183" s="437"/>
      <c r="AA183" s="437"/>
      <c r="AB183" s="437"/>
      <c r="AC183" s="437"/>
      <c r="AD183" s="437"/>
      <c r="AE183" s="437"/>
      <c r="AF183" s="437"/>
      <c r="AG183" s="437"/>
      <c r="AH183" s="437"/>
      <c r="AI183" s="437"/>
      <c r="AJ183" s="437"/>
      <c r="AK183" s="437"/>
      <c r="AL183" s="437"/>
      <c r="AM183" s="437"/>
      <c r="AN183" s="437"/>
      <c r="AO183" s="437"/>
      <c r="AP183" s="437"/>
      <c r="AQ183" s="437"/>
      <c r="AR183" s="437"/>
      <c r="AS183" s="641"/>
      <c r="AT183" s="448" t="str">
        <f>IF(CAPEX!A203&lt;&gt;"",CAPEX!A203,"")</f>
        <v>T</v>
      </c>
      <c r="AU183" s="1263">
        <f>IF(CAPEX!B203&lt;&gt;"",CAPEX!B203,"")</f>
        <v>828</v>
      </c>
      <c r="AV183" s="448" t="str">
        <f>IF(CAPEX!C203&lt;&gt;"",CAPEX!C203,"")</f>
        <v>Blowdown Flash Drum</v>
      </c>
      <c r="AW183" s="648" t="s">
        <v>1724</v>
      </c>
      <c r="AX183" s="448" t="str">
        <f>IF(CAPEX!F203&lt;&gt;"",CAPEX!F203,"")</f>
        <v/>
      </c>
      <c r="AY183" s="1285" t="str">
        <f>IF(CAPEX!G203&lt;&gt;"",CAPEX!G203,"")</f>
        <v/>
      </c>
      <c r="AZ183" s="448" t="str">
        <f>IF(CAPEX!H203&lt;&gt;"",CAPEX!H203,"")</f>
        <v>CS</v>
      </c>
      <c r="BA183" s="1285">
        <f>IF(CAPEX!J203&lt;&gt;"",CAPEX!J183,"")</f>
        <v>1</v>
      </c>
      <c r="BB183" s="293" t="str">
        <f>CAPEX!K203</f>
        <v>INCLUDED</v>
      </c>
      <c r="BC183" s="1273" t="str">
        <f>IF(CAPEX!L203&lt;&gt;"",CAPEX!L203,"")</f>
        <v/>
      </c>
      <c r="BD183" s="902" t="str">
        <f>IF(CAPEX!M203&lt;&gt;"",CAPEX!M203,"")</f>
        <v/>
      </c>
      <c r="BE183" s="902" t="str">
        <f>IF(CAPEX!N203&lt;&gt;"",CAPEX!N203,"")</f>
        <v/>
      </c>
      <c r="BF183" s="1291" t="str">
        <f>IF(CAPEX!O203&lt;&gt;"",CAPEX!O203,"")</f>
        <v/>
      </c>
      <c r="BG183" s="901" t="str">
        <f>IF(CAPEX!P203&lt;&gt;"",CAPEX!P203,"")</f>
        <v/>
      </c>
      <c r="BH183" s="903" t="str">
        <f>IF(CAPEX!Q203&lt;&gt;"",CAPEX!Q203,"")</f>
        <v/>
      </c>
      <c r="BI183" s="903" t="str">
        <f>IF(CAPEX!R203&lt;&gt;"",CAPEX!R203,"")</f>
        <v/>
      </c>
      <c r="BJ183" s="436"/>
      <c r="BK183" s="249"/>
      <c r="BL183" s="249"/>
      <c r="BM183" s="249"/>
      <c r="BN183" s="249"/>
      <c r="BO183" s="615"/>
      <c r="BP183" s="437"/>
    </row>
    <row r="184" spans="1:68" ht="13.5" customHeight="1" x14ac:dyDescent="0.2">
      <c r="A184" s="437"/>
      <c r="B184" s="437"/>
      <c r="C184" s="437"/>
      <c r="D184" s="437"/>
      <c r="E184" s="437"/>
      <c r="F184" s="437"/>
      <c r="G184" s="437"/>
      <c r="H184" s="437"/>
      <c r="I184" s="437"/>
      <c r="J184" s="437"/>
      <c r="K184" s="437"/>
      <c r="L184" s="437"/>
      <c r="M184" s="437"/>
      <c r="N184" s="437"/>
      <c r="O184" s="437"/>
      <c r="P184" s="437"/>
      <c r="Q184" s="437"/>
      <c r="R184" s="437"/>
      <c r="S184" s="437"/>
      <c r="T184" s="437"/>
      <c r="U184" s="437"/>
      <c r="V184" s="437"/>
      <c r="W184" s="437"/>
      <c r="X184" s="437"/>
      <c r="Y184" s="437"/>
      <c r="Z184" s="437"/>
      <c r="AA184" s="437"/>
      <c r="AB184" s="437"/>
      <c r="AC184" s="437"/>
      <c r="AD184" s="437"/>
      <c r="AE184" s="437"/>
      <c r="AF184" s="437"/>
      <c r="AG184" s="437"/>
      <c r="AH184" s="437"/>
      <c r="AI184" s="437"/>
      <c r="AJ184" s="437"/>
      <c r="AK184" s="437"/>
      <c r="AL184" s="437"/>
      <c r="AM184" s="437"/>
      <c r="AN184" s="437"/>
      <c r="AO184" s="437"/>
      <c r="AP184" s="437"/>
      <c r="AQ184" s="437"/>
      <c r="AR184" s="437"/>
      <c r="AS184" s="641"/>
      <c r="AT184" s="448" t="str">
        <f>IF(CAPEX!A204&lt;&gt;"",CAPEX!A204,"")</f>
        <v>T</v>
      </c>
      <c r="AU184" s="1263">
        <f>IF(CAPEX!B204&lt;&gt;"",CAPEX!B204,"")</f>
        <v>830</v>
      </c>
      <c r="AV184" s="448" t="str">
        <f>IF(CAPEX!C204&lt;&gt;"",CAPEX!C204,"")</f>
        <v>Amine Drum</v>
      </c>
      <c r="AW184" s="648" t="s">
        <v>1724</v>
      </c>
      <c r="AX184" s="448" t="str">
        <f>IF(CAPEX!F204&lt;&gt;"",CAPEX!F204,"")</f>
        <v/>
      </c>
      <c r="AY184" s="1285" t="str">
        <f>IF(CAPEX!G204&lt;&gt;"",CAPEX!G204,"")</f>
        <v/>
      </c>
      <c r="AZ184" s="448" t="str">
        <f>IF(CAPEX!H204&lt;&gt;"",CAPEX!H204,"")</f>
        <v>SS316</v>
      </c>
      <c r="BA184" s="1285">
        <f>IF(CAPEX!J204&lt;&gt;"",CAPEX!J184,"")</f>
        <v>1</v>
      </c>
      <c r="BB184" s="293" t="str">
        <f>CAPEX!K204</f>
        <v>INCLUDED</v>
      </c>
      <c r="BC184" s="1273" t="str">
        <f>IF(CAPEX!L204&lt;&gt;"",CAPEX!L204,"")</f>
        <v/>
      </c>
      <c r="BD184" s="902" t="str">
        <f>IF(CAPEX!M204&lt;&gt;"",CAPEX!M204,"")</f>
        <v/>
      </c>
      <c r="BE184" s="902" t="str">
        <f>IF(CAPEX!N204&lt;&gt;"",CAPEX!N204,"")</f>
        <v/>
      </c>
      <c r="BF184" s="1291" t="str">
        <f>IF(CAPEX!O204&lt;&gt;"",CAPEX!O204,"")</f>
        <v/>
      </c>
      <c r="BG184" s="901" t="str">
        <f>IF(CAPEX!P204&lt;&gt;"",CAPEX!P204,"")</f>
        <v/>
      </c>
      <c r="BH184" s="903" t="str">
        <f>IF(CAPEX!Q204&lt;&gt;"",CAPEX!Q204,"")</f>
        <v/>
      </c>
      <c r="BI184" s="903" t="str">
        <f>IF(CAPEX!R204&lt;&gt;"",CAPEX!R204,"")</f>
        <v/>
      </c>
      <c r="BJ184" s="436"/>
      <c r="BK184" s="249"/>
      <c r="BL184" s="249"/>
      <c r="BM184" s="249"/>
      <c r="BN184" s="249"/>
      <c r="BO184" s="615"/>
      <c r="BP184" s="437"/>
    </row>
    <row r="185" spans="1:68" ht="13.5" customHeight="1" thickBot="1" x14ac:dyDescent="0.25">
      <c r="A185" s="437"/>
      <c r="B185" s="437"/>
      <c r="C185" s="437"/>
      <c r="D185" s="437"/>
      <c r="E185" s="437"/>
      <c r="F185" s="437"/>
      <c r="G185" s="437"/>
      <c r="H185" s="437"/>
      <c r="I185" s="437"/>
      <c r="J185" s="437"/>
      <c r="K185" s="437"/>
      <c r="L185" s="437"/>
      <c r="M185" s="437"/>
      <c r="N185" s="437"/>
      <c r="O185" s="437"/>
      <c r="P185" s="437"/>
      <c r="Q185" s="437"/>
      <c r="R185" s="437"/>
      <c r="S185" s="437"/>
      <c r="T185" s="437"/>
      <c r="U185" s="437"/>
      <c r="V185" s="437"/>
      <c r="W185" s="437"/>
      <c r="X185" s="437"/>
      <c r="Y185" s="437"/>
      <c r="Z185" s="437"/>
      <c r="AA185" s="437"/>
      <c r="AB185" s="437"/>
      <c r="AC185" s="437"/>
      <c r="AD185" s="437"/>
      <c r="AE185" s="437"/>
      <c r="AF185" s="437"/>
      <c r="AG185" s="437"/>
      <c r="AH185" s="437"/>
      <c r="AI185" s="437"/>
      <c r="AJ185" s="437"/>
      <c r="AK185" s="437"/>
      <c r="AL185" s="437"/>
      <c r="AM185" s="437"/>
      <c r="AN185" s="437"/>
      <c r="AO185" s="437"/>
      <c r="AP185" s="437"/>
      <c r="AQ185" s="437"/>
      <c r="AR185" s="437"/>
      <c r="AS185" s="641"/>
      <c r="AT185" s="222"/>
      <c r="AU185" s="1266"/>
      <c r="AV185" s="612"/>
      <c r="AW185" s="613"/>
      <c r="AX185" s="614"/>
      <c r="AY185" s="1304"/>
      <c r="AZ185" s="423"/>
      <c r="BA185" s="1286"/>
      <c r="BB185" s="224"/>
      <c r="BC185" s="1279"/>
      <c r="BD185" s="243">
        <f>SUM(BD164:BD184)</f>
        <v>38514000</v>
      </c>
      <c r="BE185" s="433"/>
      <c r="BF185" s="1298"/>
      <c r="BG185" s="432"/>
      <c r="BH185" s="457"/>
      <c r="BI185" s="469"/>
      <c r="BJ185" s="460"/>
      <c r="BK185" s="428"/>
      <c r="BL185" s="243">
        <f ca="1">SUM(BL164:BL184)</f>
        <v>38111487.180792823</v>
      </c>
      <c r="BM185" s="243">
        <f ca="1">SUM(BM164:BM184)</f>
        <v>36356071.310966238</v>
      </c>
      <c r="BN185" s="244">
        <f ca="1">SUM(BN164:BN184)</f>
        <v>65805347.00750275</v>
      </c>
      <c r="BO185" s="615"/>
      <c r="BP185" s="437"/>
    </row>
    <row r="186" spans="1:68" ht="13.5" customHeight="1" thickBot="1" x14ac:dyDescent="0.25">
      <c r="A186" s="437"/>
      <c r="B186" s="437"/>
      <c r="C186" s="437"/>
      <c r="D186" s="437"/>
      <c r="E186" s="437"/>
      <c r="F186" s="437"/>
      <c r="G186" s="437"/>
      <c r="H186" s="437"/>
      <c r="I186" s="437"/>
      <c r="J186" s="437"/>
      <c r="K186" s="437"/>
      <c r="L186" s="437"/>
      <c r="M186" s="437"/>
      <c r="N186" s="437"/>
      <c r="O186" s="437"/>
      <c r="P186" s="437"/>
      <c r="Q186" s="437"/>
      <c r="R186" s="437"/>
      <c r="S186" s="437"/>
      <c r="T186" s="437"/>
      <c r="U186" s="437"/>
      <c r="V186" s="437"/>
      <c r="W186" s="437"/>
      <c r="X186" s="437"/>
      <c r="Y186" s="437"/>
      <c r="Z186" s="437"/>
      <c r="AA186" s="437"/>
      <c r="AB186" s="437"/>
      <c r="AC186" s="437"/>
      <c r="AD186" s="437"/>
      <c r="AE186" s="437"/>
      <c r="AF186" s="437"/>
      <c r="AG186" s="437"/>
      <c r="AH186" s="437"/>
      <c r="AI186" s="437"/>
      <c r="AJ186" s="437"/>
      <c r="AK186" s="437"/>
      <c r="AL186" s="437"/>
      <c r="AM186" s="437"/>
      <c r="AN186" s="437"/>
      <c r="AO186" s="437"/>
      <c r="AP186" s="437"/>
      <c r="AQ186" s="437"/>
      <c r="AR186" s="437"/>
      <c r="AS186" s="641"/>
      <c r="AT186" s="448" t="str">
        <f>IF(CAPEX!A206&lt;&gt;"",CAPEX!A206,"")</f>
        <v>M</v>
      </c>
      <c r="AU186" s="1263">
        <f>IF(CAPEX!B206&lt;&gt;"",CAPEX!B206,"")</f>
        <v>902</v>
      </c>
      <c r="AV186" s="448" t="str">
        <f>IF(CAPEX!C206&lt;&gt;"",CAPEX!C206,"")</f>
        <v>Cooling Tower System</v>
      </c>
      <c r="AW186" s="648" t="s">
        <v>971</v>
      </c>
      <c r="AX186" s="448" t="str">
        <f>IF(CAPEX!F206&lt;&gt;"",CAPEX!F206,"")</f>
        <v>44,200 gpm</v>
      </c>
      <c r="AY186" s="1285" t="str">
        <f>IF(CAPEX!G206&lt;&gt;"",CAPEX!G206,"")</f>
        <v>750 hp</v>
      </c>
      <c r="AZ186" s="448" t="str">
        <f>IF(CAPEX!H206&lt;&gt;"",CAPEX!H206,"")</f>
        <v>FIBERGLASS</v>
      </c>
      <c r="BA186" s="1285">
        <f>IF(CAPEX!J206&lt;&gt;"",CAPEX!J187,"")</f>
        <v>1</v>
      </c>
      <c r="BB186" s="293">
        <f>CAPEX!K206</f>
        <v>1375000</v>
      </c>
      <c r="BC186" s="1272">
        <f>IF(CAPEX!L206&lt;&gt;"",CAPEX!L206,"")</f>
        <v>2010</v>
      </c>
      <c r="BD186" s="899">
        <f>IF(CAPEX!M206&lt;&gt;"",CAPEX!M206,"")</f>
        <v>1375000</v>
      </c>
      <c r="BE186" s="900" t="str">
        <f>IF(CAPEX!N206&lt;&gt;"",CAPEX!N206,"")</f>
        <v>strm.a900.945</v>
      </c>
      <c r="BF186" s="1293">
        <f>IF(CAPEX!O206&lt;&gt;"",CAPEX!O206,"")</f>
        <v>10037820</v>
      </c>
      <c r="BG186" s="898" t="str">
        <f>IF(CAPEX!P206&lt;&gt;"",CAPEX!P206,"")</f>
        <v>kg/hr</v>
      </c>
      <c r="BH186" s="907">
        <f>IF(CAPEX!Q206&lt;&gt;"",CAPEX!Q206,"")</f>
        <v>0.6</v>
      </c>
      <c r="BI186" s="907">
        <f>IF(CAPEX!R206&lt;&gt;"",CAPEX!R206,"")</f>
        <v>1.5</v>
      </c>
      <c r="BJ186" s="436">
        <f t="shared" ref="BJ186:BJ195" ca="1" si="94">IF(BE186&lt;&gt;"",VLOOKUP(BE186,INDIRECT(LU_SENS),2,FALSE),"")</f>
        <v>11106722.800000001</v>
      </c>
      <c r="BK186" s="239">
        <f t="shared" ref="BK186:BK195" ca="1" si="95">BJ186/BF186</f>
        <v>1.106487544108183</v>
      </c>
      <c r="BL186" s="238">
        <f t="shared" ref="BL186:BL195" ca="1" si="96">BD186*BK186^BH186</f>
        <v>1461068.6282966456</v>
      </c>
      <c r="BM186" s="238">
        <f t="shared" ref="BM186:BM195" ca="1" si="97">BL186*VLOOKUP($J$34,INDIRECT(IX_CAP),4,FALSE)/VLOOKUP(BC186,INDIRECT(IX_CAP),4,FALSE)</f>
        <v>1393691.8251762122</v>
      </c>
      <c r="BN186" s="238">
        <f t="shared" ref="BN186:BN195" ca="1" si="98">BM186*BI186</f>
        <v>2090537.7377643185</v>
      </c>
      <c r="BO186" s="615"/>
      <c r="BP186" s="437"/>
    </row>
    <row r="187" spans="1:68" ht="13.5" customHeight="1" thickBot="1" x14ac:dyDescent="0.25">
      <c r="A187" s="437"/>
      <c r="B187" s="437"/>
      <c r="C187" s="437"/>
      <c r="D187" s="437"/>
      <c r="E187" s="437"/>
      <c r="F187" s="437"/>
      <c r="G187" s="437"/>
      <c r="H187" s="437"/>
      <c r="I187" s="437"/>
      <c r="J187" s="437"/>
      <c r="K187" s="437"/>
      <c r="L187" s="437"/>
      <c r="M187" s="437"/>
      <c r="N187" s="437"/>
      <c r="O187" s="437"/>
      <c r="P187" s="437"/>
      <c r="Q187" s="437"/>
      <c r="R187" s="437"/>
      <c r="S187" s="437"/>
      <c r="T187" s="437"/>
      <c r="U187" s="437"/>
      <c r="V187" s="437"/>
      <c r="W187" s="437"/>
      <c r="X187" s="437"/>
      <c r="Y187" s="437"/>
      <c r="Z187" s="437"/>
      <c r="AA187" s="437"/>
      <c r="AB187" s="437"/>
      <c r="AC187" s="437"/>
      <c r="AD187" s="437"/>
      <c r="AE187" s="437"/>
      <c r="AF187" s="437"/>
      <c r="AG187" s="437"/>
      <c r="AH187" s="437"/>
      <c r="AI187" s="437"/>
      <c r="AJ187" s="437"/>
      <c r="AK187" s="437"/>
      <c r="AL187" s="437"/>
      <c r="AM187" s="437"/>
      <c r="AN187" s="437"/>
      <c r="AO187" s="437"/>
      <c r="AP187" s="437"/>
      <c r="AQ187" s="437"/>
      <c r="AR187" s="437"/>
      <c r="AS187" s="641"/>
      <c r="AT187" s="448" t="str">
        <f>IF(CAPEX!A207&lt;&gt;"",CAPEX!A207,"")</f>
        <v>M</v>
      </c>
      <c r="AU187" s="1263">
        <f>IF(CAPEX!B207&lt;&gt;"",CAPEX!B207,"")</f>
        <v>904</v>
      </c>
      <c r="AV187" s="448" t="str">
        <f>IF(CAPEX!C207&lt;&gt;"",CAPEX!C207,"")</f>
        <v>Plant Air Compressor</v>
      </c>
      <c r="AW187" s="648" t="s">
        <v>1061</v>
      </c>
      <c r="AX187" s="448" t="str">
        <f>IF(CAPEX!F207&lt;&gt;"",CAPEX!F207,"")</f>
        <v>400 SCFM@125 psig</v>
      </c>
      <c r="AY187" s="1285" t="str">
        <f>IF(CAPEX!G207&lt;&gt;"",CAPEX!G207,"")</f>
        <v>150 hp</v>
      </c>
      <c r="AZ187" s="448" t="str">
        <f>IF(CAPEX!H207&lt;&gt;"",CAPEX!H207,"")</f>
        <v/>
      </c>
      <c r="BA187" s="1285">
        <f>IF(CAPEX!J207&lt;&gt;"",CAPEX!J188,"")</f>
        <v>0</v>
      </c>
      <c r="BB187" s="293">
        <f>CAPEX!K207</f>
        <v>28000</v>
      </c>
      <c r="BC187" s="1272">
        <f>IF(CAPEX!L207&lt;&gt;"",CAPEX!L207,"")</f>
        <v>2010</v>
      </c>
      <c r="BD187" s="905">
        <f>IF(CAPEX!M207&lt;&gt;"",CAPEX!M207,"")</f>
        <v>28000</v>
      </c>
      <c r="BE187" s="900" t="str">
        <f>IF(CAPEX!N207&lt;&gt;"",CAPEX!N207,"")</f>
        <v>DRY101</v>
      </c>
      <c r="BF187" s="1294">
        <f>IF(CAPEX!O207&lt;&gt;"",CAPEX!O207,"")</f>
        <v>83333</v>
      </c>
      <c r="BG187" s="908" t="str">
        <f>IF(CAPEX!P207&lt;&gt;"",CAPEX!P207,"")</f>
        <v>kg/hr</v>
      </c>
      <c r="BH187" s="907">
        <f>IF(CAPEX!Q207&lt;&gt;"",CAPEX!Q207,"")</f>
        <v>0.6</v>
      </c>
      <c r="BI187" s="907">
        <f>IF(CAPEX!R207&lt;&gt;"",CAPEX!R207,"")</f>
        <v>1.6</v>
      </c>
      <c r="BJ187" s="436">
        <f t="shared" ca="1" si="94"/>
        <v>83333.333299999998</v>
      </c>
      <c r="BK187" s="239">
        <f t="shared" ca="1" si="95"/>
        <v>1.0000039996159984</v>
      </c>
      <c r="BL187" s="238">
        <f t="shared" ca="1" si="96"/>
        <v>28000.067193495026</v>
      </c>
      <c r="BM187" s="238">
        <f t="shared" ca="1" si="97"/>
        <v>26708.851313475465</v>
      </c>
      <c r="BN187" s="238">
        <f t="shared" ca="1" si="98"/>
        <v>42734.162101560745</v>
      </c>
      <c r="BO187" s="615"/>
      <c r="BP187" s="437"/>
    </row>
    <row r="188" spans="1:68" ht="13.5" customHeight="1" thickBot="1" x14ac:dyDescent="0.25">
      <c r="A188" s="437"/>
      <c r="B188" s="437"/>
      <c r="C188" s="437"/>
      <c r="D188" s="437"/>
      <c r="E188" s="437"/>
      <c r="F188" s="437"/>
      <c r="G188" s="437"/>
      <c r="H188" s="437"/>
      <c r="I188" s="437"/>
      <c r="J188" s="437"/>
      <c r="K188" s="437"/>
      <c r="L188" s="437"/>
      <c r="M188" s="437"/>
      <c r="N188" s="437"/>
      <c r="O188" s="437"/>
      <c r="P188" s="437"/>
      <c r="Q188" s="437"/>
      <c r="R188" s="437"/>
      <c r="S188" s="437"/>
      <c r="T188" s="437"/>
      <c r="U188" s="437"/>
      <c r="V188" s="437"/>
      <c r="W188" s="437"/>
      <c r="X188" s="437"/>
      <c r="Y188" s="437"/>
      <c r="Z188" s="437"/>
      <c r="AA188" s="437"/>
      <c r="AB188" s="437"/>
      <c r="AC188" s="437"/>
      <c r="AD188" s="437"/>
      <c r="AE188" s="437"/>
      <c r="AF188" s="437"/>
      <c r="AG188" s="437"/>
      <c r="AH188" s="437"/>
      <c r="AI188" s="437"/>
      <c r="AJ188" s="437"/>
      <c r="AK188" s="437"/>
      <c r="AL188" s="437"/>
      <c r="AM188" s="437"/>
      <c r="AN188" s="437"/>
      <c r="AO188" s="437"/>
      <c r="AP188" s="437"/>
      <c r="AQ188" s="437"/>
      <c r="AR188" s="437"/>
      <c r="AS188" s="641"/>
      <c r="AT188" s="448" t="str">
        <f>IF(CAPEX!A208&lt;&gt;"",CAPEX!A208,"")</f>
        <v>M</v>
      </c>
      <c r="AU188" s="1263">
        <f>IF(CAPEX!B208&lt;&gt;"",CAPEX!B208,"")</f>
        <v>908</v>
      </c>
      <c r="AV188" s="448" t="str">
        <f>IF(CAPEX!C208&lt;&gt;"",CAPEX!C208,"")</f>
        <v>Chilled Water Package</v>
      </c>
      <c r="AW188" s="648" t="s">
        <v>1730</v>
      </c>
      <c r="AX188" s="448" t="str">
        <f>IF(CAPEX!F208&lt;&gt;"",CAPEX!F208,"")</f>
        <v>2 x 2350 tons (14.2 MM kcal/hr)</v>
      </c>
      <c r="AY188" s="1285" t="str">
        <f>IF(CAPEX!G208&lt;&gt;"",CAPEX!G208,"")</f>
        <v>3400 hp</v>
      </c>
      <c r="AZ188" s="448" t="str">
        <f>IF(CAPEX!H208&lt;&gt;"",CAPEX!H208,"")</f>
        <v/>
      </c>
      <c r="BA188" s="1285">
        <f>IF(CAPEX!J208&lt;&gt;"",CAPEX!J189,"")</f>
        <v>1</v>
      </c>
      <c r="BB188" s="293">
        <f>CAPEX!K208</f>
        <v>1275750</v>
      </c>
      <c r="BC188" s="1272">
        <f>IF(CAPEX!L208&lt;&gt;"",CAPEX!L208,"")</f>
        <v>2010</v>
      </c>
      <c r="BD188" s="905">
        <f>IF(CAPEX!M208&lt;&gt;"",CAPEX!M208,"")</f>
        <v>1275750</v>
      </c>
      <c r="BE188" s="900" t="str">
        <f>IF(CAPEX!N208&lt;&gt;"",CAPEX!N208,"")</f>
        <v>heat.a900.qchwop</v>
      </c>
      <c r="BF188" s="1295">
        <f>IF(CAPEX!O208&lt;&gt;"",CAPEX!O208,"")</f>
        <v>14.2</v>
      </c>
      <c r="BG188" s="904" t="str">
        <f>IF(CAPEX!P208&lt;&gt;"",CAPEX!P208,"")</f>
        <v>Gcal/hr</v>
      </c>
      <c r="BH188" s="907">
        <f>IF(CAPEX!Q208&lt;&gt;"",CAPEX!Q208,"")</f>
        <v>0.6</v>
      </c>
      <c r="BI188" s="907">
        <f>IF(CAPEX!R208&lt;&gt;"",CAPEX!R208,"")</f>
        <v>1.6</v>
      </c>
      <c r="BJ188" s="436">
        <f t="shared" ca="1" si="94"/>
        <v>13.220241100000001</v>
      </c>
      <c r="BK188" s="239">
        <f t="shared" ca="1" si="95"/>
        <v>0.93100289436619732</v>
      </c>
      <c r="BL188" s="238">
        <f t="shared" ca="1" si="96"/>
        <v>1222182.8792790861</v>
      </c>
      <c r="BM188" s="238">
        <f t="shared" ca="1" si="97"/>
        <v>1165822.2308882207</v>
      </c>
      <c r="BN188" s="238">
        <f t="shared" ca="1" si="98"/>
        <v>1865315.5694211533</v>
      </c>
      <c r="BO188" s="615"/>
      <c r="BP188" s="437"/>
    </row>
    <row r="189" spans="1:68" ht="13.5" customHeight="1" thickBot="1" x14ac:dyDescent="0.25">
      <c r="A189" s="437"/>
      <c r="B189" s="437"/>
      <c r="C189" s="437"/>
      <c r="D189" s="437"/>
      <c r="E189" s="437"/>
      <c r="F189" s="437"/>
      <c r="G189" s="437"/>
      <c r="H189" s="437"/>
      <c r="I189" s="437"/>
      <c r="J189" s="437"/>
      <c r="K189" s="437"/>
      <c r="L189" s="437"/>
      <c r="M189" s="437"/>
      <c r="N189" s="437"/>
      <c r="O189" s="437"/>
      <c r="P189" s="437"/>
      <c r="Q189" s="437"/>
      <c r="R189" s="437"/>
      <c r="S189" s="437"/>
      <c r="T189" s="437"/>
      <c r="U189" s="437"/>
      <c r="V189" s="437"/>
      <c r="W189" s="437"/>
      <c r="X189" s="437"/>
      <c r="Y189" s="437"/>
      <c r="Z189" s="437"/>
      <c r="AA189" s="437"/>
      <c r="AB189" s="437"/>
      <c r="AC189" s="437"/>
      <c r="AD189" s="437"/>
      <c r="AE189" s="437"/>
      <c r="AF189" s="437"/>
      <c r="AG189" s="437"/>
      <c r="AH189" s="437"/>
      <c r="AI189" s="437"/>
      <c r="AJ189" s="437"/>
      <c r="AK189" s="437"/>
      <c r="AL189" s="437"/>
      <c r="AM189" s="437"/>
      <c r="AN189" s="437"/>
      <c r="AO189" s="437"/>
      <c r="AP189" s="437"/>
      <c r="AQ189" s="437"/>
      <c r="AR189" s="437"/>
      <c r="AS189" s="641"/>
      <c r="AT189" s="448" t="str">
        <f>IF(CAPEX!A209&lt;&gt;"",CAPEX!A209,"")</f>
        <v>M</v>
      </c>
      <c r="AU189" s="1263">
        <f>IF(CAPEX!B209&lt;&gt;"",CAPEX!B209,"")</f>
        <v>910</v>
      </c>
      <c r="AV189" s="448" t="str">
        <f>IF(CAPEX!C209&lt;&gt;"",CAPEX!C209,"")</f>
        <v>CIP System</v>
      </c>
      <c r="AW189" s="648"/>
      <c r="AX189" s="448" t="str">
        <f>IF(CAPEX!F209&lt;&gt;"",CAPEX!F209,"")</f>
        <v>100,000 GAL</v>
      </c>
      <c r="AY189" s="1285" t="str">
        <f>IF(CAPEX!G209&lt;&gt;"",CAPEX!G209,"")</f>
        <v/>
      </c>
      <c r="AZ189" s="448" t="str">
        <f>IF(CAPEX!H209&lt;&gt;"",CAPEX!H209,"")</f>
        <v>SS304/SS316</v>
      </c>
      <c r="BA189" s="1285">
        <f>IF(CAPEX!J209&lt;&gt;"",CAPEX!J190,"")</f>
        <v>1</v>
      </c>
      <c r="BB189" s="293">
        <f>CAPEX!K209</f>
        <v>421000</v>
      </c>
      <c r="BC189" s="1272">
        <f>IF(CAPEX!L209&lt;&gt;"",CAPEX!L209,"")</f>
        <v>2009</v>
      </c>
      <c r="BD189" s="905">
        <f>IF(CAPEX!M209&lt;&gt;"",CAPEX!M209,"")</f>
        <v>421000</v>
      </c>
      <c r="BE189" s="900" t="str">
        <f>IF(CAPEX!N209&lt;&gt;"",CAPEX!N209,"")</f>
        <v>strm.a900.914</v>
      </c>
      <c r="BF189" s="1294">
        <f>IF(CAPEX!O209&lt;&gt;"",CAPEX!O209,"")</f>
        <v>63</v>
      </c>
      <c r="BG189" s="908" t="str">
        <f>IF(CAPEX!P209&lt;&gt;"",CAPEX!P209,"")</f>
        <v>kg/hr</v>
      </c>
      <c r="BH189" s="907">
        <f>IF(CAPEX!Q209&lt;&gt;"",CAPEX!Q209,"")</f>
        <v>0.6</v>
      </c>
      <c r="BI189" s="907">
        <f>IF(CAPEX!R209&lt;&gt;"",CAPEX!R209,"")</f>
        <v>1.8</v>
      </c>
      <c r="BJ189" s="436">
        <f t="shared" ca="1" si="94"/>
        <v>145</v>
      </c>
      <c r="BK189" s="239">
        <f t="shared" ca="1" si="95"/>
        <v>2.3015873015873014</v>
      </c>
      <c r="BL189" s="238">
        <f t="shared" ca="1" si="96"/>
        <v>694222.31185777427</v>
      </c>
      <c r="BM189" s="238">
        <f t="shared" ca="1" si="97"/>
        <v>698877.9510444043</v>
      </c>
      <c r="BN189" s="238">
        <f t="shared" ca="1" si="98"/>
        <v>1257980.3118799278</v>
      </c>
      <c r="BO189" s="615"/>
      <c r="BP189" s="437"/>
    </row>
    <row r="190" spans="1:68" ht="13.5" customHeight="1" thickBot="1" x14ac:dyDescent="0.25">
      <c r="A190" s="437"/>
      <c r="B190" s="437"/>
      <c r="C190" s="437"/>
      <c r="D190" s="437"/>
      <c r="E190" s="437"/>
      <c r="F190" s="437"/>
      <c r="G190" s="437"/>
      <c r="H190" s="437"/>
      <c r="I190" s="437"/>
      <c r="J190" s="437"/>
      <c r="K190" s="437"/>
      <c r="L190" s="437"/>
      <c r="M190" s="437"/>
      <c r="N190" s="437"/>
      <c r="O190" s="437"/>
      <c r="P190" s="437"/>
      <c r="Q190" s="437"/>
      <c r="R190" s="437"/>
      <c r="S190" s="437"/>
      <c r="T190" s="437"/>
      <c r="U190" s="437"/>
      <c r="V190" s="437"/>
      <c r="W190" s="437"/>
      <c r="X190" s="437"/>
      <c r="Y190" s="437"/>
      <c r="Z190" s="437"/>
      <c r="AA190" s="437"/>
      <c r="AB190" s="437"/>
      <c r="AC190" s="437"/>
      <c r="AD190" s="437"/>
      <c r="AE190" s="437"/>
      <c r="AF190" s="437"/>
      <c r="AG190" s="437"/>
      <c r="AH190" s="437"/>
      <c r="AI190" s="437"/>
      <c r="AJ190" s="437"/>
      <c r="AK190" s="437"/>
      <c r="AL190" s="437"/>
      <c r="AM190" s="437"/>
      <c r="AN190" s="437"/>
      <c r="AO190" s="437"/>
      <c r="AP190" s="437"/>
      <c r="AQ190" s="437"/>
      <c r="AR190" s="437"/>
      <c r="AS190" s="641"/>
      <c r="AT190" s="448" t="str">
        <f>IF(CAPEX!A210&lt;&gt;"",CAPEX!A210,"")</f>
        <v>P</v>
      </c>
      <c r="AU190" s="1263">
        <f>IF(CAPEX!B210&lt;&gt;"",CAPEX!B210,"")</f>
        <v>902</v>
      </c>
      <c r="AV190" s="448" t="str">
        <f>IF(CAPEX!C210&lt;&gt;"",CAPEX!C210,"")</f>
        <v>Cooling Water Pump</v>
      </c>
      <c r="AW190" s="648" t="s">
        <v>991</v>
      </c>
      <c r="AX190" s="448" t="str">
        <f>IF(CAPEX!F210&lt;&gt;"",CAPEX!F210,"")</f>
        <v>16,120 GPM, 100 FT TDH SIZE 20X20-28</v>
      </c>
      <c r="AY190" s="1285">
        <f>IF(CAPEX!G210&lt;&gt;"",CAPEX!G210,"")</f>
        <v>500</v>
      </c>
      <c r="AZ190" s="448" t="str">
        <f>IF(CAPEX!H210&lt;&gt;"",CAPEX!H210,"")</f>
        <v>CS</v>
      </c>
      <c r="BA190" s="1285">
        <f>IF(CAPEX!J210&lt;&gt;"",CAPEX!J191,"")</f>
        <v>1</v>
      </c>
      <c r="BB190" s="293">
        <f>CAPEX!K210</f>
        <v>283671</v>
      </c>
      <c r="BC190" s="1272">
        <f>IF(CAPEX!L210&lt;&gt;"",CAPEX!L210,"")</f>
        <v>2010</v>
      </c>
      <c r="BD190" s="905">
        <f>IF(CAPEX!M210&lt;&gt;"",CAPEX!M210,"")</f>
        <v>283671</v>
      </c>
      <c r="BE190" s="900" t="str">
        <f>IF(CAPEX!N210&lt;&gt;"",CAPEX!N210,"")</f>
        <v>strm.a900.945</v>
      </c>
      <c r="BF190" s="1295">
        <f>IF(CAPEX!O210&lt;&gt;"",CAPEX!O210,"")</f>
        <v>10982556</v>
      </c>
      <c r="BG190" s="904" t="str">
        <f>IF(CAPEX!P210&lt;&gt;"",CAPEX!P210,"")</f>
        <v>kg/hr</v>
      </c>
      <c r="BH190" s="907">
        <f>IF(CAPEX!Q210&lt;&gt;"",CAPEX!Q210,"")</f>
        <v>0.8</v>
      </c>
      <c r="BI190" s="907">
        <f>IF(CAPEX!R210&lt;&gt;"",CAPEX!R210,"")</f>
        <v>3.1</v>
      </c>
      <c r="BJ190" s="436">
        <f t="shared" ca="1" si="94"/>
        <v>11106722.800000001</v>
      </c>
      <c r="BK190" s="239">
        <f t="shared" ca="1" si="95"/>
        <v>1.0113058198838232</v>
      </c>
      <c r="BL190" s="238">
        <f t="shared" ca="1" si="96"/>
        <v>286233.81888127746</v>
      </c>
      <c r="BM190" s="238">
        <f t="shared" ca="1" si="97"/>
        <v>273034.22011659981</v>
      </c>
      <c r="BN190" s="238">
        <f t="shared" ca="1" si="98"/>
        <v>846406.0823614595</v>
      </c>
      <c r="BO190" s="615"/>
      <c r="BP190" s="437"/>
    </row>
    <row r="191" spans="1:68" ht="13.5" customHeight="1" thickBot="1" x14ac:dyDescent="0.25">
      <c r="A191" s="437"/>
      <c r="B191" s="437"/>
      <c r="C191" s="437"/>
      <c r="D191" s="437"/>
      <c r="E191" s="437"/>
      <c r="F191" s="437"/>
      <c r="G191" s="437"/>
      <c r="H191" s="437"/>
      <c r="I191" s="437"/>
      <c r="J191" s="437"/>
      <c r="K191" s="437"/>
      <c r="L191" s="437"/>
      <c r="M191" s="437"/>
      <c r="N191" s="437"/>
      <c r="O191" s="437"/>
      <c r="P191" s="437"/>
      <c r="Q191" s="437"/>
      <c r="R191" s="437"/>
      <c r="S191" s="437"/>
      <c r="T191" s="437"/>
      <c r="U191" s="437"/>
      <c r="V191" s="437"/>
      <c r="W191" s="437"/>
      <c r="X191" s="437"/>
      <c r="Y191" s="437"/>
      <c r="Z191" s="437"/>
      <c r="AA191" s="437"/>
      <c r="AB191" s="437"/>
      <c r="AC191" s="437"/>
      <c r="AD191" s="437"/>
      <c r="AE191" s="437"/>
      <c r="AF191" s="437"/>
      <c r="AG191" s="437"/>
      <c r="AH191" s="437"/>
      <c r="AI191" s="437"/>
      <c r="AJ191" s="437"/>
      <c r="AK191" s="437"/>
      <c r="AL191" s="437"/>
      <c r="AM191" s="437"/>
      <c r="AN191" s="437"/>
      <c r="AO191" s="437"/>
      <c r="AP191" s="437"/>
      <c r="AQ191" s="437"/>
      <c r="AR191" s="437"/>
      <c r="AS191" s="641"/>
      <c r="AT191" s="448" t="str">
        <f>IF(CAPEX!A211&lt;&gt;"",CAPEX!A211,"")</f>
        <v>P</v>
      </c>
      <c r="AU191" s="1263">
        <f>IF(CAPEX!B211&lt;&gt;"",CAPEX!B211,"")</f>
        <v>912</v>
      </c>
      <c r="AV191" s="448" t="str">
        <f>IF(CAPEX!C211&lt;&gt;"",CAPEX!C211,"")</f>
        <v>Make-up Water Pump</v>
      </c>
      <c r="AW191" s="648" t="s">
        <v>991</v>
      </c>
      <c r="AX191" s="448" t="str">
        <f>IF(CAPEX!F211&lt;&gt;"",CAPEX!F211,"")</f>
        <v>685 GPM, 75 FT TDH SIZE 6X4-13</v>
      </c>
      <c r="AY191" s="1285">
        <f>IF(CAPEX!G211&lt;&gt;"",CAPEX!G211,"")</f>
        <v>20</v>
      </c>
      <c r="AZ191" s="448" t="str">
        <f>IF(CAPEX!H211&lt;&gt;"",CAPEX!H211,"")</f>
        <v>CS</v>
      </c>
      <c r="BA191" s="1285">
        <f>IF(CAPEX!J211&lt;&gt;"",CAPEX!J192,"")</f>
        <v>1</v>
      </c>
      <c r="BB191" s="293">
        <f>CAPEX!K211</f>
        <v>6864</v>
      </c>
      <c r="BC191" s="1272">
        <f>IF(CAPEX!L211&lt;&gt;"",CAPEX!L211,"")</f>
        <v>2010</v>
      </c>
      <c r="BD191" s="905">
        <f>IF(CAPEX!M211&lt;&gt;"",CAPEX!M211,"")</f>
        <v>6864</v>
      </c>
      <c r="BE191" s="900" t="str">
        <f>IF(CAPEX!N211&lt;&gt;"",CAPEX!N211,"")</f>
        <v>strm.a900.904</v>
      </c>
      <c r="BF191" s="1295">
        <f>IF(CAPEX!O211&lt;&gt;"",CAPEX!O211,"")</f>
        <v>155563.5</v>
      </c>
      <c r="BG191" s="904" t="str">
        <f>IF(CAPEX!P211&lt;&gt;"",CAPEX!P211,"")</f>
        <v>kg/hr</v>
      </c>
      <c r="BH191" s="907">
        <f>IF(CAPEX!Q211&lt;&gt;"",CAPEX!Q211,"")</f>
        <v>0.8</v>
      </c>
      <c r="BI191" s="907">
        <f>IF(CAPEX!R211&lt;&gt;"",CAPEX!R211,"")</f>
        <v>3.1</v>
      </c>
      <c r="BJ191" s="436">
        <f t="shared" ca="1" si="94"/>
        <v>147722.20199999999</v>
      </c>
      <c r="BK191" s="239">
        <f t="shared" ca="1" si="95"/>
        <v>0.94959423000896737</v>
      </c>
      <c r="BL191" s="238">
        <f t="shared" ca="1" si="96"/>
        <v>6585.7877279528639</v>
      </c>
      <c r="BM191" s="238">
        <f t="shared" ca="1" si="97"/>
        <v>6282.0858247393517</v>
      </c>
      <c r="BN191" s="238">
        <f t="shared" ca="1" si="98"/>
        <v>19474.466056691992</v>
      </c>
      <c r="BO191" s="615"/>
      <c r="BP191" s="437"/>
    </row>
    <row r="192" spans="1:68" ht="13.5" customHeight="1" thickBot="1" x14ac:dyDescent="0.25">
      <c r="A192" s="437"/>
      <c r="B192" s="437"/>
      <c r="C192" s="437"/>
      <c r="D192" s="437"/>
      <c r="E192" s="437"/>
      <c r="F192" s="437"/>
      <c r="G192" s="437"/>
      <c r="H192" s="437"/>
      <c r="I192" s="437"/>
      <c r="J192" s="437"/>
      <c r="K192" s="437"/>
      <c r="L192" s="437"/>
      <c r="M192" s="437"/>
      <c r="N192" s="437"/>
      <c r="O192" s="437"/>
      <c r="P192" s="437"/>
      <c r="Q192" s="437"/>
      <c r="R192" s="437"/>
      <c r="S192" s="437"/>
      <c r="T192" s="437"/>
      <c r="U192" s="437"/>
      <c r="V192" s="437"/>
      <c r="W192" s="437"/>
      <c r="X192" s="437"/>
      <c r="Y192" s="437"/>
      <c r="Z192" s="437"/>
      <c r="AA192" s="437"/>
      <c r="AB192" s="437"/>
      <c r="AC192" s="437"/>
      <c r="AD192" s="437"/>
      <c r="AE192" s="437"/>
      <c r="AF192" s="437"/>
      <c r="AG192" s="437"/>
      <c r="AH192" s="437"/>
      <c r="AI192" s="437"/>
      <c r="AJ192" s="437"/>
      <c r="AK192" s="437"/>
      <c r="AL192" s="437"/>
      <c r="AM192" s="437"/>
      <c r="AN192" s="437"/>
      <c r="AO192" s="437"/>
      <c r="AP192" s="437"/>
      <c r="AQ192" s="437"/>
      <c r="AR192" s="437"/>
      <c r="AS192" s="641"/>
      <c r="AT192" s="448" t="str">
        <f>IF(CAPEX!A212&lt;&gt;"",CAPEX!A212,"")</f>
        <v>P</v>
      </c>
      <c r="AU192" s="1263">
        <f>IF(CAPEX!B212&lt;&gt;"",CAPEX!B212,"")</f>
        <v>914</v>
      </c>
      <c r="AV192" s="448" t="str">
        <f>IF(CAPEX!C212&lt;&gt;"",CAPEX!C212,"")</f>
        <v>Process Water Circulating Pump</v>
      </c>
      <c r="AW192" s="648" t="s">
        <v>991</v>
      </c>
      <c r="AX192" s="448" t="str">
        <f>IF(CAPEX!F212&lt;&gt;"",CAPEX!F212,"")</f>
        <v>2285 GPM, 75 FT TDH SIZE 8X6-13</v>
      </c>
      <c r="AY192" s="1285">
        <f>IF(CAPEX!G212&lt;&gt;"",CAPEX!G212,"")</f>
        <v>75</v>
      </c>
      <c r="AZ192" s="448" t="str">
        <f>IF(CAPEX!H212&lt;&gt;"",CAPEX!H212,"")</f>
        <v>CS</v>
      </c>
      <c r="BA192" s="1285">
        <f>IF(CAPEX!J212&lt;&gt;"",CAPEX!J193,"")</f>
        <v>1</v>
      </c>
      <c r="BB192" s="293">
        <f>CAPEX!K212</f>
        <v>15292</v>
      </c>
      <c r="BC192" s="1272">
        <f>IF(CAPEX!L212&lt;&gt;"",CAPEX!L212,"")</f>
        <v>2010</v>
      </c>
      <c r="BD192" s="905">
        <f>IF(CAPEX!M212&lt;&gt;"",CAPEX!M212,"")</f>
        <v>15292</v>
      </c>
      <c r="BE192" s="900" t="str">
        <f>IF(CAPEX!N212&lt;&gt;"",CAPEX!N212,"")</f>
        <v>strm.a900.905</v>
      </c>
      <c r="BF192" s="1295">
        <f>IF(CAPEX!O212&lt;&gt;"",CAPEX!O212,"")</f>
        <v>518923.5</v>
      </c>
      <c r="BG192" s="904" t="str">
        <f>IF(CAPEX!P212&lt;&gt;"",CAPEX!P212,"")</f>
        <v>kg/hr</v>
      </c>
      <c r="BH192" s="907">
        <f>IF(CAPEX!Q212&lt;&gt;"",CAPEX!Q212,"")</f>
        <v>0.8</v>
      </c>
      <c r="BI192" s="907">
        <f>IF(CAPEX!R212&lt;&gt;"",CAPEX!R212,"")</f>
        <v>3.1</v>
      </c>
      <c r="BJ192" s="436">
        <f t="shared" ca="1" si="94"/>
        <v>523461.20899999997</v>
      </c>
      <c r="BK192" s="239">
        <f t="shared" ca="1" si="95"/>
        <v>1.0087444661881761</v>
      </c>
      <c r="BL192" s="238">
        <f t="shared" ca="1" si="96"/>
        <v>15398.88308213024</v>
      </c>
      <c r="BM192" s="238">
        <f t="shared" ca="1" si="97"/>
        <v>14688.767558734982</v>
      </c>
      <c r="BN192" s="238">
        <f t="shared" ca="1" si="98"/>
        <v>45535.179432078447</v>
      </c>
      <c r="BO192" s="615"/>
      <c r="BP192" s="437"/>
    </row>
    <row r="193" spans="1:68" ht="13.5" customHeight="1" thickBot="1" x14ac:dyDescent="0.25">
      <c r="A193" s="437"/>
      <c r="B193" s="437"/>
      <c r="C193" s="437"/>
      <c r="D193" s="437"/>
      <c r="E193" s="437"/>
      <c r="F193" s="437"/>
      <c r="G193" s="437"/>
      <c r="H193" s="437"/>
      <c r="I193" s="437"/>
      <c r="J193" s="437"/>
      <c r="K193" s="437"/>
      <c r="L193" s="437"/>
      <c r="M193" s="437"/>
      <c r="N193" s="437"/>
      <c r="O193" s="437"/>
      <c r="P193" s="437"/>
      <c r="Q193" s="437"/>
      <c r="R193" s="437"/>
      <c r="S193" s="437"/>
      <c r="T193" s="437"/>
      <c r="U193" s="437"/>
      <c r="V193" s="437"/>
      <c r="W193" s="437"/>
      <c r="X193" s="437"/>
      <c r="Y193" s="437"/>
      <c r="Z193" s="437"/>
      <c r="AA193" s="437"/>
      <c r="AB193" s="437"/>
      <c r="AC193" s="437"/>
      <c r="AD193" s="437"/>
      <c r="AE193" s="437"/>
      <c r="AF193" s="437"/>
      <c r="AG193" s="437"/>
      <c r="AH193" s="437"/>
      <c r="AI193" s="437"/>
      <c r="AJ193" s="437"/>
      <c r="AK193" s="437"/>
      <c r="AL193" s="437"/>
      <c r="AM193" s="437"/>
      <c r="AN193" s="437"/>
      <c r="AO193" s="437"/>
      <c r="AP193" s="437"/>
      <c r="AQ193" s="437"/>
      <c r="AR193" s="437"/>
      <c r="AS193" s="641"/>
      <c r="AT193" s="448" t="str">
        <f>IF(CAPEX!A213&lt;&gt;"",CAPEX!A213,"")</f>
        <v>S</v>
      </c>
      <c r="AU193" s="1263">
        <f>IF(CAPEX!B213&lt;&gt;"",CAPEX!B213,"")</f>
        <v>904</v>
      </c>
      <c r="AV193" s="448" t="str">
        <f>IF(CAPEX!C213&lt;&gt;"",CAPEX!C213,"")</f>
        <v>Instrument Air Dryer</v>
      </c>
      <c r="AW193" s="648" t="s">
        <v>1066</v>
      </c>
      <c r="AX193" s="448" t="str">
        <f>IF(CAPEX!F213&lt;&gt;"",CAPEX!F213,"")</f>
        <v>670 SCFM - CYCLING TYPE</v>
      </c>
      <c r="AY193" s="1285" t="str">
        <f>IF(CAPEX!G213&lt;&gt;"",CAPEX!G213,"")</f>
        <v/>
      </c>
      <c r="AZ193" s="448" t="str">
        <f>IF(CAPEX!H213&lt;&gt;"",CAPEX!H213,"")</f>
        <v>CS</v>
      </c>
      <c r="BA193" s="1285">
        <f>IF(CAPEX!J213&lt;&gt;"",CAPEX!J194,"")</f>
        <v>2</v>
      </c>
      <c r="BB193" s="293">
        <f>CAPEX!K213</f>
        <v>15000</v>
      </c>
      <c r="BC193" s="1272">
        <f>IF(CAPEX!L213&lt;&gt;"",CAPEX!L213,"")</f>
        <v>2009</v>
      </c>
      <c r="BD193" s="905">
        <f>IF(CAPEX!M213&lt;&gt;"",CAPEX!M213,"")</f>
        <v>15000</v>
      </c>
      <c r="BE193" s="900" t="str">
        <f>IF(CAPEX!N213&lt;&gt;"",CAPEX!N213,"")</f>
        <v>DRY101</v>
      </c>
      <c r="BF193" s="1294">
        <f>IF(CAPEX!O213&lt;&gt;"",CAPEX!O213,"")</f>
        <v>83333</v>
      </c>
      <c r="BG193" s="908" t="str">
        <f>IF(CAPEX!P213&lt;&gt;"",CAPEX!P213,"")</f>
        <v>kg/hr</v>
      </c>
      <c r="BH193" s="907">
        <f>IF(CAPEX!Q213&lt;&gt;"",CAPEX!Q213,"")</f>
        <v>0.6</v>
      </c>
      <c r="BI193" s="907">
        <f>IF(CAPEX!R213&lt;&gt;"",CAPEX!R213,"")</f>
        <v>1.8</v>
      </c>
      <c r="BJ193" s="436">
        <f t="shared" ca="1" si="94"/>
        <v>83333.333299999998</v>
      </c>
      <c r="BK193" s="239">
        <f t="shared" ca="1" si="95"/>
        <v>1.0000039996159984</v>
      </c>
      <c r="BL193" s="238">
        <f t="shared" ca="1" si="96"/>
        <v>15000.035996515191</v>
      </c>
      <c r="BM193" s="238">
        <f t="shared" ca="1" si="97"/>
        <v>15100.630221439129</v>
      </c>
      <c r="BN193" s="238">
        <f t="shared" ca="1" si="98"/>
        <v>27181.134398590431</v>
      </c>
      <c r="BO193" s="615"/>
      <c r="BP193" s="437"/>
    </row>
    <row r="194" spans="1:68" ht="13.5" customHeight="1" thickBot="1" x14ac:dyDescent="0.25">
      <c r="A194" s="437"/>
      <c r="B194" s="437"/>
      <c r="C194" s="437"/>
      <c r="D194" s="437"/>
      <c r="E194" s="437"/>
      <c r="F194" s="437"/>
      <c r="G194" s="437"/>
      <c r="H194" s="437"/>
      <c r="I194" s="437"/>
      <c r="J194" s="437"/>
      <c r="K194" s="437"/>
      <c r="L194" s="437"/>
      <c r="M194" s="437"/>
      <c r="N194" s="437"/>
      <c r="O194" s="437"/>
      <c r="P194" s="437"/>
      <c r="Q194" s="437"/>
      <c r="R194" s="437"/>
      <c r="S194" s="437"/>
      <c r="T194" s="437"/>
      <c r="U194" s="437"/>
      <c r="V194" s="437"/>
      <c r="W194" s="437"/>
      <c r="X194" s="437"/>
      <c r="Y194" s="437"/>
      <c r="Z194" s="437"/>
      <c r="AA194" s="437"/>
      <c r="AB194" s="437"/>
      <c r="AC194" s="437"/>
      <c r="AD194" s="437"/>
      <c r="AE194" s="437"/>
      <c r="AF194" s="437"/>
      <c r="AG194" s="437"/>
      <c r="AH194" s="437"/>
      <c r="AI194" s="437"/>
      <c r="AJ194" s="437"/>
      <c r="AK194" s="437"/>
      <c r="AL194" s="437"/>
      <c r="AM194" s="437"/>
      <c r="AN194" s="437"/>
      <c r="AO194" s="437"/>
      <c r="AP194" s="437"/>
      <c r="AQ194" s="437"/>
      <c r="AR194" s="437"/>
      <c r="AS194" s="641"/>
      <c r="AT194" s="448" t="str">
        <f>IF(CAPEX!A214&lt;&gt;"",CAPEX!A214,"")</f>
        <v>T</v>
      </c>
      <c r="AU194" s="1263">
        <f>IF(CAPEX!B214&lt;&gt;"",CAPEX!B214,"")</f>
        <v>904</v>
      </c>
      <c r="AV194" s="448" t="str">
        <f>IF(CAPEX!C214&lt;&gt;"",CAPEX!C214,"")</f>
        <v>Plant Air Receiver</v>
      </c>
      <c r="AW194" s="648" t="s">
        <v>1061</v>
      </c>
      <c r="AX194" s="448" t="str">
        <f>IF(CAPEX!F214&lt;&gt;"",CAPEX!F214,"")</f>
        <v>3800 gal - 72" x 228" vertical</v>
      </c>
      <c r="AY194" s="1285" t="str">
        <f>IF(CAPEX!G214&lt;&gt;"",CAPEX!G214,"")</f>
        <v/>
      </c>
      <c r="AZ194" s="448" t="str">
        <f>IF(CAPEX!H214&lt;&gt;"",CAPEX!H214,"")</f>
        <v>CS</v>
      </c>
      <c r="BA194" s="1285">
        <f>IF(CAPEX!J214&lt;&gt;"",CAPEX!J195,"")</f>
        <v>2</v>
      </c>
      <c r="BB194" s="293">
        <f>CAPEX!K214</f>
        <v>16000</v>
      </c>
      <c r="BC194" s="1272">
        <f>IF(CAPEX!L214&lt;&gt;"",CAPEX!L214,"")</f>
        <v>2009</v>
      </c>
      <c r="BD194" s="905">
        <f>IF(CAPEX!M214&lt;&gt;"",CAPEX!M214,"")</f>
        <v>16000</v>
      </c>
      <c r="BE194" s="900" t="str">
        <f>IF(CAPEX!N214&lt;&gt;"",CAPEX!N214,"")</f>
        <v>DRY101</v>
      </c>
      <c r="BF194" s="1294">
        <f>IF(CAPEX!O214&lt;&gt;"",CAPEX!O214,"")</f>
        <v>83333</v>
      </c>
      <c r="BG194" s="908" t="str">
        <f>IF(CAPEX!P214&lt;&gt;"",CAPEX!P214,"")</f>
        <v>kg/hr</v>
      </c>
      <c r="BH194" s="907">
        <f>IF(CAPEX!Q214&lt;&gt;"",CAPEX!Q214,"")</f>
        <v>0.6</v>
      </c>
      <c r="BI194" s="907">
        <f>IF(CAPEX!R214&lt;&gt;"",CAPEX!R214,"")</f>
        <v>3.1</v>
      </c>
      <c r="BJ194" s="436">
        <f t="shared" ca="1" si="94"/>
        <v>83333.333299999998</v>
      </c>
      <c r="BK194" s="239">
        <f t="shared" ca="1" si="95"/>
        <v>1.0000039996159984</v>
      </c>
      <c r="BL194" s="238">
        <f t="shared" ca="1" si="96"/>
        <v>16000.038396282871</v>
      </c>
      <c r="BM194" s="238">
        <f t="shared" ca="1" si="97"/>
        <v>16107.338902868405</v>
      </c>
      <c r="BN194" s="238">
        <f t="shared" ca="1" si="98"/>
        <v>49932.75059889206</v>
      </c>
      <c r="BO194" s="615"/>
      <c r="BP194" s="437"/>
    </row>
    <row r="195" spans="1:68" ht="13.5" customHeight="1" x14ac:dyDescent="0.2">
      <c r="A195" s="437"/>
      <c r="B195" s="437"/>
      <c r="C195" s="437"/>
      <c r="D195" s="437"/>
      <c r="E195" s="437"/>
      <c r="F195" s="437"/>
      <c r="G195" s="437"/>
      <c r="H195" s="437"/>
      <c r="I195" s="437"/>
      <c r="J195" s="437"/>
      <c r="K195" s="437"/>
      <c r="L195" s="437"/>
      <c r="M195" s="437"/>
      <c r="N195" s="437"/>
      <c r="O195" s="437"/>
      <c r="P195" s="437"/>
      <c r="Q195" s="437"/>
      <c r="R195" s="437"/>
      <c r="S195" s="437"/>
      <c r="T195" s="437"/>
      <c r="U195" s="437"/>
      <c r="V195" s="437"/>
      <c r="W195" s="437"/>
      <c r="X195" s="437"/>
      <c r="Y195" s="437"/>
      <c r="Z195" s="437"/>
      <c r="AA195" s="437"/>
      <c r="AB195" s="437"/>
      <c r="AC195" s="437"/>
      <c r="AD195" s="437"/>
      <c r="AE195" s="437"/>
      <c r="AF195" s="437"/>
      <c r="AG195" s="437"/>
      <c r="AH195" s="437"/>
      <c r="AI195" s="437"/>
      <c r="AJ195" s="437"/>
      <c r="AK195" s="437"/>
      <c r="AL195" s="437"/>
      <c r="AM195" s="437"/>
      <c r="AN195" s="437"/>
      <c r="AO195" s="437"/>
      <c r="AP195" s="437"/>
      <c r="AQ195" s="437"/>
      <c r="AR195" s="437"/>
      <c r="AS195" s="641"/>
      <c r="AT195" s="448" t="str">
        <f>IF(CAPEX!A215&lt;&gt;"",CAPEX!A215,"")</f>
        <v>T</v>
      </c>
      <c r="AU195" s="1263">
        <f>IF(CAPEX!B215&lt;&gt;"",CAPEX!B215,"")</f>
        <v>914</v>
      </c>
      <c r="AV195" s="448" t="str">
        <f>IF(CAPEX!C215&lt;&gt;"",CAPEX!C215,"")</f>
        <v>Process Water Tank No. 1</v>
      </c>
      <c r="AW195" s="648"/>
      <c r="AX195" s="448" t="str">
        <f>IF(CAPEX!F215&lt;&gt;"",CAPEX!F215,"")</f>
        <v>250,000 gal</v>
      </c>
      <c r="AY195" s="1285" t="str">
        <f>IF(CAPEX!G215&lt;&gt;"",CAPEX!G215,"")</f>
        <v/>
      </c>
      <c r="AZ195" s="448" t="str">
        <f>IF(CAPEX!H215&lt;&gt;"",CAPEX!H215,"")</f>
        <v>CS</v>
      </c>
      <c r="BA195" s="1285">
        <f>IF(CAPEX!J215&lt;&gt;"",CAPEX!J196,"")</f>
        <v>2</v>
      </c>
      <c r="BB195" s="293">
        <f>CAPEX!K215</f>
        <v>250000</v>
      </c>
      <c r="BC195" s="1272">
        <f>IF(CAPEX!L215&lt;&gt;"",CAPEX!L215,"")</f>
        <v>2009</v>
      </c>
      <c r="BD195" s="905">
        <f>IF(CAPEX!M215&lt;&gt;"",CAPEX!M215,"")</f>
        <v>250000</v>
      </c>
      <c r="BE195" s="900" t="str">
        <f>IF(CAPEX!N215&lt;&gt;"",CAPEX!N215,"")</f>
        <v>strm.a900.905</v>
      </c>
      <c r="BF195" s="1294">
        <f>IF(CAPEX!O215&lt;&gt;"",CAPEX!O215,"")</f>
        <v>451555</v>
      </c>
      <c r="BG195" s="908" t="str">
        <f>IF(CAPEX!P215&lt;&gt;"",CAPEX!P215,"")</f>
        <v>kg/hr</v>
      </c>
      <c r="BH195" s="907">
        <f>IF(CAPEX!Q215&lt;&gt;"",CAPEX!Q215,"")</f>
        <v>0.7</v>
      </c>
      <c r="BI195" s="907">
        <f>IF(CAPEX!R215&lt;&gt;"",CAPEX!R215,"")</f>
        <v>1.7</v>
      </c>
      <c r="BJ195" s="436">
        <f t="shared" ca="1" si="94"/>
        <v>523461.20899999997</v>
      </c>
      <c r="BK195" s="239">
        <f t="shared" ca="1" si="95"/>
        <v>1.1592413083677513</v>
      </c>
      <c r="BL195" s="238">
        <f t="shared" ca="1" si="96"/>
        <v>277243.71045294247</v>
      </c>
      <c r="BM195" s="238">
        <f t="shared" ca="1" si="97"/>
        <v>279102.98040232988</v>
      </c>
      <c r="BN195" s="238">
        <f t="shared" ca="1" si="98"/>
        <v>474475.06668396079</v>
      </c>
      <c r="BO195" s="615"/>
      <c r="BP195" s="437"/>
    </row>
    <row r="196" spans="1:68" ht="13.5" customHeight="1" x14ac:dyDescent="0.25">
      <c r="A196" s="437"/>
      <c r="B196" s="437"/>
      <c r="C196" s="437"/>
      <c r="D196" s="437"/>
      <c r="E196" s="437"/>
      <c r="F196" s="437"/>
      <c r="G196" s="437"/>
      <c r="H196" s="437"/>
      <c r="I196" s="437"/>
      <c r="J196" s="437"/>
      <c r="K196" s="437"/>
      <c r="L196" s="437"/>
      <c r="M196" s="437"/>
      <c r="N196" s="437"/>
      <c r="O196" s="437"/>
      <c r="P196" s="437"/>
      <c r="Q196" s="437"/>
      <c r="R196" s="437"/>
      <c r="S196" s="437"/>
      <c r="T196" s="437"/>
      <c r="U196" s="437"/>
      <c r="V196" s="437"/>
      <c r="W196" s="437"/>
      <c r="X196" s="437"/>
      <c r="Y196" s="437"/>
      <c r="Z196" s="437"/>
      <c r="AA196" s="437"/>
      <c r="AB196" s="437"/>
      <c r="AC196" s="437"/>
      <c r="AD196" s="437"/>
      <c r="AE196" s="437"/>
      <c r="AF196" s="437"/>
      <c r="AG196" s="437"/>
      <c r="AH196" s="437"/>
      <c r="AI196" s="437"/>
      <c r="AJ196" s="437"/>
      <c r="AK196" s="437"/>
      <c r="AL196" s="437"/>
      <c r="AM196" s="437"/>
      <c r="AN196" s="437"/>
      <c r="AO196" s="437"/>
      <c r="AP196" s="437"/>
      <c r="AQ196" s="437"/>
      <c r="AR196" s="437"/>
      <c r="AS196" s="641"/>
      <c r="AT196" s="427"/>
      <c r="AU196" s="1269"/>
      <c r="AV196" s="635"/>
      <c r="AW196" s="424"/>
      <c r="AX196" s="424"/>
      <c r="AY196" s="1306"/>
      <c r="AZ196" s="424"/>
      <c r="BA196" s="1290"/>
      <c r="BB196" s="256"/>
      <c r="BC196" s="1280"/>
      <c r="BD196" s="246">
        <f>SUM(BD186:BD195)</f>
        <v>3686577</v>
      </c>
      <c r="BE196" s="431"/>
      <c r="BF196" s="1301"/>
      <c r="BG196" s="431"/>
      <c r="BH196" s="453"/>
      <c r="BI196" s="453"/>
      <c r="BJ196" s="462"/>
      <c r="BK196" s="431"/>
      <c r="BL196" s="246">
        <f ca="1">SUM(BL186:BL195)</f>
        <v>4021936.1611641031</v>
      </c>
      <c r="BM196" s="246">
        <f ca="1">SUM(BM186:BM195)</f>
        <v>3889416.8814490242</v>
      </c>
      <c r="BN196" s="247">
        <f ca="1">SUM(BN186:BN195)</f>
        <v>6719572.4606986335</v>
      </c>
      <c r="BO196" s="615"/>
      <c r="BP196" s="437"/>
    </row>
    <row r="197" spans="1:68" ht="13.5" customHeight="1" x14ac:dyDescent="0.25">
      <c r="A197" s="437"/>
      <c r="B197" s="437"/>
      <c r="C197" s="437"/>
      <c r="D197" s="437"/>
      <c r="E197" s="437"/>
      <c r="F197" s="437"/>
      <c r="G197" s="437"/>
      <c r="H197" s="437"/>
      <c r="I197" s="437"/>
      <c r="J197" s="437"/>
      <c r="K197" s="437"/>
      <c r="L197" s="437"/>
      <c r="M197" s="437"/>
      <c r="N197" s="437"/>
      <c r="O197" s="437"/>
      <c r="P197" s="437"/>
      <c r="Q197" s="437"/>
      <c r="R197" s="437"/>
      <c r="S197" s="437"/>
      <c r="T197" s="437"/>
      <c r="U197" s="437"/>
      <c r="V197" s="437"/>
      <c r="W197" s="437"/>
      <c r="X197" s="437"/>
      <c r="Y197" s="437"/>
      <c r="Z197" s="437"/>
      <c r="AA197" s="437"/>
      <c r="AB197" s="437"/>
      <c r="AC197" s="437"/>
      <c r="AD197" s="437"/>
      <c r="AE197" s="437"/>
      <c r="AF197" s="437"/>
      <c r="AG197" s="437"/>
      <c r="AH197" s="437"/>
      <c r="AI197" s="437"/>
      <c r="AJ197" s="437"/>
      <c r="AK197" s="437"/>
      <c r="AL197" s="437"/>
      <c r="AM197" s="437"/>
      <c r="AN197" s="437"/>
      <c r="AO197" s="437"/>
      <c r="AP197" s="437"/>
      <c r="AQ197" s="437"/>
      <c r="AR197" s="437"/>
      <c r="AS197" s="641"/>
      <c r="AT197" s="425"/>
      <c r="AU197" s="1215"/>
      <c r="AV197" s="425"/>
      <c r="AW197" s="425"/>
      <c r="AX197" s="425"/>
      <c r="AY197" s="1216"/>
      <c r="AZ197" s="425"/>
      <c r="BA197" s="1216"/>
      <c r="BB197" s="425"/>
      <c r="BC197" s="1216"/>
      <c r="BD197" s="425"/>
      <c r="BE197" s="425"/>
      <c r="BF197" s="443"/>
      <c r="BG197" s="425"/>
      <c r="BH197" s="413"/>
      <c r="BI197" s="413"/>
      <c r="BJ197" s="443"/>
      <c r="BK197" s="425"/>
      <c r="BL197" s="425"/>
      <c r="BM197" s="425"/>
      <c r="BN197" s="425"/>
      <c r="BO197" s="615"/>
      <c r="BP197" s="437"/>
    </row>
    <row r="198" spans="1:68" ht="13.5" customHeight="1" x14ac:dyDescent="0.25">
      <c r="A198" s="437"/>
      <c r="B198" s="437"/>
      <c r="C198" s="437"/>
      <c r="D198" s="437"/>
      <c r="E198" s="437"/>
      <c r="F198" s="437"/>
      <c r="G198" s="437"/>
      <c r="H198" s="437"/>
      <c r="I198" s="437"/>
      <c r="J198" s="437"/>
      <c r="K198" s="437"/>
      <c r="L198" s="437"/>
      <c r="M198" s="437"/>
      <c r="N198" s="437"/>
      <c r="O198" s="437"/>
      <c r="P198" s="437"/>
      <c r="Q198" s="437"/>
      <c r="R198" s="437"/>
      <c r="S198" s="437"/>
      <c r="T198" s="437"/>
      <c r="U198" s="437"/>
      <c r="V198" s="437"/>
      <c r="W198" s="437"/>
      <c r="X198" s="437"/>
      <c r="Y198" s="437"/>
      <c r="Z198" s="437"/>
      <c r="AA198" s="437"/>
      <c r="AB198" s="437"/>
      <c r="AC198" s="437"/>
      <c r="AD198" s="437"/>
      <c r="AE198" s="437"/>
      <c r="AF198" s="437"/>
      <c r="AG198" s="437"/>
      <c r="AH198" s="437"/>
      <c r="AI198" s="437"/>
      <c r="AJ198" s="437"/>
      <c r="AK198" s="437"/>
      <c r="AL198" s="437"/>
      <c r="AM198" s="437"/>
      <c r="AN198" s="437"/>
      <c r="AO198" s="437"/>
      <c r="AP198" s="437"/>
      <c r="AQ198" s="437"/>
      <c r="AR198" s="437"/>
      <c r="AS198" s="641"/>
      <c r="AT198" s="425"/>
      <c r="AU198" s="1215"/>
      <c r="AV198" s="425"/>
      <c r="AW198" s="425"/>
      <c r="AX198" s="425"/>
      <c r="AY198" s="1216"/>
      <c r="AZ198" s="425"/>
      <c r="BA198" s="1216"/>
      <c r="BB198" s="425"/>
      <c r="BC198" s="1216"/>
      <c r="BD198" s="425"/>
      <c r="BE198" s="425"/>
      <c r="BF198" s="443"/>
      <c r="BG198" s="425"/>
      <c r="BH198" s="413"/>
      <c r="BI198" s="413"/>
      <c r="BJ198" s="443"/>
      <c r="BK198" s="425"/>
      <c r="BL198" s="425"/>
      <c r="BM198" s="278">
        <f ca="1">BM196+BM185+BM163+BM144+BM142+BM105+BM80+BM54</f>
        <v>97836854.966934621</v>
      </c>
      <c r="BN198" s="278">
        <f ca="1">BN196+BN185+BN163+BN144+BN142+BN105+BN80+BN54</f>
        <v>169961225.11152479</v>
      </c>
      <c r="BO198" s="615"/>
      <c r="BP198" s="437"/>
    </row>
    <row r="199" spans="1:68" ht="13.5" customHeight="1" x14ac:dyDescent="0.2">
      <c r="A199" s="437"/>
      <c r="B199" s="437"/>
      <c r="C199" s="437"/>
      <c r="D199" s="437"/>
      <c r="E199" s="437"/>
      <c r="F199" s="437"/>
      <c r="G199" s="437"/>
      <c r="H199" s="437"/>
      <c r="I199" s="437"/>
      <c r="J199" s="437"/>
      <c r="K199" s="437"/>
      <c r="L199" s="437"/>
      <c r="M199" s="437"/>
      <c r="N199" s="437"/>
      <c r="O199" s="437"/>
      <c r="P199" s="437"/>
      <c r="Q199" s="437"/>
      <c r="R199" s="437"/>
      <c r="S199" s="437"/>
      <c r="T199" s="437"/>
      <c r="U199" s="437"/>
      <c r="V199" s="437"/>
      <c r="W199" s="437"/>
      <c r="X199" s="437"/>
      <c r="Y199" s="437"/>
      <c r="Z199" s="437"/>
      <c r="AA199" s="437"/>
      <c r="AB199" s="437"/>
      <c r="AC199" s="437"/>
      <c r="AD199" s="437"/>
      <c r="AE199" s="437"/>
      <c r="AF199" s="437"/>
      <c r="AG199" s="437"/>
      <c r="AH199" s="437"/>
      <c r="AI199" s="437"/>
      <c r="AJ199" s="437"/>
      <c r="AK199" s="437"/>
      <c r="AL199" s="437"/>
      <c r="AM199" s="437"/>
      <c r="AN199" s="437"/>
      <c r="AO199" s="437"/>
      <c r="AP199" s="437"/>
      <c r="AQ199" s="437"/>
      <c r="AR199" s="437"/>
      <c r="AS199" s="641"/>
      <c r="AT199" s="437"/>
      <c r="AU199" s="444"/>
      <c r="AV199" s="437"/>
      <c r="AW199" s="437"/>
      <c r="AX199" s="437"/>
      <c r="AY199" s="1281"/>
      <c r="AZ199" s="437"/>
      <c r="BA199" s="1281"/>
      <c r="BB199" s="437"/>
      <c r="BC199" s="1281"/>
      <c r="BD199" s="437"/>
      <c r="BE199" s="437"/>
      <c r="BF199" s="444"/>
      <c r="BG199" s="437"/>
      <c r="BH199" s="440"/>
      <c r="BI199" s="440"/>
      <c r="BJ199" s="444"/>
      <c r="BK199" s="437"/>
      <c r="BL199" s="437"/>
      <c r="BM199" s="437"/>
      <c r="BN199" s="437"/>
      <c r="BO199" s="615"/>
      <c r="BP199" s="437"/>
    </row>
    <row r="200" spans="1:68" ht="13.5" customHeight="1" x14ac:dyDescent="0.2">
      <c r="A200" s="437"/>
      <c r="B200" s="437"/>
      <c r="C200" s="437"/>
      <c r="D200" s="437"/>
      <c r="E200" s="437"/>
      <c r="F200" s="437"/>
      <c r="G200" s="437"/>
      <c r="H200" s="437"/>
      <c r="I200" s="437"/>
      <c r="J200" s="437"/>
      <c r="K200" s="437"/>
      <c r="L200" s="437"/>
      <c r="M200" s="437"/>
      <c r="N200" s="437"/>
      <c r="O200" s="437"/>
      <c r="P200" s="437"/>
      <c r="Q200" s="437"/>
      <c r="R200" s="437"/>
      <c r="S200" s="437"/>
      <c r="T200" s="437"/>
      <c r="U200" s="437"/>
      <c r="V200" s="437"/>
      <c r="W200" s="437"/>
      <c r="X200" s="437"/>
      <c r="Y200" s="437"/>
      <c r="Z200" s="437"/>
      <c r="AA200" s="437"/>
      <c r="AB200" s="437"/>
      <c r="AC200" s="437"/>
      <c r="AD200" s="437"/>
      <c r="AE200" s="437"/>
      <c r="AF200" s="437"/>
      <c r="AG200" s="437"/>
      <c r="AH200" s="437"/>
      <c r="AI200" s="437"/>
      <c r="AJ200" s="437"/>
      <c r="AK200" s="437"/>
      <c r="AL200" s="437"/>
      <c r="AM200" s="437"/>
      <c r="AN200" s="437"/>
      <c r="AO200" s="437"/>
      <c r="AP200" s="437"/>
      <c r="AQ200" s="437"/>
      <c r="AR200" s="437"/>
      <c r="AS200" s="641"/>
      <c r="AT200" s="437"/>
      <c r="AU200" s="444"/>
      <c r="AV200" s="437"/>
      <c r="AW200" s="437"/>
      <c r="AX200" s="437"/>
      <c r="AY200" s="1281"/>
      <c r="AZ200" s="437"/>
      <c r="BA200" s="1281"/>
      <c r="BB200" s="437"/>
      <c r="BC200" s="1281"/>
      <c r="BD200" s="437"/>
      <c r="BE200" s="437"/>
      <c r="BF200" s="444"/>
      <c r="BG200" s="437"/>
      <c r="BH200" s="440"/>
      <c r="BI200" s="440"/>
      <c r="BJ200" s="444"/>
      <c r="BK200" s="437"/>
      <c r="BL200" s="437"/>
      <c r="BM200" s="437"/>
      <c r="BN200" s="437"/>
      <c r="BO200" s="615"/>
      <c r="BP200" s="437"/>
    </row>
    <row r="201" spans="1:68" ht="13.5" customHeight="1" x14ac:dyDescent="0.2">
      <c r="A201" s="437"/>
      <c r="B201" s="437"/>
      <c r="C201" s="437"/>
      <c r="D201" s="437"/>
      <c r="E201" s="437"/>
      <c r="F201" s="437"/>
      <c r="G201" s="437"/>
      <c r="H201" s="437"/>
      <c r="I201" s="437"/>
      <c r="J201" s="437"/>
      <c r="K201" s="437"/>
      <c r="L201" s="437"/>
      <c r="M201" s="437"/>
      <c r="N201" s="437"/>
      <c r="O201" s="437"/>
      <c r="P201" s="437"/>
      <c r="Q201" s="437"/>
      <c r="R201" s="437"/>
      <c r="S201" s="437"/>
      <c r="T201" s="437"/>
      <c r="U201" s="437"/>
      <c r="V201" s="437"/>
      <c r="W201" s="437"/>
      <c r="X201" s="437"/>
      <c r="Y201" s="437"/>
      <c r="Z201" s="437"/>
      <c r="AA201" s="437"/>
      <c r="AB201" s="437"/>
      <c r="AC201" s="437"/>
      <c r="AD201" s="437"/>
      <c r="AE201" s="437"/>
      <c r="AF201" s="437"/>
      <c r="AG201" s="437"/>
      <c r="AH201" s="437"/>
      <c r="AI201" s="437"/>
      <c r="AJ201" s="437"/>
      <c r="AK201" s="437"/>
      <c r="AL201" s="437"/>
      <c r="AM201" s="437"/>
      <c r="AN201" s="437"/>
      <c r="AO201" s="437"/>
      <c r="AP201" s="437"/>
      <c r="AQ201" s="437"/>
      <c r="AR201" s="437"/>
      <c r="AS201" s="641"/>
      <c r="BO201" s="615"/>
      <c r="BP201" s="437"/>
    </row>
    <row r="202" spans="1:68" ht="13.5" customHeight="1" x14ac:dyDescent="0.2">
      <c r="A202" s="437"/>
      <c r="B202" s="437"/>
      <c r="C202" s="437"/>
      <c r="D202" s="437"/>
      <c r="E202" s="437"/>
      <c r="F202" s="437"/>
      <c r="G202" s="437"/>
      <c r="H202" s="437"/>
      <c r="I202" s="437"/>
      <c r="J202" s="437"/>
      <c r="K202" s="437"/>
      <c r="L202" s="437"/>
      <c r="M202" s="437"/>
      <c r="N202" s="437"/>
      <c r="O202" s="437"/>
      <c r="P202" s="437"/>
      <c r="Q202" s="437"/>
      <c r="R202" s="437"/>
      <c r="S202" s="437"/>
      <c r="T202" s="437"/>
      <c r="U202" s="437"/>
      <c r="V202" s="437"/>
      <c r="W202" s="437"/>
      <c r="X202" s="437"/>
      <c r="Y202" s="437"/>
      <c r="Z202" s="437"/>
      <c r="AA202" s="437"/>
      <c r="AB202" s="437"/>
      <c r="AC202" s="437"/>
      <c r="AD202" s="437"/>
      <c r="AE202" s="437"/>
      <c r="AF202" s="437"/>
      <c r="AG202" s="437"/>
      <c r="AH202" s="437"/>
      <c r="AI202" s="437"/>
      <c r="AJ202" s="437"/>
      <c r="AK202" s="437"/>
      <c r="AL202" s="437"/>
      <c r="AM202" s="437"/>
      <c r="AN202" s="437"/>
      <c r="AO202" s="437"/>
      <c r="AP202" s="437"/>
      <c r="AQ202" s="437"/>
      <c r="AR202" s="437"/>
      <c r="AS202" s="641"/>
      <c r="BO202" s="615"/>
      <c r="BP202" s="437"/>
    </row>
    <row r="203" spans="1:68" ht="13.5" customHeight="1" x14ac:dyDescent="0.2">
      <c r="A203" s="437"/>
      <c r="B203" s="437"/>
      <c r="C203" s="437"/>
      <c r="D203" s="437"/>
      <c r="E203" s="437"/>
      <c r="F203" s="437"/>
      <c r="G203" s="437"/>
      <c r="H203" s="437"/>
      <c r="I203" s="437"/>
      <c r="J203" s="437"/>
      <c r="K203" s="437"/>
      <c r="L203" s="437"/>
      <c r="M203" s="437"/>
      <c r="N203" s="437"/>
      <c r="O203" s="437"/>
      <c r="P203" s="437"/>
      <c r="Q203" s="437"/>
      <c r="R203" s="437"/>
      <c r="S203" s="437"/>
      <c r="T203" s="437"/>
      <c r="U203" s="437"/>
      <c r="V203" s="437"/>
      <c r="W203" s="437"/>
      <c r="X203" s="437"/>
      <c r="Y203" s="437"/>
      <c r="Z203" s="437"/>
      <c r="AA203" s="437"/>
      <c r="AB203" s="437"/>
      <c r="AC203" s="437"/>
      <c r="AD203" s="437"/>
      <c r="AE203" s="437"/>
      <c r="AF203" s="437"/>
      <c r="AG203" s="437"/>
      <c r="AH203" s="437"/>
      <c r="AI203" s="437"/>
      <c r="AJ203" s="437"/>
      <c r="AK203" s="437"/>
      <c r="AL203" s="437"/>
      <c r="AM203" s="437"/>
      <c r="AN203" s="437"/>
      <c r="AO203" s="437"/>
      <c r="AP203" s="437"/>
      <c r="AQ203" s="437"/>
      <c r="AR203" s="437"/>
      <c r="AS203" s="641"/>
      <c r="BO203" s="615"/>
      <c r="BP203" s="437"/>
    </row>
    <row r="204" spans="1:68" ht="13.5" customHeight="1" x14ac:dyDescent="0.2">
      <c r="A204" s="437"/>
      <c r="B204" s="437"/>
      <c r="C204" s="437"/>
      <c r="D204" s="437"/>
      <c r="E204" s="437"/>
      <c r="F204" s="437"/>
      <c r="G204" s="437"/>
      <c r="H204" s="437"/>
      <c r="I204" s="437"/>
      <c r="J204" s="437"/>
      <c r="K204" s="437"/>
      <c r="L204" s="437"/>
      <c r="M204" s="437"/>
      <c r="N204" s="437"/>
      <c r="O204" s="437"/>
      <c r="P204" s="437"/>
      <c r="Q204" s="437"/>
      <c r="R204" s="437"/>
      <c r="S204" s="437"/>
      <c r="T204" s="437"/>
      <c r="U204" s="437"/>
      <c r="V204" s="437"/>
      <c r="W204" s="437"/>
      <c r="X204" s="437"/>
      <c r="Y204" s="437"/>
      <c r="Z204" s="437"/>
      <c r="AA204" s="437"/>
      <c r="AB204" s="437"/>
      <c r="AC204" s="437"/>
      <c r="AD204" s="437"/>
      <c r="AE204" s="437"/>
      <c r="AF204" s="437"/>
      <c r="AG204" s="437"/>
      <c r="AH204" s="437"/>
      <c r="AI204" s="437"/>
      <c r="AJ204" s="437"/>
      <c r="AK204" s="437"/>
      <c r="AL204" s="437"/>
      <c r="AM204" s="437"/>
      <c r="AN204" s="437"/>
      <c r="AO204" s="437"/>
      <c r="AP204" s="437"/>
      <c r="AQ204" s="437"/>
      <c r="AR204" s="437"/>
      <c r="AS204" s="641"/>
      <c r="BO204" s="615"/>
      <c r="BP204" s="437"/>
    </row>
    <row r="205" spans="1:68" ht="13.5" customHeight="1" x14ac:dyDescent="0.2">
      <c r="A205" s="437"/>
      <c r="B205" s="437"/>
      <c r="C205" s="437"/>
      <c r="D205" s="437"/>
      <c r="E205" s="437"/>
      <c r="F205" s="437"/>
      <c r="G205" s="437"/>
      <c r="H205" s="437"/>
      <c r="I205" s="437"/>
      <c r="J205" s="437"/>
      <c r="K205" s="437"/>
      <c r="L205" s="437"/>
      <c r="M205" s="437"/>
      <c r="N205" s="437"/>
      <c r="O205" s="437"/>
      <c r="P205" s="437"/>
      <c r="Q205" s="437"/>
      <c r="R205" s="437"/>
      <c r="S205" s="437"/>
      <c r="T205" s="437"/>
      <c r="U205" s="437"/>
      <c r="V205" s="437"/>
      <c r="W205" s="437"/>
      <c r="X205" s="437"/>
      <c r="Y205" s="437"/>
      <c r="Z205" s="437"/>
      <c r="AA205" s="437"/>
      <c r="AB205" s="437"/>
      <c r="AC205" s="437"/>
      <c r="AD205" s="437"/>
      <c r="AE205" s="437"/>
      <c r="AF205" s="437"/>
      <c r="AG205" s="437"/>
      <c r="AH205" s="437"/>
      <c r="AI205" s="437"/>
      <c r="AJ205" s="437"/>
      <c r="AK205" s="437"/>
      <c r="AL205" s="437"/>
      <c r="AM205" s="437"/>
      <c r="AN205" s="437"/>
      <c r="AO205" s="437"/>
      <c r="AP205" s="437"/>
      <c r="AQ205" s="437"/>
      <c r="AR205" s="437"/>
      <c r="AS205" s="641"/>
      <c r="BO205" s="615"/>
      <c r="BP205" s="437"/>
    </row>
    <row r="206" spans="1:68" ht="13.5" customHeight="1" x14ac:dyDescent="0.2">
      <c r="A206" s="437"/>
      <c r="B206" s="437"/>
      <c r="C206" s="437"/>
      <c r="D206" s="437"/>
      <c r="E206" s="437"/>
      <c r="F206" s="437"/>
      <c r="G206" s="437"/>
      <c r="H206" s="437"/>
      <c r="I206" s="437"/>
      <c r="J206" s="437"/>
      <c r="K206" s="437"/>
      <c r="L206" s="437"/>
      <c r="M206" s="437"/>
      <c r="N206" s="437"/>
      <c r="O206" s="437"/>
      <c r="P206" s="437"/>
      <c r="Q206" s="437"/>
      <c r="R206" s="437"/>
      <c r="S206" s="437"/>
      <c r="T206" s="437"/>
      <c r="U206" s="437"/>
      <c r="V206" s="437"/>
      <c r="W206" s="437"/>
      <c r="X206" s="437"/>
      <c r="Y206" s="437"/>
      <c r="Z206" s="437"/>
      <c r="AA206" s="437"/>
      <c r="AB206" s="437"/>
      <c r="AC206" s="437"/>
      <c r="AD206" s="437"/>
      <c r="AE206" s="437"/>
      <c r="AF206" s="437"/>
      <c r="AG206" s="437"/>
      <c r="AH206" s="437"/>
      <c r="AI206" s="437"/>
      <c r="AJ206" s="437"/>
      <c r="AK206" s="437"/>
      <c r="AL206" s="437"/>
      <c r="AM206" s="437"/>
      <c r="AN206" s="437"/>
      <c r="AO206" s="437"/>
      <c r="AP206" s="437"/>
      <c r="AQ206" s="437"/>
      <c r="AR206" s="437"/>
      <c r="AS206" s="641"/>
      <c r="BO206" s="615"/>
      <c r="BP206" s="437"/>
    </row>
    <row r="207" spans="1:68" ht="13.5" customHeight="1" x14ac:dyDescent="0.2">
      <c r="A207" s="437"/>
      <c r="B207" s="437"/>
      <c r="C207" s="437"/>
      <c r="D207" s="437"/>
      <c r="E207" s="437"/>
      <c r="F207" s="437"/>
      <c r="G207" s="437"/>
      <c r="H207" s="437"/>
      <c r="I207" s="437"/>
      <c r="J207" s="437"/>
      <c r="K207" s="437"/>
      <c r="L207" s="437"/>
      <c r="M207" s="437"/>
      <c r="N207" s="437"/>
      <c r="O207" s="437"/>
      <c r="P207" s="437"/>
      <c r="Q207" s="437"/>
      <c r="R207" s="437"/>
      <c r="S207" s="437"/>
      <c r="T207" s="437"/>
      <c r="U207" s="437"/>
      <c r="V207" s="437"/>
      <c r="W207" s="437"/>
      <c r="X207" s="437"/>
      <c r="Y207" s="437"/>
      <c r="Z207" s="437"/>
      <c r="AA207" s="437"/>
      <c r="AB207" s="437"/>
      <c r="AC207" s="437"/>
      <c r="AD207" s="437"/>
      <c r="AE207" s="437"/>
      <c r="AF207" s="437"/>
      <c r="AG207" s="437"/>
      <c r="AH207" s="437"/>
      <c r="AI207" s="437"/>
      <c r="AJ207" s="437"/>
      <c r="AK207" s="437"/>
      <c r="AL207" s="437"/>
      <c r="AM207" s="437"/>
      <c r="AN207" s="437"/>
      <c r="AO207" s="437"/>
      <c r="AP207" s="437"/>
      <c r="AQ207" s="437"/>
      <c r="AR207" s="437"/>
      <c r="AS207" s="641"/>
      <c r="BO207" s="615"/>
      <c r="BP207" s="437"/>
    </row>
    <row r="208" spans="1:68" ht="13.5" customHeight="1" x14ac:dyDescent="0.2">
      <c r="A208" s="437"/>
      <c r="B208" s="437"/>
      <c r="C208" s="437"/>
      <c r="D208" s="437"/>
      <c r="E208" s="437"/>
      <c r="F208" s="437"/>
      <c r="G208" s="437"/>
      <c r="H208" s="437"/>
      <c r="I208" s="437"/>
      <c r="J208" s="437"/>
      <c r="K208" s="437"/>
      <c r="L208" s="437"/>
      <c r="M208" s="437"/>
      <c r="N208" s="437"/>
      <c r="O208" s="437"/>
      <c r="P208" s="437"/>
      <c r="Q208" s="437"/>
      <c r="R208" s="437"/>
      <c r="S208" s="437"/>
      <c r="T208" s="437"/>
      <c r="U208" s="437"/>
      <c r="V208" s="437"/>
      <c r="W208" s="437"/>
      <c r="X208" s="437"/>
      <c r="Y208" s="437"/>
      <c r="Z208" s="437"/>
      <c r="AA208" s="437"/>
      <c r="AB208" s="437"/>
      <c r="AC208" s="437"/>
      <c r="AD208" s="437"/>
      <c r="AE208" s="437"/>
      <c r="AF208" s="437"/>
      <c r="AG208" s="437"/>
      <c r="AH208" s="437"/>
      <c r="AI208" s="437"/>
      <c r="AJ208" s="437"/>
      <c r="AK208" s="437"/>
      <c r="AL208" s="437"/>
      <c r="AM208" s="437"/>
      <c r="AN208" s="437"/>
      <c r="AO208" s="437"/>
      <c r="AP208" s="437"/>
      <c r="AQ208" s="437"/>
      <c r="AR208" s="437"/>
      <c r="AS208" s="641"/>
      <c r="BO208" s="615"/>
      <c r="BP208" s="437"/>
    </row>
    <row r="209" spans="1:68" ht="13.5" customHeight="1" x14ac:dyDescent="0.2">
      <c r="A209" s="437"/>
      <c r="B209" s="437"/>
      <c r="C209" s="437"/>
      <c r="D209" s="437"/>
      <c r="E209" s="437"/>
      <c r="F209" s="437"/>
      <c r="G209" s="437"/>
      <c r="H209" s="437"/>
      <c r="I209" s="437"/>
      <c r="J209" s="437"/>
      <c r="K209" s="437"/>
      <c r="L209" s="437"/>
      <c r="M209" s="437"/>
      <c r="N209" s="437"/>
      <c r="O209" s="437"/>
      <c r="P209" s="437"/>
      <c r="Q209" s="437"/>
      <c r="R209" s="437"/>
      <c r="S209" s="437"/>
      <c r="T209" s="437"/>
      <c r="U209" s="437"/>
      <c r="V209" s="437"/>
      <c r="W209" s="437"/>
      <c r="X209" s="437"/>
      <c r="Y209" s="437"/>
      <c r="Z209" s="437"/>
      <c r="AA209" s="437"/>
      <c r="AB209" s="437"/>
      <c r="AC209" s="437"/>
      <c r="AD209" s="437"/>
      <c r="AE209" s="437"/>
      <c r="AF209" s="437"/>
      <c r="AG209" s="437"/>
      <c r="AH209" s="437"/>
      <c r="AI209" s="437"/>
      <c r="AJ209" s="437"/>
      <c r="AK209" s="437"/>
      <c r="AL209" s="437"/>
      <c r="AM209" s="437"/>
      <c r="AN209" s="437"/>
      <c r="AO209" s="437"/>
      <c r="AP209" s="437"/>
      <c r="AQ209" s="437"/>
      <c r="AR209" s="437"/>
      <c r="AS209" s="641"/>
      <c r="BO209" s="615"/>
      <c r="BP209" s="437"/>
    </row>
    <row r="210" spans="1:68" ht="13.5" customHeight="1" x14ac:dyDescent="0.2">
      <c r="A210" s="437"/>
      <c r="B210" s="437"/>
      <c r="C210" s="437"/>
      <c r="D210" s="437"/>
      <c r="E210" s="437"/>
      <c r="F210" s="437"/>
      <c r="G210" s="437"/>
      <c r="H210" s="437"/>
      <c r="I210" s="437"/>
      <c r="J210" s="437"/>
      <c r="K210" s="437"/>
      <c r="L210" s="437"/>
      <c r="M210" s="437"/>
      <c r="N210" s="437"/>
      <c r="O210" s="437"/>
      <c r="P210" s="437"/>
      <c r="Q210" s="437"/>
      <c r="R210" s="437"/>
      <c r="S210" s="437"/>
      <c r="T210" s="437"/>
      <c r="U210" s="437"/>
      <c r="V210" s="437"/>
      <c r="W210" s="437"/>
      <c r="X210" s="437"/>
      <c r="Y210" s="437"/>
      <c r="Z210" s="437"/>
      <c r="AA210" s="437"/>
      <c r="AB210" s="437"/>
      <c r="AC210" s="437"/>
      <c r="AD210" s="437"/>
      <c r="AE210" s="437"/>
      <c r="AF210" s="437"/>
      <c r="AG210" s="437"/>
      <c r="AH210" s="437"/>
      <c r="AI210" s="437"/>
      <c r="AJ210" s="437"/>
      <c r="AK210" s="437"/>
      <c r="AL210" s="437"/>
      <c r="AM210" s="437"/>
      <c r="AN210" s="437"/>
      <c r="AO210" s="437"/>
      <c r="AP210" s="437"/>
      <c r="AQ210" s="437"/>
      <c r="AR210" s="437"/>
      <c r="AS210" s="641"/>
      <c r="BO210" s="615"/>
      <c r="BP210" s="437"/>
    </row>
    <row r="211" spans="1:68" ht="13.5" customHeight="1" x14ac:dyDescent="0.2">
      <c r="A211" s="437"/>
      <c r="B211" s="437"/>
      <c r="C211" s="437"/>
      <c r="D211" s="437"/>
      <c r="E211" s="437"/>
      <c r="F211" s="437"/>
      <c r="G211" s="437"/>
      <c r="H211" s="437"/>
      <c r="I211" s="437"/>
      <c r="J211" s="437"/>
      <c r="K211" s="437"/>
      <c r="L211" s="437"/>
      <c r="M211" s="437"/>
      <c r="N211" s="437"/>
      <c r="O211" s="437"/>
      <c r="P211" s="437"/>
      <c r="Q211" s="437"/>
      <c r="R211" s="437"/>
      <c r="S211" s="437"/>
      <c r="T211" s="437"/>
      <c r="U211" s="437"/>
      <c r="V211" s="437"/>
      <c r="W211" s="437"/>
      <c r="X211" s="437"/>
      <c r="Y211" s="437"/>
      <c r="Z211" s="437"/>
      <c r="AA211" s="437"/>
      <c r="AB211" s="437"/>
      <c r="AC211" s="437"/>
      <c r="AD211" s="437"/>
      <c r="AE211" s="437"/>
      <c r="AF211" s="437"/>
      <c r="AG211" s="437"/>
      <c r="AH211" s="437"/>
      <c r="AI211" s="437"/>
      <c r="AJ211" s="437"/>
      <c r="AK211" s="437"/>
      <c r="AL211" s="437"/>
      <c r="AM211" s="437"/>
      <c r="AN211" s="437"/>
      <c r="AO211" s="437"/>
      <c r="AP211" s="437"/>
      <c r="AQ211" s="437"/>
      <c r="AR211" s="437"/>
      <c r="AS211" s="641"/>
      <c r="BO211" s="615"/>
      <c r="BP211" s="437"/>
    </row>
    <row r="212" spans="1:68" ht="13.5" customHeight="1" x14ac:dyDescent="0.2">
      <c r="A212" s="437"/>
      <c r="B212" s="437"/>
      <c r="C212" s="437"/>
      <c r="D212" s="437"/>
      <c r="E212" s="437"/>
      <c r="F212" s="437"/>
      <c r="G212" s="437"/>
      <c r="H212" s="437"/>
      <c r="I212" s="437"/>
      <c r="J212" s="437"/>
      <c r="K212" s="437"/>
      <c r="L212" s="437"/>
      <c r="M212" s="437"/>
      <c r="N212" s="437"/>
      <c r="O212" s="437"/>
      <c r="P212" s="437"/>
      <c r="Q212" s="437"/>
      <c r="R212" s="437"/>
      <c r="S212" s="437"/>
      <c r="T212" s="437"/>
      <c r="U212" s="437"/>
      <c r="V212" s="437"/>
      <c r="W212" s="437"/>
      <c r="X212" s="437"/>
      <c r="Y212" s="437"/>
      <c r="Z212" s="437"/>
      <c r="AA212" s="437"/>
      <c r="AB212" s="437"/>
      <c r="AC212" s="437"/>
      <c r="AD212" s="437"/>
      <c r="AE212" s="437"/>
      <c r="AF212" s="437"/>
      <c r="AG212" s="437"/>
      <c r="AH212" s="437"/>
      <c r="AI212" s="437"/>
      <c r="AJ212" s="437"/>
      <c r="AK212" s="437"/>
      <c r="AL212" s="437"/>
      <c r="AM212" s="437"/>
      <c r="AN212" s="437"/>
      <c r="AO212" s="437"/>
      <c r="AP212" s="437"/>
      <c r="AQ212" s="437"/>
      <c r="AR212" s="437"/>
      <c r="AS212" s="641"/>
      <c r="BO212" s="615"/>
      <c r="BP212" s="437"/>
    </row>
    <row r="213" spans="1:68" ht="13.5" customHeight="1" x14ac:dyDescent="0.2">
      <c r="A213" s="437"/>
      <c r="B213" s="437"/>
      <c r="C213" s="437"/>
      <c r="D213" s="437"/>
      <c r="E213" s="437"/>
      <c r="F213" s="437"/>
      <c r="G213" s="437"/>
      <c r="H213" s="437"/>
      <c r="I213" s="437"/>
      <c r="J213" s="437"/>
      <c r="K213" s="437"/>
      <c r="L213" s="437"/>
      <c r="M213" s="437"/>
      <c r="N213" s="437"/>
      <c r="O213" s="437"/>
      <c r="P213" s="437"/>
      <c r="Q213" s="437"/>
      <c r="R213" s="437"/>
      <c r="S213" s="437"/>
      <c r="T213" s="437"/>
      <c r="U213" s="437"/>
      <c r="V213" s="437"/>
      <c r="W213" s="437"/>
      <c r="X213" s="437"/>
      <c r="Y213" s="437"/>
      <c r="Z213" s="437"/>
      <c r="AA213" s="437"/>
      <c r="AB213" s="437"/>
      <c r="AC213" s="437"/>
      <c r="AD213" s="437"/>
      <c r="AE213" s="437"/>
      <c r="AF213" s="437"/>
      <c r="AG213" s="437"/>
      <c r="AH213" s="437"/>
      <c r="AI213" s="437"/>
      <c r="AJ213" s="437"/>
      <c r="AK213" s="437"/>
      <c r="AL213" s="437"/>
      <c r="AM213" s="437"/>
      <c r="AN213" s="437"/>
      <c r="AO213" s="437"/>
      <c r="AP213" s="437"/>
      <c r="AQ213" s="437"/>
      <c r="AR213" s="437"/>
      <c r="AS213" s="641"/>
      <c r="BO213" s="615"/>
      <c r="BP213" s="437"/>
    </row>
    <row r="214" spans="1:68" ht="13.5" customHeight="1" x14ac:dyDescent="0.2">
      <c r="A214" s="437"/>
      <c r="B214" s="437"/>
      <c r="C214" s="437"/>
      <c r="D214" s="437"/>
      <c r="E214" s="437"/>
      <c r="F214" s="437"/>
      <c r="G214" s="437"/>
      <c r="H214" s="437"/>
      <c r="I214" s="437"/>
      <c r="J214" s="437"/>
      <c r="K214" s="437"/>
      <c r="L214" s="437"/>
      <c r="M214" s="437"/>
      <c r="N214" s="437"/>
      <c r="O214" s="437"/>
      <c r="P214" s="437"/>
      <c r="Q214" s="437"/>
      <c r="R214" s="437"/>
      <c r="S214" s="437"/>
      <c r="T214" s="437"/>
      <c r="U214" s="437"/>
      <c r="V214" s="437"/>
      <c r="W214" s="437"/>
      <c r="X214" s="437"/>
      <c r="Y214" s="437"/>
      <c r="Z214" s="437"/>
      <c r="AA214" s="437"/>
      <c r="AB214" s="437"/>
      <c r="AC214" s="437"/>
      <c r="AD214" s="437"/>
      <c r="AE214" s="437"/>
      <c r="AF214" s="437"/>
      <c r="AG214" s="437"/>
      <c r="AH214" s="437"/>
      <c r="AI214" s="437"/>
      <c r="AJ214" s="437"/>
      <c r="AK214" s="437"/>
      <c r="AL214" s="437"/>
      <c r="AM214" s="437"/>
      <c r="AN214" s="437"/>
      <c r="AO214" s="437"/>
      <c r="AP214" s="437"/>
      <c r="AQ214" s="437"/>
      <c r="AR214" s="437"/>
      <c r="AS214" s="641"/>
      <c r="BO214" s="615"/>
      <c r="BP214" s="437"/>
    </row>
    <row r="215" spans="1:68" ht="13.5" customHeight="1" x14ac:dyDescent="0.2">
      <c r="A215" s="437"/>
      <c r="B215" s="437"/>
      <c r="C215" s="437"/>
      <c r="D215" s="437"/>
      <c r="E215" s="437"/>
      <c r="F215" s="437"/>
      <c r="G215" s="437"/>
      <c r="H215" s="437"/>
      <c r="I215" s="437"/>
      <c r="J215" s="437"/>
      <c r="K215" s="437"/>
      <c r="L215" s="437"/>
      <c r="M215" s="437"/>
      <c r="N215" s="437"/>
      <c r="O215" s="437"/>
      <c r="P215" s="437"/>
      <c r="Q215" s="437"/>
      <c r="R215" s="437"/>
      <c r="S215" s="437"/>
      <c r="T215" s="437"/>
      <c r="U215" s="437"/>
      <c r="V215" s="437"/>
      <c r="W215" s="437"/>
      <c r="X215" s="437"/>
      <c r="Y215" s="437"/>
      <c r="Z215" s="437"/>
      <c r="AA215" s="437"/>
      <c r="AB215" s="437"/>
      <c r="AC215" s="437"/>
      <c r="AD215" s="437"/>
      <c r="AE215" s="437"/>
      <c r="AF215" s="437"/>
      <c r="AG215" s="437"/>
      <c r="AH215" s="437"/>
      <c r="AI215" s="437"/>
      <c r="AJ215" s="437"/>
      <c r="AK215" s="437"/>
      <c r="AL215" s="437"/>
      <c r="AM215" s="437"/>
      <c r="AN215" s="437"/>
      <c r="AO215" s="437"/>
      <c r="AP215" s="437"/>
      <c r="AQ215" s="437"/>
      <c r="AR215" s="437"/>
      <c r="AS215" s="641"/>
      <c r="BO215" s="615"/>
      <c r="BP215" s="437"/>
    </row>
    <row r="216" spans="1:68" ht="13.5" customHeight="1" x14ac:dyDescent="0.2">
      <c r="A216" s="437"/>
      <c r="B216" s="437"/>
      <c r="C216" s="437"/>
      <c r="D216" s="437"/>
      <c r="E216" s="437"/>
      <c r="F216" s="437"/>
      <c r="G216" s="437"/>
      <c r="H216" s="437"/>
      <c r="I216" s="437"/>
      <c r="J216" s="437"/>
      <c r="K216" s="437"/>
      <c r="L216" s="437"/>
      <c r="M216" s="437"/>
      <c r="N216" s="437"/>
      <c r="O216" s="437"/>
      <c r="P216" s="437"/>
      <c r="Q216" s="437"/>
      <c r="R216" s="437"/>
      <c r="S216" s="437"/>
      <c r="T216" s="437"/>
      <c r="U216" s="437"/>
      <c r="V216" s="437"/>
      <c r="W216" s="437"/>
      <c r="X216" s="437"/>
      <c r="Y216" s="437"/>
      <c r="Z216" s="437"/>
      <c r="AA216" s="437"/>
      <c r="AB216" s="437"/>
      <c r="AC216" s="437"/>
      <c r="AD216" s="437"/>
      <c r="AE216" s="437"/>
      <c r="AF216" s="437"/>
      <c r="AG216" s="437"/>
      <c r="AH216" s="437"/>
      <c r="AI216" s="437"/>
      <c r="AJ216" s="437"/>
      <c r="AK216" s="437"/>
      <c r="AL216" s="437"/>
      <c r="AM216" s="437"/>
      <c r="AN216" s="437"/>
      <c r="AO216" s="437"/>
      <c r="AP216" s="437"/>
      <c r="AQ216" s="437"/>
      <c r="AR216" s="437"/>
      <c r="AS216" s="641"/>
      <c r="BO216" s="615"/>
      <c r="BP216" s="437"/>
    </row>
    <row r="217" spans="1:68" ht="13.5" customHeight="1" x14ac:dyDescent="0.2">
      <c r="A217" s="437"/>
      <c r="B217" s="437"/>
      <c r="C217" s="437"/>
      <c r="D217" s="437"/>
      <c r="E217" s="437"/>
      <c r="F217" s="437"/>
      <c r="G217" s="437"/>
      <c r="AS217" s="437"/>
      <c r="BO217" s="615"/>
      <c r="BP217" s="437"/>
    </row>
    <row r="218" spans="1:68" ht="13.5" customHeight="1" x14ac:dyDescent="0.25">
      <c r="A218" s="437"/>
      <c r="B218" s="437"/>
      <c r="C218" s="437"/>
      <c r="D218" s="437"/>
      <c r="E218" s="437"/>
      <c r="F218" s="437"/>
      <c r="G218" s="437"/>
      <c r="AS218" s="437"/>
      <c r="BO218" s="425"/>
      <c r="BP218" s="437"/>
    </row>
    <row r="219" spans="1:68" ht="13.5" customHeight="1" x14ac:dyDescent="0.2">
      <c r="A219" s="437"/>
      <c r="B219" s="437"/>
      <c r="C219" s="437"/>
      <c r="D219" s="437"/>
      <c r="E219" s="437"/>
      <c r="F219" s="437"/>
      <c r="G219" s="437"/>
    </row>
    <row r="220" spans="1:68" ht="13.5" customHeight="1" x14ac:dyDescent="0.2"/>
    <row r="221" spans="1:68" ht="13.5" customHeight="1" x14ac:dyDescent="0.2"/>
    <row r="222" spans="1:68" ht="13.5" customHeight="1" x14ac:dyDescent="0.2"/>
    <row r="223" spans="1:68" ht="13.5" customHeight="1" x14ac:dyDescent="0.2"/>
    <row r="224" spans="1:68" ht="13.5" customHeight="1" x14ac:dyDescent="0.2"/>
    <row r="225" ht="13.5" customHeight="1" x14ac:dyDescent="0.2"/>
    <row r="226" ht="13.5" customHeight="1" x14ac:dyDescent="0.2"/>
    <row r="227" ht="13.5" customHeight="1" x14ac:dyDescent="0.2"/>
    <row r="228" ht="13.5" customHeight="1" x14ac:dyDescent="0.2"/>
    <row r="229" ht="13.5" customHeight="1" x14ac:dyDescent="0.2"/>
    <row r="230" ht="13.5" customHeight="1" x14ac:dyDescent="0.2"/>
    <row r="231" ht="13.5" customHeight="1" x14ac:dyDescent="0.2"/>
    <row r="232" ht="13.5" customHeight="1" x14ac:dyDescent="0.2"/>
    <row r="233" ht="13.5" customHeight="1" x14ac:dyDescent="0.2"/>
    <row r="234" ht="13.5" customHeight="1" x14ac:dyDescent="0.2"/>
    <row r="235" ht="13.5" customHeight="1" x14ac:dyDescent="0.2"/>
    <row r="236" ht="13.5" customHeight="1" x14ac:dyDescent="0.2"/>
    <row r="237" ht="13.5" customHeight="1" x14ac:dyDescent="0.2"/>
    <row r="238" ht="13.5" customHeight="1" x14ac:dyDescent="0.2"/>
    <row r="239" ht="13.5" customHeight="1" x14ac:dyDescent="0.2"/>
    <row r="240" ht="13.5" customHeight="1" x14ac:dyDescent="0.2"/>
    <row r="241" ht="13.5" customHeight="1" x14ac:dyDescent="0.2"/>
    <row r="242" ht="13.5" customHeight="1" x14ac:dyDescent="0.2"/>
    <row r="243" ht="13.5" customHeight="1" x14ac:dyDescent="0.2"/>
    <row r="244" ht="13.5" customHeight="1" x14ac:dyDescent="0.2"/>
    <row r="245" ht="13.5" customHeight="1" x14ac:dyDescent="0.2"/>
    <row r="246" ht="13.5" customHeight="1" x14ac:dyDescent="0.2"/>
    <row r="247" ht="13.5" customHeight="1" x14ac:dyDescent="0.2"/>
    <row r="248" ht="13.5" customHeight="1" x14ac:dyDescent="0.2"/>
    <row r="249" ht="13.5" customHeight="1" x14ac:dyDescent="0.2"/>
    <row r="250" ht="13.5" customHeight="1" x14ac:dyDescent="0.2"/>
    <row r="251" ht="13.5" customHeight="1" x14ac:dyDescent="0.2"/>
    <row r="252" ht="13.5" customHeight="1" x14ac:dyDescent="0.2"/>
    <row r="253" ht="13.5" customHeight="1" x14ac:dyDescent="0.2"/>
    <row r="254" ht="13.5" customHeight="1" x14ac:dyDescent="0.2"/>
    <row r="255" ht="13.5" customHeight="1" x14ac:dyDescent="0.2"/>
    <row r="256" ht="13.5" customHeight="1" x14ac:dyDescent="0.2"/>
    <row r="257" ht="13.5" customHeight="1" x14ac:dyDescent="0.2"/>
    <row r="258" ht="13.5" customHeight="1" x14ac:dyDescent="0.2"/>
    <row r="259" ht="13.5" customHeight="1" x14ac:dyDescent="0.2"/>
    <row r="260" ht="13.5" customHeight="1" x14ac:dyDescent="0.2"/>
    <row r="261" ht="13.5" customHeight="1" x14ac:dyDescent="0.2"/>
    <row r="262" ht="13.5" customHeight="1" x14ac:dyDescent="0.2"/>
    <row r="263" ht="13.5" customHeight="1" x14ac:dyDescent="0.2"/>
    <row r="264" ht="13.5" customHeight="1" x14ac:dyDescent="0.2"/>
    <row r="265" ht="13.5" customHeight="1" x14ac:dyDescent="0.2"/>
    <row r="266" ht="13.5" customHeight="1" x14ac:dyDescent="0.2"/>
    <row r="267" ht="13.5" customHeight="1" x14ac:dyDescent="0.2"/>
    <row r="268" ht="13.5" customHeight="1" x14ac:dyDescent="0.2"/>
    <row r="269" ht="13.5" customHeight="1" x14ac:dyDescent="0.2"/>
    <row r="270" ht="13.5" customHeight="1" x14ac:dyDescent="0.2"/>
    <row r="271" ht="13.5" customHeight="1" x14ac:dyDescent="0.2"/>
    <row r="272" ht="13.5" customHeight="1" x14ac:dyDescent="0.2"/>
    <row r="273" ht="13.5" customHeight="1" x14ac:dyDescent="0.2"/>
    <row r="274" ht="13.5" customHeight="1" x14ac:dyDescent="0.2"/>
    <row r="275" ht="13.5" customHeight="1" x14ac:dyDescent="0.2"/>
    <row r="276" ht="13.5" customHeight="1" x14ac:dyDescent="0.2"/>
    <row r="277" ht="13.5" customHeight="1" x14ac:dyDescent="0.2"/>
    <row r="278" ht="13.5" customHeight="1" x14ac:dyDescent="0.2"/>
    <row r="279" ht="13.5" customHeight="1" x14ac:dyDescent="0.2"/>
    <row r="280" ht="13.5" customHeight="1" x14ac:dyDescent="0.2"/>
    <row r="281" ht="13.5" customHeight="1" x14ac:dyDescent="0.2"/>
    <row r="282" ht="13.5" customHeight="1" x14ac:dyDescent="0.2"/>
    <row r="283" ht="13.5" customHeight="1" x14ac:dyDescent="0.2"/>
    <row r="284" ht="13.5" customHeight="1" x14ac:dyDescent="0.2"/>
    <row r="285" ht="13.5" customHeight="1" x14ac:dyDescent="0.2"/>
    <row r="286" ht="13.5" customHeight="1" x14ac:dyDescent="0.2"/>
    <row r="287" ht="13.5" customHeight="1" x14ac:dyDescent="0.2"/>
    <row r="288" ht="13.5" customHeight="1" x14ac:dyDescent="0.2"/>
    <row r="289" ht="13.5" customHeight="1" x14ac:dyDescent="0.2"/>
    <row r="290" ht="13.5" customHeight="1" x14ac:dyDescent="0.2"/>
    <row r="291" ht="13.5" customHeight="1" x14ac:dyDescent="0.2"/>
    <row r="292" ht="13.5" customHeight="1" x14ac:dyDescent="0.2"/>
    <row r="293" ht="13.5" customHeight="1" x14ac:dyDescent="0.2"/>
    <row r="294" ht="13.5" customHeight="1" x14ac:dyDescent="0.2"/>
    <row r="295" ht="13.5" customHeight="1" x14ac:dyDescent="0.2"/>
    <row r="296" ht="13.5" customHeight="1" x14ac:dyDescent="0.2"/>
    <row r="297" ht="13.5" customHeight="1" x14ac:dyDescent="0.2"/>
    <row r="298" ht="13.5" customHeight="1" x14ac:dyDescent="0.2"/>
    <row r="299" ht="13.5" customHeight="1" x14ac:dyDescent="0.2"/>
    <row r="300" ht="13.5" customHeight="1" x14ac:dyDescent="0.2"/>
    <row r="301" ht="13.5" customHeight="1" x14ac:dyDescent="0.2"/>
    <row r="302" ht="13.5" customHeight="1" x14ac:dyDescent="0.2"/>
    <row r="303" ht="13.5" customHeight="1" x14ac:dyDescent="0.2"/>
    <row r="304" ht="13.5" customHeight="1" x14ac:dyDescent="0.2"/>
    <row r="305" ht="13.5" customHeight="1" x14ac:dyDescent="0.2"/>
    <row r="306" ht="13.5" customHeight="1" x14ac:dyDescent="0.2"/>
    <row r="307" ht="13.5" customHeight="1" x14ac:dyDescent="0.2"/>
    <row r="308" ht="13.5" customHeight="1" x14ac:dyDescent="0.2"/>
    <row r="309" ht="13.5" customHeight="1" x14ac:dyDescent="0.2"/>
    <row r="310" ht="13.5" customHeight="1" x14ac:dyDescent="0.2"/>
    <row r="311" ht="13.5" customHeight="1" x14ac:dyDescent="0.2"/>
    <row r="312" ht="13.5" customHeight="1" x14ac:dyDescent="0.2"/>
    <row r="313" ht="13.5" customHeight="1" x14ac:dyDescent="0.2"/>
    <row r="314" ht="13.5" customHeight="1" x14ac:dyDescent="0.2"/>
    <row r="315" ht="13.5" customHeight="1" x14ac:dyDescent="0.2"/>
    <row r="316" ht="13.5" customHeight="1" x14ac:dyDescent="0.2"/>
    <row r="317" ht="13.5" customHeight="1" x14ac:dyDescent="0.2"/>
  </sheetData>
  <mergeCells count="7">
    <mergeCell ref="D13:F13"/>
    <mergeCell ref="L5:M5"/>
    <mergeCell ref="L6:M6"/>
    <mergeCell ref="A1:F1"/>
    <mergeCell ref="A2:F2"/>
    <mergeCell ref="A3:F3"/>
    <mergeCell ref="A4:F4"/>
  </mergeCells>
  <dataValidations count="1">
    <dataValidation type="list" allowBlank="1" showInputMessage="1" showErrorMessage="1" sqref="L6:M6" xr:uid="{00000000-0002-0000-0C00-000000000000}">
      <formula1>"Concentrated sugars, Dilute sugars"</formula1>
    </dataValidation>
  </dataValidation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73060" r:id="rId4" name="CommandButton1">
          <controlPr defaultSize="0" autoLine="0" r:id="rId5">
            <anchor moveWithCells="1">
              <from>
                <xdr:col>8</xdr:col>
                <xdr:colOff>297180</xdr:colOff>
                <xdr:row>0</xdr:row>
                <xdr:rowOff>22860</xdr:rowOff>
              </from>
              <to>
                <xdr:col>8</xdr:col>
                <xdr:colOff>2011680</xdr:colOff>
                <xdr:row>1</xdr:row>
                <xdr:rowOff>106680</xdr:rowOff>
              </to>
            </anchor>
          </controlPr>
        </control>
      </mc:Choice>
      <mc:Fallback>
        <control shapeId="173060" r:id="rId4"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pageSetUpPr fitToPage="1"/>
  </sheetPr>
  <dimension ref="A3:R153"/>
  <sheetViews>
    <sheetView workbookViewId="0">
      <selection activeCell="B140" sqref="B140:E145"/>
    </sheetView>
  </sheetViews>
  <sheetFormatPr defaultColWidth="9" defaultRowHeight="12.6" x14ac:dyDescent="0.2"/>
  <cols>
    <col min="1" max="10" width="9" style="26"/>
    <col min="11" max="11" width="10.33203125" style="26" customWidth="1"/>
    <col min="12" max="16384" width="9" style="26"/>
  </cols>
  <sheetData>
    <row r="3" spans="1:18" x14ac:dyDescent="0.2">
      <c r="B3" s="33" t="s">
        <v>410</v>
      </c>
      <c r="Q3" s="26" t="s">
        <v>235</v>
      </c>
    </row>
    <row r="4" spans="1:18" x14ac:dyDescent="0.2">
      <c r="B4" s="34" t="s">
        <v>143</v>
      </c>
      <c r="C4" s="26" t="s">
        <v>144</v>
      </c>
      <c r="O4" s="33"/>
      <c r="Q4" s="26" t="s">
        <v>1499</v>
      </c>
    </row>
    <row r="5" spans="1:18" x14ac:dyDescent="0.2">
      <c r="C5" s="26" t="s">
        <v>145</v>
      </c>
      <c r="Q5" s="26">
        <v>2001</v>
      </c>
      <c r="R5" s="26">
        <v>5.2427939752839405</v>
      </c>
    </row>
    <row r="6" spans="1:18" x14ac:dyDescent="0.2">
      <c r="C6" s="26" t="s">
        <v>208</v>
      </c>
      <c r="Q6" s="26">
        <v>2002</v>
      </c>
      <c r="R6" s="26">
        <v>3.5592621871556651</v>
      </c>
    </row>
    <row r="7" spans="1:18" x14ac:dyDescent="0.2">
      <c r="C7" s="26" t="s">
        <v>140</v>
      </c>
      <c r="Q7" s="26">
        <v>2003</v>
      </c>
      <c r="R7" s="26">
        <v>3.9885169434713683</v>
      </c>
    </row>
    <row r="8" spans="1:18" x14ac:dyDescent="0.2">
      <c r="C8" s="26" t="s">
        <v>157</v>
      </c>
      <c r="Q8" s="26">
        <v>2004</v>
      </c>
      <c r="R8" s="26">
        <v>3.8938501755663566</v>
      </c>
    </row>
    <row r="9" spans="1:18" x14ac:dyDescent="0.2">
      <c r="C9" s="26" t="s">
        <v>201</v>
      </c>
      <c r="Q9" s="26">
        <v>2005</v>
      </c>
      <c r="R9" s="26">
        <v>5.0101225725184086</v>
      </c>
    </row>
    <row r="10" spans="1:18" x14ac:dyDescent="0.2">
      <c r="C10" s="26" t="s">
        <v>671</v>
      </c>
      <c r="Q10" s="26">
        <v>2006</v>
      </c>
      <c r="R10" s="26">
        <v>5.29863621054115</v>
      </c>
    </row>
    <row r="11" spans="1:18" x14ac:dyDescent="0.2">
      <c r="C11" s="34" t="s">
        <v>159</v>
      </c>
      <c r="D11" s="35" t="s">
        <v>160</v>
      </c>
      <c r="Q11" s="26">
        <v>2007</v>
      </c>
      <c r="R11" s="26">
        <v>5.7167549120763459</v>
      </c>
    </row>
    <row r="12" spans="1:18" x14ac:dyDescent="0.2">
      <c r="C12" s="34"/>
      <c r="D12" s="35"/>
      <c r="Q12" s="1501">
        <v>2008</v>
      </c>
      <c r="R12" s="1501">
        <v>5.7167549120763459</v>
      </c>
    </row>
    <row r="13" spans="1:18" x14ac:dyDescent="0.2">
      <c r="C13" s="33" t="s">
        <v>204</v>
      </c>
      <c r="D13" s="33" t="s">
        <v>412</v>
      </c>
      <c r="E13" s="33" t="s">
        <v>413</v>
      </c>
      <c r="Q13" s="1501">
        <v>2009</v>
      </c>
      <c r="R13" s="1501">
        <v>5.7167549120763459</v>
      </c>
    </row>
    <row r="14" spans="1:18" x14ac:dyDescent="0.2">
      <c r="A14" s="33" t="s">
        <v>242</v>
      </c>
      <c r="B14" s="33" t="s">
        <v>266</v>
      </c>
      <c r="C14" s="33" t="s">
        <v>415</v>
      </c>
      <c r="D14" s="33" t="s">
        <v>415</v>
      </c>
      <c r="E14" s="33" t="s">
        <v>205</v>
      </c>
      <c r="Q14" s="1501">
        <v>2010</v>
      </c>
      <c r="R14" s="1501">
        <v>5.7167549120763459</v>
      </c>
    </row>
    <row r="15" spans="1:18" x14ac:dyDescent="0.2">
      <c r="A15" s="36" t="s">
        <v>146</v>
      </c>
      <c r="B15" s="26">
        <v>1990</v>
      </c>
      <c r="C15" s="37">
        <v>357.6</v>
      </c>
      <c r="D15" s="37">
        <f>(B15*$B$43)+$C$43</f>
        <v>370.11071428571449</v>
      </c>
      <c r="E15" s="37">
        <f>C15</f>
        <v>357.6</v>
      </c>
      <c r="Q15" s="1501">
        <v>2011</v>
      </c>
      <c r="R15" s="1501">
        <v>5.7167549120763459</v>
      </c>
    </row>
    <row r="16" spans="1:18" x14ac:dyDescent="0.2">
      <c r="A16" s="36" t="s">
        <v>146</v>
      </c>
      <c r="B16" s="26">
        <v>1991</v>
      </c>
      <c r="C16" s="37">
        <v>361.3</v>
      </c>
      <c r="D16" s="37">
        <f t="shared" ref="D16:D31" si="0">(B16*$B$43)+$C$43</f>
        <v>372.35357142857174</v>
      </c>
      <c r="E16" s="37">
        <f t="shared" ref="E16:E39" si="1">C16</f>
        <v>361.3</v>
      </c>
      <c r="Q16" s="1501">
        <v>2012</v>
      </c>
      <c r="R16" s="1501">
        <v>5.7167549120763459</v>
      </c>
    </row>
    <row r="17" spans="1:18" x14ac:dyDescent="0.2">
      <c r="A17" s="36" t="s">
        <v>146</v>
      </c>
      <c r="B17" s="26">
        <v>1992</v>
      </c>
      <c r="C17" s="37">
        <v>358.2</v>
      </c>
      <c r="D17" s="37">
        <f t="shared" si="0"/>
        <v>374.59642857142899</v>
      </c>
      <c r="E17" s="37">
        <f t="shared" si="1"/>
        <v>358.2</v>
      </c>
      <c r="Q17" s="1501">
        <v>2013</v>
      </c>
      <c r="R17" s="1501">
        <v>5.7167549120763459</v>
      </c>
    </row>
    <row r="18" spans="1:18" x14ac:dyDescent="0.2">
      <c r="A18" s="36" t="s">
        <v>146</v>
      </c>
      <c r="B18" s="26">
        <v>1993</v>
      </c>
      <c r="C18" s="37">
        <v>359.2</v>
      </c>
      <c r="D18" s="37">
        <f t="shared" si="0"/>
        <v>376.83928571428623</v>
      </c>
      <c r="E18" s="37">
        <f t="shared" si="1"/>
        <v>359.2</v>
      </c>
      <c r="Q18" s="1501">
        <v>2014</v>
      </c>
      <c r="R18" s="1501">
        <v>5.7167549120763459</v>
      </c>
    </row>
    <row r="19" spans="1:18" x14ac:dyDescent="0.2">
      <c r="A19" s="36" t="s">
        <v>146</v>
      </c>
      <c r="B19" s="26">
        <v>1994</v>
      </c>
      <c r="C19" s="37">
        <v>368.1</v>
      </c>
      <c r="D19" s="37">
        <f t="shared" si="0"/>
        <v>379.08214285714348</v>
      </c>
      <c r="E19" s="37">
        <f t="shared" si="1"/>
        <v>368.1</v>
      </c>
      <c r="Q19" s="1501">
        <v>2015</v>
      </c>
      <c r="R19" s="1501">
        <v>5.7167549120763459</v>
      </c>
    </row>
    <row r="20" spans="1:18" x14ac:dyDescent="0.2">
      <c r="A20" s="36" t="s">
        <v>146</v>
      </c>
      <c r="B20" s="26">
        <v>1995</v>
      </c>
      <c r="C20" s="37">
        <v>381.1</v>
      </c>
      <c r="D20" s="37">
        <f t="shared" si="0"/>
        <v>381.32500000000073</v>
      </c>
      <c r="E20" s="37">
        <f t="shared" si="1"/>
        <v>381.1</v>
      </c>
      <c r="Q20" s="26">
        <v>2016</v>
      </c>
      <c r="R20" s="1501">
        <v>5.7167549120763459</v>
      </c>
    </row>
    <row r="21" spans="1:18" x14ac:dyDescent="0.2">
      <c r="A21" s="36" t="s">
        <v>146</v>
      </c>
      <c r="B21" s="26">
        <v>1996</v>
      </c>
      <c r="C21" s="37">
        <v>381.7</v>
      </c>
      <c r="D21" s="37">
        <f t="shared" si="0"/>
        <v>383.56785714285797</v>
      </c>
      <c r="E21" s="37">
        <f t="shared" si="1"/>
        <v>381.7</v>
      </c>
    </row>
    <row r="22" spans="1:18" x14ac:dyDescent="0.2">
      <c r="A22" s="36" t="s">
        <v>147</v>
      </c>
      <c r="B22" s="26">
        <v>1997</v>
      </c>
      <c r="C22" s="37">
        <v>386.5</v>
      </c>
      <c r="D22" s="37">
        <f t="shared" si="0"/>
        <v>385.81071428571522</v>
      </c>
      <c r="E22" s="37">
        <f t="shared" si="1"/>
        <v>386.5</v>
      </c>
    </row>
    <row r="23" spans="1:18" x14ac:dyDescent="0.2">
      <c r="A23" s="36" t="s">
        <v>147</v>
      </c>
      <c r="B23" s="26">
        <v>1998</v>
      </c>
      <c r="C23" s="37">
        <v>389.5</v>
      </c>
      <c r="D23" s="37">
        <f t="shared" si="0"/>
        <v>388.05357142857247</v>
      </c>
      <c r="E23" s="37">
        <f t="shared" si="1"/>
        <v>389.5</v>
      </c>
    </row>
    <row r="24" spans="1:18" x14ac:dyDescent="0.2">
      <c r="A24" s="36" t="s">
        <v>209</v>
      </c>
      <c r="B24" s="26">
        <v>1999</v>
      </c>
      <c r="C24" s="37">
        <v>390.6</v>
      </c>
      <c r="D24" s="37">
        <f t="shared" si="0"/>
        <v>390.29642857142881</v>
      </c>
      <c r="E24" s="37">
        <f t="shared" si="1"/>
        <v>390.6</v>
      </c>
    </row>
    <row r="25" spans="1:18" x14ac:dyDescent="0.2">
      <c r="A25" s="36" t="s">
        <v>141</v>
      </c>
      <c r="B25" s="26">
        <v>2000</v>
      </c>
      <c r="C25" s="37">
        <v>394.1</v>
      </c>
      <c r="D25" s="37">
        <f t="shared" si="0"/>
        <v>392.53928571428605</v>
      </c>
      <c r="E25" s="37">
        <f t="shared" si="1"/>
        <v>394.1</v>
      </c>
    </row>
    <row r="26" spans="1:18" x14ac:dyDescent="0.2">
      <c r="A26" s="36" t="s">
        <v>158</v>
      </c>
      <c r="B26" s="26">
        <v>2001</v>
      </c>
      <c r="C26" s="37">
        <v>394.3</v>
      </c>
      <c r="D26" s="37">
        <f t="shared" si="0"/>
        <v>394.7821428571433</v>
      </c>
      <c r="E26" s="37">
        <f t="shared" si="1"/>
        <v>394.3</v>
      </c>
    </row>
    <row r="27" spans="1:18" x14ac:dyDescent="0.2">
      <c r="A27" s="36" t="s">
        <v>158</v>
      </c>
      <c r="B27" s="26">
        <v>2002</v>
      </c>
      <c r="C27" s="37">
        <v>395.6</v>
      </c>
      <c r="D27" s="37">
        <f t="shared" si="0"/>
        <v>397.02500000000055</v>
      </c>
      <c r="E27" s="37">
        <f t="shared" si="1"/>
        <v>395.6</v>
      </c>
    </row>
    <row r="28" spans="1:18" x14ac:dyDescent="0.2">
      <c r="A28" s="36" t="s">
        <v>363</v>
      </c>
      <c r="B28" s="26">
        <v>2003</v>
      </c>
      <c r="C28" s="37">
        <v>402</v>
      </c>
      <c r="D28" s="37">
        <f t="shared" si="0"/>
        <v>399.26785714285779</v>
      </c>
      <c r="E28" s="37">
        <f t="shared" si="1"/>
        <v>402</v>
      </c>
    </row>
    <row r="29" spans="1:18" x14ac:dyDescent="0.2">
      <c r="A29" s="36" t="s">
        <v>363</v>
      </c>
      <c r="B29" s="26">
        <v>2004</v>
      </c>
      <c r="C29" s="38">
        <v>444.2</v>
      </c>
      <c r="D29" s="37">
        <f t="shared" si="0"/>
        <v>401.51071428571504</v>
      </c>
      <c r="E29" s="37">
        <f t="shared" si="1"/>
        <v>444.2</v>
      </c>
    </row>
    <row r="30" spans="1:18" x14ac:dyDescent="0.2">
      <c r="A30" s="36" t="s">
        <v>363</v>
      </c>
      <c r="B30" s="26">
        <v>2005</v>
      </c>
      <c r="C30" s="38">
        <v>468.2</v>
      </c>
      <c r="D30" s="37">
        <f t="shared" si="0"/>
        <v>403.75357142857229</v>
      </c>
      <c r="E30" s="37">
        <f t="shared" si="1"/>
        <v>468.2</v>
      </c>
    </row>
    <row r="31" spans="1:18" x14ac:dyDescent="0.2">
      <c r="B31" s="26">
        <v>2006</v>
      </c>
      <c r="C31" s="38">
        <v>499.6</v>
      </c>
      <c r="D31" s="37">
        <f t="shared" si="0"/>
        <v>405.99642857142953</v>
      </c>
      <c r="E31" s="37">
        <f t="shared" si="1"/>
        <v>499.6</v>
      </c>
    </row>
    <row r="32" spans="1:18" x14ac:dyDescent="0.2">
      <c r="B32" s="26">
        <v>2007</v>
      </c>
      <c r="C32" s="1497">
        <v>525.4</v>
      </c>
      <c r="D32" s="37"/>
      <c r="E32" s="37">
        <f t="shared" si="1"/>
        <v>525.4</v>
      </c>
    </row>
    <row r="33" spans="1:5" x14ac:dyDescent="0.2">
      <c r="B33" s="26">
        <v>2008</v>
      </c>
      <c r="C33" s="1497">
        <v>575.4</v>
      </c>
      <c r="D33" s="37"/>
      <c r="E33" s="37">
        <f t="shared" si="1"/>
        <v>575.4</v>
      </c>
    </row>
    <row r="34" spans="1:5" ht="14.4" x14ac:dyDescent="0.3">
      <c r="A34" s="74"/>
      <c r="B34" s="1498">
        <v>2009</v>
      </c>
      <c r="C34" s="1498">
        <v>521.9</v>
      </c>
      <c r="D34" s="1498"/>
      <c r="E34" s="1499">
        <f t="shared" si="1"/>
        <v>521.9</v>
      </c>
    </row>
    <row r="35" spans="1:5" ht="14.4" x14ac:dyDescent="0.3">
      <c r="A35" s="1158"/>
      <c r="B35" s="1498">
        <v>2010</v>
      </c>
      <c r="C35" s="1498">
        <v>550.79999999999995</v>
      </c>
      <c r="D35" s="1498"/>
      <c r="E35" s="1499">
        <f t="shared" si="1"/>
        <v>550.79999999999995</v>
      </c>
    </row>
    <row r="36" spans="1:5" ht="14.4" x14ac:dyDescent="0.3">
      <c r="B36" s="1498">
        <v>2011</v>
      </c>
      <c r="C36" s="1498">
        <v>585.70000000000005</v>
      </c>
      <c r="D36" s="1498"/>
      <c r="E36" s="1499">
        <f t="shared" si="1"/>
        <v>585.70000000000005</v>
      </c>
    </row>
    <row r="37" spans="1:5" ht="14.4" x14ac:dyDescent="0.3">
      <c r="B37" s="1498">
        <v>2012</v>
      </c>
      <c r="C37" s="1498">
        <v>584.6</v>
      </c>
      <c r="D37" s="1498"/>
      <c r="E37" s="1499">
        <f t="shared" si="1"/>
        <v>584.6</v>
      </c>
    </row>
    <row r="38" spans="1:5" ht="14.4" x14ac:dyDescent="0.3">
      <c r="B38" s="1498">
        <v>2013</v>
      </c>
      <c r="C38" s="1498">
        <v>567.29999999999995</v>
      </c>
      <c r="D38" s="1498"/>
      <c r="E38" s="1499">
        <f t="shared" si="1"/>
        <v>567.29999999999995</v>
      </c>
    </row>
    <row r="39" spans="1:5" ht="14.4" x14ac:dyDescent="0.3">
      <c r="B39" s="1498">
        <v>2014</v>
      </c>
      <c r="C39" s="1498">
        <v>576.1</v>
      </c>
      <c r="D39" s="1498"/>
      <c r="E39" s="1499">
        <f t="shared" si="1"/>
        <v>576.1</v>
      </c>
    </row>
    <row r="40" spans="1:5" ht="14.4" x14ac:dyDescent="0.3">
      <c r="B40" s="1498">
        <v>2015</v>
      </c>
      <c r="C40" s="1498">
        <v>556.79999999999995</v>
      </c>
      <c r="D40" s="1498"/>
      <c r="E40" s="1500">
        <f>C40</f>
        <v>556.79999999999995</v>
      </c>
    </row>
    <row r="41" spans="1:5" ht="14.4" x14ac:dyDescent="0.3">
      <c r="B41" s="1498">
        <v>2016</v>
      </c>
      <c r="C41" s="1498">
        <v>541.70000000000005</v>
      </c>
      <c r="D41" s="1498"/>
      <c r="E41" s="1499">
        <v>541.70000000000005</v>
      </c>
    </row>
    <row r="42" spans="1:5" x14ac:dyDescent="0.2">
      <c r="B42" s="39" t="s">
        <v>416</v>
      </c>
      <c r="D42" s="35"/>
    </row>
    <row r="43" spans="1:5" x14ac:dyDescent="0.2">
      <c r="B43" s="26">
        <f t="array" ref="B43:C47">LINEST(C20:C27,B20:B27,TRUE,TRUE)</f>
        <v>2.242857142857146</v>
      </c>
      <c r="C43" s="26">
        <v>-4093.1750000000056</v>
      </c>
      <c r="D43" s="35"/>
    </row>
    <row r="44" spans="1:5" x14ac:dyDescent="0.2">
      <c r="B44" s="26">
        <v>0.20795543958408003</v>
      </c>
      <c r="C44" s="26">
        <v>415.5992191550684</v>
      </c>
      <c r="D44" s="35"/>
    </row>
    <row r="45" spans="1:5" x14ac:dyDescent="0.2">
      <c r="B45" s="26">
        <v>0.95094921956630052</v>
      </c>
      <c r="C45" s="26">
        <v>1.3477052807678442</v>
      </c>
      <c r="D45" s="35"/>
    </row>
    <row r="46" spans="1:5" x14ac:dyDescent="0.2">
      <c r="B46" s="26">
        <v>116.32221275480066</v>
      </c>
      <c r="C46" s="26">
        <v>6</v>
      </c>
      <c r="D46" s="35"/>
    </row>
    <row r="47" spans="1:5" x14ac:dyDescent="0.2">
      <c r="B47" s="26">
        <v>211.2771428571433</v>
      </c>
      <c r="C47" s="26">
        <v>10.897857142857205</v>
      </c>
      <c r="D47" s="35"/>
    </row>
    <row r="48" spans="1:5" x14ac:dyDescent="0.2">
      <c r="C48" s="34"/>
      <c r="D48" s="35"/>
    </row>
    <row r="52" spans="2:5" x14ac:dyDescent="0.2">
      <c r="B52" s="33" t="s">
        <v>409</v>
      </c>
    </row>
    <row r="53" spans="2:5" x14ac:dyDescent="0.2">
      <c r="B53" s="26" t="s">
        <v>391</v>
      </c>
    </row>
    <row r="54" spans="2:5" ht="14.4" x14ac:dyDescent="0.25">
      <c r="C54" s="34" t="s">
        <v>159</v>
      </c>
      <c r="D54" s="40" t="s">
        <v>364</v>
      </c>
    </row>
    <row r="55" spans="2:5" x14ac:dyDescent="0.2">
      <c r="B55" s="33" t="s">
        <v>266</v>
      </c>
      <c r="C55" s="33" t="s">
        <v>411</v>
      </c>
      <c r="D55" s="33" t="s">
        <v>412</v>
      </c>
      <c r="E55" s="33" t="s">
        <v>413</v>
      </c>
    </row>
    <row r="56" spans="2:5" x14ac:dyDescent="0.2">
      <c r="B56" s="33"/>
      <c r="C56" s="33" t="s">
        <v>414</v>
      </c>
      <c r="D56" s="33" t="s">
        <v>415</v>
      </c>
      <c r="E56" s="33"/>
    </row>
    <row r="57" spans="2:5" x14ac:dyDescent="0.2">
      <c r="B57" s="26">
        <v>1980</v>
      </c>
      <c r="C57" s="37">
        <v>89</v>
      </c>
      <c r="D57" s="37">
        <f t="shared" ref="D57:D83" si="2">(B57*$B$95)+$C$95</f>
        <v>89.934666666666089</v>
      </c>
      <c r="E57" s="37">
        <f t="shared" ref="E57:E87" si="3">C57</f>
        <v>89</v>
      </c>
    </row>
    <row r="58" spans="2:5" x14ac:dyDescent="0.2">
      <c r="B58" s="26">
        <v>1981</v>
      </c>
      <c r="C58" s="37">
        <v>98.4</v>
      </c>
      <c r="D58" s="37">
        <f t="shared" si="2"/>
        <v>93.136362318840838</v>
      </c>
      <c r="E58" s="37">
        <f t="shared" si="3"/>
        <v>98.4</v>
      </c>
    </row>
    <row r="59" spans="2:5" x14ac:dyDescent="0.2">
      <c r="B59" s="26">
        <v>1982</v>
      </c>
      <c r="C59" s="37">
        <v>100</v>
      </c>
      <c r="D59" s="37">
        <f t="shared" si="2"/>
        <v>96.338057971014678</v>
      </c>
      <c r="E59" s="37">
        <f t="shared" si="3"/>
        <v>100</v>
      </c>
    </row>
    <row r="60" spans="2:5" x14ac:dyDescent="0.2">
      <c r="B60" s="26">
        <v>1983</v>
      </c>
      <c r="C60" s="37">
        <v>100.3</v>
      </c>
      <c r="D60" s="37">
        <f t="shared" si="2"/>
        <v>99.539753623188517</v>
      </c>
      <c r="E60" s="37">
        <f t="shared" si="3"/>
        <v>100.3</v>
      </c>
    </row>
    <row r="61" spans="2:5" x14ac:dyDescent="0.2">
      <c r="B61" s="26">
        <v>1984</v>
      </c>
      <c r="C61" s="37">
        <v>102.9</v>
      </c>
      <c r="D61" s="37">
        <f t="shared" si="2"/>
        <v>102.74144927536236</v>
      </c>
      <c r="E61" s="37">
        <f t="shared" si="3"/>
        <v>102.9</v>
      </c>
    </row>
    <row r="62" spans="2:5" x14ac:dyDescent="0.2">
      <c r="B62" s="26">
        <v>1985</v>
      </c>
      <c r="C62" s="37">
        <v>103.7</v>
      </c>
      <c r="D62" s="37">
        <f t="shared" si="2"/>
        <v>105.9431449275362</v>
      </c>
      <c r="E62" s="37">
        <f t="shared" si="3"/>
        <v>103.7</v>
      </c>
    </row>
    <row r="63" spans="2:5" x14ac:dyDescent="0.2">
      <c r="B63" s="26">
        <v>1986</v>
      </c>
      <c r="C63" s="37">
        <v>102.6</v>
      </c>
      <c r="D63" s="37">
        <f t="shared" si="2"/>
        <v>109.14484057971003</v>
      </c>
      <c r="E63" s="37">
        <f t="shared" si="3"/>
        <v>102.6</v>
      </c>
    </row>
    <row r="64" spans="2:5" x14ac:dyDescent="0.2">
      <c r="B64" s="26">
        <v>1987</v>
      </c>
      <c r="C64" s="37">
        <v>106.4</v>
      </c>
      <c r="D64" s="37">
        <f t="shared" si="2"/>
        <v>112.34653623188387</v>
      </c>
      <c r="E64" s="37">
        <f t="shared" si="3"/>
        <v>106.4</v>
      </c>
    </row>
    <row r="65" spans="2:5" x14ac:dyDescent="0.2">
      <c r="B65" s="26">
        <v>1988</v>
      </c>
      <c r="C65" s="37">
        <v>116.3</v>
      </c>
      <c r="D65" s="37">
        <f t="shared" si="2"/>
        <v>115.54823188405771</v>
      </c>
      <c r="E65" s="37">
        <f t="shared" si="3"/>
        <v>116.3</v>
      </c>
    </row>
    <row r="66" spans="2:5" x14ac:dyDescent="0.2">
      <c r="B66" s="26">
        <v>1989</v>
      </c>
      <c r="C66" s="37">
        <v>123</v>
      </c>
      <c r="D66" s="37">
        <f t="shared" si="2"/>
        <v>118.74992753623155</v>
      </c>
      <c r="E66" s="37">
        <f t="shared" si="3"/>
        <v>123</v>
      </c>
    </row>
    <row r="67" spans="2:5" x14ac:dyDescent="0.2">
      <c r="B67" s="26">
        <v>1990</v>
      </c>
      <c r="C67" s="37">
        <v>123.6</v>
      </c>
      <c r="D67" s="37">
        <f t="shared" si="2"/>
        <v>121.95162318840539</v>
      </c>
      <c r="E67" s="37">
        <f t="shared" si="3"/>
        <v>123.6</v>
      </c>
    </row>
    <row r="68" spans="2:5" x14ac:dyDescent="0.2">
      <c r="B68" s="26">
        <v>1991</v>
      </c>
      <c r="C68" s="37">
        <v>125.6</v>
      </c>
      <c r="D68" s="37">
        <f t="shared" si="2"/>
        <v>125.15331884057923</v>
      </c>
      <c r="E68" s="37">
        <f t="shared" si="3"/>
        <v>125.6</v>
      </c>
    </row>
    <row r="69" spans="2:5" x14ac:dyDescent="0.2">
      <c r="B69" s="26">
        <v>1992</v>
      </c>
      <c r="C69" s="37">
        <v>125.9</v>
      </c>
      <c r="D69" s="37">
        <f t="shared" si="2"/>
        <v>128.35501449275307</v>
      </c>
      <c r="E69" s="37">
        <f t="shared" si="3"/>
        <v>125.9</v>
      </c>
    </row>
    <row r="70" spans="2:5" x14ac:dyDescent="0.2">
      <c r="B70" s="26">
        <v>1993</v>
      </c>
      <c r="C70" s="37">
        <v>128.19999999999999</v>
      </c>
      <c r="D70" s="37">
        <f t="shared" si="2"/>
        <v>131.55671014492782</v>
      </c>
      <c r="E70" s="37">
        <f t="shared" si="3"/>
        <v>128.19999999999999</v>
      </c>
    </row>
    <row r="71" spans="2:5" x14ac:dyDescent="0.2">
      <c r="B71" s="26">
        <v>1994</v>
      </c>
      <c r="C71" s="37">
        <v>132.1</v>
      </c>
      <c r="D71" s="37">
        <f t="shared" si="2"/>
        <v>134.75840579710166</v>
      </c>
      <c r="E71" s="37">
        <f t="shared" si="3"/>
        <v>132.1</v>
      </c>
    </row>
    <row r="72" spans="2:5" x14ac:dyDescent="0.2">
      <c r="B72" s="26">
        <v>1995</v>
      </c>
      <c r="C72" s="37">
        <v>139.5</v>
      </c>
      <c r="D72" s="37">
        <f t="shared" si="2"/>
        <v>137.9601014492755</v>
      </c>
      <c r="E72" s="37">
        <f t="shared" si="3"/>
        <v>139.5</v>
      </c>
    </row>
    <row r="73" spans="2:5" x14ac:dyDescent="0.2">
      <c r="B73" s="26">
        <v>1996</v>
      </c>
      <c r="C73" s="37">
        <v>142.1</v>
      </c>
      <c r="D73" s="37">
        <f t="shared" si="2"/>
        <v>141.16179710144934</v>
      </c>
      <c r="E73" s="37">
        <f t="shared" si="3"/>
        <v>142.1</v>
      </c>
    </row>
    <row r="74" spans="2:5" x14ac:dyDescent="0.2">
      <c r="B74" s="26">
        <v>1997</v>
      </c>
      <c r="C74" s="37">
        <v>147.1</v>
      </c>
      <c r="D74" s="37">
        <f t="shared" si="2"/>
        <v>144.36349275362318</v>
      </c>
      <c r="E74" s="37">
        <f t="shared" si="3"/>
        <v>147.1</v>
      </c>
    </row>
    <row r="75" spans="2:5" x14ac:dyDescent="0.2">
      <c r="B75" s="26">
        <v>1998</v>
      </c>
      <c r="C75" s="37">
        <v>148.69999999999999</v>
      </c>
      <c r="D75" s="37">
        <f t="shared" si="2"/>
        <v>147.56518840579702</v>
      </c>
      <c r="E75" s="37">
        <f t="shared" si="3"/>
        <v>148.69999999999999</v>
      </c>
    </row>
    <row r="76" spans="2:5" x14ac:dyDescent="0.2">
      <c r="B76" s="26">
        <v>1999</v>
      </c>
      <c r="C76" s="37">
        <v>149.69999999999999</v>
      </c>
      <c r="D76" s="37">
        <f t="shared" si="2"/>
        <v>150.76688405797086</v>
      </c>
      <c r="E76" s="37">
        <f t="shared" si="3"/>
        <v>149.69999999999999</v>
      </c>
    </row>
    <row r="77" spans="2:5" x14ac:dyDescent="0.2">
      <c r="B77" s="26">
        <v>2000</v>
      </c>
      <c r="C77" s="37">
        <v>156.69999999999999</v>
      </c>
      <c r="D77" s="37">
        <f t="shared" si="2"/>
        <v>153.9685797101447</v>
      </c>
      <c r="E77" s="37">
        <f t="shared" si="3"/>
        <v>156.69999999999999</v>
      </c>
    </row>
    <row r="78" spans="2:5" x14ac:dyDescent="0.2">
      <c r="B78" s="26">
        <v>2001</v>
      </c>
      <c r="C78" s="37">
        <v>158.4</v>
      </c>
      <c r="D78" s="37">
        <f t="shared" si="2"/>
        <v>157.17027536231853</v>
      </c>
      <c r="E78" s="37">
        <f t="shared" si="3"/>
        <v>158.4</v>
      </c>
    </row>
    <row r="79" spans="2:5" x14ac:dyDescent="0.2">
      <c r="B79" s="26">
        <v>2002</v>
      </c>
      <c r="C79" s="37">
        <v>157.30000000000001</v>
      </c>
      <c r="D79" s="37">
        <f t="shared" si="2"/>
        <v>160.37197101449237</v>
      </c>
      <c r="E79" s="37">
        <f t="shared" si="3"/>
        <v>157.30000000000001</v>
      </c>
    </row>
    <row r="80" spans="2:5" x14ac:dyDescent="0.2">
      <c r="B80" s="26">
        <v>2003</v>
      </c>
      <c r="C80" s="37">
        <v>164.6</v>
      </c>
      <c r="D80" s="37">
        <f t="shared" si="2"/>
        <v>163.57366666666621</v>
      </c>
      <c r="E80" s="37">
        <f t="shared" si="3"/>
        <v>164.6</v>
      </c>
    </row>
    <row r="81" spans="2:5" x14ac:dyDescent="0.2">
      <c r="B81" s="26">
        <v>2004</v>
      </c>
      <c r="C81" s="37">
        <v>172.8</v>
      </c>
      <c r="D81" s="37">
        <f t="shared" si="2"/>
        <v>166.77536231884005</v>
      </c>
      <c r="E81" s="37">
        <f t="shared" si="3"/>
        <v>172.8</v>
      </c>
    </row>
    <row r="82" spans="2:5" x14ac:dyDescent="0.2">
      <c r="B82" s="26">
        <v>2005</v>
      </c>
      <c r="C82" s="37">
        <v>187.3</v>
      </c>
      <c r="D82" s="37">
        <f t="shared" si="2"/>
        <v>169.9770579710148</v>
      </c>
      <c r="E82" s="37">
        <f t="shared" si="3"/>
        <v>187.3</v>
      </c>
    </row>
    <row r="83" spans="2:5" x14ac:dyDescent="0.2">
      <c r="B83" s="26">
        <v>2006</v>
      </c>
      <c r="C83" s="37">
        <v>196.8</v>
      </c>
      <c r="D83" s="37">
        <f t="shared" si="2"/>
        <v>173.17875362318864</v>
      </c>
      <c r="E83" s="37">
        <f t="shared" si="3"/>
        <v>196.8</v>
      </c>
    </row>
    <row r="84" spans="2:5" x14ac:dyDescent="0.2">
      <c r="B84" s="26">
        <v>2007</v>
      </c>
      <c r="C84" s="1502">
        <v>203.3</v>
      </c>
      <c r="D84" s="37">
        <f t="shared" ref="D84:D93" si="4">(B84*$B$95)+$C$95</f>
        <v>176.38044927536248</v>
      </c>
      <c r="E84" s="37">
        <f t="shared" si="3"/>
        <v>203.3</v>
      </c>
    </row>
    <row r="85" spans="2:5" x14ac:dyDescent="0.2">
      <c r="B85" s="26">
        <v>2008</v>
      </c>
      <c r="C85" s="1502">
        <v>228.2</v>
      </c>
      <c r="D85" s="37">
        <f t="shared" si="4"/>
        <v>179.58214492753632</v>
      </c>
      <c r="E85" s="37">
        <f t="shared" si="3"/>
        <v>228.2</v>
      </c>
    </row>
    <row r="86" spans="2:5" x14ac:dyDescent="0.2">
      <c r="B86" s="26">
        <v>2009</v>
      </c>
      <c r="C86" s="1502">
        <v>224.7</v>
      </c>
      <c r="D86" s="37">
        <f t="shared" si="4"/>
        <v>182.78384057971016</v>
      </c>
      <c r="E86" s="37">
        <f t="shared" si="3"/>
        <v>224.7</v>
      </c>
    </row>
    <row r="87" spans="2:5" x14ac:dyDescent="0.2">
      <c r="B87" s="26">
        <v>2010</v>
      </c>
      <c r="C87" s="1502">
        <v>233.7</v>
      </c>
      <c r="D87" s="37">
        <f t="shared" si="4"/>
        <v>185.985536231884</v>
      </c>
      <c r="E87" s="37">
        <f t="shared" si="3"/>
        <v>233.7</v>
      </c>
    </row>
    <row r="88" spans="2:5" ht="14.4" x14ac:dyDescent="0.3">
      <c r="B88" s="1503">
        <v>2011</v>
      </c>
      <c r="C88" s="1503">
        <v>249.3</v>
      </c>
      <c r="D88" s="37">
        <f t="shared" si="4"/>
        <v>189.18723188405784</v>
      </c>
      <c r="E88" s="1499">
        <v>252.1</v>
      </c>
    </row>
    <row r="89" spans="2:5" ht="14.4" x14ac:dyDescent="0.3">
      <c r="B89" s="1498">
        <v>2012</v>
      </c>
      <c r="C89" s="1498">
        <v>260.3</v>
      </c>
      <c r="D89" s="37">
        <f t="shared" si="4"/>
        <v>192.38892753623168</v>
      </c>
      <c r="E89" s="1499">
        <f>C89</f>
        <v>260.3</v>
      </c>
    </row>
    <row r="90" spans="2:5" ht="14.4" x14ac:dyDescent="0.3">
      <c r="B90" s="1498">
        <v>2013</v>
      </c>
      <c r="C90" s="1498">
        <v>263.89999999999998</v>
      </c>
      <c r="D90" s="37">
        <f t="shared" si="4"/>
        <v>195.59062318840552</v>
      </c>
      <c r="E90" s="1499">
        <f>C90</f>
        <v>263.89999999999998</v>
      </c>
    </row>
    <row r="91" spans="2:5" ht="14.4" x14ac:dyDescent="0.3">
      <c r="B91" s="1498">
        <v>2014</v>
      </c>
      <c r="C91" s="1498">
        <v>269.2</v>
      </c>
      <c r="D91" s="37">
        <f t="shared" si="4"/>
        <v>198.79231884057936</v>
      </c>
      <c r="E91" s="1499">
        <f>C91</f>
        <v>269.2</v>
      </c>
    </row>
    <row r="92" spans="2:5" ht="14.4" x14ac:dyDescent="0.3">
      <c r="B92" s="1498">
        <v>2015</v>
      </c>
      <c r="C92" s="1498">
        <v>264.8</v>
      </c>
      <c r="D92" s="37">
        <f t="shared" si="4"/>
        <v>201.99401449275319</v>
      </c>
      <c r="E92" s="1499">
        <f>C92</f>
        <v>264.8</v>
      </c>
    </row>
    <row r="93" spans="2:5" ht="14.4" x14ac:dyDescent="0.3">
      <c r="B93" s="1498">
        <v>2016</v>
      </c>
      <c r="C93" s="1498">
        <v>267.10000000000002</v>
      </c>
      <c r="D93" s="37">
        <f t="shared" si="4"/>
        <v>205.19571014492703</v>
      </c>
      <c r="E93" s="1499">
        <f>C93</f>
        <v>267.10000000000002</v>
      </c>
    </row>
    <row r="94" spans="2:5" x14ac:dyDescent="0.2">
      <c r="B94" s="39" t="s">
        <v>416</v>
      </c>
    </row>
    <row r="95" spans="2:5" x14ac:dyDescent="0.2">
      <c r="B95" s="26">
        <f t="array" ref="B95:C99">LINEST(C57:C80,B57:B80,TRUE,TRUE)</f>
        <v>3.2016956521739131</v>
      </c>
      <c r="C95" s="26">
        <v>-6249.4227246376813</v>
      </c>
    </row>
    <row r="96" spans="2:5" x14ac:dyDescent="0.2">
      <c r="B96" s="26">
        <v>8.9873929446387057E-2</v>
      </c>
      <c r="C96" s="26">
        <v>178.98501169913612</v>
      </c>
    </row>
    <row r="97" spans="2:5" x14ac:dyDescent="0.2">
      <c r="B97" s="26">
        <v>0.98296014255909914</v>
      </c>
      <c r="C97" s="26">
        <v>3.0477732319275792</v>
      </c>
    </row>
    <row r="98" spans="2:5" x14ac:dyDescent="0.2">
      <c r="B98" s="26">
        <v>1269.0906136569629</v>
      </c>
      <c r="C98" s="26">
        <v>22</v>
      </c>
    </row>
    <row r="99" spans="2:5" x14ac:dyDescent="0.2">
      <c r="B99" s="26">
        <v>11788.483306521737</v>
      </c>
      <c r="C99" s="26">
        <v>204.3562768115942</v>
      </c>
    </row>
    <row r="100" spans="2:5" x14ac:dyDescent="0.2">
      <c r="B100" s="33" t="s">
        <v>417</v>
      </c>
    </row>
    <row r="101" spans="2:5" x14ac:dyDescent="0.2">
      <c r="B101" s="26" t="s">
        <v>202</v>
      </c>
      <c r="C101" s="26" t="s">
        <v>203</v>
      </c>
    </row>
    <row r="102" spans="2:5" x14ac:dyDescent="0.2">
      <c r="B102" s="34" t="s">
        <v>148</v>
      </c>
      <c r="C102" s="26" t="s">
        <v>1497</v>
      </c>
      <c r="E102" s="34"/>
    </row>
    <row r="103" spans="2:5" x14ac:dyDescent="0.2">
      <c r="B103" s="26" t="s">
        <v>161</v>
      </c>
    </row>
    <row r="104" spans="2:5" x14ac:dyDescent="0.2">
      <c r="B104" s="26" t="s">
        <v>156</v>
      </c>
    </row>
    <row r="105" spans="2:5" x14ac:dyDescent="0.2">
      <c r="C105" s="34" t="s">
        <v>159</v>
      </c>
      <c r="D105" s="35" t="s">
        <v>162</v>
      </c>
    </row>
    <row r="108" spans="2:5" x14ac:dyDescent="0.2">
      <c r="B108" s="33" t="s">
        <v>266</v>
      </c>
      <c r="C108" s="33" t="s">
        <v>418</v>
      </c>
      <c r="D108" s="33" t="s">
        <v>412</v>
      </c>
      <c r="E108" s="33" t="s">
        <v>413</v>
      </c>
    </row>
    <row r="109" spans="2:5" x14ac:dyDescent="0.2">
      <c r="B109" s="26">
        <v>1980</v>
      </c>
      <c r="C109" s="41"/>
      <c r="D109" s="41">
        <f t="shared" ref="D109:D135" si="5">(B109*$B$149)+$C$149</f>
        <v>8.3132500000000391</v>
      </c>
      <c r="E109" s="41">
        <f t="shared" ref="E109:E117" si="6">D109</f>
        <v>8.3132500000000391</v>
      </c>
    </row>
    <row r="110" spans="2:5" x14ac:dyDescent="0.2">
      <c r="B110" s="26">
        <v>1981</v>
      </c>
      <c r="C110" s="41"/>
      <c r="D110" s="41">
        <f t="shared" si="5"/>
        <v>8.7540000000000191</v>
      </c>
      <c r="E110" s="41">
        <f t="shared" si="6"/>
        <v>8.7540000000000191</v>
      </c>
    </row>
    <row r="111" spans="2:5" x14ac:dyDescent="0.2">
      <c r="B111" s="26">
        <v>1982</v>
      </c>
      <c r="C111" s="41"/>
      <c r="D111" s="41">
        <f t="shared" si="5"/>
        <v>9.1947499999999991</v>
      </c>
      <c r="E111" s="41">
        <f t="shared" si="6"/>
        <v>9.1947499999999991</v>
      </c>
    </row>
    <row r="112" spans="2:5" x14ac:dyDescent="0.2">
      <c r="B112" s="26">
        <v>1983</v>
      </c>
      <c r="C112" s="41"/>
      <c r="D112" s="41">
        <f t="shared" si="5"/>
        <v>9.6355000000000928</v>
      </c>
      <c r="E112" s="41">
        <f t="shared" si="6"/>
        <v>9.6355000000000928</v>
      </c>
    </row>
    <row r="113" spans="2:5" x14ac:dyDescent="0.2">
      <c r="B113" s="26">
        <v>1984</v>
      </c>
      <c r="C113" s="41"/>
      <c r="D113" s="41">
        <f t="shared" si="5"/>
        <v>10.076250000000073</v>
      </c>
      <c r="E113" s="41">
        <f t="shared" si="6"/>
        <v>10.076250000000073</v>
      </c>
    </row>
    <row r="114" spans="2:5" x14ac:dyDescent="0.2">
      <c r="B114" s="26">
        <v>1985</v>
      </c>
      <c r="C114" s="41"/>
      <c r="D114" s="41">
        <f t="shared" si="5"/>
        <v>10.517000000000053</v>
      </c>
      <c r="E114" s="41">
        <f t="shared" si="6"/>
        <v>10.517000000000053</v>
      </c>
    </row>
    <row r="115" spans="2:5" x14ac:dyDescent="0.2">
      <c r="B115" s="26">
        <v>1986</v>
      </c>
      <c r="C115" s="41"/>
      <c r="D115" s="41">
        <f t="shared" si="5"/>
        <v>10.957750000000033</v>
      </c>
      <c r="E115" s="41">
        <f t="shared" si="6"/>
        <v>10.957750000000033</v>
      </c>
    </row>
    <row r="116" spans="2:5" x14ac:dyDescent="0.2">
      <c r="B116" s="26">
        <v>1987</v>
      </c>
      <c r="C116" s="41"/>
      <c r="D116" s="41">
        <f t="shared" si="5"/>
        <v>11.398500000000013</v>
      </c>
      <c r="E116" s="41">
        <f t="shared" si="6"/>
        <v>11.398500000000013</v>
      </c>
    </row>
    <row r="117" spans="2:5" x14ac:dyDescent="0.2">
      <c r="B117" s="26">
        <v>1988</v>
      </c>
      <c r="C117" s="41"/>
      <c r="D117" s="41">
        <f t="shared" si="5"/>
        <v>11.839249999999993</v>
      </c>
      <c r="E117" s="41">
        <f t="shared" si="6"/>
        <v>11.839249999999993</v>
      </c>
    </row>
    <row r="118" spans="2:5" x14ac:dyDescent="0.2">
      <c r="B118" s="26">
        <v>1989</v>
      </c>
      <c r="C118" s="41"/>
      <c r="D118" s="41">
        <f t="shared" si="5"/>
        <v>12.280000000000086</v>
      </c>
      <c r="E118" s="41">
        <f>D118</f>
        <v>12.280000000000086</v>
      </c>
    </row>
    <row r="119" spans="2:5" x14ac:dyDescent="0.2">
      <c r="B119" s="26">
        <v>1990</v>
      </c>
      <c r="C119" s="41">
        <v>12.85</v>
      </c>
      <c r="D119" s="41">
        <f t="shared" si="5"/>
        <v>12.720750000000066</v>
      </c>
      <c r="E119" s="41">
        <f t="shared" ref="E119:E140" si="7">C119</f>
        <v>12.85</v>
      </c>
    </row>
    <row r="120" spans="2:5" x14ac:dyDescent="0.2">
      <c r="B120" s="26">
        <v>1991</v>
      </c>
      <c r="C120" s="41">
        <v>13.3</v>
      </c>
      <c r="D120" s="41">
        <f t="shared" si="5"/>
        <v>13.161500000000046</v>
      </c>
      <c r="E120" s="41">
        <f t="shared" si="7"/>
        <v>13.3</v>
      </c>
    </row>
    <row r="121" spans="2:5" x14ac:dyDescent="0.2">
      <c r="B121" s="26">
        <v>1992</v>
      </c>
      <c r="C121" s="41">
        <v>13.7</v>
      </c>
      <c r="D121" s="41">
        <f t="shared" si="5"/>
        <v>13.602250000000026</v>
      </c>
      <c r="E121" s="41">
        <f t="shared" si="7"/>
        <v>13.7</v>
      </c>
    </row>
    <row r="122" spans="2:5" x14ac:dyDescent="0.2">
      <c r="B122" s="26">
        <v>1993</v>
      </c>
      <c r="C122" s="41">
        <v>13.97</v>
      </c>
      <c r="D122" s="41">
        <f t="shared" si="5"/>
        <v>14.043000000000006</v>
      </c>
      <c r="E122" s="41">
        <f t="shared" si="7"/>
        <v>13.97</v>
      </c>
    </row>
    <row r="123" spans="2:5" x14ac:dyDescent="0.2">
      <c r="B123" s="26">
        <v>1994</v>
      </c>
      <c r="C123" s="41">
        <v>14.33</v>
      </c>
      <c r="D123" s="41">
        <f t="shared" si="5"/>
        <v>14.483749999999986</v>
      </c>
      <c r="E123" s="41">
        <f t="shared" si="7"/>
        <v>14.33</v>
      </c>
    </row>
    <row r="124" spans="2:5" x14ac:dyDescent="0.2">
      <c r="B124" s="26">
        <v>1995</v>
      </c>
      <c r="C124" s="41">
        <v>14.86</v>
      </c>
      <c r="D124" s="41">
        <f t="shared" si="5"/>
        <v>14.92450000000008</v>
      </c>
      <c r="E124" s="41">
        <f t="shared" si="7"/>
        <v>14.86</v>
      </c>
    </row>
    <row r="125" spans="2:5" x14ac:dyDescent="0.2">
      <c r="B125" s="26">
        <v>1996</v>
      </c>
      <c r="C125" s="41">
        <v>15.37</v>
      </c>
      <c r="D125" s="41">
        <f t="shared" si="5"/>
        <v>15.36525000000006</v>
      </c>
      <c r="E125" s="41">
        <f t="shared" si="7"/>
        <v>15.37</v>
      </c>
    </row>
    <row r="126" spans="2:5" x14ac:dyDescent="0.2">
      <c r="B126" s="26">
        <v>1997</v>
      </c>
      <c r="C126" s="41">
        <v>15.78</v>
      </c>
      <c r="D126" s="41">
        <f t="shared" si="5"/>
        <v>15.80600000000004</v>
      </c>
      <c r="E126" s="41">
        <f t="shared" si="7"/>
        <v>15.78</v>
      </c>
    </row>
    <row r="127" spans="2:5" x14ac:dyDescent="0.2">
      <c r="B127" s="26">
        <v>1998</v>
      </c>
      <c r="C127" s="41">
        <v>16.23</v>
      </c>
      <c r="D127" s="41">
        <f t="shared" si="5"/>
        <v>16.24675000000002</v>
      </c>
      <c r="E127" s="41">
        <f t="shared" si="7"/>
        <v>16.23</v>
      </c>
    </row>
    <row r="128" spans="2:5" x14ac:dyDescent="0.2">
      <c r="B128" s="26">
        <v>1999</v>
      </c>
      <c r="C128" s="41">
        <v>16.399999999999999</v>
      </c>
      <c r="D128" s="41">
        <f t="shared" si="5"/>
        <v>16.6875</v>
      </c>
      <c r="E128" s="41">
        <f t="shared" si="7"/>
        <v>16.399999999999999</v>
      </c>
    </row>
    <row r="129" spans="1:5" x14ac:dyDescent="0.2">
      <c r="B129" s="26">
        <v>2000</v>
      </c>
      <c r="C129" s="41">
        <v>17.09</v>
      </c>
      <c r="D129" s="41">
        <f t="shared" si="5"/>
        <v>17.128250000000094</v>
      </c>
      <c r="E129" s="41">
        <f t="shared" si="7"/>
        <v>17.09</v>
      </c>
    </row>
    <row r="130" spans="1:5" x14ac:dyDescent="0.2">
      <c r="B130" s="26">
        <v>2001</v>
      </c>
      <c r="C130" s="41">
        <v>17.57</v>
      </c>
      <c r="D130" s="41">
        <f t="shared" si="5"/>
        <v>17.569000000000074</v>
      </c>
      <c r="E130" s="41">
        <f t="shared" si="7"/>
        <v>17.57</v>
      </c>
    </row>
    <row r="131" spans="1:5" x14ac:dyDescent="0.2">
      <c r="B131" s="26">
        <v>2002</v>
      </c>
      <c r="C131" s="41">
        <v>17.97</v>
      </c>
      <c r="D131" s="41">
        <f t="shared" si="5"/>
        <v>18.009750000000054</v>
      </c>
      <c r="E131" s="41">
        <f t="shared" si="7"/>
        <v>17.97</v>
      </c>
    </row>
    <row r="132" spans="1:5" x14ac:dyDescent="0.2">
      <c r="B132" s="26">
        <v>2003</v>
      </c>
      <c r="C132" s="41">
        <v>18.5</v>
      </c>
      <c r="D132" s="41">
        <f t="shared" si="5"/>
        <v>18.450500000000034</v>
      </c>
      <c r="E132" s="41">
        <f t="shared" si="7"/>
        <v>18.5</v>
      </c>
    </row>
    <row r="133" spans="1:5" x14ac:dyDescent="0.2">
      <c r="B133" s="26">
        <v>2004</v>
      </c>
      <c r="C133" s="41">
        <v>19.170000000000002</v>
      </c>
      <c r="D133" s="41">
        <f t="shared" si="5"/>
        <v>18.891250000000014</v>
      </c>
      <c r="E133" s="41">
        <f t="shared" si="7"/>
        <v>19.170000000000002</v>
      </c>
    </row>
    <row r="134" spans="1:5" x14ac:dyDescent="0.2">
      <c r="B134" s="26">
        <v>2005</v>
      </c>
      <c r="C134" s="41">
        <v>19.670000000000002</v>
      </c>
      <c r="D134" s="41">
        <f t="shared" si="5"/>
        <v>19.331999999999994</v>
      </c>
      <c r="E134" s="41">
        <f t="shared" si="7"/>
        <v>19.670000000000002</v>
      </c>
    </row>
    <row r="135" spans="1:5" x14ac:dyDescent="0.2">
      <c r="B135" s="26">
        <v>2006</v>
      </c>
      <c r="C135" s="41">
        <v>19.600000000000001</v>
      </c>
      <c r="D135" s="41">
        <f t="shared" si="5"/>
        <v>19.772750000000087</v>
      </c>
      <c r="E135" s="41">
        <f t="shared" si="7"/>
        <v>19.600000000000001</v>
      </c>
    </row>
    <row r="136" spans="1:5" x14ac:dyDescent="0.2">
      <c r="B136" s="26">
        <v>2007</v>
      </c>
      <c r="C136" s="1504">
        <v>19.55</v>
      </c>
      <c r="D136" s="41">
        <f t="shared" ref="D136:D139" si="8">(B136*$B$151)+$C$151</f>
        <v>1998.1231626673775</v>
      </c>
      <c r="E136" s="41">
        <f t="shared" si="7"/>
        <v>19.55</v>
      </c>
    </row>
    <row r="137" spans="1:5" x14ac:dyDescent="0.2">
      <c r="B137" s="26">
        <v>2008</v>
      </c>
      <c r="C137" s="1504">
        <v>19.5</v>
      </c>
      <c r="D137" s="41">
        <f t="shared" si="8"/>
        <v>1999.1186712715889</v>
      </c>
      <c r="E137" s="41">
        <f t="shared" si="7"/>
        <v>19.5</v>
      </c>
    </row>
    <row r="138" spans="1:5" x14ac:dyDescent="0.2">
      <c r="A138" s="74" t="s">
        <v>1498</v>
      </c>
      <c r="B138" s="26">
        <v>2009</v>
      </c>
      <c r="C138" s="1504">
        <v>20.3</v>
      </c>
      <c r="D138" s="41">
        <f t="shared" si="8"/>
        <v>2000.1141798758003</v>
      </c>
      <c r="E138" s="41">
        <f t="shared" si="7"/>
        <v>20.3</v>
      </c>
    </row>
    <row r="139" spans="1:5" x14ac:dyDescent="0.2">
      <c r="B139" s="26">
        <v>2010</v>
      </c>
      <c r="C139" s="1504">
        <v>21.07</v>
      </c>
      <c r="D139" s="41">
        <f t="shared" si="8"/>
        <v>2001.1096884800115</v>
      </c>
      <c r="E139" s="41">
        <f t="shared" si="7"/>
        <v>21.07</v>
      </c>
    </row>
    <row r="140" spans="1:5" ht="14.4" x14ac:dyDescent="0.3">
      <c r="B140" s="1503">
        <v>2011</v>
      </c>
      <c r="C140" s="1503">
        <v>21.46</v>
      </c>
      <c r="D140" s="1498">
        <f t="shared" ref="D140" si="9">(B140*$W$62)+$X$62</f>
        <v>0</v>
      </c>
      <c r="E140" s="1499">
        <f t="shared" si="7"/>
        <v>21.46</v>
      </c>
    </row>
    <row r="141" spans="1:5" ht="14.4" x14ac:dyDescent="0.3">
      <c r="B141" s="1498">
        <v>2012</v>
      </c>
      <c r="C141" s="1498">
        <v>21.45</v>
      </c>
      <c r="D141" s="1498"/>
      <c r="E141" s="1499">
        <f>C141</f>
        <v>21.45</v>
      </c>
    </row>
    <row r="142" spans="1:5" ht="14.4" x14ac:dyDescent="0.3">
      <c r="B142" s="1498">
        <v>2013</v>
      </c>
      <c r="C142" s="1498">
        <v>21.4</v>
      </c>
      <c r="D142" s="1498"/>
      <c r="E142" s="1499">
        <f>C142</f>
        <v>21.4</v>
      </c>
    </row>
    <row r="143" spans="1:5" ht="14.4" x14ac:dyDescent="0.3">
      <c r="B143" s="1498">
        <v>2014</v>
      </c>
      <c r="C143" s="1498">
        <v>21.49</v>
      </c>
      <c r="D143" s="1498"/>
      <c r="E143" s="1499">
        <f>C143</f>
        <v>21.49</v>
      </c>
    </row>
    <row r="144" spans="1:5" ht="14.4" x14ac:dyDescent="0.3">
      <c r="B144" s="1498">
        <v>2015</v>
      </c>
      <c r="C144" s="1498">
        <v>21.76</v>
      </c>
      <c r="D144" s="1498"/>
      <c r="E144" s="1499">
        <f>C144</f>
        <v>21.76</v>
      </c>
    </row>
    <row r="145" spans="2:5" ht="14.4" x14ac:dyDescent="0.3">
      <c r="B145" s="1498">
        <v>2016</v>
      </c>
      <c r="C145" s="1498">
        <v>22.71</v>
      </c>
      <c r="D145" s="1498"/>
      <c r="E145" s="1499">
        <f>C145</f>
        <v>22.71</v>
      </c>
    </row>
    <row r="148" spans="2:5" x14ac:dyDescent="0.2">
      <c r="B148" s="39" t="s">
        <v>416</v>
      </c>
    </row>
    <row r="149" spans="2:5" x14ac:dyDescent="0.2">
      <c r="B149" s="26">
        <f t="array" ref="B149:C153">LINEST(C119:C133,B119:B133,TRUE,TRUE)</f>
        <v>0.44075000000000003</v>
      </c>
      <c r="C149" s="26">
        <v>-864.37175000000002</v>
      </c>
    </row>
    <row r="150" spans="2:5" x14ac:dyDescent="0.2">
      <c r="B150" s="26">
        <v>8.2108628797934406E-3</v>
      </c>
      <c r="C150" s="26">
        <v>16.397131545825083</v>
      </c>
    </row>
    <row r="151" spans="2:5" x14ac:dyDescent="0.2">
      <c r="B151" s="26">
        <v>0.99550860421140008</v>
      </c>
      <c r="C151" s="26">
        <v>0.1373940150975127</v>
      </c>
    </row>
    <row r="152" spans="2:5" x14ac:dyDescent="0.2">
      <c r="B152" s="26">
        <v>2881.423161948203</v>
      </c>
      <c r="C152" s="26">
        <v>13</v>
      </c>
    </row>
    <row r="153" spans="2:5" x14ac:dyDescent="0.2">
      <c r="B153" s="26">
        <v>54.392957500000001</v>
      </c>
      <c r="C153" s="26">
        <v>0.24540250000000213</v>
      </c>
    </row>
  </sheetData>
  <phoneticPr fontId="0" type="noConversion"/>
  <hyperlinks>
    <hyperlink ref="D11" r:id="rId1" xr:uid="{00000000-0004-0000-0D00-000000000000}"/>
    <hyperlink ref="D54" r:id="rId2" xr:uid="{00000000-0004-0000-0D00-000001000000}"/>
    <hyperlink ref="D105" r:id="rId3" xr:uid="{00000000-0004-0000-0D00-000002000000}"/>
  </hyperlinks>
  <printOptions gridLines="1" gridLinesSet="0"/>
  <pageMargins left="0.26" right="0.21" top="1" bottom="1" header="0.25" footer="0.5"/>
  <pageSetup scale="22" orientation="landscape" horizontalDpi="4294967292" verticalDpi="300" r:id="rId4"/>
  <headerFooter alignWithMargins="0">
    <oddHeader>Page &amp;P</oddHeader>
    <oddFooter>&amp;L&amp;D
K.N. Ibsen&amp;CI0597A.XLS/INDICES</oddFooter>
  </headerFooter>
  <drawing r:id="rId5"/>
  <legacyDrawing r:id="rId6"/>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QK216"/>
  <sheetViews>
    <sheetView zoomScale="80" zoomScaleNormal="80" workbookViewId="0">
      <selection activeCell="IJ44" sqref="IJ44"/>
    </sheetView>
  </sheetViews>
  <sheetFormatPr defaultColWidth="9" defaultRowHeight="13.2" x14ac:dyDescent="0.25"/>
  <cols>
    <col min="1" max="1" width="4.6640625" style="189" bestFit="1" customWidth="1"/>
    <col min="2" max="2" width="9" style="189"/>
    <col min="3" max="3" width="21.6640625" style="189" bestFit="1" customWidth="1"/>
    <col min="4" max="6" width="9" style="189" customWidth="1"/>
    <col min="7" max="7" width="2.88671875" style="1330" customWidth="1"/>
    <col min="8" max="8" width="23.77734375" style="189" bestFit="1" customWidth="1"/>
    <col min="9" max="9" width="6.6640625" style="189" bestFit="1" customWidth="1"/>
    <col min="10" max="10" width="9" style="189" customWidth="1"/>
    <col min="11" max="12" width="9" style="189"/>
    <col min="13" max="13" width="10.88671875" style="189" bestFit="1" customWidth="1"/>
    <col min="14" max="14" width="6.109375" style="189" customWidth="1"/>
    <col min="15" max="15" width="8.109375" style="189" customWidth="1"/>
    <col min="16" max="16" width="16.33203125" style="189" bestFit="1" customWidth="1"/>
    <col min="17" max="17" width="2.88671875" style="1330" customWidth="1"/>
    <col min="18" max="18" width="23.77734375" style="189" bestFit="1" customWidth="1"/>
    <col min="19" max="19" width="6.6640625" style="189" bestFit="1" customWidth="1"/>
    <col min="20" max="20" width="9" style="189" customWidth="1"/>
    <col min="21" max="31" width="9" style="189"/>
    <col min="32" max="32" width="10.88671875" style="189" bestFit="1" customWidth="1"/>
    <col min="33" max="33" width="6.109375" style="189" customWidth="1"/>
    <col min="34" max="34" width="8.109375" style="189" customWidth="1"/>
    <col min="35" max="35" width="16.33203125" style="189" bestFit="1" customWidth="1"/>
    <col min="36" max="36" width="2.88671875" style="1330" customWidth="1"/>
    <col min="37" max="37" width="23.77734375" style="189" bestFit="1" customWidth="1"/>
    <col min="38" max="38" width="6.6640625" style="189" bestFit="1" customWidth="1"/>
    <col min="39" max="39" width="9" style="189" customWidth="1"/>
    <col min="40" max="55" width="9" style="189"/>
    <col min="56" max="56" width="16.6640625" style="189" bestFit="1" customWidth="1"/>
    <col min="57" max="57" width="10.21875" style="189" bestFit="1" customWidth="1"/>
    <col min="58" max="58" width="8.109375" style="189" customWidth="1"/>
    <col min="59" max="59" width="10.77734375" style="189" bestFit="1" customWidth="1"/>
    <col min="60" max="60" width="6.109375" style="189" customWidth="1"/>
    <col min="61" max="61" width="8.109375" style="189" customWidth="1"/>
    <col min="62" max="62" width="10.88671875" style="189" bestFit="1" customWidth="1"/>
    <col min="63" max="63" width="2.88671875" style="1330" customWidth="1"/>
    <col min="64" max="64" width="23.77734375" style="189" bestFit="1" customWidth="1"/>
    <col min="65" max="65" width="6.6640625" style="189" bestFit="1" customWidth="1"/>
    <col min="66" max="66" width="9" style="189" customWidth="1"/>
    <col min="67" max="71" width="9" style="189"/>
    <col min="72" max="72" width="16.6640625" style="189" bestFit="1" customWidth="1"/>
    <col min="73" max="73" width="10.21875" style="189" bestFit="1" customWidth="1"/>
    <col min="74" max="74" width="8.109375" style="189" customWidth="1"/>
    <col min="75" max="75" width="10.77734375" style="189" bestFit="1" customWidth="1"/>
    <col min="76" max="76" width="6.109375" style="189" customWidth="1"/>
    <col min="77" max="77" width="8.109375" style="189" customWidth="1"/>
    <col min="78" max="78" width="11.88671875" style="189" bestFit="1" customWidth="1"/>
    <col min="79" max="79" width="2.88671875" style="1330" customWidth="1"/>
    <col min="80" max="80" width="23.77734375" style="189" bestFit="1" customWidth="1"/>
    <col min="81" max="81" width="6.6640625" style="189" bestFit="1" customWidth="1"/>
    <col min="82" max="82" width="9" style="189" customWidth="1"/>
    <col min="83" max="94" width="9" style="189"/>
    <col min="95" max="95" width="16.6640625" style="189" bestFit="1" customWidth="1"/>
    <col min="96" max="96" width="10.21875" style="189" bestFit="1" customWidth="1"/>
    <col min="97" max="97" width="8.109375" style="189" customWidth="1"/>
    <col min="98" max="98" width="10.77734375" style="189" bestFit="1" customWidth="1"/>
    <col min="99" max="99" width="6.109375" style="189" customWidth="1"/>
    <col min="100" max="100" width="8.109375" style="189" customWidth="1"/>
    <col min="101" max="101" width="10.88671875" style="189" bestFit="1" customWidth="1"/>
    <col min="102" max="102" width="2.88671875" style="1330" customWidth="1"/>
    <col min="103" max="103" width="23.77734375" style="189" bestFit="1" customWidth="1"/>
    <col min="104" max="104" width="6.6640625" style="189" bestFit="1" customWidth="1"/>
    <col min="105" max="105" width="9" style="189" customWidth="1"/>
    <col min="106" max="115" width="9" style="189"/>
    <col min="116" max="116" width="16.6640625" style="189" bestFit="1" customWidth="1"/>
    <col min="117" max="117" width="10.21875" style="189" bestFit="1" customWidth="1"/>
    <col min="118" max="118" width="8.109375" style="189" customWidth="1"/>
    <col min="119" max="119" width="10.77734375" style="189" bestFit="1" customWidth="1"/>
    <col min="120" max="120" width="6.109375" style="189" customWidth="1"/>
    <col min="121" max="121" width="8.109375" style="189" customWidth="1"/>
    <col min="122" max="122" width="10.88671875" style="189" bestFit="1" customWidth="1"/>
    <col min="123" max="123" width="2.88671875" style="1330" customWidth="1"/>
    <col min="124" max="124" width="23.77734375" style="189" bestFit="1" customWidth="1"/>
    <col min="125" max="125" width="6.6640625" style="189" bestFit="1" customWidth="1"/>
    <col min="126" max="126" width="9" style="189" customWidth="1"/>
    <col min="127" max="142" width="9" style="189"/>
    <col min="143" max="143" width="16.6640625" style="189" bestFit="1" customWidth="1"/>
    <col min="144" max="144" width="10.21875" style="189" bestFit="1" customWidth="1"/>
    <col min="145" max="145" width="8.109375" style="189" customWidth="1"/>
    <col min="146" max="146" width="10.77734375" style="189" bestFit="1" customWidth="1"/>
    <col min="147" max="147" width="6.109375" style="189" customWidth="1"/>
    <col min="148" max="148" width="8.109375" style="189" customWidth="1"/>
    <col min="149" max="149" width="10.88671875" style="189" bestFit="1" customWidth="1"/>
    <col min="150" max="150" width="2.88671875" style="1330" customWidth="1"/>
    <col min="151" max="151" width="23.77734375" style="189" bestFit="1" customWidth="1"/>
    <col min="152" max="152" width="6.6640625" style="189" bestFit="1" customWidth="1"/>
    <col min="153" max="153" width="9" style="189" customWidth="1"/>
    <col min="154" max="159" width="9" style="189"/>
    <col min="160" max="160" width="16.6640625" style="189" bestFit="1" customWidth="1"/>
    <col min="161" max="161" width="10.21875" style="189" bestFit="1" customWidth="1"/>
    <col min="162" max="162" width="8.109375" style="189" customWidth="1"/>
    <col min="163" max="163" width="10.77734375" style="189" bestFit="1" customWidth="1"/>
    <col min="164" max="164" width="6.109375" style="189" customWidth="1"/>
    <col min="165" max="165" width="8.109375" style="189" customWidth="1"/>
    <col min="166" max="166" width="10.88671875" style="189" bestFit="1" customWidth="1"/>
    <col min="167" max="167" width="2.88671875" style="1330" customWidth="1"/>
    <col min="168" max="168" width="23.77734375" style="189" bestFit="1" customWidth="1"/>
    <col min="169" max="169" width="6.6640625" style="189" bestFit="1" customWidth="1"/>
    <col min="170" max="170" width="9" style="189" customWidth="1"/>
    <col min="171" max="181" width="9" style="189"/>
    <col min="182" max="182" width="16.6640625" style="189" bestFit="1" customWidth="1"/>
    <col min="183" max="183" width="10.21875" style="189" bestFit="1" customWidth="1"/>
    <col min="184" max="184" width="8.109375" style="189" customWidth="1"/>
    <col min="185" max="185" width="10.77734375" style="189" bestFit="1" customWidth="1"/>
    <col min="186" max="186" width="6.109375" style="189" customWidth="1"/>
    <col min="187" max="187" width="8.109375" style="189" customWidth="1"/>
    <col min="188" max="188" width="10.88671875" style="189" bestFit="1" customWidth="1"/>
    <col min="189" max="189" width="2.88671875" style="1330" customWidth="1"/>
    <col min="190" max="190" width="23.77734375" style="189" bestFit="1" customWidth="1"/>
    <col min="191" max="191" width="6.6640625" style="189" bestFit="1" customWidth="1"/>
    <col min="192" max="192" width="9" style="189" customWidth="1"/>
    <col min="193" max="200" width="9" style="189"/>
    <col min="201" max="201" width="16.6640625" style="189" bestFit="1" customWidth="1"/>
    <col min="202" max="202" width="10.21875" style="189" bestFit="1" customWidth="1"/>
    <col min="203" max="203" width="8.109375" style="189" customWidth="1"/>
    <col min="204" max="204" width="10.77734375" style="189" bestFit="1" customWidth="1"/>
    <col min="205" max="205" width="6.109375" style="189" customWidth="1"/>
    <col min="206" max="206" width="8.109375" style="189" customWidth="1"/>
    <col min="207" max="207" width="10.88671875" style="189" bestFit="1" customWidth="1"/>
    <col min="208" max="208" width="2.88671875" style="1330" customWidth="1"/>
    <col min="209" max="209" width="23.77734375" style="189" bestFit="1" customWidth="1"/>
    <col min="210" max="210" width="6.6640625" style="189" bestFit="1" customWidth="1"/>
    <col min="211" max="211" width="9" style="189" customWidth="1"/>
    <col min="212" max="217" width="9" style="189"/>
    <col min="218" max="218" width="16.6640625" style="189" bestFit="1" customWidth="1"/>
    <col min="219" max="219" width="10.21875" style="189" bestFit="1" customWidth="1"/>
    <col min="220" max="220" width="8.109375" style="189" customWidth="1"/>
    <col min="221" max="221" width="10.77734375" style="189" bestFit="1" customWidth="1"/>
    <col min="222" max="223" width="8.109375" style="189" customWidth="1"/>
    <col min="224" max="224" width="16.21875" style="189" bestFit="1" customWidth="1"/>
    <col min="225" max="225" width="2.88671875" style="1330" customWidth="1"/>
    <col min="226" max="226" width="23.77734375" style="189" bestFit="1" customWidth="1"/>
    <col min="227" max="227" width="6.6640625" style="189" bestFit="1" customWidth="1"/>
    <col min="228" max="228" width="9" style="189" customWidth="1"/>
    <col min="229" max="240" width="9" style="189"/>
    <col min="241" max="241" width="16.6640625" style="189" bestFit="1" customWidth="1"/>
    <col min="242" max="242" width="10.21875" style="189" bestFit="1" customWidth="1"/>
    <col min="243" max="243" width="8.109375" style="189" customWidth="1"/>
    <col min="244" max="244" width="10.77734375" style="189" bestFit="1" customWidth="1"/>
    <col min="245" max="245" width="6.109375" style="189" customWidth="1"/>
    <col min="246" max="246" width="8.109375" style="189" customWidth="1"/>
    <col min="247" max="247" width="10.88671875" style="189" bestFit="1" customWidth="1"/>
    <col min="248" max="248" width="2.88671875" style="1330" customWidth="1"/>
    <col min="249" max="249" width="23.77734375" style="189" bestFit="1" customWidth="1"/>
    <col min="250" max="250" width="6.6640625" style="189" bestFit="1" customWidth="1"/>
    <col min="251" max="251" width="9" style="189" customWidth="1"/>
    <col min="252" max="269" width="9" style="189"/>
    <col min="270" max="270" width="16.6640625" style="189" bestFit="1" customWidth="1"/>
    <col min="271" max="271" width="10.21875" style="189" bestFit="1" customWidth="1"/>
    <col min="272" max="272" width="8.109375" style="189" customWidth="1"/>
    <col min="273" max="273" width="10.77734375" style="189" bestFit="1" customWidth="1"/>
    <col min="274" max="274" width="6.109375" style="189" customWidth="1"/>
    <col min="275" max="275" width="8.109375" style="189" customWidth="1"/>
    <col min="276" max="276" width="10.88671875" style="189" bestFit="1" customWidth="1"/>
    <col min="277" max="277" width="2.88671875" style="1330" customWidth="1"/>
    <col min="278" max="278" width="23.77734375" style="189" bestFit="1" customWidth="1"/>
    <col min="279" max="279" width="6.6640625" style="189" bestFit="1" customWidth="1"/>
    <col min="280" max="280" width="9" style="189" customWidth="1"/>
    <col min="281" max="290" width="9" style="189"/>
    <col min="291" max="291" width="10.77734375" style="189" bestFit="1" customWidth="1"/>
    <col min="292" max="292" width="6.109375" style="189" customWidth="1"/>
    <col min="293" max="293" width="8.109375" style="189" customWidth="1"/>
    <col min="294" max="294" width="10.88671875" style="189" bestFit="1" customWidth="1"/>
    <col min="295" max="295" width="2.88671875" style="1330" customWidth="1"/>
    <col min="296" max="296" width="23.77734375" style="189" bestFit="1" customWidth="1"/>
    <col min="297" max="297" width="6.6640625" style="189" bestFit="1" customWidth="1"/>
    <col min="298" max="298" width="9" style="189" customWidth="1"/>
    <col min="299" max="305" width="9" style="189"/>
    <col min="306" max="306" width="10.77734375" style="189" bestFit="1" customWidth="1"/>
    <col min="307" max="307" width="6.109375" style="189" customWidth="1"/>
    <col min="308" max="308" width="8.109375" style="189" customWidth="1"/>
    <col min="309" max="309" width="10.88671875" style="189" bestFit="1" customWidth="1"/>
    <col min="310" max="310" width="2.88671875" style="1330" customWidth="1"/>
    <col min="311" max="311" width="23.77734375" style="189" bestFit="1" customWidth="1"/>
    <col min="312" max="312" width="6.6640625" style="189" bestFit="1" customWidth="1"/>
    <col min="313" max="313" width="9" style="189" customWidth="1"/>
    <col min="314" max="324" width="9" style="189"/>
    <col min="325" max="325" width="16.6640625" style="189" bestFit="1" customWidth="1"/>
    <col min="326" max="326" width="10.21875" style="189" bestFit="1" customWidth="1"/>
    <col min="327" max="327" width="8.109375" style="189" customWidth="1"/>
    <col min="328" max="328" width="10.77734375" style="189" bestFit="1" customWidth="1"/>
    <col min="329" max="329" width="6.109375" style="189" customWidth="1"/>
    <col min="330" max="330" width="8.109375" style="189" customWidth="1"/>
    <col min="331" max="331" width="10.88671875" style="189" bestFit="1" customWidth="1"/>
    <col min="332" max="332" width="2.88671875" style="1330" customWidth="1"/>
    <col min="333" max="333" width="23.77734375" style="189" bestFit="1" customWidth="1"/>
    <col min="334" max="334" width="6.6640625" style="189" bestFit="1" customWidth="1"/>
    <col min="335" max="335" width="9.109375" style="189" customWidth="1"/>
    <col min="336" max="336" width="9" style="189" customWidth="1"/>
    <col min="337" max="354" width="9" style="189"/>
    <col min="355" max="355" width="16.6640625" style="189" bestFit="1" customWidth="1"/>
    <col min="356" max="356" width="10.21875" style="189" bestFit="1" customWidth="1"/>
    <col min="357" max="357" width="8.109375" style="189" customWidth="1"/>
    <col min="358" max="358" width="10.77734375" style="189" bestFit="1" customWidth="1"/>
    <col min="359" max="359" width="6.109375" style="189" customWidth="1"/>
    <col min="360" max="360" width="8.109375" style="189" customWidth="1"/>
    <col min="361" max="361" width="10.88671875" style="189" bestFit="1" customWidth="1"/>
    <col min="362" max="362" width="2.88671875" style="1330" customWidth="1"/>
    <col min="363" max="363" width="23.77734375" style="189" bestFit="1" customWidth="1"/>
    <col min="364" max="364" width="6.6640625" style="189" bestFit="1" customWidth="1"/>
    <col min="365" max="365" width="9" style="189" customWidth="1"/>
    <col min="366" max="381" width="9" style="189"/>
    <col min="382" max="382" width="16.6640625" style="189" bestFit="1" customWidth="1"/>
    <col min="383" max="383" width="10.21875" style="189" bestFit="1" customWidth="1"/>
    <col min="384" max="384" width="8.109375" style="189" customWidth="1"/>
    <col min="385" max="385" width="10.77734375" style="189" bestFit="1" customWidth="1"/>
    <col min="386" max="386" width="6.109375" style="189" customWidth="1"/>
    <col min="387" max="387" width="8.109375" style="189" customWidth="1"/>
    <col min="388" max="388" width="15.44140625" style="189" bestFit="1" customWidth="1"/>
    <col min="389" max="389" width="2.88671875" style="1330" customWidth="1"/>
    <col min="390" max="390" width="25" style="189" bestFit="1" customWidth="1"/>
    <col min="391" max="391" width="10.77734375" style="189" bestFit="1" customWidth="1"/>
    <col min="392" max="392" width="6.109375" style="189" customWidth="1"/>
    <col min="393" max="393" width="8.109375" style="189" customWidth="1"/>
    <col min="394" max="394" width="15.44140625" style="189" bestFit="1" customWidth="1"/>
    <col min="395" max="395" width="2.88671875" style="1330" customWidth="1"/>
    <col min="396" max="396" width="23.77734375" style="189" bestFit="1" customWidth="1"/>
    <col min="397" max="397" width="6.6640625" style="189" bestFit="1" customWidth="1"/>
    <col min="398" max="398" width="11.44140625" style="189" bestFit="1" customWidth="1"/>
    <col min="399" max="400" width="9" style="189"/>
    <col min="401" max="401" width="11.44140625" style="189" bestFit="1" customWidth="1"/>
    <col min="402" max="406" width="9" style="189"/>
    <col min="407" max="407" width="16.6640625" style="189" bestFit="1" customWidth="1"/>
    <col min="408" max="408" width="10.21875" style="189" bestFit="1" customWidth="1"/>
    <col min="409" max="409" width="8.109375" style="189" customWidth="1"/>
    <col min="410" max="410" width="10.77734375" style="189" bestFit="1" customWidth="1"/>
    <col min="411" max="411" width="6.109375" style="189" customWidth="1"/>
    <col min="412" max="412" width="8.109375" style="189" customWidth="1"/>
    <col min="413" max="413" width="10.88671875" style="189" bestFit="1" customWidth="1"/>
    <col min="414" max="414" width="2.88671875" style="1330" customWidth="1"/>
    <col min="415" max="415" width="23.77734375" style="189" bestFit="1" customWidth="1"/>
    <col min="416" max="416" width="6.6640625" style="189" bestFit="1" customWidth="1"/>
    <col min="417" max="417" width="9" style="189" customWidth="1"/>
    <col min="418" max="428" width="9" style="189"/>
    <col min="429" max="429" width="16.6640625" style="189" bestFit="1" customWidth="1"/>
    <col min="430" max="430" width="10.21875" style="189" bestFit="1" customWidth="1"/>
    <col min="431" max="431" width="8.109375" style="189" customWidth="1"/>
    <col min="432" max="432" width="10.77734375" style="189" bestFit="1" customWidth="1"/>
    <col min="433" max="433" width="6.109375" style="189" customWidth="1"/>
    <col min="434" max="434" width="8.109375" style="189" customWidth="1"/>
    <col min="435" max="435" width="10.88671875" style="189" bestFit="1" customWidth="1"/>
    <col min="436" max="436" width="2.88671875" style="1330" customWidth="1"/>
    <col min="437" max="437" width="23.77734375" style="189" bestFit="1" customWidth="1"/>
    <col min="438" max="438" width="6.6640625" style="189" bestFit="1" customWidth="1"/>
    <col min="439" max="439" width="9" style="189" customWidth="1"/>
    <col min="440" max="443" width="9" style="189"/>
    <col min="444" max="444" width="16.6640625" style="189" bestFit="1" customWidth="1"/>
    <col min="445" max="445" width="10.21875" style="189" bestFit="1" customWidth="1"/>
    <col min="446" max="446" width="8.109375" style="189" customWidth="1"/>
    <col min="447" max="447" width="10.77734375" style="189" bestFit="1" customWidth="1"/>
    <col min="448" max="448" width="6.109375" style="189" customWidth="1"/>
    <col min="449" max="449" width="8.109375" style="189" customWidth="1"/>
    <col min="450" max="450" width="10.88671875" style="189" bestFit="1" customWidth="1"/>
    <col min="451" max="16384" width="9" style="189"/>
  </cols>
  <sheetData>
    <row r="1" spans="1:453" x14ac:dyDescent="0.25">
      <c r="H1" s="1331" t="s">
        <v>1883</v>
      </c>
      <c r="I1" s="1332"/>
      <c r="J1" s="1332">
        <v>101</v>
      </c>
      <c r="K1" s="1332">
        <v>105</v>
      </c>
      <c r="L1" s="1332"/>
      <c r="M1" s="1332"/>
      <c r="N1" s="1332"/>
      <c r="O1" s="1332"/>
      <c r="P1" s="1332"/>
      <c r="R1" s="1331" t="s">
        <v>1904</v>
      </c>
      <c r="S1" s="1332"/>
      <c r="T1" s="1336" t="s">
        <v>1340</v>
      </c>
      <c r="U1" s="1336" t="s">
        <v>1328</v>
      </c>
      <c r="V1" s="1336" t="s">
        <v>1336</v>
      </c>
      <c r="W1" s="1336" t="s">
        <v>1341</v>
      </c>
      <c r="X1" s="1336" t="s">
        <v>1344</v>
      </c>
      <c r="Y1" s="1336" t="s">
        <v>1346</v>
      </c>
      <c r="Z1" s="1336" t="s">
        <v>1347</v>
      </c>
      <c r="AA1" s="1336" t="s">
        <v>1329</v>
      </c>
      <c r="AB1" s="1336" t="s">
        <v>1330</v>
      </c>
      <c r="AC1" s="1336" t="s">
        <v>1345</v>
      </c>
      <c r="AD1" s="1336" t="s">
        <v>1429</v>
      </c>
      <c r="AE1" s="1336"/>
      <c r="AF1" s="1332"/>
      <c r="AG1" s="1332"/>
      <c r="AH1" s="1332"/>
      <c r="AI1" s="1332"/>
      <c r="AK1" s="1331" t="s">
        <v>1905</v>
      </c>
      <c r="AL1" s="1332"/>
      <c r="AM1" s="1336" t="s">
        <v>1326</v>
      </c>
      <c r="AN1" s="1336" t="s">
        <v>1328</v>
      </c>
      <c r="AO1" s="1336" t="s">
        <v>1329</v>
      </c>
      <c r="AP1" s="1336" t="s">
        <v>1332</v>
      </c>
      <c r="AQ1" s="1336" t="s">
        <v>1337</v>
      </c>
      <c r="AR1" s="1336" t="s">
        <v>1323</v>
      </c>
      <c r="AS1" s="1336" t="s">
        <v>1327</v>
      </c>
      <c r="AT1" s="1336" t="s">
        <v>1331</v>
      </c>
      <c r="AU1" s="1336" t="s">
        <v>1334</v>
      </c>
      <c r="AV1" s="1336" t="s">
        <v>1338</v>
      </c>
      <c r="AW1" s="1336" t="s">
        <v>1342</v>
      </c>
      <c r="AX1" s="1336" t="s">
        <v>1324</v>
      </c>
      <c r="AY1" s="1336" t="s">
        <v>1335</v>
      </c>
      <c r="AZ1" s="1336" t="s">
        <v>1339</v>
      </c>
      <c r="BA1" s="1336" t="s">
        <v>1343</v>
      </c>
      <c r="BB1" s="1336" t="s">
        <v>1325</v>
      </c>
      <c r="BC1" s="1336"/>
      <c r="BD1" s="1332"/>
      <c r="BE1" s="1332"/>
      <c r="BF1" s="1332"/>
      <c r="BG1" s="1332"/>
      <c r="BH1" s="1332"/>
      <c r="BI1" s="1332"/>
      <c r="BJ1" s="1332"/>
      <c r="BL1" s="1331" t="s">
        <v>1906</v>
      </c>
      <c r="BM1" s="1332"/>
      <c r="BN1" s="1336" t="s">
        <v>1358</v>
      </c>
      <c r="BO1" s="1336" t="s">
        <v>1359</v>
      </c>
      <c r="BP1" s="1336" t="s">
        <v>1360</v>
      </c>
      <c r="BQ1" s="1336" t="s">
        <v>3217</v>
      </c>
      <c r="BR1" s="1336" t="s">
        <v>3218</v>
      </c>
      <c r="BS1" s="1336"/>
      <c r="BT1" s="1332"/>
      <c r="BU1" s="1332"/>
      <c r="BV1" s="1332"/>
      <c r="BW1" s="1332"/>
      <c r="BX1" s="1332"/>
      <c r="BY1" s="1332"/>
      <c r="BZ1" s="1332"/>
      <c r="CB1" s="1331" t="s">
        <v>1907</v>
      </c>
      <c r="CC1" s="1332"/>
      <c r="CD1" s="1336" t="s">
        <v>1352</v>
      </c>
      <c r="CE1" s="1336" t="s">
        <v>3225</v>
      </c>
      <c r="CF1" s="1336" t="s">
        <v>1358</v>
      </c>
      <c r="CG1" s="1336" t="s">
        <v>1359</v>
      </c>
      <c r="CH1" s="1336" t="s">
        <v>1362</v>
      </c>
      <c r="CI1" s="1336" t="s">
        <v>1354</v>
      </c>
      <c r="CJ1" s="1336" t="s">
        <v>3226</v>
      </c>
      <c r="CK1" s="1336" t="s">
        <v>1361</v>
      </c>
      <c r="CL1" s="1336" t="s">
        <v>1363</v>
      </c>
      <c r="CM1" s="1336" t="s">
        <v>1357</v>
      </c>
      <c r="CN1" s="1336" t="s">
        <v>1353</v>
      </c>
      <c r="CO1" s="1336" t="s">
        <v>1356</v>
      </c>
      <c r="CP1" s="1336"/>
      <c r="CQ1" s="1332"/>
      <c r="CR1" s="1332"/>
      <c r="CS1" s="1332"/>
      <c r="CT1" s="1332"/>
      <c r="CU1" s="1332"/>
      <c r="CV1" s="1332"/>
      <c r="CW1" s="1332"/>
      <c r="CY1" s="1331" t="s">
        <v>1908</v>
      </c>
      <c r="CZ1" s="1332"/>
      <c r="DA1" s="1336" t="s">
        <v>1374</v>
      </c>
      <c r="DB1" s="1336" t="s">
        <v>1378</v>
      </c>
      <c r="DC1" s="1336" t="s">
        <v>1381</v>
      </c>
      <c r="DD1" s="1336" t="s">
        <v>1383</v>
      </c>
      <c r="DE1" s="1336" t="s">
        <v>1387</v>
      </c>
      <c r="DF1" s="1336" t="s">
        <v>1382</v>
      </c>
      <c r="DG1" s="1336" t="s">
        <v>1367</v>
      </c>
      <c r="DH1" s="1336" t="s">
        <v>1373</v>
      </c>
      <c r="DI1" s="1336" t="s">
        <v>1377</v>
      </c>
      <c r="DJ1" s="1336" t="s">
        <v>1380</v>
      </c>
      <c r="DK1" s="1336"/>
      <c r="DL1" s="1332"/>
      <c r="DM1" s="1332"/>
      <c r="DN1" s="1332"/>
      <c r="DO1" s="1332"/>
      <c r="DP1" s="1332"/>
      <c r="DQ1" s="1332"/>
      <c r="DR1" s="1332"/>
      <c r="DT1" s="1331" t="s">
        <v>1909</v>
      </c>
      <c r="DU1" s="1332"/>
      <c r="DV1" s="1336" t="s">
        <v>1364</v>
      </c>
      <c r="DW1" s="1336" t="s">
        <v>1368</v>
      </c>
      <c r="DX1" s="1336" t="s">
        <v>1370</v>
      </c>
      <c r="DY1" s="1336" t="s">
        <v>1374</v>
      </c>
      <c r="DZ1" s="1336" t="s">
        <v>1381</v>
      </c>
      <c r="EA1" s="1336" t="s">
        <v>1387</v>
      </c>
      <c r="EB1" s="1336" t="s">
        <v>1365</v>
      </c>
      <c r="EC1" s="1336" t="s">
        <v>1384</v>
      </c>
      <c r="ED1" s="1336" t="s">
        <v>1371</v>
      </c>
      <c r="EE1" s="1336" t="s">
        <v>1375</v>
      </c>
      <c r="EF1" s="1336" t="s">
        <v>1366</v>
      </c>
      <c r="EG1" s="1336" t="s">
        <v>1369</v>
      </c>
      <c r="EH1" s="1336" t="s">
        <v>1372</v>
      </c>
      <c r="EI1" s="1336" t="s">
        <v>1376</v>
      </c>
      <c r="EJ1" s="1336" t="s">
        <v>1385</v>
      </c>
      <c r="EK1" s="1336" t="s">
        <v>1377</v>
      </c>
      <c r="EL1" s="1336"/>
      <c r="EM1" s="1332"/>
      <c r="EN1" s="1332"/>
      <c r="EO1" s="1332"/>
      <c r="EP1" s="1332"/>
      <c r="EQ1" s="1332"/>
      <c r="ER1" s="1332"/>
      <c r="ES1" s="1332"/>
      <c r="EU1" s="1331" t="s">
        <v>1910</v>
      </c>
      <c r="EV1" s="1332"/>
      <c r="EW1" s="1336" t="s">
        <v>1396</v>
      </c>
      <c r="EX1" s="1336" t="s">
        <v>1406</v>
      </c>
      <c r="EY1" s="1336" t="s">
        <v>1408</v>
      </c>
      <c r="EZ1" s="1336" t="s">
        <v>1410</v>
      </c>
      <c r="FA1" s="1336" t="s">
        <v>1411</v>
      </c>
      <c r="FB1" s="1336" t="s">
        <v>1388</v>
      </c>
      <c r="FC1" s="1336"/>
      <c r="FD1" s="1332"/>
      <c r="FE1" s="1332"/>
      <c r="FF1" s="1332"/>
      <c r="FG1" s="1332"/>
      <c r="FH1" s="1332"/>
      <c r="FI1" s="1332"/>
      <c r="FJ1" s="1332"/>
      <c r="FL1" s="1331" t="s">
        <v>1911</v>
      </c>
      <c r="FM1" s="1332"/>
      <c r="FN1" s="1336" t="s">
        <v>1403</v>
      </c>
      <c r="FO1" s="1336" t="s">
        <v>1409</v>
      </c>
      <c r="FP1" s="1336" t="s">
        <v>1411</v>
      </c>
      <c r="FQ1" s="1336" t="s">
        <v>1388</v>
      </c>
      <c r="FR1" s="1336" t="s">
        <v>1397</v>
      </c>
      <c r="FS1" s="1336" t="s">
        <v>1407</v>
      </c>
      <c r="FT1" s="1336" t="s">
        <v>1398</v>
      </c>
      <c r="FU1" s="1336" t="s">
        <v>1401</v>
      </c>
      <c r="FV1" s="1336" t="s">
        <v>1402</v>
      </c>
      <c r="FW1" s="1336" t="s">
        <v>1389</v>
      </c>
      <c r="FX1" s="1336" t="s">
        <v>1399</v>
      </c>
      <c r="FY1" s="1336"/>
      <c r="FZ1" s="1332"/>
      <c r="GA1" s="1332"/>
      <c r="GB1" s="1332"/>
      <c r="GC1" s="1332"/>
      <c r="GD1" s="1332"/>
      <c r="GE1" s="1332"/>
      <c r="GF1" s="1332"/>
      <c r="GH1" s="1331" t="s">
        <v>1912</v>
      </c>
      <c r="GI1" s="1332"/>
      <c r="GJ1" s="1336" t="s">
        <v>1397</v>
      </c>
      <c r="GK1" s="1336" t="s">
        <v>1394</v>
      </c>
      <c r="GL1" s="1336" t="s">
        <v>1390</v>
      </c>
      <c r="GM1" s="1336" t="s">
        <v>1391</v>
      </c>
      <c r="GN1" s="1336" t="s">
        <v>1404</v>
      </c>
      <c r="GO1" s="1336" t="s">
        <v>1392</v>
      </c>
      <c r="GP1" s="1336" t="s">
        <v>1393</v>
      </c>
      <c r="GQ1" s="1336" t="s">
        <v>1398</v>
      </c>
      <c r="GR1" s="1336"/>
      <c r="GS1" s="1332"/>
      <c r="GT1" s="1332"/>
      <c r="GU1" s="1332"/>
      <c r="GV1" s="1332"/>
      <c r="GW1" s="1332"/>
      <c r="GX1" s="1332"/>
      <c r="GY1" s="1332"/>
      <c r="HA1" s="1331" t="s">
        <v>1914</v>
      </c>
      <c r="HB1" s="1332"/>
      <c r="HC1" s="1336" t="s">
        <v>1410</v>
      </c>
      <c r="HD1" s="1336" t="s">
        <v>1405</v>
      </c>
      <c r="HE1" s="1336" t="s">
        <v>2421</v>
      </c>
      <c r="HF1" s="1336" t="s">
        <v>1395</v>
      </c>
      <c r="HG1" s="1336" t="s">
        <v>1400</v>
      </c>
      <c r="HH1" s="1336" t="s">
        <v>1413</v>
      </c>
      <c r="HI1" s="1336"/>
      <c r="HJ1" s="1332"/>
      <c r="HK1" s="1332"/>
      <c r="HL1" s="1332"/>
      <c r="HM1" s="1332"/>
      <c r="HN1" s="1332"/>
      <c r="HO1" s="1332"/>
      <c r="HP1" s="1332"/>
      <c r="HR1" s="1331" t="s">
        <v>1915</v>
      </c>
      <c r="HS1" s="1332"/>
      <c r="HT1" s="1336" t="s">
        <v>1416</v>
      </c>
      <c r="HU1" s="1336" t="s">
        <v>1425</v>
      </c>
      <c r="HV1" s="1336" t="s">
        <v>3246</v>
      </c>
      <c r="HW1" s="1336" t="s">
        <v>3247</v>
      </c>
      <c r="HX1" s="1336" t="s">
        <v>3248</v>
      </c>
      <c r="HY1" s="1336" t="s">
        <v>3249</v>
      </c>
      <c r="HZ1" s="1336" t="s">
        <v>3250</v>
      </c>
      <c r="IA1" s="1336" t="s">
        <v>3251</v>
      </c>
      <c r="IB1" s="1336" t="s">
        <v>3254</v>
      </c>
      <c r="IC1" s="1336">
        <v>903</v>
      </c>
      <c r="ID1" s="1336" t="s">
        <v>3252</v>
      </c>
      <c r="IE1" s="1336" t="s">
        <v>3253</v>
      </c>
      <c r="IF1" s="1336"/>
      <c r="IG1" s="1332"/>
      <c r="IH1" s="1332"/>
      <c r="II1" s="1332"/>
      <c r="IJ1" s="1332"/>
      <c r="IK1" s="1332"/>
      <c r="IL1" s="1332"/>
      <c r="IM1" s="1332"/>
      <c r="IO1" s="1331" t="s">
        <v>1916</v>
      </c>
      <c r="IP1" s="1332"/>
      <c r="IQ1" s="1336" t="s">
        <v>3248</v>
      </c>
      <c r="IR1" s="1336" t="s">
        <v>3249</v>
      </c>
      <c r="IS1" s="1336" t="s">
        <v>3261</v>
      </c>
      <c r="IT1" s="1336" t="s">
        <v>3262</v>
      </c>
      <c r="IU1" s="1336" t="s">
        <v>3263</v>
      </c>
      <c r="IV1" s="1336" t="s">
        <v>1414</v>
      </c>
      <c r="IW1" s="1336" t="s">
        <v>1417</v>
      </c>
      <c r="IX1" s="1336" t="s">
        <v>2644</v>
      </c>
      <c r="IY1" s="1336" t="s">
        <v>1420</v>
      </c>
      <c r="IZ1" s="1336" t="s">
        <v>1421</v>
      </c>
      <c r="JA1" s="1336" t="s">
        <v>1424</v>
      </c>
      <c r="JB1" s="1336" t="s">
        <v>1426</v>
      </c>
      <c r="JC1" s="1336" t="s">
        <v>1427</v>
      </c>
      <c r="JD1" s="1336" t="s">
        <v>3264</v>
      </c>
      <c r="JE1" s="1336" t="s">
        <v>3033</v>
      </c>
      <c r="JF1" s="1336" t="s">
        <v>2943</v>
      </c>
      <c r="JG1" s="1336" t="s">
        <v>2651</v>
      </c>
      <c r="JH1" s="1336" t="s">
        <v>3251</v>
      </c>
      <c r="JI1" s="1336"/>
      <c r="JJ1" s="1332"/>
      <c r="JK1" s="1332"/>
      <c r="JL1" s="1332"/>
      <c r="JM1" s="1332"/>
      <c r="JN1" s="1332"/>
      <c r="JO1" s="1332"/>
      <c r="JP1" s="1332"/>
      <c r="JR1" s="1331" t="s">
        <v>1917</v>
      </c>
      <c r="JS1" s="1332"/>
      <c r="JT1" s="1336" t="s">
        <v>3173</v>
      </c>
      <c r="JU1" s="1336" t="s">
        <v>1431</v>
      </c>
      <c r="JV1" s="1336" t="s">
        <v>1378</v>
      </c>
      <c r="JW1" s="1336" t="s">
        <v>1376</v>
      </c>
      <c r="JX1" s="1336" t="s">
        <v>1435</v>
      </c>
      <c r="JY1" s="1336" t="s">
        <v>1430</v>
      </c>
      <c r="JZ1" s="1336" t="s">
        <v>1432</v>
      </c>
      <c r="KA1" s="1336" t="s">
        <v>1429</v>
      </c>
      <c r="KB1" s="1336" t="s">
        <v>1433</v>
      </c>
      <c r="KC1" s="1336" t="s">
        <v>1436</v>
      </c>
      <c r="KD1" s="1336"/>
      <c r="KE1" s="1332"/>
      <c r="KF1" s="1332"/>
      <c r="KG1" s="1332"/>
      <c r="KH1" s="1332"/>
      <c r="KJ1" s="1331" t="s">
        <v>1918</v>
      </c>
      <c r="KK1" s="1332"/>
      <c r="KL1" s="1336" t="s">
        <v>1434</v>
      </c>
      <c r="KM1" s="1336" t="s">
        <v>1428</v>
      </c>
      <c r="KN1" s="1336" t="s">
        <v>3172</v>
      </c>
      <c r="KO1" s="1336" t="s">
        <v>1383</v>
      </c>
      <c r="KP1" s="1336" t="s">
        <v>1369</v>
      </c>
      <c r="KQ1" s="1336" t="s">
        <v>1438</v>
      </c>
      <c r="KR1" s="1336" t="s">
        <v>1437</v>
      </c>
      <c r="KS1" s="1336"/>
      <c r="KT1" s="1332"/>
      <c r="KU1" s="1332"/>
      <c r="KV1" s="1332"/>
      <c r="KW1" s="1332"/>
      <c r="KY1" s="1331" t="s">
        <v>1919</v>
      </c>
      <c r="KZ1" s="1332"/>
      <c r="LA1" s="1336" t="s">
        <v>1441</v>
      </c>
      <c r="LB1" s="1336" t="s">
        <v>1467</v>
      </c>
      <c r="LC1" s="1336" t="s">
        <v>3274</v>
      </c>
      <c r="LD1" s="1336" t="s">
        <v>3275</v>
      </c>
      <c r="LE1" s="1336" t="s">
        <v>3276</v>
      </c>
      <c r="LF1" s="1336" t="s">
        <v>3277</v>
      </c>
      <c r="LG1" s="1336" t="s">
        <v>3278</v>
      </c>
      <c r="LH1" s="1336" t="s">
        <v>3279</v>
      </c>
      <c r="LI1" s="1336" t="s">
        <v>3280</v>
      </c>
      <c r="LJ1" s="1336" t="s">
        <v>3281</v>
      </c>
      <c r="LK1" s="1336" t="s">
        <v>3282</v>
      </c>
      <c r="LL1" s="1336"/>
      <c r="LM1" s="1332"/>
      <c r="LN1" s="1332"/>
      <c r="LO1" s="1332"/>
      <c r="LP1" s="1332"/>
      <c r="LQ1" s="1332"/>
      <c r="LR1" s="1332"/>
      <c r="LS1" s="1332"/>
      <c r="LU1" s="1331" t="s">
        <v>1920</v>
      </c>
      <c r="LV1" s="1332"/>
      <c r="LW1" s="1332" t="s">
        <v>3287</v>
      </c>
      <c r="LX1" s="1336" t="s">
        <v>1444</v>
      </c>
      <c r="LY1" s="1336" t="s">
        <v>1443</v>
      </c>
      <c r="LZ1" s="1336" t="s">
        <v>1465</v>
      </c>
      <c r="MA1" s="1336" t="s">
        <v>3286</v>
      </c>
      <c r="MB1" s="1336" t="s">
        <v>3275</v>
      </c>
      <c r="MC1" s="1336" t="s">
        <v>3277</v>
      </c>
      <c r="MD1" s="1336" t="s">
        <v>1446</v>
      </c>
      <c r="ME1" s="1336" t="s">
        <v>1455</v>
      </c>
      <c r="MF1" s="1336" t="s">
        <v>1451</v>
      </c>
      <c r="MG1" s="1336" t="s">
        <v>1456</v>
      </c>
      <c r="MH1" s="1336" t="s">
        <v>1448</v>
      </c>
      <c r="MI1" s="1336" t="s">
        <v>1452</v>
      </c>
      <c r="MJ1" s="1336" t="s">
        <v>1458</v>
      </c>
      <c r="MK1" s="1336" t="s">
        <v>1449</v>
      </c>
      <c r="ML1" s="1336" t="s">
        <v>1453</v>
      </c>
      <c r="MM1" s="1336" t="s">
        <v>1442</v>
      </c>
      <c r="MN1" s="1336" t="s">
        <v>1461</v>
      </c>
      <c r="MO1" s="1336" t="s">
        <v>1440</v>
      </c>
      <c r="MP1" s="1336"/>
      <c r="MQ1" s="1332"/>
      <c r="MR1" s="1332"/>
      <c r="MS1" s="1332"/>
      <c r="MT1" s="1332"/>
      <c r="MU1" s="1332"/>
      <c r="MV1" s="1332"/>
      <c r="MW1" s="1332"/>
      <c r="MY1" s="1331" t="s">
        <v>1927</v>
      </c>
      <c r="MZ1" s="1332"/>
      <c r="NA1" s="1336" t="s">
        <v>1347</v>
      </c>
      <c r="NB1" s="1336" t="s">
        <v>1323</v>
      </c>
      <c r="NC1" s="1336" t="s">
        <v>1327</v>
      </c>
      <c r="ND1" s="1336" t="s">
        <v>1445</v>
      </c>
      <c r="NE1" s="1336" t="s">
        <v>1450</v>
      </c>
      <c r="NF1" s="1336" t="s">
        <v>1454</v>
      </c>
      <c r="NG1" s="1336" t="s">
        <v>1459</v>
      </c>
      <c r="NH1" s="1336" t="s">
        <v>1457</v>
      </c>
      <c r="NI1" s="1336" t="s">
        <v>1447</v>
      </c>
      <c r="NJ1" s="1336" t="s">
        <v>1451</v>
      </c>
      <c r="NK1" s="1336" t="s">
        <v>1452</v>
      </c>
      <c r="NL1" s="1336" t="s">
        <v>1453</v>
      </c>
      <c r="NM1" s="1336" t="s">
        <v>1442</v>
      </c>
      <c r="NN1" s="1336" t="s">
        <v>3290</v>
      </c>
      <c r="NO1" s="1336" t="s">
        <v>1461</v>
      </c>
      <c r="NP1" s="1336" t="s">
        <v>1463</v>
      </c>
      <c r="NQ1" s="1336"/>
      <c r="NR1" s="1332"/>
      <c r="NS1" s="1332"/>
      <c r="NT1" s="1332"/>
      <c r="NU1" s="1332"/>
      <c r="NV1" s="1332"/>
      <c r="NW1" s="1332"/>
      <c r="NX1" s="1332"/>
      <c r="NZ1" s="1331" t="s">
        <v>1932</v>
      </c>
      <c r="OA1" s="1332"/>
      <c r="OB1" s="1332"/>
      <c r="OC1" s="1332"/>
      <c r="OD1" s="1332"/>
      <c r="OF1" s="1331" t="s">
        <v>1933</v>
      </c>
      <c r="OG1" s="1332"/>
      <c r="OH1" s="1336" t="s">
        <v>1470</v>
      </c>
      <c r="OI1" s="1336" t="s">
        <v>1474</v>
      </c>
      <c r="OJ1" s="1336" t="s">
        <v>1479</v>
      </c>
      <c r="OK1" s="1336" t="s">
        <v>1482</v>
      </c>
      <c r="OL1" s="1336" t="s">
        <v>2454</v>
      </c>
      <c r="OM1" s="1336" t="s">
        <v>1487</v>
      </c>
      <c r="ON1" s="1336" t="s">
        <v>1471</v>
      </c>
      <c r="OO1" s="1336" t="s">
        <v>1475</v>
      </c>
      <c r="OP1" s="1336"/>
      <c r="OQ1" s="1332"/>
      <c r="OR1" s="1332"/>
      <c r="OS1" s="1332"/>
      <c r="OT1" s="1332"/>
      <c r="OU1" s="1332"/>
      <c r="OV1" s="1332"/>
      <c r="OW1" s="1332"/>
      <c r="OY1" s="1331" t="s">
        <v>1934</v>
      </c>
      <c r="OZ1" s="1332"/>
      <c r="PA1" s="1336" t="s">
        <v>1472</v>
      </c>
      <c r="PB1" s="1336" t="s">
        <v>1480</v>
      </c>
      <c r="PC1" s="1336" t="s">
        <v>1469</v>
      </c>
      <c r="PD1" s="1336" t="s">
        <v>1478</v>
      </c>
      <c r="PE1" s="1336" t="s">
        <v>2918</v>
      </c>
      <c r="PF1" s="1336" t="s">
        <v>1473</v>
      </c>
      <c r="PG1" s="1336" t="s">
        <v>3182</v>
      </c>
      <c r="PH1" s="1336" t="s">
        <v>1476</v>
      </c>
      <c r="PI1" s="1336" t="s">
        <v>1481</v>
      </c>
      <c r="PJ1" s="1336" t="s">
        <v>1483</v>
      </c>
      <c r="PK1" s="1336" t="s">
        <v>1474</v>
      </c>
      <c r="PL1" s="1336"/>
      <c r="PM1" s="1332"/>
      <c r="PN1" s="1332"/>
      <c r="PO1" s="1332"/>
      <c r="PP1" s="1332"/>
      <c r="PQ1" s="1332"/>
      <c r="PR1" s="1332"/>
      <c r="PS1" s="1332"/>
      <c r="PU1" s="1331" t="s">
        <v>1935</v>
      </c>
      <c r="PV1" s="1332"/>
      <c r="PW1" s="1336" t="s">
        <v>1483</v>
      </c>
      <c r="PX1" s="1336" t="s">
        <v>1486</v>
      </c>
      <c r="PY1" s="1336" t="s">
        <v>1477</v>
      </c>
      <c r="PZ1" s="1336" t="s">
        <v>1485</v>
      </c>
      <c r="QA1" s="1336"/>
      <c r="QB1" s="1332"/>
      <c r="QC1" s="1332"/>
      <c r="QD1" s="1332"/>
      <c r="QE1" s="1332"/>
      <c r="QF1" s="1332"/>
      <c r="QG1" s="1332"/>
      <c r="QH1" s="1332"/>
    </row>
    <row r="2" spans="1:453" x14ac:dyDescent="0.25">
      <c r="H2" s="394"/>
      <c r="I2" s="1333"/>
      <c r="J2" s="1333"/>
      <c r="R2" s="394"/>
      <c r="S2" s="1333"/>
      <c r="T2" s="1333"/>
      <c r="AK2" s="394"/>
      <c r="AL2" s="1333"/>
      <c r="AM2" s="1333"/>
      <c r="BL2" s="394"/>
      <c r="BM2" s="1333"/>
      <c r="BN2" s="385"/>
      <c r="BO2" s="385"/>
      <c r="BP2" s="385"/>
      <c r="BQ2" s="385"/>
      <c r="BR2" s="385"/>
      <c r="CB2" s="394"/>
      <c r="CC2" s="1333"/>
      <c r="CD2" s="385"/>
      <c r="CE2" s="385"/>
      <c r="CF2" s="385"/>
      <c r="CG2" s="385"/>
      <c r="CH2" s="385"/>
      <c r="CI2" s="385"/>
      <c r="CJ2" s="385"/>
      <c r="CK2" s="385"/>
      <c r="CL2" s="385"/>
      <c r="CM2" s="385"/>
      <c r="CN2" s="385"/>
      <c r="CO2" s="385"/>
      <c r="CY2" s="394"/>
      <c r="CZ2" s="1333"/>
      <c r="DA2" s="385"/>
      <c r="DB2" s="385"/>
      <c r="DC2" s="385"/>
      <c r="DD2" s="385"/>
      <c r="DE2" s="385"/>
      <c r="DF2" s="385"/>
      <c r="DG2" s="385"/>
      <c r="DH2" s="385"/>
      <c r="DI2" s="385"/>
      <c r="DJ2" s="385"/>
      <c r="DT2" s="394"/>
      <c r="DU2" s="1333"/>
      <c r="DV2" s="385"/>
      <c r="DW2" s="385"/>
      <c r="DX2" s="385"/>
      <c r="DY2" s="385"/>
      <c r="DZ2" s="385"/>
      <c r="EA2" s="385"/>
      <c r="EB2" s="385"/>
      <c r="EC2" s="385"/>
      <c r="ED2" s="385"/>
      <c r="EE2" s="385"/>
      <c r="EF2" s="385"/>
      <c r="EG2" s="385"/>
      <c r="EH2" s="385"/>
      <c r="EI2" s="385"/>
      <c r="EJ2" s="385"/>
      <c r="EK2" s="385"/>
      <c r="EU2" s="394"/>
      <c r="EV2" s="1333"/>
      <c r="EW2" s="385"/>
      <c r="EX2" s="385"/>
      <c r="EY2" s="385"/>
      <c r="EZ2" s="385"/>
      <c r="FA2" s="385"/>
      <c r="FB2" s="385"/>
      <c r="FL2" s="394"/>
      <c r="FM2" s="1333"/>
      <c r="FN2" s="385"/>
      <c r="FO2" s="385"/>
      <c r="FP2" s="385"/>
      <c r="FQ2" s="385"/>
      <c r="FR2" s="385"/>
      <c r="FS2" s="385"/>
      <c r="FT2" s="385"/>
      <c r="FU2" s="385"/>
      <c r="FV2" s="385"/>
      <c r="FW2" s="385"/>
      <c r="FX2" s="385"/>
      <c r="GH2" s="394"/>
      <c r="GI2" s="1333"/>
      <c r="GJ2" s="385"/>
      <c r="GK2" s="385"/>
      <c r="GL2" s="385"/>
      <c r="GM2" s="385"/>
      <c r="GN2" s="385"/>
      <c r="GO2" s="385"/>
      <c r="GP2" s="385"/>
      <c r="GQ2" s="385"/>
      <c r="HA2" s="394"/>
      <c r="HB2" s="1333"/>
      <c r="HC2" s="385"/>
      <c r="HD2" s="385"/>
      <c r="HE2" s="385"/>
      <c r="HF2" s="385"/>
      <c r="HG2" s="385"/>
      <c r="HH2" s="385"/>
      <c r="HR2" s="394"/>
      <c r="HS2" s="1333"/>
      <c r="HT2" s="385"/>
      <c r="HU2" s="385"/>
      <c r="HV2" s="385"/>
      <c r="HW2" s="385"/>
      <c r="HX2" s="385"/>
      <c r="HY2" s="385"/>
      <c r="HZ2" s="385"/>
      <c r="IA2" s="385"/>
      <c r="IB2" s="385"/>
      <c r="IO2" s="394"/>
      <c r="IP2" s="1333"/>
      <c r="IQ2" s="1333"/>
      <c r="IV2" s="385"/>
      <c r="IW2" s="385"/>
      <c r="IX2" s="385"/>
      <c r="IY2" s="385"/>
      <c r="IZ2" s="385"/>
      <c r="JA2" s="385"/>
      <c r="JB2" s="385"/>
      <c r="JC2" s="385"/>
      <c r="JR2" s="394"/>
      <c r="JS2" s="1333"/>
      <c r="JT2" s="385"/>
      <c r="JU2" s="385"/>
      <c r="JV2" s="385"/>
      <c r="JW2" s="385"/>
      <c r="JX2" s="385"/>
      <c r="JY2" s="385"/>
      <c r="JZ2" s="385"/>
      <c r="KA2" s="385"/>
      <c r="KB2" s="385"/>
      <c r="KC2" s="385"/>
      <c r="KJ2" s="394"/>
      <c r="KK2" s="1333"/>
      <c r="KL2" s="385"/>
      <c r="KM2" s="385"/>
      <c r="KN2" s="385"/>
      <c r="KO2" s="385"/>
      <c r="KP2" s="385"/>
      <c r="KQ2" s="385"/>
      <c r="KR2" s="385"/>
      <c r="KY2" s="394"/>
      <c r="KZ2" s="1333"/>
      <c r="LA2" s="385"/>
      <c r="LB2" s="385"/>
      <c r="LC2" s="385"/>
      <c r="LD2" s="385"/>
      <c r="LE2" s="385"/>
      <c r="LF2" s="385"/>
      <c r="LG2" s="385"/>
      <c r="LH2" s="385"/>
      <c r="LI2" s="385"/>
      <c r="LU2" s="394"/>
      <c r="LV2" s="1333"/>
      <c r="LW2" s="1333"/>
      <c r="LX2" s="385"/>
      <c r="LY2" s="385"/>
      <c r="LZ2" s="385"/>
      <c r="MA2" s="385"/>
      <c r="MB2" s="385"/>
      <c r="MC2" s="385"/>
      <c r="MD2" s="385"/>
      <c r="ME2" s="385"/>
      <c r="MF2" s="385"/>
      <c r="MG2" s="385"/>
      <c r="MH2" s="385"/>
      <c r="MI2" s="385"/>
      <c r="MJ2" s="385"/>
      <c r="MK2" s="385"/>
      <c r="ML2" s="385"/>
      <c r="MM2" s="385"/>
      <c r="MN2" s="385"/>
      <c r="MO2" s="385"/>
      <c r="MY2" s="394"/>
      <c r="MZ2" s="1333"/>
      <c r="NA2" s="385"/>
      <c r="NB2" s="385"/>
      <c r="NC2" s="385"/>
      <c r="ND2" s="385"/>
      <c r="NE2" s="385"/>
      <c r="NF2" s="385"/>
      <c r="NG2" s="385"/>
      <c r="NH2" s="385"/>
      <c r="NI2" s="385"/>
      <c r="NJ2" s="385"/>
      <c r="NK2" s="385"/>
      <c r="NL2" s="385"/>
      <c r="NM2" s="385"/>
      <c r="NN2" s="385"/>
      <c r="NO2" s="385"/>
      <c r="NP2" s="385"/>
      <c r="NZ2" s="394" t="s">
        <v>3294</v>
      </c>
      <c r="OF2" s="394"/>
      <c r="OG2" s="1333"/>
      <c r="OH2" s="385"/>
      <c r="OI2" s="385"/>
      <c r="OJ2" s="385"/>
      <c r="OK2" s="385"/>
      <c r="OL2" s="385"/>
      <c r="OM2" s="385"/>
      <c r="ON2" s="385"/>
      <c r="OO2" s="385"/>
      <c r="OY2" s="394"/>
      <c r="OZ2" s="1333"/>
      <c r="PA2" s="385"/>
      <c r="PB2" s="385"/>
      <c r="PC2" s="385"/>
      <c r="PD2" s="385"/>
      <c r="PE2" s="385"/>
      <c r="PF2" s="385"/>
      <c r="PG2" s="385"/>
      <c r="PH2" s="385"/>
      <c r="PI2" s="385"/>
      <c r="PJ2" s="385"/>
      <c r="PK2" s="385"/>
      <c r="PU2" s="394"/>
      <c r="PV2" s="1333"/>
      <c r="PW2" s="385"/>
      <c r="PX2" s="385"/>
      <c r="PY2" s="385"/>
      <c r="PZ2" s="385"/>
    </row>
    <row r="3" spans="1:453" x14ac:dyDescent="0.25">
      <c r="H3" s="386" t="s">
        <v>1884</v>
      </c>
      <c r="I3" s="387" t="s">
        <v>1164</v>
      </c>
      <c r="J3" s="387">
        <v>101</v>
      </c>
      <c r="K3" s="387">
        <v>105</v>
      </c>
      <c r="M3" s="386" t="s">
        <v>1176</v>
      </c>
      <c r="N3" s="386" t="s">
        <v>761</v>
      </c>
      <c r="O3" s="279" t="s">
        <v>3079</v>
      </c>
      <c r="P3" s="385"/>
      <c r="R3" s="386" t="s">
        <v>1884</v>
      </c>
      <c r="S3" s="387" t="s">
        <v>1164</v>
      </c>
      <c r="T3" s="387">
        <v>105</v>
      </c>
      <c r="U3" s="387">
        <v>212</v>
      </c>
      <c r="V3" s="387">
        <v>214</v>
      </c>
      <c r="W3" s="387">
        <v>215</v>
      </c>
      <c r="X3" s="387">
        <v>216</v>
      </c>
      <c r="Y3" s="387">
        <v>217</v>
      </c>
      <c r="Z3" s="387">
        <v>218</v>
      </c>
      <c r="AA3" s="387">
        <v>222</v>
      </c>
      <c r="AB3" s="387">
        <v>232</v>
      </c>
      <c r="AC3" s="387">
        <v>516</v>
      </c>
      <c r="AD3" s="387">
        <v>710</v>
      </c>
      <c r="AF3" s="386" t="s">
        <v>1176</v>
      </c>
      <c r="AG3" s="386" t="s">
        <v>761</v>
      </c>
      <c r="AH3" s="279" t="s">
        <v>3079</v>
      </c>
      <c r="AI3" s="385"/>
      <c r="AK3" s="386" t="s">
        <v>1884</v>
      </c>
      <c r="AL3" s="387" t="s">
        <v>1164</v>
      </c>
      <c r="AM3" s="387">
        <v>211</v>
      </c>
      <c r="AN3" s="387">
        <v>212</v>
      </c>
      <c r="AO3" s="387">
        <v>222</v>
      </c>
      <c r="AP3" s="387">
        <v>223</v>
      </c>
      <c r="AQ3" s="387">
        <v>224</v>
      </c>
      <c r="AR3" s="387">
        <v>250</v>
      </c>
      <c r="AS3" s="387">
        <v>251</v>
      </c>
      <c r="AT3" s="387">
        <v>252</v>
      </c>
      <c r="AU3" s="387">
        <v>253</v>
      </c>
      <c r="AV3" s="387">
        <v>254</v>
      </c>
      <c r="AW3" s="387">
        <v>255</v>
      </c>
      <c r="AX3" s="387">
        <v>260</v>
      </c>
      <c r="AY3" s="387">
        <v>273</v>
      </c>
      <c r="AZ3" s="387">
        <v>274</v>
      </c>
      <c r="BA3" s="387">
        <v>275</v>
      </c>
      <c r="BB3" s="387">
        <v>301</v>
      </c>
      <c r="BD3" s="385"/>
      <c r="BE3" s="386" t="s">
        <v>1174</v>
      </c>
      <c r="BF3" s="386" t="s">
        <v>3079</v>
      </c>
      <c r="BG3" s="386" t="s">
        <v>1176</v>
      </c>
      <c r="BH3" s="386" t="s">
        <v>761</v>
      </c>
      <c r="BI3" s="279" t="s">
        <v>3079</v>
      </c>
      <c r="BJ3" s="385"/>
      <c r="BL3" s="386" t="s">
        <v>1884</v>
      </c>
      <c r="BM3" s="387" t="s">
        <v>1164</v>
      </c>
      <c r="BN3" s="387">
        <v>303</v>
      </c>
      <c r="BO3" s="387">
        <v>304</v>
      </c>
      <c r="BP3" s="387">
        <v>305</v>
      </c>
      <c r="BQ3" s="387">
        <v>309</v>
      </c>
      <c r="BR3" s="387">
        <v>310</v>
      </c>
      <c r="BT3" s="385"/>
      <c r="BU3" s="386" t="s">
        <v>1174</v>
      </c>
      <c r="BV3" s="386" t="s">
        <v>3079</v>
      </c>
      <c r="BW3" s="386" t="s">
        <v>1176</v>
      </c>
      <c r="BX3" s="386" t="s">
        <v>761</v>
      </c>
      <c r="BY3" s="279" t="s">
        <v>3079</v>
      </c>
      <c r="BZ3" s="385"/>
      <c r="CB3" s="386" t="s">
        <v>1884</v>
      </c>
      <c r="CC3" s="387" t="s">
        <v>1164</v>
      </c>
      <c r="CD3" s="387">
        <v>301</v>
      </c>
      <c r="CE3" s="387">
        <v>302</v>
      </c>
      <c r="CF3" s="387">
        <v>303</v>
      </c>
      <c r="CG3" s="387">
        <v>304</v>
      </c>
      <c r="CH3" s="387">
        <v>306</v>
      </c>
      <c r="CI3" s="387">
        <v>311</v>
      </c>
      <c r="CJ3" s="387">
        <v>312</v>
      </c>
      <c r="CK3" s="387">
        <v>315</v>
      </c>
      <c r="CL3" s="387">
        <v>317</v>
      </c>
      <c r="CM3" s="387">
        <v>422</v>
      </c>
      <c r="CN3" s="387">
        <v>501</v>
      </c>
      <c r="CO3" s="387">
        <v>551</v>
      </c>
      <c r="CQ3" s="385"/>
      <c r="CR3" s="386" t="s">
        <v>1174</v>
      </c>
      <c r="CS3" s="386" t="s">
        <v>3079</v>
      </c>
      <c r="CT3" s="386" t="s">
        <v>1176</v>
      </c>
      <c r="CU3" s="386" t="s">
        <v>761</v>
      </c>
      <c r="CV3" s="279" t="s">
        <v>3079</v>
      </c>
      <c r="CW3" s="385"/>
      <c r="CY3" s="386" t="s">
        <v>1884</v>
      </c>
      <c r="CZ3" s="387" t="s">
        <v>1164</v>
      </c>
      <c r="DA3" s="387">
        <v>403</v>
      </c>
      <c r="DB3" s="387">
        <v>404</v>
      </c>
      <c r="DC3" s="387">
        <v>405</v>
      </c>
      <c r="DD3" s="387">
        <v>406</v>
      </c>
      <c r="DE3" s="387">
        <v>409</v>
      </c>
      <c r="DF3" s="387">
        <v>435</v>
      </c>
      <c r="DG3" s="387">
        <v>450</v>
      </c>
      <c r="DH3" s="387">
        <v>452</v>
      </c>
      <c r="DI3" s="387">
        <v>453</v>
      </c>
      <c r="DJ3" s="387">
        <v>454</v>
      </c>
      <c r="DL3" s="385"/>
      <c r="DM3" s="386" t="s">
        <v>1174</v>
      </c>
      <c r="DN3" s="386" t="s">
        <v>3079</v>
      </c>
      <c r="DO3" s="386" t="s">
        <v>1176</v>
      </c>
      <c r="DP3" s="386" t="s">
        <v>761</v>
      </c>
      <c r="DQ3" s="279" t="s">
        <v>3079</v>
      </c>
      <c r="DR3" s="385"/>
      <c r="DT3" s="386" t="s">
        <v>1884</v>
      </c>
      <c r="DU3" s="387" t="s">
        <v>1164</v>
      </c>
      <c r="DV3" s="387">
        <v>400</v>
      </c>
      <c r="DW3" s="387">
        <v>401</v>
      </c>
      <c r="DX3" s="387">
        <v>402</v>
      </c>
      <c r="DY3" s="387">
        <v>403</v>
      </c>
      <c r="DZ3" s="387">
        <v>405</v>
      </c>
      <c r="EA3" s="387">
        <v>409</v>
      </c>
      <c r="EB3" s="387">
        <v>410</v>
      </c>
      <c r="EC3" s="387">
        <v>416</v>
      </c>
      <c r="ED3" s="387">
        <v>422</v>
      </c>
      <c r="EE3" s="387">
        <v>423</v>
      </c>
      <c r="EF3" s="387">
        <v>440</v>
      </c>
      <c r="EG3" s="387">
        <v>441</v>
      </c>
      <c r="EH3" s="387">
        <v>442</v>
      </c>
      <c r="EI3" s="387">
        <v>443</v>
      </c>
      <c r="EJ3" s="387">
        <v>446</v>
      </c>
      <c r="EK3" s="387">
        <v>453</v>
      </c>
      <c r="EM3" s="385"/>
      <c r="EN3" s="386" t="s">
        <v>1174</v>
      </c>
      <c r="EO3" s="386" t="s">
        <v>3079</v>
      </c>
      <c r="EP3" s="386" t="s">
        <v>1176</v>
      </c>
      <c r="EQ3" s="386" t="s">
        <v>761</v>
      </c>
      <c r="ER3" s="279" t="s">
        <v>3079</v>
      </c>
      <c r="ES3" s="385"/>
      <c r="EU3" s="386" t="s">
        <v>1884</v>
      </c>
      <c r="EV3" s="387" t="s">
        <v>1164</v>
      </c>
      <c r="EW3" s="387">
        <v>501</v>
      </c>
      <c r="EX3" s="387">
        <v>506</v>
      </c>
      <c r="EY3" s="387">
        <v>507</v>
      </c>
      <c r="EZ3" s="387">
        <v>508</v>
      </c>
      <c r="FA3" s="387">
        <v>509</v>
      </c>
      <c r="FB3" s="387">
        <v>510</v>
      </c>
      <c r="FD3" s="385"/>
      <c r="FE3" s="386" t="s">
        <v>1174</v>
      </c>
      <c r="FF3" s="386" t="s">
        <v>3079</v>
      </c>
      <c r="FG3" s="386" t="s">
        <v>1176</v>
      </c>
      <c r="FH3" s="386" t="s">
        <v>761</v>
      </c>
      <c r="FI3" s="279" t="s">
        <v>3079</v>
      </c>
      <c r="FJ3" s="385"/>
      <c r="FL3" s="386" t="s">
        <v>1884</v>
      </c>
      <c r="FM3" s="387" t="s">
        <v>1164</v>
      </c>
      <c r="FN3" s="387">
        <v>305</v>
      </c>
      <c r="FO3" s="387">
        <v>317</v>
      </c>
      <c r="FP3" s="387">
        <v>509</v>
      </c>
      <c r="FQ3" s="387">
        <v>510</v>
      </c>
      <c r="FR3" s="387">
        <v>511</v>
      </c>
      <c r="FS3" s="387">
        <v>516</v>
      </c>
      <c r="FT3" s="387">
        <v>521</v>
      </c>
      <c r="FU3" s="387">
        <v>523</v>
      </c>
      <c r="FV3" s="387">
        <v>524</v>
      </c>
      <c r="FW3" s="387">
        <v>550</v>
      </c>
      <c r="FX3" s="387">
        <v>551</v>
      </c>
      <c r="FZ3" s="385"/>
      <c r="GA3" s="386" t="s">
        <v>1174</v>
      </c>
      <c r="GB3" s="386" t="s">
        <v>3079</v>
      </c>
      <c r="GC3" s="386" t="s">
        <v>1176</v>
      </c>
      <c r="GD3" s="386" t="s">
        <v>761</v>
      </c>
      <c r="GE3" s="279" t="s">
        <v>3079</v>
      </c>
      <c r="GF3" s="385"/>
      <c r="GH3" s="386" t="s">
        <v>1884</v>
      </c>
      <c r="GI3" s="387" t="s">
        <v>1164</v>
      </c>
      <c r="GJ3" s="387">
        <v>511</v>
      </c>
      <c r="GK3" s="387" t="s">
        <v>1913</v>
      </c>
      <c r="GL3" s="387">
        <v>512</v>
      </c>
      <c r="GM3" s="387">
        <v>514</v>
      </c>
      <c r="GN3" s="387">
        <v>515</v>
      </c>
      <c r="GO3" s="387">
        <v>517</v>
      </c>
      <c r="GP3" s="387">
        <v>519</v>
      </c>
      <c r="GQ3" s="387">
        <v>521</v>
      </c>
      <c r="GS3" s="385"/>
      <c r="GT3" s="386" t="s">
        <v>1174</v>
      </c>
      <c r="GU3" s="386" t="s">
        <v>3079</v>
      </c>
      <c r="GV3" s="386" t="s">
        <v>1176</v>
      </c>
      <c r="GW3" s="386" t="s">
        <v>761</v>
      </c>
      <c r="GX3" s="279" t="s">
        <v>3079</v>
      </c>
      <c r="GY3" s="385"/>
      <c r="HA3" s="386" t="s">
        <v>1884</v>
      </c>
      <c r="HB3" s="387" t="s">
        <v>1164</v>
      </c>
      <c r="HC3" s="387">
        <v>508</v>
      </c>
      <c r="HD3" s="387">
        <v>535</v>
      </c>
      <c r="HE3" s="387">
        <v>559</v>
      </c>
      <c r="HF3" s="387">
        <v>560</v>
      </c>
      <c r="HG3" s="387">
        <v>571</v>
      </c>
      <c r="HH3" s="387">
        <v>572</v>
      </c>
      <c r="HJ3" s="385"/>
      <c r="HK3" s="386" t="s">
        <v>1174</v>
      </c>
      <c r="HL3" s="386" t="s">
        <v>3079</v>
      </c>
      <c r="HM3" s="386" t="s">
        <v>1176</v>
      </c>
      <c r="HN3" s="386" t="s">
        <v>761</v>
      </c>
      <c r="HO3" s="279" t="s">
        <v>3079</v>
      </c>
      <c r="HP3" s="385"/>
      <c r="HR3" s="386" t="s">
        <v>1884</v>
      </c>
      <c r="HS3" s="387" t="s">
        <v>1164</v>
      </c>
      <c r="HT3" s="387">
        <v>260</v>
      </c>
      <c r="HU3" s="387">
        <v>535</v>
      </c>
      <c r="HV3" s="387">
        <v>601</v>
      </c>
      <c r="HW3" s="387">
        <v>602</v>
      </c>
      <c r="HX3" s="387">
        <v>611</v>
      </c>
      <c r="HY3" s="387">
        <v>612</v>
      </c>
      <c r="HZ3" s="387">
        <v>615</v>
      </c>
      <c r="IA3" s="387">
        <v>640</v>
      </c>
      <c r="IB3" s="387">
        <v>821</v>
      </c>
      <c r="IC3" s="387">
        <v>903</v>
      </c>
      <c r="ID3" s="387">
        <v>904</v>
      </c>
      <c r="IE3" s="387">
        <v>944</v>
      </c>
      <c r="IG3" s="385"/>
      <c r="IH3" s="386" t="s">
        <v>1174</v>
      </c>
      <c r="II3" s="386" t="s">
        <v>3079</v>
      </c>
      <c r="IJ3" s="386" t="s">
        <v>1176</v>
      </c>
      <c r="IK3" s="386" t="s">
        <v>761</v>
      </c>
      <c r="IL3" s="279" t="s">
        <v>3079</v>
      </c>
      <c r="IM3" s="385"/>
      <c r="IO3" s="386" t="s">
        <v>1884</v>
      </c>
      <c r="IP3" s="387" t="s">
        <v>1164</v>
      </c>
      <c r="IQ3" s="387">
        <v>611</v>
      </c>
      <c r="IR3" s="387">
        <v>612</v>
      </c>
      <c r="IS3" s="387">
        <v>613</v>
      </c>
      <c r="IT3" s="387">
        <v>614</v>
      </c>
      <c r="IU3" s="387">
        <v>616</v>
      </c>
      <c r="IV3" s="387">
        <v>620</v>
      </c>
      <c r="IW3" s="387">
        <v>621</v>
      </c>
      <c r="IX3" s="387">
        <v>622</v>
      </c>
      <c r="IY3" s="387">
        <v>623</v>
      </c>
      <c r="IZ3" s="387">
        <v>624</v>
      </c>
      <c r="JA3" s="387">
        <v>625</v>
      </c>
      <c r="JB3" s="387">
        <v>626</v>
      </c>
      <c r="JC3" s="387">
        <v>627</v>
      </c>
      <c r="JD3" s="387">
        <v>628</v>
      </c>
      <c r="JE3" s="387">
        <v>629</v>
      </c>
      <c r="JF3" s="387">
        <v>630</v>
      </c>
      <c r="JG3" s="387">
        <v>632</v>
      </c>
      <c r="JH3" s="387">
        <v>640</v>
      </c>
      <c r="JJ3" s="385"/>
      <c r="JK3" s="386" t="s">
        <v>1174</v>
      </c>
      <c r="JL3" s="386" t="s">
        <v>3079</v>
      </c>
      <c r="JM3" s="386" t="s">
        <v>1176</v>
      </c>
      <c r="JN3" s="386" t="s">
        <v>761</v>
      </c>
      <c r="JO3" s="279" t="s">
        <v>3079</v>
      </c>
      <c r="JP3" s="385"/>
      <c r="JR3" s="386" t="s">
        <v>1884</v>
      </c>
      <c r="JS3" s="387" t="s">
        <v>1164</v>
      </c>
      <c r="JT3" s="387">
        <v>309</v>
      </c>
      <c r="JU3" s="387">
        <v>311</v>
      </c>
      <c r="JV3" s="387">
        <v>404</v>
      </c>
      <c r="JW3" s="387">
        <v>443</v>
      </c>
      <c r="JX3" s="387">
        <v>515</v>
      </c>
      <c r="JY3" s="387">
        <v>701</v>
      </c>
      <c r="JZ3" s="387">
        <v>703</v>
      </c>
      <c r="KA3" s="387">
        <v>710</v>
      </c>
      <c r="KB3" s="387">
        <v>713</v>
      </c>
      <c r="KC3" s="387">
        <v>735</v>
      </c>
      <c r="KE3" s="386" t="s">
        <v>1176</v>
      </c>
      <c r="KF3" s="386" t="s">
        <v>761</v>
      </c>
      <c r="KG3" s="279" t="s">
        <v>3079</v>
      </c>
      <c r="KH3" s="385"/>
      <c r="KJ3" s="386" t="s">
        <v>1884</v>
      </c>
      <c r="KK3" s="387" t="s">
        <v>1164</v>
      </c>
      <c r="KL3" s="387">
        <v>273</v>
      </c>
      <c r="KM3" s="387">
        <v>310</v>
      </c>
      <c r="KN3" s="387">
        <v>312</v>
      </c>
      <c r="KO3" s="387">
        <v>406</v>
      </c>
      <c r="KP3" s="387">
        <v>441</v>
      </c>
      <c r="KQ3" s="387">
        <v>717</v>
      </c>
      <c r="KR3" s="387">
        <v>755</v>
      </c>
      <c r="KT3" s="386" t="s">
        <v>1176</v>
      </c>
      <c r="KU3" s="386" t="s">
        <v>761</v>
      </c>
      <c r="KV3" s="279" t="s">
        <v>3079</v>
      </c>
      <c r="KW3" s="385"/>
      <c r="KY3" s="386" t="s">
        <v>1884</v>
      </c>
      <c r="KZ3" s="387" t="s">
        <v>1164</v>
      </c>
      <c r="LA3" s="387">
        <v>560</v>
      </c>
      <c r="LB3" s="387">
        <v>615</v>
      </c>
      <c r="LC3" s="387">
        <v>802</v>
      </c>
      <c r="LD3" s="387">
        <v>803</v>
      </c>
      <c r="LE3" s="387">
        <v>804</v>
      </c>
      <c r="LF3" s="387">
        <v>806</v>
      </c>
      <c r="LG3" s="387">
        <v>807</v>
      </c>
      <c r="LH3" s="387">
        <v>809</v>
      </c>
      <c r="LI3" s="387">
        <v>810</v>
      </c>
      <c r="LJ3" s="387">
        <v>850</v>
      </c>
      <c r="LK3" s="387">
        <v>851</v>
      </c>
      <c r="LM3" s="385"/>
      <c r="LN3" s="386" t="s">
        <v>1174</v>
      </c>
      <c r="LO3" s="386" t="s">
        <v>3079</v>
      </c>
      <c r="LP3" s="386" t="s">
        <v>1176</v>
      </c>
      <c r="LQ3" s="386" t="s">
        <v>761</v>
      </c>
      <c r="LR3" s="279" t="s">
        <v>3079</v>
      </c>
      <c r="LS3" s="385"/>
      <c r="LU3" s="386" t="s">
        <v>1884</v>
      </c>
      <c r="LV3" s="387" t="s">
        <v>1164</v>
      </c>
      <c r="LW3" s="387">
        <v>215</v>
      </c>
      <c r="LX3" s="387">
        <v>216</v>
      </c>
      <c r="LY3" s="387">
        <v>571</v>
      </c>
      <c r="LZ3" s="387">
        <v>623</v>
      </c>
      <c r="MA3" s="387">
        <v>801</v>
      </c>
      <c r="MB3" s="387">
        <v>803</v>
      </c>
      <c r="MC3" s="387">
        <v>806</v>
      </c>
      <c r="MD3" s="387">
        <v>812</v>
      </c>
      <c r="ME3" s="387" t="s">
        <v>1921</v>
      </c>
      <c r="MF3" s="387" t="s">
        <v>1922</v>
      </c>
      <c r="MG3" s="387" t="s">
        <v>1923</v>
      </c>
      <c r="MH3" s="387">
        <v>815</v>
      </c>
      <c r="MI3" s="387" t="s">
        <v>1924</v>
      </c>
      <c r="MJ3" s="387" t="s">
        <v>1925</v>
      </c>
      <c r="MK3" s="387">
        <v>816</v>
      </c>
      <c r="ML3" s="387" t="s">
        <v>1926</v>
      </c>
      <c r="MM3" s="387">
        <v>821</v>
      </c>
      <c r="MN3" s="387">
        <v>823</v>
      </c>
      <c r="MO3" s="387">
        <v>840</v>
      </c>
      <c r="MQ3" s="385"/>
      <c r="MR3" s="386" t="s">
        <v>1174</v>
      </c>
      <c r="MS3" s="386" t="s">
        <v>3079</v>
      </c>
      <c r="MT3" s="386" t="s">
        <v>1176</v>
      </c>
      <c r="MU3" s="386" t="s">
        <v>761</v>
      </c>
      <c r="MV3" s="279" t="s">
        <v>3079</v>
      </c>
      <c r="MW3" s="385"/>
      <c r="MY3" s="386" t="s">
        <v>1884</v>
      </c>
      <c r="MZ3" s="387" t="s">
        <v>1164</v>
      </c>
      <c r="NA3" s="387">
        <v>218</v>
      </c>
      <c r="NB3" s="387">
        <v>250</v>
      </c>
      <c r="NC3" s="387">
        <v>251</v>
      </c>
      <c r="ND3" s="387">
        <v>811</v>
      </c>
      <c r="NE3" s="387" t="s">
        <v>1928</v>
      </c>
      <c r="NF3" s="387" t="s">
        <v>1929</v>
      </c>
      <c r="NG3" s="387" t="s">
        <v>1930</v>
      </c>
      <c r="NH3" s="387" t="s">
        <v>1931</v>
      </c>
      <c r="NI3" s="387">
        <v>813</v>
      </c>
      <c r="NJ3" s="387" t="s">
        <v>1922</v>
      </c>
      <c r="NK3" s="387" t="s">
        <v>1924</v>
      </c>
      <c r="NL3" s="387" t="s">
        <v>1926</v>
      </c>
      <c r="NM3" s="387">
        <v>821</v>
      </c>
      <c r="NN3" s="387" t="s">
        <v>3291</v>
      </c>
      <c r="NO3" s="387">
        <v>823</v>
      </c>
      <c r="NP3" s="387">
        <v>896</v>
      </c>
      <c r="NR3" s="385"/>
      <c r="NS3" s="386" t="s">
        <v>1174</v>
      </c>
      <c r="NT3" s="386" t="s">
        <v>3079</v>
      </c>
      <c r="NU3" s="386" t="s">
        <v>1176</v>
      </c>
      <c r="NV3" s="386" t="s">
        <v>761</v>
      </c>
      <c r="NW3" s="279" t="s">
        <v>3079</v>
      </c>
      <c r="NX3" s="385"/>
      <c r="NZ3" s="394"/>
      <c r="OA3" s="386" t="s">
        <v>1176</v>
      </c>
      <c r="OB3" s="386" t="s">
        <v>761</v>
      </c>
      <c r="OC3" s="279" t="s">
        <v>3079</v>
      </c>
      <c r="OD3" s="385"/>
      <c r="OF3" s="386" t="s">
        <v>1884</v>
      </c>
      <c r="OG3" s="387" t="s">
        <v>1164</v>
      </c>
      <c r="OH3" s="387">
        <v>940</v>
      </c>
      <c r="OI3" s="387">
        <v>941</v>
      </c>
      <c r="OJ3" s="387">
        <v>944</v>
      </c>
      <c r="OK3" s="387">
        <v>945</v>
      </c>
      <c r="OL3" s="387">
        <v>948</v>
      </c>
      <c r="OM3" s="387">
        <v>949</v>
      </c>
      <c r="ON3" s="387">
        <v>950</v>
      </c>
      <c r="OO3" s="387">
        <v>951</v>
      </c>
      <c r="OQ3" s="385"/>
      <c r="OR3" s="386" t="s">
        <v>1174</v>
      </c>
      <c r="OS3" s="386" t="s">
        <v>3079</v>
      </c>
      <c r="OT3" s="386" t="s">
        <v>1176</v>
      </c>
      <c r="OU3" s="386" t="s">
        <v>761</v>
      </c>
      <c r="OV3" s="279" t="s">
        <v>3079</v>
      </c>
      <c r="OW3" s="385"/>
      <c r="OY3" s="386" t="s">
        <v>1884</v>
      </c>
      <c r="OZ3" s="387" t="s">
        <v>1164</v>
      </c>
      <c r="PA3" s="387">
        <v>211</v>
      </c>
      <c r="PB3" s="387">
        <v>274</v>
      </c>
      <c r="PC3" s="387">
        <v>400</v>
      </c>
      <c r="PD3" s="387">
        <v>524</v>
      </c>
      <c r="PE3" s="387">
        <v>626</v>
      </c>
      <c r="PF3" s="387">
        <v>811</v>
      </c>
      <c r="PG3" s="387">
        <v>850</v>
      </c>
      <c r="PH3" s="387">
        <v>904</v>
      </c>
      <c r="PI3" s="387">
        <v>905</v>
      </c>
      <c r="PJ3" s="387">
        <v>906</v>
      </c>
      <c r="PK3" s="387">
        <v>941</v>
      </c>
      <c r="PM3" s="385"/>
      <c r="PN3" s="386" t="s">
        <v>1174</v>
      </c>
      <c r="PO3" s="386" t="s">
        <v>3079</v>
      </c>
      <c r="PP3" s="386" t="s">
        <v>1176</v>
      </c>
      <c r="PQ3" s="386" t="s">
        <v>761</v>
      </c>
      <c r="PR3" s="279" t="s">
        <v>3079</v>
      </c>
      <c r="PS3" s="385"/>
      <c r="PU3" s="386" t="s">
        <v>1884</v>
      </c>
      <c r="PV3" s="387" t="s">
        <v>1164</v>
      </c>
      <c r="PW3" s="387">
        <v>906</v>
      </c>
      <c r="PX3" s="387">
        <v>909</v>
      </c>
      <c r="PY3" s="387">
        <v>914</v>
      </c>
      <c r="PZ3" s="387">
        <v>916</v>
      </c>
      <c r="QB3" s="385"/>
      <c r="QC3" s="386" t="s">
        <v>1174</v>
      </c>
      <c r="QD3" s="386" t="s">
        <v>3079</v>
      </c>
      <c r="QE3" s="386" t="s">
        <v>1176</v>
      </c>
      <c r="QF3" s="386" t="s">
        <v>761</v>
      </c>
      <c r="QG3" s="279" t="s">
        <v>3079</v>
      </c>
      <c r="QH3" s="385"/>
    </row>
    <row r="4" spans="1:453" x14ac:dyDescent="0.25">
      <c r="H4" s="386" t="s">
        <v>1167</v>
      </c>
      <c r="I4" s="387" t="s">
        <v>287</v>
      </c>
      <c r="J4" s="388">
        <f ca="1">SUM(J10:J35)</f>
        <v>104166.66653800002</v>
      </c>
      <c r="K4" s="388">
        <f ca="1">SUM(K10:K35)</f>
        <v>104166.66653800002</v>
      </c>
      <c r="M4" s="386" t="s">
        <v>1936</v>
      </c>
      <c r="N4" s="1337">
        <f ca="1">VLOOKUP(P4,INDIRECT(LU_WORK),2,FALSE)</f>
        <v>31.662569699999999</v>
      </c>
      <c r="O4" s="1467">
        <f ca="1">N4/4.1868*3600/1000000</f>
        <v>2.7224909458297506E-2</v>
      </c>
      <c r="P4" s="385" t="s">
        <v>1191</v>
      </c>
      <c r="R4" s="386" t="s">
        <v>1167</v>
      </c>
      <c r="S4" s="387" t="s">
        <v>287</v>
      </c>
      <c r="T4" s="388">
        <f t="shared" ref="T4:AD4" ca="1" si="0">SUM(T10:T35)</f>
        <v>104166.66653800002</v>
      </c>
      <c r="U4" s="388">
        <f t="shared" ca="1" si="0"/>
        <v>140999.443</v>
      </c>
      <c r="V4" s="388">
        <f t="shared" ca="1" si="0"/>
        <v>38825.380998500688</v>
      </c>
      <c r="W4" s="388">
        <f t="shared" ca="1" si="0"/>
        <v>3491.0177199999998</v>
      </c>
      <c r="X4" s="388">
        <f t="shared" ca="1" si="0"/>
        <v>24555.056100000002</v>
      </c>
      <c r="Y4" s="388">
        <f t="shared" ca="1" si="0"/>
        <v>312037.44030787115</v>
      </c>
      <c r="Z4" s="388">
        <f t="shared" ca="1" si="0"/>
        <v>19796.792977857254</v>
      </c>
      <c r="AA4" s="388">
        <f t="shared" ca="1" si="0"/>
        <v>292240.64762407157</v>
      </c>
      <c r="AB4" s="388">
        <f t="shared" ca="1" si="0"/>
        <v>1980.286742</v>
      </c>
      <c r="AC4" s="388">
        <f t="shared" ca="1" si="0"/>
        <v>36845.094228500689</v>
      </c>
      <c r="AD4" s="388">
        <f t="shared" ca="1" si="0"/>
        <v>1980.6120650000003</v>
      </c>
      <c r="AF4" s="386" t="s">
        <v>1947</v>
      </c>
      <c r="AG4" s="1337">
        <f t="shared" ref="AG4:AG20" ca="1" si="1">VLOOKUP(AI4,INDIRECT(LU_WORK),2,FALSE)</f>
        <v>79.999744000000007</v>
      </c>
      <c r="AH4" s="1467">
        <f ca="1">AG4/4.1868*3600/1000000</f>
        <v>6.8787398108340489E-2</v>
      </c>
      <c r="AI4" s="385" t="s">
        <v>1202</v>
      </c>
      <c r="AK4" s="386" t="s">
        <v>1167</v>
      </c>
      <c r="AL4" s="387" t="s">
        <v>287</v>
      </c>
      <c r="AM4" s="388">
        <f t="shared" ref="AM4:BB4" ca="1" si="2">SUM(AM10:AM35)</f>
        <v>140999.443</v>
      </c>
      <c r="AN4" s="388">
        <f t="shared" ca="1" si="2"/>
        <v>140999.443</v>
      </c>
      <c r="AO4" s="388">
        <f t="shared" ca="1" si="2"/>
        <v>292240.64762407157</v>
      </c>
      <c r="AP4" s="388">
        <f t="shared" ca="1" si="2"/>
        <v>292240.64762407157</v>
      </c>
      <c r="AQ4" s="388">
        <f t="shared" ca="1" si="2"/>
        <v>13876.749034042346</v>
      </c>
      <c r="AR4" s="388">
        <f t="shared" ca="1" si="2"/>
        <v>15874.879830770586</v>
      </c>
      <c r="AS4" s="388">
        <f t="shared" ca="1" si="2"/>
        <v>3921.9132071989648</v>
      </c>
      <c r="AT4" s="388">
        <f t="shared" ca="1" si="2"/>
        <v>13617.995921391414</v>
      </c>
      <c r="AU4" s="388">
        <f t="shared" ca="1" si="2"/>
        <v>16133.632943901588</v>
      </c>
      <c r="AV4" s="388">
        <f t="shared" ca="1" si="2"/>
        <v>278363.89868903125</v>
      </c>
      <c r="AW4" s="388">
        <f t="shared" ca="1" si="2"/>
        <v>13617.995921391414</v>
      </c>
      <c r="AX4" s="388">
        <f t="shared" ca="1" si="2"/>
        <v>33673.542011902435</v>
      </c>
      <c r="AY4" s="388">
        <f t="shared" ca="1" si="2"/>
        <v>1050.8174799999999</v>
      </c>
      <c r="AZ4" s="388">
        <f t="shared" ca="1" si="2"/>
        <v>150458.399</v>
      </c>
      <c r="BA4" s="388">
        <f t="shared" ca="1" si="2"/>
        <v>151509.21648</v>
      </c>
      <c r="BB4" s="388">
        <f t="shared" ca="1" si="2"/>
        <v>429873.44071202417</v>
      </c>
      <c r="BD4" s="385" t="s">
        <v>340</v>
      </c>
      <c r="BE4" s="386" t="s">
        <v>1964</v>
      </c>
      <c r="BF4" s="1467">
        <f ca="1">VLOOKUP(BD4,INDIRECT(LU_HEAT),2,FALSE)</f>
        <v>-8.6449601299999994</v>
      </c>
      <c r="BG4" s="386" t="s">
        <v>1966</v>
      </c>
      <c r="BH4" s="1337">
        <f t="shared" ref="BH4:BH9" ca="1" si="3">VLOOKUP(BJ4,INDIRECT(LU_WORK),2,FALSE)</f>
        <v>55.999820800000002</v>
      </c>
      <c r="BI4" s="1467">
        <f t="shared" ref="BI4:BI9" ca="1" si="4">BH4/4.1868*3600/1000000</f>
        <v>4.8151178675838353E-2</v>
      </c>
      <c r="BJ4" s="385" t="s">
        <v>1596</v>
      </c>
      <c r="BL4" s="386" t="s">
        <v>1167</v>
      </c>
      <c r="BM4" s="387" t="s">
        <v>287</v>
      </c>
      <c r="BN4" s="388">
        <f t="shared" ref="BN4:BR4" ca="1" si="5">SUM(BN10:BN35)</f>
        <v>44370.961591536987</v>
      </c>
      <c r="BO4" s="388">
        <f t="shared" ca="1" si="5"/>
        <v>42638.75984727883</v>
      </c>
      <c r="BP4" s="388">
        <f t="shared" ca="1" si="5"/>
        <v>1969.1759101188638</v>
      </c>
      <c r="BQ4" s="388">
        <f t="shared" ca="1" si="5"/>
        <v>210.7847884</v>
      </c>
      <c r="BR4" s="388">
        <f t="shared" ca="1" si="5"/>
        <v>26.1890933</v>
      </c>
      <c r="BT4" s="385" t="s">
        <v>3219</v>
      </c>
      <c r="BU4" s="386" t="s">
        <v>1972</v>
      </c>
      <c r="BV4" s="1467">
        <f ca="1">VLOOKUP(BT4,INDIRECT(LU_HEAT),2,FALSE)</f>
        <v>0.45115323200000002</v>
      </c>
      <c r="BW4" s="386" t="s">
        <v>3220</v>
      </c>
      <c r="BX4" s="1337">
        <f t="shared" ref="BX4:BX7" ca="1" si="6">VLOOKUP(BZ4,INDIRECT(LU_WORK),2,FALSE)</f>
        <v>99.406025700000001</v>
      </c>
      <c r="BY4" s="1467">
        <f t="shared" ref="BY4:BY7" ca="1" si="7">BX4/4.1868*3600/1000000</f>
        <v>8.5473796818572659E-2</v>
      </c>
      <c r="BZ4" s="385" t="s">
        <v>3221</v>
      </c>
      <c r="CB4" s="386" t="s">
        <v>1167</v>
      </c>
      <c r="CC4" s="387" t="s">
        <v>287</v>
      </c>
      <c r="CD4" s="388">
        <f t="shared" ref="CD4:CO4" ca="1" si="8">SUM(CD10:CD35)</f>
        <v>429873.44071202417</v>
      </c>
      <c r="CE4" s="388">
        <f t="shared" ca="1" si="8"/>
        <v>429873.44071202417</v>
      </c>
      <c r="CF4" s="388">
        <f t="shared" ca="1" si="8"/>
        <v>44370.961591536987</v>
      </c>
      <c r="CG4" s="388">
        <f t="shared" ca="1" si="8"/>
        <v>42638.75984727883</v>
      </c>
      <c r="CH4" s="388">
        <f t="shared" ca="1" si="8"/>
        <v>443709.94638014201</v>
      </c>
      <c r="CI4" s="388">
        <f t="shared" ca="1" si="8"/>
        <v>948.53155000000015</v>
      </c>
      <c r="CJ4" s="388">
        <f t="shared" ca="1" si="8"/>
        <v>116.09195099999999</v>
      </c>
      <c r="CK4" s="388">
        <f t="shared" ca="1" si="8"/>
        <v>423862.61072694376</v>
      </c>
      <c r="CL4" s="388">
        <f t="shared" ca="1" si="8"/>
        <v>19179.428476470184</v>
      </c>
      <c r="CM4" s="388">
        <f t="shared" ca="1" si="8"/>
        <v>13836.506068200461</v>
      </c>
      <c r="CN4" s="388">
        <f t="shared" ca="1" si="8"/>
        <v>451055.00509863358</v>
      </c>
      <c r="CO4" s="388">
        <f t="shared" ca="1" si="8"/>
        <v>27192.394942872259</v>
      </c>
      <c r="CQ4" s="385" t="s">
        <v>93</v>
      </c>
      <c r="CR4" s="386" t="s">
        <v>1976</v>
      </c>
      <c r="CS4" s="1467">
        <f ca="1">VLOOKUP(CQ4,INDIRECT(LU_HEAT),2,FALSE)</f>
        <v>10.6388012</v>
      </c>
      <c r="CT4" s="386" t="s">
        <v>1977</v>
      </c>
      <c r="CU4" s="1337">
        <f t="shared" ref="CU4:CU8" ca="1" si="9">VLOOKUP(CW4,INDIRECT(LU_WORK),2,FALSE)</f>
        <v>74.569986999999998</v>
      </c>
      <c r="CV4" s="1467">
        <f t="shared" ref="CV4:CV8" ca="1" si="10">CU4/4.1868*3600/1000000</f>
        <v>6.411864746345658E-2</v>
      </c>
      <c r="CW4" s="385" t="s">
        <v>1600</v>
      </c>
      <c r="CY4" s="386" t="s">
        <v>1167</v>
      </c>
      <c r="CZ4" s="387" t="s">
        <v>287</v>
      </c>
      <c r="DA4" s="388">
        <f t="shared" ref="DA4:DJ4" ca="1" si="11">SUM(DA10:DA35)</f>
        <v>790.06378150011653</v>
      </c>
      <c r="DB4" s="388">
        <f t="shared" ca="1" si="11"/>
        <v>7.8602159099999991</v>
      </c>
      <c r="DC4" s="388">
        <f t="shared" ca="1" si="11"/>
        <v>0.489061574</v>
      </c>
      <c r="DD4" s="388">
        <f t="shared" ca="1" si="11"/>
        <v>5.7200563799999999</v>
      </c>
      <c r="DE4" s="388">
        <f t="shared" ca="1" si="11"/>
        <v>769.70881354231494</v>
      </c>
      <c r="DF4" s="388">
        <f t="shared" ca="1" si="11"/>
        <v>1585.987365256427</v>
      </c>
      <c r="DG4" s="388">
        <f t="shared" ca="1" si="11"/>
        <v>32582.828780999997</v>
      </c>
      <c r="DH4" s="388">
        <f t="shared" ca="1" si="11"/>
        <v>32582.828780999997</v>
      </c>
      <c r="DI4" s="388">
        <f t="shared" ca="1" si="11"/>
        <v>31031.265478000001</v>
      </c>
      <c r="DJ4" s="388">
        <f t="shared" ca="1" si="11"/>
        <v>1551.5632783999999</v>
      </c>
      <c r="DL4" s="385" t="s">
        <v>3231</v>
      </c>
      <c r="DM4" s="386" t="s">
        <v>1983</v>
      </c>
      <c r="DN4" s="1467">
        <f ca="1">VLOOKUP(DL4,INDIRECT(LU_HEAT),2,FALSE)</f>
        <v>1.1719730799999999</v>
      </c>
      <c r="DO4" s="386" t="s">
        <v>1982</v>
      </c>
      <c r="DP4" s="1337">
        <f t="shared" ref="DP4:DP6" ca="1" si="12">VLOOKUP(DR4,INDIRECT(LU_WORK),2,FALSE)</f>
        <v>1408.16992</v>
      </c>
      <c r="DQ4" s="1467">
        <f t="shared" ref="DQ4:DQ6" ca="1" si="13">DP4/4.1868*3600/1000000</f>
        <v>1.2108081857265693</v>
      </c>
      <c r="DR4" s="385" t="s">
        <v>3233</v>
      </c>
      <c r="DT4" s="386" t="s">
        <v>1167</v>
      </c>
      <c r="DU4" s="387" t="s">
        <v>287</v>
      </c>
      <c r="DV4" s="388">
        <f t="shared" ref="DV4:EK4" ca="1" si="14">SUM(DV10:DV35)</f>
        <v>11419.2086</v>
      </c>
      <c r="DW4" s="388">
        <f t="shared" ca="1" si="14"/>
        <v>2844.6651300000003</v>
      </c>
      <c r="DX4" s="388">
        <f t="shared" ca="1" si="14"/>
        <v>15801.275649970401</v>
      </c>
      <c r="DY4" s="388">
        <f t="shared" ca="1" si="14"/>
        <v>790.06378150011653</v>
      </c>
      <c r="DZ4" s="388">
        <f t="shared" ca="1" si="14"/>
        <v>0.489061574</v>
      </c>
      <c r="EA4" s="388">
        <f t="shared" ca="1" si="14"/>
        <v>769.70881354231494</v>
      </c>
      <c r="EB4" s="388">
        <f t="shared" ca="1" si="14"/>
        <v>15011.211825496392</v>
      </c>
      <c r="EC4" s="388">
        <f t="shared" ca="1" si="14"/>
        <v>223.9847043</v>
      </c>
      <c r="ED4" s="388">
        <f t="shared" ca="1" si="14"/>
        <v>13836.506068200461</v>
      </c>
      <c r="EE4" s="388">
        <f t="shared" ca="1" si="14"/>
        <v>31801.300533710692</v>
      </c>
      <c r="EF4" s="388">
        <f t="shared" ca="1" si="14"/>
        <v>67.352044000000006</v>
      </c>
      <c r="EG4" s="388">
        <f t="shared" ca="1" si="14"/>
        <v>109.253077</v>
      </c>
      <c r="EH4" s="388">
        <f t="shared" ca="1" si="14"/>
        <v>16.4154968</v>
      </c>
      <c r="EI4" s="388">
        <f t="shared" ca="1" si="14"/>
        <v>156.6326603</v>
      </c>
      <c r="EJ4" s="388">
        <f t="shared" ref="EJ4" ca="1" si="15">SUM(EJ10:EJ35)</f>
        <v>13.357518000000001</v>
      </c>
      <c r="EK4" s="388">
        <f t="shared" ca="1" si="14"/>
        <v>31031.265478000001</v>
      </c>
      <c r="EM4" s="385" t="s">
        <v>342</v>
      </c>
      <c r="EN4" s="386" t="s">
        <v>1986</v>
      </c>
      <c r="EO4" s="1467">
        <f ca="1">VLOOKUP(EM4,INDIRECT(LU_HEAT),2,FALSE)</f>
        <v>8.1040881999999996</v>
      </c>
      <c r="EP4" s="386" t="s">
        <v>1987</v>
      </c>
      <c r="EQ4" s="1337">
        <f ca="1">VLOOKUP(ES4,INDIRECT(LU_WORK),2,FALSE)</f>
        <v>1.29877379</v>
      </c>
      <c r="ER4" s="1467">
        <f t="shared" ref="ER4:ER12" ca="1" si="16">EQ4/4.1868*3600/1000000</f>
        <v>1.1167444453998279E-3</v>
      </c>
      <c r="ES4" s="385" t="s">
        <v>1226</v>
      </c>
      <c r="EU4" s="386" t="s">
        <v>1167</v>
      </c>
      <c r="EV4" s="387" t="s">
        <v>287</v>
      </c>
      <c r="EW4" s="388">
        <f t="shared" ref="EW4:FB4" ca="1" si="17">SUM(EW10:EW35)</f>
        <v>451055.00509863358</v>
      </c>
      <c r="EX4" s="388">
        <f t="shared" ca="1" si="17"/>
        <v>451055.00509863358</v>
      </c>
      <c r="EY4" s="388">
        <f t="shared" ca="1" si="17"/>
        <v>391789.30504555989</v>
      </c>
      <c r="EZ4" s="388">
        <f t="shared" ca="1" si="17"/>
        <v>391789.30504555989</v>
      </c>
      <c r="FA4" s="388">
        <f t="shared" ca="1" si="17"/>
        <v>610.62466576733914</v>
      </c>
      <c r="FB4" s="388">
        <f t="shared" ca="1" si="17"/>
        <v>58655.076318563028</v>
      </c>
      <c r="FD4" s="385" t="s">
        <v>348</v>
      </c>
      <c r="FE4" s="386" t="s">
        <v>1994</v>
      </c>
      <c r="FF4" s="1467">
        <f ca="1">VLOOKUP(FD4,INDIRECT(LU_HEAT),2,FALSE)</f>
        <v>0.46207043199999992</v>
      </c>
      <c r="FG4" s="386" t="s">
        <v>1995</v>
      </c>
      <c r="FH4" s="1337">
        <f t="shared" ref="FH4:FH6" ca="1" si="18">VLOOKUP(FJ4,INDIRECT(LU_WORK),2,FALSE)</f>
        <v>309.20555000000002</v>
      </c>
      <c r="FI4" s="1467">
        <f t="shared" ref="FI4:FI6" ca="1" si="19">FH4/4.1868*3600/1000000</f>
        <v>0.26586891659501294</v>
      </c>
      <c r="FJ4" s="385" t="s">
        <v>1233</v>
      </c>
      <c r="FL4" s="386" t="s">
        <v>1167</v>
      </c>
      <c r="FM4" s="387" t="s">
        <v>287</v>
      </c>
      <c r="FN4" s="388">
        <f t="shared" ref="FN4:FX4" ca="1" si="20">SUM(FN10:FN35)</f>
        <v>1969.1759101188638</v>
      </c>
      <c r="FO4" s="388">
        <f t="shared" ca="1" si="20"/>
        <v>19179.428476470184</v>
      </c>
      <c r="FP4" s="388">
        <f t="shared" ca="1" si="20"/>
        <v>610.62466576733914</v>
      </c>
      <c r="FQ4" s="388">
        <f t="shared" ca="1" si="20"/>
        <v>58655.076318563028</v>
      </c>
      <c r="FR4" s="388">
        <f t="shared" ca="1" si="20"/>
        <v>29172.843136412466</v>
      </c>
      <c r="FS4" s="388">
        <f t="shared" ca="1" si="20"/>
        <v>36845.094228500689</v>
      </c>
      <c r="FT4" s="388">
        <f t="shared" ca="1" si="20"/>
        <v>7362.8612900000007</v>
      </c>
      <c r="FU4" s="388">
        <f t="shared" ca="1" si="20"/>
        <v>21759.228995003316</v>
      </c>
      <c r="FV4" s="388">
        <f t="shared" ca="1" si="20"/>
        <v>26830.853200000001</v>
      </c>
      <c r="FW4" s="388">
        <f t="shared" ca="1" si="20"/>
        <v>21397.687265044813</v>
      </c>
      <c r="FX4" s="388">
        <f t="shared" ca="1" si="20"/>
        <v>27192.394942872259</v>
      </c>
      <c r="FZ4" s="385" t="s">
        <v>1183</v>
      </c>
      <c r="GA4" s="386" t="s">
        <v>2000</v>
      </c>
      <c r="GB4" s="1467">
        <f ca="1">VLOOKUP(FZ4,INDIRECT(LU_HEAT),2,FALSE)</f>
        <v>23.176131600000001</v>
      </c>
      <c r="GC4" s="386" t="s">
        <v>2001</v>
      </c>
      <c r="GD4" s="1337">
        <f t="shared" ref="GD4:GD7" ca="1" si="21">VLOOKUP(GF4,INDIRECT(LU_WORK),2,FALSE)</f>
        <v>223.45514700000001</v>
      </c>
      <c r="GE4" s="1467">
        <f t="shared" ref="GE4:GE7" ca="1" si="22">GD4/4.1868*3600/1000000</f>
        <v>0.19213684178847809</v>
      </c>
      <c r="GF4" s="385" t="s">
        <v>1604</v>
      </c>
      <c r="GH4" s="386" t="s">
        <v>1167</v>
      </c>
      <c r="GI4" s="387" t="s">
        <v>287</v>
      </c>
      <c r="GJ4" s="388">
        <f t="shared" ref="GJ4:GQ4" ca="1" si="23">SUM(GJ10:GJ35)</f>
        <v>29172.843136412466</v>
      </c>
      <c r="GK4" s="388">
        <f t="shared" ca="1" si="23"/>
        <v>29172.843136412466</v>
      </c>
      <c r="GL4" s="388">
        <f t="shared" ca="1" si="23"/>
        <v>7362.85646</v>
      </c>
      <c r="GM4" s="388">
        <f t="shared" ca="1" si="23"/>
        <v>21809.986672412469</v>
      </c>
      <c r="GN4" s="388">
        <f t="shared" ca="1" si="23"/>
        <v>21809.986672412469</v>
      </c>
      <c r="GO4" s="388">
        <f t="shared" ca="1" si="23"/>
        <v>7362.85646</v>
      </c>
      <c r="GP4" s="388">
        <f t="shared" ca="1" si="23"/>
        <v>21809.986672412469</v>
      </c>
      <c r="GQ4" s="388">
        <f t="shared" ca="1" si="23"/>
        <v>7362.8612900000007</v>
      </c>
      <c r="GS4" s="385" t="s">
        <v>345</v>
      </c>
      <c r="GT4" s="386" t="s">
        <v>2006</v>
      </c>
      <c r="GU4" s="1467">
        <f ca="1">VLOOKUP(GS4,INDIRECT(LU_HEAT),2,FALSE)</f>
        <v>2.55266422</v>
      </c>
      <c r="GV4" s="386" t="s">
        <v>2007</v>
      </c>
      <c r="GW4" s="1337">
        <f t="shared" ref="GW4" ca="1" si="24">VLOOKUP(GY4,INDIRECT(LU_WORK),2,FALSE)</f>
        <v>151.30703399999999</v>
      </c>
      <c r="GX4" s="1467">
        <f t="shared" ref="GX4" ca="1" si="25">GW4/4.1868*3600/1000000</f>
        <v>0.13010063112639722</v>
      </c>
      <c r="GY4" s="385" t="s">
        <v>1232</v>
      </c>
      <c r="HA4" s="386" t="s">
        <v>1167</v>
      </c>
      <c r="HB4" s="387" t="s">
        <v>287</v>
      </c>
      <c r="HC4" s="388">
        <f t="shared" ref="HC4:HH4" ca="1" si="26">SUM(HC10:HC35)</f>
        <v>391789.30504555989</v>
      </c>
      <c r="HD4" s="388">
        <f t="shared" ca="1" si="26"/>
        <v>355313.18731090927</v>
      </c>
      <c r="HE4" s="388">
        <f t="shared" ca="1" si="26"/>
        <v>12113.951820999999</v>
      </c>
      <c r="HF4" s="388">
        <f t="shared" ca="1" si="26"/>
        <v>12052.668406176126</v>
      </c>
      <c r="HG4" s="388">
        <f t="shared" ca="1" si="26"/>
        <v>36537.401254178207</v>
      </c>
      <c r="HH4" s="388">
        <f t="shared" ca="1" si="26"/>
        <v>355313.18731090927</v>
      </c>
      <c r="HJ4" s="385" t="s">
        <v>1593</v>
      </c>
      <c r="HK4" s="386" t="s">
        <v>2011</v>
      </c>
      <c r="HL4" s="1467">
        <f ca="1">VLOOKUP(HJ4,INDIRECT(LU_HEAT),2,FALSE)</f>
        <v>9.3390233599999997E-2</v>
      </c>
      <c r="HM4" s="386" t="s">
        <v>2012</v>
      </c>
      <c r="HN4" s="1337">
        <f t="shared" ref="HN4:HN9" ca="1" si="27">VLOOKUP(HP4,INDIRECT(LU_WORK),2,FALSE)</f>
        <v>6.9998931999999998</v>
      </c>
      <c r="HO4" s="1467">
        <f t="shared" ref="HO4:HO13" ca="1" si="28">HN4/4.1868*3600/1000000</f>
        <v>6.0188247635425624E-3</v>
      </c>
      <c r="HP4" s="385" t="s">
        <v>3240</v>
      </c>
      <c r="HR4" s="386" t="s">
        <v>1167</v>
      </c>
      <c r="HS4" s="387" t="s">
        <v>287</v>
      </c>
      <c r="HT4" s="388">
        <f t="shared" ref="HT4:IE4" ca="1" si="29">SUM(HT10:HT35)</f>
        <v>33673.542011902435</v>
      </c>
      <c r="HU4" s="388">
        <f t="shared" ca="1" si="29"/>
        <v>355313.18731090927</v>
      </c>
      <c r="HV4" s="388">
        <f t="shared" ca="1" si="29"/>
        <v>411491.26655007998</v>
      </c>
      <c r="HW4" s="388">
        <f t="shared" ca="1" si="29"/>
        <v>411491.26655007998</v>
      </c>
      <c r="HX4" s="388">
        <f t="shared" ca="1" si="29"/>
        <v>361079.29055974027</v>
      </c>
      <c r="HY4" s="388">
        <f t="shared" ca="1" si="29"/>
        <v>28572.065240884698</v>
      </c>
      <c r="HZ4" s="388">
        <f t="shared" ca="1" si="29"/>
        <v>21861.007155006322</v>
      </c>
      <c r="IA4" s="388">
        <f t="shared" ca="1" si="29"/>
        <v>21.09210781455339</v>
      </c>
      <c r="IB4" s="388">
        <f t="shared" ca="1" si="29"/>
        <v>4682.04054</v>
      </c>
      <c r="IC4" s="388">
        <f t="shared" ca="1" si="29"/>
        <v>147136.25899999999</v>
      </c>
      <c r="ID4" s="388">
        <f t="shared" ca="1" si="29"/>
        <v>147136.25899999999</v>
      </c>
      <c r="IE4" s="388">
        <f t="shared" ca="1" si="29"/>
        <v>17677.496078280001</v>
      </c>
      <c r="IG4" s="385" t="s">
        <v>3255</v>
      </c>
      <c r="IH4" s="386" t="s">
        <v>196</v>
      </c>
      <c r="II4" s="1467">
        <f ca="1">VLOOKUP(IG4,INDIRECT(LU_HEAT),2,FALSE)</f>
        <v>6.3438290300000002</v>
      </c>
      <c r="IJ4" s="386" t="s">
        <v>3260</v>
      </c>
      <c r="IK4" s="1337">
        <f t="shared" ref="IK4:IK6" ca="1" si="30">VLOOKUP(IM4,INDIRECT(LU_WORK),2,FALSE)</f>
        <v>24.799803699999998</v>
      </c>
      <c r="IL4" s="1467">
        <f t="shared" ref="IL4:IL6" ca="1" si="31">IK4/4.1868*3600/1000000</f>
        <v>2.1323992863284607E-2</v>
      </c>
      <c r="IM4" s="385" t="s">
        <v>3257</v>
      </c>
      <c r="IO4" s="386" t="s">
        <v>1167</v>
      </c>
      <c r="IP4" s="387" t="s">
        <v>287</v>
      </c>
      <c r="IQ4" s="388">
        <f t="shared" ref="IQ4:JH4" ca="1" si="32">SUM(IQ10:IQ35)</f>
        <v>361079.29055974027</v>
      </c>
      <c r="IR4" s="388">
        <f t="shared" ca="1" si="32"/>
        <v>28572.065240884698</v>
      </c>
      <c r="IS4" s="388">
        <f t="shared" ca="1" si="32"/>
        <v>90535.697675456046</v>
      </c>
      <c r="IT4" s="388">
        <f t="shared" ca="1" si="32"/>
        <v>119107.76331935469</v>
      </c>
      <c r="IU4" s="388">
        <f t="shared" ref="IU4" ca="1" si="33">SUM(IU10:IU35)</f>
        <v>109347.72716353783</v>
      </c>
      <c r="IV4" s="388">
        <f t="shared" ca="1" si="32"/>
        <v>2649972.5018652561</v>
      </c>
      <c r="IW4" s="388">
        <f t="shared" ca="1" si="32"/>
        <v>2172856.7406540792</v>
      </c>
      <c r="IX4" s="388">
        <f t="shared" ref="IX4" ca="1" si="34">SUM(IX10:IX35)</f>
        <v>220999.43724586375</v>
      </c>
      <c r="IY4" s="388">
        <f t="shared" ca="1" si="32"/>
        <v>9760.0353733341799</v>
      </c>
      <c r="IZ4" s="388">
        <f t="shared" ca="1" si="32"/>
        <v>386582.92931758723</v>
      </c>
      <c r="JA4" s="388">
        <f t="shared" ca="1" si="32"/>
        <v>2263392.4419119358</v>
      </c>
      <c r="JB4" s="388">
        <f t="shared" ca="1" si="32"/>
        <v>376640.16100000002</v>
      </c>
      <c r="JC4" s="388">
        <f t="shared" ca="1" si="32"/>
        <v>9921.6759648785865</v>
      </c>
      <c r="JD4" s="388">
        <f t="shared" ca="1" si="32"/>
        <v>305287.01400000002</v>
      </c>
      <c r="JE4" s="388">
        <f t="shared" ca="1" si="32"/>
        <v>81295.915717587312</v>
      </c>
      <c r="JF4" s="388">
        <f t="shared" ca="1" si="32"/>
        <v>223184.0344</v>
      </c>
      <c r="JG4" s="388">
        <f t="shared" ca="1" si="32"/>
        <v>4504.1320400000004</v>
      </c>
      <c r="JH4" s="388">
        <f t="shared" ca="1" si="32"/>
        <v>21.09210781455339</v>
      </c>
      <c r="JJ4" s="385" t="s">
        <v>2930</v>
      </c>
      <c r="JK4" s="386" t="s">
        <v>3265</v>
      </c>
      <c r="JL4" s="1467">
        <f ca="1">VLOOKUP(JJ4,INDIRECT(LU_HEAT),2,FALSE)</f>
        <v>25.6295793</v>
      </c>
      <c r="JM4" s="386" t="s">
        <v>3271</v>
      </c>
      <c r="JN4" s="1337">
        <f t="shared" ref="JN4" ca="1" si="35">VLOOKUP(JP4,INDIRECT(LU_WORK),2,FALSE)</f>
        <v>4290.7479599999997</v>
      </c>
      <c r="JO4" s="1467">
        <f t="shared" ref="JO4" ca="1" si="36">JN4/4.1868*3600/1000000</f>
        <v>3.6893791573516768</v>
      </c>
      <c r="JP4" s="385" t="s">
        <v>3266</v>
      </c>
      <c r="JR4" s="386" t="s">
        <v>1167</v>
      </c>
      <c r="JS4" s="387" t="s">
        <v>287</v>
      </c>
      <c r="JT4" s="388">
        <f t="shared" ref="JT4:KC4" ca="1" si="37">SUM(JT10:JT35)</f>
        <v>210.7847884</v>
      </c>
      <c r="JU4" s="388">
        <f t="shared" ca="1" si="37"/>
        <v>948.53155000000015</v>
      </c>
      <c r="JV4" s="388">
        <f t="shared" ca="1" si="37"/>
        <v>7.8602159099999991</v>
      </c>
      <c r="JW4" s="388">
        <f t="shared" ca="1" si="37"/>
        <v>156.6326603</v>
      </c>
      <c r="JX4" s="388">
        <f t="shared" ca="1" si="37"/>
        <v>21809.986672412469</v>
      </c>
      <c r="JY4" s="388">
        <f t="shared" ca="1" si="37"/>
        <v>464.95049399999994</v>
      </c>
      <c r="JZ4" s="388">
        <f t="shared" ca="1" si="37"/>
        <v>22274.93716641247</v>
      </c>
      <c r="KA4" s="388">
        <f t="shared" ca="1" si="37"/>
        <v>1980.6120650000003</v>
      </c>
      <c r="KB4" s="388">
        <f t="shared" ca="1" si="37"/>
        <v>8022.0755900000004</v>
      </c>
      <c r="KC4" s="388">
        <f t="shared" ca="1" si="37"/>
        <v>1323.8092160000001</v>
      </c>
      <c r="KE4" s="386" t="s">
        <v>2027</v>
      </c>
      <c r="KF4" s="1337">
        <f t="shared" ref="KF4:KF9" ca="1" si="38">VLOOKUP(KH4,INDIRECT(LU_WORK),2,FALSE)</f>
        <v>4.5554781999999996</v>
      </c>
      <c r="KG4" s="1467">
        <f t="shared" ref="KG4:KG9" ca="1" si="39">KF4/4.1868*3600/1000000</f>
        <v>3.9170061908856404E-3</v>
      </c>
      <c r="KH4" s="385" t="s">
        <v>1247</v>
      </c>
      <c r="KJ4" s="386" t="s">
        <v>1167</v>
      </c>
      <c r="KK4" s="387" t="s">
        <v>287</v>
      </c>
      <c r="KL4" s="388">
        <f t="shared" ref="KL4:KR4" ca="1" si="40">SUM(KL10:KL35)</f>
        <v>1050.8174799999999</v>
      </c>
      <c r="KM4" s="388">
        <f t="shared" ca="1" si="40"/>
        <v>26.1890933</v>
      </c>
      <c r="KN4" s="388">
        <f t="shared" ca="1" si="40"/>
        <v>116.09195099999999</v>
      </c>
      <c r="KO4" s="388">
        <f t="shared" ca="1" si="40"/>
        <v>5.7200563799999999</v>
      </c>
      <c r="KP4" s="388">
        <f t="shared" ca="1" si="40"/>
        <v>109.253077</v>
      </c>
      <c r="KQ4" s="388">
        <f t="shared" ca="1" si="40"/>
        <v>1165.79061</v>
      </c>
      <c r="KR4" s="388">
        <f t="shared" ca="1" si="40"/>
        <v>142.28104400000001</v>
      </c>
      <c r="KT4" s="386" t="s">
        <v>2033</v>
      </c>
      <c r="KU4" s="1337">
        <f t="shared" ref="KU4:KU6" ca="1" si="41">VLOOKUP(KW4,INDIRECT(LU_WORK),2,FALSE)</f>
        <v>5.0125611899999999E-2</v>
      </c>
      <c r="KV4" s="1467">
        <f t="shared" ref="KV4:KV6" ca="1" si="42">KU4/4.1868*3600/1000000</f>
        <v>4.3100268185726567E-5</v>
      </c>
      <c r="KW4" s="385" t="s">
        <v>1243</v>
      </c>
      <c r="KY4" s="386" t="s">
        <v>1167</v>
      </c>
      <c r="KZ4" s="387" t="s">
        <v>287</v>
      </c>
      <c r="LA4" s="388">
        <f t="shared" ref="LA4:LK4" ca="1" si="43">SUM(LA10:LA35)</f>
        <v>12052.668406176126</v>
      </c>
      <c r="LB4" s="388">
        <f t="shared" ca="1" si="43"/>
        <v>21861.007155006322</v>
      </c>
      <c r="LC4" s="388">
        <f t="shared" ca="1" si="43"/>
        <v>318408.56563715643</v>
      </c>
      <c r="LD4" s="388">
        <f t="shared" ca="1" si="43"/>
        <v>318408.56563715643</v>
      </c>
      <c r="LE4" s="388">
        <f t="shared" ca="1" si="43"/>
        <v>284494.89104000002</v>
      </c>
      <c r="LF4" s="388">
        <f t="shared" ca="1" si="43"/>
        <v>364705.98315406172</v>
      </c>
      <c r="LG4" s="388">
        <f t="shared" ca="1" si="43"/>
        <v>364705.98315406172</v>
      </c>
      <c r="LH4" s="388">
        <f t="shared" ca="1" si="43"/>
        <v>5724.0657469999996</v>
      </c>
      <c r="LI4" s="388">
        <f t="shared" ca="1" si="43"/>
        <v>363454.17384646181</v>
      </c>
      <c r="LJ4" s="388">
        <f t="shared" ca="1" si="43"/>
        <v>3577.80519</v>
      </c>
      <c r="LK4" s="388">
        <f t="shared" ca="1" si="43"/>
        <v>894.45129599999996</v>
      </c>
      <c r="LM4" s="385" t="s">
        <v>3283</v>
      </c>
      <c r="LN4" s="386" t="s">
        <v>2036</v>
      </c>
      <c r="LO4" s="1467">
        <f ca="1">VLOOKUP(LM4,INDIRECT(LU_HEAT),2,FALSE)</f>
        <v>13.112293899999999</v>
      </c>
      <c r="LP4" s="386" t="s">
        <v>2037</v>
      </c>
      <c r="LQ4" s="1337">
        <f t="shared" ref="LQ4:LQ5" ca="1" si="44">VLOOKUP(LS4,INDIRECT(LU_WORK),2,FALSE)</f>
        <v>142.39860400000001</v>
      </c>
      <c r="LR4" s="1467">
        <f t="shared" ref="LR4:LR5" ca="1" si="45">LQ4/4.1868*3600/1000000</f>
        <v>0.12244076010318143</v>
      </c>
      <c r="LS4" s="385" t="s">
        <v>3284</v>
      </c>
      <c r="LU4" s="386" t="s">
        <v>1167</v>
      </c>
      <c r="LV4" s="387" t="s">
        <v>287</v>
      </c>
      <c r="LW4" s="388">
        <f t="shared" ref="LW4" ca="1" si="46">SUM(LW10:LW35)</f>
        <v>3491.0177199999998</v>
      </c>
      <c r="LX4" s="388">
        <f t="shared" ref="LX4:MO4" ca="1" si="47">SUM(LX10:LX35)</f>
        <v>24555.056100000002</v>
      </c>
      <c r="LY4" s="388">
        <f t="shared" ca="1" si="47"/>
        <v>36537.401254178207</v>
      </c>
      <c r="LZ4" s="388">
        <f t="shared" ca="1" si="47"/>
        <v>9760.0353733341799</v>
      </c>
      <c r="MA4" s="388">
        <f t="shared" ca="1" si="47"/>
        <v>46297.436580786336</v>
      </c>
      <c r="MB4" s="388">
        <f t="shared" ca="1" si="47"/>
        <v>318408.56563715643</v>
      </c>
      <c r="MC4" s="388">
        <f t="shared" ca="1" si="47"/>
        <v>364705.98315406172</v>
      </c>
      <c r="MD4" s="388">
        <f t="shared" ca="1" si="47"/>
        <v>234812.967</v>
      </c>
      <c r="ME4" s="388">
        <f t="shared" ca="1" si="47"/>
        <v>30113.032100000004</v>
      </c>
      <c r="MF4" s="388">
        <f t="shared" ca="1" si="47"/>
        <v>242073.72100000002</v>
      </c>
      <c r="MG4" s="388">
        <f t="shared" ca="1" si="47"/>
        <v>242075.22399999999</v>
      </c>
      <c r="MH4" s="388">
        <f t="shared" ref="MH4:MI4" ca="1" si="48">SUM(MH10:MH35)</f>
        <v>75054.059099999999</v>
      </c>
      <c r="MI4" s="388">
        <f t="shared" ca="1" si="48"/>
        <v>105.503152</v>
      </c>
      <c r="MJ4" s="388">
        <f t="shared" ca="1" si="47"/>
        <v>101494.299</v>
      </c>
      <c r="MK4" s="388">
        <f t="shared" ca="1" si="47"/>
        <v>101494.299</v>
      </c>
      <c r="ML4" s="388">
        <f t="shared" ca="1" si="47"/>
        <v>101494.299</v>
      </c>
      <c r="MM4" s="388">
        <f t="shared" ca="1" si="47"/>
        <v>4682.04054</v>
      </c>
      <c r="MN4" s="388">
        <f t="shared" ca="1" si="47"/>
        <v>30113.032100000004</v>
      </c>
      <c r="MO4" s="388">
        <f t="shared" ca="1" si="47"/>
        <v>9.9999999999999995E-8</v>
      </c>
      <c r="MQ4" s="385" t="s">
        <v>354</v>
      </c>
      <c r="MR4" s="386" t="s">
        <v>1175</v>
      </c>
      <c r="MS4" s="1467">
        <f ca="1">VLOOKUP(MQ4,INDIRECT(LU_HEAT),2,FALSE)</f>
        <v>144.630402</v>
      </c>
      <c r="MT4" s="386" t="s">
        <v>193</v>
      </c>
      <c r="MU4" s="1337">
        <f t="shared" ref="MU4:MU7" ca="1" si="49">VLOOKUP(MW4,INDIRECT(LU_WORK),2,FALSE)</f>
        <v>-12814.1484</v>
      </c>
      <c r="MV4" s="1467">
        <f t="shared" ref="MV4:MV7" ca="1" si="50">MU4/4.1868*3600/1000000</f>
        <v>-11.018184350816853</v>
      </c>
      <c r="MW4" s="385" t="s">
        <v>445</v>
      </c>
      <c r="MY4" s="386" t="s">
        <v>1167</v>
      </c>
      <c r="MZ4" s="387" t="s">
        <v>287</v>
      </c>
      <c r="NA4" s="388">
        <f t="shared" ref="NA4:NP4" ca="1" si="51">SUM(NA10:NA35)</f>
        <v>19796.792977857254</v>
      </c>
      <c r="NB4" s="388">
        <f t="shared" ca="1" si="51"/>
        <v>15874.879830770586</v>
      </c>
      <c r="NC4" s="388">
        <f t="shared" ca="1" si="51"/>
        <v>3921.9132071989648</v>
      </c>
      <c r="ND4" s="388">
        <f t="shared" ca="1" si="51"/>
        <v>35306.827799999999</v>
      </c>
      <c r="NE4" s="388">
        <f t="shared" ca="1" si="51"/>
        <v>206661.39</v>
      </c>
      <c r="NF4" s="388">
        <f t="shared" ca="1" si="51"/>
        <v>241968.21799999999</v>
      </c>
      <c r="NG4" s="388">
        <f t="shared" ca="1" si="51"/>
        <v>35306.827799999999</v>
      </c>
      <c r="NH4" s="388">
        <f t="shared" ca="1" si="51"/>
        <v>0</v>
      </c>
      <c r="NI4" s="388">
        <f t="shared" ca="1" si="51"/>
        <v>242073.72100000002</v>
      </c>
      <c r="NJ4" s="388">
        <f t="shared" ca="1" si="51"/>
        <v>242073.72100000002</v>
      </c>
      <c r="NK4" s="388">
        <f t="shared" ca="1" si="51"/>
        <v>105.503152</v>
      </c>
      <c r="NL4" s="388">
        <f t="shared" ca="1" si="51"/>
        <v>101494.299</v>
      </c>
      <c r="NM4" s="388">
        <f t="shared" ca="1" si="51"/>
        <v>4682.04054</v>
      </c>
      <c r="NN4" s="388">
        <f t="shared" ca="1" si="51"/>
        <v>2580.6417799999999</v>
      </c>
      <c r="NO4" s="388">
        <f t="shared" ca="1" si="51"/>
        <v>30113.032100000004</v>
      </c>
      <c r="NP4" s="388">
        <f t="shared" ca="1" si="51"/>
        <v>75054.059099999999</v>
      </c>
      <c r="NR4" s="385" t="s">
        <v>1186</v>
      </c>
      <c r="NS4" s="386" t="s">
        <v>1187</v>
      </c>
      <c r="NT4" s="1467">
        <f ca="1">VLOOKUP(NR4,INDIRECT(LU_HEAT),2,FALSE)</f>
        <v>-2.18607212</v>
      </c>
      <c r="NU4" s="386" t="s">
        <v>2041</v>
      </c>
      <c r="NV4" s="1337">
        <f t="shared" ref="NV4:NV7" ca="1" si="52">VLOOKUP(NX4,INDIRECT(LU_WORK),2,FALSE)</f>
        <v>8.1600389500000006</v>
      </c>
      <c r="NW4" s="1467">
        <f t="shared" ref="NW4:NW7" ca="1" si="53">NV4/4.1868*3600/1000000</f>
        <v>7.0163705503009472E-3</v>
      </c>
      <c r="NX4" s="385" t="s">
        <v>3292</v>
      </c>
      <c r="NZ4" s="394"/>
      <c r="OA4" s="386" t="s">
        <v>2045</v>
      </c>
      <c r="OB4" s="1337">
        <f t="shared" ref="OB4:OB7" ca="1" si="54">VLOOKUP(OD4,INDIRECT(LU_WORK),2,FALSE)</f>
        <v>10</v>
      </c>
      <c r="OC4" s="1467">
        <f t="shared" ref="OC4:OC7" ca="1" si="55">OB4/4.1868*3600/1000000</f>
        <v>8.5984522785898555E-3</v>
      </c>
      <c r="OD4" s="385" t="s">
        <v>3295</v>
      </c>
      <c r="OF4" s="386" t="s">
        <v>1167</v>
      </c>
      <c r="OG4" s="387" t="s">
        <v>287</v>
      </c>
      <c r="OH4" s="388">
        <f t="shared" ref="OH4:OO4" ca="1" si="56">SUM(OH10:OH35)</f>
        <v>11922358.792275399</v>
      </c>
      <c r="OI4" s="388">
        <f t="shared" ca="1" si="56"/>
        <v>155038.88399999999</v>
      </c>
      <c r="OJ4" s="388">
        <f t="shared" ca="1" si="56"/>
        <v>17676.124152937002</v>
      </c>
      <c r="OK4" s="388">
        <f t="shared" ca="1" si="56"/>
        <v>11922358.792275399</v>
      </c>
      <c r="OL4" s="388">
        <f t="shared" ca="1" si="56"/>
        <v>6548549.3699999992</v>
      </c>
      <c r="OM4" s="388">
        <f t="shared" ca="1" si="56"/>
        <v>6686825.3420000002</v>
      </c>
      <c r="ON4" s="388">
        <f t="shared" ca="1" si="56"/>
        <v>1373006.62</v>
      </c>
      <c r="OO4" s="388">
        <f t="shared" ca="1" si="56"/>
        <v>1373006.62</v>
      </c>
      <c r="OQ4" s="385" t="s">
        <v>357</v>
      </c>
      <c r="OR4" s="396" t="s">
        <v>2049</v>
      </c>
      <c r="OS4" s="1467">
        <f ca="1">VLOOKUP(OQ4,INDIRECT(LU_HEAT),2,FALSE)</f>
        <v>13.4442854</v>
      </c>
      <c r="OT4" s="386" t="s">
        <v>2050</v>
      </c>
      <c r="OU4" s="1337">
        <f t="shared" ref="OU4:OU7" ca="1" si="57">VLOOKUP(OW4,INDIRECT(LU_WORK),2,FALSE)</f>
        <v>1020.88417</v>
      </c>
      <c r="OV4" s="1467">
        <f t="shared" ref="OV4:OV7" ca="1" si="58">OU4/4.1868*3600/1000000</f>
        <v>0.87780238177128123</v>
      </c>
      <c r="OW4" s="385" t="s">
        <v>441</v>
      </c>
      <c r="OY4" s="386" t="s">
        <v>1167</v>
      </c>
      <c r="OZ4" s="387" t="s">
        <v>287</v>
      </c>
      <c r="PA4" s="388">
        <f t="shared" ref="PA4:PK4" ca="1" si="59">SUM(PA10:PA35)</f>
        <v>140999.443</v>
      </c>
      <c r="PB4" s="388">
        <f t="shared" ca="1" si="59"/>
        <v>150458.399</v>
      </c>
      <c r="PC4" s="388">
        <f t="shared" ca="1" si="59"/>
        <v>11419.2086</v>
      </c>
      <c r="PD4" s="388">
        <f t="shared" ca="1" si="59"/>
        <v>26830.853200000001</v>
      </c>
      <c r="PE4" s="388">
        <f t="shared" ca="1" si="59"/>
        <v>376640.16100000002</v>
      </c>
      <c r="PF4" s="388">
        <f t="shared" ca="1" si="59"/>
        <v>35306.827799999999</v>
      </c>
      <c r="PG4" s="388">
        <f t="shared" ca="1" si="59"/>
        <v>3577.80519</v>
      </c>
      <c r="PH4" s="388">
        <f t="shared" ca="1" si="59"/>
        <v>147136.25899999999</v>
      </c>
      <c r="PI4" s="388">
        <f t="shared" ca="1" si="59"/>
        <v>523776.42099999991</v>
      </c>
      <c r="PJ4" s="388">
        <f t="shared" ca="1" si="59"/>
        <v>145</v>
      </c>
      <c r="PK4" s="388">
        <f t="shared" ca="1" si="59"/>
        <v>155038.88399999999</v>
      </c>
      <c r="PM4" s="385" t="s">
        <v>3045</v>
      </c>
      <c r="PN4" s="386" t="s">
        <v>3301</v>
      </c>
      <c r="PO4" s="1467">
        <f ca="1">VLOOKUP(PM4,INDIRECT(LU_HEAT),2,FALSE)</f>
        <v>1.61837366</v>
      </c>
      <c r="PP4" s="386" t="s">
        <v>2054</v>
      </c>
      <c r="PQ4" s="1337">
        <f t="shared" ref="PQ4" ca="1" si="60">VLOOKUP(PS4,INDIRECT(LU_WORK),2,FALSE)</f>
        <v>72.461839100000006</v>
      </c>
      <c r="PR4" s="1467">
        <f t="shared" ref="PR4" ca="1" si="61">PQ4/4.1868*3600/1000000</f>
        <v>6.2305966552020642E-2</v>
      </c>
      <c r="PS4" s="385" t="s">
        <v>3302</v>
      </c>
      <c r="PU4" s="386" t="s">
        <v>1167</v>
      </c>
      <c r="PV4" s="387" t="s">
        <v>287</v>
      </c>
      <c r="PW4" s="388">
        <f t="shared" ref="PW4:PZ4" ca="1" si="62">SUM(PW10:PW35)</f>
        <v>145</v>
      </c>
      <c r="PX4" s="388">
        <f t="shared" ca="1" si="62"/>
        <v>145</v>
      </c>
      <c r="PY4" s="388">
        <f t="shared" ca="1" si="62"/>
        <v>145</v>
      </c>
      <c r="PZ4" s="388">
        <f t="shared" ca="1" si="62"/>
        <v>145</v>
      </c>
      <c r="QB4" s="385" t="s">
        <v>356</v>
      </c>
      <c r="QC4" s="386" t="s">
        <v>2055</v>
      </c>
      <c r="QD4" s="1467">
        <f ca="1">VLOOKUP(QB4,INDIRECT(LU_HEAT),2,FALSE)</f>
        <v>-9.1225325299999993E-2</v>
      </c>
      <c r="QE4" s="386" t="s">
        <v>2056</v>
      </c>
      <c r="QF4" s="1337">
        <f t="shared" ref="QF4" ca="1" si="63">VLOOKUP(QH4,INDIRECT(LU_WORK),2,FALSE)</f>
        <v>250</v>
      </c>
      <c r="QG4" s="1467">
        <f t="shared" ref="QG4" ca="1" si="64">QF4/4.1868*3600/1000000</f>
        <v>0.21496130696474636</v>
      </c>
      <c r="QH4" s="385" t="s">
        <v>440</v>
      </c>
      <c r="QI4" s="395"/>
    </row>
    <row r="5" spans="1:453" x14ac:dyDescent="0.25">
      <c r="H5" s="386" t="s">
        <v>1885</v>
      </c>
      <c r="I5" s="387" t="s">
        <v>1886</v>
      </c>
      <c r="J5" s="285">
        <f ca="1">SUM(J28:J35)/J4</f>
        <v>0.67664000023738557</v>
      </c>
      <c r="K5" s="285">
        <f t="shared" ref="K5" ca="1" si="65">SUM(K28:K35)/K4</f>
        <v>0.67664000023738557</v>
      </c>
      <c r="M5" s="386" t="s">
        <v>1938</v>
      </c>
      <c r="N5" s="1337">
        <f t="shared" ref="N5:N14" ca="1" si="66">VLOOKUP(P5,INDIRECT(LU_WORK),2,FALSE)</f>
        <v>79.156424099999995</v>
      </c>
      <c r="O5" s="1467">
        <f t="shared" ref="O5:O14" ca="1" si="67">N5/4.1868*3600/1000000</f>
        <v>6.8062273516766969E-2</v>
      </c>
      <c r="P5" s="385" t="s">
        <v>1192</v>
      </c>
      <c r="R5" s="386" t="s">
        <v>1885</v>
      </c>
      <c r="S5" s="387" t="s">
        <v>1886</v>
      </c>
      <c r="T5" s="285">
        <f ca="1">SUM(T28:T35)/T4</f>
        <v>0.67664000023738557</v>
      </c>
      <c r="U5" s="285">
        <f t="shared" ref="U5:AD5" ca="1" si="68">SUM(U28:U35)/U4</f>
        <v>0</v>
      </c>
      <c r="V5" s="285">
        <f t="shared" ca="1" si="68"/>
        <v>0</v>
      </c>
      <c r="W5" s="285">
        <f t="shared" ca="1" si="68"/>
        <v>0</v>
      </c>
      <c r="X5" s="285">
        <f t="shared" ca="1" si="68"/>
        <v>0</v>
      </c>
      <c r="Y5" s="285">
        <f t="shared" ca="1" si="68"/>
        <v>0.14771479615370156</v>
      </c>
      <c r="Z5" s="285">
        <f t="shared" ca="1" si="68"/>
        <v>0</v>
      </c>
      <c r="AA5" s="285">
        <f t="shared" ca="1" si="68"/>
        <v>0.15772120429561837</v>
      </c>
      <c r="AB5" s="285">
        <f t="shared" ca="1" si="68"/>
        <v>0</v>
      </c>
      <c r="AC5" s="285">
        <f t="shared" ca="1" si="68"/>
        <v>0</v>
      </c>
      <c r="AD5" s="285">
        <f t="shared" ca="1" si="68"/>
        <v>0</v>
      </c>
      <c r="AF5" s="386" t="s">
        <v>1949</v>
      </c>
      <c r="AG5" s="1337">
        <f t="shared" ca="1" si="1"/>
        <v>79.999744000000007</v>
      </c>
      <c r="AH5" s="1467">
        <f t="shared" ref="AH5:AH20" ca="1" si="69">AG5/4.1868*3600/1000000</f>
        <v>6.8787398108340489E-2</v>
      </c>
      <c r="AI5" s="385" t="s">
        <v>1203</v>
      </c>
      <c r="AK5" s="386" t="s">
        <v>1885</v>
      </c>
      <c r="AL5" s="387" t="s">
        <v>1886</v>
      </c>
      <c r="AM5" s="285">
        <f ca="1">SUM(AM28:AM35)/AM4</f>
        <v>0</v>
      </c>
      <c r="AN5" s="285">
        <f t="shared" ref="AN5" ca="1" si="70">SUM(AN28:AN35)/AN4</f>
        <v>0</v>
      </c>
      <c r="AO5" s="285">
        <f t="shared" ref="AO5" ca="1" si="71">SUM(AO28:AO35)/AO4</f>
        <v>0.15772120429561837</v>
      </c>
      <c r="AP5" s="285">
        <f t="shared" ref="AP5" ca="1" si="72">SUM(AP28:AP35)/AP4</f>
        <v>0.15772120429561837</v>
      </c>
      <c r="AQ5" s="285">
        <f t="shared" ref="AQ5" ca="1" si="73">SUM(AQ28:AQ35)/AQ4</f>
        <v>0</v>
      </c>
      <c r="AR5" s="285">
        <f t="shared" ref="AR5" ca="1" si="74">SUM(AR28:AR35)/AR4</f>
        <v>0</v>
      </c>
      <c r="AS5" s="285">
        <f t="shared" ref="AS5" ca="1" si="75">SUM(AS28:AS35)/AS4</f>
        <v>0</v>
      </c>
      <c r="AT5" s="285">
        <f t="shared" ref="AT5" ca="1" si="76">SUM(AT28:AT35)/AT4</f>
        <v>0</v>
      </c>
      <c r="AU5" s="285">
        <f t="shared" ref="AU5" ca="1" si="77">SUM(AU28:AU35)/AU4</f>
        <v>0</v>
      </c>
      <c r="AV5" s="285">
        <f t="shared" ref="AV5" ca="1" si="78">SUM(AV28:AV35)/AV4</f>
        <v>0.16558378117448122</v>
      </c>
      <c r="AW5" s="285">
        <f t="shared" ref="AW5" ca="1" si="79">SUM(AW28:AW35)/AW4</f>
        <v>0</v>
      </c>
      <c r="AX5" s="285">
        <f t="shared" ref="AX5" ca="1" si="80">SUM(AX28:AX35)/AX4</f>
        <v>0</v>
      </c>
      <c r="AY5" s="285">
        <f t="shared" ref="AY5" ca="1" si="81">SUM(AY28:AY35)/AY4</f>
        <v>0</v>
      </c>
      <c r="AZ5" s="285">
        <f t="shared" ref="AZ5" ca="1" si="82">SUM(AZ28:AZ35)/AZ4</f>
        <v>0</v>
      </c>
      <c r="BA5" s="285">
        <f t="shared" ref="BA5" ca="1" si="83">SUM(BA28:BA35)/BA4</f>
        <v>0</v>
      </c>
      <c r="BB5" s="285">
        <f t="shared" ref="BB5" ca="1" si="84">SUM(BB28:BB35)/BB4</f>
        <v>0.10769721034106455</v>
      </c>
      <c r="BD5" s="385" t="s">
        <v>341</v>
      </c>
      <c r="BE5" s="386" t="s">
        <v>1965</v>
      </c>
      <c r="BF5" s="1467">
        <f ca="1">VLOOKUP(BD5,INDIRECT(LU_HEAT),2,FALSE)</f>
        <v>7.2414730399999998</v>
      </c>
      <c r="BG5" s="386" t="s">
        <v>1967</v>
      </c>
      <c r="BH5" s="1337">
        <f t="shared" ca="1" si="3"/>
        <v>100.47897</v>
      </c>
      <c r="BI5" s="1467">
        <f t="shared" ca="1" si="4"/>
        <v>8.639636285468616E-2</v>
      </c>
      <c r="BJ5" s="385" t="s">
        <v>1597</v>
      </c>
      <c r="BL5" s="386" t="s">
        <v>1885</v>
      </c>
      <c r="BM5" s="387" t="s">
        <v>1886</v>
      </c>
      <c r="BN5" s="285">
        <f ca="1">SUM(BN28:BN35)/BN4</f>
        <v>4.9897585088223194E-2</v>
      </c>
      <c r="BO5" s="285">
        <f t="shared" ref="BO5" ca="1" si="85">SUM(BO28:BO35)/BO4</f>
        <v>5.6509125806898222E-2</v>
      </c>
      <c r="BP5" s="285">
        <f t="shared" ref="BP5" ca="1" si="86">SUM(BP28:BP35)/BP4</f>
        <v>0</v>
      </c>
      <c r="BQ5" s="285">
        <f t="shared" ref="BQ5" ca="1" si="87">SUM(BQ28:BQ35)/BQ4</f>
        <v>0.25000000047441756</v>
      </c>
      <c r="BR5" s="285">
        <f t="shared" ref="BR5" ca="1" si="88">SUM(BR28:BR35)/BR4</f>
        <v>0</v>
      </c>
      <c r="BT5" s="385"/>
      <c r="BU5" s="386"/>
      <c r="BV5" s="393"/>
      <c r="BW5" s="386" t="s">
        <v>1973</v>
      </c>
      <c r="BX5" s="1337">
        <f t="shared" ca="1" si="6"/>
        <v>7.4569986999999998</v>
      </c>
      <c r="BY5" s="1467">
        <f t="shared" ca="1" si="7"/>
        <v>6.4118647463456578E-3</v>
      </c>
      <c r="BZ5" s="385" t="s">
        <v>3222</v>
      </c>
      <c r="CB5" s="386" t="s">
        <v>1885</v>
      </c>
      <c r="CC5" s="387" t="s">
        <v>1886</v>
      </c>
      <c r="CD5" s="285">
        <f ca="1">SUM(CD28:CD35)/CD4</f>
        <v>0.10769721034106455</v>
      </c>
      <c r="CE5" s="285">
        <f t="shared" ref="CE5" ca="1" si="89">SUM(CE28:CE35)/CE4</f>
        <v>0.10769721034106455</v>
      </c>
      <c r="CF5" s="285">
        <f t="shared" ref="CF5" ca="1" si="90">SUM(CF28:CF35)/CF4</f>
        <v>4.9897585088223194E-2</v>
      </c>
      <c r="CG5" s="285">
        <f t="shared" ref="CG5" ca="1" si="91">SUM(CG28:CG35)/CG4</f>
        <v>5.6509125806898222E-2</v>
      </c>
      <c r="CH5" s="285">
        <f t="shared" ref="CH5" ca="1" si="92">SUM(CH28:CH35)/CH4</f>
        <v>0.10597861746018442</v>
      </c>
      <c r="CI5" s="285">
        <f t="shared" ref="CI5" ca="1" si="93">SUM(CI28:CI35)/CI4</f>
        <v>0.24999999947286941</v>
      </c>
      <c r="CJ5" s="285">
        <f t="shared" ref="CJ5" ca="1" si="94">SUM(CJ28:CJ35)/CJ4</f>
        <v>0</v>
      </c>
      <c r="CK5" s="285">
        <f t="shared" ref="CK5" ca="1" si="95">SUM(CK28:CK35)/CK4</f>
        <v>5.4777150699327058E-2</v>
      </c>
      <c r="CL5" s="285">
        <f t="shared" ref="CL5" ca="1" si="96">SUM(CL28:CL35)/CL4</f>
        <v>0</v>
      </c>
      <c r="CM5" s="285">
        <f t="shared" ref="CM5" ca="1" si="97">SUM(CM28:CM35)/CM4</f>
        <v>5.2585262696641842E-2</v>
      </c>
      <c r="CN5" s="285">
        <f t="shared" ref="CN5" ca="1" si="98">SUM(CN28:CN35)/CN4</f>
        <v>5.1474844178977353E-2</v>
      </c>
      <c r="CO5" s="285">
        <f t="shared" ref="CO5" ca="1" si="99">SUM(CO28:CO35)/CO4</f>
        <v>0</v>
      </c>
      <c r="CQ5" s="385" t="s">
        <v>3340</v>
      </c>
      <c r="CR5" s="386" t="s">
        <v>3339</v>
      </c>
      <c r="CS5" s="1467">
        <f ca="1">VLOOKUP(CQ5,INDIRECT(LU_HEAT),2,FALSE)</f>
        <v>4.4207615100000002</v>
      </c>
      <c r="CT5" s="386" t="s">
        <v>1978</v>
      </c>
      <c r="CU5" s="1337">
        <f t="shared" ca="1" si="9"/>
        <v>106.46588800000001</v>
      </c>
      <c r="CV5" s="1467">
        <f t="shared" ca="1" si="10"/>
        <v>9.1544185726569222E-2</v>
      </c>
      <c r="CW5" s="385" t="s">
        <v>673</v>
      </c>
      <c r="CY5" s="386" t="s">
        <v>1885</v>
      </c>
      <c r="CZ5" s="387" t="s">
        <v>1886</v>
      </c>
      <c r="DA5" s="285">
        <f ca="1">SUM(DA28:DA35)/DA4</f>
        <v>5.116284266727146E-3</v>
      </c>
      <c r="DB5" s="285">
        <f t="shared" ref="DB5" ca="1" si="100">SUM(DB28:DB35)/DB4</f>
        <v>0.25000000031805741</v>
      </c>
      <c r="DC5" s="285">
        <f t="shared" ref="DC5" ca="1" si="101">SUM(DC28:DC35)/DC4</f>
        <v>0</v>
      </c>
      <c r="DD5" s="285">
        <f t="shared" ref="DD5" ca="1" si="102">SUM(DD28:DD35)/DD4</f>
        <v>0</v>
      </c>
      <c r="DE5" s="285">
        <f t="shared" ref="DE5" ca="1" si="103">SUM(DE28:DE35)/DE4</f>
        <v>5.3075914698167997E-2</v>
      </c>
      <c r="DF5" s="285">
        <f t="shared" ref="DF5" ca="1" si="104">SUM(DF28:DF35)/DF4</f>
        <v>0</v>
      </c>
      <c r="DG5" s="285">
        <f t="shared" ref="DG5" ca="1" si="105">SUM(DG28:DG35)/DG4</f>
        <v>0</v>
      </c>
      <c r="DH5" s="285">
        <f t="shared" ref="DH5" ca="1" si="106">SUM(DH28:DH35)/DH4</f>
        <v>0</v>
      </c>
      <c r="DI5" s="285">
        <f t="shared" ref="DI5" ca="1" si="107">SUM(DI28:DI35)/DI4</f>
        <v>0</v>
      </c>
      <c r="DJ5" s="285">
        <f t="shared" ref="DJ5" ca="1" si="108">SUM(DJ28:DJ35)/DJ4</f>
        <v>0</v>
      </c>
      <c r="DL5" s="385" t="s">
        <v>3232</v>
      </c>
      <c r="DM5" s="386" t="s">
        <v>1981</v>
      </c>
      <c r="DN5" s="1467">
        <f ca="1">VLOOKUP(DL5,INDIRECT(LU_HEAT),2,FALSE)</f>
        <v>0.46828248000000006</v>
      </c>
      <c r="DO5" s="386" t="s">
        <v>1984</v>
      </c>
      <c r="DP5" s="1337">
        <f t="shared" ca="1" si="12"/>
        <v>7.0772470700000006E-2</v>
      </c>
      <c r="DQ5" s="1467">
        <f t="shared" ca="1" si="13"/>
        <v>6.0853371195184868E-5</v>
      </c>
      <c r="DR5" s="385" t="s">
        <v>3234</v>
      </c>
      <c r="DT5" s="386" t="s">
        <v>1885</v>
      </c>
      <c r="DU5" s="387" t="s">
        <v>1886</v>
      </c>
      <c r="DV5" s="285">
        <f ca="1">SUM(DV28:DV35)/DV4</f>
        <v>0</v>
      </c>
      <c r="DW5" s="285">
        <f t="shared" ref="DW5" ca="1" si="109">SUM(DW28:DW35)/DW4</f>
        <v>0</v>
      </c>
      <c r="DX5" s="285">
        <f t="shared" ref="DX5" ca="1" si="110">SUM(DX28:DX35)/DX4</f>
        <v>5.1162842583631169E-3</v>
      </c>
      <c r="DY5" s="285">
        <f t="shared" ref="DY5" ca="1" si="111">SUM(DY28:DY35)/DY4</f>
        <v>5.116284266727146E-3</v>
      </c>
      <c r="DZ5" s="285">
        <f t="shared" ref="DZ5" ca="1" si="112">SUM(DZ28:DZ35)/DZ4</f>
        <v>0</v>
      </c>
      <c r="EA5" s="285">
        <f t="shared" ref="EA5" ca="1" si="113">SUM(EA28:EA35)/EA4</f>
        <v>5.3075914698167997E-2</v>
      </c>
      <c r="EB5" s="285">
        <f t="shared" ref="EB5" ca="1" si="114">SUM(EB28:EB35)/EB4</f>
        <v>5.1162842742351559E-3</v>
      </c>
      <c r="EC5" s="285">
        <f t="shared" ref="EC5" ca="1" si="115">SUM(EC28:EC35)/EC4</f>
        <v>0.17482517488137245</v>
      </c>
      <c r="ED5" s="285">
        <f t="shared" ref="ED5" ca="1" si="116">SUM(ED28:ED35)/ED4</f>
        <v>5.2585262696641842E-2</v>
      </c>
      <c r="EE5" s="285">
        <f t="shared" ref="EE5" ca="1" si="117">SUM(EE28:EE35)/EE4</f>
        <v>0</v>
      </c>
      <c r="EF5" s="285">
        <f t="shared" ref="EF5" ca="1" si="118">SUM(EF28:EF35)/EF4</f>
        <v>0</v>
      </c>
      <c r="EG5" s="285">
        <f t="shared" ref="EG5" ca="1" si="119">SUM(EG28:EG35)/EG4</f>
        <v>0</v>
      </c>
      <c r="EH5" s="285">
        <f t="shared" ref="EH5" ca="1" si="120">SUM(EH28:EH35)/EH4</f>
        <v>0</v>
      </c>
      <c r="EI5" s="285">
        <f t="shared" ref="EI5" ca="1" si="121">SUM(EI28:EI35)/EI4</f>
        <v>0.2500000001596091</v>
      </c>
      <c r="EJ5" s="285">
        <f t="shared" ref="EJ5" ca="1" si="122">SUM(EJ28:EJ35)/EJ4</f>
        <v>0</v>
      </c>
      <c r="EK5" s="285">
        <f t="shared" ref="EK5" ca="1" si="123">SUM(EK28:EK35)/EK4</f>
        <v>0</v>
      </c>
      <c r="EM5" s="385" t="s">
        <v>3342</v>
      </c>
      <c r="EN5" s="386" t="s">
        <v>3341</v>
      </c>
      <c r="EO5" s="1467">
        <f ca="1">VLOOKUP(EM5,INDIRECT(LU_HEAT),2,FALSE)</f>
        <v>-0.41438378999999997</v>
      </c>
      <c r="EP5" s="386" t="s">
        <v>1988</v>
      </c>
      <c r="EQ5" s="1337">
        <f ca="1">VLOOKUP(ES5,INDIRECT(LU_WORK),2,FALSE)</f>
        <v>1.7950457399999999</v>
      </c>
      <c r="ER5" s="1467">
        <f t="shared" ca="1" si="16"/>
        <v>1.543461513327601E-3</v>
      </c>
      <c r="ES5" s="385" t="s">
        <v>1229</v>
      </c>
      <c r="EU5" s="386" t="s">
        <v>1885</v>
      </c>
      <c r="EV5" s="387" t="s">
        <v>1886</v>
      </c>
      <c r="EW5" s="285">
        <f ca="1">SUM(EW28:EW35)/EW4</f>
        <v>5.1474844178977353E-2</v>
      </c>
      <c r="EX5" s="285">
        <f t="shared" ref="EX5" ca="1" si="124">SUM(EX28:EX35)/EX4</f>
        <v>5.1474844178977353E-2</v>
      </c>
      <c r="EY5" s="285">
        <f t="shared" ref="EY5" ca="1" si="125">SUM(EY28:EY35)/EY4</f>
        <v>5.9261408631100986E-2</v>
      </c>
      <c r="EZ5" s="285">
        <f t="shared" ref="EZ5" ca="1" si="126">SUM(EZ28:EZ35)/EZ4</f>
        <v>5.9261408631100986E-2</v>
      </c>
      <c r="FA5" s="285">
        <f t="shared" ref="FA5" ca="1" si="127">SUM(FA28:FA35)/FA4</f>
        <v>0</v>
      </c>
      <c r="FB5" s="285">
        <f t="shared" ref="FB5" ca="1" si="128">SUM(FB28:FB35)/FB4</f>
        <v>0</v>
      </c>
      <c r="FD5" s="385" t="s">
        <v>1185</v>
      </c>
      <c r="FE5" s="386" t="s">
        <v>1996</v>
      </c>
      <c r="FF5" s="1467">
        <f ca="1">VLOOKUP(FD5,INDIRECT(LU_HEAT),2,FALSE)</f>
        <v>29.419417100000004</v>
      </c>
      <c r="FG5" s="386" t="s">
        <v>1997</v>
      </c>
      <c r="FH5" s="1337">
        <f t="shared" ca="1" si="18"/>
        <v>0.50988591599999999</v>
      </c>
      <c r="FI5" s="1467">
        <f t="shared" ca="1" si="19"/>
        <v>4.3842297162510752E-4</v>
      </c>
      <c r="FJ5" s="385" t="s">
        <v>1234</v>
      </c>
      <c r="FL5" s="386" t="s">
        <v>1885</v>
      </c>
      <c r="FM5" s="387" t="s">
        <v>1886</v>
      </c>
      <c r="FN5" s="285">
        <f ca="1">SUM(FN28:FN35)/FN4</f>
        <v>0</v>
      </c>
      <c r="FO5" s="285">
        <f t="shared" ref="FO5" ca="1" si="129">SUM(FO28:FO35)/FO4</f>
        <v>0</v>
      </c>
      <c r="FP5" s="285">
        <f t="shared" ref="FP5" ca="1" si="130">SUM(FP28:FP35)/FP4</f>
        <v>0</v>
      </c>
      <c r="FQ5" s="285">
        <f t="shared" ref="FQ5" ca="1" si="131">SUM(FQ28:FQ35)/FQ4</f>
        <v>0</v>
      </c>
      <c r="FR5" s="285">
        <f t="shared" ref="FR5" ca="1" si="132">SUM(FR28:FR35)/FR4</f>
        <v>0</v>
      </c>
      <c r="FS5" s="285">
        <f t="shared" ref="FS5" ca="1" si="133">SUM(FS28:FS35)/FS4</f>
        <v>0</v>
      </c>
      <c r="FT5" s="285">
        <f t="shared" ref="FT5" ca="1" si="134">SUM(FT28:FT35)/FT4</f>
        <v>0</v>
      </c>
      <c r="FU5" s="285">
        <f t="shared" ref="FU5" ca="1" si="135">SUM(FU28:FU35)/FU4</f>
        <v>0</v>
      </c>
      <c r="FV5" s="285">
        <f t="shared" ref="FV5" ca="1" si="136">SUM(FV28:FV35)/FV4</f>
        <v>0</v>
      </c>
      <c r="FW5" s="285">
        <f t="shared" ref="FW5" ca="1" si="137">SUM(FW28:FW35)/FW4</f>
        <v>0</v>
      </c>
      <c r="FX5" s="285">
        <f t="shared" ref="FX5" ca="1" si="138">SUM(FX28:FX35)/FX4</f>
        <v>0</v>
      </c>
      <c r="FZ5" s="385" t="s">
        <v>1184</v>
      </c>
      <c r="GA5" s="386" t="s">
        <v>2002</v>
      </c>
      <c r="GB5" s="1467">
        <f ca="1">VLOOKUP(FZ5,INDIRECT(LU_HEAT),2,FALSE)</f>
        <v>-5.6251553799999998</v>
      </c>
      <c r="GC5" s="386" t="s">
        <v>2003</v>
      </c>
      <c r="GD5" s="1337">
        <f t="shared" ca="1" si="21"/>
        <v>8.4821878900000005</v>
      </c>
      <c r="GE5" s="1467">
        <f t="shared" ca="1" si="22"/>
        <v>7.2933687790197772E-3</v>
      </c>
      <c r="GF5" s="385" t="s">
        <v>1235</v>
      </c>
      <c r="GH5" s="386" t="s">
        <v>1885</v>
      </c>
      <c r="GI5" s="387" t="s">
        <v>1886</v>
      </c>
      <c r="GJ5" s="285">
        <f ca="1">SUM(GJ28:GJ35)/GJ4</f>
        <v>0</v>
      </c>
      <c r="GK5" s="285">
        <f t="shared" ref="GK5" ca="1" si="139">SUM(GK28:GK35)/GK4</f>
        <v>0</v>
      </c>
      <c r="GL5" s="285">
        <f t="shared" ref="GL5" ca="1" si="140">SUM(GL28:GL35)/GL4</f>
        <v>0</v>
      </c>
      <c r="GM5" s="285">
        <f t="shared" ref="GM5" ca="1" si="141">SUM(GM28:GM35)/GM4</f>
        <v>0</v>
      </c>
      <c r="GN5" s="285">
        <f t="shared" ref="GN5" ca="1" si="142">SUM(GN28:GN35)/GN4</f>
        <v>0</v>
      </c>
      <c r="GO5" s="285">
        <f t="shared" ref="GO5" ca="1" si="143">SUM(GO28:GO35)/GO4</f>
        <v>0</v>
      </c>
      <c r="GP5" s="285">
        <f t="shared" ref="GP5" ca="1" si="144">SUM(GP28:GP35)/GP4</f>
        <v>0</v>
      </c>
      <c r="GQ5" s="285">
        <f t="shared" ref="GQ5" ca="1" si="145">SUM(GQ28:GQ35)/GQ4</f>
        <v>0</v>
      </c>
      <c r="GS5" s="385" t="s">
        <v>346</v>
      </c>
      <c r="GT5" s="386" t="s">
        <v>2008</v>
      </c>
      <c r="GU5" s="1467">
        <f ca="1">VLOOKUP(GS5,INDIRECT(LU_HEAT),2,FALSE)</f>
        <v>-0.30052875499999998</v>
      </c>
      <c r="GV5" s="386"/>
      <c r="GW5" s="1337"/>
      <c r="GX5" s="393"/>
      <c r="GY5" s="385"/>
      <c r="HA5" s="386" t="s">
        <v>1885</v>
      </c>
      <c r="HB5" s="387" t="s">
        <v>1886</v>
      </c>
      <c r="HC5" s="285">
        <f ca="1">SUM(HC28:HC35)/HC4</f>
        <v>5.9261408631100986E-2</v>
      </c>
      <c r="HD5" s="285">
        <f t="shared" ref="HD5" ca="1" si="146">SUM(HD28:HD35)/HD4</f>
        <v>1.3069025822806622E-3</v>
      </c>
      <c r="HE5" s="285">
        <f t="shared" ref="HE5" ca="1" si="147">SUM(HE28:HE35)/HE4</f>
        <v>0</v>
      </c>
      <c r="HF5" s="285">
        <f t="shared" ref="HF5" ca="1" si="148">SUM(HF28:HF35)/HF4</f>
        <v>0</v>
      </c>
      <c r="HG5" s="285">
        <f t="shared" ref="HG5" ca="1" si="149">SUM(HG28:HG35)/HG4</f>
        <v>0.62274889913792164</v>
      </c>
      <c r="HH5" s="285">
        <f t="shared" ref="HH5" ca="1" si="150">SUM(HH28:HH35)/HH4</f>
        <v>1.3069025822806622E-3</v>
      </c>
      <c r="HJ5" s="385" t="s">
        <v>1594</v>
      </c>
      <c r="HK5" s="386" t="s">
        <v>2013</v>
      </c>
      <c r="HL5" s="1467">
        <f ca="1">VLOOKUP(HJ5,INDIRECT(LU_HEAT),2,FALSE)</f>
        <v>0.73393591899999999</v>
      </c>
      <c r="HM5" s="386" t="s">
        <v>2014</v>
      </c>
      <c r="HN5" s="1337">
        <f t="shared" ca="1" si="27"/>
        <v>10.9998322</v>
      </c>
      <c r="HO5" s="1467">
        <f t="shared" ca="1" si="28"/>
        <v>9.4581532244196048E-3</v>
      </c>
      <c r="HP5" s="385" t="s">
        <v>3241</v>
      </c>
      <c r="HR5" s="386" t="s">
        <v>1885</v>
      </c>
      <c r="HS5" s="387" t="s">
        <v>1886</v>
      </c>
      <c r="HT5" s="285">
        <f ca="1">SUM(HT28:HT35)/HT4</f>
        <v>0</v>
      </c>
      <c r="HU5" s="285">
        <f t="shared" ref="HU5" ca="1" si="151">SUM(HU28:HU35)/HU4</f>
        <v>1.3069025822806622E-3</v>
      </c>
      <c r="HV5" s="285">
        <f t="shared" ref="HV5" ca="1" si="152">SUM(HV28:HV35)/HV4</f>
        <v>1.1284801398293728E-3</v>
      </c>
      <c r="HW5" s="285">
        <f t="shared" ref="HW5" ca="1" si="153">SUM(HW28:HW35)/HW4</f>
        <v>1.1284801398293728E-3</v>
      </c>
      <c r="HX5" s="285">
        <f t="shared" ref="HX5" ca="1" si="154">SUM(HX28:HX35)/HX4</f>
        <v>1.0901633581263874E-3</v>
      </c>
      <c r="HY5" s="285">
        <f t="shared" ref="HY5" ca="1" si="155">SUM(HY28:HY35)/HY4</f>
        <v>4.0039209835731754E-2</v>
      </c>
      <c r="HZ5" s="285">
        <f t="shared" ref="HZ5" ca="1" si="156">SUM(HZ28:HZ35)/HZ4</f>
        <v>0</v>
      </c>
      <c r="IA5" s="285">
        <f t="shared" ref="IA5" ca="1" si="157">SUM(IA28:IA35)/IA4</f>
        <v>0</v>
      </c>
      <c r="IB5" s="285">
        <f t="shared" ref="IB5" ca="1" si="158">SUM(IB28:IB35)/IB4</f>
        <v>0</v>
      </c>
      <c r="IC5" s="285">
        <f t="shared" ref="IC5" ca="1" si="159">SUM(IC28:IC35)/IC4</f>
        <v>0</v>
      </c>
      <c r="ID5" s="285">
        <f t="shared" ref="ID5" ca="1" si="160">SUM(ID28:ID35)/ID4</f>
        <v>0</v>
      </c>
      <c r="IE5" s="285">
        <f t="shared" ref="IE5" ca="1" si="161">SUM(IE28:IE35)/IE4</f>
        <v>0</v>
      </c>
      <c r="IG5" s="385" t="s">
        <v>3143</v>
      </c>
      <c r="IH5" s="386" t="s">
        <v>3256</v>
      </c>
      <c r="II5" s="1467">
        <f ca="1">VLOOKUP(IG5,INDIRECT(LU_HEAT),2,FALSE)</f>
        <v>-1.73373658</v>
      </c>
      <c r="IJ5" s="386" t="s">
        <v>2023</v>
      </c>
      <c r="IK5" s="1337">
        <f t="shared" ca="1" si="30"/>
        <v>4.2627073299999996</v>
      </c>
      <c r="IL5" s="1467">
        <f t="shared" ca="1" si="31"/>
        <v>3.6652685554600171E-3</v>
      </c>
      <c r="IM5" s="385" t="s">
        <v>3258</v>
      </c>
      <c r="IO5" s="386" t="s">
        <v>1885</v>
      </c>
      <c r="IP5" s="387" t="s">
        <v>1886</v>
      </c>
      <c r="IQ5" s="285">
        <f ca="1">SUM(IQ28:IQ35)/IQ4</f>
        <v>1.0901633581263874E-3</v>
      </c>
      <c r="IR5" s="285">
        <f t="shared" ref="IR5" ca="1" si="162">SUM(IR28:IR35)/IR4</f>
        <v>4.0039209835731754E-2</v>
      </c>
      <c r="IS5" s="285">
        <f t="shared" ref="IS5" ca="1" si="163">SUM(IS28:IS35)/IS4</f>
        <v>1.0061789198236401E-2</v>
      </c>
      <c r="IT5" s="285">
        <f t="shared" ref="IT5:IU5" ca="1" si="164">SUM(IT28:IT35)/IT4</f>
        <v>1.7252897427493506E-2</v>
      </c>
      <c r="IU5" s="285">
        <f t="shared" ca="1" si="164"/>
        <v>9.3964185338514625E-4</v>
      </c>
      <c r="IV5" s="285">
        <f t="shared" ref="IV5" ca="1" si="165">SUM(IV28:IV35)/IV4</f>
        <v>8.5939674783855492E-3</v>
      </c>
      <c r="IW5" s="285">
        <f t="shared" ref="IW5" ca="1" si="166">SUM(IW28:IW35)/IW4</f>
        <v>1.0061789216722954E-2</v>
      </c>
      <c r="IX5" s="285">
        <f t="shared" ref="IX5" ca="1" si="167">SUM(IX28:IX35)/IX4</f>
        <v>0</v>
      </c>
      <c r="IY5" s="285">
        <f t="shared" ref="IY5" ca="1" si="168">SUM(IY28:IY35)/IY4</f>
        <v>0.20002041464395798</v>
      </c>
      <c r="IZ5" s="285">
        <f t="shared" ref="IZ5" ca="1" si="169">SUM(IZ28:IZ35)/IZ4</f>
        <v>0</v>
      </c>
      <c r="JA5" s="285">
        <f t="shared" ref="JA5" ca="1" si="170">SUM(JA28:JA35)/JA4</f>
        <v>1.0061789187741789E-2</v>
      </c>
      <c r="JB5" s="285">
        <f t="shared" ref="JB5" ca="1" si="171">SUM(JB28:JB35)/JB4</f>
        <v>0</v>
      </c>
      <c r="JC5" s="285">
        <f t="shared" ref="JC5" ca="1" si="172">SUM(JC28:JC35)/JC4</f>
        <v>0</v>
      </c>
      <c r="JD5" s="285">
        <f t="shared" ref="JD5" ca="1" si="173">SUM(JD28:JD35)/JD4</f>
        <v>0</v>
      </c>
      <c r="JE5" s="285">
        <f t="shared" ref="JE5" ca="1" si="174">SUM(JE28:JE35)/JE4</f>
        <v>0</v>
      </c>
      <c r="JF5" s="285">
        <f t="shared" ref="JF5" ca="1" si="175">SUM(JF28:JF35)/JF4</f>
        <v>0</v>
      </c>
      <c r="JG5" s="285">
        <f t="shared" ref="JG5" ca="1" si="176">SUM(JG28:JG35)/JG4</f>
        <v>0</v>
      </c>
      <c r="JH5" s="285">
        <f t="shared" ref="JH5" ca="1" si="177">SUM(JH28:JH35)/JH4</f>
        <v>0</v>
      </c>
      <c r="JJ5" s="385"/>
      <c r="JK5" s="386"/>
      <c r="JL5" s="393"/>
      <c r="JM5" s="189" t="s">
        <v>3366</v>
      </c>
      <c r="JN5" s="1337">
        <f t="shared" ref="JN5" ca="1" si="178">VLOOKUP(JP5,INDIRECT(LU_WORK),2,FALSE)</f>
        <v>0.57980066600000002</v>
      </c>
      <c r="JO5" s="1467">
        <f t="shared" ref="JO5" ca="1" si="179">JN5/4.1868*3600/1000000</f>
        <v>4.985388357695615E-4</v>
      </c>
      <c r="JP5" s="385" t="s">
        <v>3367</v>
      </c>
      <c r="JR5" s="386" t="s">
        <v>1885</v>
      </c>
      <c r="JS5" s="387" t="s">
        <v>1886</v>
      </c>
      <c r="JT5" s="285">
        <f ca="1">SUM(JT28:JT35)/JT4</f>
        <v>0.25000000047441756</v>
      </c>
      <c r="JU5" s="285">
        <f t="shared" ref="JU5" ca="1" si="180">SUM(JU28:JU35)/JU4</f>
        <v>0.24999999947286941</v>
      </c>
      <c r="JV5" s="285">
        <f t="shared" ref="JV5" ca="1" si="181">SUM(JV28:JV35)/JV4</f>
        <v>0.25000000031805741</v>
      </c>
      <c r="JW5" s="285">
        <f t="shared" ref="JW5" ca="1" si="182">SUM(JW28:JW35)/JW4</f>
        <v>0.2500000001596091</v>
      </c>
      <c r="JX5" s="285">
        <f t="shared" ref="JX5" ca="1" si="183">SUM(JX28:JX35)/JX4</f>
        <v>0</v>
      </c>
      <c r="JY5" s="285">
        <f t="shared" ref="JY5" ca="1" si="184">SUM(JY28:JY35)/JY4</f>
        <v>0</v>
      </c>
      <c r="JZ5" s="285">
        <f t="shared" ref="JZ5" ca="1" si="185">SUM(JZ28:JZ35)/JZ4</f>
        <v>0</v>
      </c>
      <c r="KA5" s="285">
        <f t="shared" ref="KA5" ca="1" si="186">SUM(KA28:KA35)/KA4</f>
        <v>0</v>
      </c>
      <c r="KB5" s="285">
        <f t="shared" ref="KB5" ca="1" si="187">SUM(KB28:KB35)/KB4</f>
        <v>0</v>
      </c>
      <c r="KC5" s="285">
        <f t="shared" ref="KC5" ca="1" si="188">SUM(KC28:KC35)/KC4</f>
        <v>0.25</v>
      </c>
      <c r="KE5" s="386" t="s">
        <v>2028</v>
      </c>
      <c r="KF5" s="1337">
        <f t="shared" ca="1" si="38"/>
        <v>0.52796476199999998</v>
      </c>
      <c r="KG5" s="1467">
        <f t="shared" ca="1" si="39"/>
        <v>4.5396798108340505E-4</v>
      </c>
      <c r="KH5" s="385" t="s">
        <v>1248</v>
      </c>
      <c r="KJ5" s="386" t="s">
        <v>1885</v>
      </c>
      <c r="KK5" s="387" t="s">
        <v>1886</v>
      </c>
      <c r="KL5" s="285">
        <f ca="1">SUM(KL28:KL35)/KL4</f>
        <v>0</v>
      </c>
      <c r="KM5" s="285">
        <f t="shared" ref="KM5" ca="1" si="189">SUM(KM28:KM35)/KM4</f>
        <v>0</v>
      </c>
      <c r="KN5" s="285">
        <f t="shared" ref="KN5" ca="1" si="190">SUM(KN28:KN35)/KN4</f>
        <v>0</v>
      </c>
      <c r="KO5" s="285">
        <f t="shared" ref="KO5" ca="1" si="191">SUM(KO28:KO35)/KO4</f>
        <v>0</v>
      </c>
      <c r="KP5" s="285">
        <f t="shared" ref="KP5" ca="1" si="192">SUM(KP28:KP35)/KP4</f>
        <v>0</v>
      </c>
      <c r="KQ5" s="285">
        <f t="shared" ref="KQ5" ca="1" si="193">SUM(KQ28:KQ35)/KQ4</f>
        <v>0</v>
      </c>
      <c r="KR5" s="285">
        <f t="shared" ref="KR5" ca="1" si="194">SUM(KR28:KR35)/KR4</f>
        <v>0</v>
      </c>
      <c r="KT5" s="386" t="s">
        <v>2034</v>
      </c>
      <c r="KU5" s="1337">
        <f t="shared" ca="1" si="41"/>
        <v>0.20342069800000001</v>
      </c>
      <c r="KV5" s="1467">
        <f t="shared" ca="1" si="42"/>
        <v>1.7491031642304387E-4</v>
      </c>
      <c r="KW5" s="385" t="s">
        <v>1246</v>
      </c>
      <c r="KY5" s="386" t="s">
        <v>1885</v>
      </c>
      <c r="KZ5" s="387" t="s">
        <v>1886</v>
      </c>
      <c r="LA5" s="285">
        <f ca="1">SUM(LA28:LA35)/LA4</f>
        <v>0</v>
      </c>
      <c r="LB5" s="285">
        <f t="shared" ref="LB5" ca="1" si="195">SUM(LB28:LB35)/LB4</f>
        <v>0</v>
      </c>
      <c r="LC5" s="285">
        <f t="shared" ref="LC5" ca="1" si="196">SUM(LC28:LC35)/LC4</f>
        <v>0</v>
      </c>
      <c r="LD5" s="285">
        <f t="shared" ref="LD5" ca="1" si="197">SUM(LD28:LD35)/LD4</f>
        <v>0</v>
      </c>
      <c r="LE5" s="285">
        <f t="shared" ref="LE5" ca="1" si="198">SUM(LE28:LE35)/LE4</f>
        <v>0</v>
      </c>
      <c r="LF5" s="285">
        <f t="shared" ref="LF5" ca="1" si="199">SUM(LF28:LF35)/LF4</f>
        <v>1.1599392396622618E-2</v>
      </c>
      <c r="LG5" s="285">
        <f t="shared" ref="LG5" ca="1" si="200">SUM(LG28:LG35)/LG4</f>
        <v>1.1599392396622618E-2</v>
      </c>
      <c r="LH5" s="285">
        <f t="shared" ref="LH5" ca="1" si="201">SUM(LH28:LH35)/LH4</f>
        <v>1</v>
      </c>
      <c r="LI5" s="285">
        <f t="shared" ref="LI5" ca="1" si="202">SUM(LI28:LI35)/LI4</f>
        <v>0</v>
      </c>
      <c r="LJ5" s="285">
        <f t="shared" ref="LJ5" ca="1" si="203">SUM(LJ28:LJ35)/LJ4</f>
        <v>0</v>
      </c>
      <c r="LK5" s="285">
        <f t="shared" ref="LK5" ca="1" si="204">SUM(LK28:LK35)/LK4</f>
        <v>1</v>
      </c>
      <c r="LM5" s="385"/>
      <c r="LN5" s="386"/>
      <c r="LO5" s="393"/>
      <c r="LP5" s="386" t="s">
        <v>2038</v>
      </c>
      <c r="LQ5" s="1337">
        <f t="shared" ca="1" si="44"/>
        <v>595.99544500000002</v>
      </c>
      <c r="LR5" s="1467">
        <f t="shared" ca="1" si="45"/>
        <v>0.51246383920894245</v>
      </c>
      <c r="LS5" s="385" t="s">
        <v>3285</v>
      </c>
      <c r="LU5" s="386" t="s">
        <v>1885</v>
      </c>
      <c r="LV5" s="387" t="s">
        <v>1886</v>
      </c>
      <c r="LW5" s="285">
        <f ca="1">SUM(LW28:LW35)/LW4</f>
        <v>0</v>
      </c>
      <c r="LX5" s="285">
        <f ca="1">SUM(LX28:LX35)/LX4</f>
        <v>0</v>
      </c>
      <c r="LY5" s="285">
        <f t="shared" ref="LY5" ca="1" si="205">SUM(LY28:LY35)/LY4</f>
        <v>0.62274889913792164</v>
      </c>
      <c r="LZ5" s="285">
        <f t="shared" ref="LZ5" ca="1" si="206">SUM(LZ28:LZ35)/LZ4</f>
        <v>0.20002041464395798</v>
      </c>
      <c r="MA5" s="285">
        <f t="shared" ref="MA5" ca="1" si="207">SUM(MA28:MA35)/MA4</f>
        <v>0.53363284294346969</v>
      </c>
      <c r="MB5" s="285">
        <f t="shared" ref="MB5" ca="1" si="208">SUM(MB28:MB35)/MB4</f>
        <v>0</v>
      </c>
      <c r="MC5" s="285">
        <f t="shared" ref="MC5" ca="1" si="209">SUM(MC28:MC35)/MC4</f>
        <v>1.1599392396622618E-2</v>
      </c>
      <c r="MD5" s="285">
        <f t="shared" ref="MD5" ca="1" si="210">SUM(MD28:MD35)/MD4</f>
        <v>0</v>
      </c>
      <c r="ME5" s="285">
        <f t="shared" ref="ME5" ca="1" si="211">SUM(ME28:ME35)/ME4</f>
        <v>0</v>
      </c>
      <c r="MF5" s="285">
        <f t="shared" ref="MF5" ca="1" si="212">SUM(MF28:MF35)/MF4</f>
        <v>0</v>
      </c>
      <c r="MG5" s="285">
        <f t="shared" ref="MG5" ca="1" si="213">SUM(MG28:MG35)/MG4</f>
        <v>0</v>
      </c>
      <c r="MH5" s="285">
        <f t="shared" ref="MH5" ca="1" si="214">SUM(MH28:MH35)/MH4</f>
        <v>0</v>
      </c>
      <c r="MI5" s="285">
        <f t="shared" ref="MI5" ca="1" si="215">SUM(MI28:MI35)/MI4</f>
        <v>0</v>
      </c>
      <c r="MJ5" s="285">
        <f t="shared" ref="MJ5" ca="1" si="216">SUM(MJ28:MJ35)/MJ4</f>
        <v>0</v>
      </c>
      <c r="MK5" s="285">
        <f t="shared" ref="MK5" ca="1" si="217">SUM(MK28:MK35)/MK4</f>
        <v>0</v>
      </c>
      <c r="ML5" s="285">
        <f t="shared" ref="ML5" ca="1" si="218">SUM(ML28:ML35)/ML4</f>
        <v>0</v>
      </c>
      <c r="MM5" s="285">
        <f t="shared" ref="MM5" ca="1" si="219">SUM(MM28:MM35)/MM4</f>
        <v>0</v>
      </c>
      <c r="MN5" s="285">
        <f t="shared" ref="MN5" ca="1" si="220">SUM(MN28:MN35)/MN4</f>
        <v>0</v>
      </c>
      <c r="MO5" s="285">
        <f t="shared" ref="MO5" ca="1" si="221">SUM(MO28:MO35)/MO4</f>
        <v>0</v>
      </c>
      <c r="MQ5" s="385" t="s">
        <v>3289</v>
      </c>
      <c r="MR5" s="386" t="s">
        <v>1592</v>
      </c>
      <c r="MS5" s="1467">
        <f ca="1">VLOOKUP(MQ5,INDIRECT(LU_HEAT),2,FALSE)</f>
        <v>15.457730100000001</v>
      </c>
      <c r="MT5" s="386" t="s">
        <v>2039</v>
      </c>
      <c r="MU5" s="1337">
        <f t="shared" ca="1" si="49"/>
        <v>20.096170300000001</v>
      </c>
      <c r="MV5" s="1467">
        <f t="shared" ca="1" si="50"/>
        <v>1.7279596130696476E-2</v>
      </c>
      <c r="MW5" s="385" t="s">
        <v>335</v>
      </c>
      <c r="MY5" s="386" t="s">
        <v>1885</v>
      </c>
      <c r="MZ5" s="387" t="s">
        <v>1886</v>
      </c>
      <c r="NA5" s="285">
        <f ca="1">SUM(NA28:NA35)/NA4</f>
        <v>0</v>
      </c>
      <c r="NB5" s="285">
        <f t="shared" ref="NB5" ca="1" si="222">SUM(NB28:NB35)/NB4</f>
        <v>0</v>
      </c>
      <c r="NC5" s="285">
        <f t="shared" ref="NC5" ca="1" si="223">SUM(NC28:NC35)/NC4</f>
        <v>0</v>
      </c>
      <c r="ND5" s="285">
        <f t="shared" ref="ND5" ca="1" si="224">SUM(ND28:ND35)/ND4</f>
        <v>0</v>
      </c>
      <c r="NE5" s="285">
        <f t="shared" ref="NE5" ca="1" si="225">SUM(NE28:NE35)/NE4</f>
        <v>0</v>
      </c>
      <c r="NF5" s="285">
        <f t="shared" ref="NF5" ca="1" si="226">SUM(NF28:NF35)/NF4</f>
        <v>0</v>
      </c>
      <c r="NG5" s="285">
        <f t="shared" ref="NG5" ca="1" si="227">SUM(NG28:NG35)/NG4</f>
        <v>0</v>
      </c>
      <c r="NH5" s="285">
        <v>0</v>
      </c>
      <c r="NI5" s="285">
        <f t="shared" ref="NI5" ca="1" si="228">SUM(NI28:NI35)/NI4</f>
        <v>0</v>
      </c>
      <c r="NJ5" s="285">
        <f t="shared" ref="NJ5" ca="1" si="229">SUM(NJ28:NJ35)/NJ4</f>
        <v>0</v>
      </c>
      <c r="NK5" s="285">
        <f t="shared" ref="NK5" ca="1" si="230">SUM(NK28:NK35)/NK4</f>
        <v>0</v>
      </c>
      <c r="NL5" s="285">
        <f t="shared" ref="NL5" ca="1" si="231">SUM(NL28:NL35)/NL4</f>
        <v>0</v>
      </c>
      <c r="NM5" s="285">
        <f t="shared" ref="NM5" ca="1" si="232">SUM(NM28:NM35)/NM4</f>
        <v>0</v>
      </c>
      <c r="NN5" s="285">
        <f t="shared" ref="NN5" ca="1" si="233">SUM(NN28:NN35)/NN4</f>
        <v>0</v>
      </c>
      <c r="NO5" s="285">
        <f t="shared" ref="NO5" ca="1" si="234">SUM(NO28:NO35)/NO4</f>
        <v>0</v>
      </c>
      <c r="NP5" s="285">
        <f t="shared" ref="NP5" ca="1" si="235">SUM(NP28:NP35)/NP4</f>
        <v>0</v>
      </c>
      <c r="NR5" s="385"/>
      <c r="NS5" s="386"/>
      <c r="NT5" s="393"/>
      <c r="NU5" s="386" t="s">
        <v>2042</v>
      </c>
      <c r="NV5" s="1337">
        <f t="shared" ca="1" si="52"/>
        <v>9.3935314099999996</v>
      </c>
      <c r="NW5" s="1467">
        <f t="shared" ca="1" si="53"/>
        <v>8.0769831556319859E-3</v>
      </c>
      <c r="NX5" s="385" t="s">
        <v>336</v>
      </c>
      <c r="NZ5" s="394"/>
      <c r="OA5" s="386" t="s">
        <v>2046</v>
      </c>
      <c r="OB5" s="1337">
        <f t="shared" ca="1" si="54"/>
        <v>10</v>
      </c>
      <c r="OC5" s="1467">
        <f t="shared" ca="1" si="55"/>
        <v>8.5984522785898555E-3</v>
      </c>
      <c r="OD5" s="385" t="s">
        <v>3296</v>
      </c>
      <c r="OF5" s="386" t="s">
        <v>1885</v>
      </c>
      <c r="OG5" s="387" t="s">
        <v>1886</v>
      </c>
      <c r="OH5" s="285">
        <f ca="1">SUM(OH28:OH35)/OH4</f>
        <v>0</v>
      </c>
      <c r="OI5" s="285">
        <f t="shared" ref="OI5" ca="1" si="236">SUM(OI28:OI35)/OI4</f>
        <v>0</v>
      </c>
      <c r="OJ5" s="285">
        <f t="shared" ref="OJ5" ca="1" si="237">SUM(OJ28:OJ35)/OJ4</f>
        <v>0</v>
      </c>
      <c r="OK5" s="285">
        <f t="shared" ref="OK5" ca="1" si="238">SUM(OK28:OK35)/OK4</f>
        <v>0</v>
      </c>
      <c r="OL5" s="285">
        <f t="shared" ref="OL5" ca="1" si="239">SUM(OL28:OL35)/OL4</f>
        <v>0</v>
      </c>
      <c r="OM5" s="285">
        <f t="shared" ref="OM5" ca="1" si="240">SUM(OM28:OM35)/OM4</f>
        <v>0</v>
      </c>
      <c r="ON5" s="285">
        <f t="shared" ref="ON5" ca="1" si="241">SUM(ON28:ON35)/ON4</f>
        <v>0</v>
      </c>
      <c r="OO5" s="285">
        <f t="shared" ref="OO5" ca="1" si="242">SUM(OO28:OO35)/OO4</f>
        <v>0</v>
      </c>
      <c r="OQ5" s="385" t="s">
        <v>3300</v>
      </c>
      <c r="OR5" s="386" t="s">
        <v>3299</v>
      </c>
      <c r="OS5" s="1467">
        <f ca="1">VLOOKUP(OQ5,INDIRECT(LU_HEAT),2,FALSE)</f>
        <v>97.388013599999994</v>
      </c>
      <c r="OT5" s="386" t="s">
        <v>2051</v>
      </c>
      <c r="OU5" s="1337">
        <f t="shared" ca="1" si="57"/>
        <v>186</v>
      </c>
      <c r="OV5" s="1467">
        <f t="shared" ca="1" si="58"/>
        <v>0.1599312123817713</v>
      </c>
      <c r="OW5" s="385" t="s">
        <v>1607</v>
      </c>
      <c r="OY5" s="386" t="s">
        <v>1885</v>
      </c>
      <c r="OZ5" s="387" t="s">
        <v>1886</v>
      </c>
      <c r="PA5" s="285">
        <f ca="1">SUM(PA28:PA35)/PA4</f>
        <v>0</v>
      </c>
      <c r="PB5" s="285">
        <f t="shared" ref="PB5" ca="1" si="243">SUM(PB28:PB35)/PB4</f>
        <v>0</v>
      </c>
      <c r="PC5" s="285">
        <f t="shared" ref="PC5" ca="1" si="244">SUM(PC28:PC35)/PC4</f>
        <v>0</v>
      </c>
      <c r="PD5" s="285">
        <f t="shared" ref="PD5" ca="1" si="245">SUM(PD28:PD35)/PD4</f>
        <v>0</v>
      </c>
      <c r="PE5" s="285">
        <f t="shared" ref="PE5" ca="1" si="246">SUM(PE28:PE35)/PE4</f>
        <v>0</v>
      </c>
      <c r="PF5" s="285">
        <f t="shared" ref="PF5" ca="1" si="247">SUM(PF28:PF35)/PF4</f>
        <v>0</v>
      </c>
      <c r="PG5" s="285">
        <f t="shared" ref="PG5" ca="1" si="248">SUM(PG28:PG35)/PG4</f>
        <v>0</v>
      </c>
      <c r="PH5" s="285">
        <f t="shared" ref="PH5" ca="1" si="249">SUM(PH28:PH35)/PH4</f>
        <v>0</v>
      </c>
      <c r="PI5" s="285">
        <f t="shared" ref="PI5" ca="1" si="250">SUM(PI28:PI35)/PI4</f>
        <v>0</v>
      </c>
      <c r="PJ5" s="285">
        <f t="shared" ref="PJ5" ca="1" si="251">SUM(PJ28:PJ35)/PJ4</f>
        <v>0</v>
      </c>
      <c r="PK5" s="285">
        <f t="shared" ref="PK5" ca="1" si="252">SUM(PK28:PK35)/PK4</f>
        <v>0</v>
      </c>
      <c r="PM5" s="385"/>
      <c r="PN5" s="394"/>
      <c r="PO5" s="395"/>
      <c r="PP5" s="394"/>
      <c r="PQ5" s="1338"/>
      <c r="PR5" s="395"/>
      <c r="PS5" s="385"/>
      <c r="PU5" s="386" t="s">
        <v>1885</v>
      </c>
      <c r="PV5" s="387" t="s">
        <v>1886</v>
      </c>
      <c r="PW5" s="285">
        <f ca="1">SUM(PW28:PW35)/PW4</f>
        <v>0</v>
      </c>
      <c r="PX5" s="285">
        <f t="shared" ref="PX5" ca="1" si="253">SUM(PX28:PX35)/PX4</f>
        <v>0</v>
      </c>
      <c r="PY5" s="285">
        <f t="shared" ref="PY5" ca="1" si="254">SUM(PY28:PY35)/PY4</f>
        <v>0</v>
      </c>
      <c r="PZ5" s="285">
        <f t="shared" ref="PZ5" ca="1" si="255">SUM(PZ28:PZ35)/PZ4</f>
        <v>0</v>
      </c>
      <c r="QB5" s="394"/>
      <c r="QC5" s="394"/>
      <c r="QD5" s="395"/>
      <c r="QE5" s="394"/>
      <c r="QF5" s="1338"/>
      <c r="QG5" s="395"/>
      <c r="QH5" s="394"/>
      <c r="QI5" s="395"/>
      <c r="QJ5" s="896"/>
      <c r="QK5" s="896"/>
    </row>
    <row r="6" spans="1:453" x14ac:dyDescent="0.25">
      <c r="H6" s="386" t="s">
        <v>1767</v>
      </c>
      <c r="I6" s="387" t="s">
        <v>1886</v>
      </c>
      <c r="J6" s="285">
        <f ca="1">SUM(J12:J17)/J4</f>
        <v>0.12335999983557425</v>
      </c>
      <c r="K6" s="285">
        <f t="shared" ref="K6" ca="1" si="256">SUM(K12:K17)/K4</f>
        <v>0.12335999983557425</v>
      </c>
      <c r="M6" s="386" t="s">
        <v>1940</v>
      </c>
      <c r="N6" s="1337">
        <f t="shared" ca="1" si="66"/>
        <v>15.831284800000001</v>
      </c>
      <c r="O6" s="1467">
        <f t="shared" ca="1" si="67"/>
        <v>1.3612454686156492E-2</v>
      </c>
      <c r="P6" s="385" t="s">
        <v>1193</v>
      </c>
      <c r="R6" s="386" t="s">
        <v>1767</v>
      </c>
      <c r="S6" s="387" t="s">
        <v>1886</v>
      </c>
      <c r="T6" s="285">
        <f ca="1">SUM(T12:T17)/T4</f>
        <v>0.12335999983557425</v>
      </c>
      <c r="U6" s="285">
        <f t="shared" ref="U6:AD6" ca="1" si="257">SUM(U12:U17)/U4</f>
        <v>0</v>
      </c>
      <c r="V6" s="285">
        <f t="shared" ca="1" si="257"/>
        <v>2.8200550104819415E-5</v>
      </c>
      <c r="W6" s="285">
        <f t="shared" ca="1" si="257"/>
        <v>0</v>
      </c>
      <c r="X6" s="285">
        <f t="shared" ca="1" si="257"/>
        <v>0</v>
      </c>
      <c r="Y6" s="285">
        <f t="shared" ca="1" si="257"/>
        <v>0.11968106943116898</v>
      </c>
      <c r="Z6" s="285">
        <f t="shared" ca="1" si="257"/>
        <v>4.0155919716370619E-6</v>
      </c>
      <c r="AA6" s="285">
        <f t="shared" ca="1" si="257"/>
        <v>0.12778816179048327</v>
      </c>
      <c r="AB6" s="285">
        <f t="shared" ca="1" si="257"/>
        <v>0</v>
      </c>
      <c r="AC6" s="285">
        <f t="shared" ca="1" si="257"/>
        <v>2.9716224781425293E-5</v>
      </c>
      <c r="AD6" s="285">
        <f t="shared" ca="1" si="257"/>
        <v>0</v>
      </c>
      <c r="AF6" s="386" t="s">
        <v>1951</v>
      </c>
      <c r="AG6" s="1337">
        <f t="shared" ca="1" si="1"/>
        <v>159.99948800000001</v>
      </c>
      <c r="AH6" s="1467">
        <f t="shared" ca="1" si="69"/>
        <v>0.13757479621668098</v>
      </c>
      <c r="AI6" s="385" t="s">
        <v>1204</v>
      </c>
      <c r="AK6" s="386" t="s">
        <v>1767</v>
      </c>
      <c r="AL6" s="387" t="s">
        <v>1886</v>
      </c>
      <c r="AM6" s="285">
        <f ca="1">SUM(AM12:AM17)/AM4</f>
        <v>0</v>
      </c>
      <c r="AN6" s="285">
        <f t="shared" ref="AN6:BB6" ca="1" si="258">SUM(AN12:AN17)/AN4</f>
        <v>0</v>
      </c>
      <c r="AO6" s="285">
        <f t="shared" ref="AO6:AS6" ca="1" si="259">SUM(AO12:AO17)/AO4</f>
        <v>0.12778816179048327</v>
      </c>
      <c r="AP6" s="285">
        <f t="shared" ca="1" si="259"/>
        <v>0.12778816179048327</v>
      </c>
      <c r="AQ6" s="285">
        <f t="shared" ca="1" si="259"/>
        <v>1.6332638092697904E-6</v>
      </c>
      <c r="AR6" s="285">
        <f t="shared" ca="1" si="259"/>
        <v>8.7304428069886173E-9</v>
      </c>
      <c r="AS6" s="285">
        <f t="shared" ca="1" si="259"/>
        <v>2.0234320325134388E-5</v>
      </c>
      <c r="AT6" s="285">
        <f t="shared" ca="1" si="258"/>
        <v>6.5711280837663998E-10</v>
      </c>
      <c r="AU6" s="285">
        <f t="shared" ca="1" si="258"/>
        <v>1.4128273648404841E-6</v>
      </c>
      <c r="AV6" s="285">
        <f t="shared" ca="1" si="258"/>
        <v>0.13415846186642016</v>
      </c>
      <c r="AW6" s="285">
        <f t="shared" ca="1" si="258"/>
        <v>6.5711280837663998E-10</v>
      </c>
      <c r="AX6" s="285">
        <f t="shared" ca="1" si="258"/>
        <v>3.0338428540743016E-6</v>
      </c>
      <c r="AY6" s="285">
        <f t="shared" ca="1" si="258"/>
        <v>0</v>
      </c>
      <c r="AZ6" s="285">
        <f t="shared" ca="1" si="258"/>
        <v>0</v>
      </c>
      <c r="BA6" s="285">
        <f t="shared" ca="1" si="258"/>
        <v>0</v>
      </c>
      <c r="BB6" s="285">
        <f t="shared" ca="1" si="258"/>
        <v>9.6502327532839549E-2</v>
      </c>
      <c r="BD6" s="385"/>
      <c r="BE6" s="386"/>
      <c r="BF6" s="393"/>
      <c r="BG6" s="386" t="s">
        <v>1968</v>
      </c>
      <c r="BH6" s="1337">
        <f t="shared" ca="1" si="3"/>
        <v>89.999712000000002</v>
      </c>
      <c r="BI6" s="1467">
        <f t="shared" ca="1" si="4"/>
        <v>7.7385822871883059E-2</v>
      </c>
      <c r="BJ6" s="385" t="s">
        <v>1216</v>
      </c>
      <c r="BL6" s="386" t="s">
        <v>1767</v>
      </c>
      <c r="BM6" s="387" t="s">
        <v>1886</v>
      </c>
      <c r="BN6" s="285">
        <f ca="1">SUM(BN12:BN17)/BN4</f>
        <v>0.15559592647766304</v>
      </c>
      <c r="BO6" s="285">
        <f t="shared" ref="BO6:BR6" ca="1" si="260">SUM(BO12:BO17)/BO4</f>
        <v>6.2846067475412618E-2</v>
      </c>
      <c r="BP6" s="285">
        <f t="shared" ca="1" si="260"/>
        <v>7.3294232402934391E-9</v>
      </c>
      <c r="BQ6" s="285">
        <f t="shared" ca="1" si="260"/>
        <v>0.24750000033683647</v>
      </c>
      <c r="BR6" s="285">
        <f t="shared" ca="1" si="260"/>
        <v>1</v>
      </c>
      <c r="BT6" s="385"/>
      <c r="BU6" s="386"/>
      <c r="BV6" s="393"/>
      <c r="BW6" s="386" t="s">
        <v>1974</v>
      </c>
      <c r="BX6" s="1337">
        <f t="shared" ca="1" si="6"/>
        <v>7.46500656</v>
      </c>
      <c r="BY6" s="1467">
        <f t="shared" ca="1" si="7"/>
        <v>6.4187502665520209E-3</v>
      </c>
      <c r="BZ6" s="385" t="s">
        <v>3223</v>
      </c>
      <c r="CB6" s="386" t="s">
        <v>1767</v>
      </c>
      <c r="CC6" s="387" t="s">
        <v>1886</v>
      </c>
      <c r="CD6" s="285">
        <f ca="1">SUM(CD12:CD17)/CD4</f>
        <v>9.6502327532839549E-2</v>
      </c>
      <c r="CE6" s="285">
        <f t="shared" ref="CE6:CO6" ca="1" si="261">SUM(CE12:CE17)/CE4</f>
        <v>9.6502327532839549E-2</v>
      </c>
      <c r="CF6" s="285">
        <f t="shared" ca="1" si="261"/>
        <v>0.15559592647766304</v>
      </c>
      <c r="CG6" s="285">
        <f t="shared" ca="1" si="261"/>
        <v>6.2846067475412618E-2</v>
      </c>
      <c r="CH6" s="285">
        <f t="shared" ca="1" si="261"/>
        <v>9.3584783428643126E-2</v>
      </c>
      <c r="CI6" s="285">
        <f t="shared" ca="1" si="261"/>
        <v>0.24750000039534795</v>
      </c>
      <c r="CJ6" s="285">
        <f t="shared" ca="1" si="261"/>
        <v>1</v>
      </c>
      <c r="CK6" s="285">
        <f t="shared" ca="1" si="261"/>
        <v>5.7570200948957734E-2</v>
      </c>
      <c r="CL6" s="285">
        <f t="shared" ca="1" si="261"/>
        <v>2.0096376829526646E-8</v>
      </c>
      <c r="CM6" s="285">
        <f t="shared" ca="1" si="261"/>
        <v>2.9423370104657387E-3</v>
      </c>
      <c r="CN6" s="285">
        <f t="shared" ca="1" si="261"/>
        <v>5.409951291631044E-2</v>
      </c>
      <c r="CO6" s="285">
        <f t="shared" ca="1" si="261"/>
        <v>1.4717916881905522E-8</v>
      </c>
      <c r="CQ6" s="385" t="s">
        <v>3228</v>
      </c>
      <c r="CR6" s="386" t="s">
        <v>3227</v>
      </c>
      <c r="CS6" s="1467">
        <f ca="1">VLOOKUP(CQ6,INDIRECT(LU_HEAT),2,FALSE)</f>
        <v>5.9511209999999997</v>
      </c>
      <c r="CT6" s="386" t="s">
        <v>1979</v>
      </c>
      <c r="CU6" s="1337">
        <f t="shared" ca="1" si="9"/>
        <v>55.279136700000002</v>
      </c>
      <c r="CV6" s="1467">
        <f t="shared" ca="1" si="10"/>
        <v>4.7531501891659507E-2</v>
      </c>
      <c r="CW6" s="385" t="s">
        <v>1221</v>
      </c>
      <c r="CY6" s="386" t="s">
        <v>1767</v>
      </c>
      <c r="CZ6" s="387" t="s">
        <v>1886</v>
      </c>
      <c r="DA6" s="285">
        <f ca="1">SUM(DA12:DA17)/DA4</f>
        <v>0.15330970369634914</v>
      </c>
      <c r="DB6" s="285">
        <f t="shared" ref="DB6:DJ6" ca="1" si="262">SUM(DB12:DB17)/DB4</f>
        <v>0.24750000028943228</v>
      </c>
      <c r="DC6" s="285">
        <f t="shared" ca="1" si="262"/>
        <v>0</v>
      </c>
      <c r="DD6" s="285">
        <f t="shared" ca="1" si="262"/>
        <v>0</v>
      </c>
      <c r="DE6" s="285">
        <f t="shared" ca="1" si="262"/>
        <v>1.8528287735678859E-2</v>
      </c>
      <c r="DF6" s="285">
        <f t="shared" ca="1" si="262"/>
        <v>1.2682986270624155E-8</v>
      </c>
      <c r="DG6" s="285">
        <f t="shared" ca="1" si="262"/>
        <v>0</v>
      </c>
      <c r="DH6" s="285">
        <f t="shared" ca="1" si="262"/>
        <v>0</v>
      </c>
      <c r="DI6" s="285">
        <f t="shared" ca="1" si="262"/>
        <v>0</v>
      </c>
      <c r="DJ6" s="285">
        <f t="shared" ca="1" si="262"/>
        <v>0</v>
      </c>
      <c r="DL6" s="385"/>
      <c r="DM6" s="386"/>
      <c r="DN6" s="393"/>
      <c r="DO6" s="386" t="s">
        <v>1985</v>
      </c>
      <c r="DP6" s="1337">
        <f t="shared" ca="1" si="12"/>
        <v>232.34081599999999</v>
      </c>
      <c r="DQ6" s="1467">
        <f t="shared" ca="1" si="13"/>
        <v>0.1997771418744626</v>
      </c>
      <c r="DR6" s="385" t="s">
        <v>3235</v>
      </c>
      <c r="DT6" s="386" t="s">
        <v>1767</v>
      </c>
      <c r="DU6" s="387" t="s">
        <v>1886</v>
      </c>
      <c r="DV6" s="285">
        <f ca="1">SUM(DV12:DV17)/DV4</f>
        <v>0</v>
      </c>
      <c r="DW6" s="285">
        <f t="shared" ref="DW6:EK6" ca="1" si="263">SUM(DW12:DW17)/DW4</f>
        <v>0.84999999982423236</v>
      </c>
      <c r="DX6" s="285">
        <f t="shared" ca="1" si="263"/>
        <v>0.15330970350261172</v>
      </c>
      <c r="DY6" s="285">
        <f t="shared" ca="1" si="263"/>
        <v>0.15330970369634914</v>
      </c>
      <c r="DZ6" s="285">
        <f t="shared" ca="1" si="263"/>
        <v>0</v>
      </c>
      <c r="EA6" s="285">
        <f t="shared" ca="1" si="263"/>
        <v>1.8528287735678859E-2</v>
      </c>
      <c r="EB6" s="285">
        <f t="shared" ca="1" si="263"/>
        <v>0.15330970379827402</v>
      </c>
      <c r="EC6" s="285">
        <f t="shared" ca="1" si="263"/>
        <v>0.47377622383476303</v>
      </c>
      <c r="ED6" s="285">
        <f t="shared" ca="1" si="263"/>
        <v>2.9423370104657387E-3</v>
      </c>
      <c r="EE6" s="285">
        <f t="shared" ca="1" si="263"/>
        <v>1.2978511415358168E-8</v>
      </c>
      <c r="EF6" s="285">
        <f t="shared" ca="1" si="263"/>
        <v>1</v>
      </c>
      <c r="EG6" s="285">
        <f t="shared" ca="1" si="263"/>
        <v>0</v>
      </c>
      <c r="EH6" s="285">
        <f t="shared" ca="1" si="263"/>
        <v>0</v>
      </c>
      <c r="EI6" s="285">
        <f t="shared" ca="1" si="263"/>
        <v>0.24749999984517917</v>
      </c>
      <c r="EJ6" s="285">
        <f t="shared" ref="EJ6" ca="1" si="264">SUM(EJ12:EJ17)/EJ4</f>
        <v>0</v>
      </c>
      <c r="EK6" s="285">
        <f t="shared" ca="1" si="263"/>
        <v>0</v>
      </c>
      <c r="EM6" s="385"/>
      <c r="EN6" s="386"/>
      <c r="EO6" s="393"/>
      <c r="EP6" s="386" t="s">
        <v>1989</v>
      </c>
      <c r="EQ6" s="1337">
        <f ca="1">VLOOKUP(ES6,INDIRECT(LU_WORK),2,FALSE)</f>
        <v>1.3064721099999999E-2</v>
      </c>
      <c r="ER6" s="1467">
        <f t="shared" ca="1" si="16"/>
        <v>1.1233638091143594E-5</v>
      </c>
      <c r="ES6" s="385" t="s">
        <v>1602</v>
      </c>
      <c r="EU6" s="386" t="s">
        <v>1767</v>
      </c>
      <c r="EV6" s="387" t="s">
        <v>1886</v>
      </c>
      <c r="EW6" s="285">
        <f ca="1">SUM(EW12:EW17)/EW4</f>
        <v>5.409951291631044E-2</v>
      </c>
      <c r="EX6" s="285">
        <f t="shared" ref="EX6:FB6" ca="1" si="265">SUM(EX12:EX17)/EX4</f>
        <v>5.409951291631044E-2</v>
      </c>
      <c r="EY6" s="285">
        <f t="shared" ca="1" si="265"/>
        <v>6.228031458429556E-2</v>
      </c>
      <c r="EZ6" s="285">
        <f t="shared" ca="1" si="265"/>
        <v>6.228031458429556E-2</v>
      </c>
      <c r="FA6" s="285">
        <f t="shared" ca="1" si="265"/>
        <v>5.6601383108906175E-10</v>
      </c>
      <c r="FB6" s="285">
        <f t="shared" ca="1" si="265"/>
        <v>1.8666706459255774E-5</v>
      </c>
      <c r="FD6" s="385" t="s">
        <v>349</v>
      </c>
      <c r="FE6" s="386" t="s">
        <v>1998</v>
      </c>
      <c r="FF6" s="1467">
        <f ca="1">VLOOKUP(FD6,INDIRECT(LU_HEAT),2,FALSE)</f>
        <v>-33.042483500000003</v>
      </c>
      <c r="FG6" s="386" t="s">
        <v>1999</v>
      </c>
      <c r="FH6" s="1337">
        <f t="shared" ca="1" si="18"/>
        <v>55.979402399999998</v>
      </c>
      <c r="FI6" s="1467">
        <f t="shared" ca="1" si="19"/>
        <v>4.8133622012037837E-2</v>
      </c>
      <c r="FJ6" s="385" t="s">
        <v>1605</v>
      </c>
      <c r="FL6" s="386" t="s">
        <v>1767</v>
      </c>
      <c r="FM6" s="387" t="s">
        <v>1886</v>
      </c>
      <c r="FN6" s="285">
        <f ca="1">SUM(FN12:FN17)/FN4</f>
        <v>7.3294232402934391E-9</v>
      </c>
      <c r="FO6" s="285">
        <f t="shared" ref="FO6:FX6" ca="1" si="266">SUM(FO12:FO17)/FO4</f>
        <v>2.0096376829526646E-8</v>
      </c>
      <c r="FP6" s="285">
        <f t="shared" ca="1" si="266"/>
        <v>5.6601383108906175E-10</v>
      </c>
      <c r="FQ6" s="285">
        <f t="shared" ca="1" si="266"/>
        <v>1.8666706459255774E-5</v>
      </c>
      <c r="FR6" s="285">
        <f t="shared" ca="1" si="266"/>
        <v>0</v>
      </c>
      <c r="FS6" s="285">
        <f t="shared" ca="1" si="266"/>
        <v>2.9716224781425293E-5</v>
      </c>
      <c r="FT6" s="285">
        <f t="shared" ca="1" si="266"/>
        <v>0</v>
      </c>
      <c r="FU6" s="285">
        <f t="shared" ca="1" si="266"/>
        <v>1.8392911240143869E-8</v>
      </c>
      <c r="FV6" s="285">
        <f t="shared" ca="1" si="266"/>
        <v>0</v>
      </c>
      <c r="FW6" s="285">
        <f t="shared" ca="1" si="266"/>
        <v>1.2122722348487729E-29</v>
      </c>
      <c r="FX6" s="285">
        <f t="shared" ca="1" si="266"/>
        <v>1.4717916881905522E-8</v>
      </c>
      <c r="FZ6" s="385"/>
      <c r="GA6" s="386"/>
      <c r="GB6" s="393"/>
      <c r="GC6" s="386" t="s">
        <v>2004</v>
      </c>
      <c r="GD6" s="1337">
        <f t="shared" ca="1" si="21"/>
        <v>12.768148100000001</v>
      </c>
      <c r="GE6" s="1467">
        <f t="shared" ca="1" si="22"/>
        <v>1.0978631212381773E-2</v>
      </c>
      <c r="GF6" s="385" t="s">
        <v>1236</v>
      </c>
      <c r="GH6" s="386" t="s">
        <v>1767</v>
      </c>
      <c r="GI6" s="387" t="s">
        <v>1886</v>
      </c>
      <c r="GJ6" s="285">
        <f ca="1">SUM(GJ12:GJ17)/GJ4</f>
        <v>0</v>
      </c>
      <c r="GK6" s="285">
        <f t="shared" ref="GK6:GQ6" ca="1" si="267">SUM(GK12:GK17)/GK4</f>
        <v>0</v>
      </c>
      <c r="GL6" s="285">
        <f t="shared" ca="1" si="267"/>
        <v>0</v>
      </c>
      <c r="GM6" s="285">
        <f t="shared" ca="1" si="267"/>
        <v>0</v>
      </c>
      <c r="GN6" s="285">
        <f t="shared" ca="1" si="267"/>
        <v>0</v>
      </c>
      <c r="GO6" s="285">
        <f t="shared" ca="1" si="267"/>
        <v>0</v>
      </c>
      <c r="GP6" s="285">
        <f t="shared" ca="1" si="267"/>
        <v>0</v>
      </c>
      <c r="GQ6" s="285">
        <f t="shared" ca="1" si="267"/>
        <v>0</v>
      </c>
      <c r="GS6" s="385" t="s">
        <v>344</v>
      </c>
      <c r="GT6" s="386" t="s">
        <v>2009</v>
      </c>
      <c r="GU6" s="1467">
        <f ca="1">VLOOKUP(GS6,INDIRECT(LU_HEAT),2,FALSE)</f>
        <v>0.214370318</v>
      </c>
      <c r="GV6" s="386"/>
      <c r="GW6" s="1337"/>
      <c r="GX6" s="393"/>
      <c r="GY6" s="385"/>
      <c r="HA6" s="386" t="s">
        <v>1767</v>
      </c>
      <c r="HB6" s="387" t="s">
        <v>1886</v>
      </c>
      <c r="HC6" s="285">
        <f ca="1">SUM(HC12:HC17)/HC4</f>
        <v>6.228031458429556E-2</v>
      </c>
      <c r="HD6" s="285">
        <f t="shared" ref="HD6:HH6" ca="1" si="268">SUM(HD12:HD17)/HD4</f>
        <v>6.6117113523409918E-2</v>
      </c>
      <c r="HE6" s="285">
        <f t="shared" ca="1" si="268"/>
        <v>0</v>
      </c>
      <c r="HF6" s="285">
        <f t="shared" ca="1" si="268"/>
        <v>6.070705732717759E-8</v>
      </c>
      <c r="HG6" s="285">
        <f t="shared" ca="1" si="268"/>
        <v>2.4864332165608294E-2</v>
      </c>
      <c r="HH6" s="285">
        <f t="shared" ca="1" si="268"/>
        <v>6.6117113523409918E-2</v>
      </c>
      <c r="HJ6" s="385"/>
      <c r="HK6" s="386"/>
      <c r="HL6" s="393"/>
      <c r="HM6" s="386" t="s">
        <v>2015</v>
      </c>
      <c r="HN6" s="1337">
        <f t="shared" ca="1" si="27"/>
        <v>112.024283</v>
      </c>
      <c r="HO6" s="1467">
        <f t="shared" ca="1" si="28"/>
        <v>9.6323545141874467E-2</v>
      </c>
      <c r="HP6" s="385" t="s">
        <v>334</v>
      </c>
      <c r="HR6" s="386" t="s">
        <v>1767</v>
      </c>
      <c r="HS6" s="387" t="s">
        <v>1886</v>
      </c>
      <c r="HT6" s="285">
        <f ca="1">SUM(HT12:HT17)/HT4</f>
        <v>3.0338428540743016E-6</v>
      </c>
      <c r="HU6" s="285">
        <f t="shared" ref="HU6:IE6" ca="1" si="269">SUM(HU12:HU17)/HU4</f>
        <v>6.6117113523409918E-2</v>
      </c>
      <c r="HV6" s="285">
        <f t="shared" ca="1" si="269"/>
        <v>5.7090845810553535E-2</v>
      </c>
      <c r="HW6" s="285">
        <f t="shared" ca="1" si="269"/>
        <v>5.7090845810553535E-2</v>
      </c>
      <c r="HX6" s="285">
        <f t="shared" ca="1" si="269"/>
        <v>8.1151942120042363E-3</v>
      </c>
      <c r="HY6" s="285">
        <f t="shared" ca="1" si="269"/>
        <v>7.7987701810595614E-3</v>
      </c>
      <c r="HZ6" s="285">
        <f t="shared" ca="1" si="269"/>
        <v>1.5142490115088116E-7</v>
      </c>
      <c r="IA6" s="285">
        <f t="shared" ca="1" si="269"/>
        <v>1.5313469582352426E-4</v>
      </c>
      <c r="IB6" s="285">
        <f t="shared" ca="1" si="269"/>
        <v>0</v>
      </c>
      <c r="IC6" s="285">
        <f t="shared" ca="1" si="269"/>
        <v>0</v>
      </c>
      <c r="ID6" s="285">
        <f t="shared" ca="1" si="269"/>
        <v>0</v>
      </c>
      <c r="IE6" s="285">
        <f t="shared" ca="1" si="269"/>
        <v>0</v>
      </c>
      <c r="IG6" s="385"/>
      <c r="IH6" s="386"/>
      <c r="II6" s="393"/>
      <c r="IJ6" s="386" t="s">
        <v>2024</v>
      </c>
      <c r="IK6" s="1337">
        <f t="shared" ca="1" si="30"/>
        <v>200</v>
      </c>
      <c r="IL6" s="1467">
        <f t="shared" ca="1" si="31"/>
        <v>0.1719690455717971</v>
      </c>
      <c r="IM6" s="385" t="s">
        <v>3259</v>
      </c>
      <c r="IO6" s="386" t="s">
        <v>1767</v>
      </c>
      <c r="IP6" s="387" t="s">
        <v>1886</v>
      </c>
      <c r="IQ6" s="285">
        <f ca="1">SUM(IQ12:IQ17)/IQ4</f>
        <v>8.1151942120042363E-3</v>
      </c>
      <c r="IR6" s="285">
        <f t="shared" ref="IR6:JH6" ca="1" si="270">SUM(IR12:IR17)/IR4</f>
        <v>7.7987701810595614E-3</v>
      </c>
      <c r="IS6" s="285">
        <f t="shared" ca="1" si="270"/>
        <v>1.2574834681715124E-2</v>
      </c>
      <c r="IT6" s="285">
        <f t="shared" ca="1" si="270"/>
        <v>1.1429132438891938E-2</v>
      </c>
      <c r="IU6" s="285">
        <f t="shared" ref="IU6" ca="1" si="271">SUM(IU12:IU17)/IU4</f>
        <v>1.1618852068128294E-2</v>
      </c>
      <c r="IV6" s="285">
        <f t="shared" ca="1" si="270"/>
        <v>1.2593495627466214E-2</v>
      </c>
      <c r="IW6" s="285">
        <f t="shared" ca="1" si="270"/>
        <v>1.2574834720390062E-2</v>
      </c>
      <c r="IX6" s="285">
        <f t="shared" ref="IX6" ca="1" si="272">SUM(IX12:IX17)/IX4</f>
        <v>1.8905200570473381E-6</v>
      </c>
      <c r="IY6" s="285">
        <f t="shared" ca="1" si="270"/>
        <v>9.3035864866051372E-3</v>
      </c>
      <c r="IZ6" s="285">
        <f t="shared" ca="1" si="270"/>
        <v>1.2702661902113497E-2</v>
      </c>
      <c r="JA6" s="285">
        <f t="shared" ca="1" si="270"/>
        <v>1.2574834703274491E-2</v>
      </c>
      <c r="JB6" s="285">
        <f t="shared" ca="1" si="270"/>
        <v>0</v>
      </c>
      <c r="JC6" s="285">
        <f t="shared" ca="1" si="270"/>
        <v>0.49493946722599325</v>
      </c>
      <c r="JD6" s="285">
        <f t="shared" ca="1" si="270"/>
        <v>0</v>
      </c>
      <c r="JE6" s="285">
        <f t="shared" ca="1" si="270"/>
        <v>6.0404415214522257E-2</v>
      </c>
      <c r="JF6" s="285">
        <f t="shared" ca="1" si="270"/>
        <v>0</v>
      </c>
      <c r="JG6" s="285">
        <f t="shared" ca="1" si="270"/>
        <v>0.49998193658638834</v>
      </c>
      <c r="JH6" s="285">
        <f t="shared" ca="1" si="270"/>
        <v>1.5313469582352426E-4</v>
      </c>
      <c r="JJ6" s="385"/>
      <c r="JK6" s="386"/>
      <c r="JL6" s="393"/>
      <c r="JM6" s="386" t="s">
        <v>3272</v>
      </c>
      <c r="JN6" s="1337">
        <f t="shared" ref="JN6:JN11" ca="1" si="273">VLOOKUP(JP6,INDIRECT(LU_WORK),2,FALSE)</f>
        <v>2173.5046699999998</v>
      </c>
      <c r="JO6" s="1467">
        <f t="shared" ref="JO6:JO11" ca="1" si="274">JN6/4.1868*3600/1000000</f>
        <v>1.8688776182287186</v>
      </c>
      <c r="JP6" s="385" t="s">
        <v>3267</v>
      </c>
      <c r="JR6" s="386" t="s">
        <v>1767</v>
      </c>
      <c r="JS6" s="387" t="s">
        <v>1886</v>
      </c>
      <c r="JT6" s="285">
        <f ca="1">SUM(JT12:JT17)/JT4</f>
        <v>0.24750000033683647</v>
      </c>
      <c r="JU6" s="285">
        <f t="shared" ref="JU6:KC6" ca="1" si="275">SUM(JU12:JU17)/JU4</f>
        <v>0.24750000039534795</v>
      </c>
      <c r="JV6" s="285">
        <f t="shared" ca="1" si="275"/>
        <v>0.24750000028943228</v>
      </c>
      <c r="JW6" s="285">
        <f t="shared" ca="1" si="275"/>
        <v>0.24749999984517917</v>
      </c>
      <c r="JX6" s="285">
        <f t="shared" ca="1" si="275"/>
        <v>0</v>
      </c>
      <c r="JY6" s="285">
        <f t="shared" ca="1" si="275"/>
        <v>0</v>
      </c>
      <c r="JZ6" s="285">
        <f t="shared" ca="1" si="275"/>
        <v>0</v>
      </c>
      <c r="KA6" s="285">
        <f t="shared" ca="1" si="275"/>
        <v>0</v>
      </c>
      <c r="KB6" s="285">
        <f t="shared" ca="1" si="275"/>
        <v>0</v>
      </c>
      <c r="KC6" s="285">
        <f t="shared" ca="1" si="275"/>
        <v>0.24750000003021583</v>
      </c>
      <c r="KE6" s="386" t="s">
        <v>2029</v>
      </c>
      <c r="KF6" s="1337">
        <f t="shared" ca="1" si="38"/>
        <v>0</v>
      </c>
      <c r="KG6" s="1467">
        <f t="shared" ca="1" si="39"/>
        <v>0</v>
      </c>
      <c r="KH6" s="385" t="s">
        <v>1249</v>
      </c>
      <c r="KJ6" s="386" t="s">
        <v>1767</v>
      </c>
      <c r="KK6" s="387" t="s">
        <v>1886</v>
      </c>
      <c r="KL6" s="285">
        <f ca="1">SUM(KL12:KL17)/KL4</f>
        <v>0</v>
      </c>
      <c r="KM6" s="285">
        <f t="shared" ref="KM6:KR6" ca="1" si="276">SUM(KM12:KM17)/KM4</f>
        <v>1</v>
      </c>
      <c r="KN6" s="285">
        <f t="shared" ca="1" si="276"/>
        <v>1</v>
      </c>
      <c r="KO6" s="285">
        <f t="shared" ca="1" si="276"/>
        <v>0</v>
      </c>
      <c r="KP6" s="285">
        <f t="shared" ca="1" si="276"/>
        <v>0</v>
      </c>
      <c r="KQ6" s="285">
        <f t="shared" ca="1" si="276"/>
        <v>0</v>
      </c>
      <c r="KR6" s="285">
        <f t="shared" ca="1" si="276"/>
        <v>1</v>
      </c>
      <c r="KT6" s="386" t="s">
        <v>2035</v>
      </c>
      <c r="KU6" s="1337">
        <f t="shared" ca="1" si="41"/>
        <v>2.5688084999999998</v>
      </c>
      <c r="KV6" s="1467">
        <f t="shared" ca="1" si="42"/>
        <v>2.2087777300085986E-3</v>
      </c>
      <c r="KW6" s="385" t="s">
        <v>1251</v>
      </c>
      <c r="KY6" s="386" t="s">
        <v>1767</v>
      </c>
      <c r="KZ6" s="387" t="s">
        <v>1886</v>
      </c>
      <c r="LA6" s="285">
        <f ca="1">SUM(LA12:LA17)/LA4</f>
        <v>6.070705732717759E-8</v>
      </c>
      <c r="LB6" s="285">
        <f t="shared" ref="LB6:LK6" ca="1" si="277">SUM(LB12:LB17)/LB4</f>
        <v>1.5142490115088116E-7</v>
      </c>
      <c r="LC6" s="285">
        <f t="shared" ca="1" si="277"/>
        <v>1.2694328341816577E-8</v>
      </c>
      <c r="LD6" s="285">
        <f t="shared" ca="1" si="277"/>
        <v>1.2694328341816577E-8</v>
      </c>
      <c r="LE6" s="285">
        <f t="shared" ca="1" si="277"/>
        <v>0</v>
      </c>
      <c r="LF6" s="285">
        <f t="shared" ca="1" si="277"/>
        <v>2.1941318493861074E-4</v>
      </c>
      <c r="LG6" s="285">
        <f t="shared" ca="1" si="277"/>
        <v>2.1941318493861074E-4</v>
      </c>
      <c r="LH6" s="285">
        <f t="shared" ca="1" si="277"/>
        <v>0</v>
      </c>
      <c r="LI6" s="285">
        <f t="shared" ca="1" si="277"/>
        <v>2.2016888809702962E-4</v>
      </c>
      <c r="LJ6" s="285">
        <f t="shared" ca="1" si="277"/>
        <v>0</v>
      </c>
      <c r="LK6" s="285">
        <f t="shared" ca="1" si="277"/>
        <v>0</v>
      </c>
      <c r="LM6" s="385"/>
      <c r="LN6" s="394"/>
      <c r="LO6" s="395"/>
      <c r="LP6" s="394"/>
      <c r="LQ6" s="1338"/>
      <c r="LR6" s="395"/>
      <c r="LS6" s="385"/>
      <c r="LU6" s="386" t="s">
        <v>1767</v>
      </c>
      <c r="LV6" s="387" t="s">
        <v>1886</v>
      </c>
      <c r="LW6" s="285">
        <f ca="1">SUM(LW12:LW17)/LW4</f>
        <v>0</v>
      </c>
      <c r="LX6" s="285">
        <f ca="1">SUM(LX12:LX17)/LX4</f>
        <v>0</v>
      </c>
      <c r="LY6" s="285">
        <f t="shared" ref="LY6:MO6" ca="1" si="278">SUM(LY12:LY17)/LY4</f>
        <v>2.4864332165608294E-2</v>
      </c>
      <c r="LZ6" s="285">
        <f t="shared" ca="1" si="278"/>
        <v>9.3035864866051372E-3</v>
      </c>
      <c r="MA6" s="285">
        <f t="shared" ca="1" si="278"/>
        <v>2.1583946942403863E-2</v>
      </c>
      <c r="MB6" s="285">
        <f t="shared" ca="1" si="278"/>
        <v>1.2694328341816577E-8</v>
      </c>
      <c r="MC6" s="285">
        <f t="shared" ca="1" si="278"/>
        <v>2.1941318493861074E-4</v>
      </c>
      <c r="MD6" s="285">
        <f t="shared" ca="1" si="278"/>
        <v>0</v>
      </c>
      <c r="ME6" s="285">
        <f t="shared" ca="1" si="278"/>
        <v>0</v>
      </c>
      <c r="MF6" s="285">
        <f t="shared" ca="1" si="278"/>
        <v>0</v>
      </c>
      <c r="MG6" s="285">
        <f t="shared" ca="1" si="278"/>
        <v>0</v>
      </c>
      <c r="MH6" s="285">
        <f t="shared" ref="MH6:MI6" ca="1" si="279">SUM(MH12:MH17)/MH4</f>
        <v>0</v>
      </c>
      <c r="MI6" s="285">
        <f t="shared" ca="1" si="279"/>
        <v>0</v>
      </c>
      <c r="MJ6" s="285">
        <f t="shared" ca="1" si="278"/>
        <v>0</v>
      </c>
      <c r="MK6" s="285">
        <f t="shared" ca="1" si="278"/>
        <v>0</v>
      </c>
      <c r="ML6" s="285">
        <f t="shared" ca="1" si="278"/>
        <v>0</v>
      </c>
      <c r="MM6" s="285">
        <f t="shared" ca="1" si="278"/>
        <v>0</v>
      </c>
      <c r="MN6" s="285">
        <f t="shared" ca="1" si="278"/>
        <v>0</v>
      </c>
      <c r="MO6" s="285">
        <f t="shared" ca="1" si="278"/>
        <v>0</v>
      </c>
      <c r="MQ6" s="385" t="s">
        <v>352</v>
      </c>
      <c r="MR6" s="386" t="s">
        <v>194</v>
      </c>
      <c r="MS6" s="1467">
        <f ca="1">VLOOKUP(MQ6,INDIRECT(LU_HEAT),2,FALSE)</f>
        <v>50.737314900000001</v>
      </c>
      <c r="MT6" s="386" t="s">
        <v>2040</v>
      </c>
      <c r="MU6" s="1337">
        <f ca="1">MU7-MU4</f>
        <v>-28519.972699999998</v>
      </c>
      <c r="MV6" s="1467">
        <f t="shared" ca="1" si="50"/>
        <v>-24.522762424763542</v>
      </c>
      <c r="MW6" s="1341" t="s">
        <v>3288</v>
      </c>
      <c r="MY6" s="386" t="s">
        <v>1767</v>
      </c>
      <c r="MZ6" s="387" t="s">
        <v>1886</v>
      </c>
      <c r="NA6" s="285">
        <f ca="1">SUM(NA12:NA17)/NA4</f>
        <v>4.0155919716370619E-6</v>
      </c>
      <c r="NB6" s="285">
        <f t="shared" ref="NB6:NP6" ca="1" si="280">SUM(NB12:NB17)/NB4</f>
        <v>8.7304428069886173E-9</v>
      </c>
      <c r="NC6" s="285">
        <f t="shared" ca="1" si="280"/>
        <v>2.0234320325134388E-5</v>
      </c>
      <c r="ND6" s="285">
        <f t="shared" ca="1" si="280"/>
        <v>0</v>
      </c>
      <c r="NE6" s="285">
        <f t="shared" ca="1" si="280"/>
        <v>0</v>
      </c>
      <c r="NF6" s="285">
        <f t="shared" ca="1" si="280"/>
        <v>0</v>
      </c>
      <c r="NG6" s="285">
        <f t="shared" ca="1" si="280"/>
        <v>0</v>
      </c>
      <c r="NH6" s="285">
        <v>0</v>
      </c>
      <c r="NI6" s="285">
        <f t="shared" ca="1" si="280"/>
        <v>0</v>
      </c>
      <c r="NJ6" s="285">
        <f t="shared" ca="1" si="280"/>
        <v>0</v>
      </c>
      <c r="NK6" s="285">
        <f t="shared" ca="1" si="280"/>
        <v>0</v>
      </c>
      <c r="NL6" s="285">
        <f t="shared" ca="1" si="280"/>
        <v>0</v>
      </c>
      <c r="NM6" s="285">
        <f t="shared" ca="1" si="280"/>
        <v>0</v>
      </c>
      <c r="NN6" s="285">
        <f t="shared" ca="1" si="280"/>
        <v>0</v>
      </c>
      <c r="NO6" s="285">
        <f t="shared" ca="1" si="280"/>
        <v>0</v>
      </c>
      <c r="NP6" s="285">
        <f t="shared" ca="1" si="280"/>
        <v>0</v>
      </c>
      <c r="NR6" s="385"/>
      <c r="NS6" s="386"/>
      <c r="NT6" s="393"/>
      <c r="NU6" s="386" t="s">
        <v>2043</v>
      </c>
      <c r="NV6" s="1337">
        <f t="shared" ca="1" si="52"/>
        <v>559.56007399999999</v>
      </c>
      <c r="NW6" s="1467">
        <f t="shared" ca="1" si="53"/>
        <v>0.48113505932932071</v>
      </c>
      <c r="NX6" s="385" t="s">
        <v>337</v>
      </c>
      <c r="NZ6" s="394"/>
      <c r="OA6" s="386" t="s">
        <v>2047</v>
      </c>
      <c r="OB6" s="1337">
        <f t="shared" ca="1" si="54"/>
        <v>10</v>
      </c>
      <c r="OC6" s="1467">
        <f t="shared" ca="1" si="55"/>
        <v>8.5984522785898555E-3</v>
      </c>
      <c r="OD6" s="385" t="s">
        <v>3297</v>
      </c>
      <c r="OF6" s="386" t="s">
        <v>1767</v>
      </c>
      <c r="OG6" s="387" t="s">
        <v>1886</v>
      </c>
      <c r="OH6" s="285">
        <f ca="1">SUM(OH12:OH17)/OH4</f>
        <v>0</v>
      </c>
      <c r="OI6" s="285">
        <f t="shared" ref="OI6:OO6" ca="1" si="281">SUM(OI12:OI17)/OI4</f>
        <v>0</v>
      </c>
      <c r="OJ6" s="285">
        <f t="shared" ca="1" si="281"/>
        <v>0</v>
      </c>
      <c r="OK6" s="285">
        <f t="shared" ca="1" si="281"/>
        <v>0</v>
      </c>
      <c r="OL6" s="285">
        <f t="shared" ca="1" si="281"/>
        <v>0</v>
      </c>
      <c r="OM6" s="285">
        <f t="shared" ca="1" si="281"/>
        <v>0</v>
      </c>
      <c r="ON6" s="285">
        <f t="shared" ca="1" si="281"/>
        <v>0</v>
      </c>
      <c r="OO6" s="285">
        <f t="shared" ca="1" si="281"/>
        <v>0</v>
      </c>
      <c r="OQ6" s="385"/>
      <c r="OR6" s="386"/>
      <c r="OS6" s="393"/>
      <c r="OT6" s="386" t="s">
        <v>2052</v>
      </c>
      <c r="OU6" s="1337">
        <f t="shared" ca="1" si="57"/>
        <v>2489.6824900000001</v>
      </c>
      <c r="OV6" s="1467">
        <f t="shared" ca="1" si="58"/>
        <v>2.1407416079105763</v>
      </c>
      <c r="OW6" s="385" t="s">
        <v>442</v>
      </c>
      <c r="OY6" s="386" t="s">
        <v>1767</v>
      </c>
      <c r="OZ6" s="387" t="s">
        <v>1886</v>
      </c>
      <c r="PA6" s="285">
        <f ca="1">SUM(PA12:PA17)/PA4</f>
        <v>0</v>
      </c>
      <c r="PB6" s="285">
        <f t="shared" ref="PB6:PK6" ca="1" si="282">SUM(PB12:PB17)/PB4</f>
        <v>0</v>
      </c>
      <c r="PC6" s="285">
        <f t="shared" ca="1" si="282"/>
        <v>0</v>
      </c>
      <c r="PD6" s="285">
        <f t="shared" ca="1" si="282"/>
        <v>0</v>
      </c>
      <c r="PE6" s="285">
        <f t="shared" ca="1" si="282"/>
        <v>0</v>
      </c>
      <c r="PF6" s="285">
        <f t="shared" ca="1" si="282"/>
        <v>0</v>
      </c>
      <c r="PG6" s="285">
        <f t="shared" ca="1" si="282"/>
        <v>0</v>
      </c>
      <c r="PH6" s="285">
        <f t="shared" ca="1" si="282"/>
        <v>0</v>
      </c>
      <c r="PI6" s="285">
        <f t="shared" ca="1" si="282"/>
        <v>0</v>
      </c>
      <c r="PJ6" s="285">
        <f t="shared" ca="1" si="282"/>
        <v>0</v>
      </c>
      <c r="PK6" s="285">
        <f t="shared" ca="1" si="282"/>
        <v>0</v>
      </c>
      <c r="PM6" s="385"/>
      <c r="PN6" s="394"/>
      <c r="PO6" s="395"/>
      <c r="PP6" s="394"/>
      <c r="PQ6" s="1338"/>
      <c r="PR6" s="395"/>
      <c r="PS6" s="385"/>
      <c r="PU6" s="386" t="s">
        <v>1767</v>
      </c>
      <c r="PV6" s="387" t="s">
        <v>1886</v>
      </c>
      <c r="PW6" s="285">
        <f ca="1">SUM(PW12:PW17)/PW4</f>
        <v>0</v>
      </c>
      <c r="PX6" s="285">
        <f t="shared" ref="PX6:PZ6" ca="1" si="283">SUM(PX12:PX17)/PX4</f>
        <v>0</v>
      </c>
      <c r="PY6" s="285">
        <f t="shared" ca="1" si="283"/>
        <v>0</v>
      </c>
      <c r="PZ6" s="285">
        <f t="shared" ca="1" si="283"/>
        <v>0</v>
      </c>
      <c r="QB6" s="394"/>
      <c r="QC6" s="394"/>
      <c r="QD6" s="395"/>
      <c r="QE6" s="394"/>
      <c r="QF6" s="1338"/>
      <c r="QG6" s="395"/>
      <c r="QH6" s="394"/>
      <c r="QI6" s="395"/>
      <c r="QJ6" s="896"/>
      <c r="QK6" s="896"/>
    </row>
    <row r="7" spans="1:453" x14ac:dyDescent="0.25">
      <c r="H7" s="386" t="s">
        <v>1169</v>
      </c>
      <c r="I7" s="387" t="s">
        <v>1887</v>
      </c>
      <c r="J7" s="389">
        <f t="shared" ref="J7:K9" ca="1" si="284">J90</f>
        <v>25</v>
      </c>
      <c r="K7" s="389">
        <f t="shared" ca="1" si="284"/>
        <v>25</v>
      </c>
      <c r="M7" s="386" t="s">
        <v>1942</v>
      </c>
      <c r="N7" s="1337">
        <f t="shared" ca="1" si="66"/>
        <v>95.6252104</v>
      </c>
      <c r="O7" s="1467">
        <f t="shared" ca="1" si="67"/>
        <v>8.2222880825451414E-2</v>
      </c>
      <c r="P7" s="385" t="s">
        <v>1194</v>
      </c>
      <c r="R7" s="386" t="s">
        <v>1169</v>
      </c>
      <c r="S7" s="387" t="s">
        <v>1887</v>
      </c>
      <c r="T7" s="389">
        <f ca="1">T90</f>
        <v>25</v>
      </c>
      <c r="U7" s="389">
        <f t="shared" ref="U7:AD7" ca="1" si="285">U90</f>
        <v>95</v>
      </c>
      <c r="V7" s="389">
        <f t="shared" ca="1" si="285"/>
        <v>112.531432</v>
      </c>
      <c r="W7" s="389">
        <f t="shared" ca="1" si="285"/>
        <v>268.1893</v>
      </c>
      <c r="X7" s="389">
        <f t="shared" ca="1" si="285"/>
        <v>268.1893</v>
      </c>
      <c r="Y7" s="389">
        <f t="shared" ca="1" si="285"/>
        <v>158</v>
      </c>
      <c r="Z7" s="389">
        <f t="shared" ca="1" si="285"/>
        <v>130</v>
      </c>
      <c r="AA7" s="389">
        <f t="shared" ca="1" si="285"/>
        <v>130.12111600000003</v>
      </c>
      <c r="AB7" s="389">
        <f t="shared" ca="1" si="285"/>
        <v>21.714874099999975</v>
      </c>
      <c r="AC7" s="389">
        <f t="shared" ca="1" si="285"/>
        <v>113.73433899999998</v>
      </c>
      <c r="AD7" s="389">
        <f t="shared" ca="1" si="285"/>
        <v>20.905907300000024</v>
      </c>
      <c r="AF7" s="386" t="s">
        <v>1953</v>
      </c>
      <c r="AG7" s="1337">
        <f t="shared" ca="1" si="1"/>
        <v>74.999759999999995</v>
      </c>
      <c r="AH7" s="1467">
        <f t="shared" ca="1" si="69"/>
        <v>6.4488185726569211E-2</v>
      </c>
      <c r="AI7" s="385" t="s">
        <v>1205</v>
      </c>
      <c r="AK7" s="386" t="s">
        <v>1169</v>
      </c>
      <c r="AL7" s="387" t="s">
        <v>1887</v>
      </c>
      <c r="AM7" s="389">
        <f ca="1">AM90</f>
        <v>33</v>
      </c>
      <c r="AN7" s="389">
        <f t="shared" ref="AN7:BB7" ca="1" si="286">AN90</f>
        <v>95</v>
      </c>
      <c r="AO7" s="389">
        <f t="shared" ref="AO7:AS7" ca="1" si="287">AO90</f>
        <v>130.12111600000003</v>
      </c>
      <c r="AP7" s="389">
        <f t="shared" ca="1" si="287"/>
        <v>130.61730799999998</v>
      </c>
      <c r="AQ7" s="389">
        <f t="shared" ca="1" si="287"/>
        <v>100.69906600000002</v>
      </c>
      <c r="AR7" s="389">
        <f t="shared" ca="1" si="287"/>
        <v>99.967246400000022</v>
      </c>
      <c r="AS7" s="389">
        <f t="shared" ca="1" si="287"/>
        <v>99.967246400000022</v>
      </c>
      <c r="AT7" s="389">
        <f t="shared" ca="1" si="286"/>
        <v>99.924796399999991</v>
      </c>
      <c r="AU7" s="389">
        <f t="shared" ca="1" si="286"/>
        <v>99.924796399999991</v>
      </c>
      <c r="AV7" s="389">
        <f t="shared" ca="1" si="286"/>
        <v>96.94172279999998</v>
      </c>
      <c r="AW7" s="389">
        <f t="shared" ca="1" si="286"/>
        <v>99.358396200000016</v>
      </c>
      <c r="AX7" s="389">
        <f t="shared" ca="1" si="286"/>
        <v>99.688555599999972</v>
      </c>
      <c r="AY7" s="389">
        <f t="shared" ca="1" si="286"/>
        <v>20</v>
      </c>
      <c r="AZ7" s="389">
        <f t="shared" ca="1" si="286"/>
        <v>33</v>
      </c>
      <c r="BA7" s="389">
        <f t="shared" ca="1" si="286"/>
        <v>35.989233300000024</v>
      </c>
      <c r="BB7" s="389">
        <f t="shared" ca="1" si="286"/>
        <v>77.575069900000017</v>
      </c>
      <c r="BD7" s="385"/>
      <c r="BE7" s="386"/>
      <c r="BF7" s="393"/>
      <c r="BG7" s="386" t="s">
        <v>1969</v>
      </c>
      <c r="BH7" s="1337">
        <f t="shared" ca="1" si="3"/>
        <v>127</v>
      </c>
      <c r="BI7" s="1467">
        <f t="shared" ca="1" si="4"/>
        <v>0.10920034393809114</v>
      </c>
      <c r="BJ7" s="385" t="s">
        <v>1598</v>
      </c>
      <c r="BL7" s="386" t="s">
        <v>1169</v>
      </c>
      <c r="BM7" s="387" t="s">
        <v>1887</v>
      </c>
      <c r="BN7" s="389">
        <f ca="1">BN90</f>
        <v>32</v>
      </c>
      <c r="BO7" s="389">
        <f t="shared" ref="BO7:BR7" ca="1" si="288">BO90</f>
        <v>32.709795999999983</v>
      </c>
      <c r="BP7" s="389">
        <f t="shared" ca="1" si="288"/>
        <v>32</v>
      </c>
      <c r="BQ7" s="389">
        <f t="shared" ca="1" si="288"/>
        <v>20</v>
      </c>
      <c r="BR7" s="389">
        <f t="shared" ca="1" si="288"/>
        <v>20</v>
      </c>
      <c r="BT7" s="385"/>
      <c r="BU7" s="386"/>
      <c r="BV7" s="393"/>
      <c r="BW7" s="386" t="s">
        <v>1975</v>
      </c>
      <c r="BX7" s="1337">
        <f t="shared" ca="1" si="6"/>
        <v>14.9139974</v>
      </c>
      <c r="BY7" s="1467">
        <f t="shared" ca="1" si="7"/>
        <v>1.2823729492691316E-2</v>
      </c>
      <c r="BZ7" s="385" t="s">
        <v>3224</v>
      </c>
      <c r="CB7" s="386" t="s">
        <v>1169</v>
      </c>
      <c r="CC7" s="387" t="s">
        <v>1887</v>
      </c>
      <c r="CD7" s="389">
        <f ca="1">CD90</f>
        <v>77.575069900000017</v>
      </c>
      <c r="CE7" s="389">
        <f t="shared" ref="CE7:CO7" ca="1" si="289">CE90</f>
        <v>48.509076800000003</v>
      </c>
      <c r="CF7" s="389">
        <f t="shared" ca="1" si="289"/>
        <v>32</v>
      </c>
      <c r="CG7" s="389">
        <f t="shared" ca="1" si="289"/>
        <v>32.709795999999983</v>
      </c>
      <c r="CH7" s="389">
        <f t="shared" ca="1" si="289"/>
        <v>48.136181899999997</v>
      </c>
      <c r="CI7" s="389">
        <f t="shared" ca="1" si="289"/>
        <v>20</v>
      </c>
      <c r="CJ7" s="389">
        <f t="shared" ca="1" si="289"/>
        <v>20</v>
      </c>
      <c r="CK7" s="389">
        <f t="shared" ca="1" si="289"/>
        <v>32</v>
      </c>
      <c r="CL7" s="389">
        <f t="shared" ca="1" si="289"/>
        <v>32</v>
      </c>
      <c r="CM7" s="389">
        <f t="shared" ca="1" si="289"/>
        <v>28.655215699999985</v>
      </c>
      <c r="CN7" s="389">
        <f t="shared" ca="1" si="289"/>
        <v>32.398413199999993</v>
      </c>
      <c r="CO7" s="389">
        <f t="shared" ca="1" si="289"/>
        <v>34.233848000000023</v>
      </c>
      <c r="CQ7" s="385"/>
      <c r="CR7" s="386"/>
      <c r="CS7" s="393"/>
      <c r="CT7" s="386" t="s">
        <v>3230</v>
      </c>
      <c r="CU7" s="1337">
        <f t="shared" ca="1" si="9"/>
        <v>1355.25476</v>
      </c>
      <c r="CV7" s="1467">
        <f t="shared" ca="1" si="10"/>
        <v>1.1653093379191748</v>
      </c>
      <c r="CW7" s="189" t="s">
        <v>3229</v>
      </c>
      <c r="CY7" s="386" t="s">
        <v>1169</v>
      </c>
      <c r="CZ7" s="387" t="s">
        <v>1887</v>
      </c>
      <c r="DA7" s="389">
        <f ca="1">DA90</f>
        <v>62.107559400000014</v>
      </c>
      <c r="DB7" s="389">
        <f t="shared" ref="DB7:DJ7" ca="1" si="290">DB90</f>
        <v>20</v>
      </c>
      <c r="DC7" s="389">
        <f t="shared" ca="1" si="290"/>
        <v>28</v>
      </c>
      <c r="DD7" s="389">
        <f t="shared" ca="1" si="290"/>
        <v>28</v>
      </c>
      <c r="DE7" s="389">
        <f t="shared" ca="1" si="290"/>
        <v>28.089114499999994</v>
      </c>
      <c r="DF7" s="389">
        <f t="shared" ca="1" si="290"/>
        <v>28</v>
      </c>
      <c r="DG7" s="389">
        <f t="shared" ca="1" si="290"/>
        <v>25</v>
      </c>
      <c r="DH7" s="389">
        <f t="shared" ca="1" si="290"/>
        <v>40</v>
      </c>
      <c r="DI7" s="389">
        <f t="shared" ca="1" si="290"/>
        <v>40</v>
      </c>
      <c r="DJ7" s="389">
        <f t="shared" ca="1" si="290"/>
        <v>40</v>
      </c>
      <c r="DL7" s="385"/>
      <c r="DM7" s="394"/>
      <c r="DN7" s="395"/>
      <c r="DO7" s="394"/>
      <c r="DP7" s="1338"/>
      <c r="DQ7" s="395"/>
      <c r="DR7" s="385"/>
      <c r="DT7" s="386" t="s">
        <v>1169</v>
      </c>
      <c r="DU7" s="387" t="s">
        <v>1887</v>
      </c>
      <c r="DV7" s="389">
        <f ca="1">DV90</f>
        <v>33</v>
      </c>
      <c r="DW7" s="389">
        <f t="shared" ref="DW7:EK7" ca="1" si="291">DW90</f>
        <v>28</v>
      </c>
      <c r="DX7" s="389">
        <f t="shared" ca="1" si="291"/>
        <v>62.107559400000014</v>
      </c>
      <c r="DY7" s="389">
        <f t="shared" ca="1" si="291"/>
        <v>62.107559400000014</v>
      </c>
      <c r="DZ7" s="389">
        <f t="shared" ca="1" si="291"/>
        <v>28</v>
      </c>
      <c r="EA7" s="389">
        <f t="shared" ca="1" si="291"/>
        <v>28.089114499999994</v>
      </c>
      <c r="EB7" s="389">
        <f t="shared" ca="1" si="291"/>
        <v>62.107559400000014</v>
      </c>
      <c r="EC7" s="389">
        <f t="shared" ca="1" si="291"/>
        <v>33.86774459999998</v>
      </c>
      <c r="ED7" s="389">
        <f t="shared" ca="1" si="291"/>
        <v>28.655215699999985</v>
      </c>
      <c r="EE7" s="389">
        <f t="shared" ca="1" si="291"/>
        <v>28.000000499999999</v>
      </c>
      <c r="EF7" s="389">
        <f t="shared" ca="1" si="291"/>
        <v>20</v>
      </c>
      <c r="EG7" s="389">
        <f t="shared" ca="1" si="291"/>
        <v>28</v>
      </c>
      <c r="EH7" s="389">
        <f t="shared" ca="1" si="291"/>
        <v>28</v>
      </c>
      <c r="EI7" s="389">
        <f t="shared" ca="1" si="291"/>
        <v>20</v>
      </c>
      <c r="EJ7" s="389">
        <f t="shared" ref="EJ7" ca="1" si="292">EJ90</f>
        <v>20.487321000000009</v>
      </c>
      <c r="EK7" s="389">
        <f t="shared" ca="1" si="291"/>
        <v>40</v>
      </c>
      <c r="EM7" s="385"/>
      <c r="EN7" s="386"/>
      <c r="EO7" s="393"/>
      <c r="EP7" s="386" t="s">
        <v>1990</v>
      </c>
      <c r="EQ7" s="1337">
        <f ca="1">VLOOKUP(ES7,INDIRECT(LU_WORK),2,FALSE)</f>
        <v>0.74500124599999995</v>
      </c>
      <c r="ER7" s="1467">
        <f t="shared" ca="1" si="16"/>
        <v>6.4058576612209799E-4</v>
      </c>
      <c r="ES7" s="385" t="s">
        <v>1601</v>
      </c>
      <c r="EU7" s="386" t="s">
        <v>1169</v>
      </c>
      <c r="EV7" s="387" t="s">
        <v>1887</v>
      </c>
      <c r="EW7" s="389">
        <f ca="1">EW90</f>
        <v>32.398413199999993</v>
      </c>
      <c r="EX7" s="389">
        <f t="shared" ref="EX7:FB7" ca="1" si="293">EX90</f>
        <v>103.35927600000002</v>
      </c>
      <c r="EY7" s="389">
        <f t="shared" ca="1" si="293"/>
        <v>125.23962399999999</v>
      </c>
      <c r="EZ7" s="389">
        <f t="shared" ca="1" si="293"/>
        <v>47</v>
      </c>
      <c r="FA7" s="389">
        <f t="shared" ca="1" si="293"/>
        <v>59.999990700000012</v>
      </c>
      <c r="FB7" s="389">
        <f t="shared" ca="1" si="293"/>
        <v>116.52252900000002</v>
      </c>
      <c r="FD7" s="394"/>
      <c r="FE7" s="394"/>
      <c r="FF7" s="395"/>
      <c r="FG7" s="394"/>
      <c r="FH7" s="1338"/>
      <c r="FI7" s="395"/>
      <c r="FJ7" s="394"/>
      <c r="FL7" s="386" t="s">
        <v>1169</v>
      </c>
      <c r="FM7" s="387" t="s">
        <v>1887</v>
      </c>
      <c r="FN7" s="389">
        <f ca="1">FN90</f>
        <v>32</v>
      </c>
      <c r="FO7" s="389">
        <f t="shared" ref="FO7:FX7" ca="1" si="294">FO90</f>
        <v>32</v>
      </c>
      <c r="FP7" s="389">
        <f t="shared" ca="1" si="294"/>
        <v>59.999990700000012</v>
      </c>
      <c r="FQ7" s="389">
        <f t="shared" ca="1" si="294"/>
        <v>116.52252900000002</v>
      </c>
      <c r="FR7" s="389">
        <f t="shared" ca="1" si="294"/>
        <v>90.714099900000008</v>
      </c>
      <c r="FS7" s="389">
        <f t="shared" ca="1" si="294"/>
        <v>113.73433899999998</v>
      </c>
      <c r="FT7" s="389">
        <f t="shared" ca="1" si="294"/>
        <v>71.583530699999983</v>
      </c>
      <c r="FU7" s="389">
        <f t="shared" ca="1" si="294"/>
        <v>32.862494700000013</v>
      </c>
      <c r="FV7" s="389">
        <f t="shared" ca="1" si="294"/>
        <v>33</v>
      </c>
      <c r="FW7" s="389">
        <f t="shared" ca="1" si="294"/>
        <v>33.705198300000006</v>
      </c>
      <c r="FX7" s="389">
        <f t="shared" ca="1" si="294"/>
        <v>34.233848000000023</v>
      </c>
      <c r="FZ7" s="385"/>
      <c r="GA7" s="386"/>
      <c r="GB7" s="393"/>
      <c r="GC7" s="386" t="s">
        <v>2005</v>
      </c>
      <c r="GD7" s="1337">
        <f t="shared" ca="1" si="21"/>
        <v>4.7301973300000002</v>
      </c>
      <c r="GE7" s="1467">
        <f t="shared" ca="1" si="22"/>
        <v>4.0672376010318142E-3</v>
      </c>
      <c r="GF7" s="385" t="s">
        <v>1237</v>
      </c>
      <c r="GH7" s="386" t="s">
        <v>1169</v>
      </c>
      <c r="GI7" s="387" t="s">
        <v>1887</v>
      </c>
      <c r="GJ7" s="389">
        <f ca="1">GJ90</f>
        <v>90.714099900000008</v>
      </c>
      <c r="GK7" s="389">
        <f t="shared" ref="GK7:GQ7" ca="1" si="295">GK90</f>
        <v>116</v>
      </c>
      <c r="GL7" s="389">
        <f t="shared" ca="1" si="295"/>
        <v>116</v>
      </c>
      <c r="GM7" s="389">
        <f t="shared" ca="1" si="295"/>
        <v>116</v>
      </c>
      <c r="GN7" s="389">
        <f t="shared" ca="1" si="295"/>
        <v>38</v>
      </c>
      <c r="GO7" s="389">
        <f t="shared" ca="1" si="295"/>
        <v>35.222575899999981</v>
      </c>
      <c r="GP7" s="389">
        <f t="shared" ca="1" si="295"/>
        <v>91.699999999999989</v>
      </c>
      <c r="GQ7" s="389">
        <f t="shared" ca="1" si="295"/>
        <v>71.583530699999983</v>
      </c>
      <c r="GS7" s="385" t="s">
        <v>347</v>
      </c>
      <c r="GT7" s="386" t="s">
        <v>2010</v>
      </c>
      <c r="GU7" s="1467">
        <f ca="1">VLOOKUP(GS7,INDIRECT(LU_HEAT),2,FALSE)</f>
        <v>5.1878718900000003</v>
      </c>
      <c r="GV7" s="386"/>
      <c r="GW7" s="1337"/>
      <c r="GX7" s="393"/>
      <c r="GY7" s="385"/>
      <c r="HA7" s="386" t="s">
        <v>1169</v>
      </c>
      <c r="HB7" s="387" t="s">
        <v>1887</v>
      </c>
      <c r="HC7" s="389">
        <f ca="1">HC90</f>
        <v>47</v>
      </c>
      <c r="HD7" s="389">
        <f t="shared" ref="HD7:HH7" ca="1" si="296">HD90</f>
        <v>47.401204199999995</v>
      </c>
      <c r="HE7" s="389">
        <f t="shared" ca="1" si="296"/>
        <v>80</v>
      </c>
      <c r="HF7" s="389">
        <f t="shared" ca="1" si="296"/>
        <v>55.274737099999982</v>
      </c>
      <c r="HG7" s="389">
        <f t="shared" ca="1" si="296"/>
        <v>55.274737099999982</v>
      </c>
      <c r="HH7" s="389">
        <f t="shared" ca="1" si="296"/>
        <v>47.190559600000029</v>
      </c>
      <c r="HJ7" s="385"/>
      <c r="HK7" s="386"/>
      <c r="HL7" s="393"/>
      <c r="HM7" s="386" t="s">
        <v>2016</v>
      </c>
      <c r="HN7" s="1337">
        <f t="shared" ca="1" si="27"/>
        <v>1044.1308200000001</v>
      </c>
      <c r="HO7" s="1467">
        <f t="shared" ca="1" si="28"/>
        <v>0.8977909028374893</v>
      </c>
      <c r="HP7" s="385" t="s">
        <v>1606</v>
      </c>
      <c r="HR7" s="386" t="s">
        <v>1169</v>
      </c>
      <c r="HS7" s="387" t="s">
        <v>1887</v>
      </c>
      <c r="HT7" s="389">
        <f ca="1">HT90</f>
        <v>99.688555599999972</v>
      </c>
      <c r="HU7" s="389">
        <f t="shared" ref="HU7:IE7" ca="1" si="297">HU90</f>
        <v>47.401204199999995</v>
      </c>
      <c r="HV7" s="389">
        <f t="shared" ca="1" si="297"/>
        <v>51.840398499999992</v>
      </c>
      <c r="HW7" s="389">
        <f t="shared" ca="1" si="297"/>
        <v>35</v>
      </c>
      <c r="HX7" s="389">
        <f t="shared" ca="1" si="297"/>
        <v>34.934752199999991</v>
      </c>
      <c r="HY7" s="389">
        <f t="shared" ca="1" si="297"/>
        <v>34.934752199999991</v>
      </c>
      <c r="HZ7" s="389">
        <f t="shared" ca="1" si="297"/>
        <v>38.274052900000015</v>
      </c>
      <c r="IA7" s="389">
        <f t="shared" ca="1" si="297"/>
        <v>86.413019500000019</v>
      </c>
      <c r="IB7" s="389">
        <f t="shared" ca="1" si="297"/>
        <v>100.27182199999999</v>
      </c>
      <c r="IC7" s="389">
        <f t="shared" ca="1" si="297"/>
        <v>13</v>
      </c>
      <c r="ID7" s="389">
        <f t="shared" ca="1" si="297"/>
        <v>59.151174400000002</v>
      </c>
      <c r="IE7" s="389">
        <f t="shared" ca="1" si="297"/>
        <v>28.126799099999971</v>
      </c>
      <c r="IG7" s="385"/>
      <c r="IH7" s="394"/>
      <c r="II7" s="395"/>
      <c r="IJ7" s="394"/>
      <c r="IK7" s="1338"/>
      <c r="IL7" s="395"/>
      <c r="IM7" s="385"/>
      <c r="IO7" s="386" t="s">
        <v>1169</v>
      </c>
      <c r="IP7" s="387" t="s">
        <v>1887</v>
      </c>
      <c r="IQ7" s="389">
        <f ca="1">IQ90</f>
        <v>34.934752199999991</v>
      </c>
      <c r="IR7" s="389">
        <f t="shared" ref="IR7:JH7" ca="1" si="298">IR90</f>
        <v>34.934752199999991</v>
      </c>
      <c r="IS7" s="389">
        <f t="shared" ca="1" si="298"/>
        <v>25.138527099999976</v>
      </c>
      <c r="IT7" s="389">
        <f t="shared" ca="1" si="298"/>
        <v>29.424044700000024</v>
      </c>
      <c r="IU7" s="389">
        <f t="shared" ref="IU7" ca="1" si="299">IU90</f>
        <v>29.423973799999999</v>
      </c>
      <c r="IV7" s="389">
        <f t="shared" ca="1" si="298"/>
        <v>25</v>
      </c>
      <c r="IW7" s="389">
        <f t="shared" ca="1" si="298"/>
        <v>25.138527099999976</v>
      </c>
      <c r="IX7" s="389">
        <f t="shared" ref="IX7" ca="1" si="300">IX90</f>
        <v>25</v>
      </c>
      <c r="IY7" s="389">
        <f t="shared" ca="1" si="298"/>
        <v>29.487460199999987</v>
      </c>
      <c r="IZ7" s="389">
        <f t="shared" ca="1" si="298"/>
        <v>25.221569999999986</v>
      </c>
      <c r="JA7" s="389">
        <f t="shared" ca="1" si="298"/>
        <v>25.107173299999999</v>
      </c>
      <c r="JB7" s="389">
        <f t="shared" ca="1" si="298"/>
        <v>27.087556000000006</v>
      </c>
      <c r="JC7" s="389">
        <f t="shared" ca="1" si="298"/>
        <v>100</v>
      </c>
      <c r="JD7" s="389">
        <f t="shared" ca="1" si="298"/>
        <v>25.221569999999986</v>
      </c>
      <c r="JE7" s="389">
        <f t="shared" ca="1" si="298"/>
        <v>25.261518700000011</v>
      </c>
      <c r="JF7" s="389">
        <f t="shared" ca="1" si="298"/>
        <v>25</v>
      </c>
      <c r="JG7" s="389">
        <f t="shared" ca="1" si="298"/>
        <v>20.251764499999979</v>
      </c>
      <c r="JH7" s="389">
        <f t="shared" ca="1" si="298"/>
        <v>86.413019500000019</v>
      </c>
      <c r="JJ7" s="385"/>
      <c r="JK7" s="386"/>
      <c r="JL7" s="393"/>
      <c r="JM7" s="386" t="s">
        <v>3273</v>
      </c>
      <c r="JN7" s="1337">
        <f t="shared" ca="1" si="273"/>
        <v>74.643042699999995</v>
      </c>
      <c r="JO7" s="1467">
        <f t="shared" ca="1" si="274"/>
        <v>6.4181464058469473E-2</v>
      </c>
      <c r="JP7" s="385" t="s">
        <v>3268</v>
      </c>
      <c r="JR7" s="386" t="s">
        <v>1169</v>
      </c>
      <c r="JS7" s="387" t="s">
        <v>1887</v>
      </c>
      <c r="JT7" s="389">
        <f ca="1">JT90</f>
        <v>20.379153500000029</v>
      </c>
      <c r="JU7" s="389">
        <f t="shared" ref="JU7:KC7" ca="1" si="301">JU90</f>
        <v>20.379153500000029</v>
      </c>
      <c r="JV7" s="389">
        <f t="shared" ca="1" si="301"/>
        <v>20</v>
      </c>
      <c r="JW7" s="389">
        <f t="shared" ca="1" si="301"/>
        <v>20</v>
      </c>
      <c r="JX7" s="389">
        <f t="shared" ca="1" si="301"/>
        <v>38</v>
      </c>
      <c r="JY7" s="389">
        <f t="shared" ca="1" si="301"/>
        <v>21.338006199999995</v>
      </c>
      <c r="JZ7" s="389">
        <f t="shared" ca="1" si="301"/>
        <v>20.297981199999981</v>
      </c>
      <c r="KA7" s="389">
        <f t="shared" ca="1" si="301"/>
        <v>20.905907300000024</v>
      </c>
      <c r="KB7" s="389">
        <f t="shared" ca="1" si="301"/>
        <v>20</v>
      </c>
      <c r="KC7" s="389">
        <f t="shared" ca="1" si="301"/>
        <v>20</v>
      </c>
      <c r="KE7" s="386" t="s">
        <v>2030</v>
      </c>
      <c r="KF7" s="1337">
        <f t="shared" ca="1" si="38"/>
        <v>0.3802529</v>
      </c>
      <c r="KG7" s="1467">
        <f t="shared" ca="1" si="39"/>
        <v>3.2695864144454003E-4</v>
      </c>
      <c r="KH7" s="385" t="s">
        <v>1244</v>
      </c>
      <c r="KJ7" s="386" t="s">
        <v>1169</v>
      </c>
      <c r="KK7" s="387" t="s">
        <v>1887</v>
      </c>
      <c r="KL7" s="389">
        <f ca="1">KL90</f>
        <v>20</v>
      </c>
      <c r="KM7" s="389">
        <f t="shared" ref="KM7:KR7" ca="1" si="302">KM90</f>
        <v>20</v>
      </c>
      <c r="KN7" s="389">
        <f t="shared" ca="1" si="302"/>
        <v>20</v>
      </c>
      <c r="KO7" s="389">
        <f t="shared" ca="1" si="302"/>
        <v>28</v>
      </c>
      <c r="KP7" s="389">
        <f t="shared" ca="1" si="302"/>
        <v>28</v>
      </c>
      <c r="KQ7" s="389">
        <f t="shared" ca="1" si="302"/>
        <v>20</v>
      </c>
      <c r="KR7" s="389">
        <f t="shared" ca="1" si="302"/>
        <v>20</v>
      </c>
      <c r="KT7" s="394"/>
      <c r="KU7" s="1338"/>
      <c r="KV7" s="395"/>
      <c r="KW7" s="394"/>
      <c r="KY7" s="386" t="s">
        <v>1169</v>
      </c>
      <c r="KZ7" s="387" t="s">
        <v>1887</v>
      </c>
      <c r="LA7" s="389">
        <f ca="1">LA90</f>
        <v>55.274737099999982</v>
      </c>
      <c r="LB7" s="389">
        <f t="shared" ref="LB7:LK7" ca="1" si="303">LB90</f>
        <v>38.274052900000015</v>
      </c>
      <c r="LC7" s="389">
        <f t="shared" ca="1" si="303"/>
        <v>28.694925300000023</v>
      </c>
      <c r="LD7" s="389">
        <f t="shared" ca="1" si="303"/>
        <v>191.77117799999996</v>
      </c>
      <c r="LE7" s="389">
        <f t="shared" ca="1" si="303"/>
        <v>25</v>
      </c>
      <c r="LF7" s="389">
        <f t="shared" ca="1" si="303"/>
        <v>278.30000000000007</v>
      </c>
      <c r="LG7" s="389">
        <f t="shared" ca="1" si="303"/>
        <v>149</v>
      </c>
      <c r="LH7" s="389">
        <f t="shared" ca="1" si="303"/>
        <v>0</v>
      </c>
      <c r="LI7" s="389">
        <f t="shared" ca="1" si="303"/>
        <v>145.31992700000001</v>
      </c>
      <c r="LJ7" s="389">
        <f t="shared" ca="1" si="303"/>
        <v>33</v>
      </c>
      <c r="LK7" s="389">
        <f t="shared" ca="1" si="303"/>
        <v>25</v>
      </c>
      <c r="LM7" s="385"/>
      <c r="LN7" s="394"/>
      <c r="LO7" s="395"/>
      <c r="LP7" s="394"/>
      <c r="LQ7" s="1338"/>
      <c r="LR7" s="395"/>
      <c r="LS7" s="385"/>
      <c r="LU7" s="386" t="s">
        <v>1169</v>
      </c>
      <c r="LV7" s="387" t="s">
        <v>1887</v>
      </c>
      <c r="LW7" s="389">
        <f t="shared" ref="LW7:LX9" ca="1" si="304">LW90</f>
        <v>265.65910599999995</v>
      </c>
      <c r="LX7" s="389">
        <f t="shared" ca="1" si="304"/>
        <v>265.65910599999995</v>
      </c>
      <c r="LY7" s="389">
        <f t="shared" ref="LY7:MO7" ca="1" si="305">LY90</f>
        <v>55.274737099999982</v>
      </c>
      <c r="LZ7" s="389">
        <f t="shared" ca="1" si="305"/>
        <v>29.487460199999987</v>
      </c>
      <c r="MA7" s="389">
        <f t="shared" ca="1" si="305"/>
        <v>47.052243200000021</v>
      </c>
      <c r="MB7" s="389">
        <f t="shared" ca="1" si="305"/>
        <v>191.77117799999996</v>
      </c>
      <c r="MC7" s="389">
        <f t="shared" ca="1" si="305"/>
        <v>278.30000000000007</v>
      </c>
      <c r="MD7" s="389">
        <f t="shared" ca="1" si="305"/>
        <v>454.44444600000008</v>
      </c>
      <c r="ME7" s="389">
        <f t="shared" ca="1" si="305"/>
        <v>265.65910599999995</v>
      </c>
      <c r="MF7" s="389">
        <f t="shared" ca="1" si="305"/>
        <v>113.56303100000002</v>
      </c>
      <c r="MG7" s="389">
        <f t="shared" ca="1" si="305"/>
        <v>176.03846299999998</v>
      </c>
      <c r="MH7" s="389">
        <f t="shared" ref="MH7:MI7" ca="1" si="306">MH90</f>
        <v>232.83522500000004</v>
      </c>
      <c r="MI7" s="389">
        <f t="shared" ca="1" si="306"/>
        <v>232.83522500000004</v>
      </c>
      <c r="MJ7" s="389">
        <f t="shared" ca="1" si="305"/>
        <v>46.089356399999986</v>
      </c>
      <c r="MK7" s="389">
        <f t="shared" ca="1" si="305"/>
        <v>46.089356399999986</v>
      </c>
      <c r="ML7" s="389">
        <f t="shared" ca="1" si="305"/>
        <v>46.156680199999983</v>
      </c>
      <c r="MM7" s="389">
        <f t="shared" ca="1" si="305"/>
        <v>100.27182199999999</v>
      </c>
      <c r="MN7" s="389">
        <f t="shared" ca="1" si="305"/>
        <v>192.21641599999998</v>
      </c>
      <c r="MO7" s="389">
        <f t="shared" ca="1" si="305"/>
        <v>25</v>
      </c>
      <c r="MQ7" s="385"/>
      <c r="MR7" s="386"/>
      <c r="MS7" s="393"/>
      <c r="MT7" s="386" t="s">
        <v>195</v>
      </c>
      <c r="MU7" s="1337">
        <f t="shared" ca="1" si="49"/>
        <v>-41334.121099999997</v>
      </c>
      <c r="MV7" s="1467">
        <f t="shared" ca="1" si="50"/>
        <v>-35.540946775580402</v>
      </c>
      <c r="MW7" s="392" t="s">
        <v>446</v>
      </c>
      <c r="MY7" s="386" t="s">
        <v>1169</v>
      </c>
      <c r="MZ7" s="387" t="s">
        <v>1887</v>
      </c>
      <c r="NA7" s="389">
        <f ca="1">NA90</f>
        <v>130</v>
      </c>
      <c r="NB7" s="389">
        <f t="shared" ref="NB7:NP7" ca="1" si="307">NB90</f>
        <v>99.967246400000022</v>
      </c>
      <c r="NC7" s="389">
        <f t="shared" ca="1" si="307"/>
        <v>99.967246400000022</v>
      </c>
      <c r="ND7" s="389">
        <f t="shared" ca="1" si="307"/>
        <v>33</v>
      </c>
      <c r="NE7" s="389">
        <f t="shared" ca="1" si="307"/>
        <v>113.662352</v>
      </c>
      <c r="NF7" s="389">
        <f t="shared" ca="1" si="307"/>
        <v>110.99383599999999</v>
      </c>
      <c r="NG7" s="389">
        <f t="shared" ca="1" si="307"/>
        <v>95</v>
      </c>
      <c r="NH7" s="389">
        <f t="shared" ca="1" si="307"/>
        <v>0</v>
      </c>
      <c r="NI7" s="389">
        <f t="shared" ca="1" si="307"/>
        <v>112.64158299999997</v>
      </c>
      <c r="NJ7" s="389">
        <f t="shared" ca="1" si="307"/>
        <v>113.56303100000002</v>
      </c>
      <c r="NK7" s="389">
        <f t="shared" ca="1" si="307"/>
        <v>232.83522500000004</v>
      </c>
      <c r="NL7" s="389">
        <f t="shared" ca="1" si="307"/>
        <v>46.156680199999983</v>
      </c>
      <c r="NM7" s="389">
        <f t="shared" ca="1" si="307"/>
        <v>100.27182199999999</v>
      </c>
      <c r="NN7" s="389">
        <f t="shared" ca="1" si="307"/>
        <v>99.990642100000002</v>
      </c>
      <c r="NO7" s="389">
        <f t="shared" ca="1" si="307"/>
        <v>192.21641599999998</v>
      </c>
      <c r="NP7" s="389">
        <f t="shared" ca="1" si="307"/>
        <v>170.95566400000001</v>
      </c>
      <c r="NR7" s="385"/>
      <c r="NS7" s="386"/>
      <c r="NT7" s="393"/>
      <c r="NU7" s="386" t="s">
        <v>2044</v>
      </c>
      <c r="NV7" s="1337">
        <f t="shared" ca="1" si="52"/>
        <v>1.9757591800000001</v>
      </c>
      <c r="NW7" s="1467">
        <f t="shared" ca="1" si="53"/>
        <v>1.6988471023215823E-3</v>
      </c>
      <c r="NX7" s="385" t="s">
        <v>3293</v>
      </c>
      <c r="NZ7" s="394"/>
      <c r="OA7" s="386" t="s">
        <v>2048</v>
      </c>
      <c r="OB7" s="1337">
        <f t="shared" ca="1" si="54"/>
        <v>0.74569987000000004</v>
      </c>
      <c r="OC7" s="1467">
        <f t="shared" ca="1" si="55"/>
        <v>6.4118647463456578E-4</v>
      </c>
      <c r="OD7" s="385" t="s">
        <v>3298</v>
      </c>
      <c r="OF7" s="386" t="s">
        <v>1169</v>
      </c>
      <c r="OG7" s="387" t="s">
        <v>1887</v>
      </c>
      <c r="OH7" s="389">
        <f ca="1">OH90</f>
        <v>28.190450100000021</v>
      </c>
      <c r="OI7" s="389">
        <f t="shared" ref="OI7:OO7" ca="1" si="308">OI90</f>
        <v>33</v>
      </c>
      <c r="OJ7" s="389">
        <f t="shared" ca="1" si="308"/>
        <v>28.126799099999971</v>
      </c>
      <c r="OK7" s="389">
        <f t="shared" ca="1" si="308"/>
        <v>37</v>
      </c>
      <c r="OL7" s="389">
        <f t="shared" ca="1" si="308"/>
        <v>25</v>
      </c>
      <c r="OM7" s="389">
        <f t="shared" ca="1" si="308"/>
        <v>37.177542200000005</v>
      </c>
      <c r="ON7" s="389">
        <f t="shared" ca="1" si="308"/>
        <v>4</v>
      </c>
      <c r="OO7" s="389">
        <f t="shared" ca="1" si="308"/>
        <v>15</v>
      </c>
      <c r="OQ7" s="385"/>
      <c r="OR7" s="386"/>
      <c r="OS7" s="393"/>
      <c r="OT7" s="386" t="s">
        <v>2053</v>
      </c>
      <c r="OU7" s="1337">
        <f t="shared" ca="1" si="57"/>
        <v>1597.8791200000001</v>
      </c>
      <c r="OV7" s="1467">
        <f t="shared" ca="1" si="58"/>
        <v>1.3739287360275152</v>
      </c>
      <c r="OW7" s="385" t="s">
        <v>443</v>
      </c>
      <c r="OY7" s="386" t="s">
        <v>1169</v>
      </c>
      <c r="OZ7" s="387" t="s">
        <v>1887</v>
      </c>
      <c r="PA7" s="389">
        <f ca="1">PA90</f>
        <v>33.128185400000007</v>
      </c>
      <c r="PB7" s="389">
        <f t="shared" ref="PB7:PK7" ca="1" si="309">PB90</f>
        <v>33.128185400000007</v>
      </c>
      <c r="PC7" s="389">
        <f t="shared" ca="1" si="309"/>
        <v>33.128185400000007</v>
      </c>
      <c r="PD7" s="389">
        <f t="shared" ca="1" si="309"/>
        <v>33.128185400000007</v>
      </c>
      <c r="PE7" s="389">
        <f t="shared" ca="1" si="309"/>
        <v>27.087556000000006</v>
      </c>
      <c r="PF7" s="389">
        <f t="shared" ca="1" si="309"/>
        <v>33.128185400000007</v>
      </c>
      <c r="PG7" s="389">
        <f t="shared" ca="1" si="309"/>
        <v>33.128185400000007</v>
      </c>
      <c r="PH7" s="389">
        <f t="shared" ca="1" si="309"/>
        <v>59.151174400000002</v>
      </c>
      <c r="PI7" s="389">
        <f t="shared" ca="1" si="309"/>
        <v>33.128185400000007</v>
      </c>
      <c r="PJ7" s="389">
        <f t="shared" ca="1" si="309"/>
        <v>20</v>
      </c>
      <c r="PK7" s="389">
        <f t="shared" ca="1" si="309"/>
        <v>33</v>
      </c>
      <c r="PM7" s="385"/>
      <c r="PN7" s="394"/>
      <c r="PO7" s="395"/>
      <c r="PP7" s="394"/>
      <c r="PQ7" s="1338"/>
      <c r="PR7" s="395"/>
      <c r="PS7" s="385"/>
      <c r="PU7" s="386" t="s">
        <v>1169</v>
      </c>
      <c r="PV7" s="387" t="s">
        <v>1887</v>
      </c>
      <c r="PW7" s="389">
        <f ca="1">PW90</f>
        <v>20</v>
      </c>
      <c r="PX7" s="389">
        <f t="shared" ref="PX7:PZ7" ca="1" si="310">PX90</f>
        <v>121</v>
      </c>
      <c r="PY7" s="389">
        <f t="shared" ca="1" si="310"/>
        <v>20</v>
      </c>
      <c r="PZ7" s="389">
        <f t="shared" ca="1" si="310"/>
        <v>20</v>
      </c>
      <c r="QB7" s="394"/>
      <c r="QC7" s="394"/>
      <c r="QD7" s="395"/>
      <c r="QE7" s="394"/>
      <c r="QF7" s="1338"/>
      <c r="QG7" s="395"/>
      <c r="QH7" s="394"/>
      <c r="QI7" s="395"/>
      <c r="QJ7" s="896"/>
      <c r="QK7" s="896"/>
    </row>
    <row r="8" spans="1:453" x14ac:dyDescent="0.25">
      <c r="H8" s="386" t="s">
        <v>1888</v>
      </c>
      <c r="I8" s="387" t="s">
        <v>1889</v>
      </c>
      <c r="J8" s="391">
        <f t="shared" ca="1" si="284"/>
        <v>1</v>
      </c>
      <c r="K8" s="391">
        <f t="shared" ca="1" si="284"/>
        <v>1</v>
      </c>
      <c r="M8" s="386" t="s">
        <v>1944</v>
      </c>
      <c r="N8" s="1337">
        <f t="shared" ca="1" si="66"/>
        <v>15.831284800000001</v>
      </c>
      <c r="O8" s="1467">
        <f t="shared" ca="1" si="67"/>
        <v>1.3612454686156492E-2</v>
      </c>
      <c r="P8" s="385" t="s">
        <v>1195</v>
      </c>
      <c r="R8" s="386" t="s">
        <v>1888</v>
      </c>
      <c r="S8" s="387" t="s">
        <v>1889</v>
      </c>
      <c r="T8" s="391">
        <f ca="1">T91</f>
        <v>1</v>
      </c>
      <c r="U8" s="391">
        <f t="shared" ref="U8:AD8" ca="1" si="311">U91</f>
        <v>4.6597701799999998</v>
      </c>
      <c r="V8" s="391">
        <f t="shared" ca="1" si="311"/>
        <v>6.0910336200000001</v>
      </c>
      <c r="W8" s="391">
        <f t="shared" ca="1" si="311"/>
        <v>13</v>
      </c>
      <c r="X8" s="391">
        <f t="shared" ca="1" si="311"/>
        <v>13</v>
      </c>
      <c r="Y8" s="391">
        <f t="shared" ca="1" si="311"/>
        <v>5.67590605</v>
      </c>
      <c r="Z8" s="391">
        <f t="shared" ca="1" si="311"/>
        <v>2.60088886</v>
      </c>
      <c r="AA8" s="391">
        <f t="shared" ca="1" si="311"/>
        <v>9.6008888599999995</v>
      </c>
      <c r="AB8" s="391">
        <f t="shared" ca="1" si="311"/>
        <v>11.7811041</v>
      </c>
      <c r="AC8" s="391">
        <f t="shared" ca="1" si="311"/>
        <v>6.0910336200000001</v>
      </c>
      <c r="AD8" s="391">
        <f t="shared" ca="1" si="311"/>
        <v>5.4229876600000013</v>
      </c>
      <c r="AF8" s="386" t="s">
        <v>1955</v>
      </c>
      <c r="AG8" s="1337">
        <f t="shared" ca="1" si="1"/>
        <v>79.999744000000007</v>
      </c>
      <c r="AH8" s="1467">
        <f t="shared" ca="1" si="69"/>
        <v>6.8787398108340489E-2</v>
      </c>
      <c r="AI8" s="385" t="s">
        <v>1206</v>
      </c>
      <c r="AK8" s="386" t="s">
        <v>1888</v>
      </c>
      <c r="AL8" s="387" t="s">
        <v>1889</v>
      </c>
      <c r="AM8" s="391">
        <f ca="1">AM91</f>
        <v>5</v>
      </c>
      <c r="AN8" s="391">
        <f t="shared" ref="AN8:BB8" ca="1" si="312">AN91</f>
        <v>4.6597701799999998</v>
      </c>
      <c r="AO8" s="391">
        <f t="shared" ref="AO8:AS8" ca="1" si="313">AO91</f>
        <v>9.6008888599999995</v>
      </c>
      <c r="AP8" s="391">
        <f t="shared" ca="1" si="313"/>
        <v>5.7</v>
      </c>
      <c r="AQ8" s="391">
        <f t="shared" ca="1" si="313"/>
        <v>1</v>
      </c>
      <c r="AR8" s="391">
        <f t="shared" ca="1" si="313"/>
        <v>1</v>
      </c>
      <c r="AS8" s="391">
        <f t="shared" ca="1" si="313"/>
        <v>1</v>
      </c>
      <c r="AT8" s="391">
        <f t="shared" ca="1" si="312"/>
        <v>1</v>
      </c>
      <c r="AU8" s="391">
        <f t="shared" ca="1" si="312"/>
        <v>1</v>
      </c>
      <c r="AV8" s="391">
        <f t="shared" ca="1" si="312"/>
        <v>1</v>
      </c>
      <c r="AW8" s="391">
        <f t="shared" ca="1" si="312"/>
        <v>1</v>
      </c>
      <c r="AX8" s="391">
        <f t="shared" ca="1" si="312"/>
        <v>1</v>
      </c>
      <c r="AY8" s="391">
        <f t="shared" ca="1" si="312"/>
        <v>9</v>
      </c>
      <c r="AZ8" s="391">
        <f t="shared" ca="1" si="312"/>
        <v>5</v>
      </c>
      <c r="BA8" s="391">
        <f t="shared" ca="1" si="312"/>
        <v>5</v>
      </c>
      <c r="BB8" s="391">
        <f t="shared" ca="1" si="312"/>
        <v>4.3365398500000003</v>
      </c>
      <c r="BD8" s="385"/>
      <c r="BE8" s="386"/>
      <c r="BF8" s="393"/>
      <c r="BG8" s="386" t="s">
        <v>1970</v>
      </c>
      <c r="BH8" s="1337">
        <f t="shared" ca="1" si="3"/>
        <v>127</v>
      </c>
      <c r="BI8" s="1467">
        <f t="shared" ca="1" si="4"/>
        <v>0.10920034393809114</v>
      </c>
      <c r="BJ8" s="385" t="s">
        <v>1599</v>
      </c>
      <c r="BL8" s="386" t="s">
        <v>1888</v>
      </c>
      <c r="BM8" s="387" t="s">
        <v>1889</v>
      </c>
      <c r="BN8" s="391">
        <f ca="1">BN91</f>
        <v>1</v>
      </c>
      <c r="BO8" s="391">
        <f t="shared" ref="BO8:BR8" ca="1" si="314">BO91</f>
        <v>4.99289761</v>
      </c>
      <c r="BP8" s="391">
        <f t="shared" ca="1" si="314"/>
        <v>1</v>
      </c>
      <c r="BQ8" s="391">
        <f t="shared" ca="1" si="314"/>
        <v>1</v>
      </c>
      <c r="BR8" s="391">
        <f t="shared" ca="1" si="314"/>
        <v>1</v>
      </c>
      <c r="BT8" s="385"/>
      <c r="BU8" s="394"/>
      <c r="BV8" s="395"/>
      <c r="BW8" s="394"/>
      <c r="BX8" s="1338"/>
      <c r="BY8" s="395"/>
      <c r="BZ8" s="385"/>
      <c r="CB8" s="386" t="s">
        <v>1888</v>
      </c>
      <c r="CC8" s="387" t="s">
        <v>1889</v>
      </c>
      <c r="CD8" s="391">
        <f ca="1">CD91</f>
        <v>4.3365398500000003</v>
      </c>
      <c r="CE8" s="391">
        <f t="shared" ref="CE8:CO8" ca="1" si="315">CE91</f>
        <v>2.5</v>
      </c>
      <c r="CF8" s="391">
        <f t="shared" ca="1" si="315"/>
        <v>1</v>
      </c>
      <c r="CG8" s="391">
        <f t="shared" ca="1" si="315"/>
        <v>4.99289761</v>
      </c>
      <c r="CH8" s="391">
        <f t="shared" ca="1" si="315"/>
        <v>5.0827578400000002</v>
      </c>
      <c r="CI8" s="391">
        <f t="shared" ca="1" si="315"/>
        <v>1</v>
      </c>
      <c r="CJ8" s="391">
        <f t="shared" ca="1" si="315"/>
        <v>1</v>
      </c>
      <c r="CK8" s="391">
        <f t="shared" ca="1" si="315"/>
        <v>1</v>
      </c>
      <c r="CL8" s="391">
        <f t="shared" ca="1" si="315"/>
        <v>1</v>
      </c>
      <c r="CM8" s="391">
        <f t="shared" ca="1" si="315"/>
        <v>1.9239300399999999</v>
      </c>
      <c r="CN8" s="391">
        <f t="shared" ca="1" si="315"/>
        <v>6.0149875499999998</v>
      </c>
      <c r="CO8" s="391">
        <f t="shared" ca="1" si="315"/>
        <v>4.3022982000000001</v>
      </c>
      <c r="CQ8" s="385"/>
      <c r="CR8" s="386"/>
      <c r="CS8" s="393"/>
      <c r="CT8" s="386" t="s">
        <v>1980</v>
      </c>
      <c r="CU8" s="1337">
        <f t="shared" ca="1" si="9"/>
        <v>14.9139974</v>
      </c>
      <c r="CV8" s="1467">
        <f t="shared" ca="1" si="10"/>
        <v>1.2823729492691316E-2</v>
      </c>
      <c r="CW8" s="385" t="s">
        <v>1225</v>
      </c>
      <c r="CY8" s="386" t="s">
        <v>1888</v>
      </c>
      <c r="CZ8" s="387" t="s">
        <v>1889</v>
      </c>
      <c r="DA8" s="391">
        <f ca="1">DA91</f>
        <v>3.0413789199999997</v>
      </c>
      <c r="DB8" s="391">
        <f t="shared" ref="DB8:DJ8" ca="1" si="316">DB91</f>
        <v>1</v>
      </c>
      <c r="DC8" s="391">
        <f t="shared" ca="1" si="316"/>
        <v>3</v>
      </c>
      <c r="DD8" s="391">
        <f t="shared" ca="1" si="316"/>
        <v>9</v>
      </c>
      <c r="DE8" s="391">
        <f t="shared" ca="1" si="316"/>
        <v>2.0206894599999998</v>
      </c>
      <c r="DF8" s="391">
        <f t="shared" ca="1" si="316"/>
        <v>1</v>
      </c>
      <c r="DG8" s="391">
        <f t="shared" ca="1" si="316"/>
        <v>1</v>
      </c>
      <c r="DH8" s="391">
        <f t="shared" ca="1" si="316"/>
        <v>3</v>
      </c>
      <c r="DI8" s="391">
        <f t="shared" ca="1" si="316"/>
        <v>3</v>
      </c>
      <c r="DJ8" s="391">
        <f t="shared" ca="1" si="316"/>
        <v>3</v>
      </c>
      <c r="DL8" s="385"/>
      <c r="DM8" s="394"/>
      <c r="DN8" s="395"/>
      <c r="DO8" s="394"/>
      <c r="DP8" s="1338"/>
      <c r="DQ8" s="395"/>
      <c r="DR8" s="385"/>
      <c r="DT8" s="386" t="s">
        <v>1888</v>
      </c>
      <c r="DU8" s="387" t="s">
        <v>1889</v>
      </c>
      <c r="DV8" s="391">
        <f ca="1">DV91</f>
        <v>5</v>
      </c>
      <c r="DW8" s="391">
        <f t="shared" ref="DW8:EK8" ca="1" si="317">DW91</f>
        <v>1</v>
      </c>
      <c r="DX8" s="391">
        <f t="shared" ca="1" si="317"/>
        <v>3.0413789199999997</v>
      </c>
      <c r="DY8" s="391">
        <f t="shared" ca="1" si="317"/>
        <v>3.0413789199999997</v>
      </c>
      <c r="DZ8" s="391">
        <f t="shared" ca="1" si="317"/>
        <v>3</v>
      </c>
      <c r="EA8" s="391">
        <f t="shared" ca="1" si="317"/>
        <v>2.0206894599999998</v>
      </c>
      <c r="EB8" s="391">
        <f t="shared" ca="1" si="317"/>
        <v>3.0413789199999997</v>
      </c>
      <c r="EC8" s="391">
        <f t="shared" ca="1" si="317"/>
        <v>2.0206894599999998</v>
      </c>
      <c r="ED8" s="391">
        <f t="shared" ca="1" si="317"/>
        <v>1.9239300399999999</v>
      </c>
      <c r="EE8" s="391">
        <f t="shared" ca="1" si="317"/>
        <v>1</v>
      </c>
      <c r="EF8" s="391">
        <f t="shared" ca="1" si="317"/>
        <v>1</v>
      </c>
      <c r="EG8" s="391">
        <f t="shared" ca="1" si="317"/>
        <v>9</v>
      </c>
      <c r="EH8" s="391">
        <f t="shared" ca="1" si="317"/>
        <v>3</v>
      </c>
      <c r="EI8" s="391">
        <f t="shared" ca="1" si="317"/>
        <v>1</v>
      </c>
      <c r="EJ8" s="391">
        <f t="shared" ref="EJ8" ca="1" si="318">EJ91</f>
        <v>3.2455168099999998</v>
      </c>
      <c r="EK8" s="391">
        <f t="shared" ca="1" si="317"/>
        <v>3</v>
      </c>
      <c r="EM8" s="385"/>
      <c r="EN8" s="386"/>
      <c r="EO8" s="393"/>
      <c r="EP8" s="386" t="s">
        <v>1991</v>
      </c>
      <c r="EQ8" s="1337">
        <f ca="1">VLOOKUP(ES8,INDIRECT(LU_WORK),2,FALSE)</f>
        <v>3.2190361200000002E-3</v>
      </c>
      <c r="ER8" s="1467">
        <f t="shared" ca="1" si="16"/>
        <v>2.7678728460877045E-6</v>
      </c>
      <c r="ES8" s="385" t="s">
        <v>1227</v>
      </c>
      <c r="EU8" s="386" t="s">
        <v>1888</v>
      </c>
      <c r="EV8" s="387" t="s">
        <v>1889</v>
      </c>
      <c r="EW8" s="391">
        <f ca="1">EW91</f>
        <v>6.0149875499999998</v>
      </c>
      <c r="EX8" s="391">
        <f t="shared" ref="EX8:FB8" ca="1" si="319">EX91</f>
        <v>6.0149875499999998</v>
      </c>
      <c r="EY8" s="391">
        <f t="shared" ca="1" si="319"/>
        <v>6.2592494700000012</v>
      </c>
      <c r="EZ8" s="391">
        <f t="shared" ca="1" si="319"/>
        <v>6.2592494700000012</v>
      </c>
      <c r="FA8" s="391">
        <f t="shared" ca="1" si="319"/>
        <v>2.0413789200000001</v>
      </c>
      <c r="FB8" s="391">
        <f t="shared" ca="1" si="319"/>
        <v>2.0899831799999999</v>
      </c>
      <c r="FD8" s="394"/>
      <c r="FE8" s="394"/>
      <c r="FF8" s="395"/>
      <c r="FG8" s="394"/>
      <c r="FH8" s="1338"/>
      <c r="FI8" s="395"/>
      <c r="FJ8" s="394"/>
      <c r="FL8" s="386" t="s">
        <v>1888</v>
      </c>
      <c r="FM8" s="387" t="s">
        <v>1889</v>
      </c>
      <c r="FN8" s="391">
        <f ca="1">FN91</f>
        <v>1</v>
      </c>
      <c r="FO8" s="391">
        <f t="shared" ref="FO8:FX8" ca="1" si="320">FO91</f>
        <v>1</v>
      </c>
      <c r="FP8" s="391">
        <f t="shared" ca="1" si="320"/>
        <v>2.0413789200000001</v>
      </c>
      <c r="FQ8" s="391">
        <f t="shared" ca="1" si="320"/>
        <v>2.0899831799999999</v>
      </c>
      <c r="FR8" s="391">
        <f t="shared" ca="1" si="320"/>
        <v>1.6</v>
      </c>
      <c r="FS8" s="391">
        <f t="shared" ca="1" si="320"/>
        <v>6.0910336200000001</v>
      </c>
      <c r="FT8" s="391">
        <f t="shared" ca="1" si="320"/>
        <v>1.65</v>
      </c>
      <c r="FU8" s="391">
        <f t="shared" ca="1" si="320"/>
        <v>1</v>
      </c>
      <c r="FV8" s="391">
        <f t="shared" ca="1" si="320"/>
        <v>5</v>
      </c>
      <c r="FW8" s="391">
        <f t="shared" ca="1" si="320"/>
        <v>0.9</v>
      </c>
      <c r="FX8" s="391">
        <f t="shared" ca="1" si="320"/>
        <v>4.3022982000000001</v>
      </c>
      <c r="FZ8" s="385"/>
      <c r="GA8" s="394"/>
      <c r="GB8" s="395"/>
      <c r="GC8" s="394"/>
      <c r="GD8" s="1338"/>
      <c r="GE8" s="395"/>
      <c r="GF8" s="394"/>
      <c r="GH8" s="386" t="s">
        <v>1888</v>
      </c>
      <c r="GI8" s="387" t="s">
        <v>1889</v>
      </c>
      <c r="GJ8" s="391">
        <f ca="1">GJ91</f>
        <v>1.6</v>
      </c>
      <c r="GK8" s="391">
        <f t="shared" ref="GK8:GQ8" ca="1" si="321">GK91</f>
        <v>1.6</v>
      </c>
      <c r="GL8" s="391">
        <f t="shared" ca="1" si="321"/>
        <v>1.6</v>
      </c>
      <c r="GM8" s="391">
        <f t="shared" ca="1" si="321"/>
        <v>1.6</v>
      </c>
      <c r="GN8" s="391">
        <f t="shared" ca="1" si="321"/>
        <v>1</v>
      </c>
      <c r="GO8" s="391">
        <f t="shared" ca="1" si="321"/>
        <v>2.5</v>
      </c>
      <c r="GP8" s="391">
        <f t="shared" ca="1" si="321"/>
        <v>1.44</v>
      </c>
      <c r="GQ8" s="391">
        <f t="shared" ca="1" si="321"/>
        <v>1.65</v>
      </c>
      <c r="GS8" s="394"/>
      <c r="GT8" s="394"/>
      <c r="GU8" s="395"/>
      <c r="GV8" s="394"/>
      <c r="GW8" s="1338"/>
      <c r="GX8" s="395"/>
      <c r="GY8" s="394"/>
      <c r="HA8" s="386" t="s">
        <v>1888</v>
      </c>
      <c r="HB8" s="387" t="s">
        <v>1889</v>
      </c>
      <c r="HC8" s="391">
        <f ca="1">HC91</f>
        <v>6.2592494700000012</v>
      </c>
      <c r="HD8" s="391">
        <f t="shared" ref="HD8:HH8" ca="1" si="322">HD91</f>
        <v>3.94997957</v>
      </c>
      <c r="HE8" s="391">
        <f t="shared" ca="1" si="322"/>
        <v>6.9084628700000001</v>
      </c>
      <c r="HF8" s="391">
        <f t="shared" ca="1" si="322"/>
        <v>6.9084628700000001</v>
      </c>
      <c r="HG8" s="391">
        <f t="shared" ca="1" si="322"/>
        <v>6.9084628700000001</v>
      </c>
      <c r="HH8" s="391">
        <f t="shared" ca="1" si="322"/>
        <v>1</v>
      </c>
      <c r="HJ8" s="385"/>
      <c r="HK8" s="386"/>
      <c r="HL8" s="393"/>
      <c r="HM8" s="386" t="s">
        <v>2017</v>
      </c>
      <c r="HN8" s="1337">
        <f t="shared" ca="1" si="27"/>
        <v>36.9527815</v>
      </c>
      <c r="HO8" s="1467">
        <f t="shared" ca="1" si="28"/>
        <v>3.1773672828890799E-2</v>
      </c>
      <c r="HP8" s="385" t="s">
        <v>3242</v>
      </c>
      <c r="HR8" s="386" t="s">
        <v>1888</v>
      </c>
      <c r="HS8" s="387" t="s">
        <v>1889</v>
      </c>
      <c r="HT8" s="391">
        <f ca="1">HT91</f>
        <v>1</v>
      </c>
      <c r="HU8" s="391">
        <f t="shared" ref="HU8:IE8" ca="1" si="323">HU91</f>
        <v>3.94997957</v>
      </c>
      <c r="HV8" s="391">
        <f t="shared" ca="1" si="323"/>
        <v>1.2949979599999999</v>
      </c>
      <c r="HW8" s="391">
        <f t="shared" ca="1" si="323"/>
        <v>1.2949979599999999</v>
      </c>
      <c r="HX8" s="391">
        <f t="shared" ca="1" si="323"/>
        <v>1</v>
      </c>
      <c r="HY8" s="391">
        <f t="shared" ca="1" si="323"/>
        <v>1</v>
      </c>
      <c r="HZ8" s="391">
        <f t="shared" ca="1" si="323"/>
        <v>1.03402298</v>
      </c>
      <c r="IA8" s="391">
        <f t="shared" ca="1" si="323"/>
        <v>1</v>
      </c>
      <c r="IB8" s="391">
        <f t="shared" ca="1" si="323"/>
        <v>5.4229876600000013</v>
      </c>
      <c r="IC8" s="391">
        <f t="shared" ca="1" si="323"/>
        <v>4</v>
      </c>
      <c r="ID8" s="391">
        <f t="shared" ca="1" si="323"/>
        <v>2</v>
      </c>
      <c r="IE8" s="391">
        <f t="shared" ca="1" si="323"/>
        <v>5.0999999999999996</v>
      </c>
      <c r="IG8" s="385"/>
      <c r="IH8" s="394"/>
      <c r="II8" s="395"/>
      <c r="IJ8" s="394"/>
      <c r="IK8" s="1338"/>
      <c r="IL8" s="395"/>
      <c r="IM8" s="385"/>
      <c r="IO8" s="386" t="s">
        <v>1888</v>
      </c>
      <c r="IP8" s="387" t="s">
        <v>1889</v>
      </c>
      <c r="IQ8" s="391">
        <f ca="1">IQ91</f>
        <v>1</v>
      </c>
      <c r="IR8" s="391">
        <f t="shared" ref="IR8:JH8" ca="1" si="324">IR91</f>
        <v>1</v>
      </c>
      <c r="IS8" s="391">
        <f t="shared" ca="1" si="324"/>
        <v>2</v>
      </c>
      <c r="IT8" s="391">
        <f t="shared" ca="1" si="324"/>
        <v>2</v>
      </c>
      <c r="IU8" s="391">
        <f t="shared" ref="IU8" ca="1" si="325">IU91</f>
        <v>1</v>
      </c>
      <c r="IV8" s="391">
        <f t="shared" ca="1" si="324"/>
        <v>1</v>
      </c>
      <c r="IW8" s="391">
        <f t="shared" ca="1" si="324"/>
        <v>2</v>
      </c>
      <c r="IX8" s="391">
        <f t="shared" ref="IX8" ca="1" si="326">IX91</f>
        <v>1</v>
      </c>
      <c r="IY8" s="391">
        <f t="shared" ca="1" si="324"/>
        <v>2</v>
      </c>
      <c r="IZ8" s="391">
        <f t="shared" ca="1" si="324"/>
        <v>4.4022981999999997</v>
      </c>
      <c r="JA8" s="391">
        <f t="shared" ca="1" si="324"/>
        <v>1</v>
      </c>
      <c r="JB8" s="391">
        <f t="shared" ca="1" si="324"/>
        <v>1</v>
      </c>
      <c r="JC8" s="391">
        <f t="shared" ca="1" si="324"/>
        <v>1</v>
      </c>
      <c r="JD8" s="391">
        <f t="shared" ca="1" si="324"/>
        <v>1</v>
      </c>
      <c r="JE8" s="391">
        <f t="shared" ca="1" si="324"/>
        <v>1</v>
      </c>
      <c r="JF8" s="391">
        <f t="shared" ca="1" si="324"/>
        <v>1</v>
      </c>
      <c r="JG8" s="391">
        <f t="shared" ca="1" si="324"/>
        <v>2</v>
      </c>
      <c r="JH8" s="391">
        <f t="shared" ca="1" si="324"/>
        <v>1</v>
      </c>
      <c r="JJ8" s="385"/>
      <c r="JK8" s="386"/>
      <c r="JL8" s="393"/>
      <c r="JM8" s="386" t="s">
        <v>2026</v>
      </c>
      <c r="JN8" s="1337">
        <f t="shared" ca="1" si="273"/>
        <v>297.74319300000002</v>
      </c>
      <c r="JO8" s="1467">
        <f t="shared" ca="1" si="274"/>
        <v>0.25601306362854687</v>
      </c>
      <c r="JP8" s="385" t="s">
        <v>3269</v>
      </c>
      <c r="JR8" s="386" t="s">
        <v>1888</v>
      </c>
      <c r="JS8" s="387" t="s">
        <v>1889</v>
      </c>
      <c r="JT8" s="391">
        <f ca="1">JT91</f>
        <v>5.4229876600000013</v>
      </c>
      <c r="JU8" s="391">
        <f t="shared" ref="JU8:KC8" ca="1" si="327">JU91</f>
        <v>5.4229876600000013</v>
      </c>
      <c r="JV8" s="391">
        <f t="shared" ca="1" si="327"/>
        <v>1</v>
      </c>
      <c r="JW8" s="391">
        <f t="shared" ca="1" si="327"/>
        <v>1</v>
      </c>
      <c r="JX8" s="391">
        <f t="shared" ca="1" si="327"/>
        <v>1</v>
      </c>
      <c r="JY8" s="391">
        <f t="shared" ca="1" si="327"/>
        <v>6.8995850799999996</v>
      </c>
      <c r="JZ8" s="391">
        <f t="shared" ca="1" si="327"/>
        <v>1</v>
      </c>
      <c r="KA8" s="391">
        <f t="shared" ca="1" si="327"/>
        <v>5.4229876600000013</v>
      </c>
      <c r="KB8" s="391">
        <f t="shared" ca="1" si="327"/>
        <v>1</v>
      </c>
      <c r="KC8" s="391">
        <f t="shared" ca="1" si="327"/>
        <v>1</v>
      </c>
      <c r="KE8" s="386" t="s">
        <v>2031</v>
      </c>
      <c r="KF8" s="1337">
        <f t="shared" ca="1" si="38"/>
        <v>0.392173469</v>
      </c>
      <c r="KG8" s="1467">
        <f t="shared" ca="1" si="39"/>
        <v>3.3720848581255379E-4</v>
      </c>
      <c r="KH8" s="385" t="s">
        <v>1245</v>
      </c>
      <c r="KJ8" s="386" t="s">
        <v>1888</v>
      </c>
      <c r="KK8" s="387" t="s">
        <v>1889</v>
      </c>
      <c r="KL8" s="391">
        <f ca="1">KL91</f>
        <v>17</v>
      </c>
      <c r="KM8" s="391">
        <f t="shared" ref="KM8:KR8" ca="1" si="328">KM91</f>
        <v>1</v>
      </c>
      <c r="KN8" s="391">
        <f t="shared" ca="1" si="328"/>
        <v>1</v>
      </c>
      <c r="KO8" s="391">
        <f t="shared" ca="1" si="328"/>
        <v>9</v>
      </c>
      <c r="KP8" s="391">
        <f t="shared" ca="1" si="328"/>
        <v>9</v>
      </c>
      <c r="KQ8" s="391">
        <f t="shared" ca="1" si="328"/>
        <v>17</v>
      </c>
      <c r="KR8" s="391">
        <f t="shared" ca="1" si="328"/>
        <v>1</v>
      </c>
      <c r="KT8" s="394"/>
      <c r="KU8" s="1338"/>
      <c r="KV8" s="395"/>
      <c r="KW8" s="394"/>
      <c r="KY8" s="386" t="s">
        <v>1888</v>
      </c>
      <c r="KZ8" s="387" t="s">
        <v>1889</v>
      </c>
      <c r="LA8" s="391">
        <f ca="1">LA91</f>
        <v>6.9084628700000001</v>
      </c>
      <c r="LB8" s="391">
        <f t="shared" ref="LB8:LK8" ca="1" si="329">LB91</f>
        <v>1.03402298</v>
      </c>
      <c r="LC8" s="391">
        <f t="shared" ca="1" si="329"/>
        <v>1.0138849000000001</v>
      </c>
      <c r="LD8" s="391">
        <f t="shared" ca="1" si="329"/>
        <v>1.0138849000000001</v>
      </c>
      <c r="LE8" s="391">
        <f t="shared" ca="1" si="329"/>
        <v>1</v>
      </c>
      <c r="LF8" s="391">
        <f t="shared" ca="1" si="329"/>
        <v>0.96597701999999996</v>
      </c>
      <c r="LG8" s="391">
        <f t="shared" ca="1" si="329"/>
        <v>0.96597701999999996</v>
      </c>
      <c r="LH8" s="391">
        <f t="shared" ca="1" si="329"/>
        <v>0.96597701999999996</v>
      </c>
      <c r="LI8" s="391">
        <f t="shared" ca="1" si="329"/>
        <v>1</v>
      </c>
      <c r="LJ8" s="391">
        <f t="shared" ca="1" si="329"/>
        <v>5</v>
      </c>
      <c r="LK8" s="391">
        <f t="shared" ca="1" si="329"/>
        <v>1</v>
      </c>
      <c r="LM8" s="385"/>
      <c r="LN8" s="394"/>
      <c r="LO8" s="395"/>
      <c r="LP8" s="394"/>
      <c r="LQ8" s="1338"/>
      <c r="LR8" s="395"/>
      <c r="LS8" s="385"/>
      <c r="LU8" s="386" t="s">
        <v>1888</v>
      </c>
      <c r="LV8" s="387" t="s">
        <v>1889</v>
      </c>
      <c r="LW8" s="391">
        <f t="shared" ca="1" si="304"/>
        <v>13</v>
      </c>
      <c r="LX8" s="391">
        <f t="shared" ca="1" si="304"/>
        <v>13</v>
      </c>
      <c r="LY8" s="391">
        <f t="shared" ref="LY8:MO8" ca="1" si="330">LY91</f>
        <v>6.9084628700000001</v>
      </c>
      <c r="LZ8" s="391">
        <f t="shared" ca="1" si="330"/>
        <v>2</v>
      </c>
      <c r="MA8" s="391">
        <f t="shared" ca="1" si="330"/>
        <v>1</v>
      </c>
      <c r="MB8" s="391">
        <f t="shared" ca="1" si="330"/>
        <v>1.0138849000000001</v>
      </c>
      <c r="MC8" s="391">
        <f t="shared" ca="1" si="330"/>
        <v>0.96597701999999996</v>
      </c>
      <c r="MD8" s="391">
        <f t="shared" ca="1" si="330"/>
        <v>59.861367599999994</v>
      </c>
      <c r="ME8" s="391">
        <f t="shared" ca="1" si="330"/>
        <v>13</v>
      </c>
      <c r="MF8" s="391">
        <f t="shared" ca="1" si="330"/>
        <v>62.241367599999997</v>
      </c>
      <c r="MG8" s="391">
        <f t="shared" ca="1" si="330"/>
        <v>62.241367599999997</v>
      </c>
      <c r="MH8" s="391">
        <f t="shared" ref="MH8:MI8" ca="1" si="331">MH91</f>
        <v>9.5057454999999997</v>
      </c>
      <c r="MI8" s="391">
        <f t="shared" ca="1" si="331"/>
        <v>9.5057454999999997</v>
      </c>
      <c r="MJ8" s="391">
        <f t="shared" ca="1" si="330"/>
        <v>0.1</v>
      </c>
      <c r="MK8" s="391">
        <f t="shared" ca="1" si="330"/>
        <v>0.1</v>
      </c>
      <c r="ML8" s="391">
        <f t="shared" ca="1" si="330"/>
        <v>5</v>
      </c>
      <c r="MM8" s="391">
        <f t="shared" ca="1" si="330"/>
        <v>5.4229876600000013</v>
      </c>
      <c r="MN8" s="391">
        <f t="shared" ca="1" si="330"/>
        <v>13</v>
      </c>
      <c r="MO8" s="391">
        <f t="shared" ca="1" si="330"/>
        <v>1</v>
      </c>
      <c r="MQ8" s="394"/>
      <c r="MR8" s="394"/>
      <c r="MS8" s="395"/>
      <c r="MT8" s="394"/>
      <c r="MU8" s="1338"/>
      <c r="MV8" s="395"/>
      <c r="MW8" s="385"/>
      <c r="MY8" s="386" t="s">
        <v>1888</v>
      </c>
      <c r="MZ8" s="387" t="s">
        <v>1889</v>
      </c>
      <c r="NA8" s="391">
        <f ca="1">NA91</f>
        <v>2.60088886</v>
      </c>
      <c r="NB8" s="391">
        <f t="shared" ref="NB8:NP8" ca="1" si="332">NB91</f>
        <v>1</v>
      </c>
      <c r="NC8" s="391">
        <f t="shared" ca="1" si="332"/>
        <v>1</v>
      </c>
      <c r="ND8" s="391">
        <f t="shared" ca="1" si="332"/>
        <v>5.4</v>
      </c>
      <c r="NE8" s="391">
        <f t="shared" ca="1" si="332"/>
        <v>5.2206894600000009</v>
      </c>
      <c r="NF8" s="391">
        <f t="shared" ca="1" si="332"/>
        <v>4.4206894600000002</v>
      </c>
      <c r="NG8" s="391">
        <f t="shared" ca="1" si="332"/>
        <v>5.4</v>
      </c>
      <c r="NH8" s="391">
        <f t="shared" ca="1" si="332"/>
        <v>1.5446433799999999</v>
      </c>
      <c r="NI8" s="391">
        <f t="shared" ca="1" si="332"/>
        <v>1.5446433799999999</v>
      </c>
      <c r="NJ8" s="391">
        <f t="shared" ca="1" si="332"/>
        <v>62.241367599999997</v>
      </c>
      <c r="NK8" s="391">
        <f t="shared" ca="1" si="332"/>
        <v>9.5057454999999997</v>
      </c>
      <c r="NL8" s="391">
        <f t="shared" ca="1" si="332"/>
        <v>5</v>
      </c>
      <c r="NM8" s="391">
        <f t="shared" ca="1" si="332"/>
        <v>5.4229876600000013</v>
      </c>
      <c r="NN8" s="391">
        <f t="shared" ca="1" si="332"/>
        <v>1</v>
      </c>
      <c r="NO8" s="391">
        <f t="shared" ca="1" si="332"/>
        <v>13</v>
      </c>
      <c r="NP8" s="391">
        <f t="shared" ca="1" si="332"/>
        <v>8</v>
      </c>
      <c r="NR8" s="394"/>
      <c r="NS8" s="394"/>
      <c r="NT8" s="395"/>
      <c r="NU8" s="394"/>
      <c r="NV8" s="1338"/>
      <c r="NW8" s="395"/>
      <c r="NX8" s="394"/>
      <c r="NZ8" s="394"/>
      <c r="OA8" s="394"/>
      <c r="OB8" s="1338"/>
      <c r="OC8" s="395"/>
      <c r="OD8" s="394"/>
      <c r="OF8" s="386" t="s">
        <v>1888</v>
      </c>
      <c r="OG8" s="387" t="s">
        <v>1889</v>
      </c>
      <c r="OH8" s="391">
        <f ca="1">OH91</f>
        <v>5</v>
      </c>
      <c r="OI8" s="391">
        <f t="shared" ref="OI8:OO8" ca="1" si="333">OI91</f>
        <v>5</v>
      </c>
      <c r="OJ8" s="391">
        <f t="shared" ca="1" si="333"/>
        <v>5.0999999999999996</v>
      </c>
      <c r="OK8" s="391">
        <f t="shared" ca="1" si="333"/>
        <v>5</v>
      </c>
      <c r="OL8" s="391">
        <f t="shared" ca="1" si="333"/>
        <v>1</v>
      </c>
      <c r="OM8" s="391">
        <f t="shared" ca="1" si="333"/>
        <v>1</v>
      </c>
      <c r="ON8" s="391">
        <f t="shared" ca="1" si="333"/>
        <v>4.0827578000000004</v>
      </c>
      <c r="OO8" s="391">
        <f t="shared" ca="1" si="333"/>
        <v>4.0827578000000004</v>
      </c>
      <c r="OQ8" s="394"/>
      <c r="OR8" s="394"/>
      <c r="OS8" s="395"/>
      <c r="OT8" s="394"/>
      <c r="OU8" s="1338"/>
      <c r="OV8" s="395"/>
      <c r="OW8" s="394"/>
      <c r="OY8" s="386" t="s">
        <v>1888</v>
      </c>
      <c r="OZ8" s="387" t="s">
        <v>1889</v>
      </c>
      <c r="PA8" s="391">
        <f ca="1">PA91</f>
        <v>5</v>
      </c>
      <c r="PB8" s="391">
        <f t="shared" ref="PB8:PK8" ca="1" si="334">PB91</f>
        <v>5</v>
      </c>
      <c r="PC8" s="391">
        <f t="shared" ca="1" si="334"/>
        <v>5</v>
      </c>
      <c r="PD8" s="391">
        <f t="shared" ca="1" si="334"/>
        <v>5</v>
      </c>
      <c r="PE8" s="391">
        <f t="shared" ca="1" si="334"/>
        <v>1</v>
      </c>
      <c r="PF8" s="391">
        <f t="shared" ca="1" si="334"/>
        <v>5</v>
      </c>
      <c r="PG8" s="391">
        <f t="shared" ca="1" si="334"/>
        <v>5</v>
      </c>
      <c r="PH8" s="391">
        <f t="shared" ca="1" si="334"/>
        <v>2</v>
      </c>
      <c r="PI8" s="391">
        <f t="shared" ca="1" si="334"/>
        <v>5</v>
      </c>
      <c r="PJ8" s="391">
        <f t="shared" ca="1" si="334"/>
        <v>1</v>
      </c>
      <c r="PK8" s="391">
        <f t="shared" ca="1" si="334"/>
        <v>5</v>
      </c>
      <c r="PM8" s="385"/>
      <c r="PN8" s="394"/>
      <c r="PO8" s="395"/>
      <c r="PP8" s="394"/>
      <c r="PQ8" s="1338"/>
      <c r="PR8" s="395"/>
      <c r="PS8" s="385"/>
      <c r="PU8" s="386" t="s">
        <v>1888</v>
      </c>
      <c r="PV8" s="387" t="s">
        <v>1889</v>
      </c>
      <c r="PW8" s="391">
        <f ca="1">PW91</f>
        <v>1</v>
      </c>
      <c r="PX8" s="391">
        <f t="shared" ref="PX8:PZ8" ca="1" si="335">PX91</f>
        <v>1</v>
      </c>
      <c r="PY8" s="391">
        <f t="shared" ca="1" si="335"/>
        <v>1</v>
      </c>
      <c r="PZ8" s="391">
        <f t="shared" ca="1" si="335"/>
        <v>1</v>
      </c>
      <c r="QB8" s="394"/>
      <c r="QC8" s="394"/>
      <c r="QD8" s="395"/>
      <c r="QE8" s="394"/>
      <c r="QF8" s="1338"/>
      <c r="QG8" s="395"/>
      <c r="QH8" s="394"/>
      <c r="QI8" s="896"/>
      <c r="QJ8" s="896"/>
      <c r="QK8" s="896"/>
    </row>
    <row r="9" spans="1:453" x14ac:dyDescent="0.25">
      <c r="H9" s="386" t="s">
        <v>1178</v>
      </c>
      <c r="I9" s="387"/>
      <c r="J9" s="391">
        <f t="shared" ca="1" si="284"/>
        <v>0</v>
      </c>
      <c r="K9" s="391">
        <f t="shared" ca="1" si="284"/>
        <v>0</v>
      </c>
      <c r="M9" s="386" t="s">
        <v>1946</v>
      </c>
      <c r="N9" s="1337">
        <f t="shared" ca="1" si="66"/>
        <v>15.831284800000001</v>
      </c>
      <c r="O9" s="1467">
        <f t="shared" ca="1" si="67"/>
        <v>1.3612454686156492E-2</v>
      </c>
      <c r="P9" s="385" t="s">
        <v>1196</v>
      </c>
      <c r="R9" s="386" t="s">
        <v>1178</v>
      </c>
      <c r="S9" s="387"/>
      <c r="T9" s="391">
        <f ca="1">T92</f>
        <v>0</v>
      </c>
      <c r="U9" s="391">
        <f t="shared" ref="U9:AD9" ca="1" si="336">U92</f>
        <v>0</v>
      </c>
      <c r="V9" s="391">
        <f t="shared" ca="1" si="336"/>
        <v>0</v>
      </c>
      <c r="W9" s="391">
        <f t="shared" ca="1" si="336"/>
        <v>1</v>
      </c>
      <c r="X9" s="391">
        <f t="shared" ca="1" si="336"/>
        <v>1</v>
      </c>
      <c r="Y9" s="391">
        <f t="shared" ca="1" si="336"/>
        <v>0</v>
      </c>
      <c r="Z9" s="391">
        <f t="shared" ca="1" si="336"/>
        <v>1</v>
      </c>
      <c r="AA9" s="391">
        <f t="shared" ca="1" si="336"/>
        <v>0</v>
      </c>
      <c r="AB9" s="391">
        <f t="shared" ca="1" si="336"/>
        <v>0</v>
      </c>
      <c r="AC9" s="391">
        <f t="shared" ca="1" si="336"/>
        <v>0</v>
      </c>
      <c r="AD9" s="391">
        <f t="shared" ca="1" si="336"/>
        <v>0</v>
      </c>
      <c r="AF9" s="386" t="s">
        <v>1957</v>
      </c>
      <c r="AG9" s="1337">
        <f t="shared" ca="1" si="1"/>
        <v>19.999936000000002</v>
      </c>
      <c r="AH9" s="1467">
        <f t="shared" ca="1" si="69"/>
        <v>1.7196849527085122E-2</v>
      </c>
      <c r="AI9" s="385" t="s">
        <v>1207</v>
      </c>
      <c r="AK9" s="386" t="s">
        <v>1178</v>
      </c>
      <c r="AL9" s="387"/>
      <c r="AM9" s="391">
        <f ca="1">AM92</f>
        <v>0</v>
      </c>
      <c r="AN9" s="391">
        <f t="shared" ref="AN9:BB9" ca="1" si="337">AN92</f>
        <v>0</v>
      </c>
      <c r="AO9" s="391">
        <f t="shared" ref="AO9:AS9" ca="1" si="338">AO92</f>
        <v>0</v>
      </c>
      <c r="AP9" s="391">
        <f t="shared" ca="1" si="338"/>
        <v>0</v>
      </c>
      <c r="AQ9" s="391">
        <f t="shared" ca="1" si="338"/>
        <v>1</v>
      </c>
      <c r="AR9" s="391">
        <f t="shared" ca="1" si="338"/>
        <v>1</v>
      </c>
      <c r="AS9" s="391">
        <f t="shared" ca="1" si="338"/>
        <v>0</v>
      </c>
      <c r="AT9" s="391">
        <f t="shared" ca="1" si="337"/>
        <v>1</v>
      </c>
      <c r="AU9" s="391">
        <f t="shared" ca="1" si="337"/>
        <v>0</v>
      </c>
      <c r="AV9" s="391">
        <f t="shared" ca="1" si="337"/>
        <v>0</v>
      </c>
      <c r="AW9" s="391">
        <f t="shared" ca="1" si="337"/>
        <v>0</v>
      </c>
      <c r="AX9" s="391">
        <f t="shared" ca="1" si="337"/>
        <v>2.0578398099999999E-5</v>
      </c>
      <c r="AY9" s="391">
        <f t="shared" ca="1" si="337"/>
        <v>0</v>
      </c>
      <c r="AZ9" s="391">
        <f t="shared" ca="1" si="337"/>
        <v>0</v>
      </c>
      <c r="BA9" s="391">
        <f t="shared" ca="1" si="337"/>
        <v>0</v>
      </c>
      <c r="BB9" s="391">
        <f t="shared" ca="1" si="337"/>
        <v>0</v>
      </c>
      <c r="BD9" s="385"/>
      <c r="BE9" s="386"/>
      <c r="BF9" s="393"/>
      <c r="BG9" s="386" t="s">
        <v>1971</v>
      </c>
      <c r="BH9" s="1337">
        <f t="shared" ca="1" si="3"/>
        <v>90</v>
      </c>
      <c r="BI9" s="1467">
        <f t="shared" ca="1" si="4"/>
        <v>7.7386070507308682E-2</v>
      </c>
      <c r="BJ9" s="385" t="s">
        <v>1220</v>
      </c>
      <c r="BL9" s="386" t="s">
        <v>1178</v>
      </c>
      <c r="BM9" s="387"/>
      <c r="BN9" s="391">
        <f ca="1">BN92</f>
        <v>0</v>
      </c>
      <c r="BO9" s="391">
        <f t="shared" ref="BO9:BR9" ca="1" si="339">BO92</f>
        <v>0</v>
      </c>
      <c r="BP9" s="391">
        <f t="shared" ca="1" si="339"/>
        <v>1</v>
      </c>
      <c r="BQ9" s="391">
        <f t="shared" ca="1" si="339"/>
        <v>0</v>
      </c>
      <c r="BR9" s="391">
        <f t="shared" ca="1" si="339"/>
        <v>0</v>
      </c>
      <c r="BT9" s="385"/>
      <c r="BU9" s="394"/>
      <c r="BV9" s="395"/>
      <c r="BW9" s="394"/>
      <c r="BX9" s="1338"/>
      <c r="BY9" s="395"/>
      <c r="BZ9" s="385"/>
      <c r="CB9" s="386" t="s">
        <v>1178</v>
      </c>
      <c r="CC9" s="387"/>
      <c r="CD9" s="391">
        <f ca="1">CD92</f>
        <v>0</v>
      </c>
      <c r="CE9" s="391">
        <f t="shared" ref="CE9:CO9" ca="1" si="340">CE92</f>
        <v>0</v>
      </c>
      <c r="CF9" s="391">
        <f t="shared" ca="1" si="340"/>
        <v>0</v>
      </c>
      <c r="CG9" s="391">
        <f t="shared" ca="1" si="340"/>
        <v>0</v>
      </c>
      <c r="CH9" s="391">
        <f t="shared" ca="1" si="340"/>
        <v>0</v>
      </c>
      <c r="CI9" s="391">
        <f t="shared" ca="1" si="340"/>
        <v>0</v>
      </c>
      <c r="CJ9" s="391">
        <f t="shared" ca="1" si="340"/>
        <v>0</v>
      </c>
      <c r="CK9" s="391">
        <f t="shared" ca="1" si="340"/>
        <v>0</v>
      </c>
      <c r="CL9" s="391">
        <f t="shared" ca="1" si="340"/>
        <v>1</v>
      </c>
      <c r="CM9" s="391">
        <f t="shared" ca="1" si="340"/>
        <v>0</v>
      </c>
      <c r="CN9" s="391">
        <f t="shared" ca="1" si="340"/>
        <v>0</v>
      </c>
      <c r="CO9" s="391">
        <f t="shared" ca="1" si="340"/>
        <v>0</v>
      </c>
      <c r="CQ9" s="394"/>
      <c r="CR9" s="394"/>
      <c r="CS9" s="395"/>
      <c r="CT9" s="394"/>
      <c r="CU9" s="1338"/>
      <c r="CV9" s="395"/>
      <c r="CW9" s="394"/>
      <c r="CY9" s="386" t="s">
        <v>1178</v>
      </c>
      <c r="CZ9" s="387"/>
      <c r="DA9" s="391">
        <f ca="1">DA92</f>
        <v>0</v>
      </c>
      <c r="DB9" s="391">
        <f t="shared" ref="DB9:DJ9" ca="1" si="341">DB92</f>
        <v>0</v>
      </c>
      <c r="DC9" s="391">
        <f t="shared" ca="1" si="341"/>
        <v>1</v>
      </c>
      <c r="DD9" s="391">
        <f t="shared" ca="1" si="341"/>
        <v>1</v>
      </c>
      <c r="DE9" s="391">
        <f t="shared" ca="1" si="341"/>
        <v>0</v>
      </c>
      <c r="DF9" s="391">
        <f t="shared" ca="1" si="341"/>
        <v>1</v>
      </c>
      <c r="DG9" s="391">
        <f t="shared" ca="1" si="341"/>
        <v>1</v>
      </c>
      <c r="DH9" s="391">
        <f t="shared" ca="1" si="341"/>
        <v>0.99313121100000001</v>
      </c>
      <c r="DI9" s="391">
        <f t="shared" ca="1" si="341"/>
        <v>0.99313121100000001</v>
      </c>
      <c r="DJ9" s="391">
        <f t="shared" ca="1" si="341"/>
        <v>0.99313121100000001</v>
      </c>
      <c r="DL9" s="385"/>
      <c r="DM9" s="394"/>
      <c r="DN9" s="395"/>
      <c r="DO9" s="394"/>
      <c r="DP9" s="1338"/>
      <c r="DQ9" s="395"/>
      <c r="DR9" s="385"/>
      <c r="DT9" s="386" t="s">
        <v>1178</v>
      </c>
      <c r="DU9" s="387"/>
      <c r="DV9" s="391">
        <f ca="1">DV92</f>
        <v>0</v>
      </c>
      <c r="DW9" s="391">
        <f t="shared" ref="DW9:EK9" ca="1" si="342">DW92</f>
        <v>0</v>
      </c>
      <c r="DX9" s="391">
        <f t="shared" ca="1" si="342"/>
        <v>0</v>
      </c>
      <c r="DY9" s="391">
        <f t="shared" ca="1" si="342"/>
        <v>0</v>
      </c>
      <c r="DZ9" s="391">
        <f t="shared" ca="1" si="342"/>
        <v>1</v>
      </c>
      <c r="EA9" s="391">
        <f t="shared" ca="1" si="342"/>
        <v>0</v>
      </c>
      <c r="EB9" s="391">
        <f t="shared" ca="1" si="342"/>
        <v>0</v>
      </c>
      <c r="EC9" s="391">
        <f t="shared" ca="1" si="342"/>
        <v>0</v>
      </c>
      <c r="ED9" s="391">
        <f t="shared" ca="1" si="342"/>
        <v>0</v>
      </c>
      <c r="EE9" s="391">
        <f t="shared" ca="1" si="342"/>
        <v>1</v>
      </c>
      <c r="EF9" s="391">
        <f t="shared" ca="1" si="342"/>
        <v>0</v>
      </c>
      <c r="EG9" s="391">
        <f t="shared" ca="1" si="342"/>
        <v>1</v>
      </c>
      <c r="EH9" s="391">
        <f t="shared" ca="1" si="342"/>
        <v>1</v>
      </c>
      <c r="EI9" s="391">
        <f t="shared" ca="1" si="342"/>
        <v>0</v>
      </c>
      <c r="EJ9" s="391">
        <f t="shared" ref="EJ9" ca="1" si="343">EJ92</f>
        <v>0</v>
      </c>
      <c r="EK9" s="391">
        <f t="shared" ca="1" si="342"/>
        <v>0.99313121100000001</v>
      </c>
      <c r="EM9" s="385"/>
      <c r="EN9" s="386"/>
      <c r="EO9" s="393"/>
      <c r="EP9" s="386" t="s">
        <v>1992</v>
      </c>
      <c r="EQ9" s="1337">
        <f t="shared" ref="EQ9" ca="1" si="344">VLOOKUP(ES9,INDIRECT(LU_WORK),2,FALSE)</f>
        <v>2093.1605100000002</v>
      </c>
      <c r="ER9" s="1467">
        <f t="shared" ca="1" si="16"/>
        <v>1.7997940756663802</v>
      </c>
      <c r="ES9" s="385" t="s">
        <v>1230</v>
      </c>
      <c r="EU9" s="386" t="s">
        <v>1178</v>
      </c>
      <c r="EV9" s="387"/>
      <c r="EW9" s="391">
        <f ca="1">EW92</f>
        <v>0</v>
      </c>
      <c r="EX9" s="391">
        <f t="shared" ref="EX9:FB9" ca="1" si="345">EX92</f>
        <v>0</v>
      </c>
      <c r="EY9" s="391">
        <f t="shared" ca="1" si="345"/>
        <v>0</v>
      </c>
      <c r="EZ9" s="391">
        <f t="shared" ca="1" si="345"/>
        <v>0</v>
      </c>
      <c r="FA9" s="391">
        <f t="shared" ca="1" si="345"/>
        <v>1</v>
      </c>
      <c r="FB9" s="391">
        <f t="shared" ca="1" si="345"/>
        <v>1</v>
      </c>
      <c r="FD9" s="394"/>
      <c r="FE9" s="394"/>
      <c r="FF9" s="395"/>
      <c r="FG9" s="394"/>
      <c r="FH9" s="1338"/>
      <c r="FI9" s="395"/>
      <c r="FJ9" s="394"/>
      <c r="FL9" s="386" t="s">
        <v>1178</v>
      </c>
      <c r="FM9" s="387"/>
      <c r="FN9" s="391">
        <f ca="1">FN92</f>
        <v>1</v>
      </c>
      <c r="FO9" s="391">
        <f t="shared" ref="FO9:FX9" ca="1" si="346">FO92</f>
        <v>1</v>
      </c>
      <c r="FP9" s="391">
        <f t="shared" ca="1" si="346"/>
        <v>1</v>
      </c>
      <c r="FQ9" s="391">
        <f t="shared" ca="1" si="346"/>
        <v>1</v>
      </c>
      <c r="FR9" s="391">
        <f t="shared" ca="1" si="346"/>
        <v>1</v>
      </c>
      <c r="FS9" s="391">
        <f t="shared" ca="1" si="346"/>
        <v>0</v>
      </c>
      <c r="FT9" s="391">
        <f t="shared" ca="1" si="346"/>
        <v>0</v>
      </c>
      <c r="FU9" s="391">
        <f t="shared" ca="1" si="346"/>
        <v>1</v>
      </c>
      <c r="FV9" s="391">
        <f t="shared" ca="1" si="346"/>
        <v>0</v>
      </c>
      <c r="FW9" s="391">
        <f t="shared" ca="1" si="346"/>
        <v>1</v>
      </c>
      <c r="FX9" s="391">
        <f t="shared" ca="1" si="346"/>
        <v>0</v>
      </c>
      <c r="FZ9" s="385"/>
      <c r="GA9" s="394"/>
      <c r="GB9" s="395"/>
      <c r="GC9" s="394"/>
      <c r="GD9" s="1338"/>
      <c r="GE9" s="395"/>
      <c r="GF9" s="394"/>
      <c r="GH9" s="386" t="s">
        <v>1178</v>
      </c>
      <c r="GI9" s="387"/>
      <c r="GJ9" s="391">
        <f ca="1">GJ92</f>
        <v>1</v>
      </c>
      <c r="GK9" s="391">
        <f t="shared" ref="GK9:GQ9" ca="1" si="347">GK92</f>
        <v>1</v>
      </c>
      <c r="GL9" s="391">
        <f t="shared" ca="1" si="347"/>
        <v>1</v>
      </c>
      <c r="GM9" s="391">
        <f t="shared" ca="1" si="347"/>
        <v>1</v>
      </c>
      <c r="GN9" s="391">
        <f t="shared" ca="1" si="347"/>
        <v>0</v>
      </c>
      <c r="GO9" s="391">
        <f t="shared" ca="1" si="347"/>
        <v>0</v>
      </c>
      <c r="GP9" s="391">
        <f t="shared" ca="1" si="347"/>
        <v>1</v>
      </c>
      <c r="GQ9" s="391">
        <f t="shared" ca="1" si="347"/>
        <v>0</v>
      </c>
      <c r="GS9" s="394"/>
      <c r="GT9" s="394"/>
      <c r="GU9" s="395"/>
      <c r="GV9" s="394"/>
      <c r="GW9" s="1338"/>
      <c r="GX9" s="395"/>
      <c r="GY9" s="394"/>
      <c r="HA9" s="386" t="s">
        <v>1178</v>
      </c>
      <c r="HB9" s="387"/>
      <c r="HC9" s="391">
        <f ca="1">HC92</f>
        <v>0</v>
      </c>
      <c r="HD9" s="391">
        <f t="shared" ref="HD9:HH9" ca="1" si="348">HD92</f>
        <v>0</v>
      </c>
      <c r="HE9" s="391">
        <f t="shared" ca="1" si="348"/>
        <v>1</v>
      </c>
      <c r="HF9" s="391">
        <f t="shared" ca="1" si="348"/>
        <v>1</v>
      </c>
      <c r="HG9" s="391">
        <f t="shared" ca="1" si="348"/>
        <v>0</v>
      </c>
      <c r="HH9" s="391">
        <f t="shared" ca="1" si="348"/>
        <v>0</v>
      </c>
      <c r="HJ9" s="385"/>
      <c r="HK9" s="386"/>
      <c r="HL9" s="393"/>
      <c r="HM9" s="386" t="s">
        <v>2018</v>
      </c>
      <c r="HN9" s="1337">
        <f t="shared" ca="1" si="27"/>
        <v>76.5127138</v>
      </c>
      <c r="HO9" s="1467">
        <f t="shared" ca="1" si="28"/>
        <v>6.5789091831470345E-2</v>
      </c>
      <c r="HP9" s="385" t="s">
        <v>3243</v>
      </c>
      <c r="HR9" s="386" t="s">
        <v>1178</v>
      </c>
      <c r="HS9" s="387"/>
      <c r="HT9" s="391">
        <f ca="1">HT92</f>
        <v>2.0578398099999999E-5</v>
      </c>
      <c r="HU9" s="391">
        <f t="shared" ref="HU9:IE9" ca="1" si="349">HU92</f>
        <v>0</v>
      </c>
      <c r="HV9" s="391">
        <f t="shared" ca="1" si="349"/>
        <v>0</v>
      </c>
      <c r="HW9" s="391">
        <f t="shared" ca="1" si="349"/>
        <v>0</v>
      </c>
      <c r="HX9" s="391">
        <f t="shared" ca="1" si="349"/>
        <v>0</v>
      </c>
      <c r="HY9" s="391">
        <f t="shared" ca="1" si="349"/>
        <v>0</v>
      </c>
      <c r="HZ9" s="391">
        <f t="shared" ca="1" si="349"/>
        <v>1</v>
      </c>
      <c r="IA9" s="391">
        <f t="shared" ca="1" si="349"/>
        <v>1</v>
      </c>
      <c r="IB9" s="391">
        <f t="shared" ca="1" si="349"/>
        <v>0</v>
      </c>
      <c r="IC9" s="391">
        <f t="shared" ca="1" si="349"/>
        <v>0</v>
      </c>
      <c r="ID9" s="391">
        <f t="shared" ca="1" si="349"/>
        <v>0</v>
      </c>
      <c r="IE9" s="391">
        <f t="shared" ca="1" si="349"/>
        <v>0</v>
      </c>
      <c r="IG9" s="385"/>
      <c r="IH9" s="394"/>
      <c r="II9" s="395"/>
      <c r="IJ9" s="394"/>
      <c r="IK9" s="1338"/>
      <c r="IL9" s="395"/>
      <c r="IM9" s="385"/>
      <c r="IO9" s="386" t="s">
        <v>1178</v>
      </c>
      <c r="IP9" s="387"/>
      <c r="IQ9" s="391">
        <f ca="1">IQ92</f>
        <v>0</v>
      </c>
      <c r="IR9" s="391">
        <f t="shared" ref="IR9:JH9" ca="1" si="350">IR92</f>
        <v>0</v>
      </c>
      <c r="IS9" s="391">
        <f t="shared" ca="1" si="350"/>
        <v>0</v>
      </c>
      <c r="IT9" s="391">
        <f t="shared" ca="1" si="350"/>
        <v>0</v>
      </c>
      <c r="IU9" s="391">
        <f t="shared" ref="IU9" ca="1" si="351">IU92</f>
        <v>4.1428491200000001E-7</v>
      </c>
      <c r="IV9" s="391">
        <f t="shared" ca="1" si="350"/>
        <v>0</v>
      </c>
      <c r="IW9" s="391">
        <f t="shared" ca="1" si="350"/>
        <v>0</v>
      </c>
      <c r="IX9" s="391">
        <f t="shared" ref="IX9" ca="1" si="352">IX92</f>
        <v>1</v>
      </c>
      <c r="IY9" s="391">
        <f t="shared" ca="1" si="350"/>
        <v>0</v>
      </c>
      <c r="IZ9" s="391">
        <f t="shared" ca="1" si="350"/>
        <v>0</v>
      </c>
      <c r="JA9" s="391">
        <f t="shared" ca="1" si="350"/>
        <v>2.3248215699999998E-8</v>
      </c>
      <c r="JB9" s="391">
        <f t="shared" ca="1" si="350"/>
        <v>0</v>
      </c>
      <c r="JC9" s="391">
        <f t="shared" ca="1" si="350"/>
        <v>1.2557825099999999E-2</v>
      </c>
      <c r="JD9" s="391">
        <f t="shared" ca="1" si="350"/>
        <v>0</v>
      </c>
      <c r="JE9" s="391">
        <f t="shared" ca="1" si="350"/>
        <v>5.7214446500000003E-5</v>
      </c>
      <c r="JF9" s="391">
        <f t="shared" ca="1" si="350"/>
        <v>1</v>
      </c>
      <c r="JG9" s="391">
        <f t="shared" ca="1" si="350"/>
        <v>0</v>
      </c>
      <c r="JH9" s="391">
        <f t="shared" ca="1" si="350"/>
        <v>1</v>
      </c>
      <c r="JJ9" s="385"/>
      <c r="JK9" s="386"/>
      <c r="JL9" s="393"/>
      <c r="JM9" s="279" t="s">
        <v>3371</v>
      </c>
      <c r="JN9" s="1337">
        <f t="shared" ca="1" si="273"/>
        <v>4.67800862</v>
      </c>
      <c r="JO9" s="1467">
        <f t="shared" ca="1" si="274"/>
        <v>4.0223633877901977E-3</v>
      </c>
      <c r="JP9" s="385" t="s">
        <v>3369</v>
      </c>
      <c r="JR9" s="386" t="s">
        <v>1178</v>
      </c>
      <c r="JS9" s="387"/>
      <c r="JT9" s="391">
        <f ca="1">JT92</f>
        <v>0</v>
      </c>
      <c r="JU9" s="391">
        <f t="shared" ref="JU9:KC9" ca="1" si="353">JU92</f>
        <v>0</v>
      </c>
      <c r="JV9" s="391">
        <f t="shared" ca="1" si="353"/>
        <v>0</v>
      </c>
      <c r="JW9" s="391">
        <f t="shared" ca="1" si="353"/>
        <v>0</v>
      </c>
      <c r="JX9" s="391">
        <f t="shared" ca="1" si="353"/>
        <v>0</v>
      </c>
      <c r="JY9" s="391">
        <f t="shared" ca="1" si="353"/>
        <v>0</v>
      </c>
      <c r="JZ9" s="391">
        <f t="shared" ca="1" si="353"/>
        <v>0</v>
      </c>
      <c r="KA9" s="391">
        <f t="shared" ca="1" si="353"/>
        <v>0</v>
      </c>
      <c r="KB9" s="391">
        <f t="shared" ca="1" si="353"/>
        <v>0</v>
      </c>
      <c r="KC9" s="391">
        <f t="shared" ca="1" si="353"/>
        <v>0</v>
      </c>
      <c r="KE9" s="386" t="s">
        <v>2032</v>
      </c>
      <c r="KF9" s="1337">
        <f t="shared" ca="1" si="38"/>
        <v>2.2018358500000001</v>
      </c>
      <c r="KG9" s="1467">
        <f t="shared" ca="1" si="39"/>
        <v>1.893238048151333E-3</v>
      </c>
      <c r="KH9" s="385" t="s">
        <v>1250</v>
      </c>
      <c r="KJ9" s="386" t="s">
        <v>1178</v>
      </c>
      <c r="KK9" s="387"/>
      <c r="KL9" s="391">
        <f ca="1">KL92</f>
        <v>0</v>
      </c>
      <c r="KM9" s="391">
        <f t="shared" ref="KM9:KR9" ca="1" si="354">KM92</f>
        <v>0</v>
      </c>
      <c r="KN9" s="391">
        <f t="shared" ca="1" si="354"/>
        <v>0</v>
      </c>
      <c r="KO9" s="391">
        <f t="shared" ca="1" si="354"/>
        <v>1</v>
      </c>
      <c r="KP9" s="391">
        <f t="shared" ca="1" si="354"/>
        <v>1</v>
      </c>
      <c r="KQ9" s="391">
        <f t="shared" ca="1" si="354"/>
        <v>0</v>
      </c>
      <c r="KR9" s="391">
        <f t="shared" ca="1" si="354"/>
        <v>0</v>
      </c>
      <c r="KT9" s="394"/>
      <c r="KU9" s="1338"/>
      <c r="KV9" s="395"/>
      <c r="KW9" s="394"/>
      <c r="KY9" s="386" t="s">
        <v>1178</v>
      </c>
      <c r="KZ9" s="387"/>
      <c r="LA9" s="391">
        <f ca="1">LA92</f>
        <v>1</v>
      </c>
      <c r="LB9" s="391">
        <f t="shared" ref="LB9:LK9" ca="1" si="355">LB92</f>
        <v>1</v>
      </c>
      <c r="LC9" s="391">
        <f t="shared" ca="1" si="355"/>
        <v>1</v>
      </c>
      <c r="LD9" s="391">
        <f t="shared" ca="1" si="355"/>
        <v>1</v>
      </c>
      <c r="LE9" s="391">
        <f t="shared" ca="1" si="355"/>
        <v>1</v>
      </c>
      <c r="LF9" s="391">
        <f t="shared" ca="1" si="355"/>
        <v>0.99999577299999998</v>
      </c>
      <c r="LG9" s="391">
        <f t="shared" ca="1" si="355"/>
        <v>0.99999556899999997</v>
      </c>
      <c r="LH9" s="391">
        <f t="shared" ca="1" si="355"/>
        <v>0</v>
      </c>
      <c r="LI9" s="391">
        <f t="shared" ca="1" si="355"/>
        <v>0.99997615100000004</v>
      </c>
      <c r="LJ9" s="391">
        <f t="shared" ca="1" si="355"/>
        <v>0</v>
      </c>
      <c r="LK9" s="391">
        <f t="shared" ca="1" si="355"/>
        <v>0</v>
      </c>
      <c r="LM9" s="385"/>
      <c r="LN9" s="394"/>
      <c r="LO9" s="395"/>
      <c r="LP9" s="394"/>
      <c r="LQ9" s="1338"/>
      <c r="LR9" s="395"/>
      <c r="LS9" s="385"/>
      <c r="LU9" s="386" t="s">
        <v>1178</v>
      </c>
      <c r="LV9" s="387"/>
      <c r="LW9" s="391">
        <f t="shared" ca="1" si="304"/>
        <v>1</v>
      </c>
      <c r="LX9" s="391">
        <f t="shared" ca="1" si="304"/>
        <v>1</v>
      </c>
      <c r="LY9" s="391">
        <f t="shared" ref="LY9:MO9" ca="1" si="356">LY92</f>
        <v>0</v>
      </c>
      <c r="LZ9" s="391">
        <f t="shared" ca="1" si="356"/>
        <v>0</v>
      </c>
      <c r="MA9" s="391">
        <f t="shared" ca="1" si="356"/>
        <v>0</v>
      </c>
      <c r="MB9" s="391">
        <f t="shared" ca="1" si="356"/>
        <v>1</v>
      </c>
      <c r="MC9" s="391">
        <f t="shared" ca="1" si="356"/>
        <v>0.99999577299999998</v>
      </c>
      <c r="MD9" s="391">
        <f t="shared" ca="1" si="356"/>
        <v>1</v>
      </c>
      <c r="ME9" s="391">
        <f t="shared" ca="1" si="356"/>
        <v>1</v>
      </c>
      <c r="MF9" s="391">
        <f t="shared" ca="1" si="356"/>
        <v>0</v>
      </c>
      <c r="MG9" s="391">
        <f t="shared" ca="1" si="356"/>
        <v>0</v>
      </c>
      <c r="MH9" s="391">
        <f t="shared" ref="MH9:MI9" ca="1" si="357">MH92</f>
        <v>1</v>
      </c>
      <c r="MI9" s="391">
        <f t="shared" ca="1" si="357"/>
        <v>1</v>
      </c>
      <c r="MJ9" s="391">
        <f t="shared" ca="1" si="356"/>
        <v>0.87504087799999997</v>
      </c>
      <c r="MK9" s="391">
        <f t="shared" ca="1" si="356"/>
        <v>0</v>
      </c>
      <c r="ML9" s="391">
        <f t="shared" ca="1" si="356"/>
        <v>0</v>
      </c>
      <c r="MM9" s="391">
        <f t="shared" ca="1" si="356"/>
        <v>0</v>
      </c>
      <c r="MN9" s="391">
        <f t="shared" ca="1" si="356"/>
        <v>0</v>
      </c>
      <c r="MO9" s="391">
        <f t="shared" ca="1" si="356"/>
        <v>1</v>
      </c>
      <c r="MQ9" s="394"/>
      <c r="MR9" s="394"/>
      <c r="MS9" s="395"/>
      <c r="MT9" s="394"/>
      <c r="MU9" s="1338"/>
      <c r="MV9" s="395"/>
      <c r="MW9" s="385"/>
      <c r="MY9" s="386" t="s">
        <v>1178</v>
      </c>
      <c r="MZ9" s="387"/>
      <c r="NA9" s="391">
        <f ca="1">NA92</f>
        <v>1</v>
      </c>
      <c r="NB9" s="391">
        <f t="shared" ref="NB9:NP9" ca="1" si="358">NB92</f>
        <v>1</v>
      </c>
      <c r="NC9" s="391">
        <f t="shared" ca="1" si="358"/>
        <v>0</v>
      </c>
      <c r="ND9" s="391">
        <f t="shared" ca="1" si="358"/>
        <v>0</v>
      </c>
      <c r="NE9" s="391">
        <f t="shared" ca="1" si="358"/>
        <v>0</v>
      </c>
      <c r="NF9" s="391">
        <f t="shared" ca="1" si="358"/>
        <v>0</v>
      </c>
      <c r="NG9" s="391">
        <f t="shared" ca="1" si="358"/>
        <v>0</v>
      </c>
      <c r="NH9" s="391">
        <f t="shared" ca="1" si="358"/>
        <v>0</v>
      </c>
      <c r="NI9" s="391">
        <f t="shared" ca="1" si="358"/>
        <v>0</v>
      </c>
      <c r="NJ9" s="391">
        <f t="shared" ca="1" si="358"/>
        <v>0</v>
      </c>
      <c r="NK9" s="391">
        <f t="shared" ca="1" si="358"/>
        <v>1</v>
      </c>
      <c r="NL9" s="391">
        <f t="shared" ca="1" si="358"/>
        <v>0</v>
      </c>
      <c r="NM9" s="391">
        <f t="shared" ca="1" si="358"/>
        <v>0</v>
      </c>
      <c r="NN9" s="391">
        <f t="shared" ca="1" si="358"/>
        <v>1</v>
      </c>
      <c r="NO9" s="391">
        <f t="shared" ca="1" si="358"/>
        <v>0</v>
      </c>
      <c r="NP9" s="391">
        <f t="shared" ca="1" si="358"/>
        <v>0</v>
      </c>
      <c r="NR9" s="394"/>
      <c r="NS9" s="394"/>
      <c r="NT9" s="395"/>
      <c r="NU9" s="394"/>
      <c r="NV9" s="1338"/>
      <c r="NW9" s="395"/>
      <c r="NX9" s="394"/>
      <c r="NZ9" s="394"/>
      <c r="OA9" s="394"/>
      <c r="OB9" s="1338"/>
      <c r="OC9" s="395"/>
      <c r="OD9" s="394"/>
      <c r="OF9" s="386" t="s">
        <v>1178</v>
      </c>
      <c r="OG9" s="387"/>
      <c r="OH9" s="391">
        <f ca="1">OH92</f>
        <v>0</v>
      </c>
      <c r="OI9" s="391">
        <f t="shared" ref="OI9:OO9" ca="1" si="359">OI92</f>
        <v>0</v>
      </c>
      <c r="OJ9" s="391">
        <f t="shared" ca="1" si="359"/>
        <v>0</v>
      </c>
      <c r="OK9" s="391">
        <f t="shared" ca="1" si="359"/>
        <v>0</v>
      </c>
      <c r="OL9" s="391">
        <f t="shared" ca="1" si="359"/>
        <v>1</v>
      </c>
      <c r="OM9" s="391">
        <f t="shared" ca="1" si="359"/>
        <v>1</v>
      </c>
      <c r="ON9" s="391">
        <f t="shared" ca="1" si="359"/>
        <v>0</v>
      </c>
      <c r="OO9" s="391">
        <f t="shared" ca="1" si="359"/>
        <v>0</v>
      </c>
      <c r="OQ9" s="394"/>
      <c r="OR9" s="394"/>
      <c r="OS9" s="395"/>
      <c r="OT9" s="394"/>
      <c r="OU9" s="1338"/>
      <c r="OV9" s="395"/>
      <c r="OW9" s="394"/>
      <c r="OY9" s="386" t="s">
        <v>1178</v>
      </c>
      <c r="OZ9" s="387"/>
      <c r="PA9" s="391">
        <f ca="1">PA92</f>
        <v>0</v>
      </c>
      <c r="PB9" s="391">
        <f t="shared" ref="PB9:PK9" ca="1" si="360">PB92</f>
        <v>0</v>
      </c>
      <c r="PC9" s="391">
        <f t="shared" ca="1" si="360"/>
        <v>0</v>
      </c>
      <c r="PD9" s="391">
        <f t="shared" ca="1" si="360"/>
        <v>0</v>
      </c>
      <c r="PE9" s="391">
        <f t="shared" ca="1" si="360"/>
        <v>0</v>
      </c>
      <c r="PF9" s="391">
        <f t="shared" ca="1" si="360"/>
        <v>0</v>
      </c>
      <c r="PG9" s="391">
        <f t="shared" ca="1" si="360"/>
        <v>0</v>
      </c>
      <c r="PH9" s="391">
        <f t="shared" ca="1" si="360"/>
        <v>0</v>
      </c>
      <c r="PI9" s="391">
        <f t="shared" ca="1" si="360"/>
        <v>0</v>
      </c>
      <c r="PJ9" s="391">
        <f t="shared" ca="1" si="360"/>
        <v>0</v>
      </c>
      <c r="PK9" s="391">
        <f t="shared" ca="1" si="360"/>
        <v>0</v>
      </c>
      <c r="PM9" s="385"/>
      <c r="PN9" s="394"/>
      <c r="PO9" s="395"/>
      <c r="PP9" s="394"/>
      <c r="PQ9" s="1338"/>
      <c r="PR9" s="395"/>
      <c r="PS9" s="385"/>
      <c r="PU9" s="386" t="s">
        <v>1178</v>
      </c>
      <c r="PV9" s="387"/>
      <c r="PW9" s="391">
        <f ca="1">PW92</f>
        <v>0</v>
      </c>
      <c r="PX9" s="391">
        <f t="shared" ref="PX9:PZ9" ca="1" si="361">PX92</f>
        <v>1</v>
      </c>
      <c r="PY9" s="391">
        <f t="shared" ca="1" si="361"/>
        <v>0</v>
      </c>
      <c r="PZ9" s="391">
        <f t="shared" ca="1" si="361"/>
        <v>0</v>
      </c>
      <c r="QB9" s="394"/>
      <c r="QC9" s="394"/>
      <c r="QD9" s="395"/>
      <c r="QE9" s="394"/>
      <c r="QF9" s="1338"/>
      <c r="QG9" s="395"/>
      <c r="QH9" s="394"/>
      <c r="QI9" s="896"/>
      <c r="QJ9" s="896"/>
      <c r="QK9" s="896"/>
    </row>
    <row r="10" spans="1:453" x14ac:dyDescent="0.25">
      <c r="H10" s="386" t="s">
        <v>1160</v>
      </c>
      <c r="I10" s="387" t="s">
        <v>287</v>
      </c>
      <c r="J10" s="390">
        <f ca="1">J44</f>
        <v>0</v>
      </c>
      <c r="K10" s="390">
        <f ca="1">K44</f>
        <v>0</v>
      </c>
      <c r="M10" s="386" t="s">
        <v>1937</v>
      </c>
      <c r="N10" s="1337">
        <f t="shared" ca="1" si="66"/>
        <v>7.9156424100000002</v>
      </c>
      <c r="O10" s="1467">
        <f t="shared" ca="1" si="67"/>
        <v>6.8062273516766979E-3</v>
      </c>
      <c r="P10" s="385" t="s">
        <v>1197</v>
      </c>
      <c r="R10" s="386" t="s">
        <v>1160</v>
      </c>
      <c r="S10" s="387" t="s">
        <v>287</v>
      </c>
      <c r="T10" s="390">
        <f ca="1">T44</f>
        <v>0</v>
      </c>
      <c r="U10" s="390">
        <f t="shared" ref="U10:AD10" ca="1" si="362">U44</f>
        <v>0</v>
      </c>
      <c r="V10" s="390">
        <f t="shared" ca="1" si="362"/>
        <v>18.420235999999999</v>
      </c>
      <c r="W10" s="390">
        <f t="shared" ca="1" si="362"/>
        <v>0</v>
      </c>
      <c r="X10" s="390">
        <f t="shared" ca="1" si="362"/>
        <v>0</v>
      </c>
      <c r="Y10" s="390">
        <f t="shared" ca="1" si="362"/>
        <v>18.420235999999999</v>
      </c>
      <c r="Z10" s="390">
        <f t="shared" ca="1" si="362"/>
        <v>8.2510693699999997</v>
      </c>
      <c r="AA10" s="390">
        <f t="shared" ca="1" si="362"/>
        <v>10.1691666</v>
      </c>
      <c r="AB10" s="390">
        <f t="shared" ca="1" si="362"/>
        <v>0</v>
      </c>
      <c r="AC10" s="390">
        <f t="shared" ca="1" si="362"/>
        <v>18.420235999999999</v>
      </c>
      <c r="AD10" s="390">
        <f t="shared" ca="1" si="362"/>
        <v>0</v>
      </c>
      <c r="AF10" s="386" t="s">
        <v>1959</v>
      </c>
      <c r="AG10" s="1337">
        <f t="shared" ca="1" si="1"/>
        <v>39.999872000000003</v>
      </c>
      <c r="AH10" s="1467">
        <f t="shared" ca="1" si="69"/>
        <v>3.4393699054170244E-2</v>
      </c>
      <c r="AI10" s="385" t="s">
        <v>1208</v>
      </c>
      <c r="AK10" s="386" t="s">
        <v>1160</v>
      </c>
      <c r="AL10" s="387" t="s">
        <v>287</v>
      </c>
      <c r="AM10" s="390">
        <f ca="1">AM44</f>
        <v>0</v>
      </c>
      <c r="AN10" s="390">
        <f t="shared" ref="AN10:BB10" ca="1" si="363">AN44</f>
        <v>0</v>
      </c>
      <c r="AO10" s="390">
        <f t="shared" ref="AO10:AS10" ca="1" si="364">AO44</f>
        <v>10.1691666</v>
      </c>
      <c r="AP10" s="390">
        <f t="shared" ca="1" si="364"/>
        <v>10.1691666</v>
      </c>
      <c r="AQ10" s="390">
        <f t="shared" ca="1" si="364"/>
        <v>4.2912629300000003</v>
      </c>
      <c r="AR10" s="390">
        <f t="shared" ca="1" si="364"/>
        <v>8.0739946499999995</v>
      </c>
      <c r="AS10" s="390">
        <f t="shared" ca="1" si="364"/>
        <v>0.17707472299999999</v>
      </c>
      <c r="AT10" s="390">
        <f t="shared" ca="1" si="363"/>
        <v>11.1789858</v>
      </c>
      <c r="AU10" s="390">
        <f t="shared" ca="1" si="363"/>
        <v>1.1862717599999999</v>
      </c>
      <c r="AV10" s="390">
        <f t="shared" ca="1" si="363"/>
        <v>5.8779036800000002</v>
      </c>
      <c r="AW10" s="390">
        <f t="shared" ca="1" si="363"/>
        <v>11.1789858</v>
      </c>
      <c r="AX10" s="390">
        <f t="shared" ca="1" si="363"/>
        <v>12.5423323</v>
      </c>
      <c r="AY10" s="390">
        <f t="shared" ca="1" si="363"/>
        <v>0</v>
      </c>
      <c r="AZ10" s="390">
        <f t="shared" ca="1" si="363"/>
        <v>0</v>
      </c>
      <c r="BA10" s="390">
        <f t="shared" ca="1" si="363"/>
        <v>0</v>
      </c>
      <c r="BB10" s="390">
        <f t="shared" ca="1" si="363"/>
        <v>5.8779036800000002</v>
      </c>
      <c r="BD10" s="385"/>
      <c r="BE10" s="394"/>
      <c r="BF10" s="395"/>
      <c r="BG10" s="394"/>
      <c r="BH10" s="1338"/>
      <c r="BI10" s="395"/>
      <c r="BJ10" s="385"/>
      <c r="BL10" s="386" t="s">
        <v>1160</v>
      </c>
      <c r="BM10" s="387" t="s">
        <v>287</v>
      </c>
      <c r="BN10" s="390">
        <f ca="1">BN44</f>
        <v>0.58781905099999998</v>
      </c>
      <c r="BO10" s="390">
        <f t="shared" ref="BO10:BR10" ca="1" si="365">BO44</f>
        <v>2009.36331</v>
      </c>
      <c r="BP10" s="390">
        <f t="shared" ca="1" si="365"/>
        <v>31.971114199999999</v>
      </c>
      <c r="BQ10" s="390">
        <f t="shared" ca="1" si="365"/>
        <v>0</v>
      </c>
      <c r="BR10" s="390">
        <f t="shared" ca="1" si="365"/>
        <v>0</v>
      </c>
      <c r="BT10" s="385"/>
      <c r="BU10" s="394"/>
      <c r="BV10" s="395"/>
      <c r="BW10" s="394"/>
      <c r="BX10" s="1338"/>
      <c r="BY10" s="395"/>
      <c r="BZ10" s="385"/>
      <c r="CB10" s="386" t="s">
        <v>1160</v>
      </c>
      <c r="CC10" s="387" t="s">
        <v>287</v>
      </c>
      <c r="CD10" s="390">
        <f ca="1">CD44</f>
        <v>5.8779036800000002</v>
      </c>
      <c r="CE10" s="390">
        <f t="shared" ref="CE10:CO10" ca="1" si="366">CE44</f>
        <v>5.8779036800000002</v>
      </c>
      <c r="CF10" s="390">
        <f t="shared" ca="1" si="366"/>
        <v>0.58781905099999998</v>
      </c>
      <c r="CG10" s="390">
        <f t="shared" ca="1" si="366"/>
        <v>2009.36331</v>
      </c>
      <c r="CH10" s="390">
        <f t="shared" ca="1" si="366"/>
        <v>5.8779036800000002</v>
      </c>
      <c r="CI10" s="390">
        <f t="shared" ca="1" si="366"/>
        <v>0</v>
      </c>
      <c r="CJ10" s="390">
        <f t="shared" ca="1" si="366"/>
        <v>0</v>
      </c>
      <c r="CK10" s="390">
        <f t="shared" ca="1" si="366"/>
        <v>21516.992600000001</v>
      </c>
      <c r="CL10" s="390">
        <f t="shared" ca="1" si="366"/>
        <v>330.46824099999998</v>
      </c>
      <c r="CM10" s="390">
        <f t="shared" ca="1" si="366"/>
        <v>0</v>
      </c>
      <c r="CN10" s="390">
        <f t="shared" ca="1" si="366"/>
        <v>21940.651900000001</v>
      </c>
      <c r="CO10" s="390">
        <f t="shared" ca="1" si="366"/>
        <v>423.65937000000002</v>
      </c>
      <c r="CQ10" s="394"/>
      <c r="CR10" s="394"/>
      <c r="CS10" s="395"/>
      <c r="CT10" s="394"/>
      <c r="CU10" s="1338"/>
      <c r="CV10" s="395"/>
      <c r="CW10" s="394"/>
      <c r="CY10" s="386" t="s">
        <v>1160</v>
      </c>
      <c r="CZ10" s="387" t="s">
        <v>287</v>
      </c>
      <c r="DA10" s="390">
        <f ca="1">DA44</f>
        <v>0</v>
      </c>
      <c r="DB10" s="390">
        <f t="shared" ref="DB10:DJ10" ca="1" si="367">DB44</f>
        <v>0</v>
      </c>
      <c r="DC10" s="390">
        <f t="shared" ca="1" si="367"/>
        <v>0</v>
      </c>
      <c r="DD10" s="390">
        <f t="shared" ca="1" si="367"/>
        <v>0</v>
      </c>
      <c r="DE10" s="390">
        <f t="shared" ca="1" si="367"/>
        <v>0</v>
      </c>
      <c r="DF10" s="390">
        <f t="shared" ca="1" si="367"/>
        <v>0</v>
      </c>
      <c r="DG10" s="390">
        <f t="shared" ca="1" si="367"/>
        <v>0</v>
      </c>
      <c r="DH10" s="390">
        <f t="shared" ca="1" si="367"/>
        <v>0</v>
      </c>
      <c r="DI10" s="390">
        <f t="shared" ca="1" si="367"/>
        <v>0</v>
      </c>
      <c r="DJ10" s="390">
        <f t="shared" ca="1" si="367"/>
        <v>0</v>
      </c>
      <c r="DL10" s="385"/>
      <c r="DM10" s="394"/>
      <c r="DN10" s="395"/>
      <c r="DO10" s="394"/>
      <c r="DP10" s="1338"/>
      <c r="DQ10" s="395"/>
      <c r="DR10" s="385"/>
      <c r="DT10" s="386" t="s">
        <v>1160</v>
      </c>
      <c r="DU10" s="387" t="s">
        <v>287</v>
      </c>
      <c r="DV10" s="390">
        <f ca="1">DV44</f>
        <v>0</v>
      </c>
      <c r="DW10" s="390">
        <f t="shared" ref="DW10:EK10" ca="1" si="368">DW44</f>
        <v>0</v>
      </c>
      <c r="DX10" s="390">
        <f t="shared" ca="1" si="368"/>
        <v>0</v>
      </c>
      <c r="DY10" s="390">
        <f t="shared" ca="1" si="368"/>
        <v>0</v>
      </c>
      <c r="DZ10" s="390">
        <f t="shared" ca="1" si="368"/>
        <v>0</v>
      </c>
      <c r="EA10" s="390">
        <f t="shared" ca="1" si="368"/>
        <v>0</v>
      </c>
      <c r="EB10" s="390">
        <f t="shared" ca="1" si="368"/>
        <v>0</v>
      </c>
      <c r="EC10" s="390">
        <f t="shared" ca="1" si="368"/>
        <v>0</v>
      </c>
      <c r="ED10" s="390">
        <f t="shared" ca="1" si="368"/>
        <v>0</v>
      </c>
      <c r="EE10" s="390">
        <f t="shared" ca="1" si="368"/>
        <v>0</v>
      </c>
      <c r="EF10" s="390">
        <f t="shared" ca="1" si="368"/>
        <v>0</v>
      </c>
      <c r="EG10" s="390">
        <f t="shared" ca="1" si="368"/>
        <v>0</v>
      </c>
      <c r="EH10" s="390">
        <f t="shared" ca="1" si="368"/>
        <v>0</v>
      </c>
      <c r="EI10" s="390">
        <f t="shared" ca="1" si="368"/>
        <v>0</v>
      </c>
      <c r="EJ10" s="390">
        <f t="shared" ref="EJ10" ca="1" si="369">EJ44</f>
        <v>0</v>
      </c>
      <c r="EK10" s="390">
        <f t="shared" ca="1" si="368"/>
        <v>0</v>
      </c>
      <c r="EM10" s="385"/>
      <c r="EN10" s="386"/>
      <c r="EO10" s="393"/>
      <c r="EP10" s="386" t="s">
        <v>3239</v>
      </c>
      <c r="EQ10" s="1337">
        <f t="shared" ref="EQ10" ca="1" si="370">VLOOKUP(ES10,INDIRECT(LU_WORK),2,FALSE)</f>
        <v>5.5927490300000002</v>
      </c>
      <c r="ER10" s="1467">
        <f t="shared" ca="1" si="16"/>
        <v>4.8088985640584699E-3</v>
      </c>
      <c r="ES10" s="189" t="s">
        <v>3238</v>
      </c>
      <c r="EU10" s="386" t="s">
        <v>1160</v>
      </c>
      <c r="EV10" s="387" t="s">
        <v>287</v>
      </c>
      <c r="EW10" s="390">
        <f ca="1">EW44</f>
        <v>21940.651900000001</v>
      </c>
      <c r="EX10" s="390">
        <f t="shared" ref="EX10:FB10" ca="1" si="371">EX44</f>
        <v>21940.651900000001</v>
      </c>
      <c r="EY10" s="390">
        <f t="shared" ca="1" si="371"/>
        <v>184.28537299999999</v>
      </c>
      <c r="EZ10" s="390">
        <f t="shared" ca="1" si="371"/>
        <v>184.28537299999999</v>
      </c>
      <c r="FA10" s="390">
        <f t="shared" ca="1" si="371"/>
        <v>65.535978600000007</v>
      </c>
      <c r="FB10" s="390">
        <f t="shared" ca="1" si="371"/>
        <v>21690.830699999999</v>
      </c>
      <c r="FD10" s="394"/>
      <c r="FE10" s="394"/>
      <c r="FF10" s="395"/>
      <c r="FG10" s="394"/>
      <c r="FH10" s="1338"/>
      <c r="FI10" s="395"/>
      <c r="FJ10" s="394"/>
      <c r="FL10" s="386" t="s">
        <v>1160</v>
      </c>
      <c r="FM10" s="387" t="s">
        <v>287</v>
      </c>
      <c r="FN10" s="390">
        <f ca="1">FN44</f>
        <v>31.971114199999999</v>
      </c>
      <c r="FO10" s="390">
        <f t="shared" ref="FO10:FX10" ca="1" si="372">FO44</f>
        <v>330.46824099999998</v>
      </c>
      <c r="FP10" s="390">
        <f t="shared" ca="1" si="372"/>
        <v>65.535978600000007</v>
      </c>
      <c r="FQ10" s="390">
        <f t="shared" ca="1" si="372"/>
        <v>21690.830699999999</v>
      </c>
      <c r="FR10" s="390">
        <f t="shared" ca="1" si="372"/>
        <v>26984.883300000001</v>
      </c>
      <c r="FS10" s="390">
        <f t="shared" ca="1" si="372"/>
        <v>18.420235999999999</v>
      </c>
      <c r="FT10" s="390">
        <f t="shared" ca="1" si="372"/>
        <v>5312.4732400000003</v>
      </c>
      <c r="FU10" s="390">
        <f t="shared" ca="1" si="372"/>
        <v>427.97533399999998</v>
      </c>
      <c r="FV10" s="390">
        <f t="shared" ca="1" si="372"/>
        <v>0</v>
      </c>
      <c r="FW10" s="390">
        <f t="shared" ca="1" si="372"/>
        <v>4.3159647200000002</v>
      </c>
      <c r="FX10" s="390">
        <f t="shared" ca="1" si="372"/>
        <v>423.65937000000002</v>
      </c>
      <c r="FZ10" s="385"/>
      <c r="GA10" s="394"/>
      <c r="GB10" s="395"/>
      <c r="GC10" s="394"/>
      <c r="GD10" s="1338"/>
      <c r="GE10" s="395"/>
      <c r="GF10" s="394"/>
      <c r="GH10" s="386" t="s">
        <v>1160</v>
      </c>
      <c r="GI10" s="387" t="s">
        <v>287</v>
      </c>
      <c r="GJ10" s="390">
        <f ca="1">GJ44</f>
        <v>26984.883300000001</v>
      </c>
      <c r="GK10" s="390">
        <f t="shared" ref="GK10:GQ10" ca="1" si="373">GK44</f>
        <v>26984.883300000001</v>
      </c>
      <c r="GL10" s="390">
        <f t="shared" ca="1" si="373"/>
        <v>5312.4737999999998</v>
      </c>
      <c r="GM10" s="390">
        <f t="shared" ca="1" si="373"/>
        <v>21672.409500000002</v>
      </c>
      <c r="GN10" s="390">
        <f t="shared" ca="1" si="373"/>
        <v>21672.409500000002</v>
      </c>
      <c r="GO10" s="390">
        <f t="shared" ca="1" si="373"/>
        <v>5312.4737999999998</v>
      </c>
      <c r="GP10" s="390">
        <f t="shared" ca="1" si="373"/>
        <v>21672.409500000002</v>
      </c>
      <c r="GQ10" s="390">
        <f t="shared" ca="1" si="373"/>
        <v>5312.4732400000003</v>
      </c>
      <c r="GS10" s="394"/>
      <c r="GT10" s="394"/>
      <c r="GU10" s="395"/>
      <c r="GV10" s="394"/>
      <c r="GW10" s="1338"/>
      <c r="GX10" s="395"/>
      <c r="GY10" s="394"/>
      <c r="HA10" s="386" t="s">
        <v>1160</v>
      </c>
      <c r="HB10" s="387" t="s">
        <v>287</v>
      </c>
      <c r="HC10" s="390">
        <f ca="1">HC44</f>
        <v>184.28537299999999</v>
      </c>
      <c r="HD10" s="390">
        <f t="shared" ref="HD10:HH10" ca="1" si="374">HD44</f>
        <v>177.424138</v>
      </c>
      <c r="HE10" s="390">
        <f t="shared" ca="1" si="374"/>
        <v>0</v>
      </c>
      <c r="HF10" s="390">
        <f t="shared" ca="1" si="374"/>
        <v>1.17033893</v>
      </c>
      <c r="HG10" s="390">
        <f t="shared" ca="1" si="374"/>
        <v>5.6908961199999997</v>
      </c>
      <c r="HH10" s="390">
        <f t="shared" ca="1" si="374"/>
        <v>177.424138</v>
      </c>
      <c r="HJ10" s="385"/>
      <c r="HK10" s="386"/>
      <c r="HL10" s="393"/>
      <c r="HM10" s="386" t="s">
        <v>2019</v>
      </c>
      <c r="HN10" s="1337">
        <f t="shared" ref="HN10:HN13" ca="1" si="375">VLOOKUP(HP10,INDIRECT(LU_WORK),2,FALSE)</f>
        <v>7.4569986999999998</v>
      </c>
      <c r="HO10" s="1467">
        <f t="shared" ca="1" si="28"/>
        <v>6.4118647463456578E-3</v>
      </c>
      <c r="HP10" s="385" t="s">
        <v>3244</v>
      </c>
      <c r="HR10" s="386" t="s">
        <v>1160</v>
      </c>
      <c r="HS10" s="387" t="s">
        <v>287</v>
      </c>
      <c r="HT10" s="390">
        <f ca="1">HT44</f>
        <v>12.5423323</v>
      </c>
      <c r="HU10" s="390">
        <f t="shared" ref="HU10:IE10" ca="1" si="376">HU44</f>
        <v>177.424138</v>
      </c>
      <c r="HV10" s="390">
        <f t="shared" ca="1" si="376"/>
        <v>189.96647100000001</v>
      </c>
      <c r="HW10" s="390">
        <f t="shared" ca="1" si="376"/>
        <v>189.96647100000001</v>
      </c>
      <c r="HX10" s="390">
        <f t="shared" ca="1" si="376"/>
        <v>15.363669</v>
      </c>
      <c r="HY10" s="390">
        <f t="shared" ca="1" si="376"/>
        <v>1.1683183500000001</v>
      </c>
      <c r="HZ10" s="390">
        <f t="shared" ca="1" si="376"/>
        <v>0.56513829500000001</v>
      </c>
      <c r="IA10" s="390">
        <f t="shared" ca="1" si="376"/>
        <v>1.4325879699999999E-4</v>
      </c>
      <c r="IB10" s="390">
        <f t="shared" ca="1" si="376"/>
        <v>0</v>
      </c>
      <c r="IC10" s="390">
        <f t="shared" ca="1" si="376"/>
        <v>0</v>
      </c>
      <c r="ID10" s="390">
        <f t="shared" ca="1" si="376"/>
        <v>0</v>
      </c>
      <c r="IE10" s="390">
        <f t="shared" ca="1" si="376"/>
        <v>0</v>
      </c>
      <c r="IG10" s="385"/>
      <c r="IH10" s="394"/>
      <c r="II10" s="395"/>
      <c r="IJ10" s="394"/>
      <c r="IK10" s="1338"/>
      <c r="IL10" s="395"/>
      <c r="IM10" s="385"/>
      <c r="IO10" s="386" t="s">
        <v>1160</v>
      </c>
      <c r="IP10" s="387" t="s">
        <v>287</v>
      </c>
      <c r="IQ10" s="390">
        <f ca="1">IQ44</f>
        <v>15.363669</v>
      </c>
      <c r="IR10" s="390">
        <f t="shared" ref="IR10:JH10" ca="1" si="377">IR44</f>
        <v>1.1683183500000001</v>
      </c>
      <c r="IS10" s="390">
        <f t="shared" ca="1" si="377"/>
        <v>2.2493200000000001E-2</v>
      </c>
      <c r="IT10" s="390">
        <f t="shared" ca="1" si="377"/>
        <v>1.1908115500000001</v>
      </c>
      <c r="IU10" s="390">
        <f t="shared" ref="IU10" ca="1" si="378">IU44</f>
        <v>1.11138029</v>
      </c>
      <c r="IV10" s="390">
        <f t="shared" ca="1" si="377"/>
        <v>0.65935109599999997</v>
      </c>
      <c r="IW10" s="390">
        <f t="shared" ca="1" si="377"/>
        <v>0.53983680000000001</v>
      </c>
      <c r="IX10" s="390">
        <f t="shared" ref="IX10" ca="1" si="379">IX44</f>
        <v>2.12443467E-2</v>
      </c>
      <c r="IY10" s="390">
        <f t="shared" ca="1" si="377"/>
        <v>7.9431267999999999E-2</v>
      </c>
      <c r="IZ10" s="390">
        <f t="shared" ca="1" si="377"/>
        <v>9.7021164100000001E-2</v>
      </c>
      <c r="JA10" s="390">
        <f t="shared" ca="1" si="377"/>
        <v>0.56233</v>
      </c>
      <c r="JB10" s="390">
        <f t="shared" ca="1" si="377"/>
        <v>0</v>
      </c>
      <c r="JC10" s="390">
        <f t="shared" ca="1" si="377"/>
        <v>9.6877905299999997E-2</v>
      </c>
      <c r="JD10" s="390">
        <f t="shared" ca="1" si="377"/>
        <v>0</v>
      </c>
      <c r="JE10" s="390">
        <f t="shared" ca="1" si="377"/>
        <v>9.7021164100000001E-2</v>
      </c>
      <c r="JF10" s="390">
        <f t="shared" ca="1" si="377"/>
        <v>0</v>
      </c>
      <c r="JG10" s="390">
        <f t="shared" ca="1" si="377"/>
        <v>0</v>
      </c>
      <c r="JH10" s="390">
        <f t="shared" ca="1" si="377"/>
        <v>1.4325879699999999E-4</v>
      </c>
      <c r="JJ10" s="385"/>
      <c r="JK10" s="386"/>
      <c r="JL10" s="393"/>
      <c r="JM10" s="279" t="s">
        <v>3372</v>
      </c>
      <c r="JN10" s="1337">
        <f t="shared" ca="1" si="273"/>
        <v>4.4045653500000004</v>
      </c>
      <c r="JO10" s="1467">
        <f t="shared" ca="1" si="274"/>
        <v>3.787244496990542E-3</v>
      </c>
      <c r="JP10" s="385" t="s">
        <v>3373</v>
      </c>
      <c r="JR10" s="386" t="s">
        <v>1160</v>
      </c>
      <c r="JS10" s="387" t="s">
        <v>287</v>
      </c>
      <c r="JT10" s="390">
        <f ca="1">JT44</f>
        <v>0</v>
      </c>
      <c r="JU10" s="390">
        <f t="shared" ref="JU10:KC10" ca="1" si="380">JU44</f>
        <v>0</v>
      </c>
      <c r="JV10" s="390">
        <f t="shared" ca="1" si="380"/>
        <v>0</v>
      </c>
      <c r="JW10" s="390">
        <f t="shared" ca="1" si="380"/>
        <v>0</v>
      </c>
      <c r="JX10" s="390">
        <f t="shared" ca="1" si="380"/>
        <v>21672.409500000002</v>
      </c>
      <c r="JY10" s="390">
        <f t="shared" ca="1" si="380"/>
        <v>0</v>
      </c>
      <c r="JZ10" s="390">
        <f t="shared" ca="1" si="380"/>
        <v>21672.409500000002</v>
      </c>
      <c r="KA10" s="390">
        <f t="shared" ca="1" si="380"/>
        <v>0</v>
      </c>
      <c r="KB10" s="390">
        <f t="shared" ca="1" si="380"/>
        <v>0</v>
      </c>
      <c r="KC10" s="390">
        <f t="shared" ca="1" si="380"/>
        <v>0</v>
      </c>
      <c r="KE10" s="394"/>
      <c r="KF10" s="1338"/>
      <c r="KG10" s="395"/>
      <c r="KH10" s="385"/>
      <c r="KJ10" s="386" t="s">
        <v>1160</v>
      </c>
      <c r="KK10" s="387" t="s">
        <v>287</v>
      </c>
      <c r="KL10" s="390">
        <f ca="1">KL44</f>
        <v>0</v>
      </c>
      <c r="KM10" s="390">
        <f t="shared" ref="KM10:KR10" ca="1" si="381">KM44</f>
        <v>0</v>
      </c>
      <c r="KN10" s="390">
        <f t="shared" ca="1" si="381"/>
        <v>0</v>
      </c>
      <c r="KO10" s="390">
        <f t="shared" ca="1" si="381"/>
        <v>0</v>
      </c>
      <c r="KP10" s="390">
        <f t="shared" ca="1" si="381"/>
        <v>0</v>
      </c>
      <c r="KQ10" s="390">
        <f t="shared" ca="1" si="381"/>
        <v>0</v>
      </c>
      <c r="KR10" s="390">
        <f t="shared" ca="1" si="381"/>
        <v>0</v>
      </c>
      <c r="KT10" s="394"/>
      <c r="KU10" s="1338"/>
      <c r="KV10" s="395"/>
      <c r="KW10" s="394"/>
      <c r="KY10" s="386" t="s">
        <v>1160</v>
      </c>
      <c r="KZ10" s="387" t="s">
        <v>287</v>
      </c>
      <c r="LA10" s="390">
        <f ca="1">LA44</f>
        <v>1.17033893</v>
      </c>
      <c r="LB10" s="390">
        <f t="shared" ref="LB10:LK10" ca="1" si="382">LB44</f>
        <v>0.56513829500000001</v>
      </c>
      <c r="LC10" s="390">
        <f t="shared" ca="1" si="382"/>
        <v>1.7354772199999999</v>
      </c>
      <c r="LD10" s="390">
        <f t="shared" ca="1" si="382"/>
        <v>1.7354772199999999</v>
      </c>
      <c r="LE10" s="390">
        <f t="shared" ca="1" si="382"/>
        <v>0</v>
      </c>
      <c r="LF10" s="390">
        <f t="shared" ca="1" si="382"/>
        <v>0</v>
      </c>
      <c r="LG10" s="390">
        <f t="shared" ca="1" si="382"/>
        <v>0</v>
      </c>
      <c r="LH10" s="390">
        <f t="shared" ca="1" si="382"/>
        <v>0</v>
      </c>
      <c r="LI10" s="390">
        <f t="shared" ca="1" si="382"/>
        <v>0</v>
      </c>
      <c r="LJ10" s="390">
        <f t="shared" ca="1" si="382"/>
        <v>0</v>
      </c>
      <c r="LK10" s="390">
        <f t="shared" ca="1" si="382"/>
        <v>0</v>
      </c>
      <c r="LM10" s="385"/>
      <c r="LN10" s="394"/>
      <c r="LO10" s="395"/>
      <c r="LP10" s="394"/>
      <c r="LQ10" s="1338"/>
      <c r="LR10" s="395"/>
      <c r="LS10" s="385"/>
      <c r="LU10" s="386" t="s">
        <v>1160</v>
      </c>
      <c r="LV10" s="387" t="s">
        <v>287</v>
      </c>
      <c r="LW10" s="390">
        <f ca="1">LW44</f>
        <v>0</v>
      </c>
      <c r="LX10" s="390">
        <f ca="1">LX44</f>
        <v>0</v>
      </c>
      <c r="LY10" s="390">
        <f t="shared" ref="LY10:MO10" ca="1" si="383">LY44</f>
        <v>5.6908961199999997</v>
      </c>
      <c r="LZ10" s="390">
        <f t="shared" ca="1" si="383"/>
        <v>7.9431267999999999E-2</v>
      </c>
      <c r="MA10" s="390">
        <f t="shared" ca="1" si="383"/>
        <v>5.7703273800000003</v>
      </c>
      <c r="MB10" s="390">
        <f t="shared" ca="1" si="383"/>
        <v>1.7354772199999999</v>
      </c>
      <c r="MC10" s="390">
        <f t="shared" ca="1" si="383"/>
        <v>0</v>
      </c>
      <c r="MD10" s="390">
        <f t="shared" ca="1" si="383"/>
        <v>0</v>
      </c>
      <c r="ME10" s="390">
        <f t="shared" ca="1" si="383"/>
        <v>0</v>
      </c>
      <c r="MF10" s="390">
        <f t="shared" ca="1" si="383"/>
        <v>0</v>
      </c>
      <c r="MG10" s="390">
        <f t="shared" ca="1" si="383"/>
        <v>0</v>
      </c>
      <c r="MH10" s="390">
        <f t="shared" ref="MH10:MI10" ca="1" si="384">MH44</f>
        <v>0</v>
      </c>
      <c r="MI10" s="390">
        <f t="shared" ca="1" si="384"/>
        <v>0</v>
      </c>
      <c r="MJ10" s="390">
        <f t="shared" ca="1" si="383"/>
        <v>0</v>
      </c>
      <c r="MK10" s="390">
        <f t="shared" ca="1" si="383"/>
        <v>0</v>
      </c>
      <c r="ML10" s="390">
        <f t="shared" ca="1" si="383"/>
        <v>0</v>
      </c>
      <c r="MM10" s="390">
        <f t="shared" ca="1" si="383"/>
        <v>0</v>
      </c>
      <c r="MN10" s="390">
        <f t="shared" ca="1" si="383"/>
        <v>0</v>
      </c>
      <c r="MO10" s="390">
        <f t="shared" ca="1" si="383"/>
        <v>0</v>
      </c>
      <c r="MQ10" s="394"/>
      <c r="MR10" s="394"/>
      <c r="MS10" s="395"/>
      <c r="MT10" s="394"/>
      <c r="MU10" s="1338"/>
      <c r="MV10" s="395"/>
      <c r="MW10" s="385"/>
      <c r="MY10" s="386" t="s">
        <v>1160</v>
      </c>
      <c r="MZ10" s="387" t="s">
        <v>287</v>
      </c>
      <c r="NA10" s="390">
        <f ca="1">NA44</f>
        <v>8.2510693699999997</v>
      </c>
      <c r="NB10" s="390">
        <f t="shared" ref="NB10:NP10" ca="1" si="385">NB44</f>
        <v>8.0739946499999995</v>
      </c>
      <c r="NC10" s="390">
        <f t="shared" ca="1" si="385"/>
        <v>0.17707472299999999</v>
      </c>
      <c r="ND10" s="390">
        <f t="shared" ca="1" si="385"/>
        <v>0</v>
      </c>
      <c r="NE10" s="390">
        <f t="shared" ca="1" si="385"/>
        <v>0</v>
      </c>
      <c r="NF10" s="390">
        <f t="shared" ca="1" si="385"/>
        <v>0</v>
      </c>
      <c r="NG10" s="390">
        <f t="shared" ca="1" si="385"/>
        <v>0</v>
      </c>
      <c r="NH10" s="390">
        <f t="shared" ca="1" si="385"/>
        <v>0</v>
      </c>
      <c r="NI10" s="390">
        <f t="shared" ca="1" si="385"/>
        <v>0</v>
      </c>
      <c r="NJ10" s="390">
        <f t="shared" ca="1" si="385"/>
        <v>0</v>
      </c>
      <c r="NK10" s="390">
        <f t="shared" ca="1" si="385"/>
        <v>0</v>
      </c>
      <c r="NL10" s="390">
        <f t="shared" ca="1" si="385"/>
        <v>0</v>
      </c>
      <c r="NM10" s="390">
        <f t="shared" ca="1" si="385"/>
        <v>0</v>
      </c>
      <c r="NN10" s="390">
        <f t="shared" ca="1" si="385"/>
        <v>0</v>
      </c>
      <c r="NO10" s="390">
        <f t="shared" ca="1" si="385"/>
        <v>0</v>
      </c>
      <c r="NP10" s="390">
        <f t="shared" ca="1" si="385"/>
        <v>0</v>
      </c>
      <c r="NR10" s="394"/>
      <c r="NS10" s="394"/>
      <c r="NT10" s="395"/>
      <c r="NU10" s="394"/>
      <c r="NV10" s="1338"/>
      <c r="NW10" s="395"/>
      <c r="NX10" s="394"/>
      <c r="NZ10" s="394"/>
      <c r="OA10" s="394"/>
      <c r="OB10" s="1338"/>
      <c r="OC10" s="395"/>
      <c r="OD10" s="394"/>
      <c r="OF10" s="386" t="s">
        <v>1160</v>
      </c>
      <c r="OG10" s="387" t="s">
        <v>287</v>
      </c>
      <c r="OH10" s="390">
        <f ca="1">OH44</f>
        <v>0</v>
      </c>
      <c r="OI10" s="390">
        <f t="shared" ref="OI10:OO10" ca="1" si="386">OI44</f>
        <v>0</v>
      </c>
      <c r="OJ10" s="390">
        <f t="shared" ca="1" si="386"/>
        <v>0</v>
      </c>
      <c r="OK10" s="390">
        <f t="shared" ca="1" si="386"/>
        <v>0</v>
      </c>
      <c r="OL10" s="390">
        <f t="shared" ca="1" si="386"/>
        <v>0</v>
      </c>
      <c r="OM10" s="390">
        <f t="shared" ca="1" si="386"/>
        <v>0</v>
      </c>
      <c r="ON10" s="390">
        <f t="shared" ca="1" si="386"/>
        <v>0</v>
      </c>
      <c r="OO10" s="390">
        <f t="shared" ca="1" si="386"/>
        <v>0</v>
      </c>
      <c r="OQ10" s="394"/>
      <c r="OR10" s="394"/>
      <c r="OS10" s="395"/>
      <c r="OT10" s="394"/>
      <c r="OU10" s="1338"/>
      <c r="OV10" s="395"/>
      <c r="OW10" s="394"/>
      <c r="OY10" s="386" t="s">
        <v>1160</v>
      </c>
      <c r="OZ10" s="387" t="s">
        <v>287</v>
      </c>
      <c r="PA10" s="390">
        <f ca="1">PA44</f>
        <v>0</v>
      </c>
      <c r="PB10" s="390">
        <f t="shared" ref="PB10:PK10" ca="1" si="387">PB44</f>
        <v>0</v>
      </c>
      <c r="PC10" s="390">
        <f t="shared" ca="1" si="387"/>
        <v>0</v>
      </c>
      <c r="PD10" s="390">
        <f t="shared" ca="1" si="387"/>
        <v>0</v>
      </c>
      <c r="PE10" s="390">
        <f t="shared" ca="1" si="387"/>
        <v>0</v>
      </c>
      <c r="PF10" s="390">
        <f t="shared" ca="1" si="387"/>
        <v>0</v>
      </c>
      <c r="PG10" s="390">
        <f t="shared" ca="1" si="387"/>
        <v>0</v>
      </c>
      <c r="PH10" s="390">
        <f t="shared" ca="1" si="387"/>
        <v>0</v>
      </c>
      <c r="PI10" s="390">
        <f t="shared" ca="1" si="387"/>
        <v>0</v>
      </c>
      <c r="PJ10" s="390">
        <f t="shared" ca="1" si="387"/>
        <v>0</v>
      </c>
      <c r="PK10" s="390">
        <f t="shared" ca="1" si="387"/>
        <v>0</v>
      </c>
      <c r="PM10" s="385"/>
      <c r="PN10" s="394"/>
      <c r="PO10" s="395"/>
      <c r="PP10" s="394"/>
      <c r="PQ10" s="1338"/>
      <c r="PR10" s="395"/>
      <c r="PS10" s="385"/>
      <c r="PU10" s="386" t="s">
        <v>1160</v>
      </c>
      <c r="PV10" s="387" t="s">
        <v>287</v>
      </c>
      <c r="PW10" s="390">
        <f ca="1">PW44</f>
        <v>0</v>
      </c>
      <c r="PX10" s="390">
        <f t="shared" ref="PX10:PZ10" ca="1" si="388">PX44</f>
        <v>0</v>
      </c>
      <c r="PY10" s="390">
        <f t="shared" ca="1" si="388"/>
        <v>0</v>
      </c>
      <c r="PZ10" s="390">
        <f t="shared" ca="1" si="388"/>
        <v>0</v>
      </c>
      <c r="QB10" s="394"/>
      <c r="QC10" s="394"/>
      <c r="QD10" s="395"/>
      <c r="QE10" s="394"/>
      <c r="QF10" s="1338"/>
      <c r="QG10" s="395"/>
      <c r="QH10" s="394"/>
      <c r="QI10" s="896"/>
      <c r="QJ10" s="896"/>
      <c r="QK10" s="896"/>
    </row>
    <row r="11" spans="1:453" x14ac:dyDescent="0.25">
      <c r="H11" s="386" t="s">
        <v>1890</v>
      </c>
      <c r="I11" s="387" t="s">
        <v>287</v>
      </c>
      <c r="J11" s="390">
        <f ca="1">J43</f>
        <v>20833.333299999998</v>
      </c>
      <c r="K11" s="390">
        <f ca="1">K43</f>
        <v>20833.333299999998</v>
      </c>
      <c r="M11" s="386" t="s">
        <v>1939</v>
      </c>
      <c r="N11" s="1337">
        <f t="shared" ca="1" si="66"/>
        <v>3.9578212100000001</v>
      </c>
      <c r="O11" s="1467">
        <f t="shared" ca="1" si="67"/>
        <v>3.4031136801375757E-3</v>
      </c>
      <c r="P11" s="385" t="s">
        <v>1198</v>
      </c>
      <c r="R11" s="386" t="s">
        <v>1890</v>
      </c>
      <c r="S11" s="387" t="s">
        <v>287</v>
      </c>
      <c r="T11" s="390">
        <f ca="1">T43</f>
        <v>20833.333299999998</v>
      </c>
      <c r="U11" s="390">
        <f t="shared" ref="U11:AD11" ca="1" si="389">U43</f>
        <v>140999.443</v>
      </c>
      <c r="V11" s="390">
        <f t="shared" ca="1" si="389"/>
        <v>36791.681600000004</v>
      </c>
      <c r="W11" s="390">
        <f t="shared" ca="1" si="389"/>
        <v>3491.0177199999998</v>
      </c>
      <c r="X11" s="390">
        <f t="shared" ca="1" si="389"/>
        <v>24555.056100000002</v>
      </c>
      <c r="Y11" s="390">
        <f t="shared" ca="1" si="389"/>
        <v>224197.481</v>
      </c>
      <c r="Z11" s="390">
        <f t="shared" ca="1" si="389"/>
        <v>19547.879199999999</v>
      </c>
      <c r="AA11" s="390">
        <f t="shared" ca="1" si="389"/>
        <v>204649.60200000001</v>
      </c>
      <c r="AB11" s="390">
        <f t="shared" ca="1" si="389"/>
        <v>138.62007199999999</v>
      </c>
      <c r="AC11" s="390">
        <f t="shared" ca="1" si="389"/>
        <v>36653.061500000003</v>
      </c>
      <c r="AD11" s="390">
        <f t="shared" ca="1" si="389"/>
        <v>138.64284499999999</v>
      </c>
      <c r="AF11" s="386" t="s">
        <v>1961</v>
      </c>
      <c r="AG11" s="1337">
        <f t="shared" ca="1" si="1"/>
        <v>79.999744000000007</v>
      </c>
      <c r="AH11" s="1467">
        <f t="shared" ca="1" si="69"/>
        <v>6.8787398108340489E-2</v>
      </c>
      <c r="AI11" s="385" t="s">
        <v>1209</v>
      </c>
      <c r="AK11" s="386" t="s">
        <v>1890</v>
      </c>
      <c r="AL11" s="387" t="s">
        <v>287</v>
      </c>
      <c r="AM11" s="390">
        <f ca="1">AM43</f>
        <v>140999.443</v>
      </c>
      <c r="AN11" s="390">
        <f t="shared" ref="AN11:BB11" ca="1" si="390">AN43</f>
        <v>140999.443</v>
      </c>
      <c r="AO11" s="390">
        <f t="shared" ref="AO11:AS11" ca="1" si="391">AO43</f>
        <v>204649.60200000001</v>
      </c>
      <c r="AP11" s="390">
        <f t="shared" ca="1" si="391"/>
        <v>204649.60200000001</v>
      </c>
      <c r="AQ11" s="390">
        <f t="shared" ca="1" si="391"/>
        <v>13725.786099999999</v>
      </c>
      <c r="AR11" s="390">
        <f t="shared" ca="1" si="391"/>
        <v>15645.043900000001</v>
      </c>
      <c r="AS11" s="390">
        <f t="shared" ca="1" si="391"/>
        <v>3902.83536</v>
      </c>
      <c r="AT11" s="390">
        <f t="shared" ca="1" si="390"/>
        <v>13318.637699999999</v>
      </c>
      <c r="AU11" s="390">
        <f t="shared" ca="1" si="390"/>
        <v>16052.192299999999</v>
      </c>
      <c r="AV11" s="390">
        <f t="shared" ca="1" si="390"/>
        <v>190923.81599999999</v>
      </c>
      <c r="AW11" s="390">
        <f t="shared" ca="1" si="390"/>
        <v>13318.637699999999</v>
      </c>
      <c r="AX11" s="390">
        <f t="shared" ca="1" si="390"/>
        <v>33273.665300000001</v>
      </c>
      <c r="AY11" s="390">
        <f t="shared" ca="1" si="390"/>
        <v>0</v>
      </c>
      <c r="AZ11" s="390">
        <f t="shared" ca="1" si="390"/>
        <v>150458.399</v>
      </c>
      <c r="BA11" s="390">
        <f t="shared" ca="1" si="390"/>
        <v>150458.399</v>
      </c>
      <c r="BB11" s="390">
        <f t="shared" ca="1" si="390"/>
        <v>341382.23800000001</v>
      </c>
      <c r="BD11" s="385"/>
      <c r="BE11" s="394"/>
      <c r="BF11" s="395"/>
      <c r="BG11" s="395"/>
      <c r="BH11" s="394"/>
      <c r="BI11" s="394"/>
      <c r="BL11" s="386" t="s">
        <v>1890</v>
      </c>
      <c r="BM11" s="387" t="s">
        <v>287</v>
      </c>
      <c r="BN11" s="390">
        <f ca="1">BN43</f>
        <v>35180.425600000002</v>
      </c>
      <c r="BO11" s="390">
        <f t="shared" ref="BO11:BR11" ca="1" si="392">BO43</f>
        <v>35280.318399999996</v>
      </c>
      <c r="BP11" s="390">
        <f t="shared" ca="1" si="392"/>
        <v>37.885368399999997</v>
      </c>
      <c r="BQ11" s="390">
        <f t="shared" ca="1" si="392"/>
        <v>105.91935599999999</v>
      </c>
      <c r="BR11" s="390">
        <f t="shared" ca="1" si="392"/>
        <v>0</v>
      </c>
      <c r="BT11" s="385"/>
      <c r="BU11" s="394"/>
      <c r="BV11" s="395"/>
      <c r="BW11" s="395"/>
      <c r="BX11" s="394"/>
      <c r="BY11" s="394"/>
      <c r="CB11" s="386" t="s">
        <v>1890</v>
      </c>
      <c r="CC11" s="387" t="s">
        <v>287</v>
      </c>
      <c r="CD11" s="390">
        <f ca="1">CD43</f>
        <v>341382.23800000001</v>
      </c>
      <c r="CE11" s="390">
        <f t="shared" ref="CE11:CO11" ca="1" si="393">CE43</f>
        <v>341382.23800000001</v>
      </c>
      <c r="CF11" s="390">
        <f t="shared" ca="1" si="393"/>
        <v>35180.425600000002</v>
      </c>
      <c r="CG11" s="390">
        <f t="shared" ca="1" si="393"/>
        <v>35280.318399999996</v>
      </c>
      <c r="CH11" s="390">
        <f t="shared" ca="1" si="393"/>
        <v>354435.76799999998</v>
      </c>
      <c r="CI11" s="390">
        <f t="shared" ca="1" si="393"/>
        <v>476.63710400000002</v>
      </c>
      <c r="CJ11" s="390">
        <f t="shared" ca="1" si="393"/>
        <v>0</v>
      </c>
      <c r="CK11" s="390">
        <f t="shared" ca="1" si="393"/>
        <v>352101.45400000003</v>
      </c>
      <c r="CL11" s="390">
        <f t="shared" ca="1" si="393"/>
        <v>368.59690799999998</v>
      </c>
      <c r="CM11" s="390">
        <f t="shared" ca="1" si="393"/>
        <v>13053.5304</v>
      </c>
      <c r="CN11" s="390">
        <f t="shared" ca="1" si="393"/>
        <v>378839.27</v>
      </c>
      <c r="CO11" s="390">
        <f t="shared" ca="1" si="393"/>
        <v>26737.816500000001</v>
      </c>
      <c r="CQ11" s="394"/>
      <c r="CR11" s="394"/>
      <c r="CS11" s="395"/>
      <c r="CT11" s="395"/>
      <c r="CU11" s="394"/>
      <c r="CV11" s="394"/>
      <c r="CW11" s="896"/>
      <c r="CY11" s="386" t="s">
        <v>1890</v>
      </c>
      <c r="CZ11" s="387" t="s">
        <v>287</v>
      </c>
      <c r="DA11" s="390">
        <f ca="1">DA43</f>
        <v>664.81565899999998</v>
      </c>
      <c r="DB11" s="390">
        <f t="shared" ref="DB11:DJ11" ca="1" si="394">DB43</f>
        <v>3.9497584899999998</v>
      </c>
      <c r="DC11" s="390">
        <f t="shared" ca="1" si="394"/>
        <v>0</v>
      </c>
      <c r="DD11" s="390">
        <f t="shared" ca="1" si="394"/>
        <v>0</v>
      </c>
      <c r="DE11" s="390">
        <f t="shared" ca="1" si="394"/>
        <v>714.16866600000003</v>
      </c>
      <c r="DF11" s="390">
        <f t="shared" ca="1" si="394"/>
        <v>36.791611400000001</v>
      </c>
      <c r="DG11" s="390">
        <f t="shared" ca="1" si="394"/>
        <v>638.15416100000004</v>
      </c>
      <c r="DH11" s="390">
        <f t="shared" ca="1" si="394"/>
        <v>638.15416100000004</v>
      </c>
      <c r="DI11" s="390">
        <f t="shared" ca="1" si="394"/>
        <v>607.76586799999995</v>
      </c>
      <c r="DJ11" s="390">
        <f t="shared" ca="1" si="394"/>
        <v>30.388293399999998</v>
      </c>
      <c r="DL11" s="385"/>
      <c r="DM11" s="394"/>
      <c r="DN11" s="395"/>
      <c r="DO11" s="395"/>
      <c r="DP11" s="394"/>
      <c r="DQ11" s="394"/>
      <c r="DT11" s="386" t="s">
        <v>1890</v>
      </c>
      <c r="DU11" s="387" t="s">
        <v>287</v>
      </c>
      <c r="DV11" s="390">
        <f ca="1">DV43</f>
        <v>11419.2086</v>
      </c>
      <c r="DW11" s="390">
        <f t="shared" ref="DW11:EK11" ca="1" si="395">DW43</f>
        <v>426.69977</v>
      </c>
      <c r="DX11" s="390">
        <f t="shared" ca="1" si="395"/>
        <v>13296.313200000001</v>
      </c>
      <c r="DY11" s="390">
        <f t="shared" ca="1" si="395"/>
        <v>664.81565899999998</v>
      </c>
      <c r="DZ11" s="390">
        <f t="shared" ca="1" si="395"/>
        <v>0</v>
      </c>
      <c r="EA11" s="390">
        <f t="shared" ca="1" si="395"/>
        <v>714.16866600000003</v>
      </c>
      <c r="EB11" s="390">
        <f t="shared" ca="1" si="395"/>
        <v>12631.497499999999</v>
      </c>
      <c r="EC11" s="390">
        <f t="shared" ca="1" si="395"/>
        <v>78.707911800000005</v>
      </c>
      <c r="ED11" s="390">
        <f t="shared" ca="1" si="395"/>
        <v>13053.5304</v>
      </c>
      <c r="EE11" s="390">
        <f t="shared" ca="1" si="395"/>
        <v>736.75369599999999</v>
      </c>
      <c r="EF11" s="390">
        <f t="shared" ca="1" si="395"/>
        <v>0</v>
      </c>
      <c r="EG11" s="390">
        <f t="shared" ca="1" si="395"/>
        <v>0</v>
      </c>
      <c r="EH11" s="390">
        <f t="shared" ca="1" si="395"/>
        <v>0</v>
      </c>
      <c r="EI11" s="390">
        <f t="shared" ca="1" si="395"/>
        <v>78.707911800000005</v>
      </c>
      <c r="EJ11" s="390">
        <f t="shared" ref="EJ11" ca="1" si="396">EJ43</f>
        <v>0</v>
      </c>
      <c r="EK11" s="390">
        <f t="shared" ca="1" si="395"/>
        <v>607.76586799999995</v>
      </c>
      <c r="EM11" s="385"/>
      <c r="EN11" s="386"/>
      <c r="EO11" s="393"/>
      <c r="EP11" s="386" t="s">
        <v>3236</v>
      </c>
      <c r="EQ11" s="1337">
        <f ca="1">VLOOKUP(ES11,INDIRECT(LU_WORK),2,FALSE)</f>
        <v>2.23709961</v>
      </c>
      <c r="ER11" s="1467">
        <f t="shared" ca="1" si="16"/>
        <v>1.9235594239036975E-3</v>
      </c>
      <c r="ES11" s="385" t="s">
        <v>3237</v>
      </c>
      <c r="EU11" s="386" t="s">
        <v>1890</v>
      </c>
      <c r="EV11" s="387" t="s">
        <v>287</v>
      </c>
      <c r="EW11" s="390">
        <f ca="1">EW43</f>
        <v>378839.27</v>
      </c>
      <c r="EX11" s="390">
        <f t="shared" ref="EX11:FB11" ca="1" si="397">EX43</f>
        <v>378839.27</v>
      </c>
      <c r="EY11" s="390">
        <f t="shared" ca="1" si="397"/>
        <v>342053.04</v>
      </c>
      <c r="EZ11" s="390">
        <f t="shared" ca="1" si="397"/>
        <v>342053.04</v>
      </c>
      <c r="FA11" s="390">
        <f t="shared" ca="1" si="397"/>
        <v>22.657900999999999</v>
      </c>
      <c r="FB11" s="390">
        <f t="shared" ca="1" si="397"/>
        <v>36763.572099999998</v>
      </c>
      <c r="FD11" s="394"/>
      <c r="FE11" s="394"/>
      <c r="FF11" s="395"/>
      <c r="FG11" s="395"/>
      <c r="FH11" s="394"/>
      <c r="FI11" s="394"/>
      <c r="FJ11" s="896"/>
      <c r="FL11" s="386" t="s">
        <v>1890</v>
      </c>
      <c r="FM11" s="387" t="s">
        <v>287</v>
      </c>
      <c r="FN11" s="390">
        <f ca="1">FN43</f>
        <v>37.885368399999997</v>
      </c>
      <c r="FO11" s="390">
        <f t="shared" ref="FO11:FX11" ca="1" si="398">FO43</f>
        <v>368.59690799999998</v>
      </c>
      <c r="FP11" s="390">
        <f t="shared" ca="1" si="398"/>
        <v>22.657900999999999</v>
      </c>
      <c r="FQ11" s="390">
        <f t="shared" ca="1" si="398"/>
        <v>36763.572099999998</v>
      </c>
      <c r="FR11" s="390">
        <f t="shared" ca="1" si="398"/>
        <v>2160.8988100000001</v>
      </c>
      <c r="FS11" s="390">
        <f t="shared" ca="1" si="398"/>
        <v>36653.061500000003</v>
      </c>
      <c r="FT11" s="390">
        <f t="shared" ca="1" si="398"/>
        <v>2050.38805</v>
      </c>
      <c r="FU11" s="390">
        <f t="shared" ca="1" si="398"/>
        <v>429.14017699999999</v>
      </c>
      <c r="FV11" s="390">
        <f t="shared" ca="1" si="398"/>
        <v>26830.853200000001</v>
      </c>
      <c r="FW11" s="390">
        <f t="shared" ca="1" si="398"/>
        <v>522.17686000000003</v>
      </c>
      <c r="FX11" s="390">
        <f t="shared" ca="1" si="398"/>
        <v>26737.816500000001</v>
      </c>
      <c r="FZ11" s="385"/>
      <c r="GA11" s="394"/>
      <c r="GB11" s="395"/>
      <c r="GC11" s="395"/>
      <c r="GD11" s="394"/>
      <c r="GE11" s="394"/>
      <c r="GF11" s="896"/>
      <c r="GH11" s="386" t="s">
        <v>1890</v>
      </c>
      <c r="GI11" s="387" t="s">
        <v>287</v>
      </c>
      <c r="GJ11" s="390">
        <f ca="1">GJ43</f>
        <v>2160.8988100000001</v>
      </c>
      <c r="GK11" s="390">
        <f t="shared" ref="GK11:GQ11" ca="1" si="399">GK43</f>
        <v>2160.8988100000001</v>
      </c>
      <c r="GL11" s="390">
        <f t="shared" ca="1" si="399"/>
        <v>2050.3826600000002</v>
      </c>
      <c r="GM11" s="390">
        <f t="shared" ca="1" si="399"/>
        <v>110.51614600000001</v>
      </c>
      <c r="GN11" s="390">
        <f t="shared" ca="1" si="399"/>
        <v>110.51614600000001</v>
      </c>
      <c r="GO11" s="390">
        <f t="shared" ca="1" si="399"/>
        <v>2050.3826600000002</v>
      </c>
      <c r="GP11" s="390">
        <f t="shared" ca="1" si="399"/>
        <v>110.51614600000001</v>
      </c>
      <c r="GQ11" s="390">
        <f t="shared" ca="1" si="399"/>
        <v>2050.38805</v>
      </c>
      <c r="GS11" s="394"/>
      <c r="GT11" s="394"/>
      <c r="GU11" s="395"/>
      <c r="GV11" s="395"/>
      <c r="GW11" s="394"/>
      <c r="GX11" s="394"/>
      <c r="GY11" s="896"/>
      <c r="HA11" s="386" t="s">
        <v>1890</v>
      </c>
      <c r="HB11" s="387" t="s">
        <v>287</v>
      </c>
      <c r="HC11" s="390">
        <f ca="1">HC43</f>
        <v>342053.04</v>
      </c>
      <c r="HD11" s="390">
        <f t="shared" ref="HD11:HH11" ca="1" si="400">HD43</f>
        <v>329317.86599999998</v>
      </c>
      <c r="HE11" s="390">
        <f t="shared" ca="1" si="400"/>
        <v>237.25898099999998</v>
      </c>
      <c r="HF11" s="390">
        <f t="shared" ca="1" si="400"/>
        <v>175.638385</v>
      </c>
      <c r="HG11" s="390">
        <f t="shared" ca="1" si="400"/>
        <v>12796.7947</v>
      </c>
      <c r="HH11" s="390">
        <f t="shared" ca="1" si="400"/>
        <v>329317.86599999998</v>
      </c>
      <c r="HJ11" s="385"/>
      <c r="HK11" s="386"/>
      <c r="HL11" s="393"/>
      <c r="HM11" s="386" t="s">
        <v>2020</v>
      </c>
      <c r="HN11" s="1337">
        <f t="shared" ca="1" si="375"/>
        <v>11.1854981</v>
      </c>
      <c r="HO11" s="1467">
        <f t="shared" ca="1" si="28"/>
        <v>9.617797162510747E-3</v>
      </c>
      <c r="HP11" s="385" t="s">
        <v>3245</v>
      </c>
      <c r="HR11" s="386" t="s">
        <v>1890</v>
      </c>
      <c r="HS11" s="387" t="s">
        <v>287</v>
      </c>
      <c r="HT11" s="390">
        <f ca="1">HT43</f>
        <v>33273.665300000001</v>
      </c>
      <c r="HU11" s="390">
        <f t="shared" ref="HU11:IE11" ca="1" si="401">HU43</f>
        <v>329317.86599999998</v>
      </c>
      <c r="HV11" s="390">
        <f t="shared" ca="1" si="401"/>
        <v>385095.74200000003</v>
      </c>
      <c r="HW11" s="390">
        <f t="shared" ca="1" si="401"/>
        <v>385095.74200000003</v>
      </c>
      <c r="HX11" s="390">
        <f t="shared" ca="1" si="401"/>
        <v>356434.94300000003</v>
      </c>
      <c r="HY11" s="390">
        <f t="shared" ca="1" si="401"/>
        <v>27104.820199999998</v>
      </c>
      <c r="HZ11" s="390">
        <f t="shared" ca="1" si="401"/>
        <v>750.78291100000001</v>
      </c>
      <c r="IA11" s="390">
        <f t="shared" ca="1" si="401"/>
        <v>9.4649674000000008</v>
      </c>
      <c r="IB11" s="390">
        <f t="shared" ca="1" si="401"/>
        <v>4682.04054</v>
      </c>
      <c r="IC11" s="390">
        <f t="shared" ca="1" si="401"/>
        <v>147136.25899999999</v>
      </c>
      <c r="ID11" s="390">
        <f t="shared" ca="1" si="401"/>
        <v>147136.25899999999</v>
      </c>
      <c r="IE11" s="390">
        <f t="shared" ca="1" si="401"/>
        <v>17677.1695</v>
      </c>
      <c r="IG11" s="385"/>
      <c r="IH11" s="394"/>
      <c r="II11" s="395"/>
      <c r="IJ11" s="395"/>
      <c r="IK11" s="394"/>
      <c r="IL11" s="394"/>
      <c r="IO11" s="386" t="s">
        <v>1890</v>
      </c>
      <c r="IP11" s="387" t="s">
        <v>287</v>
      </c>
      <c r="IQ11" s="390">
        <f ca="1">IQ43</f>
        <v>356434.94300000003</v>
      </c>
      <c r="IR11" s="390">
        <f t="shared" ref="IR11:JH11" ca="1" si="402">IR43</f>
        <v>27104.820199999998</v>
      </c>
      <c r="IS11" s="390">
        <f t="shared" ca="1" si="402"/>
        <v>88471.546400000007</v>
      </c>
      <c r="IT11" s="390">
        <f t="shared" ca="1" si="402"/>
        <v>115576.36700000001</v>
      </c>
      <c r="IU11" s="390">
        <f t="shared" ref="IU11" ca="1" si="403">IU43</f>
        <v>107867.02099999999</v>
      </c>
      <c r="IV11" s="390">
        <f t="shared" ca="1" si="402"/>
        <v>2593394.56</v>
      </c>
      <c r="IW11" s="390">
        <f t="shared" ca="1" si="402"/>
        <v>2123317.11</v>
      </c>
      <c r="IX11" s="390">
        <f t="shared" ref="IX11" ca="1" si="404">IX43</f>
        <v>4342.2333600000002</v>
      </c>
      <c r="IY11" s="390">
        <f t="shared" ca="1" si="402"/>
        <v>7709.3452199999992</v>
      </c>
      <c r="IZ11" s="390">
        <f t="shared" ca="1" si="402"/>
        <v>381608.76699999999</v>
      </c>
      <c r="JA11" s="390">
        <f t="shared" ca="1" si="402"/>
        <v>2211788.66</v>
      </c>
      <c r="JB11" s="390">
        <f t="shared" ca="1" si="402"/>
        <v>376640.16100000002</v>
      </c>
      <c r="JC11" s="390">
        <f t="shared" ca="1" si="402"/>
        <v>4959.1407900000004</v>
      </c>
      <c r="JD11" s="390">
        <f t="shared" ca="1" si="402"/>
        <v>305287.01400000002</v>
      </c>
      <c r="JE11" s="390">
        <f t="shared" ca="1" si="402"/>
        <v>76321.753400000001</v>
      </c>
      <c r="JF11" s="390">
        <f t="shared" ca="1" si="402"/>
        <v>4371.1926000000003</v>
      </c>
      <c r="JG11" s="390">
        <f t="shared" ca="1" si="402"/>
        <v>2252.1473799999999</v>
      </c>
      <c r="JH11" s="390">
        <f t="shared" ca="1" si="402"/>
        <v>9.4649674000000008</v>
      </c>
      <c r="JJ11" s="385"/>
      <c r="JK11" s="386"/>
      <c r="JL11" s="393"/>
      <c r="JM11" s="386" t="s">
        <v>2025</v>
      </c>
      <c r="JN11" s="1337">
        <f t="shared" ca="1" si="273"/>
        <v>46.613003399999997</v>
      </c>
      <c r="JO11" s="1467">
        <f t="shared" ca="1" si="274"/>
        <v>4.007996852966466E-2</v>
      </c>
      <c r="JP11" s="385" t="s">
        <v>3270</v>
      </c>
      <c r="JR11" s="386" t="s">
        <v>1890</v>
      </c>
      <c r="JS11" s="387" t="s">
        <v>287</v>
      </c>
      <c r="JT11" s="390">
        <f ca="1">JT43</f>
        <v>105.91935599999999</v>
      </c>
      <c r="JU11" s="390">
        <f t="shared" ref="JU11:KC11" ca="1" si="405">JU43</f>
        <v>476.63710400000002</v>
      </c>
      <c r="JV11" s="390">
        <f t="shared" ca="1" si="405"/>
        <v>3.9497584899999998</v>
      </c>
      <c r="JW11" s="390">
        <f t="shared" ca="1" si="405"/>
        <v>78.707911800000005</v>
      </c>
      <c r="JX11" s="390">
        <f t="shared" ca="1" si="405"/>
        <v>110.51614600000001</v>
      </c>
      <c r="JY11" s="390">
        <f t="shared" ca="1" si="405"/>
        <v>0</v>
      </c>
      <c r="JZ11" s="390">
        <f t="shared" ca="1" si="405"/>
        <v>110.51614600000001</v>
      </c>
      <c r="KA11" s="390">
        <f t="shared" ca="1" si="405"/>
        <v>138.64284499999999</v>
      </c>
      <c r="KB11" s="390">
        <f t="shared" ca="1" si="405"/>
        <v>8022.0755900000004</v>
      </c>
      <c r="KC11" s="390">
        <f t="shared" ca="1" si="405"/>
        <v>665.21413099999995</v>
      </c>
      <c r="KE11" s="395"/>
      <c r="KF11" s="394"/>
      <c r="KG11" s="394"/>
      <c r="KJ11" s="386" t="s">
        <v>1890</v>
      </c>
      <c r="KK11" s="387" t="s">
        <v>287</v>
      </c>
      <c r="KL11" s="390">
        <f ca="1">KL43</f>
        <v>0</v>
      </c>
      <c r="KM11" s="390">
        <f t="shared" ref="KM11:KR11" ca="1" si="406">KM43</f>
        <v>0</v>
      </c>
      <c r="KN11" s="390">
        <f t="shared" ca="1" si="406"/>
        <v>0</v>
      </c>
      <c r="KO11" s="390">
        <f t="shared" ca="1" si="406"/>
        <v>0</v>
      </c>
      <c r="KP11" s="390">
        <f t="shared" ca="1" si="406"/>
        <v>0</v>
      </c>
      <c r="KQ11" s="390">
        <f t="shared" ca="1" si="406"/>
        <v>0</v>
      </c>
      <c r="KR11" s="390">
        <f t="shared" ca="1" si="406"/>
        <v>0</v>
      </c>
      <c r="KT11" s="395"/>
      <c r="KU11" s="394"/>
      <c r="KV11" s="394"/>
      <c r="KY11" s="386" t="s">
        <v>1890</v>
      </c>
      <c r="KZ11" s="387" t="s">
        <v>287</v>
      </c>
      <c r="LA11" s="390">
        <f ca="1">LA43</f>
        <v>175.638385</v>
      </c>
      <c r="LB11" s="390">
        <f t="shared" ref="LB11:LK11" ca="1" si="407">LB43</f>
        <v>750.78291100000001</v>
      </c>
      <c r="LC11" s="390">
        <f t="shared" ca="1" si="407"/>
        <v>6498.42364</v>
      </c>
      <c r="LD11" s="390">
        <f t="shared" ca="1" si="407"/>
        <v>6498.42364</v>
      </c>
      <c r="LE11" s="390">
        <f t="shared" ca="1" si="407"/>
        <v>5572.00234</v>
      </c>
      <c r="LF11" s="390">
        <f t="shared" ca="1" si="407"/>
        <v>50699.8416</v>
      </c>
      <c r="LG11" s="390">
        <f t="shared" ca="1" si="407"/>
        <v>50699.8416</v>
      </c>
      <c r="LH11" s="390">
        <f t="shared" ca="1" si="407"/>
        <v>0</v>
      </c>
      <c r="LI11" s="390">
        <f t="shared" ca="1" si="407"/>
        <v>54451.631999999998</v>
      </c>
      <c r="LJ11" s="390">
        <f t="shared" ca="1" si="407"/>
        <v>3577.80519</v>
      </c>
      <c r="LK11" s="390">
        <f t="shared" ca="1" si="407"/>
        <v>0</v>
      </c>
      <c r="LM11" s="385"/>
      <c r="LN11" s="394"/>
      <c r="LO11" s="395"/>
      <c r="LP11" s="395"/>
      <c r="LQ11" s="394"/>
      <c r="LR11" s="394"/>
      <c r="LU11" s="386" t="s">
        <v>1890</v>
      </c>
      <c r="LV11" s="387" t="s">
        <v>287</v>
      </c>
      <c r="LW11" s="390">
        <f ca="1">LW43</f>
        <v>3491.0177199999998</v>
      </c>
      <c r="LX11" s="390">
        <f ca="1">LX43</f>
        <v>24555.056100000002</v>
      </c>
      <c r="LY11" s="390">
        <f t="shared" ref="LY11:MO11" ca="1" si="408">LY43</f>
        <v>12796.7947</v>
      </c>
      <c r="LZ11" s="390">
        <f t="shared" ca="1" si="408"/>
        <v>7709.3452199999992</v>
      </c>
      <c r="MA11" s="390">
        <f t="shared" ca="1" si="408"/>
        <v>20506.139899999998</v>
      </c>
      <c r="MB11" s="390">
        <f t="shared" ca="1" si="408"/>
        <v>6498.42364</v>
      </c>
      <c r="MC11" s="390">
        <f t="shared" ca="1" si="408"/>
        <v>50699.8416</v>
      </c>
      <c r="MD11" s="390">
        <f t="shared" ca="1" si="408"/>
        <v>234812.967</v>
      </c>
      <c r="ME11" s="390">
        <f t="shared" ca="1" si="408"/>
        <v>30113.032100000004</v>
      </c>
      <c r="MF11" s="390">
        <f t="shared" ca="1" si="408"/>
        <v>242073.72100000002</v>
      </c>
      <c r="MG11" s="390">
        <f t="shared" ca="1" si="408"/>
        <v>242075.22399999999</v>
      </c>
      <c r="MH11" s="390">
        <f t="shared" ref="MH11:MI11" ca="1" si="409">MH43</f>
        <v>75054.059099999999</v>
      </c>
      <c r="MI11" s="390">
        <f t="shared" ca="1" si="409"/>
        <v>105.503152</v>
      </c>
      <c r="MJ11" s="390">
        <f t="shared" ca="1" si="408"/>
        <v>101494.299</v>
      </c>
      <c r="MK11" s="390">
        <f t="shared" ca="1" si="408"/>
        <v>101494.299</v>
      </c>
      <c r="ML11" s="390">
        <f t="shared" ca="1" si="408"/>
        <v>101494.299</v>
      </c>
      <c r="MM11" s="390">
        <f t="shared" ca="1" si="408"/>
        <v>4682.04054</v>
      </c>
      <c r="MN11" s="390">
        <f t="shared" ca="1" si="408"/>
        <v>30113.032100000004</v>
      </c>
      <c r="MO11" s="390">
        <f t="shared" ca="1" si="408"/>
        <v>0</v>
      </c>
      <c r="MQ11" s="394"/>
      <c r="MR11" s="394"/>
      <c r="MS11" s="395"/>
      <c r="MT11" s="395"/>
      <c r="MU11" s="394"/>
      <c r="MV11" s="394"/>
      <c r="MY11" s="386" t="s">
        <v>1890</v>
      </c>
      <c r="MZ11" s="387" t="s">
        <v>287</v>
      </c>
      <c r="NA11" s="390">
        <f ca="1">NA43</f>
        <v>19547.879199999999</v>
      </c>
      <c r="NB11" s="390">
        <f t="shared" ref="NB11:NP11" ca="1" si="410">NB43</f>
        <v>15645.043900000001</v>
      </c>
      <c r="NC11" s="390">
        <f t="shared" ca="1" si="410"/>
        <v>3902.83536</v>
      </c>
      <c r="ND11" s="390">
        <f t="shared" ca="1" si="410"/>
        <v>35306.827799999999</v>
      </c>
      <c r="NE11" s="390">
        <f t="shared" ca="1" si="410"/>
        <v>206661.39</v>
      </c>
      <c r="NF11" s="390">
        <f t="shared" ca="1" si="410"/>
        <v>241968.21799999999</v>
      </c>
      <c r="NG11" s="390">
        <f t="shared" ca="1" si="410"/>
        <v>35306.827799999999</v>
      </c>
      <c r="NH11" s="390">
        <f t="shared" ca="1" si="410"/>
        <v>0</v>
      </c>
      <c r="NI11" s="390">
        <f t="shared" ca="1" si="410"/>
        <v>242073.72100000002</v>
      </c>
      <c r="NJ11" s="390">
        <f t="shared" ca="1" si="410"/>
        <v>242073.72100000002</v>
      </c>
      <c r="NK11" s="390">
        <f t="shared" ca="1" si="410"/>
        <v>105.503152</v>
      </c>
      <c r="NL11" s="390">
        <f t="shared" ca="1" si="410"/>
        <v>101494.299</v>
      </c>
      <c r="NM11" s="390">
        <f t="shared" ca="1" si="410"/>
        <v>4682.04054</v>
      </c>
      <c r="NN11" s="390">
        <f t="shared" ca="1" si="410"/>
        <v>2580.6417799999999</v>
      </c>
      <c r="NO11" s="390">
        <f t="shared" ca="1" si="410"/>
        <v>30113.032100000004</v>
      </c>
      <c r="NP11" s="390">
        <f t="shared" ca="1" si="410"/>
        <v>75054.059099999999</v>
      </c>
      <c r="NR11" s="394"/>
      <c r="NS11" s="394"/>
      <c r="NT11" s="395"/>
      <c r="NU11" s="395"/>
      <c r="NV11" s="394"/>
      <c r="NW11" s="394"/>
      <c r="NX11" s="896"/>
      <c r="NZ11" s="394"/>
      <c r="OA11" s="395"/>
      <c r="OB11" s="394"/>
      <c r="OC11" s="394"/>
      <c r="OD11" s="896"/>
      <c r="OF11" s="386" t="s">
        <v>1890</v>
      </c>
      <c r="OG11" s="387" t="s">
        <v>287</v>
      </c>
      <c r="OH11" s="390">
        <f ca="1">OH43</f>
        <v>11922141.4</v>
      </c>
      <c r="OI11" s="390">
        <f t="shared" ref="OI11:OO11" ca="1" si="411">OI43</f>
        <v>155038.88399999999</v>
      </c>
      <c r="OJ11" s="390">
        <f t="shared" ca="1" si="411"/>
        <v>17675.797600000002</v>
      </c>
      <c r="OK11" s="390">
        <f t="shared" ca="1" si="411"/>
        <v>11922141.4</v>
      </c>
      <c r="OL11" s="390">
        <f t="shared" ca="1" si="411"/>
        <v>128257.25</v>
      </c>
      <c r="OM11" s="390">
        <f t="shared" ca="1" si="411"/>
        <v>266533.55200000003</v>
      </c>
      <c r="ON11" s="390">
        <f t="shared" ca="1" si="411"/>
        <v>1373006.62</v>
      </c>
      <c r="OO11" s="390">
        <f t="shared" ca="1" si="411"/>
        <v>1373006.62</v>
      </c>
      <c r="OQ11" s="394"/>
      <c r="OR11" s="394"/>
      <c r="OS11" s="395"/>
      <c r="OT11" s="395"/>
      <c r="OU11" s="394"/>
      <c r="OV11" s="394"/>
      <c r="OW11" s="896"/>
      <c r="OY11" s="386" t="s">
        <v>1890</v>
      </c>
      <c r="OZ11" s="387" t="s">
        <v>287</v>
      </c>
      <c r="PA11" s="390">
        <f ca="1">PA43</f>
        <v>140999.443</v>
      </c>
      <c r="PB11" s="390">
        <f t="shared" ref="PB11:PK11" ca="1" si="412">PB43</f>
        <v>150458.399</v>
      </c>
      <c r="PC11" s="390">
        <f t="shared" ca="1" si="412"/>
        <v>11419.2086</v>
      </c>
      <c r="PD11" s="390">
        <f t="shared" ca="1" si="412"/>
        <v>26830.853200000001</v>
      </c>
      <c r="PE11" s="390">
        <f t="shared" ca="1" si="412"/>
        <v>376640.16100000002</v>
      </c>
      <c r="PF11" s="390">
        <f t="shared" ca="1" si="412"/>
        <v>35306.827799999999</v>
      </c>
      <c r="PG11" s="390">
        <f t="shared" ca="1" si="412"/>
        <v>3577.80519</v>
      </c>
      <c r="PH11" s="390">
        <f t="shared" ca="1" si="412"/>
        <v>147136.25899999999</v>
      </c>
      <c r="PI11" s="390">
        <f t="shared" ca="1" si="412"/>
        <v>523776.42099999991</v>
      </c>
      <c r="PJ11" s="390">
        <f t="shared" ca="1" si="412"/>
        <v>145</v>
      </c>
      <c r="PK11" s="390">
        <f t="shared" ca="1" si="412"/>
        <v>155038.88399999999</v>
      </c>
      <c r="PM11" s="385"/>
      <c r="PN11" s="394"/>
      <c r="PO11" s="395"/>
      <c r="PP11" s="395"/>
      <c r="PQ11" s="394"/>
      <c r="PR11" s="394"/>
      <c r="PU11" s="386" t="s">
        <v>1890</v>
      </c>
      <c r="PV11" s="387" t="s">
        <v>287</v>
      </c>
      <c r="PW11" s="390">
        <f ca="1">PW43</f>
        <v>145</v>
      </c>
      <c r="PX11" s="390">
        <f t="shared" ref="PX11:PZ11" ca="1" si="413">PX43</f>
        <v>145</v>
      </c>
      <c r="PY11" s="390">
        <f t="shared" ca="1" si="413"/>
        <v>145</v>
      </c>
      <c r="PZ11" s="390">
        <f t="shared" ca="1" si="413"/>
        <v>145</v>
      </c>
      <c r="QB11" s="394"/>
      <c r="QC11" s="394"/>
      <c r="QD11" s="395"/>
      <c r="QE11" s="395"/>
      <c r="QF11" s="394"/>
      <c r="QG11" s="394"/>
      <c r="QH11" s="896"/>
      <c r="QI11" s="896"/>
      <c r="QJ11" s="896"/>
      <c r="QK11" s="896"/>
    </row>
    <row r="12" spans="1:453" x14ac:dyDescent="0.25">
      <c r="H12" s="386" t="s">
        <v>1891</v>
      </c>
      <c r="I12" s="387" t="s">
        <v>287</v>
      </c>
      <c r="J12" s="390">
        <f ca="1">J45</f>
        <v>0</v>
      </c>
      <c r="K12" s="390">
        <f ca="1">K45</f>
        <v>0</v>
      </c>
      <c r="M12" s="386" t="s">
        <v>1941</v>
      </c>
      <c r="N12" s="1337">
        <f t="shared" ca="1" si="66"/>
        <v>316.625697</v>
      </c>
      <c r="O12" s="1467">
        <f t="shared" ca="1" si="67"/>
        <v>0.27224909458297508</v>
      </c>
      <c r="P12" s="385" t="s">
        <v>1199</v>
      </c>
      <c r="R12" s="386" t="s">
        <v>1891</v>
      </c>
      <c r="S12" s="387" t="s">
        <v>287</v>
      </c>
      <c r="T12" s="390">
        <f ca="1">T45</f>
        <v>0</v>
      </c>
      <c r="U12" s="390">
        <f t="shared" ref="U12:AD12" ca="1" si="414">U45</f>
        <v>0</v>
      </c>
      <c r="V12" s="390">
        <f t="shared" ca="1" si="414"/>
        <v>3.9671217599999998E-6</v>
      </c>
      <c r="W12" s="390">
        <f t="shared" ca="1" si="414"/>
        <v>0</v>
      </c>
      <c r="X12" s="390">
        <f t="shared" ca="1" si="414"/>
        <v>0</v>
      </c>
      <c r="Y12" s="390">
        <f t="shared" ca="1" si="414"/>
        <v>3550.2460000000001</v>
      </c>
      <c r="Z12" s="390">
        <f t="shared" ca="1" si="414"/>
        <v>9.8258750000000005E-5</v>
      </c>
      <c r="AA12" s="390">
        <f t="shared" ca="1" si="414"/>
        <v>3550.2458999999999</v>
      </c>
      <c r="AB12" s="390">
        <f t="shared" ca="1" si="414"/>
        <v>0</v>
      </c>
      <c r="AC12" s="390">
        <f t="shared" ca="1" si="414"/>
        <v>3.9671217599999998E-6</v>
      </c>
      <c r="AD12" s="390">
        <f t="shared" ca="1" si="414"/>
        <v>0</v>
      </c>
      <c r="AF12" s="386" t="s">
        <v>1963</v>
      </c>
      <c r="AG12" s="1337">
        <f t="shared" ca="1" si="1"/>
        <v>29.999904000000001</v>
      </c>
      <c r="AH12" s="1467">
        <f t="shared" ca="1" si="69"/>
        <v>2.5795274290627692E-2</v>
      </c>
      <c r="AI12" s="385" t="s">
        <v>1210</v>
      </c>
      <c r="AK12" s="386" t="s">
        <v>1891</v>
      </c>
      <c r="AL12" s="387" t="s">
        <v>287</v>
      </c>
      <c r="AM12" s="390">
        <f ca="1">AM45</f>
        <v>0</v>
      </c>
      <c r="AN12" s="390">
        <f t="shared" ref="AN12:BB12" ca="1" si="415">AN45</f>
        <v>0</v>
      </c>
      <c r="AO12" s="390">
        <f t="shared" ref="AO12:AS12" ca="1" si="416">AO45</f>
        <v>3550.2458999999999</v>
      </c>
      <c r="AP12" s="390">
        <f t="shared" ca="1" si="416"/>
        <v>3550.2458999999999</v>
      </c>
      <c r="AQ12" s="390">
        <f t="shared" ca="1" si="416"/>
        <v>5.1192346900000003E-6</v>
      </c>
      <c r="AR12" s="390">
        <f t="shared" ca="1" si="416"/>
        <v>7.2228230100000003E-12</v>
      </c>
      <c r="AS12" s="390">
        <f t="shared" ca="1" si="416"/>
        <v>9.8258742799999996E-5</v>
      </c>
      <c r="AT12" s="390">
        <f t="shared" ca="1" si="415"/>
        <v>7.7349442800000005E-14</v>
      </c>
      <c r="AU12" s="390">
        <f t="shared" ca="1" si="415"/>
        <v>5.1192418300000004E-6</v>
      </c>
      <c r="AV12" s="390">
        <f t="shared" ca="1" si="415"/>
        <v>3550.2458900000001</v>
      </c>
      <c r="AW12" s="390">
        <f t="shared" ca="1" si="415"/>
        <v>7.7349442800000005E-14</v>
      </c>
      <c r="AX12" s="390">
        <f t="shared" ca="1" si="415"/>
        <v>1.03377985E-4</v>
      </c>
      <c r="AY12" s="390">
        <f t="shared" ca="1" si="415"/>
        <v>0</v>
      </c>
      <c r="AZ12" s="390">
        <f t="shared" ca="1" si="415"/>
        <v>0</v>
      </c>
      <c r="BA12" s="390">
        <f t="shared" ca="1" si="415"/>
        <v>0</v>
      </c>
      <c r="BB12" s="390">
        <f t="shared" ca="1" si="415"/>
        <v>3550.2458900000001</v>
      </c>
      <c r="BD12" s="385"/>
      <c r="BE12" s="394"/>
      <c r="BF12" s="395"/>
      <c r="BG12" s="395"/>
      <c r="BH12" s="394"/>
      <c r="BI12" s="394"/>
      <c r="BL12" s="386" t="s">
        <v>1891</v>
      </c>
      <c r="BM12" s="387" t="s">
        <v>287</v>
      </c>
      <c r="BN12" s="390">
        <f ca="1">BN45</f>
        <v>2968.8535299999999</v>
      </c>
      <c r="BO12" s="390">
        <f t="shared" ref="BO12:BR12" ca="1" si="417">BO45</f>
        <v>148.442677</v>
      </c>
      <c r="BP12" s="390">
        <f t="shared" ca="1" si="417"/>
        <v>9.0657640299999991E-13</v>
      </c>
      <c r="BQ12" s="390">
        <f t="shared" ca="1" si="417"/>
        <v>0</v>
      </c>
      <c r="BR12" s="390">
        <f t="shared" ca="1" si="417"/>
        <v>0</v>
      </c>
      <c r="BT12" s="385"/>
      <c r="BU12" s="394"/>
      <c r="BV12" s="395"/>
      <c r="BW12" s="395"/>
      <c r="BX12" s="394"/>
      <c r="BY12" s="394"/>
      <c r="CB12" s="386" t="s">
        <v>1891</v>
      </c>
      <c r="CC12" s="387" t="s">
        <v>287</v>
      </c>
      <c r="CD12" s="390">
        <f ca="1">CD45</f>
        <v>3550.2458900000001</v>
      </c>
      <c r="CE12" s="390">
        <f t="shared" ref="CE12:CO12" ca="1" si="418">CE45</f>
        <v>3550.2458900000001</v>
      </c>
      <c r="CF12" s="390">
        <f t="shared" ca="1" si="418"/>
        <v>2968.8535299999999</v>
      </c>
      <c r="CG12" s="390">
        <f t="shared" ca="1" si="418"/>
        <v>148.442677</v>
      </c>
      <c r="CH12" s="390">
        <f t="shared" ca="1" si="418"/>
        <v>3550.2458900000001</v>
      </c>
      <c r="CI12" s="390">
        <f t="shared" ca="1" si="418"/>
        <v>0</v>
      </c>
      <c r="CJ12" s="390">
        <f t="shared" ca="1" si="418"/>
        <v>0</v>
      </c>
      <c r="CK12" s="390">
        <f t="shared" ca="1" si="418"/>
        <v>521.24161500000002</v>
      </c>
      <c r="CL12" s="390">
        <f t="shared" ca="1" si="418"/>
        <v>3.0855791900000001E-12</v>
      </c>
      <c r="CM12" s="390">
        <f t="shared" ca="1" si="418"/>
        <v>0</v>
      </c>
      <c r="CN12" s="390">
        <f t="shared" ca="1" si="418"/>
        <v>521.24161500000002</v>
      </c>
      <c r="CO12" s="390">
        <f t="shared" ca="1" si="418"/>
        <v>0</v>
      </c>
      <c r="CQ12" s="394"/>
      <c r="CR12" s="394"/>
      <c r="CS12" s="395"/>
      <c r="CT12" s="395"/>
      <c r="CU12" s="394"/>
      <c r="CV12" s="394"/>
      <c r="CW12" s="896"/>
      <c r="CY12" s="386" t="s">
        <v>1891</v>
      </c>
      <c r="CZ12" s="387" t="s">
        <v>287</v>
      </c>
      <c r="DA12" s="390">
        <f ca="1">DA45</f>
        <v>120.898268</v>
      </c>
      <c r="DB12" s="390">
        <f t="shared" ref="DB12:DJ12" ca="1" si="419">DB45</f>
        <v>0</v>
      </c>
      <c r="DC12" s="390">
        <f t="shared" ca="1" si="419"/>
        <v>0</v>
      </c>
      <c r="DD12" s="390">
        <f t="shared" ca="1" si="419"/>
        <v>0</v>
      </c>
      <c r="DE12" s="390">
        <f t="shared" ca="1" si="419"/>
        <v>12.089826800000001</v>
      </c>
      <c r="DF12" s="390">
        <f t="shared" ca="1" si="419"/>
        <v>2.1789306400000002E-12</v>
      </c>
      <c r="DG12" s="390">
        <f t="shared" ca="1" si="419"/>
        <v>0</v>
      </c>
      <c r="DH12" s="390">
        <f t="shared" ca="1" si="419"/>
        <v>0</v>
      </c>
      <c r="DI12" s="390">
        <f t="shared" ca="1" si="419"/>
        <v>0</v>
      </c>
      <c r="DJ12" s="390">
        <f t="shared" ca="1" si="419"/>
        <v>0</v>
      </c>
      <c r="DL12" s="385"/>
      <c r="DM12" s="394"/>
      <c r="DN12" s="395"/>
      <c r="DO12" s="395"/>
      <c r="DP12" s="394"/>
      <c r="DQ12" s="394"/>
      <c r="DT12" s="386" t="s">
        <v>1891</v>
      </c>
      <c r="DU12" s="387" t="s">
        <v>287</v>
      </c>
      <c r="DV12" s="390">
        <f ca="1">DV45</f>
        <v>0</v>
      </c>
      <c r="DW12" s="390">
        <f t="shared" ref="DW12:EK12" ca="1" si="420">DW45</f>
        <v>2417.9653600000001</v>
      </c>
      <c r="DX12" s="390">
        <f t="shared" ca="1" si="420"/>
        <v>2417.9653600000001</v>
      </c>
      <c r="DY12" s="390">
        <f t="shared" ca="1" si="420"/>
        <v>120.898268</v>
      </c>
      <c r="DZ12" s="390">
        <f t="shared" ca="1" si="420"/>
        <v>0</v>
      </c>
      <c r="EA12" s="390">
        <f t="shared" ca="1" si="420"/>
        <v>12.089826800000001</v>
      </c>
      <c r="EB12" s="390">
        <f t="shared" ca="1" si="420"/>
        <v>2297.06709</v>
      </c>
      <c r="EC12" s="390">
        <f t="shared" ca="1" si="420"/>
        <v>0</v>
      </c>
      <c r="ED12" s="390">
        <f t="shared" ca="1" si="420"/>
        <v>0</v>
      </c>
      <c r="EE12" s="390">
        <f t="shared" ca="1" si="420"/>
        <v>0</v>
      </c>
      <c r="EF12" s="390">
        <f t="shared" ca="1" si="420"/>
        <v>0</v>
      </c>
      <c r="EG12" s="390">
        <f t="shared" ca="1" si="420"/>
        <v>0</v>
      </c>
      <c r="EH12" s="390">
        <f t="shared" ca="1" si="420"/>
        <v>0</v>
      </c>
      <c r="EI12" s="390">
        <f t="shared" ca="1" si="420"/>
        <v>0</v>
      </c>
      <c r="EJ12" s="390">
        <f t="shared" ref="EJ12" ca="1" si="421">EJ45</f>
        <v>0</v>
      </c>
      <c r="EK12" s="390">
        <f t="shared" ca="1" si="420"/>
        <v>0</v>
      </c>
      <c r="EM12" s="385"/>
      <c r="EN12" s="386"/>
      <c r="EO12" s="393"/>
      <c r="EP12" s="386" t="s">
        <v>1993</v>
      </c>
      <c r="EQ12" s="1337">
        <f ca="1">VLOOKUP(ES12,INDIRECT(LU_WORK),2,FALSE)</f>
        <v>7.4569986999999998</v>
      </c>
      <c r="ER12" s="1467">
        <f t="shared" ca="1" si="16"/>
        <v>6.4118647463456578E-3</v>
      </c>
      <c r="ES12" s="385" t="s">
        <v>1603</v>
      </c>
      <c r="EU12" s="386" t="s">
        <v>1891</v>
      </c>
      <c r="EV12" s="387" t="s">
        <v>287</v>
      </c>
      <c r="EW12" s="390">
        <f ca="1">EW45</f>
        <v>521.24161500000002</v>
      </c>
      <c r="EX12" s="390">
        <f t="shared" ref="EX12:FB12" ca="1" si="422">EX45</f>
        <v>521.24161500000002</v>
      </c>
      <c r="EY12" s="390">
        <f t="shared" ca="1" si="422"/>
        <v>521.24161100000003</v>
      </c>
      <c r="EZ12" s="390">
        <f t="shared" ca="1" si="422"/>
        <v>521.24161100000003</v>
      </c>
      <c r="FA12" s="390">
        <f t="shared" ca="1" si="422"/>
        <v>2.3241626400000002E-19</v>
      </c>
      <c r="FB12" s="390">
        <f t="shared" ca="1" si="422"/>
        <v>3.9671217400000002E-6</v>
      </c>
      <c r="FD12" s="394"/>
      <c r="FE12" s="394"/>
      <c r="FF12" s="395"/>
      <c r="FG12" s="395"/>
      <c r="FH12" s="394"/>
      <c r="FI12" s="394"/>
      <c r="FJ12" s="896"/>
      <c r="FL12" s="386" t="s">
        <v>1891</v>
      </c>
      <c r="FM12" s="387" t="s">
        <v>287</v>
      </c>
      <c r="FN12" s="390">
        <f ca="1">FN45</f>
        <v>9.0657640299999991E-13</v>
      </c>
      <c r="FO12" s="390">
        <f t="shared" ref="FO12:FX12" ca="1" si="423">FO45</f>
        <v>3.0855791900000001E-12</v>
      </c>
      <c r="FP12" s="390">
        <f t="shared" ca="1" si="423"/>
        <v>2.3241626400000002E-19</v>
      </c>
      <c r="FQ12" s="390">
        <f t="shared" ca="1" si="423"/>
        <v>3.9671217400000002E-6</v>
      </c>
      <c r="FR12" s="390">
        <f t="shared" ca="1" si="423"/>
        <v>0</v>
      </c>
      <c r="FS12" s="390">
        <f t="shared" ca="1" si="423"/>
        <v>3.9671217599999998E-6</v>
      </c>
      <c r="FT12" s="390">
        <f t="shared" ca="1" si="423"/>
        <v>0</v>
      </c>
      <c r="FU12" s="390">
        <f t="shared" ca="1" si="423"/>
        <v>3.9921558300000001E-12</v>
      </c>
      <c r="FV12" s="390">
        <f t="shared" ca="1" si="423"/>
        <v>0</v>
      </c>
      <c r="FW12" s="390">
        <f t="shared" ca="1" si="423"/>
        <v>0</v>
      </c>
      <c r="FX12" s="390">
        <f t="shared" ca="1" si="423"/>
        <v>0</v>
      </c>
      <c r="FZ12" s="385"/>
      <c r="GA12" s="394"/>
      <c r="GB12" s="395"/>
      <c r="GC12" s="395"/>
      <c r="GD12" s="394"/>
      <c r="GE12" s="394"/>
      <c r="GF12" s="896"/>
      <c r="GH12" s="386" t="s">
        <v>1891</v>
      </c>
      <c r="GI12" s="387" t="s">
        <v>287</v>
      </c>
      <c r="GJ12" s="390">
        <f ca="1">GJ45</f>
        <v>0</v>
      </c>
      <c r="GK12" s="390">
        <f t="shared" ref="GK12:GQ12" ca="1" si="424">GK45</f>
        <v>0</v>
      </c>
      <c r="GL12" s="390">
        <f t="shared" ca="1" si="424"/>
        <v>0</v>
      </c>
      <c r="GM12" s="390">
        <f t="shared" ca="1" si="424"/>
        <v>0</v>
      </c>
      <c r="GN12" s="390">
        <f t="shared" ca="1" si="424"/>
        <v>0</v>
      </c>
      <c r="GO12" s="390">
        <f t="shared" ca="1" si="424"/>
        <v>0</v>
      </c>
      <c r="GP12" s="390">
        <f t="shared" ca="1" si="424"/>
        <v>0</v>
      </c>
      <c r="GQ12" s="390">
        <f t="shared" ca="1" si="424"/>
        <v>0</v>
      </c>
      <c r="GS12" s="394"/>
      <c r="GT12" s="394"/>
      <c r="GU12" s="395"/>
      <c r="GV12" s="395"/>
      <c r="GW12" s="394"/>
      <c r="GX12" s="394"/>
      <c r="GY12" s="896"/>
      <c r="HA12" s="386" t="s">
        <v>1891</v>
      </c>
      <c r="HB12" s="387" t="s">
        <v>287</v>
      </c>
      <c r="HC12" s="390">
        <f ca="1">HC45</f>
        <v>521.24161100000003</v>
      </c>
      <c r="HD12" s="390">
        <f t="shared" ref="HD12:HH12" ca="1" si="425">HD45</f>
        <v>501.83496400000001</v>
      </c>
      <c r="HE12" s="390">
        <f t="shared" ca="1" si="425"/>
        <v>0</v>
      </c>
      <c r="HF12" s="390">
        <f t="shared" ca="1" si="425"/>
        <v>3.8042603699999999E-11</v>
      </c>
      <c r="HG12" s="390">
        <f t="shared" ca="1" si="425"/>
        <v>19.406647100000001</v>
      </c>
      <c r="HH12" s="390">
        <f t="shared" ca="1" si="425"/>
        <v>501.83496400000001</v>
      </c>
      <c r="HJ12" s="385"/>
      <c r="HK12" s="386"/>
      <c r="HL12" s="393"/>
      <c r="HM12" s="386" t="s">
        <v>2021</v>
      </c>
      <c r="HN12" s="1337">
        <f t="shared" ca="1" si="375"/>
        <v>36.948834900000001</v>
      </c>
      <c r="HO12" s="1467">
        <f t="shared" ca="1" si="28"/>
        <v>3.1770279363714536E-2</v>
      </c>
      <c r="HP12" s="392" t="s">
        <v>674</v>
      </c>
      <c r="HR12" s="386" t="s">
        <v>1891</v>
      </c>
      <c r="HS12" s="387" t="s">
        <v>287</v>
      </c>
      <c r="HT12" s="390">
        <f ca="1">HT45</f>
        <v>1.03377985E-4</v>
      </c>
      <c r="HU12" s="390">
        <f t="shared" ref="HU12:IE12" ca="1" si="426">HU45</f>
        <v>501.83496400000001</v>
      </c>
      <c r="HV12" s="390">
        <f t="shared" ca="1" si="426"/>
        <v>501.83506700000004</v>
      </c>
      <c r="HW12" s="390">
        <f t="shared" ca="1" si="426"/>
        <v>501.83506700000004</v>
      </c>
      <c r="HX12" s="390">
        <f t="shared" ca="1" si="426"/>
        <v>41.973326800000002</v>
      </c>
      <c r="HY12" s="390">
        <f t="shared" ca="1" si="426"/>
        <v>3.1918292500000001</v>
      </c>
      <c r="HZ12" s="390">
        <f t="shared" ca="1" si="426"/>
        <v>9.8317209299999996E-13</v>
      </c>
      <c r="IA12" s="390">
        <f t="shared" ca="1" si="426"/>
        <v>1.59802285E-13</v>
      </c>
      <c r="IB12" s="390">
        <f t="shared" ca="1" si="426"/>
        <v>0</v>
      </c>
      <c r="IC12" s="390">
        <f t="shared" ca="1" si="426"/>
        <v>0</v>
      </c>
      <c r="ID12" s="390">
        <f t="shared" ca="1" si="426"/>
        <v>0</v>
      </c>
      <c r="IE12" s="390">
        <f t="shared" ca="1" si="426"/>
        <v>0</v>
      </c>
      <c r="IG12" s="385"/>
      <c r="IH12" s="394"/>
      <c r="II12" s="395"/>
      <c r="IJ12" s="395"/>
      <c r="IK12" s="394"/>
      <c r="IL12" s="394"/>
      <c r="IO12" s="386" t="s">
        <v>1891</v>
      </c>
      <c r="IP12" s="387" t="s">
        <v>287</v>
      </c>
      <c r="IQ12" s="390">
        <f ca="1">IQ45</f>
        <v>41.973326800000002</v>
      </c>
      <c r="IR12" s="390">
        <f t="shared" ref="IR12:JH12" ca="1" si="427">IR45</f>
        <v>3.1918292500000001</v>
      </c>
      <c r="IS12" s="390">
        <f t="shared" ca="1" si="427"/>
        <v>6.3500793700000002E-2</v>
      </c>
      <c r="IT12" s="390">
        <f t="shared" ca="1" si="427"/>
        <v>3.25533005</v>
      </c>
      <c r="IU12" s="390">
        <f t="shared" ref="IU12" ca="1" si="428">IU45</f>
        <v>3.0381882199999999</v>
      </c>
      <c r="IV12" s="390">
        <f t="shared" ca="1" si="427"/>
        <v>1.8614213599999998</v>
      </c>
      <c r="IW12" s="390">
        <f t="shared" ca="1" si="427"/>
        <v>1.5240190499999999</v>
      </c>
      <c r="IX12" s="390">
        <f t="shared" ref="IX12" ca="1" si="429">IX45</f>
        <v>7.00333528E-15</v>
      </c>
      <c r="IY12" s="390">
        <f t="shared" ca="1" si="427"/>
        <v>0.21714182500000001</v>
      </c>
      <c r="IZ12" s="390">
        <f t="shared" ca="1" si="427"/>
        <v>0.27390152000000001</v>
      </c>
      <c r="JA12" s="390">
        <f t="shared" ca="1" si="427"/>
        <v>1.5875198399999999</v>
      </c>
      <c r="JB12" s="390">
        <f t="shared" ca="1" si="427"/>
        <v>0</v>
      </c>
      <c r="JC12" s="390">
        <f t="shared" ca="1" si="427"/>
        <v>0.27390152000000001</v>
      </c>
      <c r="JD12" s="390">
        <f t="shared" ca="1" si="427"/>
        <v>0</v>
      </c>
      <c r="JE12" s="390">
        <f t="shared" ca="1" si="427"/>
        <v>0.27390152000000001</v>
      </c>
      <c r="JF12" s="390">
        <f t="shared" ca="1" si="427"/>
        <v>0</v>
      </c>
      <c r="JG12" s="390">
        <f t="shared" ca="1" si="427"/>
        <v>0</v>
      </c>
      <c r="JH12" s="390">
        <f t="shared" ca="1" si="427"/>
        <v>1.59802285E-13</v>
      </c>
      <c r="JJ12" s="385"/>
      <c r="JK12" s="386"/>
      <c r="JL12" s="393"/>
      <c r="JM12" s="386" t="s">
        <v>3346</v>
      </c>
      <c r="JN12" s="1337">
        <f t="shared" ref="JN12" ca="1" si="430">VLOOKUP(JP12,INDIRECT(LU_WORK),2,FALSE)</f>
        <v>0.38857642199999998</v>
      </c>
      <c r="JO12" s="1467">
        <f t="shared" ref="JO12" ca="1" si="431">JN12/4.1868*3600/1000000</f>
        <v>3.3411558211521926E-4</v>
      </c>
      <c r="JP12" s="385" t="s">
        <v>3347</v>
      </c>
      <c r="JR12" s="386" t="s">
        <v>1891</v>
      </c>
      <c r="JS12" s="387" t="s">
        <v>287</v>
      </c>
      <c r="JT12" s="390">
        <f ca="1">JT45</f>
        <v>0</v>
      </c>
      <c r="JU12" s="390">
        <f t="shared" ref="JU12:KC12" ca="1" si="432">JU45</f>
        <v>0</v>
      </c>
      <c r="JV12" s="390">
        <f t="shared" ca="1" si="432"/>
        <v>0</v>
      </c>
      <c r="JW12" s="390">
        <f t="shared" ca="1" si="432"/>
        <v>0</v>
      </c>
      <c r="JX12" s="390">
        <f t="shared" ca="1" si="432"/>
        <v>0</v>
      </c>
      <c r="JY12" s="390">
        <f t="shared" ca="1" si="432"/>
        <v>0</v>
      </c>
      <c r="JZ12" s="390">
        <f t="shared" ca="1" si="432"/>
        <v>0</v>
      </c>
      <c r="KA12" s="390">
        <f t="shared" ca="1" si="432"/>
        <v>0</v>
      </c>
      <c r="KB12" s="390">
        <f t="shared" ca="1" si="432"/>
        <v>0</v>
      </c>
      <c r="KC12" s="390">
        <f t="shared" ca="1" si="432"/>
        <v>0</v>
      </c>
      <c r="KE12" s="395"/>
      <c r="KF12" s="394"/>
      <c r="KG12" s="394"/>
      <c r="KJ12" s="386" t="s">
        <v>1891</v>
      </c>
      <c r="KK12" s="387" t="s">
        <v>287</v>
      </c>
      <c r="KL12" s="390">
        <f ca="1">KL45</f>
        <v>0</v>
      </c>
      <c r="KM12" s="390">
        <f t="shared" ref="KM12:KR12" ca="1" si="433">KM45</f>
        <v>0</v>
      </c>
      <c r="KN12" s="390">
        <f t="shared" ca="1" si="433"/>
        <v>0</v>
      </c>
      <c r="KO12" s="390">
        <f t="shared" ca="1" si="433"/>
        <v>0</v>
      </c>
      <c r="KP12" s="390">
        <f t="shared" ca="1" si="433"/>
        <v>0</v>
      </c>
      <c r="KQ12" s="390">
        <f t="shared" ca="1" si="433"/>
        <v>0</v>
      </c>
      <c r="KR12" s="390">
        <f t="shared" ca="1" si="433"/>
        <v>0</v>
      </c>
      <c r="KT12" s="395"/>
      <c r="KU12" s="394"/>
      <c r="KV12" s="394"/>
      <c r="KY12" s="386" t="s">
        <v>1891</v>
      </c>
      <c r="KZ12" s="387" t="s">
        <v>287</v>
      </c>
      <c r="LA12" s="390">
        <f ca="1">LA45</f>
        <v>3.8042603699999999E-11</v>
      </c>
      <c r="LB12" s="390">
        <f t="shared" ref="LB12:LK12" ca="1" si="434">LB45</f>
        <v>9.8317209299999996E-13</v>
      </c>
      <c r="LC12" s="390">
        <f t="shared" ca="1" si="434"/>
        <v>3.9025775799999998E-11</v>
      </c>
      <c r="LD12" s="390">
        <f t="shared" ca="1" si="434"/>
        <v>3.9025775799999998E-11</v>
      </c>
      <c r="LE12" s="390">
        <f t="shared" ca="1" si="434"/>
        <v>0</v>
      </c>
      <c r="LF12" s="390">
        <f t="shared" ca="1" si="434"/>
        <v>0</v>
      </c>
      <c r="LG12" s="390">
        <f t="shared" ca="1" si="434"/>
        <v>0</v>
      </c>
      <c r="LH12" s="390">
        <f t="shared" ca="1" si="434"/>
        <v>0</v>
      </c>
      <c r="LI12" s="390">
        <f t="shared" ca="1" si="434"/>
        <v>0</v>
      </c>
      <c r="LJ12" s="390">
        <f t="shared" ca="1" si="434"/>
        <v>0</v>
      </c>
      <c r="LK12" s="390">
        <f t="shared" ca="1" si="434"/>
        <v>0</v>
      </c>
      <c r="LM12" s="385"/>
      <c r="LN12" s="394"/>
      <c r="LO12" s="395"/>
      <c r="LP12" s="395"/>
      <c r="LQ12" s="394"/>
      <c r="LR12" s="394"/>
      <c r="LU12" s="386" t="s">
        <v>1891</v>
      </c>
      <c r="LV12" s="387" t="s">
        <v>287</v>
      </c>
      <c r="LW12" s="390">
        <f ca="1">LW45</f>
        <v>0</v>
      </c>
      <c r="LX12" s="390">
        <f ca="1">LX45</f>
        <v>0</v>
      </c>
      <c r="LY12" s="390">
        <f t="shared" ref="LY12:MO12" ca="1" si="435">LY45</f>
        <v>19.406647100000001</v>
      </c>
      <c r="LZ12" s="390">
        <f t="shared" ca="1" si="435"/>
        <v>0.21714182500000001</v>
      </c>
      <c r="MA12" s="390">
        <f t="shared" ca="1" si="435"/>
        <v>19.623788900000001</v>
      </c>
      <c r="MB12" s="390">
        <f t="shared" ca="1" si="435"/>
        <v>3.9025775799999998E-11</v>
      </c>
      <c r="MC12" s="390">
        <f t="shared" ca="1" si="435"/>
        <v>0</v>
      </c>
      <c r="MD12" s="390">
        <f t="shared" ca="1" si="435"/>
        <v>0</v>
      </c>
      <c r="ME12" s="390">
        <f t="shared" ca="1" si="435"/>
        <v>0</v>
      </c>
      <c r="MF12" s="390">
        <f t="shared" ca="1" si="435"/>
        <v>0</v>
      </c>
      <c r="MG12" s="390">
        <f t="shared" ca="1" si="435"/>
        <v>0</v>
      </c>
      <c r="MH12" s="390">
        <f t="shared" ref="MH12:MI12" ca="1" si="436">MH45</f>
        <v>0</v>
      </c>
      <c r="MI12" s="390">
        <f t="shared" ca="1" si="436"/>
        <v>0</v>
      </c>
      <c r="MJ12" s="390">
        <f t="shared" ca="1" si="435"/>
        <v>0</v>
      </c>
      <c r="MK12" s="390">
        <f t="shared" ca="1" si="435"/>
        <v>0</v>
      </c>
      <c r="ML12" s="390">
        <f t="shared" ca="1" si="435"/>
        <v>0</v>
      </c>
      <c r="MM12" s="390">
        <f t="shared" ca="1" si="435"/>
        <v>0</v>
      </c>
      <c r="MN12" s="390">
        <f t="shared" ca="1" si="435"/>
        <v>0</v>
      </c>
      <c r="MO12" s="390">
        <f t="shared" ca="1" si="435"/>
        <v>0</v>
      </c>
      <c r="MQ12" s="394"/>
      <c r="MR12" s="394"/>
      <c r="MS12" s="395"/>
      <c r="MT12" s="395"/>
      <c r="MU12" s="394"/>
      <c r="MV12" s="394"/>
      <c r="MY12" s="386" t="s">
        <v>1891</v>
      </c>
      <c r="MZ12" s="387" t="s">
        <v>287</v>
      </c>
      <c r="NA12" s="390">
        <f ca="1">NA45</f>
        <v>9.8258750000000005E-5</v>
      </c>
      <c r="NB12" s="390">
        <f t="shared" ref="NB12:NP12" ca="1" si="437">NB45</f>
        <v>7.2228230100000003E-12</v>
      </c>
      <c r="NC12" s="390">
        <f t="shared" ca="1" si="437"/>
        <v>9.8258742799999996E-5</v>
      </c>
      <c r="ND12" s="390">
        <f t="shared" ca="1" si="437"/>
        <v>0</v>
      </c>
      <c r="NE12" s="390">
        <f t="shared" ca="1" si="437"/>
        <v>0</v>
      </c>
      <c r="NF12" s="390">
        <f t="shared" ca="1" si="437"/>
        <v>0</v>
      </c>
      <c r="NG12" s="390">
        <f t="shared" ca="1" si="437"/>
        <v>0</v>
      </c>
      <c r="NH12" s="390">
        <f t="shared" ca="1" si="437"/>
        <v>0</v>
      </c>
      <c r="NI12" s="390">
        <f t="shared" ca="1" si="437"/>
        <v>0</v>
      </c>
      <c r="NJ12" s="390">
        <f t="shared" ca="1" si="437"/>
        <v>0</v>
      </c>
      <c r="NK12" s="390">
        <f t="shared" ca="1" si="437"/>
        <v>0</v>
      </c>
      <c r="NL12" s="390">
        <f t="shared" ca="1" si="437"/>
        <v>0</v>
      </c>
      <c r="NM12" s="390">
        <f t="shared" ca="1" si="437"/>
        <v>0</v>
      </c>
      <c r="NN12" s="390">
        <f t="shared" ca="1" si="437"/>
        <v>0</v>
      </c>
      <c r="NO12" s="390">
        <f t="shared" ca="1" si="437"/>
        <v>0</v>
      </c>
      <c r="NP12" s="390">
        <f t="shared" ca="1" si="437"/>
        <v>0</v>
      </c>
      <c r="NR12" s="394"/>
      <c r="NS12" s="394"/>
      <c r="NT12" s="395"/>
      <c r="NU12" s="395"/>
      <c r="NV12" s="394"/>
      <c r="NW12" s="394"/>
      <c r="NX12" s="896"/>
      <c r="NZ12" s="394"/>
      <c r="OA12" s="395"/>
      <c r="OB12" s="394"/>
      <c r="OC12" s="394"/>
      <c r="OD12" s="896"/>
      <c r="OF12" s="386" t="s">
        <v>1891</v>
      </c>
      <c r="OG12" s="387" t="s">
        <v>287</v>
      </c>
      <c r="OH12" s="390">
        <f ca="1">OH45</f>
        <v>0</v>
      </c>
      <c r="OI12" s="390">
        <f t="shared" ref="OI12:OO12" ca="1" si="438">OI45</f>
        <v>0</v>
      </c>
      <c r="OJ12" s="390">
        <f t="shared" ca="1" si="438"/>
        <v>0</v>
      </c>
      <c r="OK12" s="390">
        <f t="shared" ca="1" si="438"/>
        <v>0</v>
      </c>
      <c r="OL12" s="390">
        <f t="shared" ca="1" si="438"/>
        <v>0</v>
      </c>
      <c r="OM12" s="390">
        <f t="shared" ca="1" si="438"/>
        <v>0</v>
      </c>
      <c r="ON12" s="390">
        <f t="shared" ca="1" si="438"/>
        <v>0</v>
      </c>
      <c r="OO12" s="390">
        <f t="shared" ca="1" si="438"/>
        <v>0</v>
      </c>
      <c r="OQ12" s="394"/>
      <c r="OR12" s="394"/>
      <c r="OS12" s="395"/>
      <c r="OT12" s="395"/>
      <c r="OU12" s="394"/>
      <c r="OV12" s="394"/>
      <c r="OW12" s="896"/>
      <c r="OY12" s="386" t="s">
        <v>1891</v>
      </c>
      <c r="OZ12" s="387" t="s">
        <v>287</v>
      </c>
      <c r="PA12" s="390">
        <f ca="1">PA45</f>
        <v>0</v>
      </c>
      <c r="PB12" s="390">
        <f t="shared" ref="PB12:PK12" ca="1" si="439">PB45</f>
        <v>0</v>
      </c>
      <c r="PC12" s="390">
        <f t="shared" ca="1" si="439"/>
        <v>0</v>
      </c>
      <c r="PD12" s="390">
        <f t="shared" ca="1" si="439"/>
        <v>0</v>
      </c>
      <c r="PE12" s="390">
        <f t="shared" ca="1" si="439"/>
        <v>0</v>
      </c>
      <c r="PF12" s="390">
        <f t="shared" ca="1" si="439"/>
        <v>0</v>
      </c>
      <c r="PG12" s="390">
        <f t="shared" ca="1" si="439"/>
        <v>0</v>
      </c>
      <c r="PH12" s="390">
        <f t="shared" ca="1" si="439"/>
        <v>0</v>
      </c>
      <c r="PI12" s="390">
        <f t="shared" ca="1" si="439"/>
        <v>0</v>
      </c>
      <c r="PJ12" s="390">
        <f t="shared" ca="1" si="439"/>
        <v>0</v>
      </c>
      <c r="PK12" s="390">
        <f t="shared" ca="1" si="439"/>
        <v>0</v>
      </c>
      <c r="PM12" s="385"/>
      <c r="PN12" s="394"/>
      <c r="PO12" s="395"/>
      <c r="PP12" s="395"/>
      <c r="PQ12" s="394"/>
      <c r="PR12" s="394"/>
      <c r="PU12" s="386" t="s">
        <v>1891</v>
      </c>
      <c r="PV12" s="387" t="s">
        <v>287</v>
      </c>
      <c r="PW12" s="390">
        <f ca="1">PW45</f>
        <v>0</v>
      </c>
      <c r="PX12" s="390">
        <f t="shared" ref="PX12:PZ12" ca="1" si="440">PX45</f>
        <v>0</v>
      </c>
      <c r="PY12" s="390">
        <f t="shared" ca="1" si="440"/>
        <v>0</v>
      </c>
      <c r="PZ12" s="390">
        <f t="shared" ca="1" si="440"/>
        <v>0</v>
      </c>
      <c r="QB12" s="394"/>
      <c r="QC12" s="394"/>
      <c r="QD12" s="394"/>
      <c r="QE12" s="394"/>
      <c r="QF12" s="394"/>
      <c r="QG12" s="394"/>
      <c r="QH12" s="896"/>
      <c r="QI12" s="896"/>
      <c r="QJ12" s="896"/>
      <c r="QK12" s="896"/>
    </row>
    <row r="13" spans="1:453" x14ac:dyDescent="0.25">
      <c r="H13" s="386" t="s">
        <v>1892</v>
      </c>
      <c r="I13" s="387" t="s">
        <v>287</v>
      </c>
      <c r="J13" s="390">
        <f ca="1">J48</f>
        <v>0</v>
      </c>
      <c r="K13" s="390">
        <f ca="1">K48</f>
        <v>0</v>
      </c>
      <c r="M13" s="386" t="s">
        <v>1943</v>
      </c>
      <c r="N13" s="1337">
        <f t="shared" ca="1" si="66"/>
        <v>158.312848</v>
      </c>
      <c r="O13" s="1467">
        <f t="shared" ca="1" si="67"/>
        <v>0.13612454686156494</v>
      </c>
      <c r="P13" s="385" t="s">
        <v>1200</v>
      </c>
      <c r="R13" s="386" t="s">
        <v>1892</v>
      </c>
      <c r="S13" s="387" t="s">
        <v>287</v>
      </c>
      <c r="T13" s="390">
        <f ca="1">T48</f>
        <v>0</v>
      </c>
      <c r="U13" s="390">
        <f t="shared" ref="U13:AD13" ca="1" si="441">U48</f>
        <v>0</v>
      </c>
      <c r="V13" s="390">
        <f t="shared" ca="1" si="441"/>
        <v>1.7947588900000001E-4</v>
      </c>
      <c r="W13" s="390">
        <f t="shared" ca="1" si="441"/>
        <v>0</v>
      </c>
      <c r="X13" s="390">
        <f t="shared" ca="1" si="441"/>
        <v>0</v>
      </c>
      <c r="Y13" s="390">
        <f t="shared" ca="1" si="441"/>
        <v>16642.746500000001</v>
      </c>
      <c r="Z13" s="390">
        <f t="shared" ca="1" si="441"/>
        <v>6.9501912800000003E-3</v>
      </c>
      <c r="AA13" s="390">
        <f t="shared" ca="1" si="441"/>
        <v>16642.739600000001</v>
      </c>
      <c r="AB13" s="390">
        <f t="shared" ca="1" si="441"/>
        <v>0</v>
      </c>
      <c r="AC13" s="390">
        <f t="shared" ca="1" si="441"/>
        <v>1.7947588900000001E-4</v>
      </c>
      <c r="AD13" s="390">
        <f t="shared" ca="1" si="441"/>
        <v>0</v>
      </c>
      <c r="AF13" s="386" t="s">
        <v>1948</v>
      </c>
      <c r="AG13" s="1337">
        <f t="shared" ca="1" si="1"/>
        <v>1999.9936</v>
      </c>
      <c r="AH13" s="1467">
        <f t="shared" ca="1" si="69"/>
        <v>1.7196849527085125</v>
      </c>
      <c r="AI13" s="385" t="s">
        <v>1211</v>
      </c>
      <c r="AK13" s="386" t="s">
        <v>1892</v>
      </c>
      <c r="AL13" s="387" t="s">
        <v>287</v>
      </c>
      <c r="AM13" s="390">
        <f ca="1">AM48</f>
        <v>0</v>
      </c>
      <c r="AN13" s="390">
        <f t="shared" ref="AN13:BB13" ca="1" si="442">AN48</f>
        <v>0</v>
      </c>
      <c r="AO13" s="390">
        <f t="shared" ref="AO13:AS13" ca="1" si="443">AO48</f>
        <v>16642.739600000001</v>
      </c>
      <c r="AP13" s="390">
        <f t="shared" ca="1" si="443"/>
        <v>16642.739600000001</v>
      </c>
      <c r="AQ13" s="390">
        <f t="shared" ca="1" si="443"/>
        <v>7.8143008900000003E-4</v>
      </c>
      <c r="AR13" s="390">
        <f t="shared" ca="1" si="443"/>
        <v>1.73602544E-8</v>
      </c>
      <c r="AS13" s="390">
        <f t="shared" ca="1" si="443"/>
        <v>6.9501739200000011E-3</v>
      </c>
      <c r="AT13" s="390">
        <f t="shared" ca="1" si="442"/>
        <v>4.0165069899999997E-10</v>
      </c>
      <c r="AU13" s="390">
        <f t="shared" ca="1" si="442"/>
        <v>7.8144704800000003E-4</v>
      </c>
      <c r="AV13" s="390">
        <f t="shared" ca="1" si="442"/>
        <v>16642.738799999999</v>
      </c>
      <c r="AW13" s="390">
        <f t="shared" ca="1" si="442"/>
        <v>4.0165069899999997E-10</v>
      </c>
      <c r="AX13" s="390">
        <f t="shared" ca="1" si="442"/>
        <v>7.7316213700000013E-3</v>
      </c>
      <c r="AY13" s="390">
        <f t="shared" ca="1" si="442"/>
        <v>0</v>
      </c>
      <c r="AZ13" s="390">
        <f t="shared" ca="1" si="442"/>
        <v>0</v>
      </c>
      <c r="BA13" s="390">
        <f t="shared" ca="1" si="442"/>
        <v>0</v>
      </c>
      <c r="BB13" s="390">
        <f t="shared" ca="1" si="442"/>
        <v>16476.311399999999</v>
      </c>
      <c r="BE13" s="394"/>
      <c r="BF13" s="1338"/>
      <c r="BG13" s="395"/>
      <c r="BH13" s="394"/>
      <c r="BI13" s="394"/>
      <c r="BL13" s="386" t="s">
        <v>1892</v>
      </c>
      <c r="BM13" s="387" t="s">
        <v>287</v>
      </c>
      <c r="BN13" s="390">
        <f ca="1">BN48</f>
        <v>1647.63114</v>
      </c>
      <c r="BO13" s="390">
        <f t="shared" ref="BO13:BR13" ca="1" si="444">BO48</f>
        <v>168.05837600000001</v>
      </c>
      <c r="BP13" s="390">
        <f t="shared" ca="1" si="444"/>
        <v>1.8806263099999999E-10</v>
      </c>
      <c r="BQ13" s="390">
        <f t="shared" ca="1" si="444"/>
        <v>0</v>
      </c>
      <c r="BR13" s="390">
        <f t="shared" ca="1" si="444"/>
        <v>0</v>
      </c>
      <c r="BU13" s="394"/>
      <c r="BV13" s="1338"/>
      <c r="BW13" s="395"/>
      <c r="BX13" s="394"/>
      <c r="BY13" s="394"/>
      <c r="CB13" s="386" t="s">
        <v>1892</v>
      </c>
      <c r="CC13" s="387" t="s">
        <v>287</v>
      </c>
      <c r="CD13" s="390">
        <f ca="1">CD48</f>
        <v>16476.311399999999</v>
      </c>
      <c r="CE13" s="390">
        <f t="shared" ref="CE13:CO13" ca="1" si="445">CE48</f>
        <v>16476.311399999999</v>
      </c>
      <c r="CF13" s="390">
        <f t="shared" ca="1" si="445"/>
        <v>1647.63114</v>
      </c>
      <c r="CG13" s="390">
        <f t="shared" ca="1" si="445"/>
        <v>168.05837600000001</v>
      </c>
      <c r="CH13" s="390">
        <f t="shared" ca="1" si="445"/>
        <v>16476.311399999999</v>
      </c>
      <c r="CI13" s="390">
        <f t="shared" ca="1" si="445"/>
        <v>0</v>
      </c>
      <c r="CJ13" s="390">
        <f t="shared" ca="1" si="445"/>
        <v>0</v>
      </c>
      <c r="CK13" s="390">
        <f t="shared" ca="1" si="445"/>
        <v>1061.9190599999999</v>
      </c>
      <c r="CL13" s="390">
        <f t="shared" ca="1" si="445"/>
        <v>1.1518229899999999E-9</v>
      </c>
      <c r="CM13" s="390">
        <f t="shared" ca="1" si="445"/>
        <v>0</v>
      </c>
      <c r="CN13" s="390">
        <f t="shared" ca="1" si="445"/>
        <v>1061.9190599999999</v>
      </c>
      <c r="CO13" s="390">
        <f t="shared" ca="1" si="445"/>
        <v>1.33988674E-9</v>
      </c>
      <c r="CQ13" s="896"/>
      <c r="CR13" s="394"/>
      <c r="CS13" s="1338"/>
      <c r="CT13" s="395"/>
      <c r="CU13" s="394"/>
      <c r="CV13" s="394"/>
      <c r="CW13" s="896"/>
      <c r="CY13" s="386" t="s">
        <v>1892</v>
      </c>
      <c r="CZ13" s="387" t="s">
        <v>287</v>
      </c>
      <c r="DA13" s="390">
        <f ca="1">DA48</f>
        <v>0</v>
      </c>
      <c r="DB13" s="390">
        <f t="shared" ref="DB13:DJ13" ca="1" si="446">DB48</f>
        <v>0</v>
      </c>
      <c r="DC13" s="390">
        <f t="shared" ca="1" si="446"/>
        <v>0</v>
      </c>
      <c r="DD13" s="390">
        <f t="shared" ca="1" si="446"/>
        <v>0</v>
      </c>
      <c r="DE13" s="390">
        <f t="shared" ca="1" si="446"/>
        <v>0</v>
      </c>
      <c r="DF13" s="390">
        <f t="shared" ca="1" si="446"/>
        <v>0</v>
      </c>
      <c r="DG13" s="390">
        <f t="shared" ca="1" si="446"/>
        <v>0</v>
      </c>
      <c r="DH13" s="390">
        <f t="shared" ca="1" si="446"/>
        <v>0</v>
      </c>
      <c r="DI13" s="390">
        <f t="shared" ca="1" si="446"/>
        <v>0</v>
      </c>
      <c r="DJ13" s="390">
        <f t="shared" ca="1" si="446"/>
        <v>0</v>
      </c>
      <c r="DM13" s="394"/>
      <c r="DN13" s="1338"/>
      <c r="DO13" s="395"/>
      <c r="DP13" s="394"/>
      <c r="DQ13" s="394"/>
      <c r="DT13" s="386" t="s">
        <v>1892</v>
      </c>
      <c r="DU13" s="387" t="s">
        <v>287</v>
      </c>
      <c r="DV13" s="390">
        <f ca="1">DV48</f>
        <v>0</v>
      </c>
      <c r="DW13" s="390">
        <f t="shared" ref="DW13:EK13" ca="1" si="447">DW48</f>
        <v>0</v>
      </c>
      <c r="DX13" s="390">
        <f t="shared" ca="1" si="447"/>
        <v>0</v>
      </c>
      <c r="DY13" s="390">
        <f t="shared" ca="1" si="447"/>
        <v>0</v>
      </c>
      <c r="DZ13" s="390">
        <f t="shared" ca="1" si="447"/>
        <v>0</v>
      </c>
      <c r="EA13" s="390">
        <f t="shared" ca="1" si="447"/>
        <v>0</v>
      </c>
      <c r="EB13" s="390">
        <f t="shared" ca="1" si="447"/>
        <v>0</v>
      </c>
      <c r="EC13" s="390">
        <f t="shared" ca="1" si="447"/>
        <v>0</v>
      </c>
      <c r="ED13" s="390">
        <f t="shared" ca="1" si="447"/>
        <v>0</v>
      </c>
      <c r="EE13" s="390">
        <f t="shared" ca="1" si="447"/>
        <v>0</v>
      </c>
      <c r="EF13" s="390">
        <f t="shared" ca="1" si="447"/>
        <v>0</v>
      </c>
      <c r="EG13" s="390">
        <f t="shared" ca="1" si="447"/>
        <v>0</v>
      </c>
      <c r="EH13" s="390">
        <f t="shared" ca="1" si="447"/>
        <v>0</v>
      </c>
      <c r="EI13" s="390">
        <f t="shared" ca="1" si="447"/>
        <v>0</v>
      </c>
      <c r="EJ13" s="390">
        <f t="shared" ref="EJ13" ca="1" si="448">EJ48</f>
        <v>0</v>
      </c>
      <c r="EK13" s="390">
        <f t="shared" ca="1" si="447"/>
        <v>0</v>
      </c>
      <c r="EN13" s="394"/>
      <c r="EO13" s="1338"/>
      <c r="EP13" s="395"/>
      <c r="EQ13" s="394"/>
      <c r="ER13" s="394"/>
      <c r="EU13" s="386" t="s">
        <v>1892</v>
      </c>
      <c r="EV13" s="387" t="s">
        <v>287</v>
      </c>
      <c r="EW13" s="390">
        <f ca="1">EW48</f>
        <v>1061.9190599999999</v>
      </c>
      <c r="EX13" s="390">
        <f t="shared" ref="EX13:FB13" ca="1" si="449">EX48</f>
        <v>1061.9190599999999</v>
      </c>
      <c r="EY13" s="390">
        <f t="shared" ca="1" si="449"/>
        <v>1061.9188799999999</v>
      </c>
      <c r="EZ13" s="390">
        <f t="shared" ca="1" si="449"/>
        <v>1061.9188799999999</v>
      </c>
      <c r="FA13" s="390">
        <f t="shared" ca="1" si="449"/>
        <v>1.12147717E-15</v>
      </c>
      <c r="FB13" s="390">
        <f t="shared" ca="1" si="449"/>
        <v>1.7947588799999999E-4</v>
      </c>
      <c r="FD13" s="896"/>
      <c r="FE13" s="394"/>
      <c r="FF13" s="1338"/>
      <c r="FG13" s="395"/>
      <c r="FH13" s="394"/>
      <c r="FI13" s="394"/>
      <c r="FJ13" s="896"/>
      <c r="FL13" s="386" t="s">
        <v>1892</v>
      </c>
      <c r="FM13" s="387" t="s">
        <v>287</v>
      </c>
      <c r="FN13" s="390">
        <f ca="1">FN48</f>
        <v>1.8806263099999999E-10</v>
      </c>
      <c r="FO13" s="390">
        <f t="shared" ref="FO13:FX13" ca="1" si="450">FO48</f>
        <v>1.1518229899999999E-9</v>
      </c>
      <c r="FP13" s="390">
        <f t="shared" ca="1" si="450"/>
        <v>1.12147717E-15</v>
      </c>
      <c r="FQ13" s="390">
        <f t="shared" ca="1" si="450"/>
        <v>1.7947588799999999E-4</v>
      </c>
      <c r="FR13" s="390">
        <f t="shared" ca="1" si="450"/>
        <v>0</v>
      </c>
      <c r="FS13" s="390">
        <f t="shared" ca="1" si="450"/>
        <v>1.7947588900000001E-4</v>
      </c>
      <c r="FT13" s="390">
        <f t="shared" ca="1" si="450"/>
        <v>0</v>
      </c>
      <c r="FU13" s="390">
        <f t="shared" ca="1" si="450"/>
        <v>1.33988674E-9</v>
      </c>
      <c r="FV13" s="390">
        <f t="shared" ca="1" si="450"/>
        <v>0</v>
      </c>
      <c r="FW13" s="390">
        <f t="shared" ca="1" si="450"/>
        <v>0</v>
      </c>
      <c r="FX13" s="390">
        <f t="shared" ca="1" si="450"/>
        <v>1.33988674E-9</v>
      </c>
      <c r="GA13" s="394"/>
      <c r="GB13" s="1338"/>
      <c r="GC13" s="395"/>
      <c r="GD13" s="394"/>
      <c r="GE13" s="394"/>
      <c r="GF13" s="896"/>
      <c r="GH13" s="386" t="s">
        <v>1892</v>
      </c>
      <c r="GI13" s="387" t="s">
        <v>287</v>
      </c>
      <c r="GJ13" s="390">
        <f ca="1">GJ48</f>
        <v>0</v>
      </c>
      <c r="GK13" s="390">
        <f t="shared" ref="GK13:GQ13" ca="1" si="451">GK48</f>
        <v>0</v>
      </c>
      <c r="GL13" s="390">
        <f t="shared" ca="1" si="451"/>
        <v>0</v>
      </c>
      <c r="GM13" s="390">
        <f t="shared" ca="1" si="451"/>
        <v>0</v>
      </c>
      <c r="GN13" s="390">
        <f t="shared" ca="1" si="451"/>
        <v>0</v>
      </c>
      <c r="GO13" s="390">
        <f t="shared" ca="1" si="451"/>
        <v>0</v>
      </c>
      <c r="GP13" s="390">
        <f t="shared" ca="1" si="451"/>
        <v>0</v>
      </c>
      <c r="GQ13" s="390">
        <f t="shared" ca="1" si="451"/>
        <v>0</v>
      </c>
      <c r="GS13" s="896"/>
      <c r="GT13" s="394"/>
      <c r="GU13" s="1338"/>
      <c r="GV13" s="395"/>
      <c r="GW13" s="394"/>
      <c r="GX13" s="394"/>
      <c r="GY13" s="896"/>
      <c r="HA13" s="386" t="s">
        <v>1892</v>
      </c>
      <c r="HB13" s="387" t="s">
        <v>287</v>
      </c>
      <c r="HC13" s="390">
        <f ca="1">HC48</f>
        <v>1061.9188799999999</v>
      </c>
      <c r="HD13" s="390">
        <f t="shared" ref="HD13:HH13" ca="1" si="452">HD48</f>
        <v>1022.3819700000001</v>
      </c>
      <c r="HE13" s="390">
        <f t="shared" ca="1" si="452"/>
        <v>0</v>
      </c>
      <c r="HF13" s="390">
        <f t="shared" ca="1" si="452"/>
        <v>8.2960939100000003E-9</v>
      </c>
      <c r="HG13" s="390">
        <f t="shared" ca="1" si="452"/>
        <v>39.536914400000001</v>
      </c>
      <c r="HH13" s="390">
        <f t="shared" ca="1" si="452"/>
        <v>1022.3819700000001</v>
      </c>
      <c r="HK13" s="386"/>
      <c r="HL13" s="1337"/>
      <c r="HM13" s="386" t="s">
        <v>2022</v>
      </c>
      <c r="HN13" s="1337">
        <f t="shared" ca="1" si="375"/>
        <v>6</v>
      </c>
      <c r="HO13" s="1467">
        <f t="shared" ca="1" si="28"/>
        <v>5.1590713671539126E-3</v>
      </c>
      <c r="HP13" s="385" t="s">
        <v>1238</v>
      </c>
      <c r="HR13" s="386" t="s">
        <v>1892</v>
      </c>
      <c r="HS13" s="387" t="s">
        <v>287</v>
      </c>
      <c r="HT13" s="390">
        <f ca="1">HT48</f>
        <v>7.7316213700000013E-3</v>
      </c>
      <c r="HU13" s="390">
        <f t="shared" ref="HU13:IE13" ca="1" si="453">HU48</f>
        <v>1022.3819700000001</v>
      </c>
      <c r="HV13" s="390">
        <f t="shared" ca="1" si="453"/>
        <v>1022.3896999999999</v>
      </c>
      <c r="HW13" s="390">
        <f t="shared" ca="1" si="453"/>
        <v>1022.3896999999999</v>
      </c>
      <c r="HX13" s="390">
        <f t="shared" ca="1" si="453"/>
        <v>85.512352100000001</v>
      </c>
      <c r="HY13" s="390">
        <f t="shared" ca="1" si="453"/>
        <v>6.5027208400000003</v>
      </c>
      <c r="HZ13" s="390">
        <f t="shared" ca="1" si="453"/>
        <v>3.0265161200000001E-10</v>
      </c>
      <c r="IA13" s="390">
        <f t="shared" ca="1" si="453"/>
        <v>1.5644451000000001E-11</v>
      </c>
      <c r="IB13" s="390">
        <f t="shared" ca="1" si="453"/>
        <v>0</v>
      </c>
      <c r="IC13" s="390">
        <f t="shared" ca="1" si="453"/>
        <v>0</v>
      </c>
      <c r="ID13" s="390">
        <f t="shared" ca="1" si="453"/>
        <v>0</v>
      </c>
      <c r="IE13" s="390">
        <f t="shared" ca="1" si="453"/>
        <v>0</v>
      </c>
      <c r="IH13" s="394"/>
      <c r="II13" s="1338"/>
      <c r="IJ13" s="395"/>
      <c r="IK13" s="394"/>
      <c r="IL13" s="394"/>
      <c r="IO13" s="386" t="s">
        <v>1892</v>
      </c>
      <c r="IP13" s="387" t="s">
        <v>287</v>
      </c>
      <c r="IQ13" s="390">
        <f ca="1">IQ48</f>
        <v>85.512352100000001</v>
      </c>
      <c r="IR13" s="390">
        <f t="shared" ref="IR13:JH13" ca="1" si="454">IR48</f>
        <v>6.5027208400000003</v>
      </c>
      <c r="IS13" s="390">
        <f t="shared" ca="1" si="454"/>
        <v>0.12937030799999999</v>
      </c>
      <c r="IT13" s="390">
        <f t="shared" ca="1" si="454"/>
        <v>6.6320911499999999</v>
      </c>
      <c r="IU13" s="390">
        <f t="shared" ref="IU13" ca="1" si="455">IU48</f>
        <v>6.18970763</v>
      </c>
      <c r="IV13" s="390">
        <f t="shared" ca="1" si="454"/>
        <v>3.7922778899999998</v>
      </c>
      <c r="IW13" s="390">
        <f t="shared" ca="1" si="454"/>
        <v>3.1048874</v>
      </c>
      <c r="IX13" s="390">
        <f t="shared" ref="IX13" ca="1" si="456">IX48</f>
        <v>3.0705914500000002E-12</v>
      </c>
      <c r="IY13" s="390">
        <f t="shared" ca="1" si="454"/>
        <v>0.44238352199999997</v>
      </c>
      <c r="IZ13" s="390">
        <f t="shared" ca="1" si="454"/>
        <v>0.55802017699999995</v>
      </c>
      <c r="JA13" s="390">
        <f t="shared" ca="1" si="454"/>
        <v>3.2342577100000001</v>
      </c>
      <c r="JB13" s="390">
        <f t="shared" ca="1" si="454"/>
        <v>0</v>
      </c>
      <c r="JC13" s="390">
        <f t="shared" ca="1" si="454"/>
        <v>0.55802017699999995</v>
      </c>
      <c r="JD13" s="390">
        <f t="shared" ca="1" si="454"/>
        <v>0</v>
      </c>
      <c r="JE13" s="390">
        <f t="shared" ca="1" si="454"/>
        <v>0.55802017699999995</v>
      </c>
      <c r="JF13" s="390">
        <f t="shared" ca="1" si="454"/>
        <v>0</v>
      </c>
      <c r="JG13" s="390">
        <f t="shared" ca="1" si="454"/>
        <v>0</v>
      </c>
      <c r="JH13" s="390">
        <f t="shared" ca="1" si="454"/>
        <v>1.5644451000000001E-11</v>
      </c>
      <c r="JK13" s="386"/>
      <c r="JL13" s="1337"/>
      <c r="JM13" s="393" t="s">
        <v>3368</v>
      </c>
      <c r="JN13" s="1337">
        <f t="shared" ref="JN13" ca="1" si="457">VLOOKUP(JP13,INDIRECT(LU_WORK),2,FALSE)</f>
        <v>234.89545900000002</v>
      </c>
      <c r="JO13" s="1467">
        <f t="shared" ref="JO13" ca="1" si="458">JN13/4.1868*3600/1000000</f>
        <v>0.20197373946689595</v>
      </c>
      <c r="JP13" s="385" t="s">
        <v>3370</v>
      </c>
      <c r="JR13" s="386" t="s">
        <v>1892</v>
      </c>
      <c r="JS13" s="387" t="s">
        <v>287</v>
      </c>
      <c r="JT13" s="390">
        <f ca="1">JT48</f>
        <v>0</v>
      </c>
      <c r="JU13" s="390">
        <f t="shared" ref="JU13:KC13" ca="1" si="459">JU48</f>
        <v>0</v>
      </c>
      <c r="JV13" s="390">
        <f t="shared" ca="1" si="459"/>
        <v>0</v>
      </c>
      <c r="JW13" s="390">
        <f t="shared" ca="1" si="459"/>
        <v>0</v>
      </c>
      <c r="JX13" s="390">
        <f t="shared" ca="1" si="459"/>
        <v>0</v>
      </c>
      <c r="JY13" s="390">
        <f t="shared" ca="1" si="459"/>
        <v>0</v>
      </c>
      <c r="JZ13" s="390">
        <f t="shared" ca="1" si="459"/>
        <v>0</v>
      </c>
      <c r="KA13" s="390">
        <f t="shared" ca="1" si="459"/>
        <v>0</v>
      </c>
      <c r="KB13" s="390">
        <f t="shared" ca="1" si="459"/>
        <v>0</v>
      </c>
      <c r="KC13" s="390">
        <f t="shared" ca="1" si="459"/>
        <v>0</v>
      </c>
      <c r="KE13" s="395"/>
      <c r="KF13" s="394"/>
      <c r="KG13" s="394"/>
      <c r="KJ13" s="386" t="s">
        <v>1892</v>
      </c>
      <c r="KK13" s="387" t="s">
        <v>287</v>
      </c>
      <c r="KL13" s="390">
        <f ca="1">KL48</f>
        <v>0</v>
      </c>
      <c r="KM13" s="390">
        <f t="shared" ref="KM13:KR13" ca="1" si="460">KM48</f>
        <v>0</v>
      </c>
      <c r="KN13" s="390">
        <f t="shared" ca="1" si="460"/>
        <v>0</v>
      </c>
      <c r="KO13" s="390">
        <f t="shared" ca="1" si="460"/>
        <v>0</v>
      </c>
      <c r="KP13" s="390">
        <f t="shared" ca="1" si="460"/>
        <v>0</v>
      </c>
      <c r="KQ13" s="390">
        <f t="shared" ca="1" si="460"/>
        <v>0</v>
      </c>
      <c r="KR13" s="390">
        <f t="shared" ca="1" si="460"/>
        <v>0</v>
      </c>
      <c r="KT13" s="395"/>
      <c r="KU13" s="394"/>
      <c r="KV13" s="394"/>
      <c r="KY13" s="386" t="s">
        <v>1892</v>
      </c>
      <c r="KZ13" s="387" t="s">
        <v>287</v>
      </c>
      <c r="LA13" s="390">
        <f ca="1">LA48</f>
        <v>8.2960939100000003E-9</v>
      </c>
      <c r="LB13" s="390">
        <f t="shared" ref="LB13:LK13" ca="1" si="461">LB48</f>
        <v>3.0265161200000001E-10</v>
      </c>
      <c r="LC13" s="390">
        <f t="shared" ca="1" si="461"/>
        <v>8.5987455199999994E-9</v>
      </c>
      <c r="LD13" s="390">
        <f t="shared" ca="1" si="461"/>
        <v>8.5987455199999994E-9</v>
      </c>
      <c r="LE13" s="390">
        <f t="shared" ca="1" si="461"/>
        <v>0</v>
      </c>
      <c r="LF13" s="390">
        <f t="shared" ca="1" si="461"/>
        <v>0</v>
      </c>
      <c r="LG13" s="390">
        <f t="shared" ca="1" si="461"/>
        <v>0</v>
      </c>
      <c r="LH13" s="390">
        <f t="shared" ca="1" si="461"/>
        <v>0</v>
      </c>
      <c r="LI13" s="390">
        <f t="shared" ca="1" si="461"/>
        <v>0</v>
      </c>
      <c r="LJ13" s="390">
        <f t="shared" ca="1" si="461"/>
        <v>0</v>
      </c>
      <c r="LK13" s="390">
        <f t="shared" ca="1" si="461"/>
        <v>0</v>
      </c>
      <c r="LN13" s="394"/>
      <c r="LO13" s="1338"/>
      <c r="LP13" s="395"/>
      <c r="LQ13" s="394"/>
      <c r="LR13" s="394"/>
      <c r="LU13" s="386" t="s">
        <v>1892</v>
      </c>
      <c r="LV13" s="387" t="s">
        <v>287</v>
      </c>
      <c r="LW13" s="390">
        <f ca="1">LW48</f>
        <v>0</v>
      </c>
      <c r="LX13" s="390">
        <f ca="1">LX48</f>
        <v>0</v>
      </c>
      <c r="LY13" s="390">
        <f t="shared" ref="LY13:MO13" ca="1" si="462">LY48</f>
        <v>39.536914400000001</v>
      </c>
      <c r="LZ13" s="390">
        <f t="shared" ca="1" si="462"/>
        <v>0.44238352199999997</v>
      </c>
      <c r="MA13" s="390">
        <f t="shared" ca="1" si="462"/>
        <v>39.979298</v>
      </c>
      <c r="MB13" s="390">
        <f t="shared" ca="1" si="462"/>
        <v>8.5987455199999994E-9</v>
      </c>
      <c r="MC13" s="390">
        <f t="shared" ca="1" si="462"/>
        <v>0</v>
      </c>
      <c r="MD13" s="390">
        <f t="shared" ca="1" si="462"/>
        <v>0</v>
      </c>
      <c r="ME13" s="390">
        <f t="shared" ca="1" si="462"/>
        <v>0</v>
      </c>
      <c r="MF13" s="390">
        <f t="shared" ca="1" si="462"/>
        <v>0</v>
      </c>
      <c r="MG13" s="390">
        <f t="shared" ca="1" si="462"/>
        <v>0</v>
      </c>
      <c r="MH13" s="390">
        <f t="shared" ref="MH13:MI13" ca="1" si="463">MH48</f>
        <v>0</v>
      </c>
      <c r="MI13" s="390">
        <f t="shared" ca="1" si="463"/>
        <v>0</v>
      </c>
      <c r="MJ13" s="390">
        <f t="shared" ca="1" si="462"/>
        <v>0</v>
      </c>
      <c r="MK13" s="390">
        <f t="shared" ca="1" si="462"/>
        <v>0</v>
      </c>
      <c r="ML13" s="390">
        <f t="shared" ca="1" si="462"/>
        <v>0</v>
      </c>
      <c r="MM13" s="390">
        <f t="shared" ca="1" si="462"/>
        <v>0</v>
      </c>
      <c r="MN13" s="390">
        <f t="shared" ca="1" si="462"/>
        <v>0</v>
      </c>
      <c r="MO13" s="390">
        <f t="shared" ca="1" si="462"/>
        <v>0</v>
      </c>
      <c r="MQ13" s="896"/>
      <c r="MR13" s="394"/>
      <c r="MS13" s="1338"/>
      <c r="MT13" s="395"/>
      <c r="MU13" s="394"/>
      <c r="MV13" s="394"/>
      <c r="MY13" s="386" t="s">
        <v>1892</v>
      </c>
      <c r="MZ13" s="387" t="s">
        <v>287</v>
      </c>
      <c r="NA13" s="390">
        <f ca="1">NA48</f>
        <v>6.9501912800000003E-3</v>
      </c>
      <c r="NB13" s="390">
        <f t="shared" ref="NB13:NP13" ca="1" si="464">NB48</f>
        <v>1.73602544E-8</v>
      </c>
      <c r="NC13" s="390">
        <f t="shared" ca="1" si="464"/>
        <v>6.9501739200000011E-3</v>
      </c>
      <c r="ND13" s="390">
        <f t="shared" ca="1" si="464"/>
        <v>0</v>
      </c>
      <c r="NE13" s="390">
        <f t="shared" ca="1" si="464"/>
        <v>0</v>
      </c>
      <c r="NF13" s="390">
        <f t="shared" ca="1" si="464"/>
        <v>0</v>
      </c>
      <c r="NG13" s="390">
        <f t="shared" ca="1" si="464"/>
        <v>0</v>
      </c>
      <c r="NH13" s="390">
        <f t="shared" ca="1" si="464"/>
        <v>0</v>
      </c>
      <c r="NI13" s="390">
        <f t="shared" ca="1" si="464"/>
        <v>0</v>
      </c>
      <c r="NJ13" s="390">
        <f t="shared" ca="1" si="464"/>
        <v>0</v>
      </c>
      <c r="NK13" s="390">
        <f t="shared" ca="1" si="464"/>
        <v>0</v>
      </c>
      <c r="NL13" s="390">
        <f t="shared" ca="1" si="464"/>
        <v>0</v>
      </c>
      <c r="NM13" s="390">
        <f t="shared" ca="1" si="464"/>
        <v>0</v>
      </c>
      <c r="NN13" s="390">
        <f t="shared" ca="1" si="464"/>
        <v>0</v>
      </c>
      <c r="NO13" s="390">
        <f t="shared" ca="1" si="464"/>
        <v>0</v>
      </c>
      <c r="NP13" s="390">
        <f t="shared" ca="1" si="464"/>
        <v>0</v>
      </c>
      <c r="NR13" s="896"/>
      <c r="NS13" s="394"/>
      <c r="NT13" s="1338"/>
      <c r="NU13" s="395"/>
      <c r="NV13" s="394"/>
      <c r="NW13" s="394"/>
      <c r="NX13" s="896"/>
      <c r="NZ13" s="394"/>
      <c r="OA13" s="395"/>
      <c r="OB13" s="394"/>
      <c r="OC13" s="394"/>
      <c r="OD13" s="896"/>
      <c r="OF13" s="386" t="s">
        <v>1892</v>
      </c>
      <c r="OG13" s="387" t="s">
        <v>287</v>
      </c>
      <c r="OH13" s="390">
        <f ca="1">OH48</f>
        <v>0</v>
      </c>
      <c r="OI13" s="390">
        <f t="shared" ref="OI13:OO13" ca="1" si="465">OI48</f>
        <v>0</v>
      </c>
      <c r="OJ13" s="390">
        <f t="shared" ca="1" si="465"/>
        <v>0</v>
      </c>
      <c r="OK13" s="390">
        <f t="shared" ca="1" si="465"/>
        <v>0</v>
      </c>
      <c r="OL13" s="390">
        <f t="shared" ca="1" si="465"/>
        <v>0</v>
      </c>
      <c r="OM13" s="390">
        <f t="shared" ca="1" si="465"/>
        <v>0</v>
      </c>
      <c r="ON13" s="390">
        <f t="shared" ca="1" si="465"/>
        <v>0</v>
      </c>
      <c r="OO13" s="390">
        <f t="shared" ca="1" si="465"/>
        <v>0</v>
      </c>
      <c r="OQ13" s="896"/>
      <c r="OR13" s="394"/>
      <c r="OS13" s="1338"/>
      <c r="OT13" s="395"/>
      <c r="OU13" s="394"/>
      <c r="OV13" s="394"/>
      <c r="OW13" s="896"/>
      <c r="OY13" s="386" t="s">
        <v>1892</v>
      </c>
      <c r="OZ13" s="387" t="s">
        <v>287</v>
      </c>
      <c r="PA13" s="390">
        <f ca="1">PA48</f>
        <v>0</v>
      </c>
      <c r="PB13" s="390">
        <f t="shared" ref="PB13:PK13" ca="1" si="466">PB48</f>
        <v>0</v>
      </c>
      <c r="PC13" s="390">
        <f t="shared" ca="1" si="466"/>
        <v>0</v>
      </c>
      <c r="PD13" s="390">
        <f t="shared" ca="1" si="466"/>
        <v>0</v>
      </c>
      <c r="PE13" s="390">
        <f t="shared" ca="1" si="466"/>
        <v>0</v>
      </c>
      <c r="PF13" s="390">
        <f t="shared" ca="1" si="466"/>
        <v>0</v>
      </c>
      <c r="PG13" s="390">
        <f t="shared" ca="1" si="466"/>
        <v>0</v>
      </c>
      <c r="PH13" s="390">
        <f t="shared" ca="1" si="466"/>
        <v>0</v>
      </c>
      <c r="PI13" s="390">
        <f t="shared" ca="1" si="466"/>
        <v>0</v>
      </c>
      <c r="PJ13" s="390">
        <f t="shared" ca="1" si="466"/>
        <v>0</v>
      </c>
      <c r="PK13" s="390">
        <f t="shared" ca="1" si="466"/>
        <v>0</v>
      </c>
      <c r="PN13" s="394"/>
      <c r="PO13" s="1338"/>
      <c r="PP13" s="395"/>
      <c r="PQ13" s="394"/>
      <c r="PR13" s="394"/>
      <c r="PU13" s="386" t="s">
        <v>1892</v>
      </c>
      <c r="PV13" s="387" t="s">
        <v>287</v>
      </c>
      <c r="PW13" s="390">
        <f ca="1">PW48</f>
        <v>0</v>
      </c>
      <c r="PX13" s="390">
        <f t="shared" ref="PX13:PZ13" ca="1" si="467">PX48</f>
        <v>0</v>
      </c>
      <c r="PY13" s="390">
        <f t="shared" ca="1" si="467"/>
        <v>0</v>
      </c>
      <c r="PZ13" s="390">
        <f t="shared" ca="1" si="467"/>
        <v>0</v>
      </c>
      <c r="QB13" s="394"/>
      <c r="QC13" s="394"/>
      <c r="QD13" s="395"/>
      <c r="QE13" s="394"/>
      <c r="QF13" s="395"/>
      <c r="QG13" s="394"/>
      <c r="QH13" s="896"/>
      <c r="QI13" s="896"/>
      <c r="QJ13" s="896"/>
      <c r="QK13" s="896"/>
    </row>
    <row r="14" spans="1:453" x14ac:dyDescent="0.25">
      <c r="A14" s="1315"/>
      <c r="H14" s="386" t="s">
        <v>3207</v>
      </c>
      <c r="I14" s="387" t="s">
        <v>287</v>
      </c>
      <c r="J14" s="390">
        <f ca="1">J46+J47+J49+J50+J51</f>
        <v>641.66666699999996</v>
      </c>
      <c r="K14" s="390">
        <f ca="1">K46+K47+K49+K50+K51</f>
        <v>641.66666699999996</v>
      </c>
      <c r="M14" s="386" t="s">
        <v>1945</v>
      </c>
      <c r="N14" s="1337">
        <f t="shared" ca="1" si="66"/>
        <v>118.73463599999999</v>
      </c>
      <c r="O14" s="1467">
        <f t="shared" ca="1" si="67"/>
        <v>0.10209341014617368</v>
      </c>
      <c r="P14" s="385" t="s">
        <v>1201</v>
      </c>
      <c r="R14" s="386" t="s">
        <v>3207</v>
      </c>
      <c r="S14" s="387" t="s">
        <v>287</v>
      </c>
      <c r="T14" s="390">
        <f ca="1">T46+T47+T49+T50+T51</f>
        <v>641.66666699999996</v>
      </c>
      <c r="U14" s="390">
        <f t="shared" ref="U14:AD14" ca="1" si="468">U46+U47+U49+U50+U51</f>
        <v>0</v>
      </c>
      <c r="V14" s="390">
        <f t="shared" ca="1" si="468"/>
        <v>1.9667561705000001E-4</v>
      </c>
      <c r="W14" s="390">
        <f t="shared" ca="1" si="468"/>
        <v>0</v>
      </c>
      <c r="X14" s="390">
        <f t="shared" ca="1" si="468"/>
        <v>0</v>
      </c>
      <c r="Y14" s="390">
        <f t="shared" ca="1" si="468"/>
        <v>3719.6100771205729</v>
      </c>
      <c r="Z14" s="390">
        <f t="shared" ca="1" si="468"/>
        <v>8.9379073254555004E-4</v>
      </c>
      <c r="AA14" s="390">
        <f t="shared" ca="1" si="468"/>
        <v>3719.6091941204741</v>
      </c>
      <c r="AB14" s="390">
        <f t="shared" ca="1" si="468"/>
        <v>0</v>
      </c>
      <c r="AC14" s="390">
        <f t="shared" ca="1" si="468"/>
        <v>1.9667561705000001E-4</v>
      </c>
      <c r="AD14" s="390">
        <f t="shared" ca="1" si="468"/>
        <v>0</v>
      </c>
      <c r="AF14" s="386" t="s">
        <v>1950</v>
      </c>
      <c r="AG14" s="1337">
        <f t="shared" ca="1" si="1"/>
        <v>44.999856000000001</v>
      </c>
      <c r="AH14" s="1467">
        <f t="shared" ca="1" si="69"/>
        <v>3.8692911435941529E-2</v>
      </c>
      <c r="AI14" s="385" t="s">
        <v>1212</v>
      </c>
      <c r="AK14" s="386" t="s">
        <v>3207</v>
      </c>
      <c r="AL14" s="387" t="s">
        <v>287</v>
      </c>
      <c r="AM14" s="390">
        <f ca="1">AM46+AM47+AM49+AM50+AM51</f>
        <v>0</v>
      </c>
      <c r="AN14" s="390">
        <f t="shared" ref="AN14:BB14" ca="1" si="469">AN46+AN47+AN49+AN50+AN51</f>
        <v>0</v>
      </c>
      <c r="AO14" s="390">
        <f t="shared" ref="AO14:AS14" ca="1" si="470">AO46+AO47+AO49+AO50+AO51</f>
        <v>3719.6091941204741</v>
      </c>
      <c r="AP14" s="390">
        <f t="shared" ca="1" si="470"/>
        <v>3719.6091941204741</v>
      </c>
      <c r="AQ14" s="390">
        <f t="shared" ca="1" si="470"/>
        <v>9.7667051677184096E-5</v>
      </c>
      <c r="AR14" s="390">
        <f t="shared" ca="1" si="470"/>
        <v>2.1190277759899999E-9</v>
      </c>
      <c r="AS14" s="390">
        <f t="shared" ca="1" si="470"/>
        <v>8.9378851439999999E-4</v>
      </c>
      <c r="AT14" s="390">
        <f t="shared" ca="1" si="469"/>
        <v>4.8983532485200003E-11</v>
      </c>
      <c r="AU14" s="390">
        <f t="shared" ca="1" si="469"/>
        <v>9.7669093101999989E-5</v>
      </c>
      <c r="AV14" s="390">
        <f t="shared" ca="1" si="469"/>
        <v>3719.6090931204462</v>
      </c>
      <c r="AW14" s="390">
        <f t="shared" ca="1" si="469"/>
        <v>4.8983532485200003E-11</v>
      </c>
      <c r="AX14" s="390">
        <f t="shared" ca="1" si="469"/>
        <v>9.9145765659999991E-4</v>
      </c>
      <c r="AY14" s="390">
        <f t="shared" ca="1" si="469"/>
        <v>0</v>
      </c>
      <c r="AZ14" s="390">
        <f t="shared" ca="1" si="469"/>
        <v>0</v>
      </c>
      <c r="BA14" s="390">
        <f t="shared" ca="1" si="469"/>
        <v>0</v>
      </c>
      <c r="BB14" s="390">
        <f t="shared" ca="1" si="469"/>
        <v>3682.4130091204461</v>
      </c>
      <c r="BE14" s="394"/>
      <c r="BF14" s="1338"/>
      <c r="BG14" s="395"/>
      <c r="BH14" s="394"/>
      <c r="BI14" s="394"/>
      <c r="BL14" s="386" t="s">
        <v>3207</v>
      </c>
      <c r="BM14" s="387" t="s">
        <v>287</v>
      </c>
      <c r="BN14" s="390">
        <f ca="1">BN46+BN47+BN49+BN50+BN51</f>
        <v>401.34983319999998</v>
      </c>
      <c r="BO14" s="390">
        <f t="shared" ref="BO14:BR14" ca="1" si="471">BO46+BO47+BO49+BO50+BO51</f>
        <v>401.14904619999999</v>
      </c>
      <c r="BP14" s="390">
        <f t="shared" ca="1" si="471"/>
        <v>5.5985180495280004E-9</v>
      </c>
      <c r="BQ14" s="390">
        <f t="shared" ca="1" si="471"/>
        <v>0</v>
      </c>
      <c r="BR14" s="390">
        <f t="shared" ca="1" si="471"/>
        <v>0</v>
      </c>
      <c r="BU14" s="394"/>
      <c r="BV14" s="1338"/>
      <c r="BW14" s="395"/>
      <c r="BX14" s="394"/>
      <c r="BY14" s="394"/>
      <c r="CB14" s="386" t="s">
        <v>3207</v>
      </c>
      <c r="CC14" s="387" t="s">
        <v>287</v>
      </c>
      <c r="CD14" s="390">
        <f ca="1">CD46+CD47+CD49+CD50+CD51</f>
        <v>3682.4130091204461</v>
      </c>
      <c r="CE14" s="390">
        <f t="shared" ref="CE14:CO14" ca="1" si="472">CE46+CE47+CE49+CE50+CE51</f>
        <v>3682.4130091204461</v>
      </c>
      <c r="CF14" s="390">
        <f t="shared" ca="1" si="472"/>
        <v>401.34983319999998</v>
      </c>
      <c r="CG14" s="390">
        <f t="shared" ca="1" si="472"/>
        <v>401.14904619999999</v>
      </c>
      <c r="CH14" s="390">
        <f t="shared" ca="1" si="472"/>
        <v>3682.4130091204461</v>
      </c>
      <c r="CI14" s="390">
        <f t="shared" ca="1" si="472"/>
        <v>0</v>
      </c>
      <c r="CJ14" s="390">
        <f t="shared" ca="1" si="472"/>
        <v>0</v>
      </c>
      <c r="CK14" s="390">
        <f t="shared" ca="1" si="472"/>
        <v>2175.4561780000004</v>
      </c>
      <c r="CL14" s="390">
        <f t="shared" ca="1" si="472"/>
        <v>5.2328372739939994E-8</v>
      </c>
      <c r="CM14" s="390">
        <f t="shared" ca="1" si="472"/>
        <v>0</v>
      </c>
      <c r="CN14" s="390">
        <f t="shared" ca="1" si="472"/>
        <v>2175.4561780000004</v>
      </c>
      <c r="CO14" s="390">
        <f t="shared" ca="1" si="472"/>
        <v>5.7916282239000005E-8</v>
      </c>
      <c r="CQ14" s="896"/>
      <c r="CR14" s="394"/>
      <c r="CS14" s="1338"/>
      <c r="CT14" s="395"/>
      <c r="CU14" s="394"/>
      <c r="CV14" s="394"/>
      <c r="CW14" s="896"/>
      <c r="CY14" s="386" t="s">
        <v>3207</v>
      </c>
      <c r="CZ14" s="387" t="s">
        <v>287</v>
      </c>
      <c r="DA14" s="390">
        <f ca="1">DA46+DA47+DA49+DA50+DA51</f>
        <v>0</v>
      </c>
      <c r="DB14" s="390">
        <f t="shared" ref="DB14:DJ14" ca="1" si="473">DB46+DB47+DB49+DB50+DB51</f>
        <v>0</v>
      </c>
      <c r="DC14" s="390">
        <f t="shared" ca="1" si="473"/>
        <v>0</v>
      </c>
      <c r="DD14" s="390">
        <f t="shared" ca="1" si="473"/>
        <v>0</v>
      </c>
      <c r="DE14" s="390">
        <f t="shared" ca="1" si="473"/>
        <v>0</v>
      </c>
      <c r="DF14" s="390">
        <f t="shared" ca="1" si="473"/>
        <v>0</v>
      </c>
      <c r="DG14" s="390">
        <f t="shared" ca="1" si="473"/>
        <v>0</v>
      </c>
      <c r="DH14" s="390">
        <f t="shared" ca="1" si="473"/>
        <v>0</v>
      </c>
      <c r="DI14" s="390">
        <f t="shared" ca="1" si="473"/>
        <v>0</v>
      </c>
      <c r="DJ14" s="390">
        <f t="shared" ca="1" si="473"/>
        <v>0</v>
      </c>
      <c r="DM14" s="394"/>
      <c r="DN14" s="1338"/>
      <c r="DO14" s="395"/>
      <c r="DP14" s="394"/>
      <c r="DQ14" s="394"/>
      <c r="DT14" s="386" t="s">
        <v>3207</v>
      </c>
      <c r="DU14" s="387" t="s">
        <v>287</v>
      </c>
      <c r="DV14" s="390">
        <f ca="1">DV46+DV47+DV49+DV50+DV51</f>
        <v>0</v>
      </c>
      <c r="DW14" s="390">
        <f t="shared" ref="DW14:EK14" ca="1" si="474">DW46+DW47+DW49+DW50+DW51</f>
        <v>0</v>
      </c>
      <c r="DX14" s="390">
        <f t="shared" ca="1" si="474"/>
        <v>0</v>
      </c>
      <c r="DY14" s="390">
        <f t="shared" ca="1" si="474"/>
        <v>0</v>
      </c>
      <c r="DZ14" s="390">
        <f t="shared" ca="1" si="474"/>
        <v>0</v>
      </c>
      <c r="EA14" s="390">
        <f t="shared" ca="1" si="474"/>
        <v>0</v>
      </c>
      <c r="EB14" s="390">
        <f t="shared" ca="1" si="474"/>
        <v>0</v>
      </c>
      <c r="EC14" s="390">
        <f t="shared" ca="1" si="474"/>
        <v>0</v>
      </c>
      <c r="ED14" s="390">
        <f t="shared" ca="1" si="474"/>
        <v>0</v>
      </c>
      <c r="EE14" s="390">
        <f t="shared" ca="1" si="474"/>
        <v>0</v>
      </c>
      <c r="EF14" s="390">
        <f t="shared" ca="1" si="474"/>
        <v>0</v>
      </c>
      <c r="EG14" s="390">
        <f t="shared" ca="1" si="474"/>
        <v>0</v>
      </c>
      <c r="EH14" s="390">
        <f t="shared" ca="1" si="474"/>
        <v>0</v>
      </c>
      <c r="EI14" s="390">
        <f t="shared" ca="1" si="474"/>
        <v>0</v>
      </c>
      <c r="EJ14" s="390">
        <f t="shared" ref="EJ14" ca="1" si="475">EJ46+EJ47+EJ49+EJ50+EJ51</f>
        <v>0</v>
      </c>
      <c r="EK14" s="390">
        <f t="shared" ca="1" si="474"/>
        <v>0</v>
      </c>
      <c r="EN14" s="394"/>
      <c r="EO14" s="1338"/>
      <c r="EP14" s="395"/>
      <c r="EQ14" s="394"/>
      <c r="ER14" s="394"/>
      <c r="EU14" s="386" t="s">
        <v>3207</v>
      </c>
      <c r="EV14" s="387" t="s">
        <v>287</v>
      </c>
      <c r="EW14" s="390">
        <f ca="1">EW46+EW47+EW49+EW50+EW51</f>
        <v>2175.4561780000004</v>
      </c>
      <c r="EX14" s="390">
        <f t="shared" ref="EX14:FB14" ca="1" si="476">EX46+EX47+EX49+EX50+EX51</f>
        <v>2175.4561780000004</v>
      </c>
      <c r="EY14" s="390">
        <f t="shared" ca="1" si="476"/>
        <v>2175.4559800000002</v>
      </c>
      <c r="EZ14" s="390">
        <f t="shared" ca="1" si="476"/>
        <v>2175.4559800000002</v>
      </c>
      <c r="FA14" s="390">
        <f t="shared" ca="1" si="476"/>
        <v>2.9598054291324999E-14</v>
      </c>
      <c r="FB14" s="390">
        <f t="shared" ca="1" si="476"/>
        <v>1.9667561578999999E-4</v>
      </c>
      <c r="FD14" s="896"/>
      <c r="FE14" s="394"/>
      <c r="FF14" s="1338"/>
      <c r="FG14" s="395"/>
      <c r="FH14" s="394"/>
      <c r="FI14" s="394"/>
      <c r="FJ14" s="896"/>
      <c r="FL14" s="386" t="s">
        <v>3207</v>
      </c>
      <c r="FM14" s="387" t="s">
        <v>287</v>
      </c>
      <c r="FN14" s="390">
        <f ca="1">FN46+FN47+FN49+FN50+FN51</f>
        <v>5.5985180495280004E-9</v>
      </c>
      <c r="FO14" s="390">
        <f t="shared" ref="FO14:FX14" ca="1" si="477">FO46+FO47+FO49+FO50+FO51</f>
        <v>5.2328372739939994E-8</v>
      </c>
      <c r="FP14" s="390">
        <f t="shared" ca="1" si="477"/>
        <v>2.9598054291324999E-14</v>
      </c>
      <c r="FQ14" s="390">
        <f t="shared" ca="1" si="477"/>
        <v>1.9667561578999999E-4</v>
      </c>
      <c r="FR14" s="390">
        <f t="shared" ca="1" si="477"/>
        <v>0</v>
      </c>
      <c r="FS14" s="390">
        <f t="shared" ca="1" si="477"/>
        <v>1.9667561705000001E-4</v>
      </c>
      <c r="FT14" s="390">
        <f t="shared" ca="1" si="477"/>
        <v>0</v>
      </c>
      <c r="FU14" s="390">
        <f t="shared" ca="1" si="477"/>
        <v>5.7926920312190008E-8</v>
      </c>
      <c r="FV14" s="390">
        <f t="shared" ca="1" si="477"/>
        <v>0</v>
      </c>
      <c r="FW14" s="390">
        <f t="shared" ca="1" si="477"/>
        <v>0</v>
      </c>
      <c r="FX14" s="390">
        <f t="shared" ca="1" si="477"/>
        <v>5.7916282239000005E-8</v>
      </c>
      <c r="FZ14" s="385"/>
      <c r="GA14" s="394"/>
      <c r="GB14" s="395"/>
      <c r="GC14" s="394"/>
      <c r="GD14" s="395"/>
      <c r="GE14" s="394"/>
      <c r="GF14" s="896"/>
      <c r="GH14" s="386" t="s">
        <v>3207</v>
      </c>
      <c r="GI14" s="387" t="s">
        <v>287</v>
      </c>
      <c r="GJ14" s="390">
        <f ca="1">GJ46+GJ47+GJ49+GJ50+GJ51</f>
        <v>0</v>
      </c>
      <c r="GK14" s="390">
        <f t="shared" ref="GK14:GQ14" ca="1" si="478">GK46+GK47+GK49+GK50+GK51</f>
        <v>0</v>
      </c>
      <c r="GL14" s="390">
        <f t="shared" ca="1" si="478"/>
        <v>0</v>
      </c>
      <c r="GM14" s="390">
        <f t="shared" ca="1" si="478"/>
        <v>0</v>
      </c>
      <c r="GN14" s="390">
        <f t="shared" ca="1" si="478"/>
        <v>0</v>
      </c>
      <c r="GO14" s="390">
        <f t="shared" ca="1" si="478"/>
        <v>0</v>
      </c>
      <c r="GP14" s="390">
        <f t="shared" ca="1" si="478"/>
        <v>0</v>
      </c>
      <c r="GQ14" s="390">
        <f t="shared" ca="1" si="478"/>
        <v>0</v>
      </c>
      <c r="GS14" s="896"/>
      <c r="GT14" s="394"/>
      <c r="GU14" s="1338"/>
      <c r="GV14" s="395"/>
      <c r="GW14" s="394"/>
      <c r="GX14" s="394"/>
      <c r="GY14" s="896"/>
      <c r="HA14" s="386" t="s">
        <v>3207</v>
      </c>
      <c r="HB14" s="387" t="s">
        <v>287</v>
      </c>
      <c r="HC14" s="390">
        <f ca="1">HC46+HC47+HC49+HC50+HC51</f>
        <v>2175.4559800000002</v>
      </c>
      <c r="HD14" s="390">
        <f t="shared" ref="HD14:HH14" ca="1" si="479">HD46+HD47+HD49+HD50+HD51</f>
        <v>2094.460321</v>
      </c>
      <c r="HE14" s="390">
        <f t="shared" ca="1" si="479"/>
        <v>0</v>
      </c>
      <c r="HF14" s="390">
        <f t="shared" ca="1" si="479"/>
        <v>1.021155619224E-7</v>
      </c>
      <c r="HG14" s="390">
        <f t="shared" ca="1" si="479"/>
        <v>80.995656330000003</v>
      </c>
      <c r="HH14" s="390">
        <f t="shared" ca="1" si="479"/>
        <v>2094.460321</v>
      </c>
      <c r="HK14" s="394"/>
      <c r="HL14" s="1338"/>
      <c r="HM14" s="395"/>
      <c r="HN14" s="394"/>
      <c r="HO14" s="394"/>
      <c r="HR14" s="386" t="s">
        <v>3207</v>
      </c>
      <c r="HS14" s="387" t="s">
        <v>287</v>
      </c>
      <c r="HT14" s="390">
        <f ca="1">HT46+HT47+HT49+HT50+HT51</f>
        <v>9.9145765659999991E-4</v>
      </c>
      <c r="HU14" s="390">
        <f t="shared" ref="HU14:IE14" ca="1" si="480">HU46+HU47+HU49+HU50+HU51</f>
        <v>2094.460321</v>
      </c>
      <c r="HV14" s="390">
        <f t="shared" ca="1" si="480"/>
        <v>2094.4613180000001</v>
      </c>
      <c r="HW14" s="390">
        <f t="shared" ca="1" si="480"/>
        <v>2094.4613180000001</v>
      </c>
      <c r="HX14" s="390">
        <f t="shared" ca="1" si="480"/>
        <v>175.1800839</v>
      </c>
      <c r="HY14" s="390">
        <f t="shared" ca="1" si="480"/>
        <v>13.321434329999999</v>
      </c>
      <c r="HZ14" s="390">
        <f t="shared" ca="1" si="480"/>
        <v>1.0725165517485E-8</v>
      </c>
      <c r="IA14" s="390">
        <f t="shared" ca="1" si="480"/>
        <v>4.1444472273000005E-11</v>
      </c>
      <c r="IB14" s="390">
        <f t="shared" ca="1" si="480"/>
        <v>0</v>
      </c>
      <c r="IC14" s="390">
        <f t="shared" ca="1" si="480"/>
        <v>0</v>
      </c>
      <c r="ID14" s="390">
        <f t="shared" ca="1" si="480"/>
        <v>0</v>
      </c>
      <c r="IE14" s="390">
        <f t="shared" ca="1" si="480"/>
        <v>0</v>
      </c>
      <c r="IH14" s="394"/>
      <c r="II14" s="1338"/>
      <c r="IJ14" s="395"/>
      <c r="IK14" s="394"/>
      <c r="IL14" s="394"/>
      <c r="IO14" s="386" t="s">
        <v>3207</v>
      </c>
      <c r="IP14" s="387" t="s">
        <v>287</v>
      </c>
      <c r="IQ14" s="390">
        <f ca="1">IQ46+IQ47+IQ49+IQ50+IQ51</f>
        <v>175.1800839</v>
      </c>
      <c r="IR14" s="390">
        <f t="shared" ref="IR14:JH14" ca="1" si="481">IR46+IR47+IR49+IR50+IR51</f>
        <v>13.321434329999999</v>
      </c>
      <c r="IS14" s="390">
        <f t="shared" ca="1" si="481"/>
        <v>0.26502722619999997</v>
      </c>
      <c r="IT14" s="390">
        <f t="shared" ca="1" si="481"/>
        <v>13.586461539999998</v>
      </c>
      <c r="IU14" s="390">
        <f t="shared" ref="IU14" ca="1" si="482">IU46+IU47+IU49+IU50+IU51</f>
        <v>12.68019737</v>
      </c>
      <c r="IV14" s="390">
        <f t="shared" ca="1" si="481"/>
        <v>7.7688373820000001</v>
      </c>
      <c r="IW14" s="390">
        <f t="shared" ca="1" si="481"/>
        <v>6.3606534190000001</v>
      </c>
      <c r="IX14" s="390">
        <f t="shared" ref="IX14" ca="1" si="483">IX46+IX47+IX49+IX50+IX51</f>
        <v>2.2993382391250002E-10</v>
      </c>
      <c r="IY14" s="390">
        <f t="shared" ca="1" si="481"/>
        <v>0.90626419019999993</v>
      </c>
      <c r="IZ14" s="390">
        <f t="shared" ca="1" si="481"/>
        <v>1.1431567380000001</v>
      </c>
      <c r="JA14" s="390">
        <f t="shared" ca="1" si="481"/>
        <v>6.6256806510000006</v>
      </c>
      <c r="JB14" s="390">
        <f t="shared" ca="1" si="481"/>
        <v>0</v>
      </c>
      <c r="JC14" s="390">
        <f t="shared" ca="1" si="481"/>
        <v>1.1431567380000001</v>
      </c>
      <c r="JD14" s="390">
        <f t="shared" ca="1" si="481"/>
        <v>0</v>
      </c>
      <c r="JE14" s="390">
        <f t="shared" ca="1" si="481"/>
        <v>1.1431567380000001</v>
      </c>
      <c r="JF14" s="390">
        <f t="shared" ca="1" si="481"/>
        <v>0</v>
      </c>
      <c r="JG14" s="390">
        <f t="shared" ca="1" si="481"/>
        <v>0</v>
      </c>
      <c r="JH14" s="390">
        <f t="shared" ca="1" si="481"/>
        <v>4.1444472273000005E-11</v>
      </c>
      <c r="JK14" s="394"/>
      <c r="JL14" s="1338"/>
      <c r="JM14" s="395"/>
      <c r="JN14" s="394"/>
      <c r="JO14" s="394"/>
      <c r="JR14" s="386" t="s">
        <v>3207</v>
      </c>
      <c r="JS14" s="387" t="s">
        <v>287</v>
      </c>
      <c r="JT14" s="390">
        <f ca="1">JT46+JT47+JT49+JT50+JT51</f>
        <v>0</v>
      </c>
      <c r="JU14" s="390">
        <f t="shared" ref="JU14:KC14" ca="1" si="484">JU46+JU47+JU49+JU50+JU51</f>
        <v>0</v>
      </c>
      <c r="JV14" s="390">
        <f t="shared" ca="1" si="484"/>
        <v>0</v>
      </c>
      <c r="JW14" s="390">
        <f t="shared" ca="1" si="484"/>
        <v>0</v>
      </c>
      <c r="JX14" s="390">
        <f t="shared" ca="1" si="484"/>
        <v>0</v>
      </c>
      <c r="JY14" s="390">
        <f t="shared" ca="1" si="484"/>
        <v>0</v>
      </c>
      <c r="JZ14" s="390">
        <f t="shared" ca="1" si="484"/>
        <v>0</v>
      </c>
      <c r="KA14" s="390">
        <f t="shared" ca="1" si="484"/>
        <v>0</v>
      </c>
      <c r="KB14" s="390">
        <f t="shared" ca="1" si="484"/>
        <v>0</v>
      </c>
      <c r="KC14" s="390">
        <f t="shared" ca="1" si="484"/>
        <v>0</v>
      </c>
      <c r="KE14" s="395"/>
      <c r="KF14" s="394"/>
      <c r="KG14" s="394"/>
      <c r="KJ14" s="386" t="s">
        <v>3207</v>
      </c>
      <c r="KK14" s="387" t="s">
        <v>287</v>
      </c>
      <c r="KL14" s="390">
        <f ca="1">KL46+KL47+KL49+KL50+KL51</f>
        <v>0</v>
      </c>
      <c r="KM14" s="390">
        <f t="shared" ref="KM14:KR14" ca="1" si="485">KM46+KM47+KM49+KM50+KM51</f>
        <v>0</v>
      </c>
      <c r="KN14" s="390">
        <f t="shared" ca="1" si="485"/>
        <v>0</v>
      </c>
      <c r="KO14" s="390">
        <f t="shared" ca="1" si="485"/>
        <v>0</v>
      </c>
      <c r="KP14" s="390">
        <f t="shared" ca="1" si="485"/>
        <v>0</v>
      </c>
      <c r="KQ14" s="390">
        <f t="shared" ca="1" si="485"/>
        <v>0</v>
      </c>
      <c r="KR14" s="390">
        <f t="shared" ca="1" si="485"/>
        <v>0</v>
      </c>
      <c r="KT14" s="395"/>
      <c r="KU14" s="394"/>
      <c r="KV14" s="394"/>
      <c r="KY14" s="386" t="s">
        <v>3207</v>
      </c>
      <c r="KZ14" s="387" t="s">
        <v>287</v>
      </c>
      <c r="LA14" s="390">
        <f ca="1">LA46+LA47+LA49+LA50+LA51</f>
        <v>1.021155619224E-7</v>
      </c>
      <c r="LB14" s="390">
        <f t="shared" ref="LB14:LK14" ca="1" si="486">LB46+LB47+LB49+LB50+LB51</f>
        <v>1.0725165517485E-8</v>
      </c>
      <c r="LC14" s="390">
        <f t="shared" ca="1" si="486"/>
        <v>1.1284072763560001E-7</v>
      </c>
      <c r="LD14" s="390">
        <f t="shared" ca="1" si="486"/>
        <v>1.1284072763560001E-7</v>
      </c>
      <c r="LE14" s="390">
        <f t="shared" ca="1" si="486"/>
        <v>0</v>
      </c>
      <c r="LF14" s="390">
        <f t="shared" ca="1" si="486"/>
        <v>0</v>
      </c>
      <c r="LG14" s="390">
        <f t="shared" ca="1" si="486"/>
        <v>0</v>
      </c>
      <c r="LH14" s="390">
        <f t="shared" ca="1" si="486"/>
        <v>0</v>
      </c>
      <c r="LI14" s="390">
        <f t="shared" ca="1" si="486"/>
        <v>0</v>
      </c>
      <c r="LJ14" s="390">
        <f t="shared" ca="1" si="486"/>
        <v>0</v>
      </c>
      <c r="LK14" s="390">
        <f t="shared" ca="1" si="486"/>
        <v>0</v>
      </c>
      <c r="LN14" s="394"/>
      <c r="LO14" s="1338"/>
      <c r="LP14" s="395"/>
      <c r="LQ14" s="394"/>
      <c r="LR14" s="394"/>
      <c r="LU14" s="386" t="s">
        <v>3207</v>
      </c>
      <c r="LV14" s="387" t="s">
        <v>287</v>
      </c>
      <c r="LW14" s="390">
        <f ca="1">LW46+LW47+LW49+LW50+LW51</f>
        <v>0</v>
      </c>
      <c r="LX14" s="390">
        <f ca="1">LX46+LX47+LX49+LX50+LX51</f>
        <v>0</v>
      </c>
      <c r="LY14" s="390">
        <f t="shared" ref="LY14:MO14" ca="1" si="487">LY46+LY47+LY49+LY50+LY51</f>
        <v>80.995656330000003</v>
      </c>
      <c r="LZ14" s="390">
        <f t="shared" ca="1" si="487"/>
        <v>0.90626419019999993</v>
      </c>
      <c r="MA14" s="390">
        <f t="shared" ca="1" si="487"/>
        <v>81.901920540000006</v>
      </c>
      <c r="MB14" s="390">
        <f t="shared" ca="1" si="487"/>
        <v>1.1284072763560001E-7</v>
      </c>
      <c r="MC14" s="390">
        <f t="shared" ca="1" si="487"/>
        <v>0</v>
      </c>
      <c r="MD14" s="390">
        <f t="shared" ca="1" si="487"/>
        <v>0</v>
      </c>
      <c r="ME14" s="390">
        <f t="shared" ca="1" si="487"/>
        <v>0</v>
      </c>
      <c r="MF14" s="390">
        <f t="shared" ca="1" si="487"/>
        <v>0</v>
      </c>
      <c r="MG14" s="390">
        <f t="shared" ca="1" si="487"/>
        <v>0</v>
      </c>
      <c r="MH14" s="390">
        <f t="shared" ref="MH14:MI14" ca="1" si="488">MH46+MH47+MH49+MH50+MH51</f>
        <v>0</v>
      </c>
      <c r="MI14" s="390">
        <f t="shared" ca="1" si="488"/>
        <v>0</v>
      </c>
      <c r="MJ14" s="390">
        <f t="shared" ca="1" si="487"/>
        <v>0</v>
      </c>
      <c r="MK14" s="390">
        <f t="shared" ca="1" si="487"/>
        <v>0</v>
      </c>
      <c r="ML14" s="390">
        <f t="shared" ca="1" si="487"/>
        <v>0</v>
      </c>
      <c r="MM14" s="390">
        <f t="shared" ca="1" si="487"/>
        <v>0</v>
      </c>
      <c r="MN14" s="390">
        <f t="shared" ca="1" si="487"/>
        <v>0</v>
      </c>
      <c r="MO14" s="390">
        <f t="shared" ca="1" si="487"/>
        <v>0</v>
      </c>
      <c r="MQ14" s="896"/>
      <c r="MR14" s="394"/>
      <c r="MS14" s="1338"/>
      <c r="MT14" s="395"/>
      <c r="MU14" s="394"/>
      <c r="MV14" s="394"/>
      <c r="MY14" s="386" t="s">
        <v>3207</v>
      </c>
      <c r="MZ14" s="387" t="s">
        <v>287</v>
      </c>
      <c r="NA14" s="390">
        <f ca="1">NA46+NA47+NA49+NA50+NA51</f>
        <v>8.9379073254555004E-4</v>
      </c>
      <c r="NB14" s="390">
        <f t="shared" ref="NB14:NP14" ca="1" si="489">NB46+NB47+NB49+NB50+NB51</f>
        <v>2.1190277759899999E-9</v>
      </c>
      <c r="NC14" s="390">
        <f t="shared" ca="1" si="489"/>
        <v>8.9378851439999999E-4</v>
      </c>
      <c r="ND14" s="390">
        <f t="shared" ca="1" si="489"/>
        <v>0</v>
      </c>
      <c r="NE14" s="390">
        <f t="shared" ca="1" si="489"/>
        <v>0</v>
      </c>
      <c r="NF14" s="390">
        <f t="shared" ca="1" si="489"/>
        <v>0</v>
      </c>
      <c r="NG14" s="390">
        <f t="shared" ca="1" si="489"/>
        <v>0</v>
      </c>
      <c r="NH14" s="390">
        <f t="shared" ca="1" si="489"/>
        <v>0</v>
      </c>
      <c r="NI14" s="390">
        <f t="shared" ca="1" si="489"/>
        <v>0</v>
      </c>
      <c r="NJ14" s="390">
        <f t="shared" ca="1" si="489"/>
        <v>0</v>
      </c>
      <c r="NK14" s="390">
        <f t="shared" ca="1" si="489"/>
        <v>0</v>
      </c>
      <c r="NL14" s="390">
        <f t="shared" ca="1" si="489"/>
        <v>0</v>
      </c>
      <c r="NM14" s="390">
        <f t="shared" ca="1" si="489"/>
        <v>0</v>
      </c>
      <c r="NN14" s="390">
        <f t="shared" ca="1" si="489"/>
        <v>0</v>
      </c>
      <c r="NO14" s="390">
        <f t="shared" ca="1" si="489"/>
        <v>0</v>
      </c>
      <c r="NP14" s="390">
        <f t="shared" ca="1" si="489"/>
        <v>0</v>
      </c>
      <c r="NR14" s="896"/>
      <c r="NS14" s="394"/>
      <c r="NT14" s="1338"/>
      <c r="NU14" s="395"/>
      <c r="NV14" s="394"/>
      <c r="NW14" s="394"/>
      <c r="NX14" s="896"/>
      <c r="NZ14" s="394"/>
      <c r="OA14" s="395"/>
      <c r="OB14" s="394"/>
      <c r="OC14" s="394"/>
      <c r="OD14" s="896"/>
      <c r="OF14" s="386" t="s">
        <v>3207</v>
      </c>
      <c r="OG14" s="387" t="s">
        <v>287</v>
      </c>
      <c r="OH14" s="390">
        <f ca="1">OH46+OH47+OH49+OH50+OH51</f>
        <v>0</v>
      </c>
      <c r="OI14" s="390">
        <f t="shared" ref="OI14:OO14" ca="1" si="490">OI46+OI47+OI49+OI50+OI51</f>
        <v>0</v>
      </c>
      <c r="OJ14" s="390">
        <f t="shared" ca="1" si="490"/>
        <v>0</v>
      </c>
      <c r="OK14" s="390">
        <f t="shared" ca="1" si="490"/>
        <v>0</v>
      </c>
      <c r="OL14" s="390">
        <f t="shared" ca="1" si="490"/>
        <v>0</v>
      </c>
      <c r="OM14" s="390">
        <f t="shared" ca="1" si="490"/>
        <v>0</v>
      </c>
      <c r="ON14" s="390">
        <f t="shared" ca="1" si="490"/>
        <v>0</v>
      </c>
      <c r="OO14" s="390">
        <f t="shared" ca="1" si="490"/>
        <v>0</v>
      </c>
      <c r="OQ14" s="896"/>
      <c r="OR14" s="394"/>
      <c r="OS14" s="1338"/>
      <c r="OT14" s="395"/>
      <c r="OU14" s="394"/>
      <c r="OV14" s="394"/>
      <c r="OW14" s="896"/>
      <c r="OY14" s="386" t="s">
        <v>3207</v>
      </c>
      <c r="OZ14" s="387" t="s">
        <v>287</v>
      </c>
      <c r="PA14" s="390">
        <f ca="1">PA46+PA47+PA49+PA50+PA51</f>
        <v>0</v>
      </c>
      <c r="PB14" s="390">
        <f t="shared" ref="PB14:PK14" ca="1" si="491">PB46+PB47+PB49+PB50+PB51</f>
        <v>0</v>
      </c>
      <c r="PC14" s="390">
        <f t="shared" ca="1" si="491"/>
        <v>0</v>
      </c>
      <c r="PD14" s="390">
        <f t="shared" ca="1" si="491"/>
        <v>0</v>
      </c>
      <c r="PE14" s="390">
        <f t="shared" ca="1" si="491"/>
        <v>0</v>
      </c>
      <c r="PF14" s="390">
        <f t="shared" ca="1" si="491"/>
        <v>0</v>
      </c>
      <c r="PG14" s="390">
        <f t="shared" ca="1" si="491"/>
        <v>0</v>
      </c>
      <c r="PH14" s="390">
        <f t="shared" ca="1" si="491"/>
        <v>0</v>
      </c>
      <c r="PI14" s="390">
        <f t="shared" ca="1" si="491"/>
        <v>0</v>
      </c>
      <c r="PJ14" s="390">
        <f t="shared" ca="1" si="491"/>
        <v>0</v>
      </c>
      <c r="PK14" s="390">
        <f t="shared" ca="1" si="491"/>
        <v>0</v>
      </c>
      <c r="PN14" s="394"/>
      <c r="PO14" s="1338"/>
      <c r="PP14" s="395"/>
      <c r="PQ14" s="394"/>
      <c r="PR14" s="394"/>
      <c r="PU14" s="386" t="s">
        <v>3207</v>
      </c>
      <c r="PV14" s="387" t="s">
        <v>287</v>
      </c>
      <c r="PW14" s="390">
        <f ca="1">PW46+PW47+PW49+PW50+PW51</f>
        <v>0</v>
      </c>
      <c r="PX14" s="390">
        <f t="shared" ref="PX14:PZ14" ca="1" si="492">PX46+PX47+PX49+PX50+PX51</f>
        <v>0</v>
      </c>
      <c r="PY14" s="390">
        <f t="shared" ca="1" si="492"/>
        <v>0</v>
      </c>
      <c r="PZ14" s="390">
        <f t="shared" ca="1" si="492"/>
        <v>0</v>
      </c>
      <c r="QB14" s="896"/>
      <c r="QC14" s="394"/>
      <c r="QD14" s="1338"/>
      <c r="QE14" s="395"/>
      <c r="QF14" s="394"/>
      <c r="QG14" s="394"/>
      <c r="QH14" s="896"/>
      <c r="QI14" s="896"/>
      <c r="QJ14" s="896"/>
      <c r="QK14" s="896"/>
    </row>
    <row r="15" spans="1:453" x14ac:dyDescent="0.25">
      <c r="A15" s="1315"/>
      <c r="H15" s="386" t="s">
        <v>3208</v>
      </c>
      <c r="I15" s="387" t="s">
        <v>287</v>
      </c>
      <c r="J15" s="390">
        <f ca="1">J52+J53+J54+J55+J56</f>
        <v>0</v>
      </c>
      <c r="K15" s="390">
        <f ca="1">K52+K53+K54+K55+K56</f>
        <v>0</v>
      </c>
      <c r="R15" s="386" t="s">
        <v>3208</v>
      </c>
      <c r="S15" s="387" t="s">
        <v>287</v>
      </c>
      <c r="T15" s="390">
        <f ca="1">T52+T53+T54+T55+T56</f>
        <v>0</v>
      </c>
      <c r="U15" s="390">
        <f t="shared" ref="U15:AD15" ca="1" si="493">U52+U53+U54+U55+U56</f>
        <v>0</v>
      </c>
      <c r="V15" s="390">
        <f t="shared" ca="1" si="493"/>
        <v>8.2984564312300004E-5</v>
      </c>
      <c r="W15" s="390">
        <f t="shared" ca="1" si="493"/>
        <v>0</v>
      </c>
      <c r="X15" s="390">
        <f t="shared" ca="1" si="493"/>
        <v>0</v>
      </c>
      <c r="Y15" s="390">
        <f t="shared" ca="1" si="493"/>
        <v>566.35520340000005</v>
      </c>
      <c r="Z15" s="390">
        <f t="shared" ca="1" si="493"/>
        <v>1.8641880249899997E-4</v>
      </c>
      <c r="AA15" s="390">
        <f t="shared" ca="1" si="493"/>
        <v>566.35501709999994</v>
      </c>
      <c r="AB15" s="390">
        <f t="shared" ca="1" si="493"/>
        <v>0</v>
      </c>
      <c r="AC15" s="390">
        <f t="shared" ca="1" si="493"/>
        <v>8.2984564312300004E-5</v>
      </c>
      <c r="AD15" s="390">
        <f t="shared" ca="1" si="493"/>
        <v>0</v>
      </c>
      <c r="AF15" s="386" t="s">
        <v>1952</v>
      </c>
      <c r="AG15" s="1337">
        <f t="shared" ca="1" si="1"/>
        <v>29.999904000000001</v>
      </c>
      <c r="AH15" s="1467">
        <f t="shared" ca="1" si="69"/>
        <v>2.5795274290627692E-2</v>
      </c>
      <c r="AI15" s="385" t="s">
        <v>332</v>
      </c>
      <c r="AK15" s="386" t="s">
        <v>3208</v>
      </c>
      <c r="AL15" s="387" t="s">
        <v>287</v>
      </c>
      <c r="AM15" s="390">
        <f ca="1">AM52+AM53+AM54+AM55+AM56</f>
        <v>0</v>
      </c>
      <c r="AN15" s="390">
        <f t="shared" ref="AN15:BB15" ca="1" si="494">AN52+AN53+AN54+AN55+AN56</f>
        <v>0</v>
      </c>
      <c r="AO15" s="390">
        <f t="shared" ref="AO15:AS15" ca="1" si="495">AO52+AO53+AO54+AO55+AO56</f>
        <v>566.35501709999994</v>
      </c>
      <c r="AP15" s="390">
        <f t="shared" ca="1" si="495"/>
        <v>566.35501709999994</v>
      </c>
      <c r="AQ15" s="390">
        <f t="shared" ca="1" si="495"/>
        <v>2.07538791537E-5</v>
      </c>
      <c r="AR15" s="390">
        <f t="shared" ca="1" si="495"/>
        <v>4.5728803075929999E-10</v>
      </c>
      <c r="AS15" s="390">
        <f t="shared" ca="1" si="495"/>
        <v>1.86418345639E-4</v>
      </c>
      <c r="AT15" s="390">
        <f t="shared" ca="1" si="494"/>
        <v>1.0576802450061001E-11</v>
      </c>
      <c r="AU15" s="390">
        <f t="shared" ca="1" si="494"/>
        <v>2.0754325804099999E-5</v>
      </c>
      <c r="AV15" s="390">
        <f t="shared" ca="1" si="494"/>
        <v>566.35499670000002</v>
      </c>
      <c r="AW15" s="390">
        <f t="shared" ca="1" si="494"/>
        <v>1.0576802450061001E-11</v>
      </c>
      <c r="AX15" s="390">
        <f t="shared" ca="1" si="494"/>
        <v>2.0717268158099999E-4</v>
      </c>
      <c r="AY15" s="390">
        <f t="shared" ca="1" si="494"/>
        <v>0</v>
      </c>
      <c r="AZ15" s="390">
        <f t="shared" ca="1" si="494"/>
        <v>0</v>
      </c>
      <c r="BA15" s="390">
        <f t="shared" ca="1" si="494"/>
        <v>0</v>
      </c>
      <c r="BB15" s="390">
        <f t="shared" ca="1" si="494"/>
        <v>566.35499670000002</v>
      </c>
      <c r="BE15" s="394"/>
      <c r="BF15" s="1338"/>
      <c r="BG15" s="395"/>
      <c r="BH15" s="394"/>
      <c r="BI15" s="394"/>
      <c r="BL15" s="386" t="s">
        <v>3208</v>
      </c>
      <c r="BM15" s="387" t="s">
        <v>287</v>
      </c>
      <c r="BN15" s="390">
        <f ca="1">BN52+BN53+BN54+BN55+BN56</f>
        <v>161.18897192999998</v>
      </c>
      <c r="BO15" s="390">
        <f t="shared" ref="BO15:BR15" ca="1" si="496">BO52+BO53+BO54+BO55+BO56</f>
        <v>161.18897192999998</v>
      </c>
      <c r="BP15" s="390">
        <f t="shared" ca="1" si="496"/>
        <v>4.9746661143590006E-11</v>
      </c>
      <c r="BQ15" s="390">
        <f t="shared" ca="1" si="496"/>
        <v>0</v>
      </c>
      <c r="BR15" s="390">
        <f t="shared" ca="1" si="496"/>
        <v>0</v>
      </c>
      <c r="BU15" s="394"/>
      <c r="BV15" s="1338"/>
      <c r="BW15" s="395"/>
      <c r="BX15" s="394"/>
      <c r="BY15" s="394"/>
      <c r="CB15" s="386" t="s">
        <v>3208</v>
      </c>
      <c r="CC15" s="387" t="s">
        <v>287</v>
      </c>
      <c r="CD15" s="390">
        <f ca="1">CD52+CD53+CD54+CD55+CD56</f>
        <v>566.35499670000002</v>
      </c>
      <c r="CE15" s="390">
        <f t="shared" ref="CE15:CO15" ca="1" si="497">CE52+CE53+CE54+CE55+CE56</f>
        <v>566.35499670000002</v>
      </c>
      <c r="CF15" s="390">
        <f t="shared" ca="1" si="497"/>
        <v>161.18897192999998</v>
      </c>
      <c r="CG15" s="390">
        <f t="shared" ca="1" si="497"/>
        <v>161.18897192999998</v>
      </c>
      <c r="CH15" s="390">
        <f t="shared" ca="1" si="497"/>
        <v>566.35499670000002</v>
      </c>
      <c r="CI15" s="390">
        <f t="shared" ca="1" si="497"/>
        <v>0</v>
      </c>
      <c r="CJ15" s="390">
        <f t="shared" ca="1" si="497"/>
        <v>0</v>
      </c>
      <c r="CK15" s="390">
        <f t="shared" ca="1" si="497"/>
        <v>1611.8897192999998</v>
      </c>
      <c r="CL15" s="390">
        <f t="shared" ca="1" si="497"/>
        <v>4.8218746708019995E-10</v>
      </c>
      <c r="CM15" s="390">
        <f t="shared" ca="1" si="497"/>
        <v>0</v>
      </c>
      <c r="CN15" s="390">
        <f t="shared" ca="1" si="497"/>
        <v>1611.8897192999998</v>
      </c>
      <c r="CO15" s="390">
        <f t="shared" ca="1" si="497"/>
        <v>4.6732016300000002E-10</v>
      </c>
      <c r="CQ15" s="394"/>
      <c r="CR15" s="394"/>
      <c r="CS15" s="395"/>
      <c r="CT15" s="394"/>
      <c r="CU15" s="395"/>
      <c r="CV15" s="394"/>
      <c r="CW15" s="896"/>
      <c r="CY15" s="386" t="s">
        <v>3208</v>
      </c>
      <c r="CZ15" s="387" t="s">
        <v>287</v>
      </c>
      <c r="DA15" s="390">
        <f ca="1">DA52+DA53+DA54+DA55+DA56</f>
        <v>0</v>
      </c>
      <c r="DB15" s="390">
        <f t="shared" ref="DB15:DJ15" ca="1" si="498">DB52+DB53+DB54+DB55+DB56</f>
        <v>0</v>
      </c>
      <c r="DC15" s="390">
        <f t="shared" ca="1" si="498"/>
        <v>0</v>
      </c>
      <c r="DD15" s="390">
        <f t="shared" ca="1" si="498"/>
        <v>0</v>
      </c>
      <c r="DE15" s="390">
        <f t="shared" ca="1" si="498"/>
        <v>0</v>
      </c>
      <c r="DF15" s="390">
        <f t="shared" ca="1" si="498"/>
        <v>0</v>
      </c>
      <c r="DG15" s="390">
        <f t="shared" ca="1" si="498"/>
        <v>0</v>
      </c>
      <c r="DH15" s="390">
        <f t="shared" ca="1" si="498"/>
        <v>0</v>
      </c>
      <c r="DI15" s="390">
        <f t="shared" ca="1" si="498"/>
        <v>0</v>
      </c>
      <c r="DJ15" s="390">
        <f t="shared" ca="1" si="498"/>
        <v>0</v>
      </c>
      <c r="DM15" s="394"/>
      <c r="DN15" s="1338"/>
      <c r="DO15" s="395"/>
      <c r="DP15" s="394"/>
      <c r="DQ15" s="394"/>
      <c r="DT15" s="386" t="s">
        <v>3208</v>
      </c>
      <c r="DU15" s="387" t="s">
        <v>287</v>
      </c>
      <c r="DV15" s="390">
        <f ca="1">DV52+DV53+DV54+DV55+DV56</f>
        <v>0</v>
      </c>
      <c r="DW15" s="390">
        <f t="shared" ref="DW15:EK15" ca="1" si="499">DW52+DW53+DW54+DW55+DW56</f>
        <v>0</v>
      </c>
      <c r="DX15" s="390">
        <f t="shared" ca="1" si="499"/>
        <v>0</v>
      </c>
      <c r="DY15" s="390">
        <f t="shared" ca="1" si="499"/>
        <v>0</v>
      </c>
      <c r="DZ15" s="390">
        <f t="shared" ca="1" si="499"/>
        <v>0</v>
      </c>
      <c r="EA15" s="390">
        <f t="shared" ca="1" si="499"/>
        <v>0</v>
      </c>
      <c r="EB15" s="390">
        <f t="shared" ca="1" si="499"/>
        <v>0</v>
      </c>
      <c r="EC15" s="390">
        <f t="shared" ca="1" si="499"/>
        <v>0</v>
      </c>
      <c r="ED15" s="390">
        <f t="shared" ca="1" si="499"/>
        <v>0</v>
      </c>
      <c r="EE15" s="390">
        <f t="shared" ca="1" si="499"/>
        <v>0</v>
      </c>
      <c r="EF15" s="390">
        <f t="shared" ca="1" si="499"/>
        <v>0</v>
      </c>
      <c r="EG15" s="390">
        <f t="shared" ca="1" si="499"/>
        <v>0</v>
      </c>
      <c r="EH15" s="390">
        <f t="shared" ca="1" si="499"/>
        <v>0</v>
      </c>
      <c r="EI15" s="390">
        <f t="shared" ca="1" si="499"/>
        <v>0</v>
      </c>
      <c r="EJ15" s="390">
        <f t="shared" ref="EJ15" ca="1" si="500">EJ52+EJ53+EJ54+EJ55+EJ56</f>
        <v>0</v>
      </c>
      <c r="EK15" s="390">
        <f t="shared" ca="1" si="499"/>
        <v>0</v>
      </c>
      <c r="EM15" s="394"/>
      <c r="EN15" s="394"/>
      <c r="EO15" s="394"/>
      <c r="EP15" s="394"/>
      <c r="EQ15" s="394"/>
      <c r="ER15" s="394"/>
      <c r="ES15" s="896"/>
      <c r="EU15" s="386" t="s">
        <v>3208</v>
      </c>
      <c r="EV15" s="387" t="s">
        <v>287</v>
      </c>
      <c r="EW15" s="390">
        <f ca="1">EW52+EW53+EW54+EW55+EW56</f>
        <v>1611.8897192999998</v>
      </c>
      <c r="EX15" s="390">
        <f t="shared" ref="EX15:FB15" ca="1" si="501">EX52+EX53+EX54+EX55+EX56</f>
        <v>1611.8897192999998</v>
      </c>
      <c r="EY15" s="390">
        <f t="shared" ca="1" si="501"/>
        <v>1611.8896349999998</v>
      </c>
      <c r="EZ15" s="390">
        <f t="shared" ca="1" si="501"/>
        <v>1611.8896349999998</v>
      </c>
      <c r="FA15" s="390">
        <f t="shared" ca="1" si="501"/>
        <v>4.6324203720407001E-16</v>
      </c>
      <c r="FB15" s="390">
        <f t="shared" ca="1" si="501"/>
        <v>8.2984563930900001E-5</v>
      </c>
      <c r="FD15" s="896"/>
      <c r="FE15" s="394"/>
      <c r="FF15" s="1338"/>
      <c r="FG15" s="395"/>
      <c r="FH15" s="394"/>
      <c r="FI15" s="394"/>
      <c r="FJ15" s="896"/>
      <c r="FL15" s="386" t="s">
        <v>3208</v>
      </c>
      <c r="FM15" s="387" t="s">
        <v>287</v>
      </c>
      <c r="FN15" s="390">
        <f ca="1">FN52+FN53+FN54+FN55+FN56</f>
        <v>4.9746661143590006E-11</v>
      </c>
      <c r="FO15" s="390">
        <f t="shared" ref="FO15:FX15" ca="1" si="502">FO52+FO53+FO54+FO55+FO56</f>
        <v>4.8218746708019995E-10</v>
      </c>
      <c r="FP15" s="390">
        <f t="shared" ca="1" si="502"/>
        <v>4.6324203720407001E-16</v>
      </c>
      <c r="FQ15" s="390">
        <f t="shared" ca="1" si="502"/>
        <v>8.2984563930900001E-5</v>
      </c>
      <c r="FR15" s="390">
        <f t="shared" ca="1" si="502"/>
        <v>0</v>
      </c>
      <c r="FS15" s="390">
        <f t="shared" ca="1" si="502"/>
        <v>8.2984564312300004E-5</v>
      </c>
      <c r="FT15" s="390">
        <f t="shared" ca="1" si="502"/>
        <v>0</v>
      </c>
      <c r="FU15" s="390">
        <f t="shared" ca="1" si="502"/>
        <v>5.319345915479E-10</v>
      </c>
      <c r="FV15" s="390">
        <f t="shared" ca="1" si="502"/>
        <v>0</v>
      </c>
      <c r="FW15" s="390">
        <f t="shared" ca="1" si="502"/>
        <v>0</v>
      </c>
      <c r="FX15" s="390">
        <f t="shared" ca="1" si="502"/>
        <v>4.6732016300000002E-10</v>
      </c>
      <c r="FZ15" s="385"/>
      <c r="GA15" s="394"/>
      <c r="GB15" s="395"/>
      <c r="GC15" s="394"/>
      <c r="GD15" s="395"/>
      <c r="GE15" s="394"/>
      <c r="GF15" s="896"/>
      <c r="GH15" s="386" t="s">
        <v>3208</v>
      </c>
      <c r="GI15" s="387" t="s">
        <v>287</v>
      </c>
      <c r="GJ15" s="390">
        <f ca="1">GJ52+GJ53+GJ54+GJ55+GJ56</f>
        <v>0</v>
      </c>
      <c r="GK15" s="390">
        <f t="shared" ref="GK15:GQ15" ca="1" si="503">GK52+GK53+GK54+GK55+GK56</f>
        <v>0</v>
      </c>
      <c r="GL15" s="390">
        <f t="shared" ca="1" si="503"/>
        <v>0</v>
      </c>
      <c r="GM15" s="390">
        <f t="shared" ca="1" si="503"/>
        <v>0</v>
      </c>
      <c r="GN15" s="390">
        <f t="shared" ca="1" si="503"/>
        <v>0</v>
      </c>
      <c r="GO15" s="390">
        <f t="shared" ca="1" si="503"/>
        <v>0</v>
      </c>
      <c r="GP15" s="390">
        <f t="shared" ca="1" si="503"/>
        <v>0</v>
      </c>
      <c r="GQ15" s="390">
        <f t="shared" ca="1" si="503"/>
        <v>0</v>
      </c>
      <c r="GS15" s="896"/>
      <c r="GT15" s="394"/>
      <c r="GU15" s="1338"/>
      <c r="GV15" s="395"/>
      <c r="GW15" s="394"/>
      <c r="GX15" s="394"/>
      <c r="GY15" s="896"/>
      <c r="HA15" s="386" t="s">
        <v>3208</v>
      </c>
      <c r="HB15" s="387" t="s">
        <v>287</v>
      </c>
      <c r="HC15" s="390">
        <f ca="1">HC52+HC53+HC54+HC55+HC56</f>
        <v>1611.8896349999998</v>
      </c>
      <c r="HD15" s="390">
        <f t="shared" ref="HD15:HH15" ca="1" si="504">HD52+HD53+HD54+HD55+HD56</f>
        <v>1551.8764388</v>
      </c>
      <c r="HE15" s="390">
        <f t="shared" ca="1" si="504"/>
        <v>0</v>
      </c>
      <c r="HF15" s="390">
        <f t="shared" ca="1" si="504"/>
        <v>3.5100606191339998E-9</v>
      </c>
      <c r="HG15" s="390">
        <f t="shared" ca="1" si="504"/>
        <v>60.013192701999991</v>
      </c>
      <c r="HH15" s="390">
        <f t="shared" ca="1" si="504"/>
        <v>1551.8764388</v>
      </c>
      <c r="HK15" s="394"/>
      <c r="HL15" s="1338"/>
      <c r="HM15" s="395"/>
      <c r="HN15" s="394"/>
      <c r="HO15" s="394"/>
      <c r="HR15" s="386" t="s">
        <v>3208</v>
      </c>
      <c r="HS15" s="387" t="s">
        <v>287</v>
      </c>
      <c r="HT15" s="390">
        <f ca="1">HT52+HT53+HT54+HT55+HT56</f>
        <v>2.0717268158099999E-4</v>
      </c>
      <c r="HU15" s="390">
        <f t="shared" ref="HU15:IE15" ca="1" si="505">HU52+HU53+HU54+HU55+HU56</f>
        <v>1551.8764388</v>
      </c>
      <c r="HV15" s="390">
        <f t="shared" ca="1" si="505"/>
        <v>1551.8766440000002</v>
      </c>
      <c r="HW15" s="390">
        <f t="shared" ca="1" si="505"/>
        <v>1551.8766440000002</v>
      </c>
      <c r="HX15" s="390">
        <f t="shared" ca="1" si="505"/>
        <v>129.798473325</v>
      </c>
      <c r="HY15" s="390">
        <f t="shared" ca="1" si="505"/>
        <v>9.8704247718999998</v>
      </c>
      <c r="HZ15" s="390">
        <f t="shared" ca="1" si="505"/>
        <v>1.320377386215E-10</v>
      </c>
      <c r="IA15" s="390">
        <f t="shared" ca="1" si="505"/>
        <v>1.176605581651E-11</v>
      </c>
      <c r="IB15" s="390">
        <f t="shared" ca="1" si="505"/>
        <v>0</v>
      </c>
      <c r="IC15" s="390">
        <f t="shared" ca="1" si="505"/>
        <v>0</v>
      </c>
      <c r="ID15" s="390">
        <f t="shared" ca="1" si="505"/>
        <v>0</v>
      </c>
      <c r="IE15" s="390">
        <f t="shared" ca="1" si="505"/>
        <v>0</v>
      </c>
      <c r="IH15" s="394"/>
      <c r="II15" s="1338"/>
      <c r="IJ15" s="395"/>
      <c r="IK15" s="394"/>
      <c r="IL15" s="394"/>
      <c r="IO15" s="386" t="s">
        <v>3208</v>
      </c>
      <c r="IP15" s="387" t="s">
        <v>287</v>
      </c>
      <c r="IQ15" s="390">
        <f ca="1">IQ52+IQ53+IQ54+IQ55+IQ56</f>
        <v>129.798473325</v>
      </c>
      <c r="IR15" s="390">
        <f t="shared" ref="IR15:JH15" ca="1" si="506">IR52+IR53+IR54+IR55+IR56</f>
        <v>9.8704247718999998</v>
      </c>
      <c r="IS15" s="390">
        <f t="shared" ca="1" si="506"/>
        <v>0.23731517369999999</v>
      </c>
      <c r="IT15" s="390">
        <f t="shared" ca="1" si="506"/>
        <v>10.1077399371</v>
      </c>
      <c r="IU15" s="390">
        <f t="shared" ref="IU15" ca="1" si="507">IU52+IU53+IU54+IU55+IU56</f>
        <v>9.4335185692000003</v>
      </c>
      <c r="IV15" s="390">
        <f t="shared" ca="1" si="506"/>
        <v>6.9565041338000011</v>
      </c>
      <c r="IW15" s="390">
        <f t="shared" ca="1" si="506"/>
        <v>5.6955641715000001</v>
      </c>
      <c r="IX15" s="390">
        <f t="shared" ref="IX15" ca="1" si="508">IX52+IX53+IX54+IX55+IX56</f>
        <v>2.2545070977820002E-12</v>
      </c>
      <c r="IY15" s="390">
        <f t="shared" ca="1" si="506"/>
        <v>0.67422137193999998</v>
      </c>
      <c r="IZ15" s="390">
        <f t="shared" ca="1" si="506"/>
        <v>1.0236247939500001</v>
      </c>
      <c r="JA15" s="390">
        <f t="shared" ca="1" si="506"/>
        <v>5.9328793523999996</v>
      </c>
      <c r="JB15" s="390">
        <f t="shared" ca="1" si="506"/>
        <v>0</v>
      </c>
      <c r="JC15" s="390">
        <f t="shared" ca="1" si="506"/>
        <v>1.0236247939500001</v>
      </c>
      <c r="JD15" s="390">
        <f t="shared" ca="1" si="506"/>
        <v>0</v>
      </c>
      <c r="JE15" s="390">
        <f t="shared" ca="1" si="506"/>
        <v>1.0236247939500001</v>
      </c>
      <c r="JF15" s="390">
        <f t="shared" ca="1" si="506"/>
        <v>0</v>
      </c>
      <c r="JG15" s="390">
        <f t="shared" ca="1" si="506"/>
        <v>0</v>
      </c>
      <c r="JH15" s="390">
        <f t="shared" ca="1" si="506"/>
        <v>1.176605581651E-11</v>
      </c>
      <c r="JK15" s="394"/>
      <c r="JL15" s="1338"/>
      <c r="JM15" s="395"/>
      <c r="JN15" s="394"/>
      <c r="JO15" s="394"/>
      <c r="JR15" s="386" t="s">
        <v>3208</v>
      </c>
      <c r="JS15" s="387" t="s">
        <v>287</v>
      </c>
      <c r="JT15" s="390">
        <f ca="1">JT52+JT53+JT54+JT55+JT56</f>
        <v>0</v>
      </c>
      <c r="JU15" s="390">
        <f t="shared" ref="JU15:KC15" ca="1" si="509">JU52+JU53+JU54+JU55+JU56</f>
        <v>0</v>
      </c>
      <c r="JV15" s="390">
        <f t="shared" ca="1" si="509"/>
        <v>0</v>
      </c>
      <c r="JW15" s="390">
        <f t="shared" ca="1" si="509"/>
        <v>0</v>
      </c>
      <c r="JX15" s="390">
        <f t="shared" ca="1" si="509"/>
        <v>0</v>
      </c>
      <c r="JY15" s="390">
        <f t="shared" ca="1" si="509"/>
        <v>0</v>
      </c>
      <c r="JZ15" s="390">
        <f t="shared" ca="1" si="509"/>
        <v>0</v>
      </c>
      <c r="KA15" s="390">
        <f t="shared" ca="1" si="509"/>
        <v>0</v>
      </c>
      <c r="KB15" s="390">
        <f t="shared" ca="1" si="509"/>
        <v>0</v>
      </c>
      <c r="KC15" s="390">
        <f t="shared" ca="1" si="509"/>
        <v>0</v>
      </c>
      <c r="KE15" s="395"/>
      <c r="KF15" s="394"/>
      <c r="KG15" s="394"/>
      <c r="KJ15" s="386" t="s">
        <v>3208</v>
      </c>
      <c r="KK15" s="387" t="s">
        <v>287</v>
      </c>
      <c r="KL15" s="390">
        <f ca="1">KL52+KL53+KL54+KL55+KL56</f>
        <v>0</v>
      </c>
      <c r="KM15" s="390">
        <f t="shared" ref="KM15:KR15" ca="1" si="510">KM52+KM53+KM54+KM55+KM56</f>
        <v>0</v>
      </c>
      <c r="KN15" s="390">
        <f t="shared" ca="1" si="510"/>
        <v>0</v>
      </c>
      <c r="KO15" s="390">
        <f t="shared" ca="1" si="510"/>
        <v>0</v>
      </c>
      <c r="KP15" s="390">
        <f t="shared" ca="1" si="510"/>
        <v>0</v>
      </c>
      <c r="KQ15" s="390">
        <f t="shared" ca="1" si="510"/>
        <v>0</v>
      </c>
      <c r="KR15" s="390">
        <f t="shared" ca="1" si="510"/>
        <v>0</v>
      </c>
      <c r="KT15" s="395"/>
      <c r="KU15" s="394"/>
      <c r="KV15" s="394"/>
      <c r="KY15" s="386" t="s">
        <v>3208</v>
      </c>
      <c r="KZ15" s="387" t="s">
        <v>287</v>
      </c>
      <c r="LA15" s="390">
        <f ca="1">LA52+LA53+LA54+LA55+LA56</f>
        <v>3.5100606191339998E-9</v>
      </c>
      <c r="LB15" s="390">
        <f t="shared" ref="LB15:LK15" ca="1" si="511">LB52+LB53+LB54+LB55+LB56</f>
        <v>1.320377386215E-10</v>
      </c>
      <c r="LC15" s="390">
        <f t="shared" ca="1" si="511"/>
        <v>3.6420983485660001E-9</v>
      </c>
      <c r="LD15" s="390">
        <f t="shared" ca="1" si="511"/>
        <v>3.6420983485660001E-9</v>
      </c>
      <c r="LE15" s="390">
        <f t="shared" ca="1" si="511"/>
        <v>0</v>
      </c>
      <c r="LF15" s="390">
        <f t="shared" ca="1" si="511"/>
        <v>0</v>
      </c>
      <c r="LG15" s="390">
        <f t="shared" ca="1" si="511"/>
        <v>0</v>
      </c>
      <c r="LH15" s="390">
        <f t="shared" ca="1" si="511"/>
        <v>0</v>
      </c>
      <c r="LI15" s="390">
        <f t="shared" ca="1" si="511"/>
        <v>0</v>
      </c>
      <c r="LJ15" s="390">
        <f t="shared" ca="1" si="511"/>
        <v>0</v>
      </c>
      <c r="LK15" s="390">
        <f t="shared" ca="1" si="511"/>
        <v>0</v>
      </c>
      <c r="LN15" s="394"/>
      <c r="LO15" s="1338"/>
      <c r="LP15" s="395"/>
      <c r="LQ15" s="394"/>
      <c r="LR15" s="394"/>
      <c r="LU15" s="386" t="s">
        <v>3208</v>
      </c>
      <c r="LV15" s="387" t="s">
        <v>287</v>
      </c>
      <c r="LW15" s="390">
        <f ca="1">LW52+LW53+LW54+LW55+LW56</f>
        <v>0</v>
      </c>
      <c r="LX15" s="390">
        <f ca="1">LX52+LX53+LX54+LX55+LX56</f>
        <v>0</v>
      </c>
      <c r="LY15" s="390">
        <f t="shared" ref="LY15:MO15" ca="1" si="512">LY52+LY53+LY54+LY55+LY56</f>
        <v>60.013192701999991</v>
      </c>
      <c r="LZ15" s="390">
        <f t="shared" ca="1" si="512"/>
        <v>0.67422137193999998</v>
      </c>
      <c r="MA15" s="390">
        <f t="shared" ca="1" si="512"/>
        <v>60.687413958999997</v>
      </c>
      <c r="MB15" s="390">
        <f t="shared" ca="1" si="512"/>
        <v>3.6420983485660001E-9</v>
      </c>
      <c r="MC15" s="390">
        <f t="shared" ca="1" si="512"/>
        <v>0</v>
      </c>
      <c r="MD15" s="390">
        <f t="shared" ca="1" si="512"/>
        <v>0</v>
      </c>
      <c r="ME15" s="390">
        <f t="shared" ca="1" si="512"/>
        <v>0</v>
      </c>
      <c r="MF15" s="390">
        <f t="shared" ca="1" si="512"/>
        <v>0</v>
      </c>
      <c r="MG15" s="390">
        <f t="shared" ca="1" si="512"/>
        <v>0</v>
      </c>
      <c r="MH15" s="390">
        <f t="shared" ref="MH15:MI15" ca="1" si="513">MH52+MH53+MH54+MH55+MH56</f>
        <v>0</v>
      </c>
      <c r="MI15" s="390">
        <f t="shared" ca="1" si="513"/>
        <v>0</v>
      </c>
      <c r="MJ15" s="390">
        <f t="shared" ca="1" si="512"/>
        <v>0</v>
      </c>
      <c r="MK15" s="390">
        <f t="shared" ca="1" si="512"/>
        <v>0</v>
      </c>
      <c r="ML15" s="390">
        <f t="shared" ca="1" si="512"/>
        <v>0</v>
      </c>
      <c r="MM15" s="390">
        <f t="shared" ca="1" si="512"/>
        <v>0</v>
      </c>
      <c r="MN15" s="390">
        <f t="shared" ca="1" si="512"/>
        <v>0</v>
      </c>
      <c r="MO15" s="390">
        <f t="shared" ca="1" si="512"/>
        <v>0</v>
      </c>
      <c r="MQ15" s="896"/>
      <c r="MR15" s="394"/>
      <c r="MS15" s="1338"/>
      <c r="MT15" s="395"/>
      <c r="MU15" s="394"/>
      <c r="MV15" s="394"/>
      <c r="MY15" s="386" t="s">
        <v>3208</v>
      </c>
      <c r="MZ15" s="387" t="s">
        <v>287</v>
      </c>
      <c r="NA15" s="390">
        <f ca="1">NA52+NA53+NA54+NA55+NA56</f>
        <v>1.8641880249899997E-4</v>
      </c>
      <c r="NB15" s="390">
        <f t="shared" ref="NB15:NP15" ca="1" si="514">NB52+NB53+NB54+NB55+NB56</f>
        <v>4.5728803075929999E-10</v>
      </c>
      <c r="NC15" s="390">
        <f t="shared" ca="1" si="514"/>
        <v>1.86418345639E-4</v>
      </c>
      <c r="ND15" s="390">
        <f t="shared" ca="1" si="514"/>
        <v>0</v>
      </c>
      <c r="NE15" s="390">
        <f t="shared" ca="1" si="514"/>
        <v>0</v>
      </c>
      <c r="NF15" s="390">
        <f t="shared" ca="1" si="514"/>
        <v>0</v>
      </c>
      <c r="NG15" s="390">
        <f t="shared" ca="1" si="514"/>
        <v>0</v>
      </c>
      <c r="NH15" s="390">
        <f t="shared" ca="1" si="514"/>
        <v>0</v>
      </c>
      <c r="NI15" s="390">
        <f t="shared" ca="1" si="514"/>
        <v>0</v>
      </c>
      <c r="NJ15" s="390">
        <f t="shared" ca="1" si="514"/>
        <v>0</v>
      </c>
      <c r="NK15" s="390">
        <f t="shared" ca="1" si="514"/>
        <v>0</v>
      </c>
      <c r="NL15" s="390">
        <f t="shared" ca="1" si="514"/>
        <v>0</v>
      </c>
      <c r="NM15" s="390">
        <f t="shared" ca="1" si="514"/>
        <v>0</v>
      </c>
      <c r="NN15" s="390">
        <f t="shared" ca="1" si="514"/>
        <v>0</v>
      </c>
      <c r="NO15" s="390">
        <f t="shared" ca="1" si="514"/>
        <v>0</v>
      </c>
      <c r="NP15" s="390">
        <f t="shared" ca="1" si="514"/>
        <v>0</v>
      </c>
      <c r="NR15" s="896"/>
      <c r="NS15" s="394"/>
      <c r="NT15" s="1338"/>
      <c r="NU15" s="395"/>
      <c r="NV15" s="394"/>
      <c r="NW15" s="394"/>
      <c r="NX15" s="896"/>
      <c r="NZ15" s="394"/>
      <c r="OA15" s="395"/>
      <c r="OB15" s="394"/>
      <c r="OC15" s="394"/>
      <c r="OD15" s="896"/>
      <c r="OF15" s="386" t="s">
        <v>3208</v>
      </c>
      <c r="OG15" s="387" t="s">
        <v>287</v>
      </c>
      <c r="OH15" s="390">
        <f ca="1">OH52+OH53+OH54+OH55+OH56</f>
        <v>0</v>
      </c>
      <c r="OI15" s="390">
        <f t="shared" ref="OI15:OO15" ca="1" si="515">OI52+OI53+OI54+OI55+OI56</f>
        <v>0</v>
      </c>
      <c r="OJ15" s="390">
        <f t="shared" ca="1" si="515"/>
        <v>0</v>
      </c>
      <c r="OK15" s="390">
        <f t="shared" ca="1" si="515"/>
        <v>0</v>
      </c>
      <c r="OL15" s="390">
        <f t="shared" ca="1" si="515"/>
        <v>0</v>
      </c>
      <c r="OM15" s="390">
        <f t="shared" ca="1" si="515"/>
        <v>0</v>
      </c>
      <c r="ON15" s="390">
        <f t="shared" ca="1" si="515"/>
        <v>0</v>
      </c>
      <c r="OO15" s="390">
        <f t="shared" ca="1" si="515"/>
        <v>0</v>
      </c>
      <c r="OQ15" s="896"/>
      <c r="OR15" s="394"/>
      <c r="OS15" s="1338"/>
      <c r="OT15" s="395"/>
      <c r="OU15" s="394"/>
      <c r="OV15" s="394"/>
      <c r="OW15" s="896"/>
      <c r="OY15" s="386" t="s">
        <v>3208</v>
      </c>
      <c r="OZ15" s="387" t="s">
        <v>287</v>
      </c>
      <c r="PA15" s="390">
        <f ca="1">PA52+PA53+PA54+PA55+PA56</f>
        <v>0</v>
      </c>
      <c r="PB15" s="390">
        <f t="shared" ref="PB15:PK15" ca="1" si="516">PB52+PB53+PB54+PB55+PB56</f>
        <v>0</v>
      </c>
      <c r="PC15" s="390">
        <f t="shared" ca="1" si="516"/>
        <v>0</v>
      </c>
      <c r="PD15" s="390">
        <f t="shared" ca="1" si="516"/>
        <v>0</v>
      </c>
      <c r="PE15" s="390">
        <f t="shared" ca="1" si="516"/>
        <v>0</v>
      </c>
      <c r="PF15" s="390">
        <f t="shared" ca="1" si="516"/>
        <v>0</v>
      </c>
      <c r="PG15" s="390">
        <f t="shared" ca="1" si="516"/>
        <v>0</v>
      </c>
      <c r="PH15" s="390">
        <f t="shared" ca="1" si="516"/>
        <v>0</v>
      </c>
      <c r="PI15" s="390">
        <f t="shared" ca="1" si="516"/>
        <v>0</v>
      </c>
      <c r="PJ15" s="390">
        <f t="shared" ca="1" si="516"/>
        <v>0</v>
      </c>
      <c r="PK15" s="390">
        <f t="shared" ca="1" si="516"/>
        <v>0</v>
      </c>
      <c r="PN15" s="394"/>
      <c r="PO15" s="1338"/>
      <c r="PP15" s="395"/>
      <c r="PQ15" s="394"/>
      <c r="PR15" s="394"/>
      <c r="PU15" s="386" t="s">
        <v>3208</v>
      </c>
      <c r="PV15" s="387" t="s">
        <v>287</v>
      </c>
      <c r="PW15" s="390">
        <f ca="1">PW52+PW53+PW54+PW55+PW56</f>
        <v>0</v>
      </c>
      <c r="PX15" s="390">
        <f t="shared" ref="PX15:PZ15" ca="1" si="517">PX52+PX53+PX54+PX55+PX56</f>
        <v>0</v>
      </c>
      <c r="PY15" s="390">
        <f t="shared" ca="1" si="517"/>
        <v>0</v>
      </c>
      <c r="PZ15" s="390">
        <f t="shared" ca="1" si="517"/>
        <v>0</v>
      </c>
      <c r="QB15" s="896"/>
      <c r="QC15" s="394"/>
      <c r="QD15" s="1338"/>
      <c r="QE15" s="395"/>
      <c r="QF15" s="394"/>
      <c r="QG15" s="394"/>
      <c r="QH15" s="896"/>
      <c r="QI15" s="896"/>
      <c r="QJ15" s="896"/>
      <c r="QK15" s="896"/>
    </row>
    <row r="16" spans="1:453" x14ac:dyDescent="0.25">
      <c r="A16" s="1315"/>
      <c r="H16" s="386" t="s">
        <v>3209</v>
      </c>
      <c r="I16" s="387" t="s">
        <v>287</v>
      </c>
      <c r="J16" s="390">
        <f ca="1">J58+J57+J62+J74+J75+J69</f>
        <v>12208.3333</v>
      </c>
      <c r="K16" s="390">
        <f ca="1">K58+K57+K62+K74+K75+K69</f>
        <v>12208.3333</v>
      </c>
      <c r="R16" s="386" t="s">
        <v>3209</v>
      </c>
      <c r="S16" s="387" t="s">
        <v>287</v>
      </c>
      <c r="T16" s="390">
        <f ca="1">T58+T57+T62+T74+T75+T69</f>
        <v>12208.3333</v>
      </c>
      <c r="U16" s="390">
        <f t="shared" ref="U16:AD16" ca="1" si="518">U58+U57+U62+U74+U75+U69</f>
        <v>0</v>
      </c>
      <c r="V16" s="390">
        <f t="shared" ca="1" si="518"/>
        <v>1.0944339989948</v>
      </c>
      <c r="W16" s="390">
        <f t="shared" ca="1" si="518"/>
        <v>0</v>
      </c>
      <c r="X16" s="390">
        <f t="shared" ca="1" si="518"/>
        <v>0</v>
      </c>
      <c r="Y16" s="390">
        <f t="shared" ca="1" si="518"/>
        <v>12866.016778089999</v>
      </c>
      <c r="Z16" s="390">
        <f t="shared" ca="1" si="518"/>
        <v>7.1367183380999996E-2</v>
      </c>
      <c r="AA16" s="390">
        <f t="shared" ca="1" si="518"/>
        <v>12865.945449119999</v>
      </c>
      <c r="AB16" s="390">
        <f t="shared" ca="1" si="518"/>
        <v>0</v>
      </c>
      <c r="AC16" s="390">
        <f t="shared" ca="1" si="518"/>
        <v>1.0944339989948</v>
      </c>
      <c r="AD16" s="390">
        <f t="shared" ca="1" si="518"/>
        <v>0</v>
      </c>
      <c r="AF16" s="386" t="s">
        <v>1954</v>
      </c>
      <c r="AG16" s="1337">
        <f t="shared" ca="1" si="1"/>
        <v>1999.9936</v>
      </c>
      <c r="AH16" s="1467">
        <f t="shared" ca="1" si="69"/>
        <v>1.7196849527085125</v>
      </c>
      <c r="AI16" s="385" t="s">
        <v>1213</v>
      </c>
      <c r="AK16" s="386" t="s">
        <v>3209</v>
      </c>
      <c r="AL16" s="387" t="s">
        <v>287</v>
      </c>
      <c r="AM16" s="390">
        <f ca="1">AM58+AM57+AM62+AM74+AM75+AM69</f>
        <v>0</v>
      </c>
      <c r="AN16" s="390">
        <f t="shared" ref="AN16:BB16" ca="1" si="519">AN58+AN57+AN62+AN74+AN75+AN69</f>
        <v>0</v>
      </c>
      <c r="AO16" s="390">
        <f t="shared" ref="AO16:AS16" ca="1" si="520">AO58+AO57+AO62+AO74+AO75+AO69</f>
        <v>12865.945449119999</v>
      </c>
      <c r="AP16" s="390">
        <f t="shared" ca="1" si="520"/>
        <v>12865.945449119999</v>
      </c>
      <c r="AQ16" s="390">
        <f t="shared" ca="1" si="520"/>
        <v>2.1759421733100002E-2</v>
      </c>
      <c r="AR16" s="390">
        <f t="shared" ca="1" si="520"/>
        <v>1.3857478663732999E-4</v>
      </c>
      <c r="AS16" s="390">
        <f t="shared" ca="1" si="520"/>
        <v>7.1228608599000001E-2</v>
      </c>
      <c r="AT16" s="390">
        <f t="shared" ca="1" si="519"/>
        <v>8.9480982559837628E-6</v>
      </c>
      <c r="AU16" s="390">
        <f t="shared" ca="1" si="519"/>
        <v>2.1889048408700002E-2</v>
      </c>
      <c r="AV16" s="390">
        <f t="shared" ca="1" si="519"/>
        <v>12865.923707439999</v>
      </c>
      <c r="AW16" s="390">
        <f t="shared" ca="1" si="519"/>
        <v>8.9480982559837628E-6</v>
      </c>
      <c r="AX16" s="390">
        <f t="shared" ca="1" si="519"/>
        <v>9.3126605110999988E-2</v>
      </c>
      <c r="AY16" s="390">
        <f t="shared" ca="1" si="519"/>
        <v>0</v>
      </c>
      <c r="AZ16" s="390">
        <f t="shared" ca="1" si="519"/>
        <v>0</v>
      </c>
      <c r="BA16" s="390">
        <f t="shared" ca="1" si="519"/>
        <v>0</v>
      </c>
      <c r="BB16" s="390">
        <f t="shared" ca="1" si="519"/>
        <v>14726.904227439998</v>
      </c>
      <c r="BE16" s="394"/>
      <c r="BF16" s="1338"/>
      <c r="BG16" s="395"/>
      <c r="BH16" s="394"/>
      <c r="BI16" s="394"/>
      <c r="BL16" s="386" t="s">
        <v>3209</v>
      </c>
      <c r="BM16" s="387" t="s">
        <v>287</v>
      </c>
      <c r="BN16" s="390">
        <f ca="1">BN58+BN57+BN62+BN74+BN75+BN69</f>
        <v>1476.7615974099999</v>
      </c>
      <c r="BO16" s="390">
        <f t="shared" ref="BO16:BR16" ca="1" si="521">BO58+BO57+BO62+BO74+BO75+BO69</f>
        <v>1528.9308182</v>
      </c>
      <c r="BP16" s="390">
        <f t="shared" ca="1" si="521"/>
        <v>1.442708644593311E-5</v>
      </c>
      <c r="BQ16" s="390">
        <f t="shared" ca="1" si="521"/>
        <v>52.169235200000003</v>
      </c>
      <c r="BR16" s="390">
        <f t="shared" ca="1" si="521"/>
        <v>0</v>
      </c>
      <c r="BU16" s="394"/>
      <c r="BV16" s="1338"/>
      <c r="BW16" s="395"/>
      <c r="BX16" s="394"/>
      <c r="BY16" s="394"/>
      <c r="CB16" s="386" t="s">
        <v>3209</v>
      </c>
      <c r="CC16" s="387" t="s">
        <v>287</v>
      </c>
      <c r="CD16" s="390">
        <f ca="1">CD58+CD57+CD62+CD74+CD75+CD69</f>
        <v>14726.904227439998</v>
      </c>
      <c r="CE16" s="390">
        <f t="shared" ref="CE16:CO16" ca="1" si="522">CE58+CE57+CE62+CE74+CE75+CE69</f>
        <v>14726.904227439998</v>
      </c>
      <c r="CF16" s="390">
        <f t="shared" ca="1" si="522"/>
        <v>1476.7615974099999</v>
      </c>
      <c r="CG16" s="390">
        <f t="shared" ca="1" si="522"/>
        <v>1528.9308182</v>
      </c>
      <c r="CH16" s="390">
        <f t="shared" ca="1" si="522"/>
        <v>14767.615891299998</v>
      </c>
      <c r="CI16" s="390">
        <f t="shared" ca="1" si="522"/>
        <v>234.76155900000003</v>
      </c>
      <c r="CJ16" s="390">
        <f t="shared" ca="1" si="522"/>
        <v>0</v>
      </c>
      <c r="CK16" s="390">
        <f t="shared" ca="1" si="522"/>
        <v>16420.958621999998</v>
      </c>
      <c r="CL16" s="390">
        <f t="shared" ca="1" si="522"/>
        <v>3.8538305656932273E-4</v>
      </c>
      <c r="CM16" s="390">
        <f t="shared" ca="1" si="522"/>
        <v>40.711663899999998</v>
      </c>
      <c r="CN16" s="390">
        <f t="shared" ca="1" si="522"/>
        <v>16420.959021999999</v>
      </c>
      <c r="CO16" s="390">
        <f t="shared" ca="1" si="522"/>
        <v>4.0015568509999997E-4</v>
      </c>
      <c r="CQ16" s="394"/>
      <c r="CR16" s="394"/>
      <c r="CS16" s="395"/>
      <c r="CT16" s="394"/>
      <c r="CU16" s="395"/>
      <c r="CV16" s="394"/>
      <c r="CW16" s="896"/>
      <c r="CY16" s="386" t="s">
        <v>3209</v>
      </c>
      <c r="CZ16" s="387" t="s">
        <v>287</v>
      </c>
      <c r="DA16" s="390">
        <f ca="1">DA58+DA57+DA62+DA74+DA75+DA69</f>
        <v>0.226176243</v>
      </c>
      <c r="DB16" s="390">
        <f t="shared" ref="DB16:DJ16" ca="1" si="523">DB58+DB57+DB62+DB74+DB75+DB69</f>
        <v>1.94540344</v>
      </c>
      <c r="DC16" s="390">
        <f t="shared" ca="1" si="523"/>
        <v>0</v>
      </c>
      <c r="DD16" s="390">
        <f t="shared" ca="1" si="523"/>
        <v>0</v>
      </c>
      <c r="DE16" s="390">
        <f t="shared" ca="1" si="523"/>
        <v>2.1715595699999999</v>
      </c>
      <c r="DF16" s="390">
        <f t="shared" ca="1" si="523"/>
        <v>2.0115053800000001E-5</v>
      </c>
      <c r="DG16" s="390">
        <f t="shared" ca="1" si="523"/>
        <v>0</v>
      </c>
      <c r="DH16" s="390">
        <f t="shared" ca="1" si="523"/>
        <v>0</v>
      </c>
      <c r="DI16" s="390">
        <f t="shared" ca="1" si="523"/>
        <v>0</v>
      </c>
      <c r="DJ16" s="390">
        <f t="shared" ca="1" si="523"/>
        <v>0</v>
      </c>
      <c r="DM16" s="394"/>
      <c r="DN16" s="1338"/>
      <c r="DO16" s="395"/>
      <c r="DP16" s="394"/>
      <c r="DQ16" s="394"/>
      <c r="DT16" s="386" t="s">
        <v>3209</v>
      </c>
      <c r="DU16" s="387" t="s">
        <v>287</v>
      </c>
      <c r="DV16" s="390">
        <f ca="1">DV58+DV57+DV62+DV74+DV75+DV69</f>
        <v>0</v>
      </c>
      <c r="DW16" s="390">
        <f t="shared" ref="DW16:EK16" ca="1" si="524">DW58+DW57+DW62+DW74+DW75+DW69</f>
        <v>0</v>
      </c>
      <c r="DX16" s="390">
        <f t="shared" ca="1" si="524"/>
        <v>4.5235248600000002</v>
      </c>
      <c r="DY16" s="390">
        <f t="shared" ca="1" si="524"/>
        <v>0.226176243</v>
      </c>
      <c r="DZ16" s="390">
        <f t="shared" ca="1" si="524"/>
        <v>0</v>
      </c>
      <c r="EA16" s="390">
        <f t="shared" ca="1" si="524"/>
        <v>2.1715595699999999</v>
      </c>
      <c r="EB16" s="390">
        <f t="shared" ca="1" si="524"/>
        <v>4.2973486200000002</v>
      </c>
      <c r="EC16" s="390">
        <f t="shared" ca="1" si="524"/>
        <v>106.11862740000001</v>
      </c>
      <c r="ED16" s="390">
        <f t="shared" ca="1" si="524"/>
        <v>40.711663899999998</v>
      </c>
      <c r="EE16" s="390">
        <f t="shared" ca="1" si="524"/>
        <v>4.1273354199999998E-4</v>
      </c>
      <c r="EF16" s="390">
        <f t="shared" ca="1" si="524"/>
        <v>67.352044000000006</v>
      </c>
      <c r="EG16" s="390">
        <f t="shared" ca="1" si="524"/>
        <v>0</v>
      </c>
      <c r="EH16" s="390">
        <f t="shared" ca="1" si="524"/>
        <v>0</v>
      </c>
      <c r="EI16" s="390">
        <f t="shared" ca="1" si="524"/>
        <v>38.766583400000002</v>
      </c>
      <c r="EJ16" s="390">
        <f t="shared" ref="EJ16" ca="1" si="525">EJ58+EJ57+EJ62+EJ74+EJ75+EJ69</f>
        <v>0</v>
      </c>
      <c r="EK16" s="390">
        <f t="shared" ca="1" si="524"/>
        <v>0</v>
      </c>
      <c r="EM16" s="394"/>
      <c r="EN16" s="394"/>
      <c r="EO16" s="395"/>
      <c r="EP16" s="394"/>
      <c r="EQ16" s="395"/>
      <c r="ER16" s="394"/>
      <c r="ES16" s="896"/>
      <c r="EU16" s="386" t="s">
        <v>3209</v>
      </c>
      <c r="EV16" s="387" t="s">
        <v>287</v>
      </c>
      <c r="EW16" s="390">
        <f ca="1">EW58+EW57+EW62+EW74+EW75+EW69</f>
        <v>16420.959021999999</v>
      </c>
      <c r="EX16" s="390">
        <f t="shared" ref="EX16:FB16" ca="1" si="526">EX58+EX57+EX62+EX74+EX75+EX69</f>
        <v>16420.959021999999</v>
      </c>
      <c r="EY16" s="390">
        <f t="shared" ca="1" si="526"/>
        <v>16419.864583000002</v>
      </c>
      <c r="EZ16" s="390">
        <f t="shared" ca="1" si="526"/>
        <v>16419.864583000002</v>
      </c>
      <c r="FA16" s="390">
        <f t="shared" ca="1" si="526"/>
        <v>3.4562197524544353E-7</v>
      </c>
      <c r="FB16" s="390">
        <f t="shared" ca="1" si="526"/>
        <v>1.0944339887943999</v>
      </c>
      <c r="FD16" s="896"/>
      <c r="FE16" s="394"/>
      <c r="FF16" s="1338"/>
      <c r="FG16" s="395"/>
      <c r="FH16" s="394"/>
      <c r="FI16" s="394"/>
      <c r="FJ16" s="896"/>
      <c r="FL16" s="386" t="s">
        <v>3209</v>
      </c>
      <c r="FM16" s="387" t="s">
        <v>287</v>
      </c>
      <c r="FN16" s="390">
        <f ca="1">FN58+FN57+FN62+FN74+FN75+FN69</f>
        <v>1.442708644593311E-5</v>
      </c>
      <c r="FO16" s="390">
        <f t="shared" ref="FO16:FX16" ca="1" si="527">FO58+FO57+FO62+FO74+FO75+FO69</f>
        <v>3.8538305656932273E-4</v>
      </c>
      <c r="FP16" s="390">
        <f t="shared" ca="1" si="527"/>
        <v>3.4562197524544353E-7</v>
      </c>
      <c r="FQ16" s="390">
        <f t="shared" ca="1" si="527"/>
        <v>1.0944339887943999</v>
      </c>
      <c r="FR16" s="390">
        <f t="shared" ca="1" si="527"/>
        <v>0</v>
      </c>
      <c r="FS16" s="390">
        <f t="shared" ca="1" si="527"/>
        <v>1.0944339989948</v>
      </c>
      <c r="FT16" s="390">
        <f t="shared" ca="1" si="527"/>
        <v>0</v>
      </c>
      <c r="FU16" s="390">
        <f t="shared" ca="1" si="527"/>
        <v>4.001557648252613E-4</v>
      </c>
      <c r="FV16" s="390">
        <f t="shared" ca="1" si="527"/>
        <v>0</v>
      </c>
      <c r="FW16" s="390">
        <f t="shared" ca="1" si="527"/>
        <v>2.5939822161391001E-25</v>
      </c>
      <c r="FX16" s="390">
        <f t="shared" ca="1" si="527"/>
        <v>4.0015568509999997E-4</v>
      </c>
      <c r="FZ16" s="385"/>
      <c r="GA16" s="394"/>
      <c r="GB16" s="395"/>
      <c r="GC16" s="394"/>
      <c r="GD16" s="395"/>
      <c r="GE16" s="394"/>
      <c r="GF16" s="896"/>
      <c r="GH16" s="386" t="s">
        <v>3209</v>
      </c>
      <c r="GI16" s="387" t="s">
        <v>287</v>
      </c>
      <c r="GJ16" s="390">
        <f ca="1">GJ58+GJ57+GJ62+GJ74+GJ75+GJ69</f>
        <v>0</v>
      </c>
      <c r="GK16" s="390">
        <f t="shared" ref="GK16:GQ16" ca="1" si="528">GK58+GK57+GK62+GK74+GK75+GK69</f>
        <v>0</v>
      </c>
      <c r="GL16" s="390">
        <f t="shared" ca="1" si="528"/>
        <v>0</v>
      </c>
      <c r="GM16" s="390">
        <f t="shared" ca="1" si="528"/>
        <v>0</v>
      </c>
      <c r="GN16" s="390">
        <f t="shared" ca="1" si="528"/>
        <v>0</v>
      </c>
      <c r="GO16" s="390">
        <f t="shared" ca="1" si="528"/>
        <v>0</v>
      </c>
      <c r="GP16" s="390">
        <f t="shared" ca="1" si="528"/>
        <v>0</v>
      </c>
      <c r="GQ16" s="390">
        <f t="shared" ca="1" si="528"/>
        <v>0</v>
      </c>
      <c r="GS16" s="896"/>
      <c r="GT16" s="394"/>
      <c r="GU16" s="1338"/>
      <c r="GV16" s="395"/>
      <c r="GW16" s="394"/>
      <c r="GX16" s="394"/>
      <c r="GY16" s="896"/>
      <c r="HA16" s="386" t="s">
        <v>3209</v>
      </c>
      <c r="HB16" s="387" t="s">
        <v>287</v>
      </c>
      <c r="HC16" s="390">
        <f ca="1">HC58+HC57+HC62+HC74+HC75+HC69</f>
        <v>16419.864583000002</v>
      </c>
      <c r="HD16" s="390">
        <f t="shared" ref="HD16:HH16" ca="1" si="529">HD58+HD57+HD62+HD74+HD75+HD69</f>
        <v>15808.527122000001</v>
      </c>
      <c r="HE16" s="390">
        <f t="shared" ca="1" si="529"/>
        <v>0</v>
      </c>
      <c r="HF16" s="390">
        <f t="shared" ca="1" si="529"/>
        <v>7.3156807212014106E-4</v>
      </c>
      <c r="HG16" s="390">
        <f t="shared" ca="1" si="529"/>
        <v>611.33671700000002</v>
      </c>
      <c r="HH16" s="390">
        <f t="shared" ca="1" si="529"/>
        <v>15808.527122000001</v>
      </c>
      <c r="HK16" s="394"/>
      <c r="HL16" s="1338"/>
      <c r="HM16" s="395"/>
      <c r="HN16" s="394"/>
      <c r="HO16" s="394"/>
      <c r="HR16" s="386" t="s">
        <v>3209</v>
      </c>
      <c r="HS16" s="387" t="s">
        <v>287</v>
      </c>
      <c r="HT16" s="390">
        <f ca="1">HT58+HT57+HT62+HT74+HT75+HT69</f>
        <v>9.3126605110999988E-2</v>
      </c>
      <c r="HU16" s="390">
        <f t="shared" ref="HU16:IE16" ca="1" si="530">HU58+HU57+HU62+HU74+HU75+HU69</f>
        <v>15808.527122000001</v>
      </c>
      <c r="HV16" s="390">
        <f t="shared" ca="1" si="530"/>
        <v>15808.620196000002</v>
      </c>
      <c r="HW16" s="390">
        <f t="shared" ca="1" si="530"/>
        <v>15808.620196000002</v>
      </c>
      <c r="HX16" s="390">
        <f t="shared" ca="1" si="530"/>
        <v>2387.8753247</v>
      </c>
      <c r="HY16" s="390">
        <f t="shared" ca="1" si="530"/>
        <v>181.58413640999999</v>
      </c>
      <c r="HZ16" s="390">
        <f t="shared" ca="1" si="530"/>
        <v>8.2549536667497997E-5</v>
      </c>
      <c r="IA16" s="390">
        <f t="shared" ca="1" si="530"/>
        <v>2.19329544383083E-6</v>
      </c>
      <c r="IB16" s="390">
        <f t="shared" ca="1" si="530"/>
        <v>0</v>
      </c>
      <c r="IC16" s="390">
        <f t="shared" ca="1" si="530"/>
        <v>0</v>
      </c>
      <c r="ID16" s="390">
        <f t="shared" ca="1" si="530"/>
        <v>0</v>
      </c>
      <c r="IE16" s="390">
        <f t="shared" ca="1" si="530"/>
        <v>0</v>
      </c>
      <c r="IH16" s="394"/>
      <c r="II16" s="1338"/>
      <c r="IJ16" s="395"/>
      <c r="IK16" s="394"/>
      <c r="IL16" s="394"/>
      <c r="IO16" s="386" t="s">
        <v>3209</v>
      </c>
      <c r="IP16" s="387" t="s">
        <v>287</v>
      </c>
      <c r="IQ16" s="390">
        <f ca="1">IQ58+IQ57+IQ62+IQ74+IQ75+IQ69</f>
        <v>2387.8753247</v>
      </c>
      <c r="IR16" s="390">
        <f t="shared" ref="IR16:JH16" ca="1" si="531">IR58+IR57+IR62+IR74+IR75+IR69</f>
        <v>181.58413640999999</v>
      </c>
      <c r="IS16" s="390">
        <f t="shared" ca="1" si="531"/>
        <v>18.433678261000001</v>
      </c>
      <c r="IT16" s="390">
        <f t="shared" ca="1" si="531"/>
        <v>200.0178147</v>
      </c>
      <c r="IU16" s="390">
        <f t="shared" ref="IU16" ca="1" si="532">IU58+IU57+IU62+IU74+IU75+IU69</f>
        <v>186.67593151</v>
      </c>
      <c r="IV16" s="390">
        <f t="shared" ca="1" si="531"/>
        <v>540.35297037999999</v>
      </c>
      <c r="IW16" s="390">
        <f t="shared" ca="1" si="531"/>
        <v>442.40827777000004</v>
      </c>
      <c r="IX16" s="390">
        <f t="shared" ref="IX16" ca="1" si="533">IX58+IX57+IX62+IX74+IX75+IX69</f>
        <v>1.4188474214029563E-5</v>
      </c>
      <c r="IY16" s="390">
        <f t="shared" ca="1" si="531"/>
        <v>13.341883189000001</v>
      </c>
      <c r="IZ16" s="390">
        <f t="shared" ca="1" si="531"/>
        <v>79.511014020999994</v>
      </c>
      <c r="JA16" s="390">
        <f t="shared" ca="1" si="531"/>
        <v>460.84195612999997</v>
      </c>
      <c r="JB16" s="390">
        <f t="shared" ca="1" si="531"/>
        <v>0</v>
      </c>
      <c r="JC16" s="390">
        <f t="shared" ca="1" si="531"/>
        <v>79.511011816999996</v>
      </c>
      <c r="JD16" s="390">
        <f t="shared" ca="1" si="531"/>
        <v>0</v>
      </c>
      <c r="JE16" s="390">
        <f t="shared" ca="1" si="531"/>
        <v>79.511014020999994</v>
      </c>
      <c r="JF16" s="390">
        <f t="shared" ca="1" si="531"/>
        <v>0</v>
      </c>
      <c r="JG16" s="390">
        <f t="shared" ca="1" si="531"/>
        <v>0</v>
      </c>
      <c r="JH16" s="390">
        <f t="shared" ca="1" si="531"/>
        <v>2.19329544383083E-6</v>
      </c>
      <c r="JK16" s="394"/>
      <c r="JL16" s="1338"/>
      <c r="JM16" s="395"/>
      <c r="JN16" s="394"/>
      <c r="JO16" s="394"/>
      <c r="JR16" s="386" t="s">
        <v>3209</v>
      </c>
      <c r="JS16" s="387" t="s">
        <v>287</v>
      </c>
      <c r="JT16" s="390">
        <f ca="1">JT58+JT57+JT62+JT74+JT75+JT69</f>
        <v>52.169235200000003</v>
      </c>
      <c r="JU16" s="390">
        <f t="shared" ref="JU16:KC16" ca="1" si="534">JU58+JU57+JU62+JU74+JU75+JU69</f>
        <v>234.76155900000003</v>
      </c>
      <c r="JV16" s="390">
        <f t="shared" ca="1" si="534"/>
        <v>1.94540344</v>
      </c>
      <c r="JW16" s="390">
        <f t="shared" ca="1" si="534"/>
        <v>38.766583400000002</v>
      </c>
      <c r="JX16" s="390">
        <f t="shared" ca="1" si="534"/>
        <v>0</v>
      </c>
      <c r="JY16" s="390">
        <f t="shared" ca="1" si="534"/>
        <v>0</v>
      </c>
      <c r="JZ16" s="390">
        <f t="shared" ca="1" si="534"/>
        <v>0</v>
      </c>
      <c r="KA16" s="390">
        <f t="shared" ca="1" si="534"/>
        <v>0</v>
      </c>
      <c r="KB16" s="390">
        <f t="shared" ca="1" si="534"/>
        <v>0</v>
      </c>
      <c r="KC16" s="390">
        <f t="shared" ca="1" si="534"/>
        <v>327.64278100000001</v>
      </c>
      <c r="KE16" s="395"/>
      <c r="KF16" s="394"/>
      <c r="KG16" s="394"/>
      <c r="KJ16" s="386" t="s">
        <v>3209</v>
      </c>
      <c r="KK16" s="387" t="s">
        <v>287</v>
      </c>
      <c r="KL16" s="390">
        <f ca="1">KL58+KL57+KL62+KL74+KL75+KL69</f>
        <v>0</v>
      </c>
      <c r="KM16" s="390">
        <f t="shared" ref="KM16:KR16" ca="1" si="535">KM58+KM57+KM62+KM74+KM75+KM69</f>
        <v>0</v>
      </c>
      <c r="KN16" s="390">
        <f t="shared" ca="1" si="535"/>
        <v>0</v>
      </c>
      <c r="KO16" s="390">
        <f t="shared" ca="1" si="535"/>
        <v>0</v>
      </c>
      <c r="KP16" s="390">
        <f t="shared" ca="1" si="535"/>
        <v>0</v>
      </c>
      <c r="KQ16" s="390">
        <f t="shared" ca="1" si="535"/>
        <v>0</v>
      </c>
      <c r="KR16" s="390">
        <f t="shared" ca="1" si="535"/>
        <v>0</v>
      </c>
      <c r="KT16" s="395"/>
      <c r="KU16" s="394"/>
      <c r="KV16" s="394"/>
      <c r="KY16" s="386" t="s">
        <v>3209</v>
      </c>
      <c r="KZ16" s="387" t="s">
        <v>287</v>
      </c>
      <c r="LA16" s="390">
        <f ca="1">LA58+LA57+LA62+LA74+LA75+LA69</f>
        <v>7.3156807212014106E-4</v>
      </c>
      <c r="LB16" s="390">
        <f t="shared" ref="LB16:LK16" ca="1" si="536">LB58+LB57+LB62+LB74+LB75+LB69</f>
        <v>8.2549536667497997E-5</v>
      </c>
      <c r="LC16" s="390">
        <f t="shared" ca="1" si="536"/>
        <v>8.14117608447639E-4</v>
      </c>
      <c r="LD16" s="390">
        <f t="shared" ca="1" si="536"/>
        <v>8.14117608447639E-4</v>
      </c>
      <c r="LE16" s="390">
        <f t="shared" ca="1" si="536"/>
        <v>0</v>
      </c>
      <c r="LF16" s="390">
        <f t="shared" ca="1" si="536"/>
        <v>0</v>
      </c>
      <c r="LG16" s="390">
        <f t="shared" ca="1" si="536"/>
        <v>0</v>
      </c>
      <c r="LH16" s="390">
        <f t="shared" ca="1" si="536"/>
        <v>0</v>
      </c>
      <c r="LI16" s="390">
        <f t="shared" ca="1" si="536"/>
        <v>0</v>
      </c>
      <c r="LJ16" s="390">
        <f t="shared" ca="1" si="536"/>
        <v>0</v>
      </c>
      <c r="LK16" s="390">
        <f t="shared" ca="1" si="536"/>
        <v>0</v>
      </c>
      <c r="LN16" s="394"/>
      <c r="LO16" s="1338"/>
      <c r="LP16" s="395"/>
      <c r="LQ16" s="394"/>
      <c r="LR16" s="394"/>
      <c r="LU16" s="386" t="s">
        <v>3209</v>
      </c>
      <c r="LV16" s="387" t="s">
        <v>287</v>
      </c>
      <c r="LW16" s="390">
        <f ca="1">LW58+LW57+LW62+LW74+LW75+LW69</f>
        <v>0</v>
      </c>
      <c r="LX16" s="390">
        <f ca="1">LX58+LX57+LX62+LX74+LX75+LX69</f>
        <v>0</v>
      </c>
      <c r="LY16" s="390">
        <f t="shared" ref="LY16:MO16" ca="1" si="537">LY58+LY57+LY62+LY74+LY75+LY69</f>
        <v>611.33671700000002</v>
      </c>
      <c r="LZ16" s="390">
        <f t="shared" ca="1" si="537"/>
        <v>13.341883189000001</v>
      </c>
      <c r="MA16" s="390">
        <f t="shared" ca="1" si="537"/>
        <v>624.6786004999999</v>
      </c>
      <c r="MB16" s="390">
        <f t="shared" ca="1" si="537"/>
        <v>8.14117608447639E-4</v>
      </c>
      <c r="MC16" s="390">
        <f t="shared" ca="1" si="537"/>
        <v>0</v>
      </c>
      <c r="MD16" s="390">
        <f t="shared" ca="1" si="537"/>
        <v>0</v>
      </c>
      <c r="ME16" s="390">
        <f t="shared" ca="1" si="537"/>
        <v>0</v>
      </c>
      <c r="MF16" s="390">
        <f t="shared" ca="1" si="537"/>
        <v>0</v>
      </c>
      <c r="MG16" s="390">
        <f t="shared" ca="1" si="537"/>
        <v>0</v>
      </c>
      <c r="MH16" s="390">
        <f t="shared" ref="MH16:MI16" ca="1" si="538">MH58+MH57+MH62+MH74+MH75+MH69</f>
        <v>0</v>
      </c>
      <c r="MI16" s="390">
        <f t="shared" ca="1" si="538"/>
        <v>0</v>
      </c>
      <c r="MJ16" s="390">
        <f t="shared" ca="1" si="537"/>
        <v>0</v>
      </c>
      <c r="MK16" s="390">
        <f t="shared" ca="1" si="537"/>
        <v>0</v>
      </c>
      <c r="ML16" s="390">
        <f t="shared" ca="1" si="537"/>
        <v>0</v>
      </c>
      <c r="MM16" s="390">
        <f t="shared" ca="1" si="537"/>
        <v>0</v>
      </c>
      <c r="MN16" s="390">
        <f t="shared" ca="1" si="537"/>
        <v>0</v>
      </c>
      <c r="MO16" s="390">
        <f t="shared" ca="1" si="537"/>
        <v>0</v>
      </c>
      <c r="MQ16" s="394"/>
      <c r="MR16" s="394"/>
      <c r="MS16" s="394"/>
      <c r="MT16" s="394"/>
      <c r="MU16" s="394"/>
      <c r="MV16" s="394"/>
      <c r="MY16" s="386" t="s">
        <v>3209</v>
      </c>
      <c r="MZ16" s="387" t="s">
        <v>287</v>
      </c>
      <c r="NA16" s="390">
        <f ca="1">NA58+NA57+NA62+NA74+NA75+NA69</f>
        <v>7.1367183380999996E-2</v>
      </c>
      <c r="NB16" s="390">
        <f t="shared" ref="NB16:NP16" ca="1" si="539">NB58+NB57+NB62+NB74+NB75+NB69</f>
        <v>1.3857478663732999E-4</v>
      </c>
      <c r="NC16" s="390">
        <f t="shared" ca="1" si="539"/>
        <v>7.1228608599000001E-2</v>
      </c>
      <c r="ND16" s="390">
        <f t="shared" ca="1" si="539"/>
        <v>0</v>
      </c>
      <c r="NE16" s="390">
        <f t="shared" ca="1" si="539"/>
        <v>0</v>
      </c>
      <c r="NF16" s="390">
        <f t="shared" ca="1" si="539"/>
        <v>0</v>
      </c>
      <c r="NG16" s="390">
        <f t="shared" ca="1" si="539"/>
        <v>0</v>
      </c>
      <c r="NH16" s="390">
        <f t="shared" ca="1" si="539"/>
        <v>0</v>
      </c>
      <c r="NI16" s="390">
        <f t="shared" ca="1" si="539"/>
        <v>0</v>
      </c>
      <c r="NJ16" s="390">
        <f t="shared" ca="1" si="539"/>
        <v>0</v>
      </c>
      <c r="NK16" s="390">
        <f t="shared" ca="1" si="539"/>
        <v>0</v>
      </c>
      <c r="NL16" s="390">
        <f t="shared" ca="1" si="539"/>
        <v>0</v>
      </c>
      <c r="NM16" s="390">
        <f t="shared" ca="1" si="539"/>
        <v>0</v>
      </c>
      <c r="NN16" s="390">
        <f t="shared" ca="1" si="539"/>
        <v>0</v>
      </c>
      <c r="NO16" s="390">
        <f t="shared" ca="1" si="539"/>
        <v>0</v>
      </c>
      <c r="NP16" s="390">
        <f t="shared" ca="1" si="539"/>
        <v>0</v>
      </c>
      <c r="NR16" s="896"/>
      <c r="NS16" s="394"/>
      <c r="NT16" s="1338"/>
      <c r="NU16" s="395"/>
      <c r="NV16" s="394"/>
      <c r="NW16" s="394"/>
      <c r="NX16" s="896"/>
      <c r="NZ16" s="394"/>
      <c r="OA16" s="395"/>
      <c r="OB16" s="394"/>
      <c r="OC16" s="394"/>
      <c r="OD16" s="896"/>
      <c r="OF16" s="386" t="s">
        <v>3209</v>
      </c>
      <c r="OG16" s="387" t="s">
        <v>287</v>
      </c>
      <c r="OH16" s="390">
        <f ca="1">OH58+OH57+OH62+OH74+OH75+OH69</f>
        <v>0</v>
      </c>
      <c r="OI16" s="390">
        <f t="shared" ref="OI16:OO16" ca="1" si="540">OI58+OI57+OI62+OI74+OI75+OI69</f>
        <v>0</v>
      </c>
      <c r="OJ16" s="390">
        <f t="shared" ca="1" si="540"/>
        <v>0</v>
      </c>
      <c r="OK16" s="390">
        <f t="shared" ca="1" si="540"/>
        <v>0</v>
      </c>
      <c r="OL16" s="390">
        <f t="shared" ca="1" si="540"/>
        <v>0</v>
      </c>
      <c r="OM16" s="390">
        <f t="shared" ca="1" si="540"/>
        <v>0</v>
      </c>
      <c r="ON16" s="390">
        <f t="shared" ca="1" si="540"/>
        <v>0</v>
      </c>
      <c r="OO16" s="390">
        <f t="shared" ca="1" si="540"/>
        <v>0</v>
      </c>
      <c r="OQ16" s="896"/>
      <c r="OR16" s="394"/>
      <c r="OS16" s="1338"/>
      <c r="OT16" s="395"/>
      <c r="OU16" s="394"/>
      <c r="OV16" s="394"/>
      <c r="OW16" s="896"/>
      <c r="OY16" s="386" t="s">
        <v>3209</v>
      </c>
      <c r="OZ16" s="387" t="s">
        <v>287</v>
      </c>
      <c r="PA16" s="390">
        <f ca="1">PA58+PA57+PA62+PA74+PA75+PA69</f>
        <v>0</v>
      </c>
      <c r="PB16" s="390">
        <f t="shared" ref="PB16:PK16" ca="1" si="541">PB58+PB57+PB62+PB74+PB75+PB69</f>
        <v>0</v>
      </c>
      <c r="PC16" s="390">
        <f t="shared" ca="1" si="541"/>
        <v>0</v>
      </c>
      <c r="PD16" s="390">
        <f t="shared" ca="1" si="541"/>
        <v>0</v>
      </c>
      <c r="PE16" s="390">
        <f t="shared" ca="1" si="541"/>
        <v>0</v>
      </c>
      <c r="PF16" s="390">
        <f t="shared" ca="1" si="541"/>
        <v>0</v>
      </c>
      <c r="PG16" s="390">
        <f t="shared" ca="1" si="541"/>
        <v>0</v>
      </c>
      <c r="PH16" s="390">
        <f t="shared" ca="1" si="541"/>
        <v>0</v>
      </c>
      <c r="PI16" s="390">
        <f t="shared" ca="1" si="541"/>
        <v>0</v>
      </c>
      <c r="PJ16" s="390">
        <f t="shared" ca="1" si="541"/>
        <v>0</v>
      </c>
      <c r="PK16" s="390">
        <f t="shared" ca="1" si="541"/>
        <v>0</v>
      </c>
      <c r="PN16" s="394"/>
      <c r="PO16" s="1338"/>
      <c r="PP16" s="395"/>
      <c r="PQ16" s="394"/>
      <c r="PR16" s="394"/>
      <c r="PU16" s="386" t="s">
        <v>3209</v>
      </c>
      <c r="PV16" s="387" t="s">
        <v>287</v>
      </c>
      <c r="PW16" s="390">
        <f ca="1">PW58+PW57+PW62+PW74+PW75+PW69</f>
        <v>0</v>
      </c>
      <c r="PX16" s="390">
        <f t="shared" ref="PX16:PZ16" ca="1" si="542">PX58+PX57+PX62+PX74+PX75+PX69</f>
        <v>0</v>
      </c>
      <c r="PY16" s="390">
        <f t="shared" ca="1" si="542"/>
        <v>0</v>
      </c>
      <c r="PZ16" s="390">
        <f t="shared" ca="1" si="542"/>
        <v>0</v>
      </c>
      <c r="QB16" s="896"/>
      <c r="QC16" s="394"/>
      <c r="QD16" s="1338"/>
      <c r="QE16" s="395"/>
      <c r="QF16" s="394"/>
      <c r="QG16" s="394"/>
      <c r="QH16" s="896"/>
      <c r="QI16" s="896"/>
      <c r="QJ16" s="896"/>
      <c r="QK16" s="896"/>
    </row>
    <row r="17" spans="1:453" x14ac:dyDescent="0.25">
      <c r="A17" s="1315"/>
      <c r="H17" s="386" t="s">
        <v>3210</v>
      </c>
      <c r="I17" s="387" t="s">
        <v>287</v>
      </c>
      <c r="J17" s="390">
        <f ca="1">J68+J70+J71+J72+J73</f>
        <v>0</v>
      </c>
      <c r="K17" s="390">
        <f ca="1">K68+K70+K71+K72+K73</f>
        <v>0</v>
      </c>
      <c r="R17" s="386" t="s">
        <v>3210</v>
      </c>
      <c r="S17" s="387" t="s">
        <v>287</v>
      </c>
      <c r="T17" s="390">
        <f ca="1">T68+T70+T71+T72+T73</f>
        <v>0</v>
      </c>
      <c r="U17" s="390">
        <f t="shared" ref="U17:AD17" ca="1" si="543">U68+U70+U71+U72+U73</f>
        <v>0</v>
      </c>
      <c r="V17" s="390">
        <f t="shared" ca="1" si="543"/>
        <v>0</v>
      </c>
      <c r="W17" s="390">
        <f t="shared" ca="1" si="543"/>
        <v>0</v>
      </c>
      <c r="X17" s="390">
        <f t="shared" ca="1" si="543"/>
        <v>0</v>
      </c>
      <c r="Y17" s="390">
        <f t="shared" ca="1" si="543"/>
        <v>0</v>
      </c>
      <c r="Z17" s="390">
        <f t="shared" ca="1" si="543"/>
        <v>0</v>
      </c>
      <c r="AA17" s="390">
        <f t="shared" ca="1" si="543"/>
        <v>0</v>
      </c>
      <c r="AB17" s="390">
        <f t="shared" ca="1" si="543"/>
        <v>0</v>
      </c>
      <c r="AC17" s="390">
        <f t="shared" ca="1" si="543"/>
        <v>0</v>
      </c>
      <c r="AD17" s="390">
        <f t="shared" ca="1" si="543"/>
        <v>0</v>
      </c>
      <c r="AF17" s="386" t="s">
        <v>1956</v>
      </c>
      <c r="AG17" s="1337">
        <f t="shared" ca="1" si="1"/>
        <v>82.026985699999983</v>
      </c>
      <c r="AH17" s="1467">
        <f t="shared" ca="1" si="69"/>
        <v>7.0530512209802221E-2</v>
      </c>
      <c r="AI17" s="385" t="s">
        <v>1595</v>
      </c>
      <c r="AK17" s="386" t="s">
        <v>3210</v>
      </c>
      <c r="AL17" s="387" t="s">
        <v>287</v>
      </c>
      <c r="AM17" s="390">
        <f ca="1">AM68+AM70+AM71+AM72+AM73</f>
        <v>0</v>
      </c>
      <c r="AN17" s="390">
        <f t="shared" ref="AN17:BB17" ca="1" si="544">AN68+AN70+AN71+AN72+AN73</f>
        <v>0</v>
      </c>
      <c r="AO17" s="390">
        <f t="shared" ref="AO17:AS17" ca="1" si="545">AO68+AO70+AO71+AO72+AO73</f>
        <v>0</v>
      </c>
      <c r="AP17" s="390">
        <f t="shared" ca="1" si="545"/>
        <v>0</v>
      </c>
      <c r="AQ17" s="390">
        <f t="shared" ca="1" si="545"/>
        <v>0</v>
      </c>
      <c r="AR17" s="390">
        <f t="shared" ca="1" si="545"/>
        <v>0</v>
      </c>
      <c r="AS17" s="390">
        <f t="shared" ca="1" si="545"/>
        <v>0</v>
      </c>
      <c r="AT17" s="390">
        <f t="shared" ca="1" si="544"/>
        <v>0</v>
      </c>
      <c r="AU17" s="390">
        <f t="shared" ca="1" si="544"/>
        <v>0</v>
      </c>
      <c r="AV17" s="390">
        <f t="shared" ca="1" si="544"/>
        <v>0</v>
      </c>
      <c r="AW17" s="390">
        <f t="shared" ca="1" si="544"/>
        <v>0</v>
      </c>
      <c r="AX17" s="390">
        <f t="shared" ca="1" si="544"/>
        <v>0</v>
      </c>
      <c r="AY17" s="390">
        <f t="shared" ca="1" si="544"/>
        <v>0</v>
      </c>
      <c r="AZ17" s="390">
        <f t="shared" ca="1" si="544"/>
        <v>0</v>
      </c>
      <c r="BA17" s="390">
        <f t="shared" ca="1" si="544"/>
        <v>0</v>
      </c>
      <c r="BB17" s="390">
        <f t="shared" ca="1" si="544"/>
        <v>2481.5580500000001</v>
      </c>
      <c r="BE17" s="394"/>
      <c r="BF17" s="1338"/>
      <c r="BG17" s="395"/>
      <c r="BH17" s="394"/>
      <c r="BI17" s="394"/>
      <c r="BL17" s="386" t="s">
        <v>3210</v>
      </c>
      <c r="BM17" s="387" t="s">
        <v>287</v>
      </c>
      <c r="BN17" s="390">
        <f ca="1">BN68+BN70+BN71+BN72+BN73</f>
        <v>248.15580499999999</v>
      </c>
      <c r="BO17" s="390">
        <f t="shared" ref="BO17:BR17" ca="1" si="546">BO68+BO70+BO71+BO72+BO73</f>
        <v>271.9084891</v>
      </c>
      <c r="BP17" s="390">
        <f t="shared" ca="1" si="546"/>
        <v>0</v>
      </c>
      <c r="BQ17" s="390">
        <f t="shared" ca="1" si="546"/>
        <v>0</v>
      </c>
      <c r="BR17" s="390">
        <f t="shared" ca="1" si="546"/>
        <v>26.1890933</v>
      </c>
      <c r="BU17" s="394"/>
      <c r="BV17" s="1338"/>
      <c r="BW17" s="395"/>
      <c r="BX17" s="394"/>
      <c r="BY17" s="394"/>
      <c r="CB17" s="386" t="s">
        <v>3210</v>
      </c>
      <c r="CC17" s="387" t="s">
        <v>287</v>
      </c>
      <c r="CD17" s="390">
        <f ca="1">CD68+CD70+CD71+CD72+CD73</f>
        <v>2481.5580500000001</v>
      </c>
      <c r="CE17" s="390">
        <f t="shared" ref="CE17:CO17" ca="1" si="547">CE68+CE70+CE71+CE72+CE73</f>
        <v>2481.5580500000001</v>
      </c>
      <c r="CF17" s="390">
        <f t="shared" ca="1" si="547"/>
        <v>248.15580499999999</v>
      </c>
      <c r="CG17" s="390">
        <f t="shared" ca="1" si="547"/>
        <v>271.9084891</v>
      </c>
      <c r="CH17" s="390">
        <f t="shared" ca="1" si="547"/>
        <v>2481.5580500000001</v>
      </c>
      <c r="CI17" s="390">
        <f t="shared" ca="1" si="547"/>
        <v>0</v>
      </c>
      <c r="CJ17" s="390">
        <f t="shared" ca="1" si="547"/>
        <v>116.09195099999999</v>
      </c>
      <c r="CK17" s="390">
        <f t="shared" ca="1" si="547"/>
        <v>2610.39048</v>
      </c>
      <c r="CL17" s="390">
        <f t="shared" ca="1" si="547"/>
        <v>0</v>
      </c>
      <c r="CM17" s="390">
        <f t="shared" ca="1" si="547"/>
        <v>0</v>
      </c>
      <c r="CN17" s="390">
        <f t="shared" ca="1" si="547"/>
        <v>2610.39048</v>
      </c>
      <c r="CO17" s="390">
        <f t="shared" ca="1" si="547"/>
        <v>0</v>
      </c>
      <c r="CQ17" s="394"/>
      <c r="CR17" s="394"/>
      <c r="CS17" s="395"/>
      <c r="CT17" s="394"/>
      <c r="CU17" s="395"/>
      <c r="CV17" s="394"/>
      <c r="CW17" s="896"/>
      <c r="CY17" s="386" t="s">
        <v>3210</v>
      </c>
      <c r="CZ17" s="387" t="s">
        <v>287</v>
      </c>
      <c r="DA17" s="390">
        <f ca="1">DA68+DA70+DA71+DA72+DA73</f>
        <v>0</v>
      </c>
      <c r="DB17" s="390">
        <f t="shared" ref="DB17:DJ17" ca="1" si="548">DB68+DB70+DB71+DB72+DB73</f>
        <v>0</v>
      </c>
      <c r="DC17" s="390">
        <f t="shared" ca="1" si="548"/>
        <v>0</v>
      </c>
      <c r="DD17" s="390">
        <f t="shared" ca="1" si="548"/>
        <v>0</v>
      </c>
      <c r="DE17" s="390">
        <f t="shared" ca="1" si="548"/>
        <v>0</v>
      </c>
      <c r="DF17" s="390">
        <f t="shared" ca="1" si="548"/>
        <v>0</v>
      </c>
      <c r="DG17" s="390">
        <f t="shared" ca="1" si="548"/>
        <v>0</v>
      </c>
      <c r="DH17" s="390">
        <f t="shared" ca="1" si="548"/>
        <v>0</v>
      </c>
      <c r="DI17" s="390">
        <f t="shared" ca="1" si="548"/>
        <v>0</v>
      </c>
      <c r="DJ17" s="390">
        <f t="shared" ca="1" si="548"/>
        <v>0</v>
      </c>
      <c r="DM17" s="394"/>
      <c r="DN17" s="1338"/>
      <c r="DO17" s="395"/>
      <c r="DP17" s="394"/>
      <c r="DQ17" s="394"/>
      <c r="DT17" s="386" t="s">
        <v>3210</v>
      </c>
      <c r="DU17" s="387" t="s">
        <v>287</v>
      </c>
      <c r="DV17" s="390">
        <f ca="1">DV68+DV70+DV71+DV72+DV73</f>
        <v>0</v>
      </c>
      <c r="DW17" s="390">
        <f t="shared" ref="DW17:EK17" ca="1" si="549">DW68+DW70+DW71+DW72+DW73</f>
        <v>0</v>
      </c>
      <c r="DX17" s="390">
        <f t="shared" ca="1" si="549"/>
        <v>0</v>
      </c>
      <c r="DY17" s="390">
        <f t="shared" ca="1" si="549"/>
        <v>0</v>
      </c>
      <c r="DZ17" s="390">
        <f t="shared" ca="1" si="549"/>
        <v>0</v>
      </c>
      <c r="EA17" s="390">
        <f t="shared" ca="1" si="549"/>
        <v>0</v>
      </c>
      <c r="EB17" s="390">
        <f t="shared" ca="1" si="549"/>
        <v>0</v>
      </c>
      <c r="EC17" s="390">
        <f t="shared" ca="1" si="549"/>
        <v>0</v>
      </c>
      <c r="ED17" s="390">
        <f t="shared" ca="1" si="549"/>
        <v>0</v>
      </c>
      <c r="EE17" s="390">
        <f t="shared" ca="1" si="549"/>
        <v>0</v>
      </c>
      <c r="EF17" s="390">
        <f t="shared" ca="1" si="549"/>
        <v>0</v>
      </c>
      <c r="EG17" s="390">
        <f t="shared" ca="1" si="549"/>
        <v>0</v>
      </c>
      <c r="EH17" s="390">
        <f t="shared" ca="1" si="549"/>
        <v>0</v>
      </c>
      <c r="EI17" s="390">
        <f t="shared" ca="1" si="549"/>
        <v>0</v>
      </c>
      <c r="EJ17" s="390">
        <f t="shared" ref="EJ17" ca="1" si="550">EJ68+EJ70+EJ71+EJ72+EJ73</f>
        <v>0</v>
      </c>
      <c r="EK17" s="390">
        <f t="shared" ca="1" si="549"/>
        <v>0</v>
      </c>
      <c r="EM17" s="394"/>
      <c r="EN17" s="394"/>
      <c r="EO17" s="395"/>
      <c r="EP17" s="394"/>
      <c r="EQ17" s="395"/>
      <c r="ER17" s="394"/>
      <c r="ES17" s="896"/>
      <c r="EU17" s="386" t="s">
        <v>3210</v>
      </c>
      <c r="EV17" s="387" t="s">
        <v>287</v>
      </c>
      <c r="EW17" s="390">
        <f ca="1">EW68+EW70+EW71+EW72+EW73</f>
        <v>2610.39048</v>
      </c>
      <c r="EX17" s="390">
        <f t="shared" ref="EX17:FB17" ca="1" si="551">EX68+EX70+EX71+EX72+EX73</f>
        <v>2610.39048</v>
      </c>
      <c r="EY17" s="390">
        <f t="shared" ca="1" si="551"/>
        <v>2610.39048</v>
      </c>
      <c r="EZ17" s="390">
        <f t="shared" ca="1" si="551"/>
        <v>2610.39048</v>
      </c>
      <c r="FA17" s="390">
        <f t="shared" ca="1" si="551"/>
        <v>0</v>
      </c>
      <c r="FB17" s="390">
        <f t="shared" ca="1" si="551"/>
        <v>0</v>
      </c>
      <c r="FD17" s="896"/>
      <c r="FE17" s="394"/>
      <c r="FF17" s="1338"/>
      <c r="FG17" s="395"/>
      <c r="FH17" s="394"/>
      <c r="FI17" s="394"/>
      <c r="FJ17" s="896"/>
      <c r="FL17" s="386" t="s">
        <v>3210</v>
      </c>
      <c r="FM17" s="387" t="s">
        <v>287</v>
      </c>
      <c r="FN17" s="390">
        <f ca="1">FN68+FN70+FN71+FN72+FN73</f>
        <v>0</v>
      </c>
      <c r="FO17" s="390">
        <f t="shared" ref="FO17:FX17" ca="1" si="552">FO68+FO70+FO71+FO72+FO73</f>
        <v>0</v>
      </c>
      <c r="FP17" s="390">
        <f t="shared" ca="1" si="552"/>
        <v>0</v>
      </c>
      <c r="FQ17" s="390">
        <f t="shared" ca="1" si="552"/>
        <v>0</v>
      </c>
      <c r="FR17" s="390">
        <f t="shared" ca="1" si="552"/>
        <v>0</v>
      </c>
      <c r="FS17" s="390">
        <f t="shared" ca="1" si="552"/>
        <v>0</v>
      </c>
      <c r="FT17" s="390">
        <f t="shared" ca="1" si="552"/>
        <v>0</v>
      </c>
      <c r="FU17" s="390">
        <f t="shared" ca="1" si="552"/>
        <v>0</v>
      </c>
      <c r="FV17" s="390">
        <f t="shared" ca="1" si="552"/>
        <v>0</v>
      </c>
      <c r="FW17" s="390">
        <f t="shared" ca="1" si="552"/>
        <v>0</v>
      </c>
      <c r="FX17" s="390">
        <f t="shared" ca="1" si="552"/>
        <v>0</v>
      </c>
      <c r="FZ17" s="385"/>
      <c r="GA17" s="394"/>
      <c r="GB17" s="395"/>
      <c r="GC17" s="394"/>
      <c r="GD17" s="395"/>
      <c r="GE17" s="394"/>
      <c r="GF17" s="896"/>
      <c r="GH17" s="386" t="s">
        <v>3210</v>
      </c>
      <c r="GI17" s="387" t="s">
        <v>287</v>
      </c>
      <c r="GJ17" s="390">
        <f ca="1">GJ68+GJ70+GJ71+GJ72+GJ73</f>
        <v>0</v>
      </c>
      <c r="GK17" s="390">
        <f t="shared" ref="GK17:GQ17" ca="1" si="553">GK68+GK70+GK71+GK72+GK73</f>
        <v>0</v>
      </c>
      <c r="GL17" s="390">
        <f t="shared" ca="1" si="553"/>
        <v>0</v>
      </c>
      <c r="GM17" s="390">
        <f t="shared" ca="1" si="553"/>
        <v>0</v>
      </c>
      <c r="GN17" s="390">
        <f t="shared" ca="1" si="553"/>
        <v>0</v>
      </c>
      <c r="GO17" s="390">
        <f t="shared" ca="1" si="553"/>
        <v>0</v>
      </c>
      <c r="GP17" s="390">
        <f t="shared" ca="1" si="553"/>
        <v>0</v>
      </c>
      <c r="GQ17" s="390">
        <f t="shared" ca="1" si="553"/>
        <v>0</v>
      </c>
      <c r="GS17" s="896"/>
      <c r="GT17" s="394"/>
      <c r="GU17" s="1338"/>
      <c r="GV17" s="395"/>
      <c r="GW17" s="394"/>
      <c r="GX17" s="394"/>
      <c r="GY17" s="896"/>
      <c r="HA17" s="386" t="s">
        <v>3210</v>
      </c>
      <c r="HB17" s="387" t="s">
        <v>287</v>
      </c>
      <c r="HC17" s="390">
        <f ca="1">HC68+HC70+HC71+HC72+HC73</f>
        <v>2610.39048</v>
      </c>
      <c r="HD17" s="390">
        <f t="shared" ref="HD17:HH17" ca="1" si="554">HD68+HD70+HD71+HD72+HD73</f>
        <v>2513.2015260000003</v>
      </c>
      <c r="HE17" s="390">
        <f t="shared" ca="1" si="554"/>
        <v>0</v>
      </c>
      <c r="HF17" s="390">
        <f t="shared" ca="1" si="554"/>
        <v>0</v>
      </c>
      <c r="HG17" s="390">
        <f t="shared" ca="1" si="554"/>
        <v>97.188953720000001</v>
      </c>
      <c r="HH17" s="390">
        <f t="shared" ca="1" si="554"/>
        <v>2513.2015260000003</v>
      </c>
      <c r="HK17" s="394"/>
      <c r="HL17" s="1338"/>
      <c r="HM17" s="395"/>
      <c r="HN17" s="394"/>
      <c r="HO17" s="394"/>
      <c r="HR17" s="386" t="s">
        <v>3210</v>
      </c>
      <c r="HS17" s="387" t="s">
        <v>287</v>
      </c>
      <c r="HT17" s="390">
        <f ca="1">HT68+HT70+HT71+HT72+HT73</f>
        <v>0</v>
      </c>
      <c r="HU17" s="390">
        <f t="shared" ref="HU17:IE17" ca="1" si="555">HU68+HU70+HU71+HU72+HU73</f>
        <v>2513.2015260000003</v>
      </c>
      <c r="HV17" s="390">
        <f t="shared" ca="1" si="555"/>
        <v>2513.2015260000003</v>
      </c>
      <c r="HW17" s="390">
        <f t="shared" ca="1" si="555"/>
        <v>2513.2015260000003</v>
      </c>
      <c r="HX17" s="390">
        <f t="shared" ca="1" si="555"/>
        <v>109.889008</v>
      </c>
      <c r="HY17" s="390">
        <f t="shared" ca="1" si="555"/>
        <v>8.35642481</v>
      </c>
      <c r="HZ17" s="390">
        <f t="shared" ca="1" si="555"/>
        <v>3.22774015E-3</v>
      </c>
      <c r="IA17" s="390">
        <f t="shared" ca="1" si="555"/>
        <v>3.22774015E-3</v>
      </c>
      <c r="IB17" s="390">
        <f t="shared" ca="1" si="555"/>
        <v>0</v>
      </c>
      <c r="IC17" s="390">
        <f t="shared" ca="1" si="555"/>
        <v>0</v>
      </c>
      <c r="ID17" s="390">
        <f t="shared" ca="1" si="555"/>
        <v>0</v>
      </c>
      <c r="IE17" s="390">
        <f t="shared" ca="1" si="555"/>
        <v>0</v>
      </c>
      <c r="IH17" s="394"/>
      <c r="II17" s="1338"/>
      <c r="IJ17" s="395"/>
      <c r="IK17" s="394"/>
      <c r="IL17" s="394"/>
      <c r="IO17" s="386" t="s">
        <v>3210</v>
      </c>
      <c r="IP17" s="387" t="s">
        <v>287</v>
      </c>
      <c r="IQ17" s="390">
        <f ca="1">IQ68+IQ70+IQ71+IQ72+IQ73</f>
        <v>109.889008</v>
      </c>
      <c r="IR17" s="390">
        <f t="shared" ref="IR17:JH17" ca="1" si="556">IR68+IR70+IR71+IR72+IR73</f>
        <v>8.35642481</v>
      </c>
      <c r="IS17" s="390">
        <f t="shared" ca="1" si="556"/>
        <v>1119.3425393</v>
      </c>
      <c r="IT17" s="390">
        <f t="shared" ca="1" si="556"/>
        <v>1127.6989641</v>
      </c>
      <c r="IU17" s="390">
        <f t="shared" ref="IU17" ca="1" si="557">IU68+IU70+IU71+IU72+IU73</f>
        <v>1052.4775225999999</v>
      </c>
      <c r="IV17" s="390">
        <f t="shared" ca="1" si="556"/>
        <v>32811.685104000004</v>
      </c>
      <c r="IW17" s="390">
        <f t="shared" ca="1" si="556"/>
        <v>26864.220982999999</v>
      </c>
      <c r="IX17" s="390">
        <f t="shared" ref="IX17" ca="1" si="558">IX68+IX70+IX71+IX72+IX73</f>
        <v>0.41778968</v>
      </c>
      <c r="IY17" s="390">
        <f t="shared" ca="1" si="556"/>
        <v>75.221439110000006</v>
      </c>
      <c r="IZ17" s="390">
        <f t="shared" ca="1" si="556"/>
        <v>4828.122531</v>
      </c>
      <c r="JA17" s="390">
        <f t="shared" ca="1" si="556"/>
        <v>27983.563532</v>
      </c>
      <c r="JB17" s="390">
        <f t="shared" ca="1" si="556"/>
        <v>0</v>
      </c>
      <c r="JC17" s="390">
        <f t="shared" ca="1" si="556"/>
        <v>4828.1193010000006</v>
      </c>
      <c r="JD17" s="390">
        <f t="shared" ca="1" si="556"/>
        <v>0</v>
      </c>
      <c r="JE17" s="390">
        <f t="shared" ca="1" si="556"/>
        <v>4828.122531</v>
      </c>
      <c r="JF17" s="390">
        <f t="shared" ca="1" si="556"/>
        <v>0</v>
      </c>
      <c r="JG17" s="390">
        <f t="shared" ca="1" si="556"/>
        <v>2251.9846600000001</v>
      </c>
      <c r="JH17" s="390">
        <f t="shared" ca="1" si="556"/>
        <v>3.22774015E-3</v>
      </c>
      <c r="JK17" s="394"/>
      <c r="JL17" s="1338"/>
      <c r="JM17" s="395"/>
      <c r="JN17" s="394"/>
      <c r="JO17" s="394"/>
      <c r="JR17" s="386" t="s">
        <v>3210</v>
      </c>
      <c r="JS17" s="387" t="s">
        <v>287</v>
      </c>
      <c r="JT17" s="390">
        <f ca="1">JT68+JT70+JT71+JT72+JT73</f>
        <v>0</v>
      </c>
      <c r="JU17" s="390">
        <f t="shared" ref="JU17:KC17" ca="1" si="559">JU68+JU70+JU71+JU72+JU73</f>
        <v>0</v>
      </c>
      <c r="JV17" s="390">
        <f t="shared" ca="1" si="559"/>
        <v>0</v>
      </c>
      <c r="JW17" s="390">
        <f t="shared" ca="1" si="559"/>
        <v>0</v>
      </c>
      <c r="JX17" s="390">
        <f t="shared" ca="1" si="559"/>
        <v>0</v>
      </c>
      <c r="JY17" s="390">
        <f t="shared" ca="1" si="559"/>
        <v>0</v>
      </c>
      <c r="JZ17" s="390">
        <f t="shared" ca="1" si="559"/>
        <v>0</v>
      </c>
      <c r="KA17" s="390">
        <f t="shared" ca="1" si="559"/>
        <v>0</v>
      </c>
      <c r="KB17" s="390">
        <f t="shared" ca="1" si="559"/>
        <v>0</v>
      </c>
      <c r="KC17" s="390">
        <f t="shared" ca="1" si="559"/>
        <v>0</v>
      </c>
      <c r="KE17" s="385"/>
      <c r="KF17" s="394"/>
      <c r="KG17" s="394"/>
      <c r="KJ17" s="386" t="s">
        <v>3210</v>
      </c>
      <c r="KK17" s="387" t="s">
        <v>287</v>
      </c>
      <c r="KL17" s="390">
        <f ca="1">KL68+KL70+KL71+KL72+KL73</f>
        <v>0</v>
      </c>
      <c r="KM17" s="390">
        <f t="shared" ref="KM17:KR17" ca="1" si="560">KM68+KM70+KM71+KM72+KM73</f>
        <v>26.1890933</v>
      </c>
      <c r="KN17" s="390">
        <f t="shared" ca="1" si="560"/>
        <v>116.09195099999999</v>
      </c>
      <c r="KO17" s="390">
        <f t="shared" ca="1" si="560"/>
        <v>0</v>
      </c>
      <c r="KP17" s="390">
        <f t="shared" ca="1" si="560"/>
        <v>0</v>
      </c>
      <c r="KQ17" s="390">
        <f t="shared" ca="1" si="560"/>
        <v>0</v>
      </c>
      <c r="KR17" s="390">
        <f t="shared" ca="1" si="560"/>
        <v>142.28104400000001</v>
      </c>
      <c r="KT17" s="395"/>
      <c r="KU17" s="394"/>
      <c r="KV17" s="394"/>
      <c r="KY17" s="386" t="s">
        <v>3210</v>
      </c>
      <c r="KZ17" s="387" t="s">
        <v>287</v>
      </c>
      <c r="LA17" s="390">
        <f ca="1">LA68+LA70+LA71+LA72+LA73</f>
        <v>0</v>
      </c>
      <c r="LB17" s="390">
        <f t="shared" ref="LB17:LK17" ca="1" si="561">LB68+LB70+LB71+LB72+LB73</f>
        <v>3.22774015E-3</v>
      </c>
      <c r="LC17" s="390">
        <f t="shared" ca="1" si="561"/>
        <v>3.22774015E-3</v>
      </c>
      <c r="LD17" s="390">
        <f t="shared" ca="1" si="561"/>
        <v>3.22774015E-3</v>
      </c>
      <c r="LE17" s="390">
        <f t="shared" ca="1" si="561"/>
        <v>0</v>
      </c>
      <c r="LF17" s="390">
        <f t="shared" ca="1" si="561"/>
        <v>80.02130133</v>
      </c>
      <c r="LG17" s="390">
        <f t="shared" ca="1" si="561"/>
        <v>80.02130133</v>
      </c>
      <c r="LH17" s="390">
        <f t="shared" ca="1" si="561"/>
        <v>0</v>
      </c>
      <c r="LI17" s="390">
        <f t="shared" ca="1" si="561"/>
        <v>80.02130133</v>
      </c>
      <c r="LJ17" s="390">
        <f t="shared" ca="1" si="561"/>
        <v>0</v>
      </c>
      <c r="LK17" s="390">
        <f t="shared" ca="1" si="561"/>
        <v>0</v>
      </c>
      <c r="LN17" s="394"/>
      <c r="LO17" s="1338"/>
      <c r="LP17" s="395"/>
      <c r="LQ17" s="394"/>
      <c r="LR17" s="394"/>
      <c r="LU17" s="386" t="s">
        <v>3210</v>
      </c>
      <c r="LV17" s="387" t="s">
        <v>287</v>
      </c>
      <c r="LW17" s="390">
        <f ca="1">LW68+LW70+LW71+LW72+LW73</f>
        <v>0</v>
      </c>
      <c r="LX17" s="390">
        <f ca="1">LX68+LX70+LX71+LX72+LX73</f>
        <v>0</v>
      </c>
      <c r="LY17" s="390">
        <f t="shared" ref="LY17:MO17" ca="1" si="562">LY68+LY70+LY71+LY72+LY73</f>
        <v>97.188953720000001</v>
      </c>
      <c r="LZ17" s="390">
        <f t="shared" ca="1" si="562"/>
        <v>75.221439110000006</v>
      </c>
      <c r="MA17" s="390">
        <f t="shared" ca="1" si="562"/>
        <v>172.41039283000001</v>
      </c>
      <c r="MB17" s="390">
        <f t="shared" ca="1" si="562"/>
        <v>3.22774015E-3</v>
      </c>
      <c r="MC17" s="390">
        <f t="shared" ca="1" si="562"/>
        <v>80.02130133</v>
      </c>
      <c r="MD17" s="390">
        <f t="shared" ca="1" si="562"/>
        <v>0</v>
      </c>
      <c r="ME17" s="390">
        <f t="shared" ca="1" si="562"/>
        <v>0</v>
      </c>
      <c r="MF17" s="390">
        <f t="shared" ca="1" si="562"/>
        <v>0</v>
      </c>
      <c r="MG17" s="390">
        <f t="shared" ca="1" si="562"/>
        <v>0</v>
      </c>
      <c r="MH17" s="390">
        <f t="shared" ref="MH17:MI17" ca="1" si="563">MH68+MH70+MH71+MH72+MH73</f>
        <v>0</v>
      </c>
      <c r="MI17" s="390">
        <f t="shared" ca="1" si="563"/>
        <v>0</v>
      </c>
      <c r="MJ17" s="390">
        <f t="shared" ca="1" si="562"/>
        <v>0</v>
      </c>
      <c r="MK17" s="390">
        <f t="shared" ca="1" si="562"/>
        <v>0</v>
      </c>
      <c r="ML17" s="390">
        <f t="shared" ca="1" si="562"/>
        <v>0</v>
      </c>
      <c r="MM17" s="390">
        <f t="shared" ca="1" si="562"/>
        <v>0</v>
      </c>
      <c r="MN17" s="390">
        <f t="shared" ca="1" si="562"/>
        <v>0</v>
      </c>
      <c r="MO17" s="390">
        <f t="shared" ca="1" si="562"/>
        <v>0</v>
      </c>
      <c r="MQ17" s="394"/>
      <c r="MR17" s="394"/>
      <c r="MS17" s="395"/>
      <c r="MT17" s="394"/>
      <c r="MU17" s="395"/>
      <c r="MV17" s="394"/>
      <c r="MY17" s="386" t="s">
        <v>3210</v>
      </c>
      <c r="MZ17" s="387" t="s">
        <v>287</v>
      </c>
      <c r="NA17" s="390">
        <f ca="1">NA68+NA70+NA71+NA72+NA73</f>
        <v>0</v>
      </c>
      <c r="NB17" s="390">
        <f t="shared" ref="NB17:NP17" ca="1" si="564">NB68+NB70+NB71+NB72+NB73</f>
        <v>0</v>
      </c>
      <c r="NC17" s="390">
        <f t="shared" ca="1" si="564"/>
        <v>0</v>
      </c>
      <c r="ND17" s="390">
        <f t="shared" ca="1" si="564"/>
        <v>0</v>
      </c>
      <c r="NE17" s="390">
        <f t="shared" ca="1" si="564"/>
        <v>0</v>
      </c>
      <c r="NF17" s="390">
        <f t="shared" ca="1" si="564"/>
        <v>0</v>
      </c>
      <c r="NG17" s="390">
        <f t="shared" ca="1" si="564"/>
        <v>0</v>
      </c>
      <c r="NH17" s="390">
        <f t="shared" ca="1" si="564"/>
        <v>0</v>
      </c>
      <c r="NI17" s="390">
        <f t="shared" ca="1" si="564"/>
        <v>0</v>
      </c>
      <c r="NJ17" s="390">
        <f t="shared" ca="1" si="564"/>
        <v>0</v>
      </c>
      <c r="NK17" s="390">
        <f t="shared" ca="1" si="564"/>
        <v>0</v>
      </c>
      <c r="NL17" s="390">
        <f t="shared" ca="1" si="564"/>
        <v>0</v>
      </c>
      <c r="NM17" s="390">
        <f t="shared" ca="1" si="564"/>
        <v>0</v>
      </c>
      <c r="NN17" s="390">
        <f t="shared" ca="1" si="564"/>
        <v>0</v>
      </c>
      <c r="NO17" s="390">
        <f t="shared" ca="1" si="564"/>
        <v>0</v>
      </c>
      <c r="NP17" s="390">
        <f t="shared" ca="1" si="564"/>
        <v>0</v>
      </c>
      <c r="NR17" s="394"/>
      <c r="NS17" s="394"/>
      <c r="NT17" s="394"/>
      <c r="NU17" s="394"/>
      <c r="NV17" s="394"/>
      <c r="NW17" s="394"/>
      <c r="NX17" s="896"/>
      <c r="NZ17" s="394"/>
      <c r="OA17" s="395"/>
      <c r="OB17" s="394"/>
      <c r="OC17" s="394"/>
      <c r="OD17" s="896"/>
      <c r="OF17" s="386" t="s">
        <v>3210</v>
      </c>
      <c r="OG17" s="387" t="s">
        <v>287</v>
      </c>
      <c r="OH17" s="390">
        <f ca="1">OH68+OH70+OH71+OH72+OH73</f>
        <v>0</v>
      </c>
      <c r="OI17" s="390">
        <f t="shared" ref="OI17:OO17" ca="1" si="565">OI68+OI70+OI71+OI72+OI73</f>
        <v>0</v>
      </c>
      <c r="OJ17" s="390">
        <f t="shared" ca="1" si="565"/>
        <v>0</v>
      </c>
      <c r="OK17" s="390">
        <f t="shared" ca="1" si="565"/>
        <v>0</v>
      </c>
      <c r="OL17" s="390">
        <f t="shared" ca="1" si="565"/>
        <v>0</v>
      </c>
      <c r="OM17" s="390">
        <f t="shared" ca="1" si="565"/>
        <v>0</v>
      </c>
      <c r="ON17" s="390">
        <f t="shared" ca="1" si="565"/>
        <v>0</v>
      </c>
      <c r="OO17" s="390">
        <f t="shared" ca="1" si="565"/>
        <v>0</v>
      </c>
      <c r="OQ17" s="896"/>
      <c r="OR17" s="394"/>
      <c r="OS17" s="1338"/>
      <c r="OT17" s="395"/>
      <c r="OU17" s="394"/>
      <c r="OV17" s="394"/>
      <c r="OW17" s="896"/>
      <c r="OY17" s="386" t="s">
        <v>3210</v>
      </c>
      <c r="OZ17" s="387" t="s">
        <v>287</v>
      </c>
      <c r="PA17" s="390">
        <f ca="1">PA68+PA70+PA71+PA72+PA73</f>
        <v>0</v>
      </c>
      <c r="PB17" s="390">
        <f t="shared" ref="PB17:PK17" ca="1" si="566">PB68+PB70+PB71+PB72+PB73</f>
        <v>0</v>
      </c>
      <c r="PC17" s="390">
        <f t="shared" ca="1" si="566"/>
        <v>0</v>
      </c>
      <c r="PD17" s="390">
        <f t="shared" ca="1" si="566"/>
        <v>0</v>
      </c>
      <c r="PE17" s="390">
        <f t="shared" ca="1" si="566"/>
        <v>0</v>
      </c>
      <c r="PF17" s="390">
        <f t="shared" ca="1" si="566"/>
        <v>0</v>
      </c>
      <c r="PG17" s="390">
        <f t="shared" ca="1" si="566"/>
        <v>0</v>
      </c>
      <c r="PH17" s="390">
        <f t="shared" ca="1" si="566"/>
        <v>0</v>
      </c>
      <c r="PI17" s="390">
        <f t="shared" ca="1" si="566"/>
        <v>0</v>
      </c>
      <c r="PJ17" s="390">
        <f t="shared" ca="1" si="566"/>
        <v>0</v>
      </c>
      <c r="PK17" s="390">
        <f t="shared" ca="1" si="566"/>
        <v>0</v>
      </c>
      <c r="PN17" s="394"/>
      <c r="PO17" s="1338"/>
      <c r="PP17" s="395"/>
      <c r="PQ17" s="394"/>
      <c r="PR17" s="394"/>
      <c r="PU17" s="386" t="s">
        <v>3210</v>
      </c>
      <c r="PV17" s="387" t="s">
        <v>287</v>
      </c>
      <c r="PW17" s="390">
        <f ca="1">PW68+PW70+PW71+PW72+PW73</f>
        <v>0</v>
      </c>
      <c r="PX17" s="390">
        <f t="shared" ref="PX17:PZ17" ca="1" si="567">PX68+PX70+PX71+PX72+PX73</f>
        <v>0</v>
      </c>
      <c r="PY17" s="390">
        <f t="shared" ca="1" si="567"/>
        <v>0</v>
      </c>
      <c r="PZ17" s="390">
        <f t="shared" ca="1" si="567"/>
        <v>0</v>
      </c>
      <c r="QB17" s="896"/>
      <c r="QC17" s="394"/>
      <c r="QD17" s="1338"/>
      <c r="QE17" s="395"/>
      <c r="QF17" s="394"/>
      <c r="QG17" s="394"/>
      <c r="QH17" s="896"/>
      <c r="QI17" s="896"/>
      <c r="QJ17" s="896"/>
      <c r="QK17" s="896"/>
    </row>
    <row r="18" spans="1:453" x14ac:dyDescent="0.25">
      <c r="A18" s="1315"/>
      <c r="H18" s="386" t="s">
        <v>431</v>
      </c>
      <c r="I18" s="387" t="s">
        <v>287</v>
      </c>
      <c r="J18" s="390">
        <f ca="1">J66</f>
        <v>0</v>
      </c>
      <c r="K18" s="390">
        <f ca="1">K66</f>
        <v>0</v>
      </c>
      <c r="R18" s="386" t="s">
        <v>431</v>
      </c>
      <c r="S18" s="387" t="s">
        <v>287</v>
      </c>
      <c r="T18" s="390">
        <f ca="1">T66</f>
        <v>0</v>
      </c>
      <c r="U18" s="390">
        <f t="shared" ref="U18:AD18" ca="1" si="568">U66</f>
        <v>0</v>
      </c>
      <c r="V18" s="390">
        <f t="shared" ca="1" si="568"/>
        <v>1.9941296999999998E-8</v>
      </c>
      <c r="W18" s="390">
        <f t="shared" ca="1" si="568"/>
        <v>0</v>
      </c>
      <c r="X18" s="390">
        <f t="shared" ca="1" si="568"/>
        <v>0</v>
      </c>
      <c r="Y18" s="390">
        <f t="shared" ca="1" si="568"/>
        <v>1.9941296999999998E-8</v>
      </c>
      <c r="Z18" s="390">
        <f t="shared" ca="1" si="568"/>
        <v>7.4045465700000007E-9</v>
      </c>
      <c r="AA18" s="390">
        <f t="shared" ca="1" si="568"/>
        <v>1.25367504E-8</v>
      </c>
      <c r="AB18" s="390">
        <f t="shared" ca="1" si="568"/>
        <v>0</v>
      </c>
      <c r="AC18" s="390">
        <f t="shared" ca="1" si="568"/>
        <v>1.9941296999999998E-8</v>
      </c>
      <c r="AD18" s="390">
        <f t="shared" ca="1" si="568"/>
        <v>0</v>
      </c>
      <c r="AF18" s="386" t="s">
        <v>1958</v>
      </c>
      <c r="AG18" s="1337">
        <f t="shared" ca="1" si="1"/>
        <v>1</v>
      </c>
      <c r="AH18" s="1467">
        <f t="shared" ca="1" si="69"/>
        <v>8.598452278589854E-4</v>
      </c>
      <c r="AI18" s="385" t="s">
        <v>1214</v>
      </c>
      <c r="AK18" s="386" t="s">
        <v>431</v>
      </c>
      <c r="AL18" s="387" t="s">
        <v>287</v>
      </c>
      <c r="AM18" s="390">
        <f ca="1">AM66</f>
        <v>0</v>
      </c>
      <c r="AN18" s="390">
        <f t="shared" ref="AN18:BB18" ca="1" si="569">AN66</f>
        <v>0</v>
      </c>
      <c r="AO18" s="390">
        <f t="shared" ref="AO18:AS18" ca="1" si="570">AO66</f>
        <v>1.25367504E-8</v>
      </c>
      <c r="AP18" s="390">
        <f t="shared" ca="1" si="570"/>
        <v>1.25367504E-8</v>
      </c>
      <c r="AQ18" s="390">
        <f t="shared" ca="1" si="570"/>
        <v>5.3050979400000001E-9</v>
      </c>
      <c r="AR18" s="390">
        <f t="shared" ca="1" si="570"/>
        <v>7.2765281000000005E-9</v>
      </c>
      <c r="AS18" s="390">
        <f t="shared" ca="1" si="570"/>
        <v>1.28018469E-10</v>
      </c>
      <c r="AT18" s="390">
        <f t="shared" ca="1" si="569"/>
        <v>1.1594029E-8</v>
      </c>
      <c r="AU18" s="390">
        <f t="shared" ca="1" si="569"/>
        <v>9.8759705800000003E-10</v>
      </c>
      <c r="AV18" s="390">
        <f t="shared" ca="1" si="569"/>
        <v>7.2316524700000004E-9</v>
      </c>
      <c r="AW18" s="390">
        <f t="shared" ca="1" si="569"/>
        <v>1.1594029E-8</v>
      </c>
      <c r="AX18" s="390">
        <f t="shared" ca="1" si="569"/>
        <v>1.27096445E-8</v>
      </c>
      <c r="AY18" s="390">
        <f t="shared" ca="1" si="569"/>
        <v>1050.8174799999999</v>
      </c>
      <c r="AZ18" s="390">
        <f t="shared" ca="1" si="569"/>
        <v>0</v>
      </c>
      <c r="BA18" s="390">
        <f t="shared" ca="1" si="569"/>
        <v>1050.8174799999999</v>
      </c>
      <c r="BB18" s="390">
        <f t="shared" ca="1" si="569"/>
        <v>0</v>
      </c>
      <c r="BE18" s="394"/>
      <c r="BF18" s="1338"/>
      <c r="BG18" s="395"/>
      <c r="BH18" s="394"/>
      <c r="BI18" s="394"/>
      <c r="BL18" s="386" t="s">
        <v>431</v>
      </c>
      <c r="BM18" s="387" t="s">
        <v>287</v>
      </c>
      <c r="BN18" s="390">
        <f ca="1">BN66</f>
        <v>2.0126485999999999E-2</v>
      </c>
      <c r="BO18" s="390">
        <f t="shared" ref="BO18:BR18" ca="1" si="571">BO66</f>
        <v>1.97207106E-2</v>
      </c>
      <c r="BP18" s="390">
        <f t="shared" ca="1" si="571"/>
        <v>4.0577540000000001E-4</v>
      </c>
      <c r="BQ18" s="390">
        <f t="shared" ca="1" si="571"/>
        <v>0</v>
      </c>
      <c r="BR18" s="390">
        <f t="shared" ca="1" si="571"/>
        <v>0</v>
      </c>
      <c r="BU18" s="394"/>
      <c r="BV18" s="1338"/>
      <c r="BW18" s="395"/>
      <c r="BX18" s="394"/>
      <c r="BY18" s="394"/>
      <c r="CB18" s="386" t="s">
        <v>431</v>
      </c>
      <c r="CC18" s="387" t="s">
        <v>287</v>
      </c>
      <c r="CD18" s="390">
        <f ca="1">CD66</f>
        <v>0</v>
      </c>
      <c r="CE18" s="390">
        <f t="shared" ref="CE18:CO18" ca="1" si="572">CE66</f>
        <v>0</v>
      </c>
      <c r="CF18" s="390">
        <f t="shared" ca="1" si="572"/>
        <v>2.0126485999999999E-2</v>
      </c>
      <c r="CG18" s="390">
        <f t="shared" ca="1" si="572"/>
        <v>1.97207106E-2</v>
      </c>
      <c r="CH18" s="390">
        <f t="shared" ca="1" si="572"/>
        <v>0.20126190999999999</v>
      </c>
      <c r="CI18" s="390">
        <f t="shared" ca="1" si="572"/>
        <v>0</v>
      </c>
      <c r="CJ18" s="390">
        <f t="shared" ca="1" si="572"/>
        <v>0</v>
      </c>
      <c r="CK18" s="390">
        <f t="shared" ca="1" si="572"/>
        <v>0.19692146299999999</v>
      </c>
      <c r="CL18" s="390">
        <f t="shared" ca="1" si="572"/>
        <v>3.9376215100000002E-3</v>
      </c>
      <c r="CM18" s="390">
        <f t="shared" ca="1" si="572"/>
        <v>0.20126190999999999</v>
      </c>
      <c r="CN18" s="390">
        <f t="shared" ca="1" si="572"/>
        <v>0.20290461600000001</v>
      </c>
      <c r="CO18" s="390">
        <f t="shared" ca="1" si="572"/>
        <v>5.98315316E-3</v>
      </c>
      <c r="CQ18" s="394"/>
      <c r="CR18" s="394"/>
      <c r="CS18" s="395"/>
      <c r="CT18" s="896"/>
      <c r="CU18" s="896"/>
      <c r="CV18" s="896"/>
      <c r="CW18" s="896"/>
      <c r="CY18" s="386" t="s">
        <v>431</v>
      </c>
      <c r="CZ18" s="387" t="s">
        <v>287</v>
      </c>
      <c r="DA18" s="390">
        <f ca="1">DA66</f>
        <v>1.1181381100000001E-3</v>
      </c>
      <c r="DB18" s="390">
        <f t="shared" ref="DB18:DJ18" ca="1" si="573">DB66</f>
        <v>0</v>
      </c>
      <c r="DC18" s="390">
        <f t="shared" ca="1" si="573"/>
        <v>0</v>
      </c>
      <c r="DD18" s="390">
        <f t="shared" ca="1" si="573"/>
        <v>5.7200563799999999</v>
      </c>
      <c r="DE18" s="390">
        <f t="shared" ca="1" si="573"/>
        <v>0.29852735400000002</v>
      </c>
      <c r="DF18" s="390">
        <f t="shared" ca="1" si="573"/>
        <v>0.27973933000000001</v>
      </c>
      <c r="DG18" s="390">
        <f t="shared" ca="1" si="573"/>
        <v>0</v>
      </c>
      <c r="DH18" s="390">
        <f t="shared" ca="1" si="573"/>
        <v>0</v>
      </c>
      <c r="DI18" s="390">
        <f t="shared" ca="1" si="573"/>
        <v>0</v>
      </c>
      <c r="DJ18" s="390">
        <f t="shared" ca="1" si="573"/>
        <v>0</v>
      </c>
      <c r="DM18" s="394"/>
      <c r="DN18" s="1338"/>
      <c r="DO18" s="395"/>
      <c r="DP18" s="394"/>
      <c r="DQ18" s="394"/>
      <c r="DT18" s="386" t="s">
        <v>431</v>
      </c>
      <c r="DU18" s="387" t="s">
        <v>287</v>
      </c>
      <c r="DV18" s="390">
        <f ca="1">DV66</f>
        <v>0</v>
      </c>
      <c r="DW18" s="390">
        <f t="shared" ref="DW18:EK18" ca="1" si="574">DW66</f>
        <v>0</v>
      </c>
      <c r="DX18" s="390">
        <f t="shared" ca="1" si="574"/>
        <v>2.2362762200000001E-2</v>
      </c>
      <c r="DY18" s="390">
        <f t="shared" ca="1" si="574"/>
        <v>1.1181381100000001E-3</v>
      </c>
      <c r="DZ18" s="390">
        <f t="shared" ca="1" si="574"/>
        <v>0</v>
      </c>
      <c r="EA18" s="390">
        <f t="shared" ca="1" si="574"/>
        <v>0.29852735400000002</v>
      </c>
      <c r="EB18" s="390">
        <f t="shared" ca="1" si="574"/>
        <v>2.1244624100000001E-2</v>
      </c>
      <c r="EC18" s="390">
        <f t="shared" ca="1" si="574"/>
        <v>0</v>
      </c>
      <c r="ED18" s="390">
        <f t="shared" ca="1" si="574"/>
        <v>0.20126190999999999</v>
      </c>
      <c r="EE18" s="390">
        <f t="shared" ca="1" si="574"/>
        <v>0.20529176399999999</v>
      </c>
      <c r="EF18" s="390">
        <f t="shared" ca="1" si="574"/>
        <v>0</v>
      </c>
      <c r="EG18" s="390">
        <f t="shared" ca="1" si="574"/>
        <v>109.253077</v>
      </c>
      <c r="EH18" s="390">
        <f t="shared" ca="1" si="574"/>
        <v>0</v>
      </c>
      <c r="EI18" s="390">
        <f t="shared" ca="1" si="574"/>
        <v>0</v>
      </c>
      <c r="EJ18" s="390">
        <f t="shared" ref="EJ18" ca="1" si="575">EJ66</f>
        <v>0</v>
      </c>
      <c r="EK18" s="390">
        <f t="shared" ca="1" si="574"/>
        <v>0</v>
      </c>
      <c r="EM18" s="394"/>
      <c r="EN18" s="394"/>
      <c r="EO18" s="395"/>
      <c r="EP18" s="394"/>
      <c r="EQ18" s="395"/>
      <c r="ER18" s="394"/>
      <c r="ES18" s="896"/>
      <c r="EU18" s="386" t="s">
        <v>431</v>
      </c>
      <c r="EV18" s="387" t="s">
        <v>287</v>
      </c>
      <c r="EW18" s="390">
        <f ca="1">EW66</f>
        <v>0.20290461600000001</v>
      </c>
      <c r="EX18" s="390">
        <f t="shared" ref="EX18:FB18" ca="1" si="576">EX66</f>
        <v>0.20290461600000001</v>
      </c>
      <c r="EY18" s="390">
        <f t="shared" ca="1" si="576"/>
        <v>7.4305893199999996E-4</v>
      </c>
      <c r="EZ18" s="390">
        <f t="shared" ca="1" si="576"/>
        <v>7.4305893199999996E-4</v>
      </c>
      <c r="FA18" s="390">
        <f t="shared" ca="1" si="576"/>
        <v>1.73593692E-3</v>
      </c>
      <c r="FB18" s="390">
        <f t="shared" ca="1" si="576"/>
        <v>0.20042564199999999</v>
      </c>
      <c r="FD18" s="896"/>
      <c r="FE18" s="394"/>
      <c r="FF18" s="1338"/>
      <c r="FG18" s="395"/>
      <c r="FH18" s="394"/>
      <c r="FI18" s="394"/>
      <c r="FJ18" s="896"/>
      <c r="FL18" s="386" t="s">
        <v>431</v>
      </c>
      <c r="FM18" s="387" t="s">
        <v>287</v>
      </c>
      <c r="FN18" s="390">
        <f ca="1">FN66</f>
        <v>4.0577540000000001E-4</v>
      </c>
      <c r="FO18" s="390">
        <f t="shared" ref="FO18:FX18" ca="1" si="577">FO66</f>
        <v>3.9376215100000002E-3</v>
      </c>
      <c r="FP18" s="390">
        <f t="shared" ca="1" si="577"/>
        <v>1.73593692E-3</v>
      </c>
      <c r="FQ18" s="390">
        <f t="shared" ca="1" si="577"/>
        <v>0.20042564199999999</v>
      </c>
      <c r="FR18" s="390">
        <f t="shared" ca="1" si="577"/>
        <v>0.200425619</v>
      </c>
      <c r="FS18" s="390">
        <f t="shared" ca="1" si="577"/>
        <v>1.9941296999999998E-8</v>
      </c>
      <c r="FT18" s="390">
        <f t="shared" ca="1" si="577"/>
        <v>0</v>
      </c>
      <c r="FU18" s="390">
        <f t="shared" ca="1" si="577"/>
        <v>6.0793338300000003E-3</v>
      </c>
      <c r="FV18" s="390">
        <f t="shared" ca="1" si="577"/>
        <v>0</v>
      </c>
      <c r="FW18" s="390">
        <f t="shared" ca="1" si="577"/>
        <v>9.61806706E-5</v>
      </c>
      <c r="FX18" s="390">
        <f t="shared" ca="1" si="577"/>
        <v>5.98315316E-3</v>
      </c>
      <c r="GA18" s="394"/>
      <c r="GB18" s="1338"/>
      <c r="GC18" s="395"/>
      <c r="GD18" s="394"/>
      <c r="GE18" s="394"/>
      <c r="GF18" s="896"/>
      <c r="GH18" s="386" t="s">
        <v>431</v>
      </c>
      <c r="GI18" s="387" t="s">
        <v>287</v>
      </c>
      <c r="GJ18" s="390">
        <f ca="1">GJ66</f>
        <v>0.200425619</v>
      </c>
      <c r="GK18" s="390">
        <f t="shared" ref="GK18:GQ18" ca="1" si="578">GK66</f>
        <v>0.200425619</v>
      </c>
      <c r="GL18" s="390">
        <f t="shared" ca="1" si="578"/>
        <v>0</v>
      </c>
      <c r="GM18" s="390">
        <f t="shared" ca="1" si="578"/>
        <v>0.200425619</v>
      </c>
      <c r="GN18" s="390">
        <f t="shared" ca="1" si="578"/>
        <v>0.200425619</v>
      </c>
      <c r="GO18" s="390">
        <f t="shared" ca="1" si="578"/>
        <v>0</v>
      </c>
      <c r="GP18" s="390">
        <f t="shared" ca="1" si="578"/>
        <v>0.200425619</v>
      </c>
      <c r="GQ18" s="390">
        <f t="shared" ca="1" si="578"/>
        <v>0</v>
      </c>
      <c r="GS18" s="896"/>
      <c r="GT18" s="394"/>
      <c r="GU18" s="1338"/>
      <c r="GV18" s="395"/>
      <c r="GW18" s="394"/>
      <c r="GX18" s="394"/>
      <c r="GY18" s="896"/>
      <c r="HA18" s="386" t="s">
        <v>431</v>
      </c>
      <c r="HB18" s="387" t="s">
        <v>287</v>
      </c>
      <c r="HC18" s="390">
        <f ca="1">HC66</f>
        <v>7.4305893199999996E-4</v>
      </c>
      <c r="HD18" s="390">
        <f t="shared" ref="HD18:HH18" ca="1" si="579">HD66</f>
        <v>7.1539367600000005E-4</v>
      </c>
      <c r="HE18" s="390">
        <f t="shared" ca="1" si="579"/>
        <v>0</v>
      </c>
      <c r="HF18" s="390">
        <f t="shared" ca="1" si="579"/>
        <v>5.6050504500000004E-6</v>
      </c>
      <c r="HG18" s="390">
        <f t="shared" ca="1" si="579"/>
        <v>2.2060205300000001E-5</v>
      </c>
      <c r="HH18" s="390">
        <f t="shared" ca="1" si="579"/>
        <v>7.1539367600000005E-4</v>
      </c>
      <c r="HJ18" s="896"/>
      <c r="HK18" s="394"/>
      <c r="HL18" s="1338"/>
      <c r="HM18" s="395"/>
      <c r="HN18" s="394"/>
      <c r="HO18" s="394"/>
      <c r="HP18" s="896"/>
      <c r="HR18" s="386" t="s">
        <v>431</v>
      </c>
      <c r="HS18" s="387" t="s">
        <v>287</v>
      </c>
      <c r="HT18" s="390">
        <f ca="1">HT66</f>
        <v>1.27096445E-8</v>
      </c>
      <c r="HU18" s="390">
        <f t="shared" ref="HU18:IE18" ca="1" si="580">HU66</f>
        <v>7.1539367600000005E-4</v>
      </c>
      <c r="HV18" s="390">
        <f t="shared" ca="1" si="580"/>
        <v>7.15406386E-4</v>
      </c>
      <c r="HW18" s="390">
        <f t="shared" ca="1" si="580"/>
        <v>7.15406386E-4</v>
      </c>
      <c r="HX18" s="390">
        <f t="shared" ca="1" si="580"/>
        <v>633.39173700000003</v>
      </c>
      <c r="HY18" s="390">
        <f t="shared" ca="1" si="580"/>
        <v>48.165785900000003</v>
      </c>
      <c r="HZ18" s="390">
        <f t="shared" ca="1" si="580"/>
        <v>27.157800200000001</v>
      </c>
      <c r="IA18" s="390">
        <f t="shared" ca="1" si="580"/>
        <v>5.9922193400000004E-3</v>
      </c>
      <c r="IB18" s="390">
        <f t="shared" ca="1" si="580"/>
        <v>0</v>
      </c>
      <c r="IC18" s="390">
        <f t="shared" ca="1" si="580"/>
        <v>0</v>
      </c>
      <c r="ID18" s="390">
        <f t="shared" ca="1" si="580"/>
        <v>0</v>
      </c>
      <c r="IE18" s="390">
        <f t="shared" ca="1" si="580"/>
        <v>0</v>
      </c>
      <c r="IH18" s="394"/>
      <c r="II18" s="1338"/>
      <c r="IJ18" s="395"/>
      <c r="IK18" s="394"/>
      <c r="IL18" s="394"/>
      <c r="IO18" s="386" t="s">
        <v>431</v>
      </c>
      <c r="IP18" s="387" t="s">
        <v>287</v>
      </c>
      <c r="IQ18" s="390">
        <f ca="1">IQ66</f>
        <v>633.39173700000003</v>
      </c>
      <c r="IR18" s="390">
        <f t="shared" ref="IR18:JH18" ca="1" si="581">IR66</f>
        <v>48.165785900000003</v>
      </c>
      <c r="IS18" s="390">
        <f t="shared" ca="1" si="581"/>
        <v>0.64919614299999995</v>
      </c>
      <c r="IT18" s="390">
        <f t="shared" ca="1" si="581"/>
        <v>48.814982100000002</v>
      </c>
      <c r="IU18" s="390">
        <f t="shared" ref="IU18" ca="1" si="582">IU66</f>
        <v>45.558853200000001</v>
      </c>
      <c r="IV18" s="390">
        <f t="shared" ca="1" si="581"/>
        <v>19.0301154</v>
      </c>
      <c r="IW18" s="390">
        <f t="shared" ca="1" si="581"/>
        <v>15.580707400000001</v>
      </c>
      <c r="IX18" s="390">
        <f t="shared" ref="IX18" ca="1" si="583">IX66</f>
        <v>0.53893106499999999</v>
      </c>
      <c r="IY18" s="390">
        <f t="shared" ca="1" si="581"/>
        <v>3.2561289100000002</v>
      </c>
      <c r="IZ18" s="390">
        <f t="shared" ca="1" si="581"/>
        <v>2.8002136700000002</v>
      </c>
      <c r="JA18" s="390">
        <f t="shared" ca="1" si="581"/>
        <v>16.2299036</v>
      </c>
      <c r="JB18" s="390">
        <f t="shared" ca="1" si="581"/>
        <v>0</v>
      </c>
      <c r="JC18" s="390">
        <f t="shared" ca="1" si="581"/>
        <v>2.7942214500000002</v>
      </c>
      <c r="JD18" s="390">
        <f t="shared" ca="1" si="581"/>
        <v>0</v>
      </c>
      <c r="JE18" s="390">
        <f t="shared" ca="1" si="581"/>
        <v>2.8002136700000002</v>
      </c>
      <c r="JF18" s="390">
        <f t="shared" ca="1" si="581"/>
        <v>0</v>
      </c>
      <c r="JG18" s="390">
        <f t="shared" ca="1" si="581"/>
        <v>0</v>
      </c>
      <c r="JH18" s="390">
        <f t="shared" ca="1" si="581"/>
        <v>5.9922193400000004E-3</v>
      </c>
      <c r="JK18" s="394"/>
      <c r="JL18" s="1338"/>
      <c r="JM18" s="395"/>
      <c r="JN18" s="394"/>
      <c r="JO18" s="394"/>
      <c r="JR18" s="386" t="s">
        <v>431</v>
      </c>
      <c r="JS18" s="387" t="s">
        <v>287</v>
      </c>
      <c r="JT18" s="390">
        <f ca="1">JT66</f>
        <v>0</v>
      </c>
      <c r="JU18" s="390">
        <f t="shared" ref="JU18:KC18" ca="1" si="584">JU66</f>
        <v>0</v>
      </c>
      <c r="JV18" s="390">
        <f t="shared" ca="1" si="584"/>
        <v>0</v>
      </c>
      <c r="JW18" s="390">
        <f t="shared" ca="1" si="584"/>
        <v>0</v>
      </c>
      <c r="JX18" s="390">
        <f t="shared" ca="1" si="584"/>
        <v>0.200425619</v>
      </c>
      <c r="JY18" s="390">
        <f t="shared" ca="1" si="584"/>
        <v>0</v>
      </c>
      <c r="JZ18" s="390">
        <f t="shared" ca="1" si="584"/>
        <v>0.200425619</v>
      </c>
      <c r="KA18" s="390">
        <f t="shared" ca="1" si="584"/>
        <v>0</v>
      </c>
      <c r="KB18" s="390">
        <f t="shared" ca="1" si="584"/>
        <v>0</v>
      </c>
      <c r="KC18" s="390">
        <f t="shared" ca="1" si="584"/>
        <v>0</v>
      </c>
      <c r="KE18" s="385"/>
      <c r="KF18" s="394"/>
      <c r="KG18" s="394"/>
      <c r="KJ18" s="386" t="s">
        <v>431</v>
      </c>
      <c r="KK18" s="387" t="s">
        <v>287</v>
      </c>
      <c r="KL18" s="390">
        <f ca="1">KL66</f>
        <v>1050.8174799999999</v>
      </c>
      <c r="KM18" s="390">
        <f t="shared" ref="KM18:KR18" ca="1" si="585">KM66</f>
        <v>0</v>
      </c>
      <c r="KN18" s="390">
        <f t="shared" ca="1" si="585"/>
        <v>0</v>
      </c>
      <c r="KO18" s="390">
        <f t="shared" ca="1" si="585"/>
        <v>5.7200563799999999</v>
      </c>
      <c r="KP18" s="390">
        <f t="shared" ca="1" si="585"/>
        <v>109.253077</v>
      </c>
      <c r="KQ18" s="390">
        <f t="shared" ca="1" si="585"/>
        <v>1165.79061</v>
      </c>
      <c r="KR18" s="390">
        <f t="shared" ca="1" si="585"/>
        <v>0</v>
      </c>
      <c r="KT18" s="395"/>
      <c r="KU18" s="394"/>
      <c r="KV18" s="394"/>
      <c r="KY18" s="386" t="s">
        <v>431</v>
      </c>
      <c r="KZ18" s="387" t="s">
        <v>287</v>
      </c>
      <c r="LA18" s="390">
        <f ca="1">LA66</f>
        <v>5.6050504500000004E-6</v>
      </c>
      <c r="LB18" s="390">
        <f t="shared" ref="LB18:LK18" ca="1" si="586">LB66</f>
        <v>27.157800200000001</v>
      </c>
      <c r="LC18" s="390">
        <f t="shared" ca="1" si="586"/>
        <v>27.157805799999998</v>
      </c>
      <c r="LD18" s="390">
        <f t="shared" ca="1" si="586"/>
        <v>27.157805799999998</v>
      </c>
      <c r="LE18" s="390">
        <f t="shared" ca="1" si="586"/>
        <v>0</v>
      </c>
      <c r="LF18" s="390">
        <f t="shared" ca="1" si="586"/>
        <v>30.413956800000001</v>
      </c>
      <c r="LG18" s="390">
        <f t="shared" ca="1" si="586"/>
        <v>30.413956800000001</v>
      </c>
      <c r="LH18" s="390">
        <f t="shared" ca="1" si="586"/>
        <v>0</v>
      </c>
      <c r="LI18" s="390">
        <f t="shared" ca="1" si="586"/>
        <v>30.413956800000001</v>
      </c>
      <c r="LJ18" s="390">
        <f t="shared" ca="1" si="586"/>
        <v>0</v>
      </c>
      <c r="LK18" s="390">
        <f t="shared" ca="1" si="586"/>
        <v>0</v>
      </c>
      <c r="LN18" s="394"/>
      <c r="LO18" s="1338"/>
      <c r="LP18" s="395"/>
      <c r="LQ18" s="394"/>
      <c r="LR18" s="394"/>
      <c r="LU18" s="386" t="s">
        <v>431</v>
      </c>
      <c r="LV18" s="387" t="s">
        <v>287</v>
      </c>
      <c r="LW18" s="390">
        <f ca="1">LW66</f>
        <v>0</v>
      </c>
      <c r="LX18" s="390">
        <f ca="1">LX66</f>
        <v>0</v>
      </c>
      <c r="LY18" s="390">
        <f t="shared" ref="LY18:MO18" ca="1" si="587">LY66</f>
        <v>2.2060205300000001E-5</v>
      </c>
      <c r="LZ18" s="390">
        <f t="shared" ca="1" si="587"/>
        <v>3.2561289100000002</v>
      </c>
      <c r="MA18" s="390">
        <f t="shared" ca="1" si="587"/>
        <v>3.2561509700000002</v>
      </c>
      <c r="MB18" s="390">
        <f t="shared" ca="1" si="587"/>
        <v>27.157805799999998</v>
      </c>
      <c r="MC18" s="390">
        <f t="shared" ca="1" si="587"/>
        <v>30.413956800000001</v>
      </c>
      <c r="MD18" s="390">
        <f t="shared" ca="1" si="587"/>
        <v>0</v>
      </c>
      <c r="ME18" s="390">
        <f t="shared" ca="1" si="587"/>
        <v>0</v>
      </c>
      <c r="MF18" s="390">
        <f t="shared" ca="1" si="587"/>
        <v>0</v>
      </c>
      <c r="MG18" s="390">
        <f t="shared" ca="1" si="587"/>
        <v>0</v>
      </c>
      <c r="MH18" s="390">
        <f t="shared" ref="MH18:MI18" ca="1" si="588">MH66</f>
        <v>0</v>
      </c>
      <c r="MI18" s="390">
        <f t="shared" ca="1" si="588"/>
        <v>0</v>
      </c>
      <c r="MJ18" s="390">
        <f t="shared" ca="1" si="587"/>
        <v>0</v>
      </c>
      <c r="MK18" s="390">
        <f t="shared" ca="1" si="587"/>
        <v>0</v>
      </c>
      <c r="ML18" s="390">
        <f t="shared" ca="1" si="587"/>
        <v>0</v>
      </c>
      <c r="MM18" s="390">
        <f t="shared" ca="1" si="587"/>
        <v>0</v>
      </c>
      <c r="MN18" s="390">
        <f t="shared" ca="1" si="587"/>
        <v>0</v>
      </c>
      <c r="MO18" s="390">
        <f t="shared" ca="1" si="587"/>
        <v>0</v>
      </c>
      <c r="MQ18" s="394"/>
      <c r="MR18" s="394"/>
      <c r="MS18" s="395"/>
      <c r="MT18" s="394"/>
      <c r="MU18" s="395"/>
      <c r="MV18" s="394"/>
      <c r="MY18" s="386" t="s">
        <v>431</v>
      </c>
      <c r="MZ18" s="387" t="s">
        <v>287</v>
      </c>
      <c r="NA18" s="390">
        <f ca="1">NA66</f>
        <v>7.4045465700000007E-9</v>
      </c>
      <c r="NB18" s="390">
        <f t="shared" ref="NB18:NP18" ca="1" si="589">NB66</f>
        <v>7.2765281000000005E-9</v>
      </c>
      <c r="NC18" s="390">
        <f t="shared" ca="1" si="589"/>
        <v>1.28018469E-10</v>
      </c>
      <c r="ND18" s="390">
        <f t="shared" ca="1" si="589"/>
        <v>0</v>
      </c>
      <c r="NE18" s="390">
        <f t="shared" ca="1" si="589"/>
        <v>0</v>
      </c>
      <c r="NF18" s="390">
        <f t="shared" ca="1" si="589"/>
        <v>0</v>
      </c>
      <c r="NG18" s="390">
        <f t="shared" ca="1" si="589"/>
        <v>0</v>
      </c>
      <c r="NH18" s="390">
        <f t="shared" ca="1" si="589"/>
        <v>0</v>
      </c>
      <c r="NI18" s="390">
        <f t="shared" ca="1" si="589"/>
        <v>0</v>
      </c>
      <c r="NJ18" s="390">
        <f t="shared" ca="1" si="589"/>
        <v>0</v>
      </c>
      <c r="NK18" s="390">
        <f t="shared" ca="1" si="589"/>
        <v>0</v>
      </c>
      <c r="NL18" s="390">
        <f t="shared" ca="1" si="589"/>
        <v>0</v>
      </c>
      <c r="NM18" s="390">
        <f t="shared" ca="1" si="589"/>
        <v>0</v>
      </c>
      <c r="NN18" s="390">
        <f t="shared" ca="1" si="589"/>
        <v>0</v>
      </c>
      <c r="NO18" s="390">
        <f t="shared" ca="1" si="589"/>
        <v>0</v>
      </c>
      <c r="NP18" s="390">
        <f t="shared" ca="1" si="589"/>
        <v>0</v>
      </c>
      <c r="NR18" s="394"/>
      <c r="NS18" s="394"/>
      <c r="NT18" s="395"/>
      <c r="NU18" s="394"/>
      <c r="NV18" s="395"/>
      <c r="NW18" s="394"/>
      <c r="NX18" s="896"/>
      <c r="NZ18" s="394"/>
      <c r="OA18" s="395"/>
      <c r="OB18" s="394"/>
      <c r="OC18" s="394"/>
      <c r="OF18" s="386" t="s">
        <v>431</v>
      </c>
      <c r="OG18" s="387" t="s">
        <v>287</v>
      </c>
      <c r="OH18" s="390">
        <f ca="1">OH66</f>
        <v>0</v>
      </c>
      <c r="OI18" s="390">
        <f t="shared" ref="OI18:OO18" ca="1" si="590">OI66</f>
        <v>0</v>
      </c>
      <c r="OJ18" s="390">
        <f t="shared" ca="1" si="590"/>
        <v>0</v>
      </c>
      <c r="OK18" s="390">
        <f t="shared" ca="1" si="590"/>
        <v>0</v>
      </c>
      <c r="OL18" s="390">
        <f t="shared" ca="1" si="590"/>
        <v>0</v>
      </c>
      <c r="OM18" s="390">
        <f t="shared" ca="1" si="590"/>
        <v>0</v>
      </c>
      <c r="ON18" s="390">
        <f t="shared" ca="1" si="590"/>
        <v>0</v>
      </c>
      <c r="OO18" s="390">
        <f t="shared" ca="1" si="590"/>
        <v>0</v>
      </c>
      <c r="OQ18" s="896"/>
      <c r="OR18" s="394"/>
      <c r="OS18" s="1338"/>
      <c r="OT18" s="395"/>
      <c r="OU18" s="394"/>
      <c r="OV18" s="394"/>
      <c r="OW18" s="896"/>
      <c r="OY18" s="386" t="s">
        <v>431</v>
      </c>
      <c r="OZ18" s="387" t="s">
        <v>287</v>
      </c>
      <c r="PA18" s="390">
        <f ca="1">PA66</f>
        <v>0</v>
      </c>
      <c r="PB18" s="390">
        <f t="shared" ref="PB18:PK18" ca="1" si="591">PB66</f>
        <v>0</v>
      </c>
      <c r="PC18" s="390">
        <f t="shared" ca="1" si="591"/>
        <v>0</v>
      </c>
      <c r="PD18" s="390">
        <f t="shared" ca="1" si="591"/>
        <v>0</v>
      </c>
      <c r="PE18" s="390">
        <f t="shared" ca="1" si="591"/>
        <v>0</v>
      </c>
      <c r="PF18" s="390">
        <f t="shared" ca="1" si="591"/>
        <v>0</v>
      </c>
      <c r="PG18" s="390">
        <f t="shared" ca="1" si="591"/>
        <v>0</v>
      </c>
      <c r="PH18" s="390">
        <f t="shared" ca="1" si="591"/>
        <v>0</v>
      </c>
      <c r="PI18" s="390">
        <f t="shared" ca="1" si="591"/>
        <v>0</v>
      </c>
      <c r="PJ18" s="390">
        <f t="shared" ca="1" si="591"/>
        <v>0</v>
      </c>
      <c r="PK18" s="390">
        <f t="shared" ca="1" si="591"/>
        <v>0</v>
      </c>
      <c r="PN18" s="394"/>
      <c r="PO18" s="1338"/>
      <c r="PP18" s="395"/>
      <c r="PQ18" s="394"/>
      <c r="PR18" s="394"/>
      <c r="PU18" s="386" t="s">
        <v>431</v>
      </c>
      <c r="PV18" s="387" t="s">
        <v>287</v>
      </c>
      <c r="PW18" s="390">
        <f ca="1">PW66</f>
        <v>0</v>
      </c>
      <c r="PX18" s="390">
        <f t="shared" ref="PX18:PZ18" ca="1" si="592">PX66</f>
        <v>0</v>
      </c>
      <c r="PY18" s="390">
        <f t="shared" ca="1" si="592"/>
        <v>0</v>
      </c>
      <c r="PZ18" s="390">
        <f t="shared" ca="1" si="592"/>
        <v>0</v>
      </c>
      <c r="QB18" s="896"/>
      <c r="QC18" s="394"/>
      <c r="QD18" s="1338"/>
      <c r="QE18" s="395"/>
      <c r="QF18" s="394"/>
      <c r="QG18" s="394"/>
      <c r="QH18" s="896"/>
      <c r="QI18" s="896"/>
      <c r="QJ18" s="896"/>
      <c r="QK18" s="896"/>
    </row>
    <row r="19" spans="1:453" x14ac:dyDescent="0.25">
      <c r="A19" s="1315"/>
      <c r="H19" s="386" t="s">
        <v>1893</v>
      </c>
      <c r="I19" s="387" t="s">
        <v>287</v>
      </c>
      <c r="J19" s="390">
        <f ca="1">J61</f>
        <v>0</v>
      </c>
      <c r="K19" s="390">
        <f ca="1">K61</f>
        <v>0</v>
      </c>
      <c r="R19" s="386" t="s">
        <v>1893</v>
      </c>
      <c r="S19" s="387" t="s">
        <v>287</v>
      </c>
      <c r="T19" s="390">
        <f ca="1">T61</f>
        <v>0</v>
      </c>
      <c r="U19" s="390">
        <f t="shared" ref="U19:AD19" ca="1" si="593">U61</f>
        <v>0</v>
      </c>
      <c r="V19" s="390">
        <f t="shared" ca="1" si="593"/>
        <v>0</v>
      </c>
      <c r="W19" s="390">
        <f t="shared" ca="1" si="593"/>
        <v>0</v>
      </c>
      <c r="X19" s="390">
        <f t="shared" ca="1" si="593"/>
        <v>0</v>
      </c>
      <c r="Y19" s="390">
        <f t="shared" ca="1" si="593"/>
        <v>1508.1550199999999</v>
      </c>
      <c r="Z19" s="390">
        <f t="shared" ca="1" si="593"/>
        <v>35.5507323</v>
      </c>
      <c r="AA19" s="390">
        <f t="shared" ca="1" si="593"/>
        <v>1472.60429</v>
      </c>
      <c r="AB19" s="390">
        <f t="shared" ca="1" si="593"/>
        <v>0</v>
      </c>
      <c r="AC19" s="390">
        <f t="shared" ca="1" si="593"/>
        <v>0</v>
      </c>
      <c r="AD19" s="390">
        <f t="shared" ca="1" si="593"/>
        <v>0</v>
      </c>
      <c r="AF19" s="386" t="s">
        <v>1960</v>
      </c>
      <c r="AG19" s="1337">
        <f t="shared" ca="1" si="1"/>
        <v>63.895519899999996</v>
      </c>
      <c r="AH19" s="1467">
        <f t="shared" ca="1" si="69"/>
        <v>5.4940257867583837E-2</v>
      </c>
      <c r="AI19" s="385" t="s">
        <v>1215</v>
      </c>
      <c r="AK19" s="386" t="s">
        <v>1893</v>
      </c>
      <c r="AL19" s="387" t="s">
        <v>287</v>
      </c>
      <c r="AM19" s="390">
        <f ca="1">AM61</f>
        <v>0</v>
      </c>
      <c r="AN19" s="390">
        <f t="shared" ref="AN19:BB19" ca="1" si="594">AN61</f>
        <v>0</v>
      </c>
      <c r="AO19" s="390">
        <f t="shared" ref="AO19:AS19" ca="1" si="595">AO61</f>
        <v>1472.60429</v>
      </c>
      <c r="AP19" s="390">
        <f t="shared" ca="1" si="595"/>
        <v>1472.60429</v>
      </c>
      <c r="AQ19" s="390">
        <f t="shared" ca="1" si="595"/>
        <v>22.78435</v>
      </c>
      <c r="AR19" s="390">
        <f t="shared" ca="1" si="595"/>
        <v>24.534647499999998</v>
      </c>
      <c r="AS19" s="390">
        <f t="shared" ca="1" si="595"/>
        <v>11.0160848</v>
      </c>
      <c r="AT19" s="390">
        <f t="shared" ca="1" si="594"/>
        <v>14.902437400000002</v>
      </c>
      <c r="AU19" s="390">
        <f t="shared" ca="1" si="594"/>
        <v>32.416559999999997</v>
      </c>
      <c r="AV19" s="390">
        <f t="shared" ca="1" si="594"/>
        <v>1449.8199400000001</v>
      </c>
      <c r="AW19" s="390">
        <f t="shared" ca="1" si="594"/>
        <v>14.902437400000002</v>
      </c>
      <c r="AX19" s="390">
        <f t="shared" ca="1" si="594"/>
        <v>58.335082300000003</v>
      </c>
      <c r="AY19" s="390">
        <f t="shared" ca="1" si="594"/>
        <v>0</v>
      </c>
      <c r="AZ19" s="390">
        <f t="shared" ca="1" si="594"/>
        <v>0</v>
      </c>
      <c r="BA19" s="390">
        <f t="shared" ca="1" si="594"/>
        <v>0</v>
      </c>
      <c r="BB19" s="390">
        <f t="shared" ca="1" si="594"/>
        <v>0</v>
      </c>
      <c r="BE19" s="394"/>
      <c r="BF19" s="1338"/>
      <c r="BG19" s="896"/>
      <c r="BH19" s="896"/>
      <c r="BI19" s="896"/>
      <c r="BL19" s="386" t="s">
        <v>1893</v>
      </c>
      <c r="BM19" s="387" t="s">
        <v>287</v>
      </c>
      <c r="BN19" s="390">
        <f ca="1">BN61</f>
        <v>0</v>
      </c>
      <c r="BO19" s="390">
        <f t="shared" ref="BO19:BR19" ca="1" si="596">BO61</f>
        <v>0</v>
      </c>
      <c r="BP19" s="390">
        <f t="shared" ca="1" si="596"/>
        <v>0</v>
      </c>
      <c r="BQ19" s="390">
        <f t="shared" ca="1" si="596"/>
        <v>0</v>
      </c>
      <c r="BR19" s="390">
        <f t="shared" ca="1" si="596"/>
        <v>0</v>
      </c>
      <c r="BU19" s="394"/>
      <c r="BV19" s="1338"/>
      <c r="BW19" s="896"/>
      <c r="BX19" s="896"/>
      <c r="BY19" s="896"/>
      <c r="CB19" s="386" t="s">
        <v>1893</v>
      </c>
      <c r="CC19" s="387" t="s">
        <v>287</v>
      </c>
      <c r="CD19" s="390">
        <f ca="1">CD61</f>
        <v>0</v>
      </c>
      <c r="CE19" s="390">
        <f t="shared" ref="CE19:CO19" ca="1" si="597">CE61</f>
        <v>0</v>
      </c>
      <c r="CF19" s="390">
        <f t="shared" ca="1" si="597"/>
        <v>0</v>
      </c>
      <c r="CG19" s="390">
        <f t="shared" ca="1" si="597"/>
        <v>0</v>
      </c>
      <c r="CH19" s="390">
        <f t="shared" ca="1" si="597"/>
        <v>0</v>
      </c>
      <c r="CI19" s="390">
        <f t="shared" ca="1" si="597"/>
        <v>0</v>
      </c>
      <c r="CJ19" s="390">
        <f t="shared" ca="1" si="597"/>
        <v>0</v>
      </c>
      <c r="CK19" s="390">
        <f t="shared" ca="1" si="597"/>
        <v>0</v>
      </c>
      <c r="CL19" s="390">
        <f t="shared" ca="1" si="597"/>
        <v>0</v>
      </c>
      <c r="CM19" s="390">
        <f t="shared" ca="1" si="597"/>
        <v>0</v>
      </c>
      <c r="CN19" s="390">
        <f t="shared" ca="1" si="597"/>
        <v>0</v>
      </c>
      <c r="CO19" s="390">
        <f t="shared" ca="1" si="597"/>
        <v>0</v>
      </c>
      <c r="CQ19" s="394"/>
      <c r="CR19" s="394"/>
      <c r="CS19" s="395"/>
      <c r="CT19" s="394"/>
      <c r="CU19" s="395"/>
      <c r="CV19" s="394"/>
      <c r="CW19" s="896"/>
      <c r="CY19" s="386" t="s">
        <v>1893</v>
      </c>
      <c r="CZ19" s="387" t="s">
        <v>287</v>
      </c>
      <c r="DA19" s="390">
        <f ca="1">DA61</f>
        <v>0</v>
      </c>
      <c r="DB19" s="390">
        <f t="shared" ref="DB19:DJ19" ca="1" si="598">DB61</f>
        <v>0</v>
      </c>
      <c r="DC19" s="390">
        <f t="shared" ca="1" si="598"/>
        <v>0</v>
      </c>
      <c r="DD19" s="390">
        <f t="shared" ca="1" si="598"/>
        <v>0</v>
      </c>
      <c r="DE19" s="390">
        <f t="shared" ca="1" si="598"/>
        <v>0</v>
      </c>
      <c r="DF19" s="390">
        <f t="shared" ca="1" si="598"/>
        <v>0</v>
      </c>
      <c r="DG19" s="390">
        <f t="shared" ca="1" si="598"/>
        <v>0</v>
      </c>
      <c r="DH19" s="390">
        <f t="shared" ca="1" si="598"/>
        <v>0</v>
      </c>
      <c r="DI19" s="390">
        <f t="shared" ca="1" si="598"/>
        <v>0</v>
      </c>
      <c r="DJ19" s="390">
        <f t="shared" ca="1" si="598"/>
        <v>0</v>
      </c>
      <c r="DM19" s="394"/>
      <c r="DN19" s="1338"/>
      <c r="DO19" s="896"/>
      <c r="DP19" s="896"/>
      <c r="DQ19" s="896"/>
      <c r="DT19" s="386" t="s">
        <v>1893</v>
      </c>
      <c r="DU19" s="387" t="s">
        <v>287</v>
      </c>
      <c r="DV19" s="390">
        <f ca="1">DV61</f>
        <v>0</v>
      </c>
      <c r="DW19" s="390">
        <f t="shared" ref="DW19:EK19" ca="1" si="599">DW61</f>
        <v>0</v>
      </c>
      <c r="DX19" s="390">
        <f t="shared" ca="1" si="599"/>
        <v>0</v>
      </c>
      <c r="DY19" s="390">
        <f t="shared" ca="1" si="599"/>
        <v>0</v>
      </c>
      <c r="DZ19" s="390">
        <f t="shared" ca="1" si="599"/>
        <v>0</v>
      </c>
      <c r="EA19" s="390">
        <f t="shared" ca="1" si="599"/>
        <v>0</v>
      </c>
      <c r="EB19" s="390">
        <f t="shared" ca="1" si="599"/>
        <v>0</v>
      </c>
      <c r="EC19" s="390">
        <f t="shared" ca="1" si="599"/>
        <v>0</v>
      </c>
      <c r="ED19" s="390">
        <f t="shared" ca="1" si="599"/>
        <v>0</v>
      </c>
      <c r="EE19" s="390">
        <f t="shared" ca="1" si="599"/>
        <v>0</v>
      </c>
      <c r="EF19" s="390">
        <f t="shared" ca="1" si="599"/>
        <v>0</v>
      </c>
      <c r="EG19" s="390">
        <f t="shared" ca="1" si="599"/>
        <v>0</v>
      </c>
      <c r="EH19" s="390">
        <f t="shared" ca="1" si="599"/>
        <v>0</v>
      </c>
      <c r="EI19" s="390">
        <f t="shared" ca="1" si="599"/>
        <v>0</v>
      </c>
      <c r="EJ19" s="390">
        <f t="shared" ref="EJ19" ca="1" si="600">EJ61</f>
        <v>0</v>
      </c>
      <c r="EK19" s="390">
        <f t="shared" ca="1" si="599"/>
        <v>0</v>
      </c>
      <c r="EM19" s="394"/>
      <c r="EN19" s="394"/>
      <c r="EO19" s="395"/>
      <c r="EP19" s="394"/>
      <c r="EQ19" s="395"/>
      <c r="ER19" s="394"/>
      <c r="ES19" s="896"/>
      <c r="EU19" s="386" t="s">
        <v>1893</v>
      </c>
      <c r="EV19" s="387" t="s">
        <v>287</v>
      </c>
      <c r="EW19" s="390">
        <f ca="1">EW61</f>
        <v>0</v>
      </c>
      <c r="EX19" s="390">
        <f t="shared" ref="EX19:FB19" ca="1" si="601">EX61</f>
        <v>0</v>
      </c>
      <c r="EY19" s="390">
        <f t="shared" ca="1" si="601"/>
        <v>0</v>
      </c>
      <c r="EZ19" s="390">
        <f t="shared" ca="1" si="601"/>
        <v>0</v>
      </c>
      <c r="FA19" s="390">
        <f t="shared" ca="1" si="601"/>
        <v>0</v>
      </c>
      <c r="FB19" s="390">
        <f t="shared" ca="1" si="601"/>
        <v>0</v>
      </c>
      <c r="FD19" s="896"/>
      <c r="FE19" s="394"/>
      <c r="FF19" s="1338"/>
      <c r="FG19" s="896"/>
      <c r="FH19" s="896"/>
      <c r="FI19" s="896"/>
      <c r="FJ19" s="896"/>
      <c r="FL19" s="386" t="s">
        <v>1893</v>
      </c>
      <c r="FM19" s="387" t="s">
        <v>287</v>
      </c>
      <c r="FN19" s="390">
        <f ca="1">FN61</f>
        <v>0</v>
      </c>
      <c r="FO19" s="390">
        <f t="shared" ref="FO19:FX19" ca="1" si="602">FO61</f>
        <v>0</v>
      </c>
      <c r="FP19" s="390">
        <f t="shared" ca="1" si="602"/>
        <v>0</v>
      </c>
      <c r="FQ19" s="390">
        <f t="shared" ca="1" si="602"/>
        <v>0</v>
      </c>
      <c r="FR19" s="390">
        <f t="shared" ca="1" si="602"/>
        <v>0</v>
      </c>
      <c r="FS19" s="390">
        <f t="shared" ca="1" si="602"/>
        <v>0</v>
      </c>
      <c r="FT19" s="390">
        <f t="shared" ca="1" si="602"/>
        <v>0</v>
      </c>
      <c r="FU19" s="390">
        <f t="shared" ca="1" si="602"/>
        <v>0</v>
      </c>
      <c r="FV19" s="390">
        <f t="shared" ca="1" si="602"/>
        <v>0</v>
      </c>
      <c r="FW19" s="390">
        <f t="shared" ca="1" si="602"/>
        <v>0</v>
      </c>
      <c r="FX19" s="390">
        <f t="shared" ca="1" si="602"/>
        <v>0</v>
      </c>
      <c r="GA19" s="394"/>
      <c r="GB19" s="1338"/>
      <c r="GC19" s="896"/>
      <c r="GD19" s="896"/>
      <c r="GE19" s="896"/>
      <c r="GF19" s="896"/>
      <c r="GH19" s="386" t="s">
        <v>1893</v>
      </c>
      <c r="GI19" s="387" t="s">
        <v>287</v>
      </c>
      <c r="GJ19" s="390">
        <f ca="1">GJ61</f>
        <v>0</v>
      </c>
      <c r="GK19" s="390">
        <f t="shared" ref="GK19:GQ19" ca="1" si="603">GK61</f>
        <v>0</v>
      </c>
      <c r="GL19" s="390">
        <f t="shared" ca="1" si="603"/>
        <v>0</v>
      </c>
      <c r="GM19" s="390">
        <f t="shared" ca="1" si="603"/>
        <v>0</v>
      </c>
      <c r="GN19" s="390">
        <f t="shared" ca="1" si="603"/>
        <v>0</v>
      </c>
      <c r="GO19" s="390">
        <f t="shared" ca="1" si="603"/>
        <v>0</v>
      </c>
      <c r="GP19" s="390">
        <f t="shared" ca="1" si="603"/>
        <v>0</v>
      </c>
      <c r="GQ19" s="390">
        <f t="shared" ca="1" si="603"/>
        <v>0</v>
      </c>
      <c r="GS19" s="394"/>
      <c r="GT19" s="394"/>
      <c r="GU19" s="394"/>
      <c r="GV19" s="394"/>
      <c r="GW19" s="394"/>
      <c r="GX19" s="394"/>
      <c r="GY19" s="896"/>
      <c r="HA19" s="386" t="s">
        <v>1893</v>
      </c>
      <c r="HB19" s="387" t="s">
        <v>287</v>
      </c>
      <c r="HC19" s="390">
        <f ca="1">HC61</f>
        <v>0</v>
      </c>
      <c r="HD19" s="390">
        <f t="shared" ref="HD19:HH19" ca="1" si="604">HD61</f>
        <v>0</v>
      </c>
      <c r="HE19" s="390">
        <f t="shared" ca="1" si="604"/>
        <v>0</v>
      </c>
      <c r="HF19" s="390">
        <f t="shared" ca="1" si="604"/>
        <v>0</v>
      </c>
      <c r="HG19" s="390">
        <f t="shared" ca="1" si="604"/>
        <v>0</v>
      </c>
      <c r="HH19" s="390">
        <f t="shared" ca="1" si="604"/>
        <v>0</v>
      </c>
      <c r="HJ19" s="394"/>
      <c r="HK19" s="394"/>
      <c r="HL19" s="394"/>
      <c r="HM19" s="394"/>
      <c r="HN19" s="394"/>
      <c r="HO19" s="394"/>
      <c r="HP19" s="896"/>
      <c r="HR19" s="386" t="s">
        <v>1893</v>
      </c>
      <c r="HS19" s="387" t="s">
        <v>287</v>
      </c>
      <c r="HT19" s="390">
        <f ca="1">HT61</f>
        <v>58.335082300000003</v>
      </c>
      <c r="HU19" s="390">
        <f t="shared" ref="HU19:IE19" ca="1" si="605">HU61</f>
        <v>0</v>
      </c>
      <c r="HV19" s="390">
        <f t="shared" ca="1" si="605"/>
        <v>58.335082300000003</v>
      </c>
      <c r="HW19" s="390">
        <f t="shared" ca="1" si="605"/>
        <v>58.335082300000003</v>
      </c>
      <c r="HX19" s="390">
        <f t="shared" ca="1" si="605"/>
        <v>4.8731134999999997</v>
      </c>
      <c r="HY19" s="390">
        <f t="shared" ca="1" si="605"/>
        <v>0.37057215599999999</v>
      </c>
      <c r="HZ19" s="390">
        <f t="shared" ca="1" si="605"/>
        <v>6.4739933800000002E-3</v>
      </c>
      <c r="IA19" s="390">
        <f t="shared" ca="1" si="605"/>
        <v>2.24847298E-6</v>
      </c>
      <c r="IB19" s="390">
        <f t="shared" ca="1" si="605"/>
        <v>0</v>
      </c>
      <c r="IC19" s="390">
        <f t="shared" ca="1" si="605"/>
        <v>0</v>
      </c>
      <c r="ID19" s="390">
        <f t="shared" ca="1" si="605"/>
        <v>0</v>
      </c>
      <c r="IE19" s="390">
        <f t="shared" ca="1" si="605"/>
        <v>0</v>
      </c>
      <c r="IH19" s="394"/>
      <c r="II19" s="1338"/>
      <c r="IJ19" s="896"/>
      <c r="IK19" s="896"/>
      <c r="IL19" s="896"/>
      <c r="IO19" s="386" t="s">
        <v>1893</v>
      </c>
      <c r="IP19" s="387" t="s">
        <v>287</v>
      </c>
      <c r="IQ19" s="390">
        <f ca="1">IQ61</f>
        <v>4.8731134999999997</v>
      </c>
      <c r="IR19" s="390">
        <f t="shared" ref="IR19:JH19" ca="1" si="606">IR61</f>
        <v>0.37057215599999999</v>
      </c>
      <c r="IS19" s="390">
        <f t="shared" ca="1" si="606"/>
        <v>7.3640877099999998E-3</v>
      </c>
      <c r="IT19" s="390">
        <f t="shared" ca="1" si="606"/>
        <v>0.37793624399999998</v>
      </c>
      <c r="IU19" s="390">
        <f t="shared" ref="IU19" ca="1" si="607">IU61</f>
        <v>0.35272658400000001</v>
      </c>
      <c r="IV19" s="390">
        <f t="shared" ca="1" si="606"/>
        <v>0.21586612299999999</v>
      </c>
      <c r="IW19" s="390">
        <f t="shared" ca="1" si="606"/>
        <v>0.17673810500000001</v>
      </c>
      <c r="IX19" s="390">
        <f t="shared" ref="IX19" ca="1" si="608">IX61</f>
        <v>2.3700485599999999E-4</v>
      </c>
      <c r="IY19" s="390">
        <f t="shared" ca="1" si="606"/>
        <v>2.5209660599999999E-2</v>
      </c>
      <c r="IZ19" s="390">
        <f t="shared" ca="1" si="606"/>
        <v>3.1763930699999998E-2</v>
      </c>
      <c r="JA19" s="390">
        <f t="shared" ca="1" si="606"/>
        <v>0.184102193</v>
      </c>
      <c r="JB19" s="390">
        <f t="shared" ca="1" si="606"/>
        <v>0</v>
      </c>
      <c r="JC19" s="390">
        <f t="shared" ca="1" si="606"/>
        <v>3.1761682200000002E-2</v>
      </c>
      <c r="JD19" s="390">
        <f t="shared" ca="1" si="606"/>
        <v>0</v>
      </c>
      <c r="JE19" s="390">
        <f t="shared" ca="1" si="606"/>
        <v>3.1763930699999998E-2</v>
      </c>
      <c r="JF19" s="390">
        <f t="shared" ca="1" si="606"/>
        <v>0</v>
      </c>
      <c r="JG19" s="390">
        <f t="shared" ca="1" si="606"/>
        <v>0</v>
      </c>
      <c r="JH19" s="390">
        <f t="shared" ca="1" si="606"/>
        <v>2.24847298E-6</v>
      </c>
      <c r="JK19" s="394"/>
      <c r="JL19" s="1338"/>
      <c r="JM19" s="896"/>
      <c r="JN19" s="896"/>
      <c r="JO19" s="896"/>
      <c r="JR19" s="386" t="s">
        <v>1893</v>
      </c>
      <c r="JS19" s="387" t="s">
        <v>287</v>
      </c>
      <c r="JT19" s="390">
        <f ca="1">JT61</f>
        <v>0</v>
      </c>
      <c r="JU19" s="390">
        <f t="shared" ref="JU19:KC19" ca="1" si="609">JU61</f>
        <v>0</v>
      </c>
      <c r="JV19" s="390">
        <f t="shared" ca="1" si="609"/>
        <v>0</v>
      </c>
      <c r="JW19" s="390">
        <f t="shared" ca="1" si="609"/>
        <v>0</v>
      </c>
      <c r="JX19" s="390">
        <f t="shared" ca="1" si="609"/>
        <v>0</v>
      </c>
      <c r="JY19" s="390">
        <f t="shared" ca="1" si="609"/>
        <v>0</v>
      </c>
      <c r="JZ19" s="390">
        <f t="shared" ca="1" si="609"/>
        <v>0</v>
      </c>
      <c r="KA19" s="390">
        <f t="shared" ca="1" si="609"/>
        <v>0</v>
      </c>
      <c r="KB19" s="390">
        <f t="shared" ca="1" si="609"/>
        <v>0</v>
      </c>
      <c r="KC19" s="390">
        <f t="shared" ca="1" si="609"/>
        <v>0</v>
      </c>
      <c r="KE19" s="385"/>
      <c r="KF19" s="896"/>
      <c r="KG19" s="896"/>
      <c r="KJ19" s="386" t="s">
        <v>1893</v>
      </c>
      <c r="KK19" s="387" t="s">
        <v>287</v>
      </c>
      <c r="KL19" s="390">
        <f ca="1">KL61</f>
        <v>0</v>
      </c>
      <c r="KM19" s="390">
        <f t="shared" ref="KM19:KR19" ca="1" si="610">KM61</f>
        <v>0</v>
      </c>
      <c r="KN19" s="390">
        <f t="shared" ca="1" si="610"/>
        <v>0</v>
      </c>
      <c r="KO19" s="390">
        <f t="shared" ca="1" si="610"/>
        <v>0</v>
      </c>
      <c r="KP19" s="390">
        <f t="shared" ca="1" si="610"/>
        <v>0</v>
      </c>
      <c r="KQ19" s="390">
        <f t="shared" ca="1" si="610"/>
        <v>0</v>
      </c>
      <c r="KR19" s="390">
        <f t="shared" ca="1" si="610"/>
        <v>0</v>
      </c>
      <c r="KT19" s="896"/>
      <c r="KU19" s="896"/>
      <c r="KV19" s="896"/>
      <c r="KY19" s="386" t="s">
        <v>1893</v>
      </c>
      <c r="KZ19" s="387" t="s">
        <v>287</v>
      </c>
      <c r="LA19" s="390">
        <f ca="1">LA61</f>
        <v>0</v>
      </c>
      <c r="LB19" s="390">
        <f t="shared" ref="LB19:LK19" ca="1" si="611">LB61</f>
        <v>6.4739933800000002E-3</v>
      </c>
      <c r="LC19" s="390">
        <f t="shared" ca="1" si="611"/>
        <v>6.4739933800000002E-3</v>
      </c>
      <c r="LD19" s="390">
        <f t="shared" ca="1" si="611"/>
        <v>6.4739933800000002E-3</v>
      </c>
      <c r="LE19" s="390">
        <f t="shared" ca="1" si="611"/>
        <v>0</v>
      </c>
      <c r="LF19" s="390">
        <f t="shared" ca="1" si="611"/>
        <v>0</v>
      </c>
      <c r="LG19" s="390">
        <f t="shared" ca="1" si="611"/>
        <v>0</v>
      </c>
      <c r="LH19" s="390">
        <f t="shared" ca="1" si="611"/>
        <v>0</v>
      </c>
      <c r="LI19" s="390">
        <f t="shared" ca="1" si="611"/>
        <v>0</v>
      </c>
      <c r="LJ19" s="390">
        <f t="shared" ca="1" si="611"/>
        <v>0</v>
      </c>
      <c r="LK19" s="390">
        <f t="shared" ca="1" si="611"/>
        <v>0</v>
      </c>
      <c r="LN19" s="394"/>
      <c r="LO19" s="1338"/>
      <c r="LP19" s="896"/>
      <c r="LQ19" s="896"/>
      <c r="LR19" s="896"/>
      <c r="LU19" s="386" t="s">
        <v>1893</v>
      </c>
      <c r="LV19" s="387" t="s">
        <v>287</v>
      </c>
      <c r="LW19" s="390">
        <f ca="1">LW61</f>
        <v>0</v>
      </c>
      <c r="LX19" s="390">
        <f ca="1">LX61</f>
        <v>0</v>
      </c>
      <c r="LY19" s="390">
        <f t="shared" ref="LY19:MO19" ca="1" si="612">LY61</f>
        <v>0</v>
      </c>
      <c r="LZ19" s="390">
        <f t="shared" ca="1" si="612"/>
        <v>2.5209660599999999E-2</v>
      </c>
      <c r="MA19" s="390">
        <f t="shared" ca="1" si="612"/>
        <v>2.5209660599999999E-2</v>
      </c>
      <c r="MB19" s="390">
        <f t="shared" ca="1" si="612"/>
        <v>6.4739933800000002E-3</v>
      </c>
      <c r="MC19" s="390">
        <f t="shared" ca="1" si="612"/>
        <v>0</v>
      </c>
      <c r="MD19" s="390">
        <f t="shared" ca="1" si="612"/>
        <v>0</v>
      </c>
      <c r="ME19" s="390">
        <f t="shared" ca="1" si="612"/>
        <v>0</v>
      </c>
      <c r="MF19" s="390">
        <f t="shared" ca="1" si="612"/>
        <v>0</v>
      </c>
      <c r="MG19" s="390">
        <f t="shared" ca="1" si="612"/>
        <v>0</v>
      </c>
      <c r="MH19" s="390">
        <f t="shared" ref="MH19:MI19" ca="1" si="613">MH61</f>
        <v>0</v>
      </c>
      <c r="MI19" s="390">
        <f t="shared" ca="1" si="613"/>
        <v>0</v>
      </c>
      <c r="MJ19" s="390">
        <f t="shared" ca="1" si="612"/>
        <v>0</v>
      </c>
      <c r="MK19" s="390">
        <f t="shared" ca="1" si="612"/>
        <v>0</v>
      </c>
      <c r="ML19" s="390">
        <f t="shared" ca="1" si="612"/>
        <v>0</v>
      </c>
      <c r="MM19" s="390">
        <f t="shared" ca="1" si="612"/>
        <v>0</v>
      </c>
      <c r="MN19" s="390">
        <f t="shared" ca="1" si="612"/>
        <v>0</v>
      </c>
      <c r="MO19" s="390">
        <f t="shared" ca="1" si="612"/>
        <v>0</v>
      </c>
      <c r="MQ19" s="394"/>
      <c r="MR19" s="394"/>
      <c r="MS19" s="395"/>
      <c r="MT19" s="394"/>
      <c r="MU19" s="1339"/>
      <c r="MV19" s="1340"/>
      <c r="MY19" s="386" t="s">
        <v>1893</v>
      </c>
      <c r="MZ19" s="387" t="s">
        <v>287</v>
      </c>
      <c r="NA19" s="390">
        <f ca="1">NA61</f>
        <v>35.5507323</v>
      </c>
      <c r="NB19" s="390">
        <f t="shared" ref="NB19:NP19" ca="1" si="614">NB61</f>
        <v>24.534647499999998</v>
      </c>
      <c r="NC19" s="390">
        <f t="shared" ca="1" si="614"/>
        <v>11.0160848</v>
      </c>
      <c r="ND19" s="390">
        <f t="shared" ca="1" si="614"/>
        <v>0</v>
      </c>
      <c r="NE19" s="390">
        <f t="shared" ca="1" si="614"/>
        <v>0</v>
      </c>
      <c r="NF19" s="390">
        <f t="shared" ca="1" si="614"/>
        <v>0</v>
      </c>
      <c r="NG19" s="390">
        <f t="shared" ca="1" si="614"/>
        <v>0</v>
      </c>
      <c r="NH19" s="390">
        <f t="shared" ca="1" si="614"/>
        <v>0</v>
      </c>
      <c r="NI19" s="390">
        <f t="shared" ca="1" si="614"/>
        <v>0</v>
      </c>
      <c r="NJ19" s="390">
        <f t="shared" ca="1" si="614"/>
        <v>0</v>
      </c>
      <c r="NK19" s="390">
        <f t="shared" ca="1" si="614"/>
        <v>0</v>
      </c>
      <c r="NL19" s="390">
        <f t="shared" ca="1" si="614"/>
        <v>0</v>
      </c>
      <c r="NM19" s="390">
        <f t="shared" ca="1" si="614"/>
        <v>0</v>
      </c>
      <c r="NN19" s="390">
        <f t="shared" ca="1" si="614"/>
        <v>0</v>
      </c>
      <c r="NO19" s="390">
        <f t="shared" ca="1" si="614"/>
        <v>0</v>
      </c>
      <c r="NP19" s="390">
        <f t="shared" ca="1" si="614"/>
        <v>0</v>
      </c>
      <c r="NR19" s="394"/>
      <c r="NS19" s="394"/>
      <c r="NT19" s="395"/>
      <c r="NU19" s="394"/>
      <c r="NV19" s="395"/>
      <c r="NW19" s="394"/>
      <c r="NX19" s="896"/>
      <c r="NZ19" s="394"/>
      <c r="OA19" s="896"/>
      <c r="OB19" s="896"/>
      <c r="OC19" s="896"/>
      <c r="OF19" s="386" t="s">
        <v>1893</v>
      </c>
      <c r="OG19" s="387" t="s">
        <v>287</v>
      </c>
      <c r="OH19" s="390">
        <f ca="1">OH61</f>
        <v>0</v>
      </c>
      <c r="OI19" s="390">
        <f t="shared" ref="OI19:OO19" ca="1" si="615">OI61</f>
        <v>0</v>
      </c>
      <c r="OJ19" s="390">
        <f t="shared" ca="1" si="615"/>
        <v>0</v>
      </c>
      <c r="OK19" s="390">
        <f t="shared" ca="1" si="615"/>
        <v>0</v>
      </c>
      <c r="OL19" s="390">
        <f t="shared" ca="1" si="615"/>
        <v>0</v>
      </c>
      <c r="OM19" s="390">
        <f t="shared" ca="1" si="615"/>
        <v>0</v>
      </c>
      <c r="ON19" s="390">
        <f t="shared" ca="1" si="615"/>
        <v>0</v>
      </c>
      <c r="OO19" s="390">
        <f t="shared" ca="1" si="615"/>
        <v>0</v>
      </c>
      <c r="OQ19" s="896"/>
      <c r="OR19" s="394"/>
      <c r="OS19" s="1338"/>
      <c r="OT19" s="896"/>
      <c r="OU19" s="896"/>
      <c r="OV19" s="896"/>
      <c r="OW19" s="896"/>
      <c r="OY19" s="386" t="s">
        <v>1893</v>
      </c>
      <c r="OZ19" s="387" t="s">
        <v>287</v>
      </c>
      <c r="PA19" s="390">
        <f ca="1">PA61</f>
        <v>0</v>
      </c>
      <c r="PB19" s="390">
        <f t="shared" ref="PB19:PK19" ca="1" si="616">PB61</f>
        <v>0</v>
      </c>
      <c r="PC19" s="390">
        <f t="shared" ca="1" si="616"/>
        <v>0</v>
      </c>
      <c r="PD19" s="390">
        <f t="shared" ca="1" si="616"/>
        <v>0</v>
      </c>
      <c r="PE19" s="390">
        <f t="shared" ca="1" si="616"/>
        <v>0</v>
      </c>
      <c r="PF19" s="390">
        <f t="shared" ca="1" si="616"/>
        <v>0</v>
      </c>
      <c r="PG19" s="390">
        <f t="shared" ca="1" si="616"/>
        <v>0</v>
      </c>
      <c r="PH19" s="390">
        <f t="shared" ca="1" si="616"/>
        <v>0</v>
      </c>
      <c r="PI19" s="390">
        <f t="shared" ca="1" si="616"/>
        <v>0</v>
      </c>
      <c r="PJ19" s="390">
        <f t="shared" ca="1" si="616"/>
        <v>0</v>
      </c>
      <c r="PK19" s="390">
        <f t="shared" ca="1" si="616"/>
        <v>0</v>
      </c>
      <c r="PN19" s="394"/>
      <c r="PO19" s="1338"/>
      <c r="PP19" s="896"/>
      <c r="PQ19" s="896"/>
      <c r="PR19" s="896"/>
      <c r="PU19" s="386" t="s">
        <v>1893</v>
      </c>
      <c r="PV19" s="387" t="s">
        <v>287</v>
      </c>
      <c r="PW19" s="390">
        <f ca="1">PW61</f>
        <v>0</v>
      </c>
      <c r="PX19" s="390">
        <f t="shared" ref="PX19:PZ19" ca="1" si="617">PX61</f>
        <v>0</v>
      </c>
      <c r="PY19" s="390">
        <f t="shared" ca="1" si="617"/>
        <v>0</v>
      </c>
      <c r="PZ19" s="390">
        <f t="shared" ca="1" si="617"/>
        <v>0</v>
      </c>
      <c r="QB19" s="896"/>
      <c r="QC19" s="394"/>
      <c r="QD19" s="1338"/>
      <c r="QE19" s="896"/>
      <c r="QF19" s="896"/>
      <c r="QG19" s="896"/>
      <c r="QH19" s="896"/>
      <c r="QI19" s="896"/>
      <c r="QJ19" s="896"/>
      <c r="QK19" s="896"/>
    </row>
    <row r="20" spans="1:453" x14ac:dyDescent="0.25">
      <c r="A20" s="1315"/>
      <c r="H20" s="386" t="s">
        <v>284</v>
      </c>
      <c r="I20" s="387" t="s">
        <v>287</v>
      </c>
      <c r="J20" s="390">
        <f ca="1">J67</f>
        <v>0</v>
      </c>
      <c r="K20" s="390">
        <f ca="1">K67</f>
        <v>0</v>
      </c>
      <c r="R20" s="386" t="s">
        <v>284</v>
      </c>
      <c r="S20" s="387" t="s">
        <v>287</v>
      </c>
      <c r="T20" s="390">
        <f ca="1">T67</f>
        <v>0</v>
      </c>
      <c r="U20" s="390">
        <f t="shared" ref="U20:AD20" ca="1" si="618">U67</f>
        <v>0</v>
      </c>
      <c r="V20" s="390">
        <f t="shared" ca="1" si="618"/>
        <v>1841.6666700000001</v>
      </c>
      <c r="W20" s="390">
        <f t="shared" ca="1" si="618"/>
        <v>0</v>
      </c>
      <c r="X20" s="390">
        <f t="shared" ca="1" si="618"/>
        <v>0</v>
      </c>
      <c r="Y20" s="390">
        <f t="shared" ca="1" si="618"/>
        <v>1841.6666700000001</v>
      </c>
      <c r="Z20" s="390">
        <f t="shared" ca="1" si="618"/>
        <v>5.4963581800000008E-2</v>
      </c>
      <c r="AA20" s="390">
        <f t="shared" ca="1" si="618"/>
        <v>1841.6116999999999</v>
      </c>
      <c r="AB20" s="390">
        <f t="shared" ca="1" si="618"/>
        <v>1841.6666700000001</v>
      </c>
      <c r="AC20" s="390">
        <f t="shared" ca="1" si="618"/>
        <v>0</v>
      </c>
      <c r="AD20" s="390">
        <f t="shared" ca="1" si="618"/>
        <v>1841.9692200000002</v>
      </c>
      <c r="AF20" s="386" t="s">
        <v>1962</v>
      </c>
      <c r="AG20" s="1337">
        <f t="shared" ca="1" si="1"/>
        <v>170</v>
      </c>
      <c r="AH20" s="1467">
        <f t="shared" ca="1" si="69"/>
        <v>0.14617368873602754</v>
      </c>
      <c r="AI20" s="385" t="s">
        <v>1218</v>
      </c>
      <c r="AK20" s="386" t="s">
        <v>284</v>
      </c>
      <c r="AL20" s="387" t="s">
        <v>287</v>
      </c>
      <c r="AM20" s="390">
        <f ca="1">AM67</f>
        <v>0</v>
      </c>
      <c r="AN20" s="390">
        <f t="shared" ref="AN20:BB20" ca="1" si="619">AN67</f>
        <v>0</v>
      </c>
      <c r="AO20" s="390">
        <f t="shared" ref="AO20:AS20" ca="1" si="620">AO67</f>
        <v>1841.6116999999999</v>
      </c>
      <c r="AP20" s="390">
        <f t="shared" ca="1" si="620"/>
        <v>1841.6116999999999</v>
      </c>
      <c r="AQ20" s="390">
        <f t="shared" ca="1" si="620"/>
        <v>1.3107796200000001E-2</v>
      </c>
      <c r="AR20" s="390">
        <f t="shared" ca="1" si="620"/>
        <v>2.0875033500000001E-5</v>
      </c>
      <c r="AS20" s="390">
        <f t="shared" ca="1" si="620"/>
        <v>5.4942706700000003E-2</v>
      </c>
      <c r="AT20" s="390">
        <f t="shared" ca="1" si="619"/>
        <v>1.0276898399999999E-6</v>
      </c>
      <c r="AU20" s="390">
        <f t="shared" ca="1" si="619"/>
        <v>1.3127643600000001E-2</v>
      </c>
      <c r="AV20" s="390">
        <f t="shared" ca="1" si="619"/>
        <v>1841.5986</v>
      </c>
      <c r="AW20" s="390">
        <f t="shared" ca="1" si="619"/>
        <v>1.0276898399999999E-6</v>
      </c>
      <c r="AX20" s="390">
        <f t="shared" ca="1" si="619"/>
        <v>6.8071378000000002E-2</v>
      </c>
      <c r="AY20" s="390">
        <f t="shared" ca="1" si="619"/>
        <v>0</v>
      </c>
      <c r="AZ20" s="390">
        <f t="shared" ca="1" si="619"/>
        <v>0</v>
      </c>
      <c r="BA20" s="390">
        <f t="shared" ca="1" si="619"/>
        <v>0</v>
      </c>
      <c r="BB20" s="390">
        <f t="shared" ca="1" si="619"/>
        <v>0</v>
      </c>
      <c r="BE20" s="394"/>
      <c r="BF20" s="1338"/>
      <c r="BG20" s="896"/>
      <c r="BL20" s="386" t="s">
        <v>284</v>
      </c>
      <c r="BM20" s="387" t="s">
        <v>287</v>
      </c>
      <c r="BN20" s="390">
        <f ca="1">BN67</f>
        <v>0</v>
      </c>
      <c r="BO20" s="390">
        <f t="shared" ref="BO20:BR20" ca="1" si="621">BO67</f>
        <v>0</v>
      </c>
      <c r="BP20" s="390">
        <f t="shared" ca="1" si="621"/>
        <v>0</v>
      </c>
      <c r="BQ20" s="390">
        <f t="shared" ca="1" si="621"/>
        <v>0</v>
      </c>
      <c r="BR20" s="390">
        <f t="shared" ca="1" si="621"/>
        <v>0</v>
      </c>
      <c r="BU20" s="394"/>
      <c r="BV20" s="1338"/>
      <c r="BW20" s="896"/>
      <c r="CB20" s="386" t="s">
        <v>284</v>
      </c>
      <c r="CC20" s="387" t="s">
        <v>287</v>
      </c>
      <c r="CD20" s="390">
        <f ca="1">CD67</f>
        <v>0</v>
      </c>
      <c r="CE20" s="390">
        <f t="shared" ref="CE20:CO20" ca="1" si="622">CE67</f>
        <v>0</v>
      </c>
      <c r="CF20" s="390">
        <f t="shared" ca="1" si="622"/>
        <v>0</v>
      </c>
      <c r="CG20" s="390">
        <f t="shared" ca="1" si="622"/>
        <v>0</v>
      </c>
      <c r="CH20" s="390">
        <f t="shared" ca="1" si="622"/>
        <v>0</v>
      </c>
      <c r="CI20" s="390">
        <f t="shared" ca="1" si="622"/>
        <v>0</v>
      </c>
      <c r="CJ20" s="390">
        <f t="shared" ca="1" si="622"/>
        <v>0</v>
      </c>
      <c r="CK20" s="390">
        <f t="shared" ca="1" si="622"/>
        <v>0</v>
      </c>
      <c r="CL20" s="390">
        <f t="shared" ca="1" si="622"/>
        <v>0</v>
      </c>
      <c r="CM20" s="390">
        <f t="shared" ca="1" si="622"/>
        <v>0</v>
      </c>
      <c r="CN20" s="390">
        <f t="shared" ca="1" si="622"/>
        <v>0</v>
      </c>
      <c r="CO20" s="390">
        <f t="shared" ca="1" si="622"/>
        <v>0</v>
      </c>
      <c r="CQ20" s="896"/>
      <c r="CR20" s="394"/>
      <c r="CS20" s="1338"/>
      <c r="CT20" s="394"/>
      <c r="CU20" s="896"/>
      <c r="CV20" s="896"/>
      <c r="CW20" s="896"/>
      <c r="CY20" s="386" t="s">
        <v>284</v>
      </c>
      <c r="CZ20" s="387" t="s">
        <v>287</v>
      </c>
      <c r="DA20" s="390">
        <f ca="1">DA67</f>
        <v>0</v>
      </c>
      <c r="DB20" s="390">
        <f t="shared" ref="DB20:DJ20" ca="1" si="623">DB67</f>
        <v>0</v>
      </c>
      <c r="DC20" s="390">
        <f t="shared" ca="1" si="623"/>
        <v>0</v>
      </c>
      <c r="DD20" s="390">
        <f t="shared" ca="1" si="623"/>
        <v>0</v>
      </c>
      <c r="DE20" s="390">
        <f t="shared" ca="1" si="623"/>
        <v>0</v>
      </c>
      <c r="DF20" s="390">
        <f t="shared" ca="1" si="623"/>
        <v>0</v>
      </c>
      <c r="DG20" s="390">
        <f t="shared" ca="1" si="623"/>
        <v>0</v>
      </c>
      <c r="DH20" s="390">
        <f t="shared" ca="1" si="623"/>
        <v>0</v>
      </c>
      <c r="DI20" s="390">
        <f t="shared" ca="1" si="623"/>
        <v>0</v>
      </c>
      <c r="DJ20" s="390">
        <f t="shared" ca="1" si="623"/>
        <v>0</v>
      </c>
      <c r="DM20" s="394"/>
      <c r="DN20" s="1338"/>
      <c r="DO20" s="896"/>
      <c r="DT20" s="386" t="s">
        <v>284</v>
      </c>
      <c r="DU20" s="387" t="s">
        <v>287</v>
      </c>
      <c r="DV20" s="390">
        <f ca="1">DV67</f>
        <v>0</v>
      </c>
      <c r="DW20" s="390">
        <f t="shared" ref="DW20:EK20" ca="1" si="624">DW67</f>
        <v>0</v>
      </c>
      <c r="DX20" s="390">
        <f t="shared" ca="1" si="624"/>
        <v>0</v>
      </c>
      <c r="DY20" s="390">
        <f t="shared" ca="1" si="624"/>
        <v>0</v>
      </c>
      <c r="DZ20" s="390">
        <f t="shared" ca="1" si="624"/>
        <v>0</v>
      </c>
      <c r="EA20" s="390">
        <f t="shared" ca="1" si="624"/>
        <v>0</v>
      </c>
      <c r="EB20" s="390">
        <f t="shared" ca="1" si="624"/>
        <v>0</v>
      </c>
      <c r="EC20" s="390">
        <f t="shared" ca="1" si="624"/>
        <v>0</v>
      </c>
      <c r="ED20" s="390">
        <f t="shared" ca="1" si="624"/>
        <v>0</v>
      </c>
      <c r="EE20" s="390">
        <f t="shared" ca="1" si="624"/>
        <v>0</v>
      </c>
      <c r="EF20" s="390">
        <f t="shared" ca="1" si="624"/>
        <v>0</v>
      </c>
      <c r="EG20" s="390">
        <f t="shared" ca="1" si="624"/>
        <v>0</v>
      </c>
      <c r="EH20" s="390">
        <f t="shared" ca="1" si="624"/>
        <v>0</v>
      </c>
      <c r="EI20" s="390">
        <f t="shared" ca="1" si="624"/>
        <v>0</v>
      </c>
      <c r="EJ20" s="390">
        <f t="shared" ref="EJ20" ca="1" si="625">EJ67</f>
        <v>0</v>
      </c>
      <c r="EK20" s="390">
        <f t="shared" ca="1" si="624"/>
        <v>0</v>
      </c>
      <c r="EM20" s="394"/>
      <c r="EN20" s="394"/>
      <c r="EO20" s="395"/>
      <c r="EP20" s="394"/>
      <c r="EQ20" s="395"/>
      <c r="ER20" s="394"/>
      <c r="ES20" s="896"/>
      <c r="EU20" s="386" t="s">
        <v>284</v>
      </c>
      <c r="EV20" s="387" t="s">
        <v>287</v>
      </c>
      <c r="EW20" s="390">
        <f ca="1">EW67</f>
        <v>0</v>
      </c>
      <c r="EX20" s="390">
        <f t="shared" ref="EX20:FB20" ca="1" si="626">EX67</f>
        <v>0</v>
      </c>
      <c r="EY20" s="390">
        <f t="shared" ca="1" si="626"/>
        <v>0</v>
      </c>
      <c r="EZ20" s="390">
        <f t="shared" ca="1" si="626"/>
        <v>0</v>
      </c>
      <c r="FA20" s="390">
        <f t="shared" ca="1" si="626"/>
        <v>0</v>
      </c>
      <c r="FB20" s="390">
        <f t="shared" ca="1" si="626"/>
        <v>0</v>
      </c>
      <c r="FD20" s="896"/>
      <c r="FE20" s="394"/>
      <c r="FF20" s="1338"/>
      <c r="FG20" s="896"/>
      <c r="FH20" s="896"/>
      <c r="FI20" s="896"/>
      <c r="FJ20" s="896"/>
      <c r="FL20" s="386" t="s">
        <v>284</v>
      </c>
      <c r="FM20" s="387" t="s">
        <v>287</v>
      </c>
      <c r="FN20" s="390">
        <f ca="1">FN67</f>
        <v>0</v>
      </c>
      <c r="FO20" s="390">
        <f t="shared" ref="FO20:FX20" ca="1" si="627">FO67</f>
        <v>0</v>
      </c>
      <c r="FP20" s="390">
        <f t="shared" ca="1" si="627"/>
        <v>0</v>
      </c>
      <c r="FQ20" s="390">
        <f t="shared" ca="1" si="627"/>
        <v>0</v>
      </c>
      <c r="FR20" s="390">
        <f t="shared" ca="1" si="627"/>
        <v>0</v>
      </c>
      <c r="FS20" s="390">
        <f t="shared" ca="1" si="627"/>
        <v>0</v>
      </c>
      <c r="FT20" s="390">
        <f t="shared" ca="1" si="627"/>
        <v>0</v>
      </c>
      <c r="FU20" s="390">
        <f t="shared" ca="1" si="627"/>
        <v>0</v>
      </c>
      <c r="FV20" s="390">
        <f t="shared" ca="1" si="627"/>
        <v>0</v>
      </c>
      <c r="FW20" s="390">
        <f t="shared" ca="1" si="627"/>
        <v>0</v>
      </c>
      <c r="FX20" s="390">
        <f t="shared" ca="1" si="627"/>
        <v>0</v>
      </c>
      <c r="GA20" s="394"/>
      <c r="GB20" s="1338"/>
      <c r="GC20" s="896"/>
      <c r="GD20" s="896"/>
      <c r="GE20" s="896"/>
      <c r="GF20" s="896"/>
      <c r="GH20" s="386" t="s">
        <v>284</v>
      </c>
      <c r="GI20" s="387" t="s">
        <v>287</v>
      </c>
      <c r="GJ20" s="390">
        <f ca="1">GJ67</f>
        <v>0</v>
      </c>
      <c r="GK20" s="390">
        <f t="shared" ref="GK20:GQ20" ca="1" si="628">GK67</f>
        <v>0</v>
      </c>
      <c r="GL20" s="390">
        <f t="shared" ca="1" si="628"/>
        <v>0</v>
      </c>
      <c r="GM20" s="390">
        <f t="shared" ca="1" si="628"/>
        <v>0</v>
      </c>
      <c r="GN20" s="390">
        <f t="shared" ca="1" si="628"/>
        <v>0</v>
      </c>
      <c r="GO20" s="390">
        <f t="shared" ca="1" si="628"/>
        <v>0</v>
      </c>
      <c r="GP20" s="390">
        <f t="shared" ca="1" si="628"/>
        <v>0</v>
      </c>
      <c r="GQ20" s="390">
        <f t="shared" ca="1" si="628"/>
        <v>0</v>
      </c>
      <c r="GS20" s="394"/>
      <c r="GT20" s="394"/>
      <c r="GU20" s="395"/>
      <c r="GV20" s="394"/>
      <c r="GW20" s="395"/>
      <c r="GX20" s="394"/>
      <c r="GY20" s="896"/>
      <c r="HA20" s="386" t="s">
        <v>284</v>
      </c>
      <c r="HB20" s="387" t="s">
        <v>287</v>
      </c>
      <c r="HC20" s="390">
        <f ca="1">HC67</f>
        <v>0</v>
      </c>
      <c r="HD20" s="390">
        <f t="shared" ref="HD20:HH20" ca="1" si="629">HD67</f>
        <v>0</v>
      </c>
      <c r="HE20" s="390">
        <f t="shared" ca="1" si="629"/>
        <v>0</v>
      </c>
      <c r="HF20" s="390">
        <f t="shared" ca="1" si="629"/>
        <v>0</v>
      </c>
      <c r="HG20" s="390">
        <f t="shared" ca="1" si="629"/>
        <v>0</v>
      </c>
      <c r="HH20" s="390">
        <f t="shared" ca="1" si="629"/>
        <v>0</v>
      </c>
      <c r="HJ20" s="394"/>
      <c r="HK20" s="394"/>
      <c r="HL20" s="395"/>
      <c r="HM20" s="394"/>
      <c r="HN20" s="395"/>
      <c r="HO20" s="394"/>
      <c r="HP20" s="896"/>
      <c r="HR20" s="386" t="s">
        <v>284</v>
      </c>
      <c r="HS20" s="387" t="s">
        <v>287</v>
      </c>
      <c r="HT20" s="390">
        <f ca="1">HT67</f>
        <v>6.8071378000000002E-2</v>
      </c>
      <c r="HU20" s="390">
        <f t="shared" ref="HU20:IE20" ca="1" si="630">HU67</f>
        <v>0</v>
      </c>
      <c r="HV20" s="390">
        <f t="shared" ca="1" si="630"/>
        <v>6.8071378000000002E-2</v>
      </c>
      <c r="HW20" s="390">
        <f t="shared" ca="1" si="630"/>
        <v>6.8071378000000002E-2</v>
      </c>
      <c r="HX20" s="390">
        <f t="shared" ca="1" si="630"/>
        <v>6.0307559500000003E-2</v>
      </c>
      <c r="HY20" s="390">
        <f t="shared" ca="1" si="630"/>
        <v>4.5860418300000001E-3</v>
      </c>
      <c r="HZ20" s="390">
        <f t="shared" ca="1" si="630"/>
        <v>9.7561763699999999E-10</v>
      </c>
      <c r="IA20" s="390">
        <f t="shared" ca="1" si="630"/>
        <v>4.2551359100000002E-10</v>
      </c>
      <c r="IB20" s="390">
        <f t="shared" ca="1" si="630"/>
        <v>0</v>
      </c>
      <c r="IC20" s="390">
        <f t="shared" ca="1" si="630"/>
        <v>0</v>
      </c>
      <c r="ID20" s="390">
        <f t="shared" ca="1" si="630"/>
        <v>0</v>
      </c>
      <c r="IE20" s="390">
        <f t="shared" ca="1" si="630"/>
        <v>0</v>
      </c>
      <c r="IH20" s="394"/>
      <c r="II20" s="1338"/>
      <c r="IJ20" s="896"/>
      <c r="IO20" s="386" t="s">
        <v>284</v>
      </c>
      <c r="IP20" s="387" t="s">
        <v>287</v>
      </c>
      <c r="IQ20" s="390">
        <f ca="1">IQ67</f>
        <v>6.0307559500000003E-2</v>
      </c>
      <c r="IR20" s="390">
        <f t="shared" ref="IR20:JH20" ca="1" si="631">IR67</f>
        <v>4.5860418300000001E-3</v>
      </c>
      <c r="IS20" s="390">
        <f t="shared" ca="1" si="631"/>
        <v>1.4745849300000001E-2</v>
      </c>
      <c r="IT20" s="390">
        <f t="shared" ca="1" si="631"/>
        <v>1.9331891100000002E-2</v>
      </c>
      <c r="IU20" s="390">
        <f t="shared" ref="IU20" ca="1" si="632">IU67</f>
        <v>1.8042386800000001E-2</v>
      </c>
      <c r="IV20" s="390">
        <f t="shared" ca="1" si="631"/>
        <v>0.43225032699999999</v>
      </c>
      <c r="IW20" s="390">
        <f t="shared" ca="1" si="631"/>
        <v>0.35390038200000001</v>
      </c>
      <c r="IX20" s="390">
        <f t="shared" ref="IX20" ca="1" si="633">IX67</f>
        <v>1.8037929800000001E-9</v>
      </c>
      <c r="IY20" s="390">
        <f t="shared" ca="1" si="631"/>
        <v>1.2895043E-3</v>
      </c>
      <c r="IZ20" s="390">
        <f t="shared" ca="1" si="631"/>
        <v>6.3604095200000002E-2</v>
      </c>
      <c r="JA20" s="390">
        <f t="shared" ca="1" si="631"/>
        <v>0.36864623099999999</v>
      </c>
      <c r="JB20" s="390">
        <f t="shared" ca="1" si="631"/>
        <v>0</v>
      </c>
      <c r="JC20" s="390">
        <f t="shared" ca="1" si="631"/>
        <v>6.3604094799999997E-2</v>
      </c>
      <c r="JD20" s="390">
        <f t="shared" ca="1" si="631"/>
        <v>0</v>
      </c>
      <c r="JE20" s="390">
        <f t="shared" ca="1" si="631"/>
        <v>6.3604095200000002E-2</v>
      </c>
      <c r="JF20" s="390">
        <f t="shared" ca="1" si="631"/>
        <v>0</v>
      </c>
      <c r="JG20" s="390">
        <f t="shared" ca="1" si="631"/>
        <v>0</v>
      </c>
      <c r="JH20" s="390">
        <f t="shared" ca="1" si="631"/>
        <v>4.2551359100000002E-10</v>
      </c>
      <c r="JK20" s="394"/>
      <c r="JL20" s="1338"/>
      <c r="JM20" s="896"/>
      <c r="JR20" s="386" t="s">
        <v>284</v>
      </c>
      <c r="JS20" s="387" t="s">
        <v>287</v>
      </c>
      <c r="JT20" s="390">
        <f ca="1">JT67</f>
        <v>0</v>
      </c>
      <c r="JU20" s="390">
        <f t="shared" ref="JU20:KC20" ca="1" si="634">JU67</f>
        <v>0</v>
      </c>
      <c r="JV20" s="390">
        <f t="shared" ca="1" si="634"/>
        <v>0</v>
      </c>
      <c r="JW20" s="390">
        <f t="shared" ca="1" si="634"/>
        <v>0</v>
      </c>
      <c r="JX20" s="390">
        <f t="shared" ca="1" si="634"/>
        <v>0</v>
      </c>
      <c r="JY20" s="390">
        <f t="shared" ca="1" si="634"/>
        <v>0</v>
      </c>
      <c r="JZ20" s="390">
        <f t="shared" ca="1" si="634"/>
        <v>0</v>
      </c>
      <c r="KA20" s="390">
        <f t="shared" ca="1" si="634"/>
        <v>1841.9692200000002</v>
      </c>
      <c r="KB20" s="390">
        <f t="shared" ca="1" si="634"/>
        <v>0</v>
      </c>
      <c r="KC20" s="390">
        <f t="shared" ca="1" si="634"/>
        <v>0</v>
      </c>
      <c r="KE20" s="385"/>
      <c r="KJ20" s="386" t="s">
        <v>284</v>
      </c>
      <c r="KK20" s="387" t="s">
        <v>287</v>
      </c>
      <c r="KL20" s="390">
        <f ca="1">KL67</f>
        <v>0</v>
      </c>
      <c r="KM20" s="390">
        <f t="shared" ref="KM20:KR20" ca="1" si="635">KM67</f>
        <v>0</v>
      </c>
      <c r="KN20" s="390">
        <f t="shared" ca="1" si="635"/>
        <v>0</v>
      </c>
      <c r="KO20" s="390">
        <f t="shared" ca="1" si="635"/>
        <v>0</v>
      </c>
      <c r="KP20" s="390">
        <f t="shared" ca="1" si="635"/>
        <v>0</v>
      </c>
      <c r="KQ20" s="390">
        <f t="shared" ca="1" si="635"/>
        <v>0</v>
      </c>
      <c r="KR20" s="390">
        <f t="shared" ca="1" si="635"/>
        <v>0</v>
      </c>
      <c r="KT20" s="896"/>
      <c r="KY20" s="386" t="s">
        <v>284</v>
      </c>
      <c r="KZ20" s="387" t="s">
        <v>287</v>
      </c>
      <c r="LA20" s="390">
        <f ca="1">LA67</f>
        <v>0</v>
      </c>
      <c r="LB20" s="390">
        <f t="shared" ref="LB20:LK20" ca="1" si="636">LB67</f>
        <v>9.7561763699999999E-10</v>
      </c>
      <c r="LC20" s="390">
        <f t="shared" ca="1" si="636"/>
        <v>9.7561763699999999E-10</v>
      </c>
      <c r="LD20" s="390">
        <f t="shared" ca="1" si="636"/>
        <v>9.7561763699999999E-10</v>
      </c>
      <c r="LE20" s="390">
        <f t="shared" ca="1" si="636"/>
        <v>0</v>
      </c>
      <c r="LF20" s="390">
        <f t="shared" ca="1" si="636"/>
        <v>3.1431767000000003E-5</v>
      </c>
      <c r="LG20" s="390">
        <f t="shared" ca="1" si="636"/>
        <v>3.1431767000000003E-5</v>
      </c>
      <c r="LH20" s="390">
        <f t="shared" ca="1" si="636"/>
        <v>0</v>
      </c>
      <c r="LI20" s="390">
        <f t="shared" ca="1" si="636"/>
        <v>3.1431767000000003E-5</v>
      </c>
      <c r="LJ20" s="390">
        <f t="shared" ca="1" si="636"/>
        <v>0</v>
      </c>
      <c r="LK20" s="390">
        <f t="shared" ca="1" si="636"/>
        <v>0</v>
      </c>
      <c r="LN20" s="394"/>
      <c r="LO20" s="1338"/>
      <c r="LP20" s="896"/>
      <c r="LU20" s="386" t="s">
        <v>284</v>
      </c>
      <c r="LV20" s="387" t="s">
        <v>287</v>
      </c>
      <c r="LW20" s="390">
        <f ca="1">LW67</f>
        <v>0</v>
      </c>
      <c r="LX20" s="390">
        <f ca="1">LX67</f>
        <v>0</v>
      </c>
      <c r="LY20" s="390">
        <f t="shared" ref="LY20:MO20" ca="1" si="637">LY67</f>
        <v>0</v>
      </c>
      <c r="LZ20" s="390">
        <f t="shared" ca="1" si="637"/>
        <v>1.2895043E-3</v>
      </c>
      <c r="MA20" s="390">
        <f t="shared" ca="1" si="637"/>
        <v>1.2895043E-3</v>
      </c>
      <c r="MB20" s="390">
        <f t="shared" ca="1" si="637"/>
        <v>9.7561763699999999E-10</v>
      </c>
      <c r="MC20" s="390">
        <f t="shared" ca="1" si="637"/>
        <v>3.1431767000000003E-5</v>
      </c>
      <c r="MD20" s="390">
        <f t="shared" ca="1" si="637"/>
        <v>0</v>
      </c>
      <c r="ME20" s="390">
        <f t="shared" ca="1" si="637"/>
        <v>0</v>
      </c>
      <c r="MF20" s="390">
        <f t="shared" ca="1" si="637"/>
        <v>0</v>
      </c>
      <c r="MG20" s="390">
        <f t="shared" ca="1" si="637"/>
        <v>0</v>
      </c>
      <c r="MH20" s="390">
        <f t="shared" ref="MH20:MI20" ca="1" si="638">MH67</f>
        <v>0</v>
      </c>
      <c r="MI20" s="390">
        <f t="shared" ca="1" si="638"/>
        <v>0</v>
      </c>
      <c r="MJ20" s="390">
        <f t="shared" ca="1" si="637"/>
        <v>0</v>
      </c>
      <c r="MK20" s="390">
        <f t="shared" ca="1" si="637"/>
        <v>0</v>
      </c>
      <c r="ML20" s="390">
        <f t="shared" ca="1" si="637"/>
        <v>0</v>
      </c>
      <c r="MM20" s="390">
        <f t="shared" ca="1" si="637"/>
        <v>0</v>
      </c>
      <c r="MN20" s="390">
        <f t="shared" ca="1" si="637"/>
        <v>0</v>
      </c>
      <c r="MO20" s="390">
        <f t="shared" ca="1" si="637"/>
        <v>0</v>
      </c>
      <c r="MQ20" s="394"/>
      <c r="MR20" s="394"/>
      <c r="MS20" s="395"/>
      <c r="MT20" s="394"/>
      <c r="MU20" s="1339"/>
      <c r="MV20" s="1340"/>
      <c r="MY20" s="386" t="s">
        <v>284</v>
      </c>
      <c r="MZ20" s="387" t="s">
        <v>287</v>
      </c>
      <c r="NA20" s="390">
        <f ca="1">NA67</f>
        <v>5.4963581800000008E-2</v>
      </c>
      <c r="NB20" s="390">
        <f t="shared" ref="NB20:NP20" ca="1" si="639">NB67</f>
        <v>2.0875033500000001E-5</v>
      </c>
      <c r="NC20" s="390">
        <f t="shared" ca="1" si="639"/>
        <v>5.4942706700000003E-2</v>
      </c>
      <c r="ND20" s="390">
        <f t="shared" ca="1" si="639"/>
        <v>0</v>
      </c>
      <c r="NE20" s="390">
        <f t="shared" ca="1" si="639"/>
        <v>0</v>
      </c>
      <c r="NF20" s="390">
        <f t="shared" ca="1" si="639"/>
        <v>0</v>
      </c>
      <c r="NG20" s="390">
        <f t="shared" ca="1" si="639"/>
        <v>0</v>
      </c>
      <c r="NH20" s="390">
        <f t="shared" ca="1" si="639"/>
        <v>0</v>
      </c>
      <c r="NI20" s="390">
        <f t="shared" ca="1" si="639"/>
        <v>0</v>
      </c>
      <c r="NJ20" s="390">
        <f t="shared" ca="1" si="639"/>
        <v>0</v>
      </c>
      <c r="NK20" s="390">
        <f t="shared" ca="1" si="639"/>
        <v>0</v>
      </c>
      <c r="NL20" s="390">
        <f t="shared" ca="1" si="639"/>
        <v>0</v>
      </c>
      <c r="NM20" s="390">
        <f t="shared" ca="1" si="639"/>
        <v>0</v>
      </c>
      <c r="NN20" s="390">
        <f t="shared" ca="1" si="639"/>
        <v>0</v>
      </c>
      <c r="NO20" s="390">
        <f t="shared" ca="1" si="639"/>
        <v>0</v>
      </c>
      <c r="NP20" s="390">
        <f t="shared" ca="1" si="639"/>
        <v>0</v>
      </c>
      <c r="NR20" s="394"/>
      <c r="NS20" s="394"/>
      <c r="NT20" s="395"/>
      <c r="NU20" s="394"/>
      <c r="NV20" s="395"/>
      <c r="NW20" s="394"/>
      <c r="NX20" s="896"/>
      <c r="NZ20" s="394"/>
      <c r="OA20" s="896"/>
      <c r="OF20" s="386" t="s">
        <v>284</v>
      </c>
      <c r="OG20" s="387" t="s">
        <v>287</v>
      </c>
      <c r="OH20" s="390">
        <f ca="1">OH67</f>
        <v>0</v>
      </c>
      <c r="OI20" s="390">
        <f t="shared" ref="OI20:OO20" ca="1" si="640">OI67</f>
        <v>0</v>
      </c>
      <c r="OJ20" s="390">
        <f t="shared" ca="1" si="640"/>
        <v>0</v>
      </c>
      <c r="OK20" s="390">
        <f t="shared" ca="1" si="640"/>
        <v>0</v>
      </c>
      <c r="OL20" s="390">
        <f t="shared" ca="1" si="640"/>
        <v>0</v>
      </c>
      <c r="OM20" s="390">
        <f t="shared" ca="1" si="640"/>
        <v>0</v>
      </c>
      <c r="ON20" s="390">
        <f t="shared" ca="1" si="640"/>
        <v>0</v>
      </c>
      <c r="OO20" s="390">
        <f t="shared" ca="1" si="640"/>
        <v>0</v>
      </c>
      <c r="OQ20" s="896"/>
      <c r="OR20" s="394"/>
      <c r="OS20" s="1338"/>
      <c r="OT20" s="896"/>
      <c r="OU20" s="896"/>
      <c r="OV20" s="896"/>
      <c r="OW20" s="896"/>
      <c r="OY20" s="386" t="s">
        <v>284</v>
      </c>
      <c r="OZ20" s="387" t="s">
        <v>287</v>
      </c>
      <c r="PA20" s="390">
        <f ca="1">PA67</f>
        <v>0</v>
      </c>
      <c r="PB20" s="390">
        <f t="shared" ref="PB20:PK20" ca="1" si="641">PB67</f>
        <v>0</v>
      </c>
      <c r="PC20" s="390">
        <f t="shared" ca="1" si="641"/>
        <v>0</v>
      </c>
      <c r="PD20" s="390">
        <f t="shared" ca="1" si="641"/>
        <v>0</v>
      </c>
      <c r="PE20" s="390">
        <f t="shared" ca="1" si="641"/>
        <v>0</v>
      </c>
      <c r="PF20" s="390">
        <f t="shared" ca="1" si="641"/>
        <v>0</v>
      </c>
      <c r="PG20" s="390">
        <f t="shared" ca="1" si="641"/>
        <v>0</v>
      </c>
      <c r="PH20" s="390">
        <f t="shared" ca="1" si="641"/>
        <v>0</v>
      </c>
      <c r="PI20" s="390">
        <f t="shared" ca="1" si="641"/>
        <v>0</v>
      </c>
      <c r="PJ20" s="390">
        <f t="shared" ca="1" si="641"/>
        <v>0</v>
      </c>
      <c r="PK20" s="390">
        <f t="shared" ca="1" si="641"/>
        <v>0</v>
      </c>
      <c r="PN20" s="394"/>
      <c r="PO20" s="1338"/>
      <c r="PP20" s="896"/>
      <c r="PU20" s="386" t="s">
        <v>284</v>
      </c>
      <c r="PV20" s="387" t="s">
        <v>287</v>
      </c>
      <c r="PW20" s="390">
        <f ca="1">PW67</f>
        <v>0</v>
      </c>
      <c r="PX20" s="390">
        <f t="shared" ref="PX20:PZ20" ca="1" si="642">PX67</f>
        <v>0</v>
      </c>
      <c r="PY20" s="390">
        <f t="shared" ca="1" si="642"/>
        <v>0</v>
      </c>
      <c r="PZ20" s="390">
        <f t="shared" ca="1" si="642"/>
        <v>0</v>
      </c>
      <c r="QC20" s="394"/>
      <c r="QD20" s="1338"/>
      <c r="QE20" s="896"/>
    </row>
    <row r="21" spans="1:453" x14ac:dyDescent="0.25">
      <c r="A21" s="1315"/>
      <c r="H21" s="386" t="s">
        <v>1894</v>
      </c>
      <c r="I21" s="387" t="s">
        <v>287</v>
      </c>
      <c r="J21" s="390">
        <f ca="1">J60+J59</f>
        <v>0</v>
      </c>
      <c r="K21" s="390">
        <f ca="1">K60+K59</f>
        <v>0</v>
      </c>
      <c r="R21" s="386" t="s">
        <v>1894</v>
      </c>
      <c r="S21" s="387" t="s">
        <v>287</v>
      </c>
      <c r="T21" s="390">
        <f ca="1">T60+T59</f>
        <v>0</v>
      </c>
      <c r="U21" s="390">
        <f t="shared" ref="U21:AD21" ca="1" si="643">U60+U59</f>
        <v>0</v>
      </c>
      <c r="V21" s="390">
        <f t="shared" ca="1" si="643"/>
        <v>172.51145053799999</v>
      </c>
      <c r="W21" s="390">
        <f t="shared" ca="1" si="643"/>
        <v>0</v>
      </c>
      <c r="X21" s="390">
        <f t="shared" ca="1" si="643"/>
        <v>0</v>
      </c>
      <c r="Y21" s="390">
        <f t="shared" ca="1" si="643"/>
        <v>1034.189791</v>
      </c>
      <c r="Z21" s="390">
        <f t="shared" ca="1" si="643"/>
        <v>204.97751663299999</v>
      </c>
      <c r="AA21" s="390">
        <f t="shared" ca="1" si="643"/>
        <v>829.21227499999998</v>
      </c>
      <c r="AB21" s="390">
        <f t="shared" ca="1" si="643"/>
        <v>0</v>
      </c>
      <c r="AC21" s="390">
        <f t="shared" ca="1" si="643"/>
        <v>172.51145053799999</v>
      </c>
      <c r="AD21" s="390">
        <f t="shared" ca="1" si="643"/>
        <v>0</v>
      </c>
      <c r="AK21" s="386" t="s">
        <v>1894</v>
      </c>
      <c r="AL21" s="387" t="s">
        <v>287</v>
      </c>
      <c r="AM21" s="390">
        <f ca="1">AM60+AM59</f>
        <v>0</v>
      </c>
      <c r="AN21" s="390">
        <f t="shared" ref="AN21:BB21" ca="1" si="644">AN60+AN59</f>
        <v>0</v>
      </c>
      <c r="AO21" s="390">
        <f t="shared" ref="AO21:AS21" ca="1" si="645">AO60+AO59</f>
        <v>829.21227499999998</v>
      </c>
      <c r="AP21" s="390">
        <f t="shared" ca="1" si="645"/>
        <v>829.21227499999998</v>
      </c>
      <c r="AQ21" s="390">
        <f t="shared" ca="1" si="645"/>
        <v>123.85154888400001</v>
      </c>
      <c r="AR21" s="390">
        <f t="shared" ca="1" si="645"/>
        <v>197.22712914350001</v>
      </c>
      <c r="AS21" s="390">
        <f t="shared" ca="1" si="645"/>
        <v>7.7503875989999997</v>
      </c>
      <c r="AT21" s="390">
        <f t="shared" ca="1" si="644"/>
        <v>273.27678820356999</v>
      </c>
      <c r="AU21" s="390">
        <f t="shared" ca="1" si="644"/>
        <v>47.801890424</v>
      </c>
      <c r="AV21" s="390">
        <f t="shared" ca="1" si="644"/>
        <v>705.360726</v>
      </c>
      <c r="AW21" s="390">
        <f t="shared" ca="1" si="644"/>
        <v>273.27678820356999</v>
      </c>
      <c r="AX21" s="390">
        <f t="shared" ca="1" si="644"/>
        <v>328.82906552000003</v>
      </c>
      <c r="AY21" s="390">
        <f t="shared" ca="1" si="644"/>
        <v>0</v>
      </c>
      <c r="AZ21" s="390">
        <f t="shared" ca="1" si="644"/>
        <v>0</v>
      </c>
      <c r="BA21" s="390">
        <f t="shared" ca="1" si="644"/>
        <v>0</v>
      </c>
      <c r="BB21" s="390">
        <f t="shared" ca="1" si="644"/>
        <v>705.360726</v>
      </c>
      <c r="BE21" s="896"/>
      <c r="BF21" s="896"/>
      <c r="BG21" s="394"/>
      <c r="BL21" s="386" t="s">
        <v>1894</v>
      </c>
      <c r="BM21" s="387" t="s">
        <v>287</v>
      </c>
      <c r="BN21" s="390">
        <f ca="1">BN60+BN59</f>
        <v>70.536076500000007</v>
      </c>
      <c r="BO21" s="390">
        <f t="shared" ref="BO21:BR21" ca="1" si="646">BO60+BO59</f>
        <v>70.293942399999992</v>
      </c>
      <c r="BP21" s="390">
        <f t="shared" ca="1" si="646"/>
        <v>0.24213416866700002</v>
      </c>
      <c r="BQ21" s="390">
        <f t="shared" ca="1" si="646"/>
        <v>0</v>
      </c>
      <c r="BR21" s="390">
        <f t="shared" ca="1" si="646"/>
        <v>0</v>
      </c>
      <c r="BU21" s="896"/>
      <c r="BV21" s="896"/>
      <c r="BW21" s="394"/>
      <c r="CB21" s="386" t="s">
        <v>1894</v>
      </c>
      <c r="CC21" s="387" t="s">
        <v>287</v>
      </c>
      <c r="CD21" s="390">
        <f ca="1">CD60+CD59</f>
        <v>705.360726</v>
      </c>
      <c r="CE21" s="390">
        <f t="shared" ref="CE21:CO21" ca="1" si="647">CE60+CE59</f>
        <v>705.360726</v>
      </c>
      <c r="CF21" s="390">
        <f t="shared" ca="1" si="647"/>
        <v>70.536076500000007</v>
      </c>
      <c r="CG21" s="390">
        <f t="shared" ca="1" si="647"/>
        <v>70.293942399999992</v>
      </c>
      <c r="CH21" s="390">
        <f t="shared" ca="1" si="647"/>
        <v>705.360726</v>
      </c>
      <c r="CI21" s="390">
        <f t="shared" ca="1" si="647"/>
        <v>0</v>
      </c>
      <c r="CJ21" s="390">
        <f t="shared" ca="1" si="647"/>
        <v>0</v>
      </c>
      <c r="CK21" s="390">
        <f t="shared" ca="1" si="647"/>
        <v>702.79515700000002</v>
      </c>
      <c r="CL21" s="390">
        <f t="shared" ca="1" si="647"/>
        <v>2.3234740416299999</v>
      </c>
      <c r="CM21" s="390">
        <f t="shared" ca="1" si="647"/>
        <v>0</v>
      </c>
      <c r="CN21" s="390">
        <f t="shared" ca="1" si="647"/>
        <v>705.50340299999993</v>
      </c>
      <c r="CO21" s="390">
        <f t="shared" ca="1" si="647"/>
        <v>2.70824623121</v>
      </c>
      <c r="CQ21" s="896"/>
      <c r="CR21" s="896"/>
      <c r="CS21" s="896"/>
      <c r="CT21" s="394"/>
      <c r="CU21" s="896"/>
      <c r="CV21" s="896"/>
      <c r="CW21" s="896"/>
      <c r="CY21" s="386" t="s">
        <v>1894</v>
      </c>
      <c r="CZ21" s="387" t="s">
        <v>287</v>
      </c>
      <c r="DA21" s="390">
        <f ca="1">DA60+DA59</f>
        <v>0</v>
      </c>
      <c r="DB21" s="390">
        <f t="shared" ref="DB21:DJ21" ca="1" si="648">DB60+DB59</f>
        <v>0</v>
      </c>
      <c r="DC21" s="390">
        <f t="shared" ca="1" si="648"/>
        <v>0</v>
      </c>
      <c r="DD21" s="390">
        <f t="shared" ca="1" si="648"/>
        <v>0</v>
      </c>
      <c r="DE21" s="390">
        <f t="shared" ca="1" si="648"/>
        <v>0</v>
      </c>
      <c r="DF21" s="390">
        <f t="shared" ca="1" si="648"/>
        <v>0</v>
      </c>
      <c r="DG21" s="390">
        <f t="shared" ca="1" si="648"/>
        <v>0</v>
      </c>
      <c r="DH21" s="390">
        <f t="shared" ca="1" si="648"/>
        <v>0</v>
      </c>
      <c r="DI21" s="390">
        <f t="shared" ca="1" si="648"/>
        <v>0</v>
      </c>
      <c r="DJ21" s="390">
        <f t="shared" ca="1" si="648"/>
        <v>0</v>
      </c>
      <c r="DM21" s="896"/>
      <c r="DN21" s="896"/>
      <c r="DO21" s="394"/>
      <c r="DT21" s="386" t="s">
        <v>1894</v>
      </c>
      <c r="DU21" s="387" t="s">
        <v>287</v>
      </c>
      <c r="DV21" s="390">
        <f ca="1">DV60+DV59</f>
        <v>0</v>
      </c>
      <c r="DW21" s="390">
        <f t="shared" ref="DW21:EK21" ca="1" si="649">DW60+DW59</f>
        <v>0</v>
      </c>
      <c r="DX21" s="390">
        <f t="shared" ca="1" si="649"/>
        <v>0</v>
      </c>
      <c r="DY21" s="390">
        <f t="shared" ca="1" si="649"/>
        <v>0</v>
      </c>
      <c r="DZ21" s="390">
        <f t="shared" ca="1" si="649"/>
        <v>0</v>
      </c>
      <c r="EA21" s="390">
        <f t="shared" ca="1" si="649"/>
        <v>0</v>
      </c>
      <c r="EB21" s="390">
        <f t="shared" ca="1" si="649"/>
        <v>0</v>
      </c>
      <c r="EC21" s="390">
        <f t="shared" ca="1" si="649"/>
        <v>0</v>
      </c>
      <c r="ED21" s="390">
        <f t="shared" ca="1" si="649"/>
        <v>0</v>
      </c>
      <c r="EE21" s="390">
        <f t="shared" ca="1" si="649"/>
        <v>0</v>
      </c>
      <c r="EF21" s="390">
        <f t="shared" ca="1" si="649"/>
        <v>0</v>
      </c>
      <c r="EG21" s="390">
        <f t="shared" ca="1" si="649"/>
        <v>0</v>
      </c>
      <c r="EH21" s="390">
        <f t="shared" ca="1" si="649"/>
        <v>0</v>
      </c>
      <c r="EI21" s="390">
        <f t="shared" ca="1" si="649"/>
        <v>0</v>
      </c>
      <c r="EJ21" s="390">
        <f t="shared" ref="EJ21" ca="1" si="650">EJ60+EJ59</f>
        <v>0</v>
      </c>
      <c r="EK21" s="390">
        <f t="shared" ca="1" si="649"/>
        <v>0</v>
      </c>
      <c r="EM21" s="394"/>
      <c r="EN21" s="394"/>
      <c r="EO21" s="395"/>
      <c r="EP21" s="394"/>
      <c r="EQ21" s="395"/>
      <c r="ER21" s="394"/>
      <c r="ES21" s="896"/>
      <c r="EU21" s="386" t="s">
        <v>1894</v>
      </c>
      <c r="EV21" s="387" t="s">
        <v>287</v>
      </c>
      <c r="EW21" s="390">
        <f ca="1">EW60+EW59</f>
        <v>705.50340299999993</v>
      </c>
      <c r="EX21" s="390">
        <f t="shared" ref="EX21:FB21" ca="1" si="651">EX60+EX59</f>
        <v>705.50340299999993</v>
      </c>
      <c r="EY21" s="390">
        <f t="shared" ca="1" si="651"/>
        <v>532.84349299999997</v>
      </c>
      <c r="EZ21" s="390">
        <f t="shared" ca="1" si="651"/>
        <v>532.84349299999997</v>
      </c>
      <c r="FA21" s="390">
        <f t="shared" ca="1" si="651"/>
        <v>0.14841120690957399</v>
      </c>
      <c r="FB21" s="390">
        <f t="shared" ca="1" si="651"/>
        <v>172.51149953499998</v>
      </c>
      <c r="FD21" s="394"/>
      <c r="FE21" s="394"/>
      <c r="FF21" s="394"/>
      <c r="FG21" s="394"/>
      <c r="FH21" s="394"/>
      <c r="FI21" s="394"/>
      <c r="FJ21" s="896"/>
      <c r="FL21" s="386" t="s">
        <v>1894</v>
      </c>
      <c r="FM21" s="387" t="s">
        <v>287</v>
      </c>
      <c r="FN21" s="390">
        <f ca="1">FN60+FN59</f>
        <v>0.24213416866700002</v>
      </c>
      <c r="FO21" s="390">
        <f t="shared" ref="FO21:FX21" ca="1" si="652">FO60+FO59</f>
        <v>2.3234740416299999</v>
      </c>
      <c r="FP21" s="390">
        <f t="shared" ca="1" si="652"/>
        <v>0.14841120690957399</v>
      </c>
      <c r="FQ21" s="390">
        <f t="shared" ca="1" si="652"/>
        <v>172.51149953499998</v>
      </c>
      <c r="FR21" s="390">
        <f t="shared" ca="1" si="652"/>
        <v>4.9639969599999997E-5</v>
      </c>
      <c r="FS21" s="390">
        <f t="shared" ca="1" si="652"/>
        <v>172.51145053799999</v>
      </c>
      <c r="FT21" s="390">
        <f t="shared" ca="1" si="652"/>
        <v>0</v>
      </c>
      <c r="FU21" s="390">
        <f t="shared" ca="1" si="652"/>
        <v>2.7140194212100002</v>
      </c>
      <c r="FV21" s="390">
        <f t="shared" ca="1" si="652"/>
        <v>0</v>
      </c>
      <c r="FW21" s="390">
        <f t="shared" ca="1" si="652"/>
        <v>5.7731878899999999E-3</v>
      </c>
      <c r="FX21" s="390">
        <f t="shared" ca="1" si="652"/>
        <v>2.70824623121</v>
      </c>
      <c r="GA21" s="896"/>
      <c r="GB21" s="896"/>
      <c r="GC21" s="394"/>
      <c r="GD21" s="896"/>
      <c r="GE21" s="896"/>
      <c r="GF21" s="896"/>
      <c r="GH21" s="386" t="s">
        <v>1894</v>
      </c>
      <c r="GI21" s="387" t="s">
        <v>287</v>
      </c>
      <c r="GJ21" s="390">
        <f ca="1">GJ60+GJ59</f>
        <v>4.9639969599999997E-5</v>
      </c>
      <c r="GK21" s="390">
        <f t="shared" ref="GK21:GQ21" ca="1" si="653">GK60+GK59</f>
        <v>4.9639969599999997E-5</v>
      </c>
      <c r="GL21" s="390">
        <f t="shared" ca="1" si="653"/>
        <v>0</v>
      </c>
      <c r="GM21" s="390">
        <f t="shared" ca="1" si="653"/>
        <v>4.9639969599999997E-5</v>
      </c>
      <c r="GN21" s="390">
        <f t="shared" ca="1" si="653"/>
        <v>4.9639969599999997E-5</v>
      </c>
      <c r="GO21" s="390">
        <f t="shared" ca="1" si="653"/>
        <v>0</v>
      </c>
      <c r="GP21" s="390">
        <f t="shared" ca="1" si="653"/>
        <v>4.9639969599999997E-5</v>
      </c>
      <c r="GQ21" s="390">
        <f t="shared" ca="1" si="653"/>
        <v>0</v>
      </c>
      <c r="GS21" s="394"/>
      <c r="GT21" s="394"/>
      <c r="GU21" s="395"/>
      <c r="GV21" s="394"/>
      <c r="GW21" s="395"/>
      <c r="GX21" s="394"/>
      <c r="GY21" s="896"/>
      <c r="HA21" s="386" t="s">
        <v>1894</v>
      </c>
      <c r="HB21" s="387" t="s">
        <v>287</v>
      </c>
      <c r="HC21" s="390">
        <f ca="1">HC60+HC59</f>
        <v>532.84349299999997</v>
      </c>
      <c r="HD21" s="390">
        <f t="shared" ref="HD21:HH21" ca="1" si="654">HD60+HD59</f>
        <v>513.00488999999993</v>
      </c>
      <c r="HE21" s="390">
        <f t="shared" ca="1" si="654"/>
        <v>0</v>
      </c>
      <c r="HF21" s="390">
        <f t="shared" ca="1" si="654"/>
        <v>0.65607176523999999</v>
      </c>
      <c r="HG21" s="390">
        <f t="shared" ca="1" si="654"/>
        <v>19.182531640000001</v>
      </c>
      <c r="HH21" s="390">
        <f t="shared" ca="1" si="654"/>
        <v>513.00488999999993</v>
      </c>
      <c r="HJ21" s="394"/>
      <c r="HK21" s="394"/>
      <c r="HL21" s="395"/>
      <c r="HM21" s="394"/>
      <c r="HN21" s="395"/>
      <c r="HO21" s="394"/>
      <c r="HP21" s="896"/>
      <c r="HR21" s="386" t="s">
        <v>1894</v>
      </c>
      <c r="HS21" s="387" t="s">
        <v>287</v>
      </c>
      <c r="HT21" s="390">
        <f ca="1">HT60+HT59</f>
        <v>328.82906552000003</v>
      </c>
      <c r="HU21" s="390">
        <f t="shared" ref="HU21:IE21" ca="1" si="655">HU60+HU59</f>
        <v>513.00488999999993</v>
      </c>
      <c r="HV21" s="390">
        <f t="shared" ca="1" si="655"/>
        <v>841.83395500000006</v>
      </c>
      <c r="HW21" s="390">
        <f t="shared" ca="1" si="655"/>
        <v>841.83395500000006</v>
      </c>
      <c r="HX21" s="390">
        <f t="shared" ca="1" si="655"/>
        <v>69.564132300000011</v>
      </c>
      <c r="HY21" s="390">
        <f t="shared" ca="1" si="655"/>
        <v>5.2899507799999999</v>
      </c>
      <c r="HZ21" s="390">
        <f t="shared" ca="1" si="655"/>
        <v>0.91117380412100002</v>
      </c>
      <c r="IA21" s="390">
        <f t="shared" ca="1" si="655"/>
        <v>2.00956692958E-4</v>
      </c>
      <c r="IB21" s="390">
        <f t="shared" ca="1" si="655"/>
        <v>0</v>
      </c>
      <c r="IC21" s="390">
        <f t="shared" ca="1" si="655"/>
        <v>0</v>
      </c>
      <c r="ID21" s="390">
        <f t="shared" ca="1" si="655"/>
        <v>0</v>
      </c>
      <c r="IE21" s="390">
        <f t="shared" ca="1" si="655"/>
        <v>0</v>
      </c>
      <c r="IH21" s="896"/>
      <c r="II21" s="896"/>
      <c r="IJ21" s="394"/>
      <c r="IO21" s="386" t="s">
        <v>1894</v>
      </c>
      <c r="IP21" s="387" t="s">
        <v>287</v>
      </c>
      <c r="IQ21" s="390">
        <f ca="1">IQ60+IQ59</f>
        <v>69.564132300000011</v>
      </c>
      <c r="IR21" s="390">
        <f t="shared" ref="IR21:JH21" ca="1" si="656">IR60+IR59</f>
        <v>5.2899507799999999</v>
      </c>
      <c r="IS21" s="390">
        <f t="shared" ca="1" si="656"/>
        <v>0.10397821060000001</v>
      </c>
      <c r="IT21" s="390">
        <f t="shared" ca="1" si="656"/>
        <v>5.3939289800000001</v>
      </c>
      <c r="IU21" s="390">
        <f t="shared" ref="IU21" ca="1" si="657">IU60+IU59</f>
        <v>5.0341351799999998</v>
      </c>
      <c r="IV21" s="390">
        <f t="shared" ca="1" si="656"/>
        <v>3.0479501600000001</v>
      </c>
      <c r="IW21" s="390">
        <f t="shared" ca="1" si="656"/>
        <v>2.4954770499999999</v>
      </c>
      <c r="IX21" s="390">
        <f t="shared" ref="IX21" ca="1" si="658">IX60+IX59</f>
        <v>3.57996224517E-2</v>
      </c>
      <c r="IY21" s="390">
        <f t="shared" ca="1" si="656"/>
        <v>0.35979380400000005</v>
      </c>
      <c r="IZ21" s="390">
        <f t="shared" ca="1" si="656"/>
        <v>0.44849500400000003</v>
      </c>
      <c r="JA21" s="390">
        <f t="shared" ca="1" si="656"/>
        <v>2.59945527</v>
      </c>
      <c r="JB21" s="390">
        <f t="shared" ca="1" si="656"/>
        <v>0</v>
      </c>
      <c r="JC21" s="390">
        <f t="shared" ca="1" si="656"/>
        <v>0.448294048</v>
      </c>
      <c r="JD21" s="390">
        <f t="shared" ca="1" si="656"/>
        <v>0</v>
      </c>
      <c r="JE21" s="390">
        <f t="shared" ca="1" si="656"/>
        <v>0.44849500400000003</v>
      </c>
      <c r="JF21" s="390">
        <f t="shared" ca="1" si="656"/>
        <v>0</v>
      </c>
      <c r="JG21" s="390">
        <f t="shared" ca="1" si="656"/>
        <v>0</v>
      </c>
      <c r="JH21" s="390">
        <f t="shared" ca="1" si="656"/>
        <v>2.00956692958E-4</v>
      </c>
      <c r="JK21" s="896"/>
      <c r="JL21" s="896"/>
      <c r="JM21" s="394"/>
      <c r="JR21" s="386" t="s">
        <v>1894</v>
      </c>
      <c r="JS21" s="387" t="s">
        <v>287</v>
      </c>
      <c r="JT21" s="390">
        <f ca="1">JT60+JT59</f>
        <v>0</v>
      </c>
      <c r="JU21" s="390">
        <f t="shared" ref="JU21:KC21" ca="1" si="659">JU60+JU59</f>
        <v>0</v>
      </c>
      <c r="JV21" s="390">
        <f t="shared" ca="1" si="659"/>
        <v>0</v>
      </c>
      <c r="JW21" s="390">
        <f t="shared" ca="1" si="659"/>
        <v>0</v>
      </c>
      <c r="JX21" s="390">
        <f t="shared" ca="1" si="659"/>
        <v>4.9639969599999997E-5</v>
      </c>
      <c r="JY21" s="390">
        <f t="shared" ca="1" si="659"/>
        <v>0</v>
      </c>
      <c r="JZ21" s="390">
        <f t="shared" ca="1" si="659"/>
        <v>4.9639969599999997E-5</v>
      </c>
      <c r="KA21" s="390">
        <f t="shared" ca="1" si="659"/>
        <v>0</v>
      </c>
      <c r="KB21" s="390">
        <f t="shared" ca="1" si="659"/>
        <v>0</v>
      </c>
      <c r="KC21" s="390">
        <f t="shared" ca="1" si="659"/>
        <v>0</v>
      </c>
      <c r="KE21" s="385"/>
      <c r="KJ21" s="386" t="s">
        <v>1894</v>
      </c>
      <c r="KK21" s="387" t="s">
        <v>287</v>
      </c>
      <c r="KL21" s="390">
        <f ca="1">KL60+KL59</f>
        <v>0</v>
      </c>
      <c r="KM21" s="390">
        <f t="shared" ref="KM21:KR21" ca="1" si="660">KM60+KM59</f>
        <v>0</v>
      </c>
      <c r="KN21" s="390">
        <f t="shared" ca="1" si="660"/>
        <v>0</v>
      </c>
      <c r="KO21" s="390">
        <f t="shared" ca="1" si="660"/>
        <v>0</v>
      </c>
      <c r="KP21" s="390">
        <f t="shared" ca="1" si="660"/>
        <v>0</v>
      </c>
      <c r="KQ21" s="390">
        <f t="shared" ca="1" si="660"/>
        <v>0</v>
      </c>
      <c r="KR21" s="390">
        <f t="shared" ca="1" si="660"/>
        <v>0</v>
      </c>
      <c r="KT21" s="394"/>
      <c r="KY21" s="386" t="s">
        <v>1894</v>
      </c>
      <c r="KZ21" s="387" t="s">
        <v>287</v>
      </c>
      <c r="LA21" s="390">
        <f ca="1">LA60+LA59</f>
        <v>0.65607176523999999</v>
      </c>
      <c r="LB21" s="390">
        <f t="shared" ref="LB21:LK21" ca="1" si="661">LB60+LB59</f>
        <v>0.91117380412100002</v>
      </c>
      <c r="LC21" s="390">
        <f t="shared" ca="1" si="661"/>
        <v>1.5672455733599999</v>
      </c>
      <c r="LD21" s="390">
        <f t="shared" ca="1" si="661"/>
        <v>1.5672455733599999</v>
      </c>
      <c r="LE21" s="390">
        <f t="shared" ca="1" si="661"/>
        <v>0</v>
      </c>
      <c r="LF21" s="390">
        <f t="shared" ca="1" si="661"/>
        <v>0</v>
      </c>
      <c r="LG21" s="390">
        <f t="shared" ca="1" si="661"/>
        <v>0</v>
      </c>
      <c r="LH21" s="390">
        <f t="shared" ca="1" si="661"/>
        <v>0</v>
      </c>
      <c r="LI21" s="390">
        <f t="shared" ca="1" si="661"/>
        <v>0</v>
      </c>
      <c r="LJ21" s="390">
        <f t="shared" ca="1" si="661"/>
        <v>0</v>
      </c>
      <c r="LK21" s="390">
        <f t="shared" ca="1" si="661"/>
        <v>0</v>
      </c>
      <c r="LN21" s="896"/>
      <c r="LO21" s="896"/>
      <c r="LP21" s="394"/>
      <c r="LU21" s="386" t="s">
        <v>1894</v>
      </c>
      <c r="LV21" s="387" t="s">
        <v>287</v>
      </c>
      <c r="LW21" s="390">
        <f ca="1">LW60+LW59</f>
        <v>0</v>
      </c>
      <c r="LX21" s="390">
        <f ca="1">LX60+LX59</f>
        <v>0</v>
      </c>
      <c r="LY21" s="390">
        <f t="shared" ref="LY21:MO21" ca="1" si="662">LY60+LY59</f>
        <v>19.182531640000001</v>
      </c>
      <c r="LZ21" s="390">
        <f t="shared" ca="1" si="662"/>
        <v>0.35979380400000005</v>
      </c>
      <c r="MA21" s="390">
        <f t="shared" ca="1" si="662"/>
        <v>19.542325479999999</v>
      </c>
      <c r="MB21" s="390">
        <f t="shared" ca="1" si="662"/>
        <v>1.5672455733599999</v>
      </c>
      <c r="MC21" s="390">
        <f t="shared" ca="1" si="662"/>
        <v>0</v>
      </c>
      <c r="MD21" s="390">
        <f t="shared" ca="1" si="662"/>
        <v>0</v>
      </c>
      <c r="ME21" s="390">
        <f t="shared" ca="1" si="662"/>
        <v>0</v>
      </c>
      <c r="MF21" s="390">
        <f t="shared" ca="1" si="662"/>
        <v>0</v>
      </c>
      <c r="MG21" s="390">
        <f t="shared" ca="1" si="662"/>
        <v>0</v>
      </c>
      <c r="MH21" s="390">
        <f t="shared" ref="MH21:MI21" ca="1" si="663">MH60+MH59</f>
        <v>0</v>
      </c>
      <c r="MI21" s="390">
        <f t="shared" ca="1" si="663"/>
        <v>0</v>
      </c>
      <c r="MJ21" s="390">
        <f t="shared" ca="1" si="662"/>
        <v>0</v>
      </c>
      <c r="MK21" s="390">
        <f t="shared" ca="1" si="662"/>
        <v>0</v>
      </c>
      <c r="ML21" s="390">
        <f t="shared" ca="1" si="662"/>
        <v>0</v>
      </c>
      <c r="MM21" s="390">
        <f t="shared" ca="1" si="662"/>
        <v>0</v>
      </c>
      <c r="MN21" s="390">
        <f t="shared" ca="1" si="662"/>
        <v>0</v>
      </c>
      <c r="MO21" s="390">
        <f t="shared" ca="1" si="662"/>
        <v>0</v>
      </c>
      <c r="MQ21" s="1342"/>
      <c r="MR21" s="394"/>
      <c r="MS21" s="394"/>
      <c r="MT21" s="394"/>
      <c r="MU21" s="394"/>
      <c r="MV21" s="394"/>
      <c r="MY21" s="386" t="s">
        <v>1894</v>
      </c>
      <c r="MZ21" s="387" t="s">
        <v>287</v>
      </c>
      <c r="NA21" s="390">
        <f ca="1">NA60+NA59</f>
        <v>204.97751663299999</v>
      </c>
      <c r="NB21" s="390">
        <f t="shared" ref="NB21:NP21" ca="1" si="664">NB60+NB59</f>
        <v>197.22712914350001</v>
      </c>
      <c r="NC21" s="390">
        <f t="shared" ca="1" si="664"/>
        <v>7.7503875989999997</v>
      </c>
      <c r="ND21" s="390">
        <f t="shared" ca="1" si="664"/>
        <v>0</v>
      </c>
      <c r="NE21" s="390">
        <f t="shared" ca="1" si="664"/>
        <v>0</v>
      </c>
      <c r="NF21" s="390">
        <f t="shared" ca="1" si="664"/>
        <v>0</v>
      </c>
      <c r="NG21" s="390">
        <f t="shared" ca="1" si="664"/>
        <v>0</v>
      </c>
      <c r="NH21" s="390">
        <f t="shared" ca="1" si="664"/>
        <v>0</v>
      </c>
      <c r="NI21" s="390">
        <f t="shared" ca="1" si="664"/>
        <v>0</v>
      </c>
      <c r="NJ21" s="390">
        <f t="shared" ca="1" si="664"/>
        <v>0</v>
      </c>
      <c r="NK21" s="390">
        <f t="shared" ca="1" si="664"/>
        <v>0</v>
      </c>
      <c r="NL21" s="390">
        <f t="shared" ca="1" si="664"/>
        <v>0</v>
      </c>
      <c r="NM21" s="390">
        <f t="shared" ca="1" si="664"/>
        <v>0</v>
      </c>
      <c r="NN21" s="390">
        <f t="shared" ca="1" si="664"/>
        <v>0</v>
      </c>
      <c r="NO21" s="390">
        <f t="shared" ca="1" si="664"/>
        <v>0</v>
      </c>
      <c r="NP21" s="390">
        <f t="shared" ca="1" si="664"/>
        <v>0</v>
      </c>
      <c r="NR21" s="394"/>
      <c r="NS21" s="394"/>
      <c r="NT21" s="395"/>
      <c r="NU21" s="394"/>
      <c r="NV21" s="395"/>
      <c r="NW21" s="394"/>
      <c r="NX21" s="896"/>
      <c r="NZ21" s="394"/>
      <c r="OA21" s="394"/>
      <c r="OF21" s="386" t="s">
        <v>1894</v>
      </c>
      <c r="OG21" s="387" t="s">
        <v>287</v>
      </c>
      <c r="OH21" s="390">
        <f ca="1">OH60+OH59</f>
        <v>0</v>
      </c>
      <c r="OI21" s="390">
        <f t="shared" ref="OI21:OO21" ca="1" si="665">OI60+OI59</f>
        <v>0</v>
      </c>
      <c r="OJ21" s="390">
        <f t="shared" ca="1" si="665"/>
        <v>0</v>
      </c>
      <c r="OK21" s="390">
        <f t="shared" ca="1" si="665"/>
        <v>0</v>
      </c>
      <c r="OL21" s="390">
        <f t="shared" ca="1" si="665"/>
        <v>0</v>
      </c>
      <c r="OM21" s="390">
        <f t="shared" ca="1" si="665"/>
        <v>0</v>
      </c>
      <c r="ON21" s="390">
        <f t="shared" ca="1" si="665"/>
        <v>0</v>
      </c>
      <c r="OO21" s="390">
        <f t="shared" ca="1" si="665"/>
        <v>0</v>
      </c>
      <c r="OQ21" s="896"/>
      <c r="OR21" s="896"/>
      <c r="OS21" s="896"/>
      <c r="OT21" s="394"/>
      <c r="OU21" s="896"/>
      <c r="OV21" s="896"/>
      <c r="OW21" s="896"/>
      <c r="OY21" s="386" t="s">
        <v>1894</v>
      </c>
      <c r="OZ21" s="387" t="s">
        <v>287</v>
      </c>
      <c r="PA21" s="390">
        <f ca="1">PA60+PA59</f>
        <v>0</v>
      </c>
      <c r="PB21" s="390">
        <f t="shared" ref="PB21:PK21" ca="1" si="666">PB60+PB59</f>
        <v>0</v>
      </c>
      <c r="PC21" s="390">
        <f t="shared" ca="1" si="666"/>
        <v>0</v>
      </c>
      <c r="PD21" s="390">
        <f t="shared" ca="1" si="666"/>
        <v>0</v>
      </c>
      <c r="PE21" s="390">
        <f t="shared" ca="1" si="666"/>
        <v>0</v>
      </c>
      <c r="PF21" s="390">
        <f t="shared" ca="1" si="666"/>
        <v>0</v>
      </c>
      <c r="PG21" s="390">
        <f t="shared" ca="1" si="666"/>
        <v>0</v>
      </c>
      <c r="PH21" s="390">
        <f t="shared" ca="1" si="666"/>
        <v>0</v>
      </c>
      <c r="PI21" s="390">
        <f t="shared" ca="1" si="666"/>
        <v>0</v>
      </c>
      <c r="PJ21" s="390">
        <f t="shared" ca="1" si="666"/>
        <v>0</v>
      </c>
      <c r="PK21" s="390">
        <f t="shared" ca="1" si="666"/>
        <v>0</v>
      </c>
      <c r="PN21" s="896"/>
      <c r="PO21" s="896"/>
      <c r="PP21" s="394"/>
      <c r="PU21" s="386" t="s">
        <v>1894</v>
      </c>
      <c r="PV21" s="387" t="s">
        <v>287</v>
      </c>
      <c r="PW21" s="390">
        <f ca="1">PW60+PW59</f>
        <v>0</v>
      </c>
      <c r="PX21" s="390">
        <f t="shared" ref="PX21:PZ21" ca="1" si="667">PX60+PX59</f>
        <v>0</v>
      </c>
      <c r="PY21" s="390">
        <f t="shared" ca="1" si="667"/>
        <v>0</v>
      </c>
      <c r="PZ21" s="390">
        <f t="shared" ca="1" si="667"/>
        <v>0</v>
      </c>
      <c r="QC21" s="896"/>
      <c r="QD21" s="896"/>
      <c r="QE21" s="394"/>
    </row>
    <row r="22" spans="1:453" x14ac:dyDescent="0.25">
      <c r="A22" s="1315"/>
      <c r="H22" s="386" t="s">
        <v>1895</v>
      </c>
      <c r="I22" s="387" t="s">
        <v>287</v>
      </c>
      <c r="J22" s="390">
        <f ca="1">J64+J76+J77+J65+J63</f>
        <v>0</v>
      </c>
      <c r="K22" s="390">
        <f ca="1">K64+K76+K77+K65+K63</f>
        <v>0</v>
      </c>
      <c r="R22" s="386" t="s">
        <v>1895</v>
      </c>
      <c r="S22" s="387" t="s">
        <v>287</v>
      </c>
      <c r="T22" s="390">
        <f ca="1">T64+T76+T77+T65+T63</f>
        <v>0</v>
      </c>
      <c r="U22" s="390">
        <f t="shared" ref="U22:AD22" ca="1" si="668">U64+U76+U77+U65+U63</f>
        <v>0</v>
      </c>
      <c r="V22" s="390">
        <f t="shared" ca="1" si="668"/>
        <v>6.1448405629000004E-3</v>
      </c>
      <c r="W22" s="390">
        <f t="shared" ca="1" si="668"/>
        <v>0</v>
      </c>
      <c r="X22" s="390">
        <f t="shared" ca="1" si="668"/>
        <v>0</v>
      </c>
      <c r="Y22" s="390">
        <f t="shared" ca="1" si="668"/>
        <v>6.1448405629000004E-3</v>
      </c>
      <c r="Z22" s="390">
        <f t="shared" ca="1" si="668"/>
        <v>1.2210758040495E-7</v>
      </c>
      <c r="AA22" s="390">
        <f t="shared" ca="1" si="668"/>
        <v>6.1447184443999998E-3</v>
      </c>
      <c r="AB22" s="390">
        <f t="shared" ca="1" si="668"/>
        <v>0</v>
      </c>
      <c r="AC22" s="390">
        <f t="shared" ca="1" si="668"/>
        <v>6.1448405629000004E-3</v>
      </c>
      <c r="AD22" s="390">
        <f t="shared" ca="1" si="668"/>
        <v>0</v>
      </c>
      <c r="AF22" s="896"/>
      <c r="AG22" s="896"/>
      <c r="AH22" s="896"/>
      <c r="AI22" s="896"/>
      <c r="AK22" s="386" t="s">
        <v>1895</v>
      </c>
      <c r="AL22" s="387" t="s">
        <v>287</v>
      </c>
      <c r="AM22" s="390">
        <f ca="1">AM64+AM76+AM77+AM65+AM63</f>
        <v>0</v>
      </c>
      <c r="AN22" s="390">
        <f t="shared" ref="AN22:BB22" ca="1" si="669">AN64+AN76+AN77+AN65+AN63</f>
        <v>0</v>
      </c>
      <c r="AO22" s="390">
        <f t="shared" ref="AO22:AS22" ca="1" si="670">AO64+AO76+AO77+AO65+AO63</f>
        <v>6.1447184443999998E-3</v>
      </c>
      <c r="AP22" s="390">
        <f t="shared" ca="1" si="670"/>
        <v>6.1447184443999998E-3</v>
      </c>
      <c r="AQ22" s="390">
        <f t="shared" ca="1" si="670"/>
        <v>3.4851405972523002E-8</v>
      </c>
      <c r="AR22" s="390">
        <f t="shared" ca="1" si="670"/>
        <v>4.3895627489999998E-11</v>
      </c>
      <c r="AS22" s="390">
        <f t="shared" ca="1" si="670"/>
        <v>1.2201524569999998E-7</v>
      </c>
      <c r="AT22" s="390">
        <f t="shared" ca="1" si="669"/>
        <v>2.6780611170000001E-12</v>
      </c>
      <c r="AU22" s="390">
        <f t="shared" ca="1" si="669"/>
        <v>3.4884830899999998E-8</v>
      </c>
      <c r="AV22" s="390">
        <f t="shared" ca="1" si="669"/>
        <v>6.1446835966999999E-3</v>
      </c>
      <c r="AW22" s="390">
        <f t="shared" ca="1" si="669"/>
        <v>2.6780611170000001E-12</v>
      </c>
      <c r="AX22" s="390">
        <f t="shared" ca="1" si="669"/>
        <v>1.5690275459999999E-7</v>
      </c>
      <c r="AY22" s="390">
        <f t="shared" ca="1" si="669"/>
        <v>0</v>
      </c>
      <c r="AZ22" s="390">
        <f t="shared" ca="1" si="669"/>
        <v>0</v>
      </c>
      <c r="BA22" s="390">
        <f t="shared" ca="1" si="669"/>
        <v>0</v>
      </c>
      <c r="BB22" s="390">
        <f t="shared" ca="1" si="669"/>
        <v>6.1446835966999999E-3</v>
      </c>
      <c r="BD22" s="896"/>
      <c r="BE22" s="896"/>
      <c r="BF22" s="896"/>
      <c r="BG22" s="394"/>
      <c r="BL22" s="386" t="s">
        <v>1895</v>
      </c>
      <c r="BM22" s="387" t="s">
        <v>287</v>
      </c>
      <c r="BN22" s="390">
        <f ca="1">BN64+BN76+BN77+BN65+BN63</f>
        <v>1.3363708536005301</v>
      </c>
      <c r="BO22" s="390">
        <f t="shared" ref="BO22:BR22" ca="1" si="671">BO64+BO76+BO77+BO65+BO63</f>
        <v>138.13167687000001</v>
      </c>
      <c r="BP22" s="390">
        <f t="shared" ca="1" si="671"/>
        <v>1.7517649755879998E-7</v>
      </c>
      <c r="BQ22" s="390">
        <f t="shared" ca="1" si="671"/>
        <v>0</v>
      </c>
      <c r="BR22" s="390">
        <f t="shared" ca="1" si="671"/>
        <v>0</v>
      </c>
      <c r="BT22" s="896"/>
      <c r="BU22" s="896"/>
      <c r="BV22" s="896"/>
      <c r="BW22" s="394"/>
      <c r="CB22" s="386" t="s">
        <v>1895</v>
      </c>
      <c r="CC22" s="387" t="s">
        <v>287</v>
      </c>
      <c r="CD22" s="390">
        <f ca="1">CD64+CD76+CD77+CD65+CD63</f>
        <v>6.1446835966999999E-3</v>
      </c>
      <c r="CE22" s="390">
        <f t="shared" ref="CE22:CO22" ca="1" si="672">CE64+CE76+CE77+CE65+CE63</f>
        <v>6.1446835966999999E-3</v>
      </c>
      <c r="CF22" s="390">
        <f t="shared" ca="1" si="672"/>
        <v>1.3363708536005301</v>
      </c>
      <c r="CG22" s="390">
        <f t="shared" ca="1" si="672"/>
        <v>138.13167687000001</v>
      </c>
      <c r="CH22" s="390">
        <f t="shared" ca="1" si="672"/>
        <v>13.363694240969799</v>
      </c>
      <c r="CI22" s="390">
        <f t="shared" ca="1" si="672"/>
        <v>0</v>
      </c>
      <c r="CJ22" s="390">
        <f t="shared" ca="1" si="672"/>
        <v>0</v>
      </c>
      <c r="CK22" s="390">
        <f t="shared" ca="1" si="672"/>
        <v>1400.3943067</v>
      </c>
      <c r="CL22" s="390">
        <f t="shared" ca="1" si="672"/>
        <v>1.7598617926109998E-6</v>
      </c>
      <c r="CM22" s="390">
        <f t="shared" ca="1" si="672"/>
        <v>13.357549499999999</v>
      </c>
      <c r="CN22" s="390">
        <f t="shared" ca="1" si="672"/>
        <v>1400.3943076999999</v>
      </c>
      <c r="CO22" s="390">
        <f t="shared" ca="1" si="672"/>
        <v>1.9350827843200003E-6</v>
      </c>
      <c r="CQ22" s="896"/>
      <c r="CR22" s="896"/>
      <c r="CS22" s="896"/>
      <c r="CT22" s="394"/>
      <c r="CU22" s="896"/>
      <c r="CV22" s="896"/>
      <c r="CW22" s="896"/>
      <c r="CY22" s="386" t="s">
        <v>1895</v>
      </c>
      <c r="CZ22" s="387" t="s">
        <v>287</v>
      </c>
      <c r="DA22" s="390">
        <f ca="1">DA64+DA76+DA77+DA65+DA63</f>
        <v>7.4208688100000003E-2</v>
      </c>
      <c r="DB22" s="390">
        <f t="shared" ref="DB22:DJ22" ca="1" si="673">DB64+DB76+DB77+DB65+DB63</f>
        <v>0</v>
      </c>
      <c r="DC22" s="390">
        <f t="shared" ca="1" si="673"/>
        <v>0</v>
      </c>
      <c r="DD22" s="390">
        <f t="shared" ca="1" si="673"/>
        <v>0</v>
      </c>
      <c r="DE22" s="390">
        <f t="shared" ca="1" si="673"/>
        <v>7.4208687999999995E-2</v>
      </c>
      <c r="DF22" s="390">
        <f t="shared" ca="1" si="673"/>
        <v>1.4391246E-10</v>
      </c>
      <c r="DG22" s="390">
        <f t="shared" ca="1" si="673"/>
        <v>0</v>
      </c>
      <c r="DH22" s="390">
        <f t="shared" ca="1" si="673"/>
        <v>0</v>
      </c>
      <c r="DI22" s="390">
        <f t="shared" ca="1" si="673"/>
        <v>0</v>
      </c>
      <c r="DJ22" s="390">
        <f t="shared" ca="1" si="673"/>
        <v>0</v>
      </c>
      <c r="DL22" s="896"/>
      <c r="DM22" s="896"/>
      <c r="DN22" s="896"/>
      <c r="DO22" s="394"/>
      <c r="DT22" s="386" t="s">
        <v>1895</v>
      </c>
      <c r="DU22" s="387" t="s">
        <v>287</v>
      </c>
      <c r="DV22" s="390">
        <f ca="1">DV64+DV76+DV77+DV65+DV63</f>
        <v>0</v>
      </c>
      <c r="DW22" s="390">
        <f t="shared" ref="DW22:EK22" ca="1" si="674">DW64+DW76+DW77+DW65+DW63</f>
        <v>0</v>
      </c>
      <c r="DX22" s="390">
        <f t="shared" ca="1" si="674"/>
        <v>1.48417376</v>
      </c>
      <c r="DY22" s="390">
        <f t="shared" ca="1" si="674"/>
        <v>7.4208688100000003E-2</v>
      </c>
      <c r="DZ22" s="390">
        <f t="shared" ca="1" si="674"/>
        <v>0</v>
      </c>
      <c r="EA22" s="390">
        <f t="shared" ca="1" si="674"/>
        <v>7.4208687999999995E-2</v>
      </c>
      <c r="EB22" s="390">
        <f t="shared" ca="1" si="674"/>
        <v>1.4099650699999999</v>
      </c>
      <c r="EC22" s="390">
        <f t="shared" ca="1" si="674"/>
        <v>0</v>
      </c>
      <c r="ED22" s="390">
        <f t="shared" ca="1" si="674"/>
        <v>13.357549499999999</v>
      </c>
      <c r="EE22" s="390">
        <f t="shared" ca="1" si="674"/>
        <v>2.8351229400000004E-8</v>
      </c>
      <c r="EF22" s="390">
        <f t="shared" ca="1" si="674"/>
        <v>0</v>
      </c>
      <c r="EG22" s="390">
        <f t="shared" ca="1" si="674"/>
        <v>0</v>
      </c>
      <c r="EH22" s="390">
        <f t="shared" ca="1" si="674"/>
        <v>0</v>
      </c>
      <c r="EI22" s="390">
        <f t="shared" ca="1" si="674"/>
        <v>0</v>
      </c>
      <c r="EJ22" s="390">
        <f t="shared" ref="EJ22" ca="1" si="675">EJ64+EJ76+EJ77+EJ65+EJ63</f>
        <v>13.357518000000001</v>
      </c>
      <c r="EK22" s="390">
        <f t="shared" ca="1" si="674"/>
        <v>0</v>
      </c>
      <c r="EM22" s="394"/>
      <c r="EN22" s="394"/>
      <c r="EO22" s="395"/>
      <c r="EP22" s="394"/>
      <c r="EQ22" s="395"/>
      <c r="ER22" s="394"/>
      <c r="ES22" s="896"/>
      <c r="EU22" s="386" t="s">
        <v>1895</v>
      </c>
      <c r="EV22" s="387" t="s">
        <v>287</v>
      </c>
      <c r="EW22" s="390">
        <f ca="1">EW64+EW76+EW77+EW65+EW63</f>
        <v>1400.3943076999999</v>
      </c>
      <c r="EX22" s="390">
        <f t="shared" ref="EX22:FB22" ca="1" si="676">EX64+EX76+EX77+EX65+EX63</f>
        <v>1400.3943076999999</v>
      </c>
      <c r="EY22" s="390">
        <f t="shared" ca="1" si="676"/>
        <v>1400.3881639000001</v>
      </c>
      <c r="EZ22" s="390">
        <f t="shared" ca="1" si="676"/>
        <v>1400.3881639000001</v>
      </c>
      <c r="FA22" s="390">
        <f t="shared" ca="1" si="676"/>
        <v>4.4494377103046994E-11</v>
      </c>
      <c r="FB22" s="390">
        <f t="shared" ca="1" si="676"/>
        <v>6.1448405225000002E-3</v>
      </c>
      <c r="FD22" s="394"/>
      <c r="FE22" s="394"/>
      <c r="FF22" s="395"/>
      <c r="FG22" s="394"/>
      <c r="FH22" s="395"/>
      <c r="FI22" s="394"/>
      <c r="FJ22" s="896"/>
      <c r="FL22" s="386" t="s">
        <v>1895</v>
      </c>
      <c r="FM22" s="387" t="s">
        <v>287</v>
      </c>
      <c r="FN22" s="390">
        <f ca="1">FN64+FN76+FN77+FN65+FN63</f>
        <v>1.7517649755879998E-7</v>
      </c>
      <c r="FO22" s="390">
        <f t="shared" ref="FO22:FX22" ca="1" si="677">FO64+FO76+FO77+FO65+FO63</f>
        <v>1.7598617926109998E-6</v>
      </c>
      <c r="FP22" s="390">
        <f t="shared" ca="1" si="677"/>
        <v>4.4494377103046994E-11</v>
      </c>
      <c r="FQ22" s="390">
        <f t="shared" ca="1" si="677"/>
        <v>6.1448405225000002E-3</v>
      </c>
      <c r="FR22" s="390">
        <f t="shared" ca="1" si="677"/>
        <v>0</v>
      </c>
      <c r="FS22" s="390">
        <f t="shared" ca="1" si="677"/>
        <v>6.1448405629000004E-3</v>
      </c>
      <c r="FT22" s="390">
        <f t="shared" ca="1" si="677"/>
        <v>0</v>
      </c>
      <c r="FU22" s="390">
        <f t="shared" ca="1" si="677"/>
        <v>1.9350827843200003E-6</v>
      </c>
      <c r="FV22" s="390">
        <f t="shared" ca="1" si="677"/>
        <v>0</v>
      </c>
      <c r="FW22" s="390">
        <f t="shared" ca="1" si="677"/>
        <v>4.7456199200000002E-34</v>
      </c>
      <c r="FX22" s="390">
        <f t="shared" ca="1" si="677"/>
        <v>1.9350827843200003E-6</v>
      </c>
      <c r="FZ22" s="896"/>
      <c r="GA22" s="896"/>
      <c r="GB22" s="896"/>
      <c r="GC22" s="394"/>
      <c r="GH22" s="386" t="s">
        <v>1895</v>
      </c>
      <c r="GI22" s="387" t="s">
        <v>287</v>
      </c>
      <c r="GJ22" s="390">
        <f ca="1">GJ64+GJ76+GJ77+GJ65+GJ63</f>
        <v>0</v>
      </c>
      <c r="GK22" s="390">
        <f t="shared" ref="GK22:GQ22" ca="1" si="678">GK64+GK76+GK77+GK65+GK63</f>
        <v>0</v>
      </c>
      <c r="GL22" s="390">
        <f t="shared" ca="1" si="678"/>
        <v>0</v>
      </c>
      <c r="GM22" s="390">
        <f t="shared" ca="1" si="678"/>
        <v>0</v>
      </c>
      <c r="GN22" s="390">
        <f t="shared" ca="1" si="678"/>
        <v>0</v>
      </c>
      <c r="GO22" s="390">
        <f t="shared" ca="1" si="678"/>
        <v>0</v>
      </c>
      <c r="GP22" s="390">
        <f t="shared" ca="1" si="678"/>
        <v>0</v>
      </c>
      <c r="GQ22" s="390">
        <f t="shared" ca="1" si="678"/>
        <v>0</v>
      </c>
      <c r="GS22" s="394"/>
      <c r="GT22" s="394"/>
      <c r="GU22" s="395"/>
      <c r="GV22" s="394"/>
      <c r="GW22" s="395"/>
      <c r="GX22" s="394"/>
      <c r="GY22" s="896"/>
      <c r="HA22" s="386" t="s">
        <v>1895</v>
      </c>
      <c r="HB22" s="387" t="s">
        <v>287</v>
      </c>
      <c r="HC22" s="390">
        <f ca="1">HC64+HC76+HC77+HC65+HC63</f>
        <v>1400.3881639000001</v>
      </c>
      <c r="HD22" s="390">
        <f t="shared" ref="HD22:HH22" ca="1" si="679">HD64+HD76+HD77+HD65+HD63</f>
        <v>1348.2495037000001</v>
      </c>
      <c r="HE22" s="390">
        <f t="shared" ca="1" si="679"/>
        <v>0</v>
      </c>
      <c r="HF22" s="390">
        <f t="shared" ca="1" si="679"/>
        <v>3.1938051358399999E-6</v>
      </c>
      <c r="HG22" s="390">
        <f t="shared" ca="1" si="679"/>
        <v>52.138656281999999</v>
      </c>
      <c r="HH22" s="390">
        <f t="shared" ca="1" si="679"/>
        <v>1348.2495037000001</v>
      </c>
      <c r="HJ22" s="394"/>
      <c r="HK22" s="394"/>
      <c r="HL22" s="395"/>
      <c r="HM22" s="394"/>
      <c r="HN22" s="395"/>
      <c r="HO22" s="394"/>
      <c r="HP22" s="896"/>
      <c r="HR22" s="386" t="s">
        <v>1895</v>
      </c>
      <c r="HS22" s="387" t="s">
        <v>287</v>
      </c>
      <c r="HT22" s="390">
        <f ca="1">HT64+HT76+HT77+HT65+HT63</f>
        <v>1.5690275459999999E-7</v>
      </c>
      <c r="HU22" s="390">
        <f t="shared" ref="HU22:IE22" ca="1" si="680">HU64+HU76+HU77+HU65+HU63</f>
        <v>1348.2495037000001</v>
      </c>
      <c r="HV22" s="390">
        <f t="shared" ca="1" si="680"/>
        <v>1348.2495037000001</v>
      </c>
      <c r="HW22" s="390">
        <f t="shared" ca="1" si="680"/>
        <v>1348.2495037000001</v>
      </c>
      <c r="HX22" s="390">
        <f t="shared" ca="1" si="680"/>
        <v>112.76716318000001</v>
      </c>
      <c r="HY22" s="390">
        <f t="shared" ca="1" si="680"/>
        <v>8.5752919154999994</v>
      </c>
      <c r="HZ22" s="390">
        <f t="shared" ca="1" si="680"/>
        <v>3.4947653110400002E-7</v>
      </c>
      <c r="IA22" s="390">
        <f t="shared" ca="1" si="680"/>
        <v>1.59647802998E-9</v>
      </c>
      <c r="IB22" s="390">
        <f t="shared" ca="1" si="680"/>
        <v>0</v>
      </c>
      <c r="IC22" s="390">
        <f t="shared" ca="1" si="680"/>
        <v>0</v>
      </c>
      <c r="ID22" s="390">
        <f t="shared" ca="1" si="680"/>
        <v>0</v>
      </c>
      <c r="IE22" s="390">
        <f t="shared" ca="1" si="680"/>
        <v>0</v>
      </c>
      <c r="IG22" s="896"/>
      <c r="IH22" s="896"/>
      <c r="II22" s="896"/>
      <c r="IJ22" s="394"/>
      <c r="IO22" s="386" t="s">
        <v>1895</v>
      </c>
      <c r="IP22" s="387" t="s">
        <v>287</v>
      </c>
      <c r="IQ22" s="390">
        <f ca="1">IQ64+IQ76+IQ77+IQ65+IQ63</f>
        <v>112.76716318000001</v>
      </c>
      <c r="IR22" s="390">
        <f t="shared" ref="IR22:JH22" ca="1" si="681">IR64+IR76+IR77+IR65+IR63</f>
        <v>8.5752919154999994</v>
      </c>
      <c r="IS22" s="390">
        <f t="shared" ca="1" si="681"/>
        <v>0.2600557785</v>
      </c>
      <c r="IT22" s="390">
        <f t="shared" ca="1" si="681"/>
        <v>8.8353477050000002</v>
      </c>
      <c r="IU22" s="390">
        <f t="shared" ref="IU22" ca="1" si="682">IU64+IU76+IU77+IU65+IU63</f>
        <v>8.2459993100000002</v>
      </c>
      <c r="IV22" s="390">
        <f t="shared" ca="1" si="681"/>
        <v>7.6231075780000008</v>
      </c>
      <c r="IW22" s="390">
        <f t="shared" ca="1" si="681"/>
        <v>6.2413386880000008</v>
      </c>
      <c r="IX22" s="390">
        <f t="shared" ref="IX22" ca="1" si="683">IX64+IX76+IX77+IX65+IX63</f>
        <v>7.2204390208900001E-9</v>
      </c>
      <c r="IY22" s="390">
        <f t="shared" ca="1" si="681"/>
        <v>0.58934838859999994</v>
      </c>
      <c r="IZ22" s="390">
        <f t="shared" ca="1" si="681"/>
        <v>1.1217131140999999</v>
      </c>
      <c r="JA22" s="390">
        <f t="shared" ca="1" si="681"/>
        <v>6.5013944720000012</v>
      </c>
      <c r="JB22" s="390">
        <f t="shared" ca="1" si="681"/>
        <v>0</v>
      </c>
      <c r="JC22" s="390">
        <f t="shared" ca="1" si="681"/>
        <v>1.1217131133</v>
      </c>
      <c r="JD22" s="390">
        <f t="shared" ca="1" si="681"/>
        <v>0</v>
      </c>
      <c r="JE22" s="390">
        <f t="shared" ca="1" si="681"/>
        <v>1.1217131140999999</v>
      </c>
      <c r="JF22" s="390">
        <f t="shared" ca="1" si="681"/>
        <v>0</v>
      </c>
      <c r="JG22" s="390">
        <f t="shared" ca="1" si="681"/>
        <v>0</v>
      </c>
      <c r="JH22" s="390">
        <f t="shared" ca="1" si="681"/>
        <v>1.59647802998E-9</v>
      </c>
      <c r="JJ22" s="896"/>
      <c r="JK22" s="896"/>
      <c r="JL22" s="896"/>
      <c r="JM22" s="394"/>
      <c r="JR22" s="386" t="s">
        <v>1895</v>
      </c>
      <c r="JS22" s="387" t="s">
        <v>287</v>
      </c>
      <c r="JT22" s="390">
        <f ca="1">JT64+JT76+JT77+JT65+JT63</f>
        <v>0</v>
      </c>
      <c r="JU22" s="390">
        <f t="shared" ref="JU22:KC22" ca="1" si="684">JU64+JU76+JU77+JU65+JU63</f>
        <v>0</v>
      </c>
      <c r="JV22" s="390">
        <f t="shared" ca="1" si="684"/>
        <v>0</v>
      </c>
      <c r="JW22" s="390">
        <f t="shared" ca="1" si="684"/>
        <v>0</v>
      </c>
      <c r="JX22" s="390">
        <f t="shared" ca="1" si="684"/>
        <v>0</v>
      </c>
      <c r="JY22" s="390">
        <f t="shared" ca="1" si="684"/>
        <v>464.95049399999994</v>
      </c>
      <c r="JZ22" s="390">
        <f t="shared" ca="1" si="684"/>
        <v>464.95049399999994</v>
      </c>
      <c r="KA22" s="390">
        <f t="shared" ca="1" si="684"/>
        <v>0</v>
      </c>
      <c r="KB22" s="390">
        <f t="shared" ca="1" si="684"/>
        <v>0</v>
      </c>
      <c r="KC22" s="390">
        <f t="shared" ca="1" si="684"/>
        <v>0</v>
      </c>
      <c r="KE22" s="385"/>
      <c r="KJ22" s="386" t="s">
        <v>1895</v>
      </c>
      <c r="KK22" s="387" t="s">
        <v>287</v>
      </c>
      <c r="KL22" s="390">
        <f ca="1">KL64+KL76+KL77+KL65+KL63</f>
        <v>0</v>
      </c>
      <c r="KM22" s="390">
        <f t="shared" ref="KM22:KR22" ca="1" si="685">KM64+KM76+KM77+KM65+KM63</f>
        <v>0</v>
      </c>
      <c r="KN22" s="390">
        <f t="shared" ca="1" si="685"/>
        <v>0</v>
      </c>
      <c r="KO22" s="390">
        <f t="shared" ca="1" si="685"/>
        <v>0</v>
      </c>
      <c r="KP22" s="390">
        <f t="shared" ca="1" si="685"/>
        <v>0</v>
      </c>
      <c r="KQ22" s="390">
        <f t="shared" ca="1" si="685"/>
        <v>0</v>
      </c>
      <c r="KR22" s="390">
        <f t="shared" ca="1" si="685"/>
        <v>0</v>
      </c>
      <c r="KT22" s="394"/>
      <c r="KY22" s="386" t="s">
        <v>1895</v>
      </c>
      <c r="KZ22" s="387" t="s">
        <v>287</v>
      </c>
      <c r="LA22" s="390">
        <f ca="1">LA64+LA76+LA77+LA65+LA63</f>
        <v>3.1938051358399999E-6</v>
      </c>
      <c r="LB22" s="390">
        <f t="shared" ref="LB22:LK22" ca="1" si="686">LB64+LB76+LB77+LB65+LB63</f>
        <v>3.4947653110400002E-7</v>
      </c>
      <c r="LC22" s="390">
        <f t="shared" ca="1" si="686"/>
        <v>3.54328166794E-6</v>
      </c>
      <c r="LD22" s="390">
        <f t="shared" ca="1" si="686"/>
        <v>3.54328166794E-6</v>
      </c>
      <c r="LE22" s="390">
        <f t="shared" ca="1" si="686"/>
        <v>0</v>
      </c>
      <c r="LF22" s="390">
        <f t="shared" ca="1" si="686"/>
        <v>0</v>
      </c>
      <c r="LG22" s="390">
        <f t="shared" ca="1" si="686"/>
        <v>0</v>
      </c>
      <c r="LH22" s="390">
        <f t="shared" ca="1" si="686"/>
        <v>0</v>
      </c>
      <c r="LI22" s="390">
        <f t="shared" ca="1" si="686"/>
        <v>0</v>
      </c>
      <c r="LJ22" s="390">
        <f t="shared" ca="1" si="686"/>
        <v>0</v>
      </c>
      <c r="LK22" s="390">
        <f t="shared" ca="1" si="686"/>
        <v>0</v>
      </c>
      <c r="LM22" s="896"/>
      <c r="LN22" s="896"/>
      <c r="LO22" s="896"/>
      <c r="LP22" s="394"/>
      <c r="LU22" s="386" t="s">
        <v>1895</v>
      </c>
      <c r="LV22" s="387" t="s">
        <v>287</v>
      </c>
      <c r="LW22" s="390">
        <f ca="1">LW64+LW76+LW77+LW65+LW63</f>
        <v>0</v>
      </c>
      <c r="LX22" s="390">
        <f ca="1">LX64+LX76+LX77+LX65+LX63</f>
        <v>0</v>
      </c>
      <c r="LY22" s="390">
        <f t="shared" ref="LY22:MO22" ca="1" si="687">LY64+LY76+LY77+LY65+LY63</f>
        <v>52.138656281999999</v>
      </c>
      <c r="LZ22" s="390">
        <f t="shared" ca="1" si="687"/>
        <v>0.58934838859999994</v>
      </c>
      <c r="MA22" s="390">
        <f t="shared" ca="1" si="687"/>
        <v>52.728004667</v>
      </c>
      <c r="MB22" s="390">
        <f t="shared" ca="1" si="687"/>
        <v>3.54328166794E-6</v>
      </c>
      <c r="MC22" s="390">
        <f t="shared" ca="1" si="687"/>
        <v>0</v>
      </c>
      <c r="MD22" s="390">
        <f t="shared" ca="1" si="687"/>
        <v>0</v>
      </c>
      <c r="ME22" s="390">
        <f t="shared" ca="1" si="687"/>
        <v>0</v>
      </c>
      <c r="MF22" s="390">
        <f t="shared" ca="1" si="687"/>
        <v>0</v>
      </c>
      <c r="MG22" s="390">
        <f t="shared" ca="1" si="687"/>
        <v>0</v>
      </c>
      <c r="MH22" s="390">
        <f t="shared" ref="MH22:MI22" ca="1" si="688">MH64+MH76+MH77+MH65+MH63</f>
        <v>0</v>
      </c>
      <c r="MI22" s="390">
        <f t="shared" ca="1" si="688"/>
        <v>0</v>
      </c>
      <c r="MJ22" s="390">
        <f t="shared" ca="1" si="687"/>
        <v>0</v>
      </c>
      <c r="MK22" s="390">
        <f t="shared" ca="1" si="687"/>
        <v>0</v>
      </c>
      <c r="ML22" s="390">
        <f t="shared" ca="1" si="687"/>
        <v>0</v>
      </c>
      <c r="MM22" s="390">
        <f t="shared" ca="1" si="687"/>
        <v>0</v>
      </c>
      <c r="MN22" s="390">
        <f t="shared" ca="1" si="687"/>
        <v>0</v>
      </c>
      <c r="MO22" s="390">
        <f t="shared" ca="1" si="687"/>
        <v>0</v>
      </c>
      <c r="MQ22" s="896"/>
      <c r="MR22" s="896"/>
      <c r="MS22" s="896"/>
      <c r="MT22" s="394"/>
      <c r="MU22" s="896"/>
      <c r="MV22" s="896"/>
      <c r="MY22" s="386" t="s">
        <v>1895</v>
      </c>
      <c r="MZ22" s="387" t="s">
        <v>287</v>
      </c>
      <c r="NA22" s="390">
        <f ca="1">NA64+NA76+NA77+NA65+NA63</f>
        <v>1.2210758040495E-7</v>
      </c>
      <c r="NB22" s="390">
        <f t="shared" ref="NB22:NP22" ca="1" si="689">NB64+NB76+NB77+NB65+NB63</f>
        <v>4.3895627489999998E-11</v>
      </c>
      <c r="NC22" s="390">
        <f t="shared" ca="1" si="689"/>
        <v>1.2201524569999998E-7</v>
      </c>
      <c r="ND22" s="390">
        <f t="shared" ca="1" si="689"/>
        <v>0</v>
      </c>
      <c r="NE22" s="390">
        <f t="shared" ca="1" si="689"/>
        <v>0</v>
      </c>
      <c r="NF22" s="390">
        <f t="shared" ca="1" si="689"/>
        <v>0</v>
      </c>
      <c r="NG22" s="390">
        <f t="shared" ca="1" si="689"/>
        <v>0</v>
      </c>
      <c r="NH22" s="390">
        <f t="shared" ca="1" si="689"/>
        <v>0</v>
      </c>
      <c r="NI22" s="390">
        <f t="shared" ca="1" si="689"/>
        <v>0</v>
      </c>
      <c r="NJ22" s="390">
        <f t="shared" ca="1" si="689"/>
        <v>0</v>
      </c>
      <c r="NK22" s="390">
        <f t="shared" ca="1" si="689"/>
        <v>0</v>
      </c>
      <c r="NL22" s="390">
        <f t="shared" ca="1" si="689"/>
        <v>0</v>
      </c>
      <c r="NM22" s="390">
        <f t="shared" ca="1" si="689"/>
        <v>0</v>
      </c>
      <c r="NN22" s="390">
        <f t="shared" ca="1" si="689"/>
        <v>0</v>
      </c>
      <c r="NO22" s="390">
        <f t="shared" ca="1" si="689"/>
        <v>0</v>
      </c>
      <c r="NP22" s="390">
        <f t="shared" ca="1" si="689"/>
        <v>0</v>
      </c>
      <c r="NR22" s="896"/>
      <c r="NS22" s="896"/>
      <c r="NT22" s="896"/>
      <c r="NU22" s="394"/>
      <c r="NV22" s="896"/>
      <c r="NW22" s="896"/>
      <c r="NX22" s="896"/>
      <c r="NZ22" s="394"/>
      <c r="OA22" s="394"/>
      <c r="OF22" s="386" t="s">
        <v>1895</v>
      </c>
      <c r="OG22" s="387" t="s">
        <v>287</v>
      </c>
      <c r="OH22" s="390">
        <f ca="1">OH64+OH76+OH77+OH65+OH63</f>
        <v>0</v>
      </c>
      <c r="OI22" s="390">
        <f t="shared" ref="OI22:OO22" ca="1" si="690">OI64+OI76+OI77+OI65+OI63</f>
        <v>0</v>
      </c>
      <c r="OJ22" s="390">
        <f t="shared" ca="1" si="690"/>
        <v>0</v>
      </c>
      <c r="OK22" s="390">
        <f t="shared" ca="1" si="690"/>
        <v>0</v>
      </c>
      <c r="OL22" s="390">
        <f t="shared" ca="1" si="690"/>
        <v>0</v>
      </c>
      <c r="OM22" s="390">
        <f t="shared" ca="1" si="690"/>
        <v>0</v>
      </c>
      <c r="ON22" s="390">
        <f t="shared" ca="1" si="690"/>
        <v>0</v>
      </c>
      <c r="OO22" s="390">
        <f t="shared" ca="1" si="690"/>
        <v>0</v>
      </c>
      <c r="OQ22" s="394"/>
      <c r="OR22" s="394"/>
      <c r="OS22" s="394"/>
      <c r="OT22" s="394"/>
      <c r="OU22" s="394"/>
      <c r="OV22" s="394"/>
      <c r="OW22" s="896"/>
      <c r="OY22" s="386" t="s">
        <v>1895</v>
      </c>
      <c r="OZ22" s="387" t="s">
        <v>287</v>
      </c>
      <c r="PA22" s="390">
        <f ca="1">PA64+PA76+PA77+PA65+PA63</f>
        <v>0</v>
      </c>
      <c r="PB22" s="390">
        <f t="shared" ref="PB22:PK22" ca="1" si="691">PB64+PB76+PB77+PB65+PB63</f>
        <v>0</v>
      </c>
      <c r="PC22" s="390">
        <f t="shared" ca="1" si="691"/>
        <v>0</v>
      </c>
      <c r="PD22" s="390">
        <f t="shared" ca="1" si="691"/>
        <v>0</v>
      </c>
      <c r="PE22" s="390">
        <f t="shared" ca="1" si="691"/>
        <v>0</v>
      </c>
      <c r="PF22" s="390">
        <f t="shared" ca="1" si="691"/>
        <v>0</v>
      </c>
      <c r="PG22" s="390">
        <f t="shared" ca="1" si="691"/>
        <v>0</v>
      </c>
      <c r="PH22" s="390">
        <f t="shared" ca="1" si="691"/>
        <v>0</v>
      </c>
      <c r="PI22" s="390">
        <f t="shared" ca="1" si="691"/>
        <v>0</v>
      </c>
      <c r="PJ22" s="390">
        <f t="shared" ca="1" si="691"/>
        <v>0</v>
      </c>
      <c r="PK22" s="390">
        <f t="shared" ca="1" si="691"/>
        <v>0</v>
      </c>
      <c r="PM22" s="896"/>
      <c r="PN22" s="896"/>
      <c r="PO22" s="896"/>
      <c r="PP22" s="394"/>
      <c r="PU22" s="386" t="s">
        <v>1895</v>
      </c>
      <c r="PV22" s="387" t="s">
        <v>287</v>
      </c>
      <c r="PW22" s="390">
        <f ca="1">PW64+PW76+PW77+PW65+PW63</f>
        <v>0</v>
      </c>
      <c r="PX22" s="390">
        <f t="shared" ref="PX22:PZ22" ca="1" si="692">PX64+PX76+PX77+PX65+PX63</f>
        <v>0</v>
      </c>
      <c r="PY22" s="390">
        <f t="shared" ca="1" si="692"/>
        <v>0</v>
      </c>
      <c r="PZ22" s="390">
        <f t="shared" ca="1" si="692"/>
        <v>0</v>
      </c>
      <c r="QB22" s="896"/>
      <c r="QC22" s="896"/>
      <c r="QD22" s="896"/>
      <c r="QE22" s="394"/>
    </row>
    <row r="23" spans="1:453" x14ac:dyDescent="0.25">
      <c r="A23" s="1315"/>
      <c r="H23" s="386" t="s">
        <v>1896</v>
      </c>
      <c r="I23" s="387" t="s">
        <v>287</v>
      </c>
      <c r="J23" s="390">
        <f ca="1">J83</f>
        <v>0</v>
      </c>
      <c r="K23" s="390">
        <f ca="1">K83</f>
        <v>0</v>
      </c>
      <c r="R23" s="386" t="s">
        <v>1896</v>
      </c>
      <c r="S23" s="387" t="s">
        <v>287</v>
      </c>
      <c r="T23" s="390">
        <f ca="1">T83</f>
        <v>0</v>
      </c>
      <c r="U23" s="390">
        <f t="shared" ref="U23:AD23" ca="1" si="693">U83</f>
        <v>0</v>
      </c>
      <c r="V23" s="390">
        <f t="shared" ca="1" si="693"/>
        <v>0</v>
      </c>
      <c r="W23" s="390">
        <f t="shared" ca="1" si="693"/>
        <v>0</v>
      </c>
      <c r="X23" s="390">
        <f t="shared" ca="1" si="693"/>
        <v>0</v>
      </c>
      <c r="Y23" s="390">
        <f t="shared" ca="1" si="693"/>
        <v>0</v>
      </c>
      <c r="Z23" s="390">
        <f t="shared" ca="1" si="693"/>
        <v>0</v>
      </c>
      <c r="AA23" s="390">
        <f t="shared" ca="1" si="693"/>
        <v>0</v>
      </c>
      <c r="AB23" s="390">
        <f t="shared" ca="1" si="693"/>
        <v>0</v>
      </c>
      <c r="AC23" s="390">
        <f t="shared" ca="1" si="693"/>
        <v>0</v>
      </c>
      <c r="AD23" s="390">
        <f t="shared" ca="1" si="693"/>
        <v>0</v>
      </c>
      <c r="AF23" s="394"/>
      <c r="AG23" s="394"/>
      <c r="AH23" s="394"/>
      <c r="AI23" s="394"/>
      <c r="AK23" s="386" t="s">
        <v>1896</v>
      </c>
      <c r="AL23" s="387" t="s">
        <v>287</v>
      </c>
      <c r="AM23" s="390">
        <f ca="1">AM83</f>
        <v>0</v>
      </c>
      <c r="AN23" s="390">
        <f t="shared" ref="AN23:BB23" ca="1" si="694">AN83</f>
        <v>0</v>
      </c>
      <c r="AO23" s="390">
        <f t="shared" ref="AO23:AS23" ca="1" si="695">AO83</f>
        <v>0</v>
      </c>
      <c r="AP23" s="390">
        <f t="shared" ca="1" si="695"/>
        <v>0</v>
      </c>
      <c r="AQ23" s="390">
        <f t="shared" ca="1" si="695"/>
        <v>0</v>
      </c>
      <c r="AR23" s="390">
        <f t="shared" ca="1" si="695"/>
        <v>0</v>
      </c>
      <c r="AS23" s="390">
        <f t="shared" ca="1" si="695"/>
        <v>0</v>
      </c>
      <c r="AT23" s="390">
        <f t="shared" ca="1" si="694"/>
        <v>0</v>
      </c>
      <c r="AU23" s="390">
        <f t="shared" ca="1" si="694"/>
        <v>0</v>
      </c>
      <c r="AV23" s="390">
        <f t="shared" ca="1" si="694"/>
        <v>0</v>
      </c>
      <c r="AW23" s="390">
        <f t="shared" ca="1" si="694"/>
        <v>0</v>
      </c>
      <c r="AX23" s="390">
        <f t="shared" ca="1" si="694"/>
        <v>0</v>
      </c>
      <c r="AY23" s="390">
        <f t="shared" ca="1" si="694"/>
        <v>0</v>
      </c>
      <c r="AZ23" s="390">
        <f t="shared" ca="1" si="694"/>
        <v>0</v>
      </c>
      <c r="BA23" s="390">
        <f t="shared" ca="1" si="694"/>
        <v>0</v>
      </c>
      <c r="BB23" s="390">
        <f t="shared" ca="1" si="694"/>
        <v>0</v>
      </c>
      <c r="BD23" s="394"/>
      <c r="BE23" s="394"/>
      <c r="BF23" s="394"/>
      <c r="BG23" s="394"/>
      <c r="BL23" s="386" t="s">
        <v>1896</v>
      </c>
      <c r="BM23" s="387" t="s">
        <v>287</v>
      </c>
      <c r="BN23" s="390">
        <f ca="1">BN83</f>
        <v>8.5319993199999999E-2</v>
      </c>
      <c r="BO23" s="390">
        <f t="shared" ref="BO23:BR23" ca="1" si="696">BO83</f>
        <v>51.4557766</v>
      </c>
      <c r="BP23" s="390">
        <f t="shared" ca="1" si="696"/>
        <v>1882.2090199999998</v>
      </c>
      <c r="BQ23" s="390">
        <f t="shared" ca="1" si="696"/>
        <v>0</v>
      </c>
      <c r="BR23" s="390">
        <f t="shared" ca="1" si="696"/>
        <v>0</v>
      </c>
      <c r="BT23" s="394"/>
      <c r="BU23" s="394"/>
      <c r="BV23" s="394"/>
      <c r="BW23" s="394"/>
      <c r="CB23" s="386" t="s">
        <v>1896</v>
      </c>
      <c r="CC23" s="387" t="s">
        <v>287</v>
      </c>
      <c r="CD23" s="390">
        <f ca="1">CD83</f>
        <v>0</v>
      </c>
      <c r="CE23" s="390">
        <f t="shared" ref="CE23:CO23" ca="1" si="697">CE83</f>
        <v>0</v>
      </c>
      <c r="CF23" s="390">
        <f t="shared" ca="1" si="697"/>
        <v>8.5319993199999999E-2</v>
      </c>
      <c r="CG23" s="390">
        <f t="shared" ca="1" si="697"/>
        <v>51.4557766</v>
      </c>
      <c r="CH23" s="390">
        <f t="shared" ca="1" si="697"/>
        <v>0.85319220100000004</v>
      </c>
      <c r="CI23" s="390">
        <f t="shared" ca="1" si="697"/>
        <v>0</v>
      </c>
      <c r="CJ23" s="390">
        <f t="shared" ca="1" si="697"/>
        <v>0</v>
      </c>
      <c r="CK23" s="390">
        <f t="shared" ca="1" si="697"/>
        <v>520.74830299999996</v>
      </c>
      <c r="CL23" s="390">
        <f t="shared" ca="1" si="697"/>
        <v>18323.140800000001</v>
      </c>
      <c r="CM23" s="390">
        <f t="shared" ca="1" si="697"/>
        <v>0.85319220100000004</v>
      </c>
      <c r="CN23" s="390">
        <f t="shared" ca="1" si="697"/>
        <v>548.94283299999995</v>
      </c>
      <c r="CO23" s="390">
        <f t="shared" ca="1" si="697"/>
        <v>28.194529800000002</v>
      </c>
      <c r="CQ23" s="394"/>
      <c r="CR23" s="394"/>
      <c r="CS23" s="394"/>
      <c r="CT23" s="394"/>
      <c r="CU23" s="896"/>
      <c r="CV23" s="896"/>
      <c r="CW23" s="896"/>
      <c r="CY23" s="386" t="s">
        <v>1896</v>
      </c>
      <c r="CZ23" s="387" t="s">
        <v>287</v>
      </c>
      <c r="DA23" s="390">
        <f ca="1">DA83</f>
        <v>4.7399996200000001E-3</v>
      </c>
      <c r="DB23" s="390">
        <f t="shared" ref="DB23:DJ23" ca="1" si="698">DB83</f>
        <v>0</v>
      </c>
      <c r="DC23" s="390">
        <f t="shared" ca="1" si="698"/>
        <v>0</v>
      </c>
      <c r="DD23" s="390">
        <f t="shared" ca="1" si="698"/>
        <v>0</v>
      </c>
      <c r="DE23" s="390">
        <f t="shared" ca="1" si="698"/>
        <v>3.8822413600000001E-2</v>
      </c>
      <c r="DF23" s="390">
        <f t="shared" ca="1" si="698"/>
        <v>95.090250999999995</v>
      </c>
      <c r="DG23" s="390">
        <f t="shared" ca="1" si="698"/>
        <v>0</v>
      </c>
      <c r="DH23" s="390">
        <f t="shared" ca="1" si="698"/>
        <v>0</v>
      </c>
      <c r="DI23" s="390">
        <f t="shared" ca="1" si="698"/>
        <v>0</v>
      </c>
      <c r="DJ23" s="390">
        <f t="shared" ca="1" si="698"/>
        <v>0</v>
      </c>
      <c r="DL23" s="394"/>
      <c r="DM23" s="394"/>
      <c r="DN23" s="394"/>
      <c r="DO23" s="394"/>
      <c r="DT23" s="386" t="s">
        <v>1896</v>
      </c>
      <c r="DU23" s="387" t="s">
        <v>287</v>
      </c>
      <c r="DV23" s="390">
        <f ca="1">DV83</f>
        <v>0</v>
      </c>
      <c r="DW23" s="390">
        <f t="shared" ref="DW23:EK23" ca="1" si="699">DW83</f>
        <v>0</v>
      </c>
      <c r="DX23" s="390">
        <f t="shared" ca="1" si="699"/>
        <v>9.4799992499999999E-2</v>
      </c>
      <c r="DY23" s="390">
        <f t="shared" ca="1" si="699"/>
        <v>4.7399996200000001E-3</v>
      </c>
      <c r="DZ23" s="390">
        <f t="shared" ca="1" si="699"/>
        <v>0</v>
      </c>
      <c r="EA23" s="390">
        <f t="shared" ca="1" si="699"/>
        <v>3.8822413600000001E-2</v>
      </c>
      <c r="EB23" s="390">
        <f t="shared" ca="1" si="699"/>
        <v>9.0059992899999997E-2</v>
      </c>
      <c r="EC23" s="390">
        <f t="shared" ca="1" si="699"/>
        <v>0</v>
      </c>
      <c r="ED23" s="390">
        <f t="shared" ca="1" si="699"/>
        <v>0.85319220100000004</v>
      </c>
      <c r="EE23" s="390">
        <f t="shared" ca="1" si="699"/>
        <v>2287.1876699999998</v>
      </c>
      <c r="EF23" s="390">
        <f t="shared" ca="1" si="699"/>
        <v>0</v>
      </c>
      <c r="EG23" s="390">
        <f t="shared" ca="1" si="699"/>
        <v>0</v>
      </c>
      <c r="EH23" s="390">
        <f t="shared" ca="1" si="699"/>
        <v>0</v>
      </c>
      <c r="EI23" s="390">
        <f t="shared" ca="1" si="699"/>
        <v>0</v>
      </c>
      <c r="EJ23" s="390">
        <f t="shared" ref="EJ23" ca="1" si="700">EJ83</f>
        <v>0</v>
      </c>
      <c r="EK23" s="390">
        <f t="shared" ca="1" si="699"/>
        <v>0</v>
      </c>
      <c r="EM23" s="394"/>
      <c r="EN23" s="394"/>
      <c r="EO23" s="395"/>
      <c r="EP23" s="394"/>
      <c r="EQ23" s="395"/>
      <c r="ER23" s="394"/>
      <c r="ES23" s="896"/>
      <c r="EU23" s="386" t="s">
        <v>1896</v>
      </c>
      <c r="EV23" s="387" t="s">
        <v>287</v>
      </c>
      <c r="EW23" s="390">
        <f ca="1">EW83</f>
        <v>548.94283299999995</v>
      </c>
      <c r="EX23" s="390">
        <f t="shared" ref="EX23:FB23" ca="1" si="701">EX83</f>
        <v>548.94283299999995</v>
      </c>
      <c r="EY23" s="390">
        <f t="shared" ca="1" si="701"/>
        <v>3.8394842400000001E-17</v>
      </c>
      <c r="EZ23" s="390">
        <f t="shared" ca="1" si="701"/>
        <v>3.8394842400000001E-17</v>
      </c>
      <c r="FA23" s="390">
        <f t="shared" ca="1" si="701"/>
        <v>522.08523700000001</v>
      </c>
      <c r="FB23" s="390">
        <f t="shared" ca="1" si="701"/>
        <v>26.858380499999999</v>
      </c>
      <c r="FD23" s="394"/>
      <c r="FE23" s="394"/>
      <c r="FF23" s="395"/>
      <c r="FG23" s="394"/>
      <c r="FH23" s="395"/>
      <c r="FI23" s="394"/>
      <c r="FJ23" s="896"/>
      <c r="FL23" s="386" t="s">
        <v>1896</v>
      </c>
      <c r="FM23" s="387" t="s">
        <v>287</v>
      </c>
      <c r="FN23" s="390">
        <f ca="1">FN83</f>
        <v>1882.2090199999998</v>
      </c>
      <c r="FO23" s="390">
        <f t="shared" ref="FO23:FX23" ca="1" si="702">FO83</f>
        <v>18323.140800000001</v>
      </c>
      <c r="FP23" s="390">
        <f t="shared" ca="1" si="702"/>
        <v>522.08523700000001</v>
      </c>
      <c r="FQ23" s="390">
        <f t="shared" ca="1" si="702"/>
        <v>26.858380499999999</v>
      </c>
      <c r="FR23" s="390">
        <f t="shared" ca="1" si="702"/>
        <v>26.858380199999999</v>
      </c>
      <c r="FS23" s="390">
        <f t="shared" ca="1" si="702"/>
        <v>0</v>
      </c>
      <c r="FT23" s="390">
        <f t="shared" ca="1" si="702"/>
        <v>0</v>
      </c>
      <c r="FU23" s="390">
        <f t="shared" ca="1" si="702"/>
        <v>20727.435000000001</v>
      </c>
      <c r="FV23" s="390">
        <f t="shared" ca="1" si="702"/>
        <v>0</v>
      </c>
      <c r="FW23" s="390">
        <f t="shared" ca="1" si="702"/>
        <v>20699.2405</v>
      </c>
      <c r="FX23" s="390">
        <f t="shared" ca="1" si="702"/>
        <v>28.194529800000002</v>
      </c>
      <c r="FZ23" s="394"/>
      <c r="GA23" s="394"/>
      <c r="GB23" s="394"/>
      <c r="GC23" s="394"/>
      <c r="GH23" s="386" t="s">
        <v>1896</v>
      </c>
      <c r="GI23" s="387" t="s">
        <v>287</v>
      </c>
      <c r="GJ23" s="390">
        <f ca="1">GJ83</f>
        <v>26.858380199999999</v>
      </c>
      <c r="GK23" s="390">
        <f t="shared" ref="GK23:GQ23" ca="1" si="703">GK83</f>
        <v>26.858380199999999</v>
      </c>
      <c r="GL23" s="390">
        <f t="shared" ca="1" si="703"/>
        <v>0</v>
      </c>
      <c r="GM23" s="390">
        <f t="shared" ca="1" si="703"/>
        <v>26.858380199999999</v>
      </c>
      <c r="GN23" s="390">
        <f t="shared" ca="1" si="703"/>
        <v>26.858380199999999</v>
      </c>
      <c r="GO23" s="390">
        <f t="shared" ca="1" si="703"/>
        <v>0</v>
      </c>
      <c r="GP23" s="390">
        <f t="shared" ca="1" si="703"/>
        <v>26.858380199999999</v>
      </c>
      <c r="GQ23" s="390">
        <f t="shared" ca="1" si="703"/>
        <v>0</v>
      </c>
      <c r="GS23" s="394"/>
      <c r="GT23" s="394"/>
      <c r="GU23" s="395"/>
      <c r="GV23" s="394"/>
      <c r="GW23" s="395"/>
      <c r="GX23" s="394"/>
      <c r="GY23" s="896"/>
      <c r="HA23" s="386" t="s">
        <v>1896</v>
      </c>
      <c r="HB23" s="387" t="s">
        <v>287</v>
      </c>
      <c r="HC23" s="390">
        <f ca="1">HC83</f>
        <v>3.8394842400000001E-17</v>
      </c>
      <c r="HD23" s="390">
        <f t="shared" ref="HD23:HH23" ca="1" si="704">HD83</f>
        <v>3.6965341900000001E-17</v>
      </c>
      <c r="HE23" s="390">
        <f t="shared" ca="1" si="704"/>
        <v>0</v>
      </c>
      <c r="HF23" s="390">
        <f t="shared" ca="1" si="704"/>
        <v>0</v>
      </c>
      <c r="HG23" s="390">
        <f t="shared" ca="1" si="704"/>
        <v>0</v>
      </c>
      <c r="HH23" s="390">
        <f t="shared" ca="1" si="704"/>
        <v>3.6965341900000001E-17</v>
      </c>
      <c r="HJ23" s="394"/>
      <c r="HK23" s="394"/>
      <c r="HL23" s="395"/>
      <c r="HM23" s="394"/>
      <c r="HN23" s="395"/>
      <c r="HO23" s="394"/>
      <c r="HP23" s="896"/>
      <c r="HR23" s="386" t="s">
        <v>1896</v>
      </c>
      <c r="HS23" s="387" t="s">
        <v>287</v>
      </c>
      <c r="HT23" s="390">
        <f ca="1">HT83</f>
        <v>0</v>
      </c>
      <c r="HU23" s="390">
        <f t="shared" ref="HU23:IE23" ca="1" si="705">HU83</f>
        <v>3.6965341900000001E-17</v>
      </c>
      <c r="HV23" s="390">
        <f t="shared" ca="1" si="705"/>
        <v>3.6965341900000001E-17</v>
      </c>
      <c r="HW23" s="390">
        <f t="shared" ca="1" si="705"/>
        <v>3.6965341900000001E-17</v>
      </c>
      <c r="HX23" s="390">
        <f t="shared" ca="1" si="705"/>
        <v>180.70727400000001</v>
      </c>
      <c r="HY23" s="390">
        <f t="shared" ca="1" si="705"/>
        <v>13.7417452</v>
      </c>
      <c r="HZ23" s="390">
        <f t="shared" ca="1" si="705"/>
        <v>14269.2286</v>
      </c>
      <c r="IA23" s="390">
        <f t="shared" ca="1" si="705"/>
        <v>3.1951482200000001</v>
      </c>
      <c r="IB23" s="390">
        <f t="shared" ca="1" si="705"/>
        <v>0</v>
      </c>
      <c r="IC23" s="390">
        <f t="shared" ca="1" si="705"/>
        <v>0</v>
      </c>
      <c r="ID23" s="390">
        <f t="shared" ca="1" si="705"/>
        <v>0</v>
      </c>
      <c r="IE23" s="390">
        <f t="shared" ca="1" si="705"/>
        <v>0</v>
      </c>
      <c r="IG23" s="394"/>
      <c r="IH23" s="394"/>
      <c r="II23" s="394"/>
      <c r="IJ23" s="394"/>
      <c r="IO23" s="386" t="s">
        <v>1896</v>
      </c>
      <c r="IP23" s="387" t="s">
        <v>287</v>
      </c>
      <c r="IQ23" s="390">
        <f ca="1">IQ83</f>
        <v>180.70727400000001</v>
      </c>
      <c r="IR23" s="390">
        <f t="shared" ref="IR23:JH23" ca="1" si="706">IR83</f>
        <v>13.7417452</v>
      </c>
      <c r="IS23" s="390">
        <f t="shared" ca="1" si="706"/>
        <v>1.4981927100000001</v>
      </c>
      <c r="IT23" s="390">
        <f t="shared" ca="1" si="706"/>
        <v>15.239937999999999</v>
      </c>
      <c r="IU23" s="390">
        <f t="shared" ref="IU23" ca="1" si="707">IU83</f>
        <v>14.223381099999999</v>
      </c>
      <c r="IV23" s="390">
        <f t="shared" ca="1" si="706"/>
        <v>43.916695500000003</v>
      </c>
      <c r="IW23" s="390">
        <f t="shared" ca="1" si="706"/>
        <v>35.956624900000001</v>
      </c>
      <c r="IX23" s="390">
        <f t="shared" ref="IX23" ca="1" si="708">IX83</f>
        <v>3856.4139199999995</v>
      </c>
      <c r="IY23" s="390">
        <f t="shared" ca="1" si="706"/>
        <v>1.01655681</v>
      </c>
      <c r="IZ23" s="390">
        <f t="shared" ca="1" si="706"/>
        <v>6.4621852400000002</v>
      </c>
      <c r="JA23" s="390">
        <f t="shared" ca="1" si="706"/>
        <v>37.454817599999998</v>
      </c>
      <c r="JB23" s="390">
        <f t="shared" ca="1" si="706"/>
        <v>0</v>
      </c>
      <c r="JC23" s="390">
        <f t="shared" ca="1" si="706"/>
        <v>3.2670370200000001</v>
      </c>
      <c r="JD23" s="390">
        <f t="shared" ca="1" si="706"/>
        <v>0</v>
      </c>
      <c r="JE23" s="390">
        <f t="shared" ca="1" si="706"/>
        <v>6.4621852400000002</v>
      </c>
      <c r="JF23" s="390">
        <f t="shared" ca="1" si="706"/>
        <v>0</v>
      </c>
      <c r="JG23" s="390">
        <f t="shared" ca="1" si="706"/>
        <v>0</v>
      </c>
      <c r="JH23" s="390">
        <f t="shared" ca="1" si="706"/>
        <v>3.1951482200000001</v>
      </c>
      <c r="JJ23" s="394"/>
      <c r="JK23" s="394"/>
      <c r="JL23" s="394"/>
      <c r="JM23" s="394"/>
      <c r="JR23" s="386" t="s">
        <v>1896</v>
      </c>
      <c r="JS23" s="387" t="s">
        <v>287</v>
      </c>
      <c r="JT23" s="390">
        <f ca="1">JT83</f>
        <v>0</v>
      </c>
      <c r="JU23" s="390">
        <f t="shared" ref="JU23:KC23" ca="1" si="709">JU83</f>
        <v>0</v>
      </c>
      <c r="JV23" s="390">
        <f t="shared" ca="1" si="709"/>
        <v>0</v>
      </c>
      <c r="JW23" s="390">
        <f t="shared" ca="1" si="709"/>
        <v>0</v>
      </c>
      <c r="JX23" s="390">
        <f t="shared" ca="1" si="709"/>
        <v>26.858380199999999</v>
      </c>
      <c r="JY23" s="390">
        <f t="shared" ca="1" si="709"/>
        <v>0</v>
      </c>
      <c r="JZ23" s="390">
        <f t="shared" ca="1" si="709"/>
        <v>26.858380199999999</v>
      </c>
      <c r="KA23" s="390">
        <f t="shared" ca="1" si="709"/>
        <v>0</v>
      </c>
      <c r="KB23" s="390">
        <f t="shared" ca="1" si="709"/>
        <v>0</v>
      </c>
      <c r="KC23" s="390">
        <f t="shared" ca="1" si="709"/>
        <v>0</v>
      </c>
      <c r="KE23" s="385"/>
      <c r="KJ23" s="386" t="s">
        <v>1896</v>
      </c>
      <c r="KK23" s="387" t="s">
        <v>287</v>
      </c>
      <c r="KL23" s="390">
        <f ca="1">KL83</f>
        <v>0</v>
      </c>
      <c r="KM23" s="390">
        <f t="shared" ref="KM23:KR23" ca="1" si="710">KM83</f>
        <v>0</v>
      </c>
      <c r="KN23" s="390">
        <f t="shared" ca="1" si="710"/>
        <v>0</v>
      </c>
      <c r="KO23" s="390">
        <f t="shared" ca="1" si="710"/>
        <v>0</v>
      </c>
      <c r="KP23" s="390">
        <f t="shared" ca="1" si="710"/>
        <v>0</v>
      </c>
      <c r="KQ23" s="390">
        <f t="shared" ca="1" si="710"/>
        <v>0</v>
      </c>
      <c r="KR23" s="390">
        <f t="shared" ca="1" si="710"/>
        <v>0</v>
      </c>
      <c r="KT23" s="394"/>
      <c r="KY23" s="386" t="s">
        <v>1896</v>
      </c>
      <c r="KZ23" s="387" t="s">
        <v>287</v>
      </c>
      <c r="LA23" s="390">
        <f ca="1">LA83</f>
        <v>0</v>
      </c>
      <c r="LB23" s="390">
        <f t="shared" ref="LB23:LK23" ca="1" si="711">LB83</f>
        <v>14269.2286</v>
      </c>
      <c r="LC23" s="390">
        <f t="shared" ca="1" si="711"/>
        <v>14269.2286</v>
      </c>
      <c r="LD23" s="390">
        <f t="shared" ca="1" si="711"/>
        <v>14269.2286</v>
      </c>
      <c r="LE23" s="390">
        <f t="shared" ca="1" si="711"/>
        <v>0</v>
      </c>
      <c r="LF23" s="390">
        <f t="shared" ca="1" si="711"/>
        <v>73397.056899999996</v>
      </c>
      <c r="LG23" s="390">
        <f t="shared" ca="1" si="711"/>
        <v>73397.056899999996</v>
      </c>
      <c r="LH23" s="390">
        <f t="shared" ca="1" si="711"/>
        <v>0</v>
      </c>
      <c r="LI23" s="390">
        <f t="shared" ca="1" si="711"/>
        <v>73397.056899999996</v>
      </c>
      <c r="LJ23" s="390">
        <f t="shared" ca="1" si="711"/>
        <v>0</v>
      </c>
      <c r="LK23" s="390">
        <f t="shared" ca="1" si="711"/>
        <v>0</v>
      </c>
      <c r="LM23" s="394"/>
      <c r="LN23" s="394"/>
      <c r="LO23" s="394"/>
      <c r="LP23" s="394"/>
      <c r="LU23" s="386" t="s">
        <v>1896</v>
      </c>
      <c r="LV23" s="387" t="s">
        <v>287</v>
      </c>
      <c r="LW23" s="390">
        <f ca="1">LW83</f>
        <v>0</v>
      </c>
      <c r="LX23" s="390">
        <f ca="1">LX83</f>
        <v>0</v>
      </c>
      <c r="LY23" s="390">
        <f t="shared" ref="LY23:MO23" ca="1" si="712">LY83</f>
        <v>0</v>
      </c>
      <c r="LZ23" s="390">
        <f t="shared" ca="1" si="712"/>
        <v>1.01655681</v>
      </c>
      <c r="MA23" s="390">
        <f t="shared" ca="1" si="712"/>
        <v>1.01655681</v>
      </c>
      <c r="MB23" s="390">
        <f t="shared" ca="1" si="712"/>
        <v>14269.2286</v>
      </c>
      <c r="MC23" s="390">
        <f t="shared" ca="1" si="712"/>
        <v>73397.056899999996</v>
      </c>
      <c r="MD23" s="390">
        <f t="shared" ca="1" si="712"/>
        <v>0</v>
      </c>
      <c r="ME23" s="390">
        <f t="shared" ca="1" si="712"/>
        <v>0</v>
      </c>
      <c r="MF23" s="390">
        <f t="shared" ca="1" si="712"/>
        <v>0</v>
      </c>
      <c r="MG23" s="390">
        <f t="shared" ca="1" si="712"/>
        <v>0</v>
      </c>
      <c r="MH23" s="390">
        <f t="shared" ref="MH23:MI23" ca="1" si="713">MH83</f>
        <v>0</v>
      </c>
      <c r="MI23" s="390">
        <f t="shared" ca="1" si="713"/>
        <v>0</v>
      </c>
      <c r="MJ23" s="390">
        <f t="shared" ca="1" si="712"/>
        <v>0</v>
      </c>
      <c r="MK23" s="390">
        <f t="shared" ca="1" si="712"/>
        <v>0</v>
      </c>
      <c r="ML23" s="390">
        <f t="shared" ca="1" si="712"/>
        <v>0</v>
      </c>
      <c r="MM23" s="390">
        <f t="shared" ca="1" si="712"/>
        <v>0</v>
      </c>
      <c r="MN23" s="390">
        <f t="shared" ca="1" si="712"/>
        <v>0</v>
      </c>
      <c r="MO23" s="390">
        <f t="shared" ca="1" si="712"/>
        <v>0</v>
      </c>
      <c r="MQ23" s="394"/>
      <c r="MR23" s="394"/>
      <c r="MS23" s="394"/>
      <c r="MT23" s="394"/>
      <c r="MY23" s="386" t="s">
        <v>1896</v>
      </c>
      <c r="MZ23" s="387" t="s">
        <v>287</v>
      </c>
      <c r="NA23" s="390">
        <f ca="1">NA83</f>
        <v>0</v>
      </c>
      <c r="NB23" s="390">
        <f t="shared" ref="NB23:NP23" ca="1" si="714">NB83</f>
        <v>0</v>
      </c>
      <c r="NC23" s="390">
        <f t="shared" ca="1" si="714"/>
        <v>0</v>
      </c>
      <c r="ND23" s="390">
        <f t="shared" ca="1" si="714"/>
        <v>0</v>
      </c>
      <c r="NE23" s="390">
        <f t="shared" ca="1" si="714"/>
        <v>0</v>
      </c>
      <c r="NF23" s="390">
        <f t="shared" ca="1" si="714"/>
        <v>0</v>
      </c>
      <c r="NG23" s="390">
        <f t="shared" ca="1" si="714"/>
        <v>0</v>
      </c>
      <c r="NH23" s="390">
        <f t="shared" ca="1" si="714"/>
        <v>0</v>
      </c>
      <c r="NI23" s="390">
        <f t="shared" ca="1" si="714"/>
        <v>0</v>
      </c>
      <c r="NJ23" s="390">
        <f t="shared" ca="1" si="714"/>
        <v>0</v>
      </c>
      <c r="NK23" s="390">
        <f t="shared" ca="1" si="714"/>
        <v>0</v>
      </c>
      <c r="NL23" s="390">
        <f t="shared" ca="1" si="714"/>
        <v>0</v>
      </c>
      <c r="NM23" s="390">
        <f t="shared" ca="1" si="714"/>
        <v>0</v>
      </c>
      <c r="NN23" s="390">
        <f t="shared" ca="1" si="714"/>
        <v>0</v>
      </c>
      <c r="NO23" s="390">
        <f t="shared" ca="1" si="714"/>
        <v>0</v>
      </c>
      <c r="NP23" s="390">
        <f t="shared" ca="1" si="714"/>
        <v>0</v>
      </c>
      <c r="NR23" s="394"/>
      <c r="NS23" s="394"/>
      <c r="NT23" s="394"/>
      <c r="NU23" s="394"/>
      <c r="NZ23" s="394"/>
      <c r="OA23" s="394"/>
      <c r="OF23" s="386" t="s">
        <v>1896</v>
      </c>
      <c r="OG23" s="387" t="s">
        <v>287</v>
      </c>
      <c r="OH23" s="390">
        <f ca="1">OH83</f>
        <v>0</v>
      </c>
      <c r="OI23" s="390">
        <f t="shared" ref="OI23:OO23" ca="1" si="715">OI83</f>
        <v>0</v>
      </c>
      <c r="OJ23" s="390">
        <f t="shared" ca="1" si="715"/>
        <v>0</v>
      </c>
      <c r="OK23" s="390">
        <f t="shared" ca="1" si="715"/>
        <v>0</v>
      </c>
      <c r="OL23" s="390">
        <f t="shared" ca="1" si="715"/>
        <v>0</v>
      </c>
      <c r="OM23" s="390">
        <f t="shared" ca="1" si="715"/>
        <v>0</v>
      </c>
      <c r="ON23" s="390">
        <f t="shared" ca="1" si="715"/>
        <v>0</v>
      </c>
      <c r="OO23" s="390">
        <f t="shared" ca="1" si="715"/>
        <v>0</v>
      </c>
      <c r="OQ23" s="394"/>
      <c r="OR23" s="1340"/>
      <c r="OS23" s="395"/>
      <c r="OT23" s="394"/>
      <c r="OU23" s="395"/>
      <c r="OV23" s="394"/>
      <c r="OW23" s="896"/>
      <c r="OY23" s="386" t="s">
        <v>1896</v>
      </c>
      <c r="OZ23" s="387" t="s">
        <v>287</v>
      </c>
      <c r="PA23" s="390">
        <f ca="1">PA83</f>
        <v>0</v>
      </c>
      <c r="PB23" s="390">
        <f t="shared" ref="PB23:PK23" ca="1" si="716">PB83</f>
        <v>0</v>
      </c>
      <c r="PC23" s="390">
        <f t="shared" ca="1" si="716"/>
        <v>0</v>
      </c>
      <c r="PD23" s="390">
        <f t="shared" ca="1" si="716"/>
        <v>0</v>
      </c>
      <c r="PE23" s="390">
        <f t="shared" ca="1" si="716"/>
        <v>0</v>
      </c>
      <c r="PF23" s="390">
        <f t="shared" ca="1" si="716"/>
        <v>0</v>
      </c>
      <c r="PG23" s="390">
        <f t="shared" ca="1" si="716"/>
        <v>0</v>
      </c>
      <c r="PH23" s="390">
        <f t="shared" ca="1" si="716"/>
        <v>0</v>
      </c>
      <c r="PI23" s="390">
        <f t="shared" ca="1" si="716"/>
        <v>0</v>
      </c>
      <c r="PJ23" s="390">
        <f t="shared" ca="1" si="716"/>
        <v>0</v>
      </c>
      <c r="PK23" s="390">
        <f t="shared" ca="1" si="716"/>
        <v>0</v>
      </c>
      <c r="PM23" s="394"/>
      <c r="PN23" s="394"/>
      <c r="PO23" s="394"/>
      <c r="PP23" s="394"/>
      <c r="PU23" s="386" t="s">
        <v>1896</v>
      </c>
      <c r="PV23" s="387" t="s">
        <v>287</v>
      </c>
      <c r="PW23" s="390">
        <f ca="1">PW83</f>
        <v>0</v>
      </c>
      <c r="PX23" s="390">
        <f t="shared" ref="PX23:PZ23" ca="1" si="717">PX83</f>
        <v>0</v>
      </c>
      <c r="PY23" s="390">
        <f t="shared" ca="1" si="717"/>
        <v>0</v>
      </c>
      <c r="PZ23" s="390">
        <f t="shared" ca="1" si="717"/>
        <v>0</v>
      </c>
      <c r="QB23" s="394"/>
      <c r="QC23" s="394"/>
      <c r="QD23" s="394"/>
      <c r="QE23" s="394"/>
    </row>
    <row r="24" spans="1:453" x14ac:dyDescent="0.25">
      <c r="A24" s="1315"/>
      <c r="H24" s="386" t="s">
        <v>1897</v>
      </c>
      <c r="I24" s="387" t="s">
        <v>287</v>
      </c>
      <c r="J24" s="390">
        <f ca="1">J84</f>
        <v>0</v>
      </c>
      <c r="K24" s="390">
        <f ca="1">K84</f>
        <v>0</v>
      </c>
      <c r="R24" s="386" t="s">
        <v>1897</v>
      </c>
      <c r="S24" s="387" t="s">
        <v>287</v>
      </c>
      <c r="T24" s="390">
        <f ca="1">T84</f>
        <v>0</v>
      </c>
      <c r="U24" s="390">
        <f t="shared" ref="U24:AD24" ca="1" si="718">U84</f>
        <v>0</v>
      </c>
      <c r="V24" s="390">
        <f t="shared" ca="1" si="718"/>
        <v>0</v>
      </c>
      <c r="W24" s="390">
        <f t="shared" ca="1" si="718"/>
        <v>0</v>
      </c>
      <c r="X24" s="390">
        <f t="shared" ca="1" si="718"/>
        <v>0</v>
      </c>
      <c r="Y24" s="390">
        <f t="shared" ca="1" si="718"/>
        <v>0</v>
      </c>
      <c r="Z24" s="390">
        <f t="shared" ca="1" si="718"/>
        <v>0</v>
      </c>
      <c r="AA24" s="390">
        <f t="shared" ca="1" si="718"/>
        <v>0</v>
      </c>
      <c r="AB24" s="390">
        <f t="shared" ca="1" si="718"/>
        <v>0</v>
      </c>
      <c r="AC24" s="390">
        <f t="shared" ca="1" si="718"/>
        <v>0</v>
      </c>
      <c r="AD24" s="390">
        <f t="shared" ca="1" si="718"/>
        <v>0</v>
      </c>
      <c r="AF24" s="394"/>
      <c r="AG24" s="395"/>
      <c r="AH24" s="394"/>
      <c r="AI24" s="394"/>
      <c r="AK24" s="386" t="s">
        <v>1897</v>
      </c>
      <c r="AL24" s="387" t="s">
        <v>287</v>
      </c>
      <c r="AM24" s="390">
        <f ca="1">AM84</f>
        <v>0</v>
      </c>
      <c r="AN24" s="390">
        <f t="shared" ref="AN24:BB24" ca="1" si="719">AN84</f>
        <v>0</v>
      </c>
      <c r="AO24" s="390">
        <f t="shared" ref="AO24:AS24" ca="1" si="720">AO84</f>
        <v>0</v>
      </c>
      <c r="AP24" s="390">
        <f t="shared" ca="1" si="720"/>
        <v>0</v>
      </c>
      <c r="AQ24" s="390">
        <f t="shared" ca="1" si="720"/>
        <v>0</v>
      </c>
      <c r="AR24" s="390">
        <f t="shared" ca="1" si="720"/>
        <v>0</v>
      </c>
      <c r="AS24" s="390">
        <f t="shared" ca="1" si="720"/>
        <v>0</v>
      </c>
      <c r="AT24" s="390">
        <f t="shared" ca="1" si="719"/>
        <v>0</v>
      </c>
      <c r="AU24" s="390">
        <f t="shared" ca="1" si="719"/>
        <v>0</v>
      </c>
      <c r="AV24" s="390">
        <f t="shared" ca="1" si="719"/>
        <v>0</v>
      </c>
      <c r="AW24" s="390">
        <f t="shared" ca="1" si="719"/>
        <v>0</v>
      </c>
      <c r="AX24" s="390">
        <f t="shared" ca="1" si="719"/>
        <v>0</v>
      </c>
      <c r="AY24" s="390">
        <f t="shared" ca="1" si="719"/>
        <v>0</v>
      </c>
      <c r="AZ24" s="390">
        <f t="shared" ca="1" si="719"/>
        <v>0</v>
      </c>
      <c r="BA24" s="390">
        <f t="shared" ca="1" si="719"/>
        <v>0</v>
      </c>
      <c r="BB24" s="390">
        <f t="shared" ca="1" si="719"/>
        <v>0</v>
      </c>
      <c r="BD24" s="394"/>
      <c r="BE24" s="394"/>
      <c r="BF24" s="395"/>
      <c r="BG24" s="394"/>
      <c r="BL24" s="386" t="s">
        <v>1897</v>
      </c>
      <c r="BM24" s="387" t="s">
        <v>287</v>
      </c>
      <c r="BN24" s="390">
        <f ca="1">BN84</f>
        <v>0</v>
      </c>
      <c r="BO24" s="390">
        <f t="shared" ref="BO24:BR24" ca="1" si="721">BO84</f>
        <v>0</v>
      </c>
      <c r="BP24" s="390">
        <f t="shared" ca="1" si="721"/>
        <v>0</v>
      </c>
      <c r="BQ24" s="390">
        <f t="shared" ca="1" si="721"/>
        <v>0</v>
      </c>
      <c r="BR24" s="390">
        <f t="shared" ca="1" si="721"/>
        <v>0</v>
      </c>
      <c r="BT24" s="394"/>
      <c r="BU24" s="394"/>
      <c r="BV24" s="395"/>
      <c r="BW24" s="394"/>
      <c r="CB24" s="386" t="s">
        <v>1897</v>
      </c>
      <c r="CC24" s="387" t="s">
        <v>287</v>
      </c>
      <c r="CD24" s="390">
        <f ca="1">CD84</f>
        <v>0</v>
      </c>
      <c r="CE24" s="390">
        <f t="shared" ref="CE24:CO24" ca="1" si="722">CE84</f>
        <v>0</v>
      </c>
      <c r="CF24" s="390">
        <f t="shared" ca="1" si="722"/>
        <v>0</v>
      </c>
      <c r="CG24" s="390">
        <f t="shared" ca="1" si="722"/>
        <v>0</v>
      </c>
      <c r="CH24" s="390">
        <f t="shared" ca="1" si="722"/>
        <v>0</v>
      </c>
      <c r="CI24" s="390">
        <f t="shared" ca="1" si="722"/>
        <v>0</v>
      </c>
      <c r="CJ24" s="390">
        <f t="shared" ca="1" si="722"/>
        <v>0</v>
      </c>
      <c r="CK24" s="390">
        <f t="shared" ca="1" si="722"/>
        <v>0</v>
      </c>
      <c r="CL24" s="390">
        <f t="shared" ca="1" si="722"/>
        <v>0</v>
      </c>
      <c r="CM24" s="390">
        <f t="shared" ca="1" si="722"/>
        <v>0</v>
      </c>
      <c r="CN24" s="390">
        <f t="shared" ca="1" si="722"/>
        <v>0</v>
      </c>
      <c r="CO24" s="390">
        <f t="shared" ca="1" si="722"/>
        <v>0</v>
      </c>
      <c r="CQ24" s="394"/>
      <c r="CR24" s="394"/>
      <c r="CS24" s="395"/>
      <c r="CT24" s="394"/>
      <c r="CU24" s="896"/>
      <c r="CV24" s="896"/>
      <c r="CW24" s="896"/>
      <c r="CY24" s="386" t="s">
        <v>1897</v>
      </c>
      <c r="CZ24" s="387" t="s">
        <v>287</v>
      </c>
      <c r="DA24" s="390">
        <f ca="1">DA84</f>
        <v>0</v>
      </c>
      <c r="DB24" s="390">
        <f t="shared" ref="DB24:DJ24" ca="1" si="723">DB84</f>
        <v>0</v>
      </c>
      <c r="DC24" s="390">
        <f t="shared" ca="1" si="723"/>
        <v>0</v>
      </c>
      <c r="DD24" s="390">
        <f t="shared" ca="1" si="723"/>
        <v>0</v>
      </c>
      <c r="DE24" s="390">
        <f t="shared" ca="1" si="723"/>
        <v>0</v>
      </c>
      <c r="DF24" s="390">
        <f t="shared" ca="1" si="723"/>
        <v>0</v>
      </c>
      <c r="DG24" s="390">
        <f t="shared" ca="1" si="723"/>
        <v>0</v>
      </c>
      <c r="DH24" s="390">
        <f t="shared" ca="1" si="723"/>
        <v>0</v>
      </c>
      <c r="DI24" s="390">
        <f t="shared" ca="1" si="723"/>
        <v>0</v>
      </c>
      <c r="DJ24" s="390">
        <f t="shared" ca="1" si="723"/>
        <v>0</v>
      </c>
      <c r="DL24" s="394"/>
      <c r="DM24" s="394"/>
      <c r="DN24" s="395"/>
      <c r="DO24" s="394"/>
      <c r="DT24" s="386" t="s">
        <v>1897</v>
      </c>
      <c r="DU24" s="387" t="s">
        <v>287</v>
      </c>
      <c r="DV24" s="390">
        <f ca="1">DV84</f>
        <v>0</v>
      </c>
      <c r="DW24" s="390">
        <f t="shared" ref="DW24:EK24" ca="1" si="724">DW84</f>
        <v>0</v>
      </c>
      <c r="DX24" s="390">
        <f t="shared" ca="1" si="724"/>
        <v>0</v>
      </c>
      <c r="DY24" s="390">
        <f t="shared" ca="1" si="724"/>
        <v>0</v>
      </c>
      <c r="DZ24" s="390">
        <f t="shared" ca="1" si="724"/>
        <v>0</v>
      </c>
      <c r="EA24" s="390">
        <f t="shared" ca="1" si="724"/>
        <v>0</v>
      </c>
      <c r="EB24" s="390">
        <f t="shared" ca="1" si="724"/>
        <v>0</v>
      </c>
      <c r="EC24" s="390">
        <f t="shared" ca="1" si="724"/>
        <v>0</v>
      </c>
      <c r="ED24" s="390">
        <f t="shared" ca="1" si="724"/>
        <v>0</v>
      </c>
      <c r="EE24" s="390">
        <f t="shared" ca="1" si="724"/>
        <v>0</v>
      </c>
      <c r="EF24" s="390">
        <f t="shared" ca="1" si="724"/>
        <v>0</v>
      </c>
      <c r="EG24" s="390">
        <f t="shared" ca="1" si="724"/>
        <v>0</v>
      </c>
      <c r="EH24" s="390">
        <f t="shared" ca="1" si="724"/>
        <v>0</v>
      </c>
      <c r="EI24" s="390">
        <f t="shared" ca="1" si="724"/>
        <v>0</v>
      </c>
      <c r="EJ24" s="390">
        <f t="shared" ref="EJ24" ca="1" si="725">EJ84</f>
        <v>0</v>
      </c>
      <c r="EK24" s="390">
        <f t="shared" ca="1" si="724"/>
        <v>0</v>
      </c>
      <c r="EM24" s="394"/>
      <c r="EN24" s="394"/>
      <c r="EO24" s="395"/>
      <c r="EP24" s="394"/>
      <c r="EQ24" s="896"/>
      <c r="ER24" s="896"/>
      <c r="ES24" s="896"/>
      <c r="EU24" s="386" t="s">
        <v>1897</v>
      </c>
      <c r="EV24" s="387" t="s">
        <v>287</v>
      </c>
      <c r="EW24" s="390">
        <f ca="1">EW84</f>
        <v>0</v>
      </c>
      <c r="EX24" s="390">
        <f t="shared" ref="EX24:FB24" ca="1" si="726">EX84</f>
        <v>0</v>
      </c>
      <c r="EY24" s="390">
        <f t="shared" ca="1" si="726"/>
        <v>0</v>
      </c>
      <c r="EZ24" s="390">
        <f t="shared" ca="1" si="726"/>
        <v>0</v>
      </c>
      <c r="FA24" s="390">
        <f t="shared" ca="1" si="726"/>
        <v>0</v>
      </c>
      <c r="FB24" s="390">
        <f t="shared" ca="1" si="726"/>
        <v>0</v>
      </c>
      <c r="FD24" s="394"/>
      <c r="FE24" s="394"/>
      <c r="FF24" s="395"/>
      <c r="FG24" s="394"/>
      <c r="FH24" s="395"/>
      <c r="FI24" s="394"/>
      <c r="FJ24" s="896"/>
      <c r="FL24" s="386" t="s">
        <v>1897</v>
      </c>
      <c r="FM24" s="387" t="s">
        <v>287</v>
      </c>
      <c r="FN24" s="390">
        <f ca="1">FN84</f>
        <v>0</v>
      </c>
      <c r="FO24" s="390">
        <f t="shared" ref="FO24:FX24" ca="1" si="727">FO84</f>
        <v>0</v>
      </c>
      <c r="FP24" s="390">
        <f t="shared" ca="1" si="727"/>
        <v>0</v>
      </c>
      <c r="FQ24" s="390">
        <f t="shared" ca="1" si="727"/>
        <v>0</v>
      </c>
      <c r="FR24" s="390">
        <f t="shared" ca="1" si="727"/>
        <v>0</v>
      </c>
      <c r="FS24" s="390">
        <f t="shared" ca="1" si="727"/>
        <v>0</v>
      </c>
      <c r="FT24" s="390">
        <f t="shared" ca="1" si="727"/>
        <v>0</v>
      </c>
      <c r="FU24" s="390">
        <f t="shared" ca="1" si="727"/>
        <v>0</v>
      </c>
      <c r="FV24" s="390">
        <f t="shared" ca="1" si="727"/>
        <v>0</v>
      </c>
      <c r="FW24" s="390">
        <f t="shared" ca="1" si="727"/>
        <v>0</v>
      </c>
      <c r="FX24" s="390">
        <f t="shared" ca="1" si="727"/>
        <v>0</v>
      </c>
      <c r="FZ24" s="394"/>
      <c r="GA24" s="394"/>
      <c r="GB24" s="395"/>
      <c r="GC24" s="394"/>
      <c r="GH24" s="386" t="s">
        <v>1897</v>
      </c>
      <c r="GI24" s="387" t="s">
        <v>287</v>
      </c>
      <c r="GJ24" s="390">
        <f ca="1">GJ84</f>
        <v>0</v>
      </c>
      <c r="GK24" s="390">
        <f t="shared" ref="GK24:GQ24" ca="1" si="728">GK84</f>
        <v>0</v>
      </c>
      <c r="GL24" s="390">
        <f t="shared" ca="1" si="728"/>
        <v>0</v>
      </c>
      <c r="GM24" s="390">
        <f t="shared" ca="1" si="728"/>
        <v>0</v>
      </c>
      <c r="GN24" s="390">
        <f t="shared" ca="1" si="728"/>
        <v>0</v>
      </c>
      <c r="GO24" s="390">
        <f t="shared" ca="1" si="728"/>
        <v>0</v>
      </c>
      <c r="GP24" s="390">
        <f t="shared" ca="1" si="728"/>
        <v>0</v>
      </c>
      <c r="GQ24" s="390">
        <f t="shared" ca="1" si="728"/>
        <v>0</v>
      </c>
      <c r="GS24" s="394"/>
      <c r="GT24" s="394"/>
      <c r="GU24" s="395"/>
      <c r="GV24" s="394"/>
      <c r="GW24" s="896"/>
      <c r="GX24" s="896"/>
      <c r="GY24" s="896"/>
      <c r="HA24" s="386" t="s">
        <v>1897</v>
      </c>
      <c r="HB24" s="387" t="s">
        <v>287</v>
      </c>
      <c r="HC24" s="390">
        <f ca="1">HC84</f>
        <v>0</v>
      </c>
      <c r="HD24" s="390">
        <f t="shared" ref="HD24:HH24" ca="1" si="729">HD84</f>
        <v>0</v>
      </c>
      <c r="HE24" s="390">
        <f t="shared" ca="1" si="729"/>
        <v>0</v>
      </c>
      <c r="HF24" s="390">
        <f t="shared" ca="1" si="729"/>
        <v>0</v>
      </c>
      <c r="HG24" s="390">
        <f t="shared" ca="1" si="729"/>
        <v>0</v>
      </c>
      <c r="HH24" s="390">
        <f t="shared" ca="1" si="729"/>
        <v>0</v>
      </c>
      <c r="HJ24" s="394"/>
      <c r="HK24" s="394"/>
      <c r="HL24" s="395"/>
      <c r="HM24" s="394"/>
      <c r="HN24" s="395"/>
      <c r="HO24" s="394"/>
      <c r="HP24" s="896"/>
      <c r="HR24" s="386" t="s">
        <v>1897</v>
      </c>
      <c r="HS24" s="387" t="s">
        <v>287</v>
      </c>
      <c r="HT24" s="390">
        <f ca="1">HT84</f>
        <v>0</v>
      </c>
      <c r="HU24" s="390">
        <f t="shared" ref="HU24:IE24" ca="1" si="730">HU84</f>
        <v>0</v>
      </c>
      <c r="HV24" s="390">
        <f t="shared" ca="1" si="730"/>
        <v>0</v>
      </c>
      <c r="HW24" s="390">
        <f t="shared" ca="1" si="730"/>
        <v>0</v>
      </c>
      <c r="HX24" s="390">
        <f t="shared" ca="1" si="730"/>
        <v>3.0798384599999999</v>
      </c>
      <c r="HY24" s="390">
        <f t="shared" ca="1" si="730"/>
        <v>0.234203939</v>
      </c>
      <c r="HZ24" s="390">
        <f t="shared" ca="1" si="730"/>
        <v>5378.3972999999996</v>
      </c>
      <c r="IA24" s="390">
        <f t="shared" ca="1" si="730"/>
        <v>2.1373519099999999E-4</v>
      </c>
      <c r="IB24" s="390">
        <f t="shared" ca="1" si="730"/>
        <v>0</v>
      </c>
      <c r="IC24" s="390">
        <f t="shared" ca="1" si="730"/>
        <v>0</v>
      </c>
      <c r="ID24" s="390">
        <f t="shared" ca="1" si="730"/>
        <v>0</v>
      </c>
      <c r="IE24" s="390">
        <f t="shared" ca="1" si="730"/>
        <v>0</v>
      </c>
      <c r="IG24" s="394"/>
      <c r="IH24" s="394"/>
      <c r="II24" s="395"/>
      <c r="IJ24" s="394"/>
      <c r="IO24" s="386" t="s">
        <v>1897</v>
      </c>
      <c r="IP24" s="387" t="s">
        <v>287</v>
      </c>
      <c r="IQ24" s="390">
        <f ca="1">IQ84</f>
        <v>3.0798384599999999</v>
      </c>
      <c r="IR24" s="390">
        <f t="shared" ref="IR24:JH24" ca="1" si="731">IR84</f>
        <v>0.234203939</v>
      </c>
      <c r="IS24" s="390">
        <f t="shared" ca="1" si="731"/>
        <v>5.3028122700000003E-5</v>
      </c>
      <c r="IT24" s="390">
        <f t="shared" ca="1" si="731"/>
        <v>0.23425696700000001</v>
      </c>
      <c r="IU24" s="390">
        <f t="shared" ref="IU24" ca="1" si="732">IU84</f>
        <v>0.21863121399999999</v>
      </c>
      <c r="IV24" s="390">
        <f t="shared" ca="1" si="731"/>
        <v>1.55442589E-3</v>
      </c>
      <c r="IW24" s="390">
        <f t="shared" ca="1" si="731"/>
        <v>1.27267495E-3</v>
      </c>
      <c r="IX24" s="390">
        <f t="shared" ref="IX24" ca="1" si="733">IX84</f>
        <v>3.2981879200000002</v>
      </c>
      <c r="IY24" s="390">
        <f t="shared" ca="1" si="731"/>
        <v>1.56257536E-2</v>
      </c>
      <c r="IZ24" s="390">
        <f t="shared" ca="1" si="731"/>
        <v>2.2872823100000001E-4</v>
      </c>
      <c r="JA24" s="390">
        <f t="shared" ca="1" si="731"/>
        <v>1.3257030700000001E-3</v>
      </c>
      <c r="JB24" s="390">
        <f t="shared" ca="1" si="731"/>
        <v>0</v>
      </c>
      <c r="JC24" s="390">
        <f t="shared" ca="1" si="731"/>
        <v>1.49930392E-5</v>
      </c>
      <c r="JD24" s="390">
        <f t="shared" ca="1" si="731"/>
        <v>0</v>
      </c>
      <c r="JE24" s="390">
        <f t="shared" ca="1" si="731"/>
        <v>2.2872823100000001E-4</v>
      </c>
      <c r="JF24" s="390">
        <f t="shared" ca="1" si="731"/>
        <v>0</v>
      </c>
      <c r="JG24" s="390">
        <f t="shared" ca="1" si="731"/>
        <v>0</v>
      </c>
      <c r="JH24" s="390">
        <f t="shared" ca="1" si="731"/>
        <v>2.1373519099999999E-4</v>
      </c>
      <c r="JJ24" s="394"/>
      <c r="JK24" s="394"/>
      <c r="JL24" s="395"/>
      <c r="JM24" s="394"/>
      <c r="JR24" s="386" t="s">
        <v>1897</v>
      </c>
      <c r="JS24" s="387" t="s">
        <v>287</v>
      </c>
      <c r="JT24" s="390">
        <f ca="1">JT84</f>
        <v>0</v>
      </c>
      <c r="JU24" s="390">
        <f t="shared" ref="JU24:KC24" ca="1" si="734">JU84</f>
        <v>0</v>
      </c>
      <c r="JV24" s="390">
        <f t="shared" ca="1" si="734"/>
        <v>0</v>
      </c>
      <c r="JW24" s="390">
        <f t="shared" ca="1" si="734"/>
        <v>0</v>
      </c>
      <c r="JX24" s="390">
        <f t="shared" ca="1" si="734"/>
        <v>0</v>
      </c>
      <c r="JY24" s="390">
        <f t="shared" ca="1" si="734"/>
        <v>0</v>
      </c>
      <c r="JZ24" s="390">
        <f t="shared" ca="1" si="734"/>
        <v>0</v>
      </c>
      <c r="KA24" s="390">
        <f t="shared" ca="1" si="734"/>
        <v>0</v>
      </c>
      <c r="KB24" s="390">
        <f t="shared" ca="1" si="734"/>
        <v>0</v>
      </c>
      <c r="KC24" s="390">
        <f t="shared" ca="1" si="734"/>
        <v>0</v>
      </c>
      <c r="KE24" s="394"/>
      <c r="KJ24" s="386" t="s">
        <v>1897</v>
      </c>
      <c r="KK24" s="387" t="s">
        <v>287</v>
      </c>
      <c r="KL24" s="390">
        <f ca="1">KL84</f>
        <v>0</v>
      </c>
      <c r="KM24" s="390">
        <f t="shared" ref="KM24:KR24" ca="1" si="735">KM84</f>
        <v>0</v>
      </c>
      <c r="KN24" s="390">
        <f t="shared" ca="1" si="735"/>
        <v>0</v>
      </c>
      <c r="KO24" s="390">
        <f t="shared" ca="1" si="735"/>
        <v>0</v>
      </c>
      <c r="KP24" s="390">
        <f t="shared" ca="1" si="735"/>
        <v>0</v>
      </c>
      <c r="KQ24" s="390">
        <f t="shared" ca="1" si="735"/>
        <v>0</v>
      </c>
      <c r="KR24" s="390">
        <f t="shared" ca="1" si="735"/>
        <v>0</v>
      </c>
      <c r="KT24" s="394"/>
      <c r="KY24" s="386" t="s">
        <v>1897</v>
      </c>
      <c r="KZ24" s="387" t="s">
        <v>287</v>
      </c>
      <c r="LA24" s="390">
        <f ca="1">LA84</f>
        <v>0</v>
      </c>
      <c r="LB24" s="390">
        <f t="shared" ref="LB24:LK24" ca="1" si="736">LB84</f>
        <v>5378.3972999999996</v>
      </c>
      <c r="LC24" s="390">
        <f t="shared" ca="1" si="736"/>
        <v>5378.3972999999996</v>
      </c>
      <c r="LD24" s="390">
        <f t="shared" ca="1" si="736"/>
        <v>5378.3972999999996</v>
      </c>
      <c r="LE24" s="390">
        <f t="shared" ca="1" si="736"/>
        <v>0</v>
      </c>
      <c r="LF24" s="390">
        <f t="shared" ca="1" si="736"/>
        <v>0</v>
      </c>
      <c r="LG24" s="390">
        <f t="shared" ca="1" si="736"/>
        <v>0</v>
      </c>
      <c r="LH24" s="390">
        <f t="shared" ca="1" si="736"/>
        <v>0</v>
      </c>
      <c r="LI24" s="390">
        <f t="shared" ca="1" si="736"/>
        <v>0</v>
      </c>
      <c r="LJ24" s="390">
        <f t="shared" ca="1" si="736"/>
        <v>0</v>
      </c>
      <c r="LK24" s="390">
        <f t="shared" ca="1" si="736"/>
        <v>0</v>
      </c>
      <c r="LM24" s="394"/>
      <c r="LN24" s="394"/>
      <c r="LO24" s="395"/>
      <c r="LP24" s="394"/>
      <c r="LU24" s="386" t="s">
        <v>1897</v>
      </c>
      <c r="LV24" s="387" t="s">
        <v>287</v>
      </c>
      <c r="LW24" s="390">
        <f ca="1">LW84</f>
        <v>0</v>
      </c>
      <c r="LX24" s="390">
        <f ca="1">LX84</f>
        <v>0</v>
      </c>
      <c r="LY24" s="390">
        <f t="shared" ref="LY24:MO24" ca="1" si="737">LY84</f>
        <v>0</v>
      </c>
      <c r="LZ24" s="390">
        <f t="shared" ca="1" si="737"/>
        <v>1.56257536E-2</v>
      </c>
      <c r="MA24" s="390">
        <f t="shared" ca="1" si="737"/>
        <v>1.56258536E-2</v>
      </c>
      <c r="MB24" s="390">
        <f t="shared" ca="1" si="737"/>
        <v>5378.3972999999996</v>
      </c>
      <c r="MC24" s="390">
        <f t="shared" ca="1" si="737"/>
        <v>0</v>
      </c>
      <c r="MD24" s="390">
        <f t="shared" ca="1" si="737"/>
        <v>0</v>
      </c>
      <c r="ME24" s="390">
        <f t="shared" ca="1" si="737"/>
        <v>0</v>
      </c>
      <c r="MF24" s="390">
        <f t="shared" ca="1" si="737"/>
        <v>0</v>
      </c>
      <c r="MG24" s="390">
        <f t="shared" ca="1" si="737"/>
        <v>0</v>
      </c>
      <c r="MH24" s="390">
        <f t="shared" ref="MH24:MI24" ca="1" si="738">MH84</f>
        <v>0</v>
      </c>
      <c r="MI24" s="390">
        <f t="shared" ca="1" si="738"/>
        <v>0</v>
      </c>
      <c r="MJ24" s="390">
        <f t="shared" ca="1" si="737"/>
        <v>0</v>
      </c>
      <c r="MK24" s="390">
        <f t="shared" ca="1" si="737"/>
        <v>0</v>
      </c>
      <c r="ML24" s="390">
        <f t="shared" ca="1" si="737"/>
        <v>0</v>
      </c>
      <c r="MM24" s="390">
        <f t="shared" ca="1" si="737"/>
        <v>0</v>
      </c>
      <c r="MN24" s="390">
        <f t="shared" ca="1" si="737"/>
        <v>0</v>
      </c>
      <c r="MO24" s="390">
        <f t="shared" ca="1" si="737"/>
        <v>9.9999999999999995E-8</v>
      </c>
      <c r="MQ24" s="394"/>
      <c r="MR24" s="394"/>
      <c r="MS24" s="395"/>
      <c r="MT24" s="394"/>
      <c r="MY24" s="386" t="s">
        <v>1897</v>
      </c>
      <c r="MZ24" s="387" t="s">
        <v>287</v>
      </c>
      <c r="NA24" s="390">
        <f ca="1">NA84</f>
        <v>0</v>
      </c>
      <c r="NB24" s="390">
        <f t="shared" ref="NB24:NP24" ca="1" si="739">NB84</f>
        <v>0</v>
      </c>
      <c r="NC24" s="390">
        <f t="shared" ca="1" si="739"/>
        <v>0</v>
      </c>
      <c r="ND24" s="390">
        <f t="shared" ca="1" si="739"/>
        <v>0</v>
      </c>
      <c r="NE24" s="390">
        <f t="shared" ca="1" si="739"/>
        <v>0</v>
      </c>
      <c r="NF24" s="390">
        <f t="shared" ca="1" si="739"/>
        <v>0</v>
      </c>
      <c r="NG24" s="390">
        <f t="shared" ca="1" si="739"/>
        <v>0</v>
      </c>
      <c r="NH24" s="390">
        <f t="shared" ca="1" si="739"/>
        <v>0</v>
      </c>
      <c r="NI24" s="390">
        <f t="shared" ca="1" si="739"/>
        <v>0</v>
      </c>
      <c r="NJ24" s="390">
        <f t="shared" ca="1" si="739"/>
        <v>0</v>
      </c>
      <c r="NK24" s="390">
        <f t="shared" ca="1" si="739"/>
        <v>0</v>
      </c>
      <c r="NL24" s="390">
        <f t="shared" ca="1" si="739"/>
        <v>0</v>
      </c>
      <c r="NM24" s="390">
        <f t="shared" ca="1" si="739"/>
        <v>0</v>
      </c>
      <c r="NN24" s="390">
        <f t="shared" ca="1" si="739"/>
        <v>0</v>
      </c>
      <c r="NO24" s="390">
        <f t="shared" ca="1" si="739"/>
        <v>0</v>
      </c>
      <c r="NP24" s="390">
        <f t="shared" ca="1" si="739"/>
        <v>0</v>
      </c>
      <c r="NR24" s="394"/>
      <c r="NS24" s="394"/>
      <c r="NT24" s="395"/>
      <c r="NU24" s="394"/>
      <c r="NZ24" s="394"/>
      <c r="OA24" s="394"/>
      <c r="OF24" s="386" t="s">
        <v>1897</v>
      </c>
      <c r="OG24" s="387" t="s">
        <v>287</v>
      </c>
      <c r="OH24" s="390">
        <f ca="1">OH84</f>
        <v>0</v>
      </c>
      <c r="OI24" s="390">
        <f t="shared" ref="OI24:OO24" ca="1" si="740">OI84</f>
        <v>0</v>
      </c>
      <c r="OJ24" s="390">
        <f t="shared" ca="1" si="740"/>
        <v>0</v>
      </c>
      <c r="OK24" s="390">
        <f t="shared" ca="1" si="740"/>
        <v>0</v>
      </c>
      <c r="OL24" s="390">
        <f t="shared" ca="1" si="740"/>
        <v>0</v>
      </c>
      <c r="OM24" s="390">
        <f t="shared" ca="1" si="740"/>
        <v>0</v>
      </c>
      <c r="ON24" s="390">
        <f t="shared" ca="1" si="740"/>
        <v>0</v>
      </c>
      <c r="OO24" s="390">
        <f t="shared" ca="1" si="740"/>
        <v>0</v>
      </c>
      <c r="OQ24" s="394"/>
      <c r="OR24" s="394"/>
      <c r="OS24" s="395"/>
      <c r="OT24" s="394"/>
      <c r="OU24" s="395"/>
      <c r="OV24" s="394"/>
      <c r="OW24" s="896"/>
      <c r="OY24" s="386" t="s">
        <v>1897</v>
      </c>
      <c r="OZ24" s="387" t="s">
        <v>287</v>
      </c>
      <c r="PA24" s="390">
        <f ca="1">PA84</f>
        <v>0</v>
      </c>
      <c r="PB24" s="390">
        <f t="shared" ref="PB24:PK24" ca="1" si="741">PB84</f>
        <v>0</v>
      </c>
      <c r="PC24" s="390">
        <f t="shared" ca="1" si="741"/>
        <v>0</v>
      </c>
      <c r="PD24" s="390">
        <f t="shared" ca="1" si="741"/>
        <v>0</v>
      </c>
      <c r="PE24" s="390">
        <f t="shared" ca="1" si="741"/>
        <v>0</v>
      </c>
      <c r="PF24" s="390">
        <f t="shared" ca="1" si="741"/>
        <v>0</v>
      </c>
      <c r="PG24" s="390">
        <f t="shared" ca="1" si="741"/>
        <v>0</v>
      </c>
      <c r="PH24" s="390">
        <f t="shared" ca="1" si="741"/>
        <v>0</v>
      </c>
      <c r="PI24" s="390">
        <f t="shared" ca="1" si="741"/>
        <v>0</v>
      </c>
      <c r="PJ24" s="390">
        <f t="shared" ca="1" si="741"/>
        <v>0</v>
      </c>
      <c r="PK24" s="390">
        <f t="shared" ca="1" si="741"/>
        <v>0</v>
      </c>
      <c r="PM24" s="394"/>
      <c r="PN24" s="394"/>
      <c r="PO24" s="395"/>
      <c r="PP24" s="394"/>
      <c r="PU24" s="386" t="s">
        <v>1897</v>
      </c>
      <c r="PV24" s="387" t="s">
        <v>287</v>
      </c>
      <c r="PW24" s="390">
        <f ca="1">PW84</f>
        <v>0</v>
      </c>
      <c r="PX24" s="390">
        <f t="shared" ref="PX24:PZ24" ca="1" si="742">PX84</f>
        <v>0</v>
      </c>
      <c r="PY24" s="390">
        <f t="shared" ca="1" si="742"/>
        <v>0</v>
      </c>
      <c r="PZ24" s="390">
        <f t="shared" ca="1" si="742"/>
        <v>0</v>
      </c>
      <c r="QB24" s="394"/>
      <c r="QC24" s="394"/>
      <c r="QD24" s="395"/>
      <c r="QE24" s="394"/>
    </row>
    <row r="25" spans="1:453" x14ac:dyDescent="0.25">
      <c r="A25" s="1315"/>
      <c r="H25" s="386" t="s">
        <v>1290</v>
      </c>
      <c r="I25" s="387" t="s">
        <v>287</v>
      </c>
      <c r="J25" s="390">
        <f ca="1">J78</f>
        <v>0</v>
      </c>
      <c r="K25" s="390">
        <f ca="1">K78</f>
        <v>0</v>
      </c>
      <c r="R25" s="386" t="s">
        <v>1290</v>
      </c>
      <c r="S25" s="387" t="s">
        <v>287</v>
      </c>
      <c r="T25" s="390">
        <f ca="1">T78</f>
        <v>0</v>
      </c>
      <c r="U25" s="390">
        <f t="shared" ref="U25:AD25" ca="1" si="743">U78</f>
        <v>0</v>
      </c>
      <c r="V25" s="390">
        <f t="shared" ca="1" si="743"/>
        <v>0</v>
      </c>
      <c r="W25" s="390">
        <f t="shared" ca="1" si="743"/>
        <v>0</v>
      </c>
      <c r="X25" s="390">
        <f t="shared" ca="1" si="743"/>
        <v>0</v>
      </c>
      <c r="Y25" s="390">
        <f t="shared" ca="1" si="743"/>
        <v>0</v>
      </c>
      <c r="Z25" s="390">
        <f t="shared" ca="1" si="743"/>
        <v>0</v>
      </c>
      <c r="AA25" s="390">
        <f t="shared" ca="1" si="743"/>
        <v>0</v>
      </c>
      <c r="AB25" s="390">
        <f t="shared" ca="1" si="743"/>
        <v>0</v>
      </c>
      <c r="AC25" s="390">
        <f t="shared" ca="1" si="743"/>
        <v>0</v>
      </c>
      <c r="AD25" s="390">
        <f t="shared" ca="1" si="743"/>
        <v>0</v>
      </c>
      <c r="AF25" s="394"/>
      <c r="AG25" s="395"/>
      <c r="AH25" s="394"/>
      <c r="AI25" s="394"/>
      <c r="AK25" s="386" t="s">
        <v>1290</v>
      </c>
      <c r="AL25" s="387" t="s">
        <v>287</v>
      </c>
      <c r="AM25" s="390">
        <f ca="1">AM78</f>
        <v>0</v>
      </c>
      <c r="AN25" s="390">
        <f t="shared" ref="AN25:BB25" ca="1" si="744">AN78</f>
        <v>0</v>
      </c>
      <c r="AO25" s="390">
        <f t="shared" ref="AO25:AS25" ca="1" si="745">AO78</f>
        <v>0</v>
      </c>
      <c r="AP25" s="390">
        <f t="shared" ca="1" si="745"/>
        <v>0</v>
      </c>
      <c r="AQ25" s="390">
        <f t="shared" ca="1" si="745"/>
        <v>0</v>
      </c>
      <c r="AR25" s="390">
        <f t="shared" ca="1" si="745"/>
        <v>0</v>
      </c>
      <c r="AS25" s="390">
        <f t="shared" ca="1" si="745"/>
        <v>0</v>
      </c>
      <c r="AT25" s="390">
        <f t="shared" ca="1" si="744"/>
        <v>0</v>
      </c>
      <c r="AU25" s="390">
        <f t="shared" ca="1" si="744"/>
        <v>0</v>
      </c>
      <c r="AV25" s="390">
        <f t="shared" ca="1" si="744"/>
        <v>0</v>
      </c>
      <c r="AW25" s="390">
        <f t="shared" ca="1" si="744"/>
        <v>0</v>
      </c>
      <c r="AX25" s="390">
        <f t="shared" ca="1" si="744"/>
        <v>0</v>
      </c>
      <c r="AY25" s="390">
        <f t="shared" ca="1" si="744"/>
        <v>0</v>
      </c>
      <c r="AZ25" s="390">
        <f t="shared" ca="1" si="744"/>
        <v>0</v>
      </c>
      <c r="BA25" s="390">
        <f t="shared" ca="1" si="744"/>
        <v>0</v>
      </c>
      <c r="BB25" s="390">
        <f t="shared" ca="1" si="744"/>
        <v>0</v>
      </c>
      <c r="BD25" s="394"/>
      <c r="BE25" s="394"/>
      <c r="BF25" s="395"/>
      <c r="BG25" s="394"/>
      <c r="BL25" s="386" t="s">
        <v>1290</v>
      </c>
      <c r="BM25" s="387" t="s">
        <v>287</v>
      </c>
      <c r="BN25" s="390">
        <f ca="1">BN78</f>
        <v>7.8816405400000001E-3</v>
      </c>
      <c r="BO25" s="390">
        <f t="shared" ref="BO25:BR25" ca="1" si="746">BO78</f>
        <v>1.9391162300000001E-2</v>
      </c>
      <c r="BP25" s="390">
        <f t="shared" ca="1" si="746"/>
        <v>16.850371599999999</v>
      </c>
      <c r="BQ25" s="390">
        <f t="shared" ca="1" si="746"/>
        <v>0</v>
      </c>
      <c r="BR25" s="390">
        <f t="shared" ca="1" si="746"/>
        <v>0</v>
      </c>
      <c r="BT25" s="394"/>
      <c r="BU25" s="394"/>
      <c r="BV25" s="395"/>
      <c r="BW25" s="394"/>
      <c r="CB25" s="386" t="s">
        <v>1290</v>
      </c>
      <c r="CC25" s="387" t="s">
        <v>287</v>
      </c>
      <c r="CD25" s="390">
        <f ca="1">CD78</f>
        <v>0</v>
      </c>
      <c r="CE25" s="390">
        <f t="shared" ref="CE25:CO25" ca="1" si="747">CE78</f>
        <v>0</v>
      </c>
      <c r="CF25" s="390">
        <f t="shared" ca="1" si="747"/>
        <v>7.8816405400000001E-3</v>
      </c>
      <c r="CG25" s="390">
        <f t="shared" ca="1" si="747"/>
        <v>1.9391162300000001E-2</v>
      </c>
      <c r="CH25" s="390">
        <f t="shared" ca="1" si="747"/>
        <v>7.8815718500000007E-2</v>
      </c>
      <c r="CI25" s="390">
        <f t="shared" ca="1" si="747"/>
        <v>0</v>
      </c>
      <c r="CJ25" s="390">
        <f t="shared" ca="1" si="747"/>
        <v>0</v>
      </c>
      <c r="CK25" s="390">
        <f t="shared" ca="1" si="747"/>
        <v>0.185613731</v>
      </c>
      <c r="CL25" s="390">
        <f t="shared" ca="1" si="747"/>
        <v>154.73737700000001</v>
      </c>
      <c r="CM25" s="390">
        <f t="shared" ca="1" si="747"/>
        <v>7.8815718500000007E-2</v>
      </c>
      <c r="CN25" s="390">
        <f t="shared" ca="1" si="747"/>
        <v>0.195389127</v>
      </c>
      <c r="CO25" s="390">
        <f t="shared" ca="1" si="747"/>
        <v>9.7753965999999998E-3</v>
      </c>
      <c r="CQ25" s="394"/>
      <c r="CR25" s="394"/>
      <c r="CS25" s="395"/>
      <c r="CT25" s="394"/>
      <c r="CY25" s="386" t="s">
        <v>1290</v>
      </c>
      <c r="CZ25" s="387" t="s">
        <v>287</v>
      </c>
      <c r="DA25" s="390">
        <f ca="1">DA78</f>
        <v>4.3786891900000002E-4</v>
      </c>
      <c r="DB25" s="390">
        <f t="shared" ref="DB25:DJ25" ca="1" si="748">DB78</f>
        <v>0</v>
      </c>
      <c r="DC25" s="390">
        <f t="shared" ca="1" si="748"/>
        <v>0</v>
      </c>
      <c r="DD25" s="390">
        <f t="shared" ca="1" si="748"/>
        <v>0</v>
      </c>
      <c r="DE25" s="390">
        <f t="shared" ca="1" si="748"/>
        <v>4.5554876700000003E-3</v>
      </c>
      <c r="DF25" s="390">
        <f t="shared" ca="1" si="748"/>
        <v>286.966454</v>
      </c>
      <c r="DG25" s="390">
        <f t="shared" ca="1" si="748"/>
        <v>7440.4578199999987</v>
      </c>
      <c r="DH25" s="390">
        <f t="shared" ca="1" si="748"/>
        <v>7440.4578199999987</v>
      </c>
      <c r="DI25" s="390">
        <f t="shared" ca="1" si="748"/>
        <v>7086.15031</v>
      </c>
      <c r="DJ25" s="390">
        <f t="shared" ca="1" si="748"/>
        <v>354.30751500000002</v>
      </c>
      <c r="DL25" s="394"/>
      <c r="DM25" s="394"/>
      <c r="DN25" s="395"/>
      <c r="DO25" s="394"/>
      <c r="DT25" s="386" t="s">
        <v>1290</v>
      </c>
      <c r="DU25" s="387" t="s">
        <v>287</v>
      </c>
      <c r="DV25" s="390">
        <f ca="1">DV78</f>
        <v>0</v>
      </c>
      <c r="DW25" s="390">
        <f t="shared" ref="DW25:EK25" ca="1" si="749">DW78</f>
        <v>0</v>
      </c>
      <c r="DX25" s="390">
        <f t="shared" ca="1" si="749"/>
        <v>8.7573783700000008E-3</v>
      </c>
      <c r="DY25" s="390">
        <f t="shared" ca="1" si="749"/>
        <v>4.3786891900000002E-4</v>
      </c>
      <c r="DZ25" s="390">
        <f t="shared" ca="1" si="749"/>
        <v>0</v>
      </c>
      <c r="EA25" s="390">
        <f t="shared" ca="1" si="749"/>
        <v>4.5554876700000003E-3</v>
      </c>
      <c r="EB25" s="390">
        <f t="shared" ca="1" si="749"/>
        <v>8.31950945E-3</v>
      </c>
      <c r="EC25" s="390">
        <f t="shared" ca="1" si="749"/>
        <v>0</v>
      </c>
      <c r="ED25" s="390">
        <f t="shared" ca="1" si="749"/>
        <v>7.8815718500000007E-2</v>
      </c>
      <c r="EE25" s="390">
        <f t="shared" ca="1" si="749"/>
        <v>5439.95597</v>
      </c>
      <c r="EF25" s="390">
        <f t="shared" ca="1" si="749"/>
        <v>0</v>
      </c>
      <c r="EG25" s="390">
        <f t="shared" ca="1" si="749"/>
        <v>0</v>
      </c>
      <c r="EH25" s="390">
        <f t="shared" ca="1" si="749"/>
        <v>0</v>
      </c>
      <c r="EI25" s="390">
        <f t="shared" ca="1" si="749"/>
        <v>0</v>
      </c>
      <c r="EJ25" s="390">
        <f t="shared" ref="EJ25" ca="1" si="750">EJ78</f>
        <v>0</v>
      </c>
      <c r="EK25" s="390">
        <f t="shared" ca="1" si="749"/>
        <v>7086.15031</v>
      </c>
      <c r="EM25" s="394"/>
      <c r="EN25" s="394"/>
      <c r="EO25" s="395"/>
      <c r="EP25" s="394"/>
      <c r="EQ25" s="896"/>
      <c r="ER25" s="896"/>
      <c r="ES25" s="896"/>
      <c r="EU25" s="386" t="s">
        <v>1290</v>
      </c>
      <c r="EV25" s="387" t="s">
        <v>287</v>
      </c>
      <c r="EW25" s="390">
        <f ca="1">EW78</f>
        <v>0.195389127</v>
      </c>
      <c r="EX25" s="390">
        <f t="shared" ref="EX25:FB25" ca="1" si="751">EX78</f>
        <v>0.195389127</v>
      </c>
      <c r="EY25" s="390">
        <f t="shared" ca="1" si="751"/>
        <v>0</v>
      </c>
      <c r="EZ25" s="390">
        <f t="shared" ca="1" si="751"/>
        <v>0</v>
      </c>
      <c r="FA25" s="390">
        <f t="shared" ca="1" si="751"/>
        <v>0.19524555699999999</v>
      </c>
      <c r="FB25" s="390">
        <f t="shared" ca="1" si="751"/>
        <v>1.4378372099999999E-4</v>
      </c>
      <c r="FD25" s="394"/>
      <c r="FE25" s="394"/>
      <c r="FF25" s="395"/>
      <c r="FG25" s="394"/>
      <c r="FH25" s="896"/>
      <c r="FI25" s="896"/>
      <c r="FJ25" s="896"/>
      <c r="FL25" s="386" t="s">
        <v>1290</v>
      </c>
      <c r="FM25" s="387" t="s">
        <v>287</v>
      </c>
      <c r="FN25" s="390">
        <f ca="1">FN78</f>
        <v>16.850371599999999</v>
      </c>
      <c r="FO25" s="390">
        <f t="shared" ref="FO25:FX25" ca="1" si="752">FO78</f>
        <v>154.73737700000001</v>
      </c>
      <c r="FP25" s="390">
        <f t="shared" ca="1" si="752"/>
        <v>0.19524555699999999</v>
      </c>
      <c r="FQ25" s="390">
        <f t="shared" ca="1" si="752"/>
        <v>1.4378372099999999E-4</v>
      </c>
      <c r="FR25" s="390">
        <f t="shared" ca="1" si="752"/>
        <v>1.43783719E-4</v>
      </c>
      <c r="FS25" s="390">
        <f t="shared" ca="1" si="752"/>
        <v>0</v>
      </c>
      <c r="FT25" s="390">
        <f t="shared" ca="1" si="752"/>
        <v>0</v>
      </c>
      <c r="FU25" s="390">
        <f t="shared" ca="1" si="752"/>
        <v>171.782994</v>
      </c>
      <c r="FV25" s="390">
        <f t="shared" ca="1" si="752"/>
        <v>0</v>
      </c>
      <c r="FW25" s="390">
        <f t="shared" ca="1" si="752"/>
        <v>171.77321800000001</v>
      </c>
      <c r="FX25" s="390">
        <f t="shared" ca="1" si="752"/>
        <v>9.7753965999999998E-3</v>
      </c>
      <c r="FZ25" s="394"/>
      <c r="GA25" s="394"/>
      <c r="GB25" s="395"/>
      <c r="GC25" s="394"/>
      <c r="GH25" s="386" t="s">
        <v>1290</v>
      </c>
      <c r="GI25" s="387" t="s">
        <v>287</v>
      </c>
      <c r="GJ25" s="390">
        <f ca="1">GJ78</f>
        <v>1.43783719E-4</v>
      </c>
      <c r="GK25" s="390">
        <f t="shared" ref="GK25:GQ25" ca="1" si="753">GK78</f>
        <v>1.43783719E-4</v>
      </c>
      <c r="GL25" s="390">
        <f t="shared" ca="1" si="753"/>
        <v>0</v>
      </c>
      <c r="GM25" s="390">
        <f t="shared" ca="1" si="753"/>
        <v>1.43783719E-4</v>
      </c>
      <c r="GN25" s="390">
        <f t="shared" ca="1" si="753"/>
        <v>1.43783719E-4</v>
      </c>
      <c r="GO25" s="390">
        <f t="shared" ca="1" si="753"/>
        <v>0</v>
      </c>
      <c r="GP25" s="390">
        <f t="shared" ca="1" si="753"/>
        <v>1.43783719E-4</v>
      </c>
      <c r="GQ25" s="390">
        <f t="shared" ca="1" si="753"/>
        <v>0</v>
      </c>
      <c r="GS25" s="394"/>
      <c r="GT25" s="394"/>
      <c r="GU25" s="395"/>
      <c r="GV25" s="394"/>
      <c r="HA25" s="386" t="s">
        <v>1290</v>
      </c>
      <c r="HB25" s="387" t="s">
        <v>287</v>
      </c>
      <c r="HC25" s="390">
        <f ca="1">HC78</f>
        <v>0</v>
      </c>
      <c r="HD25" s="390">
        <f t="shared" ref="HD25:HH25" ca="1" si="754">HD78</f>
        <v>0</v>
      </c>
      <c r="HE25" s="390">
        <f t="shared" ca="1" si="754"/>
        <v>2766.28368</v>
      </c>
      <c r="HF25" s="390">
        <f t="shared" ca="1" si="754"/>
        <v>2765.7482100000002</v>
      </c>
      <c r="HG25" s="390">
        <f t="shared" ca="1" si="754"/>
        <v>0.53546559800000004</v>
      </c>
      <c r="HH25" s="390">
        <f t="shared" ca="1" si="754"/>
        <v>0</v>
      </c>
      <c r="HJ25" s="394"/>
      <c r="HK25" s="394"/>
      <c r="HL25" s="395"/>
      <c r="HM25" s="394"/>
      <c r="HN25" s="395"/>
      <c r="HO25" s="394"/>
      <c r="HP25" s="896"/>
      <c r="HR25" s="386" t="s">
        <v>1290</v>
      </c>
      <c r="HS25" s="387" t="s">
        <v>287</v>
      </c>
      <c r="HT25" s="390">
        <f ca="1">HT78</f>
        <v>0</v>
      </c>
      <c r="HU25" s="390">
        <f t="shared" ref="HU25:IE25" ca="1" si="755">HU78</f>
        <v>0</v>
      </c>
      <c r="HV25" s="390">
        <f t="shared" ca="1" si="755"/>
        <v>0.11970423400000002</v>
      </c>
      <c r="HW25" s="390">
        <f t="shared" ca="1" si="755"/>
        <v>0.11970423400000002</v>
      </c>
      <c r="HX25" s="390">
        <f t="shared" ca="1" si="755"/>
        <v>0.606180037</v>
      </c>
      <c r="HY25" s="390">
        <f t="shared" ca="1" si="755"/>
        <v>4.6096493199999998E-2</v>
      </c>
      <c r="HZ25" s="390">
        <f t="shared" ca="1" si="755"/>
        <v>1143.1691000000001</v>
      </c>
      <c r="IA25" s="390">
        <f t="shared" ca="1" si="755"/>
        <v>2.6269071500000001</v>
      </c>
      <c r="IB25" s="390">
        <f t="shared" ca="1" si="755"/>
        <v>0</v>
      </c>
      <c r="IC25" s="390">
        <f t="shared" ca="1" si="755"/>
        <v>0</v>
      </c>
      <c r="ID25" s="390">
        <f t="shared" ca="1" si="755"/>
        <v>0</v>
      </c>
      <c r="IE25" s="390">
        <f t="shared" ca="1" si="755"/>
        <v>0.11970423400000002</v>
      </c>
      <c r="IG25" s="394"/>
      <c r="IH25" s="394"/>
      <c r="II25" s="395"/>
      <c r="IJ25" s="394"/>
      <c r="IO25" s="386" t="s">
        <v>1290</v>
      </c>
      <c r="IP25" s="387" t="s">
        <v>287</v>
      </c>
      <c r="IQ25" s="390">
        <f ca="1">IQ78</f>
        <v>0.606180037</v>
      </c>
      <c r="IR25" s="390">
        <f t="shared" ref="IR25:JH25" ca="1" si="756">IR78</f>
        <v>4.6096493199999998E-2</v>
      </c>
      <c r="IS25" s="390">
        <f t="shared" ca="1" si="756"/>
        <v>0.65320560500000002</v>
      </c>
      <c r="IT25" s="390">
        <f t="shared" ca="1" si="756"/>
        <v>0.69930209799999998</v>
      </c>
      <c r="IU25" s="390">
        <f t="shared" ref="IU25" ca="1" si="757">IU78</f>
        <v>0.65265621799999995</v>
      </c>
      <c r="IV25" s="390">
        <f t="shared" ca="1" si="756"/>
        <v>19.147541799999999</v>
      </c>
      <c r="IW25" s="390">
        <f t="shared" ca="1" si="756"/>
        <v>15.6769345</v>
      </c>
      <c r="IX25" s="390">
        <f t="shared" ref="IX25" ca="1" si="758">IX78</f>
        <v>44670.145799999998</v>
      </c>
      <c r="IY25" s="390">
        <f t="shared" ca="1" si="756"/>
        <v>4.6645879600000002E-2</v>
      </c>
      <c r="IZ25" s="390">
        <f t="shared" ca="1" si="756"/>
        <v>2.8174925499999999</v>
      </c>
      <c r="JA25" s="390">
        <f t="shared" ca="1" si="756"/>
        <v>16.330140100000001</v>
      </c>
      <c r="JB25" s="390">
        <f t="shared" ca="1" si="756"/>
        <v>0</v>
      </c>
      <c r="JC25" s="390">
        <f t="shared" ca="1" si="756"/>
        <v>0.19058539999999999</v>
      </c>
      <c r="JD25" s="390">
        <f t="shared" ca="1" si="756"/>
        <v>0</v>
      </c>
      <c r="JE25" s="390">
        <f t="shared" ca="1" si="756"/>
        <v>2.8174925499999999</v>
      </c>
      <c r="JF25" s="390">
        <f t="shared" ca="1" si="756"/>
        <v>50965.230799999998</v>
      </c>
      <c r="JG25" s="390">
        <f t="shared" ca="1" si="756"/>
        <v>0</v>
      </c>
      <c r="JH25" s="390">
        <f t="shared" ca="1" si="756"/>
        <v>2.6269071500000001</v>
      </c>
      <c r="JJ25" s="394"/>
      <c r="JK25" s="394"/>
      <c r="JL25" s="395"/>
      <c r="JM25" s="394"/>
      <c r="JR25" s="386" t="s">
        <v>1290</v>
      </c>
      <c r="JS25" s="387" t="s">
        <v>287</v>
      </c>
      <c r="JT25" s="390">
        <f ca="1">JT78</f>
        <v>0</v>
      </c>
      <c r="JU25" s="390">
        <f t="shared" ref="JU25:KC25" ca="1" si="759">JU78</f>
        <v>0</v>
      </c>
      <c r="JV25" s="390">
        <f t="shared" ca="1" si="759"/>
        <v>0</v>
      </c>
      <c r="JW25" s="390">
        <f t="shared" ca="1" si="759"/>
        <v>0</v>
      </c>
      <c r="JX25" s="390">
        <f t="shared" ca="1" si="759"/>
        <v>1.43783719E-4</v>
      </c>
      <c r="JY25" s="390">
        <f t="shared" ca="1" si="759"/>
        <v>0</v>
      </c>
      <c r="JZ25" s="390">
        <f t="shared" ca="1" si="759"/>
        <v>1.43783719E-4</v>
      </c>
      <c r="KA25" s="390">
        <f t="shared" ca="1" si="759"/>
        <v>0</v>
      </c>
      <c r="KB25" s="390">
        <f t="shared" ca="1" si="759"/>
        <v>0</v>
      </c>
      <c r="KC25" s="390">
        <f t="shared" ca="1" si="759"/>
        <v>0</v>
      </c>
      <c r="KE25" s="394"/>
      <c r="KJ25" s="386" t="s">
        <v>1290</v>
      </c>
      <c r="KK25" s="387" t="s">
        <v>287</v>
      </c>
      <c r="KL25" s="390">
        <f ca="1">KL78</f>
        <v>0</v>
      </c>
      <c r="KM25" s="390">
        <f t="shared" ref="KM25:KR25" ca="1" si="760">KM78</f>
        <v>0</v>
      </c>
      <c r="KN25" s="390">
        <f t="shared" ca="1" si="760"/>
        <v>0</v>
      </c>
      <c r="KO25" s="390">
        <f t="shared" ca="1" si="760"/>
        <v>0</v>
      </c>
      <c r="KP25" s="390">
        <f t="shared" ca="1" si="760"/>
        <v>0</v>
      </c>
      <c r="KQ25" s="390">
        <f t="shared" ca="1" si="760"/>
        <v>0</v>
      </c>
      <c r="KR25" s="390">
        <f t="shared" ca="1" si="760"/>
        <v>0</v>
      </c>
      <c r="KT25" s="394"/>
      <c r="KY25" s="386" t="s">
        <v>1290</v>
      </c>
      <c r="KZ25" s="387" t="s">
        <v>287</v>
      </c>
      <c r="LA25" s="390">
        <f ca="1">LA78</f>
        <v>2765.7482100000002</v>
      </c>
      <c r="LB25" s="390">
        <f t="shared" ref="LB25:LK25" ca="1" si="761">LB78</f>
        <v>1143.1691000000001</v>
      </c>
      <c r="LC25" s="390">
        <f t="shared" ca="1" si="761"/>
        <v>68874.8</v>
      </c>
      <c r="LD25" s="390">
        <f t="shared" ca="1" si="761"/>
        <v>68874.8</v>
      </c>
      <c r="LE25" s="390">
        <f t="shared" ca="1" si="761"/>
        <v>64965.882700000002</v>
      </c>
      <c r="LF25" s="390">
        <f t="shared" ca="1" si="761"/>
        <v>11479.917600000001</v>
      </c>
      <c r="LG25" s="390">
        <f t="shared" ca="1" si="761"/>
        <v>11479.917600000001</v>
      </c>
      <c r="LH25" s="390">
        <f t="shared" ca="1" si="761"/>
        <v>0</v>
      </c>
      <c r="LI25" s="390">
        <f t="shared" ca="1" si="761"/>
        <v>11325.401</v>
      </c>
      <c r="LJ25" s="390">
        <f t="shared" ca="1" si="761"/>
        <v>0</v>
      </c>
      <c r="LK25" s="390">
        <f t="shared" ca="1" si="761"/>
        <v>0</v>
      </c>
      <c r="LM25" s="394"/>
      <c r="LN25" s="394"/>
      <c r="LO25" s="395"/>
      <c r="LP25" s="394"/>
      <c r="LU25" s="386" t="s">
        <v>1290</v>
      </c>
      <c r="LV25" s="387" t="s">
        <v>287</v>
      </c>
      <c r="LW25" s="390">
        <f ca="1">LW78</f>
        <v>0</v>
      </c>
      <c r="LX25" s="390">
        <f ca="1">LX78</f>
        <v>0</v>
      </c>
      <c r="LY25" s="390">
        <f t="shared" ref="LY25:MO25" ca="1" si="762">LY78</f>
        <v>0.53546559800000004</v>
      </c>
      <c r="LZ25" s="390">
        <f t="shared" ca="1" si="762"/>
        <v>4.6645879600000002E-2</v>
      </c>
      <c r="MA25" s="390">
        <f t="shared" ca="1" si="762"/>
        <v>0.58211147699999999</v>
      </c>
      <c r="MB25" s="390">
        <f t="shared" ca="1" si="762"/>
        <v>68874.8</v>
      </c>
      <c r="MC25" s="390">
        <f t="shared" ca="1" si="762"/>
        <v>11479.917600000001</v>
      </c>
      <c r="MD25" s="390">
        <f t="shared" ca="1" si="762"/>
        <v>0</v>
      </c>
      <c r="ME25" s="390">
        <f t="shared" ca="1" si="762"/>
        <v>0</v>
      </c>
      <c r="MF25" s="390">
        <f t="shared" ca="1" si="762"/>
        <v>0</v>
      </c>
      <c r="MG25" s="390">
        <f t="shared" ca="1" si="762"/>
        <v>0</v>
      </c>
      <c r="MH25" s="390">
        <f t="shared" ref="MH25:MI25" ca="1" si="763">MH78</f>
        <v>0</v>
      </c>
      <c r="MI25" s="390">
        <f t="shared" ca="1" si="763"/>
        <v>0</v>
      </c>
      <c r="MJ25" s="390">
        <f t="shared" ca="1" si="762"/>
        <v>0</v>
      </c>
      <c r="MK25" s="390">
        <f t="shared" ca="1" si="762"/>
        <v>0</v>
      </c>
      <c r="ML25" s="390">
        <f t="shared" ca="1" si="762"/>
        <v>0</v>
      </c>
      <c r="MM25" s="390">
        <f t="shared" ca="1" si="762"/>
        <v>0</v>
      </c>
      <c r="MN25" s="390">
        <f t="shared" ca="1" si="762"/>
        <v>0</v>
      </c>
      <c r="MO25" s="390">
        <f t="shared" ca="1" si="762"/>
        <v>0</v>
      </c>
      <c r="MQ25" s="394"/>
      <c r="MR25" s="394"/>
      <c r="MS25" s="395"/>
      <c r="MT25" s="394"/>
      <c r="MY25" s="386" t="s">
        <v>1290</v>
      </c>
      <c r="MZ25" s="387" t="s">
        <v>287</v>
      </c>
      <c r="NA25" s="390">
        <f ca="1">NA78</f>
        <v>0</v>
      </c>
      <c r="NB25" s="390">
        <f t="shared" ref="NB25:NP25" ca="1" si="764">NB78</f>
        <v>0</v>
      </c>
      <c r="NC25" s="390">
        <f t="shared" ca="1" si="764"/>
        <v>0</v>
      </c>
      <c r="ND25" s="390">
        <f t="shared" ca="1" si="764"/>
        <v>0</v>
      </c>
      <c r="NE25" s="390">
        <f t="shared" ca="1" si="764"/>
        <v>0</v>
      </c>
      <c r="NF25" s="390">
        <f t="shared" ca="1" si="764"/>
        <v>0</v>
      </c>
      <c r="NG25" s="390">
        <f t="shared" ca="1" si="764"/>
        <v>0</v>
      </c>
      <c r="NH25" s="390">
        <f t="shared" ca="1" si="764"/>
        <v>0</v>
      </c>
      <c r="NI25" s="390">
        <f t="shared" ca="1" si="764"/>
        <v>0</v>
      </c>
      <c r="NJ25" s="390">
        <f t="shared" ca="1" si="764"/>
        <v>0</v>
      </c>
      <c r="NK25" s="390">
        <f t="shared" ca="1" si="764"/>
        <v>0</v>
      </c>
      <c r="NL25" s="390">
        <f t="shared" ca="1" si="764"/>
        <v>0</v>
      </c>
      <c r="NM25" s="390">
        <f t="shared" ca="1" si="764"/>
        <v>0</v>
      </c>
      <c r="NN25" s="390">
        <f t="shared" ca="1" si="764"/>
        <v>0</v>
      </c>
      <c r="NO25" s="390">
        <f t="shared" ca="1" si="764"/>
        <v>0</v>
      </c>
      <c r="NP25" s="390">
        <f t="shared" ca="1" si="764"/>
        <v>0</v>
      </c>
      <c r="NR25" s="394"/>
      <c r="NS25" s="394"/>
      <c r="NT25" s="395"/>
      <c r="NU25" s="394"/>
      <c r="NZ25" s="394"/>
      <c r="OA25" s="394"/>
      <c r="OF25" s="386" t="s">
        <v>1290</v>
      </c>
      <c r="OG25" s="387" t="s">
        <v>287</v>
      </c>
      <c r="OH25" s="390">
        <f ca="1">OH78</f>
        <v>79.683118399999998</v>
      </c>
      <c r="OI25" s="390">
        <f t="shared" ref="OI25:OO25" ca="1" si="765">OI78</f>
        <v>0</v>
      </c>
      <c r="OJ25" s="390">
        <f t="shared" ca="1" si="765"/>
        <v>0.119694945</v>
      </c>
      <c r="OK25" s="390">
        <f t="shared" ca="1" si="765"/>
        <v>79.683118399999998</v>
      </c>
      <c r="OL25" s="390">
        <f t="shared" ca="1" si="765"/>
        <v>1495395.19</v>
      </c>
      <c r="OM25" s="390">
        <f t="shared" ca="1" si="765"/>
        <v>1495395.07</v>
      </c>
      <c r="ON25" s="390">
        <f t="shared" ca="1" si="765"/>
        <v>0</v>
      </c>
      <c r="OO25" s="390">
        <f t="shared" ca="1" si="765"/>
        <v>0</v>
      </c>
      <c r="OQ25" s="394"/>
      <c r="OR25" s="394"/>
      <c r="OS25" s="395"/>
      <c r="OT25" s="394"/>
      <c r="OU25" s="395"/>
      <c r="OV25" s="394"/>
      <c r="OW25" s="896"/>
      <c r="OY25" s="386" t="s">
        <v>1290</v>
      </c>
      <c r="OZ25" s="387" t="s">
        <v>287</v>
      </c>
      <c r="PA25" s="390">
        <f ca="1">PA78</f>
        <v>0</v>
      </c>
      <c r="PB25" s="390">
        <f t="shared" ref="PB25:PK25" ca="1" si="766">PB78</f>
        <v>0</v>
      </c>
      <c r="PC25" s="390">
        <f t="shared" ca="1" si="766"/>
        <v>0</v>
      </c>
      <c r="PD25" s="390">
        <f t="shared" ca="1" si="766"/>
        <v>0</v>
      </c>
      <c r="PE25" s="390">
        <f t="shared" ca="1" si="766"/>
        <v>0</v>
      </c>
      <c r="PF25" s="390">
        <f t="shared" ca="1" si="766"/>
        <v>0</v>
      </c>
      <c r="PG25" s="390">
        <f t="shared" ca="1" si="766"/>
        <v>0</v>
      </c>
      <c r="PH25" s="390">
        <f t="shared" ca="1" si="766"/>
        <v>0</v>
      </c>
      <c r="PI25" s="390">
        <f t="shared" ca="1" si="766"/>
        <v>0</v>
      </c>
      <c r="PJ25" s="390">
        <f t="shared" ca="1" si="766"/>
        <v>0</v>
      </c>
      <c r="PK25" s="390">
        <f t="shared" ca="1" si="766"/>
        <v>0</v>
      </c>
      <c r="PM25" s="394"/>
      <c r="PN25" s="394"/>
      <c r="PO25" s="395"/>
      <c r="PP25" s="394"/>
      <c r="PU25" s="386" t="s">
        <v>1290</v>
      </c>
      <c r="PV25" s="387" t="s">
        <v>287</v>
      </c>
      <c r="PW25" s="390">
        <f ca="1">PW78</f>
        <v>0</v>
      </c>
      <c r="PX25" s="390">
        <f t="shared" ref="PX25:PZ25" ca="1" si="767">PX78</f>
        <v>0</v>
      </c>
      <c r="PY25" s="390">
        <f t="shared" ca="1" si="767"/>
        <v>0</v>
      </c>
      <c r="PZ25" s="390">
        <f t="shared" ca="1" si="767"/>
        <v>0</v>
      </c>
      <c r="QB25" s="394"/>
      <c r="QC25" s="394"/>
      <c r="QD25" s="395"/>
      <c r="QE25" s="394"/>
    </row>
    <row r="26" spans="1:453" x14ac:dyDescent="0.25">
      <c r="A26" s="1315"/>
      <c r="H26" s="386" t="s">
        <v>1288</v>
      </c>
      <c r="I26" s="387" t="s">
        <v>287</v>
      </c>
      <c r="J26" s="390">
        <f ca="1">J79</f>
        <v>0</v>
      </c>
      <c r="K26" s="390">
        <f ca="1">K79</f>
        <v>0</v>
      </c>
      <c r="R26" s="386" t="s">
        <v>1288</v>
      </c>
      <c r="S26" s="387" t="s">
        <v>287</v>
      </c>
      <c r="T26" s="390">
        <f ca="1">T79</f>
        <v>0</v>
      </c>
      <c r="U26" s="390">
        <f t="shared" ref="U26:AD26" ca="1" si="768">U79</f>
        <v>0</v>
      </c>
      <c r="V26" s="390">
        <f t="shared" ca="1" si="768"/>
        <v>0</v>
      </c>
      <c r="W26" s="390">
        <f t="shared" ca="1" si="768"/>
        <v>0</v>
      </c>
      <c r="X26" s="390">
        <f t="shared" ca="1" si="768"/>
        <v>0</v>
      </c>
      <c r="Y26" s="390">
        <f t="shared" ca="1" si="768"/>
        <v>0</v>
      </c>
      <c r="Z26" s="390">
        <f t="shared" ca="1" si="768"/>
        <v>0</v>
      </c>
      <c r="AA26" s="390">
        <f t="shared" ca="1" si="768"/>
        <v>0</v>
      </c>
      <c r="AB26" s="390">
        <f t="shared" ca="1" si="768"/>
        <v>0</v>
      </c>
      <c r="AC26" s="390">
        <f t="shared" ca="1" si="768"/>
        <v>0</v>
      </c>
      <c r="AD26" s="390">
        <f t="shared" ca="1" si="768"/>
        <v>0</v>
      </c>
      <c r="AF26" s="394"/>
      <c r="AG26" s="395"/>
      <c r="AH26" s="394"/>
      <c r="AI26" s="394"/>
      <c r="AK26" s="386" t="s">
        <v>1288</v>
      </c>
      <c r="AL26" s="387" t="s">
        <v>287</v>
      </c>
      <c r="AM26" s="390">
        <f ca="1">AM79</f>
        <v>0</v>
      </c>
      <c r="AN26" s="390">
        <f t="shared" ref="AN26:BB26" ca="1" si="769">AN79</f>
        <v>0</v>
      </c>
      <c r="AO26" s="390">
        <f t="shared" ref="AO26:AS26" ca="1" si="770">AO79</f>
        <v>0</v>
      </c>
      <c r="AP26" s="390">
        <f t="shared" ca="1" si="770"/>
        <v>0</v>
      </c>
      <c r="AQ26" s="390">
        <f t="shared" ca="1" si="770"/>
        <v>0</v>
      </c>
      <c r="AR26" s="390">
        <f t="shared" ca="1" si="770"/>
        <v>0</v>
      </c>
      <c r="AS26" s="390">
        <f t="shared" ca="1" si="770"/>
        <v>0</v>
      </c>
      <c r="AT26" s="390">
        <f t="shared" ca="1" si="769"/>
        <v>0</v>
      </c>
      <c r="AU26" s="390">
        <f t="shared" ca="1" si="769"/>
        <v>0</v>
      </c>
      <c r="AV26" s="390">
        <f t="shared" ca="1" si="769"/>
        <v>0</v>
      </c>
      <c r="AW26" s="390">
        <f t="shared" ca="1" si="769"/>
        <v>0</v>
      </c>
      <c r="AX26" s="390">
        <f t="shared" ca="1" si="769"/>
        <v>0</v>
      </c>
      <c r="AY26" s="390">
        <f t="shared" ca="1" si="769"/>
        <v>0</v>
      </c>
      <c r="AZ26" s="390">
        <f t="shared" ca="1" si="769"/>
        <v>0</v>
      </c>
      <c r="BA26" s="390">
        <f t="shared" ca="1" si="769"/>
        <v>0</v>
      </c>
      <c r="BB26" s="390">
        <f t="shared" ca="1" si="769"/>
        <v>0</v>
      </c>
      <c r="BD26" s="394"/>
      <c r="BE26" s="394"/>
      <c r="BF26" s="395"/>
      <c r="BG26" s="394"/>
      <c r="BL26" s="386" t="s">
        <v>1288</v>
      </c>
      <c r="BM26" s="387" t="s">
        <v>287</v>
      </c>
      <c r="BN26" s="390">
        <f ca="1">BN79</f>
        <v>1.7471503400000001E-2</v>
      </c>
      <c r="BO26" s="390">
        <f t="shared" ref="BO26:BR26" ca="1" si="771">BO79</f>
        <v>1.05448748E-5</v>
      </c>
      <c r="BP26" s="390">
        <f t="shared" ca="1" si="771"/>
        <v>1.7460958499999998E-2</v>
      </c>
      <c r="BQ26" s="390">
        <f t="shared" ca="1" si="771"/>
        <v>0</v>
      </c>
      <c r="BR26" s="390">
        <f t="shared" ca="1" si="771"/>
        <v>0</v>
      </c>
      <c r="BT26" s="394"/>
      <c r="BU26" s="394"/>
      <c r="BV26" s="395"/>
      <c r="BW26" s="394"/>
      <c r="CB26" s="386" t="s">
        <v>1288</v>
      </c>
      <c r="CC26" s="387" t="s">
        <v>287</v>
      </c>
      <c r="CD26" s="390">
        <f ca="1">CD79</f>
        <v>0</v>
      </c>
      <c r="CE26" s="390">
        <f t="shared" ref="CE26:CO26" ca="1" si="772">CE79</f>
        <v>0</v>
      </c>
      <c r="CF26" s="390">
        <f t="shared" ca="1" si="772"/>
        <v>1.7471503400000001E-2</v>
      </c>
      <c r="CG26" s="390">
        <f t="shared" ca="1" si="772"/>
        <v>1.05448748E-5</v>
      </c>
      <c r="CH26" s="390">
        <f t="shared" ca="1" si="772"/>
        <v>0.174713493</v>
      </c>
      <c r="CI26" s="390">
        <f t="shared" ca="1" si="772"/>
        <v>0</v>
      </c>
      <c r="CJ26" s="390">
        <f t="shared" ca="1" si="772"/>
        <v>0</v>
      </c>
      <c r="CK26" s="390">
        <f t="shared" ca="1" si="772"/>
        <v>9.8983531399999996E-5</v>
      </c>
      <c r="CL26" s="390">
        <f t="shared" ca="1" si="772"/>
        <v>0.157155092</v>
      </c>
      <c r="CM26" s="390">
        <f t="shared" ca="1" si="772"/>
        <v>0.174713493</v>
      </c>
      <c r="CN26" s="390">
        <f t="shared" ca="1" si="772"/>
        <v>1.0418795699999999E-4</v>
      </c>
      <c r="CO26" s="390">
        <f t="shared" ca="1" si="772"/>
        <v>5.20442532E-6</v>
      </c>
      <c r="CQ26" s="394"/>
      <c r="CR26" s="394"/>
      <c r="CS26" s="395"/>
      <c r="CT26" s="394"/>
      <c r="CY26" s="386" t="s">
        <v>1288</v>
      </c>
      <c r="CZ26" s="387" t="s">
        <v>287</v>
      </c>
      <c r="DA26" s="390">
        <f ca="1">DA79</f>
        <v>9.7063907600000005E-4</v>
      </c>
      <c r="DB26" s="390">
        <f t="shared" ref="DB26:DJ26" ca="1" si="773">DB79</f>
        <v>0</v>
      </c>
      <c r="DC26" s="390">
        <f t="shared" ca="1" si="773"/>
        <v>0</v>
      </c>
      <c r="DD26" s="390">
        <f t="shared" ca="1" si="773"/>
        <v>0</v>
      </c>
      <c r="DE26" s="390">
        <f t="shared" ca="1" si="773"/>
        <v>9.5767089799999993E-3</v>
      </c>
      <c r="DF26" s="390">
        <f t="shared" ca="1" si="773"/>
        <v>1166.85886</v>
      </c>
      <c r="DG26" s="390">
        <f t="shared" ca="1" si="773"/>
        <v>24504.216799999998</v>
      </c>
      <c r="DH26" s="390">
        <f t="shared" ca="1" si="773"/>
        <v>24504.216799999998</v>
      </c>
      <c r="DI26" s="390">
        <f t="shared" ca="1" si="773"/>
        <v>23337.349300000002</v>
      </c>
      <c r="DJ26" s="390">
        <f t="shared" ca="1" si="773"/>
        <v>1166.8674699999999</v>
      </c>
      <c r="DL26" s="394"/>
      <c r="DM26" s="394"/>
      <c r="DN26" s="395"/>
      <c r="DO26" s="394"/>
      <c r="DT26" s="386" t="s">
        <v>1288</v>
      </c>
      <c r="DU26" s="387" t="s">
        <v>287</v>
      </c>
      <c r="DV26" s="390">
        <f ca="1">DV79</f>
        <v>0</v>
      </c>
      <c r="DW26" s="390">
        <f t="shared" ref="DW26:EK26" ca="1" si="774">DW79</f>
        <v>0</v>
      </c>
      <c r="DX26" s="390">
        <f t="shared" ca="1" si="774"/>
        <v>1.94127815E-2</v>
      </c>
      <c r="DY26" s="390">
        <f t="shared" ca="1" si="774"/>
        <v>9.7063907600000005E-4</v>
      </c>
      <c r="DZ26" s="390">
        <f t="shared" ca="1" si="774"/>
        <v>0</v>
      </c>
      <c r="EA26" s="390">
        <f t="shared" ca="1" si="774"/>
        <v>9.5767089799999993E-3</v>
      </c>
      <c r="EB26" s="390">
        <f t="shared" ca="1" si="774"/>
        <v>1.84421424E-2</v>
      </c>
      <c r="EC26" s="390">
        <f t="shared" ca="1" si="774"/>
        <v>0</v>
      </c>
      <c r="ED26" s="390">
        <f t="shared" ca="1" si="774"/>
        <v>0.174713493</v>
      </c>
      <c r="EE26" s="390">
        <f t="shared" ca="1" si="774"/>
        <v>23337.183199999999</v>
      </c>
      <c r="EF26" s="390">
        <f t="shared" ca="1" si="774"/>
        <v>0</v>
      </c>
      <c r="EG26" s="390">
        <f t="shared" ca="1" si="774"/>
        <v>0</v>
      </c>
      <c r="EH26" s="390">
        <f t="shared" ca="1" si="774"/>
        <v>0</v>
      </c>
      <c r="EI26" s="390">
        <f t="shared" ca="1" si="774"/>
        <v>0</v>
      </c>
      <c r="EJ26" s="390">
        <f t="shared" ref="EJ26" ca="1" si="775">EJ79</f>
        <v>0</v>
      </c>
      <c r="EK26" s="390">
        <f t="shared" ca="1" si="774"/>
        <v>23337.349300000002</v>
      </c>
      <c r="EM26" s="394"/>
      <c r="EN26" s="394"/>
      <c r="EO26" s="395"/>
      <c r="EP26" s="394"/>
      <c r="EQ26" s="896"/>
      <c r="ER26" s="896"/>
      <c r="ES26" s="896"/>
      <c r="EU26" s="386" t="s">
        <v>1288</v>
      </c>
      <c r="EV26" s="387" t="s">
        <v>287</v>
      </c>
      <c r="EW26" s="390">
        <f ca="1">EW79</f>
        <v>1.0418795699999999E-4</v>
      </c>
      <c r="EX26" s="390">
        <f t="shared" ref="EX26:FB26" ca="1" si="776">EX79</f>
        <v>1.0418795699999999E-4</v>
      </c>
      <c r="EY26" s="390">
        <f t="shared" ca="1" si="776"/>
        <v>0</v>
      </c>
      <c r="EZ26" s="390">
        <f t="shared" ca="1" si="776"/>
        <v>0</v>
      </c>
      <c r="FA26" s="390">
        <f t="shared" ca="1" si="776"/>
        <v>1.04164573E-4</v>
      </c>
      <c r="FB26" s="390">
        <f t="shared" ca="1" si="776"/>
        <v>2.4005705799999999E-8</v>
      </c>
      <c r="FD26" s="394"/>
      <c r="FE26" s="394"/>
      <c r="FF26" s="395"/>
      <c r="FG26" s="394"/>
      <c r="FH26" s="896"/>
      <c r="FI26" s="896"/>
      <c r="FJ26" s="896"/>
      <c r="FL26" s="386" t="s">
        <v>1288</v>
      </c>
      <c r="FM26" s="387" t="s">
        <v>287</v>
      </c>
      <c r="FN26" s="390">
        <f ca="1">FN79</f>
        <v>1.7460958499999998E-2</v>
      </c>
      <c r="FO26" s="390">
        <f t="shared" ref="FO26:FX26" ca="1" si="777">FO79</f>
        <v>0.157155092</v>
      </c>
      <c r="FP26" s="390">
        <f t="shared" ca="1" si="777"/>
        <v>1.04164573E-4</v>
      </c>
      <c r="FQ26" s="390">
        <f t="shared" ca="1" si="777"/>
        <v>2.4005705799999999E-8</v>
      </c>
      <c r="FR26" s="390">
        <f t="shared" ca="1" si="777"/>
        <v>2.40057055E-8</v>
      </c>
      <c r="FS26" s="390">
        <f t="shared" ca="1" si="777"/>
        <v>0</v>
      </c>
      <c r="FT26" s="390">
        <f t="shared" ca="1" si="777"/>
        <v>0</v>
      </c>
      <c r="FU26" s="390">
        <f t="shared" ca="1" si="777"/>
        <v>0.17472021500000001</v>
      </c>
      <c r="FV26" s="390">
        <f t="shared" ca="1" si="777"/>
        <v>0</v>
      </c>
      <c r="FW26" s="390">
        <f t="shared" ca="1" si="777"/>
        <v>0.17471501</v>
      </c>
      <c r="FX26" s="390">
        <f t="shared" ca="1" si="777"/>
        <v>5.20442532E-6</v>
      </c>
      <c r="FZ26" s="394"/>
      <c r="GA26" s="394"/>
      <c r="GB26" s="395"/>
      <c r="GC26" s="394"/>
      <c r="GH26" s="386" t="s">
        <v>1288</v>
      </c>
      <c r="GI26" s="387" t="s">
        <v>287</v>
      </c>
      <c r="GJ26" s="390">
        <f ca="1">GJ79</f>
        <v>2.40057055E-8</v>
      </c>
      <c r="GK26" s="390">
        <f t="shared" ref="GK26:GQ26" ca="1" si="778">GK79</f>
        <v>2.40057055E-8</v>
      </c>
      <c r="GL26" s="390">
        <f t="shared" ca="1" si="778"/>
        <v>0</v>
      </c>
      <c r="GM26" s="390">
        <f t="shared" ca="1" si="778"/>
        <v>2.40057055E-8</v>
      </c>
      <c r="GN26" s="390">
        <f t="shared" ca="1" si="778"/>
        <v>2.40057055E-8</v>
      </c>
      <c r="GO26" s="390">
        <f t="shared" ca="1" si="778"/>
        <v>0</v>
      </c>
      <c r="GP26" s="390">
        <f t="shared" ca="1" si="778"/>
        <v>2.40057055E-8</v>
      </c>
      <c r="GQ26" s="390">
        <f t="shared" ca="1" si="778"/>
        <v>0</v>
      </c>
      <c r="GS26" s="394"/>
      <c r="GT26" s="394"/>
      <c r="GU26" s="395"/>
      <c r="GV26" s="394"/>
      <c r="HA26" s="386" t="s">
        <v>1288</v>
      </c>
      <c r="HB26" s="387" t="s">
        <v>287</v>
      </c>
      <c r="HC26" s="390">
        <f ca="1">HC79</f>
        <v>0</v>
      </c>
      <c r="HD26" s="390">
        <f t="shared" ref="HD26:HH26" ca="1" si="779">HD79</f>
        <v>0</v>
      </c>
      <c r="HE26" s="390">
        <f t="shared" ca="1" si="779"/>
        <v>9110.4091599999992</v>
      </c>
      <c r="HF26" s="390">
        <f t="shared" ca="1" si="779"/>
        <v>9109.4546599999994</v>
      </c>
      <c r="HG26" s="390">
        <f t="shared" ca="1" si="779"/>
        <v>0.95449282599999996</v>
      </c>
      <c r="HH26" s="390">
        <f t="shared" ca="1" si="779"/>
        <v>0</v>
      </c>
      <c r="HJ26" s="394"/>
      <c r="HK26" s="394"/>
      <c r="HL26" s="395"/>
      <c r="HM26" s="394"/>
      <c r="HN26" s="395"/>
      <c r="HO26" s="394"/>
      <c r="HP26" s="896"/>
      <c r="HR26" s="386" t="s">
        <v>1288</v>
      </c>
      <c r="HS26" s="387" t="s">
        <v>287</v>
      </c>
      <c r="HT26" s="390">
        <f ca="1">HT79</f>
        <v>0</v>
      </c>
      <c r="HU26" s="390">
        <f t="shared" ref="HU26:IE26" ca="1" si="780">HU79</f>
        <v>0</v>
      </c>
      <c r="HV26" s="390">
        <f t="shared" ca="1" si="780"/>
        <v>0.20687404600000001</v>
      </c>
      <c r="HW26" s="390">
        <f t="shared" ca="1" si="780"/>
        <v>0.20687404600000001</v>
      </c>
      <c r="HX26" s="390">
        <f t="shared" ca="1" si="780"/>
        <v>5.4932217100000007E-5</v>
      </c>
      <c r="HY26" s="390">
        <f t="shared" ca="1" si="780"/>
        <v>4.1772780700000001E-6</v>
      </c>
      <c r="HZ26" s="390">
        <f t="shared" ca="1" si="780"/>
        <v>5.4242980200000002</v>
      </c>
      <c r="IA26" s="390">
        <f t="shared" ca="1" si="780"/>
        <v>5.2271405800000004</v>
      </c>
      <c r="IB26" s="390">
        <f t="shared" ca="1" si="780"/>
        <v>0</v>
      </c>
      <c r="IC26" s="390">
        <f t="shared" ca="1" si="780"/>
        <v>0</v>
      </c>
      <c r="ID26" s="390">
        <f t="shared" ca="1" si="780"/>
        <v>0</v>
      </c>
      <c r="IE26" s="390">
        <f t="shared" ca="1" si="780"/>
        <v>0.20687404600000001</v>
      </c>
      <c r="IG26" s="394"/>
      <c r="IH26" s="394"/>
      <c r="II26" s="395"/>
      <c r="IJ26" s="394"/>
      <c r="IO26" s="386" t="s">
        <v>1288</v>
      </c>
      <c r="IP26" s="387" t="s">
        <v>287</v>
      </c>
      <c r="IQ26" s="390">
        <f ca="1">IQ79</f>
        <v>5.4932217100000007E-5</v>
      </c>
      <c r="IR26" s="390">
        <f t="shared" ref="IR26:JH26" ca="1" si="781">IR79</f>
        <v>4.1772780700000001E-6</v>
      </c>
      <c r="IS26" s="390">
        <f t="shared" ca="1" si="781"/>
        <v>1.26107824</v>
      </c>
      <c r="IT26" s="390">
        <f t="shared" ca="1" si="781"/>
        <v>1.26108241</v>
      </c>
      <c r="IU26" s="390">
        <f t="shared" ref="IU26" ca="1" si="782">IU79</f>
        <v>1.17696383</v>
      </c>
      <c r="IV26" s="390">
        <f t="shared" ca="1" si="781"/>
        <v>36.966232900000001</v>
      </c>
      <c r="IW26" s="390">
        <f t="shared" ca="1" si="781"/>
        <v>30.265877699999997</v>
      </c>
      <c r="IX26" s="390">
        <f t="shared" ref="IX26" ca="1" si="783">IX79</f>
        <v>167842.087</v>
      </c>
      <c r="IY26" s="390">
        <f t="shared" ca="1" si="781"/>
        <v>8.4118578499999999E-2</v>
      </c>
      <c r="IZ26" s="390">
        <f t="shared" ca="1" si="781"/>
        <v>5.4394494299999998</v>
      </c>
      <c r="JA26" s="390">
        <f t="shared" ca="1" si="781"/>
        <v>31.526955900000001</v>
      </c>
      <c r="JB26" s="390">
        <f t="shared" ca="1" si="781"/>
        <v>0</v>
      </c>
      <c r="JC26" s="390">
        <f t="shared" ca="1" si="781"/>
        <v>0.21230884999999999</v>
      </c>
      <c r="JD26" s="390">
        <f t="shared" ca="1" si="781"/>
        <v>0</v>
      </c>
      <c r="JE26" s="390">
        <f t="shared" ca="1" si="781"/>
        <v>5.4394494299999998</v>
      </c>
      <c r="JF26" s="390">
        <f t="shared" ca="1" si="781"/>
        <v>167847.611</v>
      </c>
      <c r="JG26" s="390">
        <f t="shared" ca="1" si="781"/>
        <v>0</v>
      </c>
      <c r="JH26" s="390">
        <f t="shared" ca="1" si="781"/>
        <v>5.2271405800000004</v>
      </c>
      <c r="JJ26" s="394"/>
      <c r="JK26" s="394"/>
      <c r="JL26" s="395"/>
      <c r="JM26" s="394"/>
      <c r="JR26" s="386" t="s">
        <v>1288</v>
      </c>
      <c r="JS26" s="387" t="s">
        <v>287</v>
      </c>
      <c r="JT26" s="390">
        <f ca="1">JT79</f>
        <v>0</v>
      </c>
      <c r="JU26" s="390">
        <f t="shared" ref="JU26:KC26" ca="1" si="784">JU79</f>
        <v>0</v>
      </c>
      <c r="JV26" s="390">
        <f t="shared" ca="1" si="784"/>
        <v>0</v>
      </c>
      <c r="JW26" s="390">
        <f t="shared" ca="1" si="784"/>
        <v>0</v>
      </c>
      <c r="JX26" s="390">
        <f t="shared" ca="1" si="784"/>
        <v>2.40057055E-8</v>
      </c>
      <c r="JY26" s="390">
        <f t="shared" ca="1" si="784"/>
        <v>0</v>
      </c>
      <c r="JZ26" s="390">
        <f t="shared" ca="1" si="784"/>
        <v>2.40057055E-8</v>
      </c>
      <c r="KA26" s="390">
        <f t="shared" ca="1" si="784"/>
        <v>0</v>
      </c>
      <c r="KB26" s="390">
        <f t="shared" ca="1" si="784"/>
        <v>0</v>
      </c>
      <c r="KC26" s="390">
        <f t="shared" ca="1" si="784"/>
        <v>0</v>
      </c>
      <c r="KE26" s="394"/>
      <c r="KJ26" s="386" t="s">
        <v>1288</v>
      </c>
      <c r="KK26" s="387" t="s">
        <v>287</v>
      </c>
      <c r="KL26" s="390">
        <f ca="1">KL79</f>
        <v>0</v>
      </c>
      <c r="KM26" s="390">
        <f t="shared" ref="KM26:KR26" ca="1" si="785">KM79</f>
        <v>0</v>
      </c>
      <c r="KN26" s="390">
        <f t="shared" ca="1" si="785"/>
        <v>0</v>
      </c>
      <c r="KO26" s="390">
        <f t="shared" ca="1" si="785"/>
        <v>0</v>
      </c>
      <c r="KP26" s="390">
        <f t="shared" ca="1" si="785"/>
        <v>0</v>
      </c>
      <c r="KQ26" s="390">
        <f t="shared" ca="1" si="785"/>
        <v>0</v>
      </c>
      <c r="KR26" s="390">
        <f t="shared" ca="1" si="785"/>
        <v>0</v>
      </c>
      <c r="KT26" s="394"/>
      <c r="KY26" s="386" t="s">
        <v>1288</v>
      </c>
      <c r="KZ26" s="387" t="s">
        <v>287</v>
      </c>
      <c r="LA26" s="390">
        <f ca="1">LA79</f>
        <v>9109.4546599999994</v>
      </c>
      <c r="LB26" s="390">
        <f t="shared" ref="LB26:LK26" ca="1" si="786">LB79</f>
        <v>5.4242980200000002</v>
      </c>
      <c r="LC26" s="390">
        <f t="shared" ca="1" si="786"/>
        <v>223071.88399999999</v>
      </c>
      <c r="LD26" s="390">
        <f t="shared" ca="1" si="786"/>
        <v>223071.88399999999</v>
      </c>
      <c r="LE26" s="390">
        <f t="shared" ca="1" si="786"/>
        <v>213957.00599999999</v>
      </c>
      <c r="LF26" s="390">
        <f t="shared" ca="1" si="786"/>
        <v>223991.829</v>
      </c>
      <c r="LG26" s="390">
        <f t="shared" ca="1" si="786"/>
        <v>223991.829</v>
      </c>
      <c r="LH26" s="390">
        <f t="shared" ca="1" si="786"/>
        <v>0</v>
      </c>
      <c r="LI26" s="390">
        <f t="shared" ca="1" si="786"/>
        <v>223991.829</v>
      </c>
      <c r="LJ26" s="390">
        <f t="shared" ca="1" si="786"/>
        <v>0</v>
      </c>
      <c r="LK26" s="390">
        <f t="shared" ca="1" si="786"/>
        <v>0</v>
      </c>
      <c r="LM26" s="394"/>
      <c r="LN26" s="394"/>
      <c r="LO26" s="395"/>
      <c r="LP26" s="394"/>
      <c r="LU26" s="386" t="s">
        <v>1288</v>
      </c>
      <c r="LV26" s="387" t="s">
        <v>287</v>
      </c>
      <c r="LW26" s="390">
        <f ca="1">LW79</f>
        <v>0</v>
      </c>
      <c r="LX26" s="390">
        <f ca="1">LX79</f>
        <v>0</v>
      </c>
      <c r="LY26" s="390">
        <f t="shared" ref="LY26:MO26" ca="1" si="787">LY79</f>
        <v>0.95449282599999996</v>
      </c>
      <c r="LZ26" s="390">
        <f t="shared" ca="1" si="787"/>
        <v>8.4118578499999999E-2</v>
      </c>
      <c r="MA26" s="390">
        <f t="shared" ca="1" si="787"/>
        <v>1.0386114</v>
      </c>
      <c r="MB26" s="390">
        <f t="shared" ca="1" si="787"/>
        <v>223071.88399999999</v>
      </c>
      <c r="MC26" s="390">
        <f t="shared" ca="1" si="787"/>
        <v>223991.829</v>
      </c>
      <c r="MD26" s="390">
        <f t="shared" ca="1" si="787"/>
        <v>0</v>
      </c>
      <c r="ME26" s="390">
        <f t="shared" ca="1" si="787"/>
        <v>0</v>
      </c>
      <c r="MF26" s="390">
        <f t="shared" ca="1" si="787"/>
        <v>0</v>
      </c>
      <c r="MG26" s="390">
        <f t="shared" ca="1" si="787"/>
        <v>0</v>
      </c>
      <c r="MH26" s="390">
        <f t="shared" ref="MH26:MI26" ca="1" si="788">MH79</f>
        <v>0</v>
      </c>
      <c r="MI26" s="390">
        <f t="shared" ca="1" si="788"/>
        <v>0</v>
      </c>
      <c r="MJ26" s="390">
        <f t="shared" ca="1" si="787"/>
        <v>0</v>
      </c>
      <c r="MK26" s="390">
        <f t="shared" ca="1" si="787"/>
        <v>0</v>
      </c>
      <c r="ML26" s="390">
        <f t="shared" ca="1" si="787"/>
        <v>0</v>
      </c>
      <c r="MM26" s="390">
        <f t="shared" ca="1" si="787"/>
        <v>0</v>
      </c>
      <c r="MN26" s="390">
        <f t="shared" ca="1" si="787"/>
        <v>0</v>
      </c>
      <c r="MO26" s="390">
        <f t="shared" ca="1" si="787"/>
        <v>0</v>
      </c>
      <c r="MQ26" s="394"/>
      <c r="MR26" s="394"/>
      <c r="MS26" s="395"/>
      <c r="MT26" s="394"/>
      <c r="MY26" s="386" t="s">
        <v>1288</v>
      </c>
      <c r="MZ26" s="387" t="s">
        <v>287</v>
      </c>
      <c r="NA26" s="390">
        <f ca="1">NA79</f>
        <v>0</v>
      </c>
      <c r="NB26" s="390">
        <f t="shared" ref="NB26:NP26" ca="1" si="789">NB79</f>
        <v>0</v>
      </c>
      <c r="NC26" s="390">
        <f t="shared" ca="1" si="789"/>
        <v>0</v>
      </c>
      <c r="ND26" s="390">
        <f t="shared" ca="1" si="789"/>
        <v>0</v>
      </c>
      <c r="NE26" s="390">
        <f t="shared" ca="1" si="789"/>
        <v>0</v>
      </c>
      <c r="NF26" s="390">
        <f t="shared" ca="1" si="789"/>
        <v>0</v>
      </c>
      <c r="NG26" s="390">
        <f t="shared" ca="1" si="789"/>
        <v>0</v>
      </c>
      <c r="NH26" s="390">
        <f t="shared" ca="1" si="789"/>
        <v>0</v>
      </c>
      <c r="NI26" s="390">
        <f t="shared" ca="1" si="789"/>
        <v>0</v>
      </c>
      <c r="NJ26" s="390">
        <f t="shared" ca="1" si="789"/>
        <v>0</v>
      </c>
      <c r="NK26" s="390">
        <f t="shared" ca="1" si="789"/>
        <v>0</v>
      </c>
      <c r="NL26" s="390">
        <f t="shared" ca="1" si="789"/>
        <v>0</v>
      </c>
      <c r="NM26" s="390">
        <f t="shared" ca="1" si="789"/>
        <v>0</v>
      </c>
      <c r="NN26" s="390">
        <f t="shared" ca="1" si="789"/>
        <v>0</v>
      </c>
      <c r="NO26" s="390">
        <f t="shared" ca="1" si="789"/>
        <v>0</v>
      </c>
      <c r="NP26" s="390">
        <f t="shared" ca="1" si="789"/>
        <v>0</v>
      </c>
      <c r="NR26" s="394"/>
      <c r="NS26" s="394"/>
      <c r="NT26" s="395"/>
      <c r="NU26" s="394"/>
      <c r="NZ26" s="394"/>
      <c r="OA26" s="394"/>
      <c r="OF26" s="386" t="s">
        <v>1288</v>
      </c>
      <c r="OG26" s="387" t="s">
        <v>287</v>
      </c>
      <c r="OH26" s="390">
        <f ca="1">OH79</f>
        <v>137.709157</v>
      </c>
      <c r="OI26" s="390">
        <f t="shared" ref="OI26:OO26" ca="1" si="790">OI79</f>
        <v>0</v>
      </c>
      <c r="OJ26" s="390">
        <f t="shared" ca="1" si="790"/>
        <v>0.20685799199999999</v>
      </c>
      <c r="OK26" s="390">
        <f t="shared" ca="1" si="790"/>
        <v>137.709157</v>
      </c>
      <c r="OL26" s="390">
        <f t="shared" ca="1" si="790"/>
        <v>4924896.93</v>
      </c>
      <c r="OM26" s="390">
        <f t="shared" ca="1" si="790"/>
        <v>4924896.72</v>
      </c>
      <c r="ON26" s="390">
        <f t="shared" ca="1" si="790"/>
        <v>0</v>
      </c>
      <c r="OO26" s="390">
        <f t="shared" ca="1" si="790"/>
        <v>0</v>
      </c>
      <c r="OQ26" s="394"/>
      <c r="OR26" s="394"/>
      <c r="OS26" s="395"/>
      <c r="OT26" s="394"/>
      <c r="OU26" s="395"/>
      <c r="OV26" s="394"/>
      <c r="OW26" s="896"/>
      <c r="OY26" s="386" t="s">
        <v>1288</v>
      </c>
      <c r="OZ26" s="387" t="s">
        <v>287</v>
      </c>
      <c r="PA26" s="390">
        <f ca="1">PA79</f>
        <v>0</v>
      </c>
      <c r="PB26" s="390">
        <f t="shared" ref="PB26:PK26" ca="1" si="791">PB79</f>
        <v>0</v>
      </c>
      <c r="PC26" s="390">
        <f t="shared" ca="1" si="791"/>
        <v>0</v>
      </c>
      <c r="PD26" s="390">
        <f t="shared" ca="1" si="791"/>
        <v>0</v>
      </c>
      <c r="PE26" s="390">
        <f t="shared" ca="1" si="791"/>
        <v>0</v>
      </c>
      <c r="PF26" s="390">
        <f t="shared" ca="1" si="791"/>
        <v>0</v>
      </c>
      <c r="PG26" s="390">
        <f t="shared" ca="1" si="791"/>
        <v>0</v>
      </c>
      <c r="PH26" s="390">
        <f t="shared" ca="1" si="791"/>
        <v>0</v>
      </c>
      <c r="PI26" s="390">
        <f t="shared" ca="1" si="791"/>
        <v>0</v>
      </c>
      <c r="PJ26" s="390">
        <f t="shared" ca="1" si="791"/>
        <v>0</v>
      </c>
      <c r="PK26" s="390">
        <f t="shared" ca="1" si="791"/>
        <v>0</v>
      </c>
      <c r="PM26" s="394"/>
      <c r="PN26" s="394"/>
      <c r="PO26" s="395"/>
      <c r="PP26" s="394"/>
      <c r="PU26" s="386" t="s">
        <v>1288</v>
      </c>
      <c r="PV26" s="387" t="s">
        <v>287</v>
      </c>
      <c r="PW26" s="390">
        <f ca="1">PW79</f>
        <v>0</v>
      </c>
      <c r="PX26" s="390">
        <f t="shared" ref="PX26:PZ26" ca="1" si="792">PX79</f>
        <v>0</v>
      </c>
      <c r="PY26" s="390">
        <f t="shared" ca="1" si="792"/>
        <v>0</v>
      </c>
      <c r="PZ26" s="390">
        <f t="shared" ca="1" si="792"/>
        <v>0</v>
      </c>
      <c r="QB26" s="394"/>
      <c r="QC26" s="394"/>
      <c r="QD26" s="395"/>
      <c r="QE26" s="394"/>
    </row>
    <row r="27" spans="1:453" x14ac:dyDescent="0.25">
      <c r="A27" s="1315"/>
      <c r="H27" s="386" t="s">
        <v>3211</v>
      </c>
      <c r="I27" s="387" t="s">
        <v>287</v>
      </c>
      <c r="J27" s="390">
        <f ca="1">J82+J80+J81+J85+J86</f>
        <v>0</v>
      </c>
      <c r="K27" s="390">
        <f ca="1">K82+K80+K81+K85+K86</f>
        <v>0</v>
      </c>
      <c r="R27" s="386" t="s">
        <v>3211</v>
      </c>
      <c r="S27" s="387" t="s">
        <v>287</v>
      </c>
      <c r="T27" s="390">
        <f ca="1">T82+T80+T81+T85+T86</f>
        <v>0</v>
      </c>
      <c r="U27" s="390">
        <f t="shared" ref="U27:AD27" ca="1" si="793">U82+U80+U81+U85+U86</f>
        <v>0</v>
      </c>
      <c r="V27" s="390">
        <f t="shared" ca="1" si="793"/>
        <v>5.5672503000000003E-17</v>
      </c>
      <c r="W27" s="390">
        <f t="shared" ca="1" si="793"/>
        <v>0</v>
      </c>
      <c r="X27" s="390">
        <f t="shared" ca="1" si="793"/>
        <v>0</v>
      </c>
      <c r="Y27" s="390">
        <f t="shared" ca="1" si="793"/>
        <v>0</v>
      </c>
      <c r="Z27" s="390">
        <f t="shared" ca="1" si="793"/>
        <v>0</v>
      </c>
      <c r="AA27" s="390">
        <f t="shared" ca="1" si="793"/>
        <v>0</v>
      </c>
      <c r="AB27" s="390">
        <f t="shared" ca="1" si="793"/>
        <v>0</v>
      </c>
      <c r="AC27" s="390">
        <f t="shared" ca="1" si="793"/>
        <v>5.5672503000000003E-17</v>
      </c>
      <c r="AD27" s="390">
        <f t="shared" ca="1" si="793"/>
        <v>0</v>
      </c>
      <c r="AF27" s="394"/>
      <c r="AG27" s="395"/>
      <c r="AH27" s="394"/>
      <c r="AI27" s="394"/>
      <c r="AK27" s="386" t="s">
        <v>3211</v>
      </c>
      <c r="AL27" s="387" t="s">
        <v>287</v>
      </c>
      <c r="AM27" s="390">
        <f ca="1">AM82+AM80+AM81+AM85+AM86</f>
        <v>0</v>
      </c>
      <c r="AN27" s="390">
        <f t="shared" ref="AN27:BB27" ca="1" si="794">AN82+AN80+AN81+AN85+AN86</f>
        <v>0</v>
      </c>
      <c r="AO27" s="390">
        <f t="shared" ref="AO27:AS27" ca="1" si="795">AO82+AO80+AO81+AO85+AO86</f>
        <v>0</v>
      </c>
      <c r="AP27" s="390">
        <f t="shared" ca="1" si="795"/>
        <v>0</v>
      </c>
      <c r="AQ27" s="390">
        <f t="shared" ca="1" si="795"/>
        <v>0</v>
      </c>
      <c r="AR27" s="390">
        <f t="shared" ca="1" si="795"/>
        <v>0</v>
      </c>
      <c r="AS27" s="390">
        <f t="shared" ca="1" si="795"/>
        <v>0</v>
      </c>
      <c r="AT27" s="390">
        <f t="shared" ca="1" si="794"/>
        <v>0</v>
      </c>
      <c r="AU27" s="390">
        <f t="shared" ca="1" si="794"/>
        <v>0</v>
      </c>
      <c r="AV27" s="390">
        <f t="shared" ca="1" si="794"/>
        <v>0</v>
      </c>
      <c r="AW27" s="390">
        <f t="shared" ca="1" si="794"/>
        <v>0</v>
      </c>
      <c r="AX27" s="390">
        <f t="shared" ca="1" si="794"/>
        <v>0</v>
      </c>
      <c r="AY27" s="390">
        <f t="shared" ca="1" si="794"/>
        <v>0</v>
      </c>
      <c r="AZ27" s="390">
        <f t="shared" ca="1" si="794"/>
        <v>0</v>
      </c>
      <c r="BA27" s="390">
        <f t="shared" ca="1" si="794"/>
        <v>0</v>
      </c>
      <c r="BB27" s="390">
        <f t="shared" ca="1" si="794"/>
        <v>0</v>
      </c>
      <c r="BD27" s="394"/>
      <c r="BE27" s="394"/>
      <c r="BF27" s="395"/>
      <c r="BG27" s="394"/>
      <c r="BL27" s="386" t="s">
        <v>3211</v>
      </c>
      <c r="BM27" s="387" t="s">
        <v>287</v>
      </c>
      <c r="BN27" s="390">
        <f ca="1">BN82+BN80+BN81+BN85+BN86</f>
        <v>2.1650924700000003E-4</v>
      </c>
      <c r="BO27" s="390">
        <f t="shared" ref="BO27:BR27" ca="1" si="796">BO82+BO80+BO81+BO85+BO86</f>
        <v>1.9610105E-4</v>
      </c>
      <c r="BP27" s="390">
        <f t="shared" ca="1" si="796"/>
        <v>2.0408197099999999E-5</v>
      </c>
      <c r="BQ27" s="390">
        <f t="shared" ca="1" si="796"/>
        <v>0</v>
      </c>
      <c r="BR27" s="390">
        <f t="shared" ca="1" si="796"/>
        <v>0</v>
      </c>
      <c r="BT27" s="394"/>
      <c r="BU27" s="394"/>
      <c r="BV27" s="395"/>
      <c r="BW27" s="394"/>
      <c r="CB27" s="386" t="s">
        <v>3211</v>
      </c>
      <c r="CC27" s="387" t="s">
        <v>287</v>
      </c>
      <c r="CD27" s="390">
        <f ca="1">CD82+CD80+CD81+CD85+CD86</f>
        <v>0</v>
      </c>
      <c r="CE27" s="390">
        <f t="shared" ref="CE27:CO27" ca="1" si="797">CE82+CE80+CE81+CE85+CE86</f>
        <v>0</v>
      </c>
      <c r="CF27" s="390">
        <f t="shared" ca="1" si="797"/>
        <v>2.1650924700000003E-4</v>
      </c>
      <c r="CG27" s="390">
        <f t="shared" ca="1" si="797"/>
        <v>1.9610105E-4</v>
      </c>
      <c r="CH27" s="390">
        <f t="shared" ca="1" si="797"/>
        <v>2.1650779600000001E-3</v>
      </c>
      <c r="CI27" s="390">
        <f t="shared" ca="1" si="797"/>
        <v>0</v>
      </c>
      <c r="CJ27" s="390">
        <f t="shared" ca="1" si="797"/>
        <v>0</v>
      </c>
      <c r="CK27" s="390">
        <f t="shared" ca="1" si="797"/>
        <v>1.94816612E-3</v>
      </c>
      <c r="CL27" s="390">
        <f t="shared" ca="1" si="797"/>
        <v>1.9651815800000001E-4</v>
      </c>
      <c r="CM27" s="390">
        <f t="shared" ca="1" si="797"/>
        <v>2.1650779600000001E-3</v>
      </c>
      <c r="CN27" s="390">
        <f t="shared" ca="1" si="797"/>
        <v>2.07910249E-3</v>
      </c>
      <c r="CO27" s="390">
        <f t="shared" ca="1" si="797"/>
        <v>1.3093636999999999E-4</v>
      </c>
      <c r="CQ27" s="394"/>
      <c r="CR27" s="394"/>
      <c r="CS27" s="395"/>
      <c r="CT27" s="394"/>
      <c r="CY27" s="386" t="s">
        <v>3211</v>
      </c>
      <c r="CZ27" s="387" t="s">
        <v>287</v>
      </c>
      <c r="DA27" s="390">
        <f ca="1">DA82+DA80+DA81+DA85+DA86</f>
        <v>1.20282915E-5</v>
      </c>
      <c r="DB27" s="390">
        <f t="shared" ref="DB27:DJ27" ca="1" si="798">DB82+DB80+DB81+DB85+DB86</f>
        <v>0</v>
      </c>
      <c r="DC27" s="390">
        <f t="shared" ca="1" si="798"/>
        <v>0.489061574</v>
      </c>
      <c r="DD27" s="390">
        <f t="shared" ca="1" si="798"/>
        <v>0</v>
      </c>
      <c r="DE27" s="390">
        <f t="shared" ca="1" si="798"/>
        <v>7.1190064899999994E-5</v>
      </c>
      <c r="DF27" s="390">
        <f t="shared" ca="1" si="798"/>
        <v>4.2941122699999995E-4</v>
      </c>
      <c r="DG27" s="390">
        <f t="shared" ca="1" si="798"/>
        <v>0</v>
      </c>
      <c r="DH27" s="390">
        <f t="shared" ca="1" si="798"/>
        <v>0</v>
      </c>
      <c r="DI27" s="390">
        <f t="shared" ca="1" si="798"/>
        <v>0</v>
      </c>
      <c r="DJ27" s="390">
        <f t="shared" ca="1" si="798"/>
        <v>0</v>
      </c>
      <c r="DL27" s="394"/>
      <c r="DM27" s="394"/>
      <c r="DN27" s="395"/>
      <c r="DO27" s="394"/>
      <c r="DT27" s="386" t="s">
        <v>3211</v>
      </c>
      <c r="DU27" s="387" t="s">
        <v>287</v>
      </c>
      <c r="DV27" s="390">
        <f ca="1">DV82+DV80+DV81+DV85+DV86</f>
        <v>0</v>
      </c>
      <c r="DW27" s="390">
        <f t="shared" ref="DW27:EK27" ca="1" si="799">DW82+DW80+DW81+DW85+DW86</f>
        <v>0</v>
      </c>
      <c r="DX27" s="390">
        <f t="shared" ca="1" si="799"/>
        <v>2.4056583000000003E-4</v>
      </c>
      <c r="DY27" s="390">
        <f t="shared" ca="1" si="799"/>
        <v>1.20282915E-5</v>
      </c>
      <c r="DZ27" s="390">
        <f t="shared" ca="1" si="799"/>
        <v>0.489061574</v>
      </c>
      <c r="EA27" s="390">
        <f t="shared" ca="1" si="799"/>
        <v>7.1190064899999994E-5</v>
      </c>
      <c r="EB27" s="390">
        <f t="shared" ca="1" si="799"/>
        <v>2.28537539E-4</v>
      </c>
      <c r="EC27" s="390">
        <f t="shared" ca="1" si="799"/>
        <v>0</v>
      </c>
      <c r="ED27" s="390">
        <f t="shared" ca="1" si="799"/>
        <v>2.1650779600000001E-3</v>
      </c>
      <c r="EE27" s="390">
        <f t="shared" ca="1" si="799"/>
        <v>1.4293184799999999E-2</v>
      </c>
      <c r="EF27" s="390">
        <f t="shared" ca="1" si="799"/>
        <v>0</v>
      </c>
      <c r="EG27" s="390">
        <f t="shared" ca="1" si="799"/>
        <v>0</v>
      </c>
      <c r="EH27" s="390">
        <f t="shared" ca="1" si="799"/>
        <v>16.4154968</v>
      </c>
      <c r="EI27" s="390">
        <f t="shared" ca="1" si="799"/>
        <v>0</v>
      </c>
      <c r="EJ27" s="390">
        <f t="shared" ref="EJ27" ca="1" si="800">EJ82+EJ80+EJ81+EJ85+EJ86</f>
        <v>0</v>
      </c>
      <c r="EK27" s="390">
        <f t="shared" ca="1" si="799"/>
        <v>0</v>
      </c>
      <c r="EM27" s="394"/>
      <c r="EN27" s="394"/>
      <c r="EO27" s="395"/>
      <c r="EP27" s="394"/>
      <c r="EU27" s="386" t="s">
        <v>3211</v>
      </c>
      <c r="EV27" s="387" t="s">
        <v>287</v>
      </c>
      <c r="EW27" s="390">
        <f ca="1">EW82+EW80+EW81+EW85+EW86</f>
        <v>2.07910249E-3</v>
      </c>
      <c r="EX27" s="390">
        <f t="shared" ref="EX27:FB27" ca="1" si="801">EX82+EX80+EX81+EX85+EX86</f>
        <v>2.07910249E-3</v>
      </c>
      <c r="EY27" s="390">
        <f t="shared" ca="1" si="801"/>
        <v>7.6122468200000004E-10</v>
      </c>
      <c r="EZ27" s="390">
        <f t="shared" ca="1" si="801"/>
        <v>7.6122468200000004E-10</v>
      </c>
      <c r="FA27" s="390">
        <f t="shared" ca="1" si="801"/>
        <v>5.1956270000000001E-5</v>
      </c>
      <c r="FB27" s="390">
        <f t="shared" ca="1" si="801"/>
        <v>2.0271458E-3</v>
      </c>
      <c r="FD27" s="394"/>
      <c r="FE27" s="394"/>
      <c r="FF27" s="395"/>
      <c r="FG27" s="394"/>
      <c r="FH27" s="896"/>
      <c r="FI27" s="896"/>
      <c r="FJ27" s="896"/>
      <c r="FL27" s="386" t="s">
        <v>3211</v>
      </c>
      <c r="FM27" s="387" t="s">
        <v>287</v>
      </c>
      <c r="FN27" s="390">
        <f ca="1">FN82+FN80+FN81+FN85+FN86</f>
        <v>2.0408197099999999E-5</v>
      </c>
      <c r="FO27" s="390">
        <f t="shared" ref="FO27:FX27" ca="1" si="802">FO82+FO80+FO81+FO85+FO86</f>
        <v>1.9651815800000001E-4</v>
      </c>
      <c r="FP27" s="390">
        <f t="shared" ca="1" si="802"/>
        <v>5.1956270000000001E-5</v>
      </c>
      <c r="FQ27" s="390">
        <f t="shared" ca="1" si="802"/>
        <v>2.0271458E-3</v>
      </c>
      <c r="FR27" s="390">
        <f t="shared" ca="1" si="802"/>
        <v>2.0271457700000001E-3</v>
      </c>
      <c r="FS27" s="390">
        <f t="shared" ca="1" si="802"/>
        <v>5.5672503000000003E-17</v>
      </c>
      <c r="FT27" s="390">
        <f t="shared" ca="1" si="802"/>
        <v>0</v>
      </c>
      <c r="FU27" s="390">
        <f t="shared" ca="1" si="802"/>
        <v>2.6888262500000001E-4</v>
      </c>
      <c r="FV27" s="390">
        <f t="shared" ca="1" si="802"/>
        <v>0</v>
      </c>
      <c r="FW27" s="390">
        <f t="shared" ca="1" si="802"/>
        <v>1.3794625599999999E-4</v>
      </c>
      <c r="FX27" s="390">
        <f t="shared" ca="1" si="802"/>
        <v>1.3093636999999999E-4</v>
      </c>
      <c r="FZ27" s="394"/>
      <c r="GA27" s="394"/>
      <c r="GB27" s="395"/>
      <c r="GC27" s="394"/>
      <c r="GH27" s="386" t="s">
        <v>3211</v>
      </c>
      <c r="GI27" s="387" t="s">
        <v>287</v>
      </c>
      <c r="GJ27" s="390">
        <f ca="1">GJ82+GJ80+GJ81+GJ85+GJ86</f>
        <v>2.0271457700000001E-3</v>
      </c>
      <c r="GK27" s="390">
        <f t="shared" ref="GK27:GQ27" ca="1" si="803">GK82+GK80+GK81+GK85+GK86</f>
        <v>2.0271457700000001E-3</v>
      </c>
      <c r="GL27" s="390">
        <f t="shared" ca="1" si="803"/>
        <v>0</v>
      </c>
      <c r="GM27" s="390">
        <f t="shared" ca="1" si="803"/>
        <v>2.0271457700000001E-3</v>
      </c>
      <c r="GN27" s="390">
        <f t="shared" ca="1" si="803"/>
        <v>2.0271457700000001E-3</v>
      </c>
      <c r="GO27" s="390">
        <f t="shared" ca="1" si="803"/>
        <v>0</v>
      </c>
      <c r="GP27" s="390">
        <f t="shared" ca="1" si="803"/>
        <v>2.0271457700000001E-3</v>
      </c>
      <c r="GQ27" s="390">
        <f t="shared" ca="1" si="803"/>
        <v>0</v>
      </c>
      <c r="GS27" s="394"/>
      <c r="GT27" s="394"/>
      <c r="GU27" s="395"/>
      <c r="GV27" s="394"/>
      <c r="HA27" s="386" t="s">
        <v>3211</v>
      </c>
      <c r="HB27" s="387" t="s">
        <v>287</v>
      </c>
      <c r="HC27" s="390">
        <f ca="1">HC82+HC80+HC81+HC85+HC86</f>
        <v>7.6122468200000004E-10</v>
      </c>
      <c r="HD27" s="390">
        <f t="shared" ref="HD27:HH27" ca="1" si="804">HD82+HD80+HD81+HD85+HD86</f>
        <v>7.3288308700000004E-10</v>
      </c>
      <c r="HE27" s="390">
        <f t="shared" ca="1" si="804"/>
        <v>0</v>
      </c>
      <c r="HF27" s="390">
        <f t="shared" ca="1" si="804"/>
        <v>0</v>
      </c>
      <c r="HG27" s="390">
        <f t="shared" ca="1" si="804"/>
        <v>0</v>
      </c>
      <c r="HH27" s="390">
        <f t="shared" ca="1" si="804"/>
        <v>7.3288308700000004E-10</v>
      </c>
      <c r="HJ27" s="394"/>
      <c r="HK27" s="394"/>
      <c r="HL27" s="395"/>
      <c r="HM27" s="394"/>
      <c r="HN27" s="395"/>
      <c r="HO27" s="394"/>
      <c r="HP27" s="896"/>
      <c r="HR27" s="386" t="s">
        <v>3211</v>
      </c>
      <c r="HS27" s="387" t="s">
        <v>287</v>
      </c>
      <c r="HT27" s="390">
        <f ca="1">HT82+HT80+HT81+HT85+HT86</f>
        <v>0</v>
      </c>
      <c r="HU27" s="390">
        <f t="shared" ref="HU27:IE27" ca="1" si="805">HU82+HU80+HU81+HU85+HU86</f>
        <v>7.3288308700000004E-10</v>
      </c>
      <c r="HV27" s="390">
        <f t="shared" ca="1" si="805"/>
        <v>7.3288308700000004E-10</v>
      </c>
      <c r="HW27" s="390">
        <f t="shared" ca="1" si="805"/>
        <v>7.3288308700000004E-10</v>
      </c>
      <c r="HX27" s="390">
        <f t="shared" ca="1" si="805"/>
        <v>300.070109</v>
      </c>
      <c r="HY27" s="390">
        <f t="shared" ca="1" si="805"/>
        <v>22.818599899999999</v>
      </c>
      <c r="HZ27" s="390">
        <f t="shared" ca="1" si="805"/>
        <v>285.36104904252295</v>
      </c>
      <c r="IA27" s="390">
        <f t="shared" ca="1" si="805"/>
        <v>0.56816211052300003</v>
      </c>
      <c r="IB27" s="390">
        <f t="shared" ca="1" si="805"/>
        <v>0</v>
      </c>
      <c r="IC27" s="390">
        <f t="shared" ca="1" si="805"/>
        <v>0</v>
      </c>
      <c r="ID27" s="390">
        <f t="shared" ca="1" si="805"/>
        <v>0</v>
      </c>
      <c r="IE27" s="390">
        <f t="shared" ca="1" si="805"/>
        <v>0</v>
      </c>
      <c r="IG27" s="394"/>
      <c r="IH27" s="394"/>
      <c r="II27" s="395"/>
      <c r="IJ27" s="394"/>
      <c r="IO27" s="386" t="s">
        <v>3211</v>
      </c>
      <c r="IP27" s="387" t="s">
        <v>287</v>
      </c>
      <c r="IQ27" s="390">
        <f ca="1">IQ82+IQ80+IQ81+IQ85+IQ86</f>
        <v>300.070109</v>
      </c>
      <c r="IR27" s="390">
        <f t="shared" ref="IR27:JH27" ca="1" si="806">IR82+IR80+IR81+IR85+IR86</f>
        <v>22.818599899999999</v>
      </c>
      <c r="IS27" s="390">
        <f t="shared" ca="1" si="806"/>
        <v>10.2583766155</v>
      </c>
      <c r="IT27" s="390">
        <f t="shared" ca="1" si="806"/>
        <v>33.076976565500004</v>
      </c>
      <c r="IU27" s="390">
        <f t="shared" ref="IU27" ca="1" si="807">IU82+IU80+IU81+IU85+IU86</f>
        <v>30.870627310400003</v>
      </c>
      <c r="IV27" s="390">
        <f t="shared" ca="1" si="806"/>
        <v>300.70658515500003</v>
      </c>
      <c r="IW27" s="390">
        <f t="shared" ca="1" si="806"/>
        <v>246.20103847199999</v>
      </c>
      <c r="IX27" s="390">
        <f t="shared" ref="IX27" ca="1" si="808">IX82+IX80+IX81+IX85+IX86</f>
        <v>284.24496202700004</v>
      </c>
      <c r="IY27" s="390">
        <f t="shared" ca="1" si="806"/>
        <v>2.2063492548400001</v>
      </c>
      <c r="IZ27" s="390">
        <f t="shared" ca="1" si="806"/>
        <v>44.247902410999998</v>
      </c>
      <c r="JA27" s="390">
        <f t="shared" ca="1" si="806"/>
        <v>256.45941553699993</v>
      </c>
      <c r="JB27" s="390">
        <f t="shared" ca="1" si="806"/>
        <v>0</v>
      </c>
      <c r="JC27" s="390">
        <f t="shared" ca="1" si="806"/>
        <v>43.679740275999997</v>
      </c>
      <c r="JD27" s="390">
        <f t="shared" ca="1" si="806"/>
        <v>0</v>
      </c>
      <c r="JE27" s="390">
        <f t="shared" ca="1" si="806"/>
        <v>44.247902410999998</v>
      </c>
      <c r="JF27" s="390">
        <f t="shared" ca="1" si="806"/>
        <v>0</v>
      </c>
      <c r="JG27" s="390">
        <f t="shared" ca="1" si="806"/>
        <v>0</v>
      </c>
      <c r="JH27" s="390">
        <f t="shared" ca="1" si="806"/>
        <v>0.56816211052300003</v>
      </c>
      <c r="JJ27" s="394"/>
      <c r="JK27" s="394"/>
      <c r="JL27" s="395"/>
      <c r="JM27" s="394"/>
      <c r="JR27" s="386" t="s">
        <v>3211</v>
      </c>
      <c r="JS27" s="387" t="s">
        <v>287</v>
      </c>
      <c r="JT27" s="390">
        <f ca="1">JT82+JT80+JT81+JT85+JT86</f>
        <v>0</v>
      </c>
      <c r="JU27" s="390">
        <f t="shared" ref="JU27:KC27" ca="1" si="809">JU82+JU80+JU81+JU85+JU86</f>
        <v>0</v>
      </c>
      <c r="JV27" s="390">
        <f t="shared" ca="1" si="809"/>
        <v>0</v>
      </c>
      <c r="JW27" s="390">
        <f t="shared" ca="1" si="809"/>
        <v>0</v>
      </c>
      <c r="JX27" s="390">
        <f t="shared" ca="1" si="809"/>
        <v>2.0271457700000001E-3</v>
      </c>
      <c r="JY27" s="390">
        <f t="shared" ca="1" si="809"/>
        <v>0</v>
      </c>
      <c r="JZ27" s="390">
        <f t="shared" ca="1" si="809"/>
        <v>2.0271457700000001E-3</v>
      </c>
      <c r="KA27" s="390">
        <f t="shared" ca="1" si="809"/>
        <v>0</v>
      </c>
      <c r="KB27" s="390">
        <f t="shared" ca="1" si="809"/>
        <v>0</v>
      </c>
      <c r="KC27" s="390">
        <f t="shared" ca="1" si="809"/>
        <v>0</v>
      </c>
      <c r="KE27" s="394"/>
      <c r="KJ27" s="386" t="s">
        <v>3211</v>
      </c>
      <c r="KK27" s="387" t="s">
        <v>287</v>
      </c>
      <c r="KL27" s="390">
        <f ca="1">KL82+KL80+KL81+KL85+KL86</f>
        <v>0</v>
      </c>
      <c r="KM27" s="390">
        <f t="shared" ref="KM27:KR27" ca="1" si="810">KM82+KM80+KM81+KM85+KM86</f>
        <v>0</v>
      </c>
      <c r="KN27" s="390">
        <f t="shared" ca="1" si="810"/>
        <v>0</v>
      </c>
      <c r="KO27" s="390">
        <f t="shared" ca="1" si="810"/>
        <v>0</v>
      </c>
      <c r="KP27" s="390">
        <f t="shared" ca="1" si="810"/>
        <v>0</v>
      </c>
      <c r="KQ27" s="390">
        <f t="shared" ca="1" si="810"/>
        <v>0</v>
      </c>
      <c r="KR27" s="390">
        <f t="shared" ca="1" si="810"/>
        <v>0</v>
      </c>
      <c r="KT27" s="394"/>
      <c r="KY27" s="386" t="s">
        <v>3211</v>
      </c>
      <c r="KZ27" s="387" t="s">
        <v>287</v>
      </c>
      <c r="LA27" s="390">
        <f ca="1">LA82+LA80+LA81+LA85+LA86</f>
        <v>0</v>
      </c>
      <c r="LB27" s="390">
        <f t="shared" ref="LB27:LK27" ca="1" si="811">LB82+LB80+LB81+LB85+LB86</f>
        <v>285.36104904252295</v>
      </c>
      <c r="LC27" s="390">
        <f t="shared" ca="1" si="811"/>
        <v>285.36104904252295</v>
      </c>
      <c r="LD27" s="390">
        <f t="shared" ca="1" si="811"/>
        <v>285.36104904252295</v>
      </c>
      <c r="LE27" s="390">
        <f t="shared" ca="1" si="811"/>
        <v>0</v>
      </c>
      <c r="LF27" s="390">
        <f t="shared" ca="1" si="811"/>
        <v>796.53495649999991</v>
      </c>
      <c r="LG27" s="390">
        <f t="shared" ca="1" si="811"/>
        <v>796.53495649999991</v>
      </c>
      <c r="LH27" s="390">
        <f t="shared" ca="1" si="811"/>
        <v>0</v>
      </c>
      <c r="LI27" s="390">
        <f t="shared" ca="1" si="811"/>
        <v>177.81965689999998</v>
      </c>
      <c r="LJ27" s="390">
        <f t="shared" ca="1" si="811"/>
        <v>0</v>
      </c>
      <c r="LK27" s="390">
        <f t="shared" ca="1" si="811"/>
        <v>0</v>
      </c>
      <c r="LM27" s="394"/>
      <c r="LN27" s="394"/>
      <c r="LO27" s="395"/>
      <c r="LP27" s="394"/>
      <c r="LU27" s="386" t="s">
        <v>3211</v>
      </c>
      <c r="LV27" s="387" t="s">
        <v>287</v>
      </c>
      <c r="LW27" s="390">
        <f ca="1">LW82+LW80+LW81+LW85+LW86</f>
        <v>0</v>
      </c>
      <c r="LX27" s="390">
        <f ca="1">LX82+LX80+LX81+LX85+LX86</f>
        <v>0</v>
      </c>
      <c r="LY27" s="390">
        <f t="shared" ref="LY27:MO27" ca="1" si="812">LY82+LY80+LY81+LY85+LY86</f>
        <v>0</v>
      </c>
      <c r="LZ27" s="390">
        <f t="shared" ca="1" si="812"/>
        <v>2.2063492548400001</v>
      </c>
      <c r="MA27" s="390">
        <f t="shared" ca="1" si="812"/>
        <v>2.2063492548400001</v>
      </c>
      <c r="MB27" s="390">
        <f t="shared" ca="1" si="812"/>
        <v>285.36104904252295</v>
      </c>
      <c r="MC27" s="390">
        <f t="shared" ca="1" si="812"/>
        <v>796.53495649999991</v>
      </c>
      <c r="MD27" s="390">
        <f t="shared" ca="1" si="812"/>
        <v>0</v>
      </c>
      <c r="ME27" s="390">
        <f t="shared" ca="1" si="812"/>
        <v>0</v>
      </c>
      <c r="MF27" s="390">
        <f t="shared" ca="1" si="812"/>
        <v>0</v>
      </c>
      <c r="MG27" s="390">
        <f t="shared" ca="1" si="812"/>
        <v>0</v>
      </c>
      <c r="MH27" s="390">
        <f t="shared" ref="MH27:MI27" ca="1" si="813">MH82+MH80+MH81+MH85+MH86</f>
        <v>0</v>
      </c>
      <c r="MI27" s="390">
        <f t="shared" ca="1" si="813"/>
        <v>0</v>
      </c>
      <c r="MJ27" s="390">
        <f t="shared" ca="1" si="812"/>
        <v>0</v>
      </c>
      <c r="MK27" s="390">
        <f t="shared" ca="1" si="812"/>
        <v>0</v>
      </c>
      <c r="ML27" s="390">
        <f t="shared" ca="1" si="812"/>
        <v>0</v>
      </c>
      <c r="MM27" s="390">
        <f t="shared" ca="1" si="812"/>
        <v>0</v>
      </c>
      <c r="MN27" s="390">
        <f t="shared" ca="1" si="812"/>
        <v>0</v>
      </c>
      <c r="MO27" s="390">
        <f t="shared" ca="1" si="812"/>
        <v>0</v>
      </c>
      <c r="MQ27" s="394"/>
      <c r="MR27" s="394"/>
      <c r="MS27" s="395"/>
      <c r="MT27" s="394"/>
      <c r="MY27" s="386" t="s">
        <v>3211</v>
      </c>
      <c r="MZ27" s="387" t="s">
        <v>287</v>
      </c>
      <c r="NA27" s="390">
        <f ca="1">NA82+NA80+NA81+NA85+NA86</f>
        <v>0</v>
      </c>
      <c r="NB27" s="390">
        <f t="shared" ref="NB27:NP27" ca="1" si="814">NB82+NB80+NB81+NB85+NB86</f>
        <v>0</v>
      </c>
      <c r="NC27" s="390">
        <f t="shared" ca="1" si="814"/>
        <v>0</v>
      </c>
      <c r="ND27" s="390">
        <f t="shared" ca="1" si="814"/>
        <v>0</v>
      </c>
      <c r="NE27" s="390">
        <f t="shared" ca="1" si="814"/>
        <v>0</v>
      </c>
      <c r="NF27" s="390">
        <f t="shared" ca="1" si="814"/>
        <v>0</v>
      </c>
      <c r="NG27" s="390">
        <f t="shared" ca="1" si="814"/>
        <v>0</v>
      </c>
      <c r="NH27" s="390">
        <f t="shared" ca="1" si="814"/>
        <v>0</v>
      </c>
      <c r="NI27" s="390">
        <f t="shared" ca="1" si="814"/>
        <v>0</v>
      </c>
      <c r="NJ27" s="390">
        <f t="shared" ca="1" si="814"/>
        <v>0</v>
      </c>
      <c r="NK27" s="390">
        <f t="shared" ca="1" si="814"/>
        <v>0</v>
      </c>
      <c r="NL27" s="390">
        <f t="shared" ca="1" si="814"/>
        <v>0</v>
      </c>
      <c r="NM27" s="390">
        <f t="shared" ca="1" si="814"/>
        <v>0</v>
      </c>
      <c r="NN27" s="390">
        <f t="shared" ca="1" si="814"/>
        <v>0</v>
      </c>
      <c r="NO27" s="390">
        <f t="shared" ca="1" si="814"/>
        <v>0</v>
      </c>
      <c r="NP27" s="390">
        <f t="shared" ca="1" si="814"/>
        <v>0</v>
      </c>
      <c r="NR27" s="394"/>
      <c r="NS27" s="394"/>
      <c r="NT27" s="395"/>
      <c r="NU27" s="394"/>
      <c r="NZ27" s="394"/>
      <c r="OA27" s="394"/>
      <c r="OF27" s="386" t="s">
        <v>3211</v>
      </c>
      <c r="OG27" s="387" t="s">
        <v>287</v>
      </c>
      <c r="OH27" s="390">
        <f ca="1">OH82+OH80+OH81+OH85+OH86</f>
        <v>0</v>
      </c>
      <c r="OI27" s="390">
        <f t="shared" ref="OI27:OO27" ca="1" si="815">OI82+OI80+OI81+OI85+OI86</f>
        <v>0</v>
      </c>
      <c r="OJ27" s="390">
        <f t="shared" ca="1" si="815"/>
        <v>0</v>
      </c>
      <c r="OK27" s="390">
        <f t="shared" ca="1" si="815"/>
        <v>0</v>
      </c>
      <c r="OL27" s="390">
        <f t="shared" ca="1" si="815"/>
        <v>0</v>
      </c>
      <c r="OM27" s="390">
        <f t="shared" ca="1" si="815"/>
        <v>0</v>
      </c>
      <c r="ON27" s="390">
        <f t="shared" ca="1" si="815"/>
        <v>0</v>
      </c>
      <c r="OO27" s="390">
        <f t="shared" ca="1" si="815"/>
        <v>0</v>
      </c>
      <c r="OQ27" s="394"/>
      <c r="OR27" s="394"/>
      <c r="OS27" s="395"/>
      <c r="OT27" s="394"/>
      <c r="OU27" s="896"/>
      <c r="OV27" s="896"/>
      <c r="OW27" s="896"/>
      <c r="OY27" s="386" t="s">
        <v>3211</v>
      </c>
      <c r="OZ27" s="387" t="s">
        <v>287</v>
      </c>
      <c r="PA27" s="390">
        <f ca="1">PA82+PA80+PA81+PA85+PA86</f>
        <v>0</v>
      </c>
      <c r="PB27" s="390">
        <f t="shared" ref="PB27:PK27" ca="1" si="816">PB82+PB80+PB81+PB85+PB86</f>
        <v>0</v>
      </c>
      <c r="PC27" s="390">
        <f t="shared" ca="1" si="816"/>
        <v>0</v>
      </c>
      <c r="PD27" s="390">
        <f t="shared" ca="1" si="816"/>
        <v>0</v>
      </c>
      <c r="PE27" s="390">
        <f t="shared" ca="1" si="816"/>
        <v>0</v>
      </c>
      <c r="PF27" s="390">
        <f t="shared" ca="1" si="816"/>
        <v>0</v>
      </c>
      <c r="PG27" s="390">
        <f t="shared" ca="1" si="816"/>
        <v>0</v>
      </c>
      <c r="PH27" s="390">
        <f t="shared" ca="1" si="816"/>
        <v>0</v>
      </c>
      <c r="PI27" s="390">
        <f t="shared" ca="1" si="816"/>
        <v>0</v>
      </c>
      <c r="PJ27" s="390">
        <f t="shared" ca="1" si="816"/>
        <v>0</v>
      </c>
      <c r="PK27" s="390">
        <f t="shared" ca="1" si="816"/>
        <v>0</v>
      </c>
      <c r="PM27" s="394"/>
      <c r="PN27" s="394"/>
      <c r="PO27" s="395"/>
      <c r="PP27" s="394"/>
      <c r="PU27" s="386" t="s">
        <v>3211</v>
      </c>
      <c r="PV27" s="387" t="s">
        <v>287</v>
      </c>
      <c r="PW27" s="390">
        <f ca="1">PW82+PW80+PW81+PW85+PW86</f>
        <v>0</v>
      </c>
      <c r="PX27" s="390">
        <f t="shared" ref="PX27:PZ27" ca="1" si="817">PX82+PX80+PX81+PX85+PX86</f>
        <v>0</v>
      </c>
      <c r="PY27" s="390">
        <f t="shared" ca="1" si="817"/>
        <v>0</v>
      </c>
      <c r="PZ27" s="390">
        <f t="shared" ca="1" si="817"/>
        <v>0</v>
      </c>
      <c r="QB27" s="394"/>
      <c r="QC27" s="394"/>
      <c r="QD27" s="395"/>
      <c r="QE27" s="394"/>
    </row>
    <row r="28" spans="1:453" x14ac:dyDescent="0.25">
      <c r="A28" s="1315"/>
      <c r="H28" s="386" t="s">
        <v>1898</v>
      </c>
      <c r="I28" s="387" t="s">
        <v>287</v>
      </c>
      <c r="J28" s="390">
        <f ca="1">J93</f>
        <v>29204.880399999995</v>
      </c>
      <c r="K28" s="390">
        <f ca="1">K93</f>
        <v>29204.880399999995</v>
      </c>
      <c r="R28" s="386" t="s">
        <v>1898</v>
      </c>
      <c r="S28" s="387" t="s">
        <v>287</v>
      </c>
      <c r="T28" s="390">
        <f ca="1">T93</f>
        <v>29204.880399999995</v>
      </c>
      <c r="U28" s="390">
        <f t="shared" ref="U28:AD28" ca="1" si="818">U93</f>
        <v>0</v>
      </c>
      <c r="V28" s="390">
        <f t="shared" ca="1" si="818"/>
        <v>0</v>
      </c>
      <c r="W28" s="390">
        <f t="shared" ca="1" si="818"/>
        <v>0</v>
      </c>
      <c r="X28" s="390">
        <f t="shared" ca="1" si="818"/>
        <v>0</v>
      </c>
      <c r="Y28" s="390">
        <f t="shared" ca="1" si="818"/>
        <v>26138.367999999999</v>
      </c>
      <c r="Z28" s="390">
        <f t="shared" ca="1" si="818"/>
        <v>0</v>
      </c>
      <c r="AA28" s="390">
        <f t="shared" ca="1" si="818"/>
        <v>26138.367999999999</v>
      </c>
      <c r="AB28" s="390">
        <f t="shared" ca="1" si="818"/>
        <v>0</v>
      </c>
      <c r="AC28" s="390">
        <f t="shared" ca="1" si="818"/>
        <v>0</v>
      </c>
      <c r="AD28" s="390">
        <f t="shared" ca="1" si="818"/>
        <v>0</v>
      </c>
      <c r="AF28" s="394"/>
      <c r="AG28" s="395"/>
      <c r="AH28" s="394"/>
      <c r="AI28" s="394"/>
      <c r="AK28" s="386" t="s">
        <v>1898</v>
      </c>
      <c r="AL28" s="387" t="s">
        <v>287</v>
      </c>
      <c r="AM28" s="390">
        <f ca="1">AM93</f>
        <v>0</v>
      </c>
      <c r="AN28" s="390">
        <f t="shared" ref="AN28:BB28" ca="1" si="819">AN93</f>
        <v>0</v>
      </c>
      <c r="AO28" s="390">
        <f t="shared" ref="AO28:AS28" ca="1" si="820">AO93</f>
        <v>26138.367999999999</v>
      </c>
      <c r="AP28" s="390">
        <f t="shared" ca="1" si="820"/>
        <v>26138.367999999999</v>
      </c>
      <c r="AQ28" s="390">
        <f t="shared" ca="1" si="820"/>
        <v>0</v>
      </c>
      <c r="AR28" s="390">
        <f t="shared" ca="1" si="820"/>
        <v>0</v>
      </c>
      <c r="AS28" s="390">
        <f t="shared" ca="1" si="820"/>
        <v>0</v>
      </c>
      <c r="AT28" s="390">
        <f t="shared" ca="1" si="819"/>
        <v>0</v>
      </c>
      <c r="AU28" s="390">
        <f t="shared" ca="1" si="819"/>
        <v>0</v>
      </c>
      <c r="AV28" s="390">
        <f t="shared" ca="1" si="819"/>
        <v>26138.367999999999</v>
      </c>
      <c r="AW28" s="390">
        <f t="shared" ca="1" si="819"/>
        <v>0</v>
      </c>
      <c r="AX28" s="390">
        <f t="shared" ca="1" si="819"/>
        <v>0</v>
      </c>
      <c r="AY28" s="390">
        <f t="shared" ca="1" si="819"/>
        <v>0</v>
      </c>
      <c r="AZ28" s="390">
        <f t="shared" ca="1" si="819"/>
        <v>0</v>
      </c>
      <c r="BA28" s="390">
        <f t="shared" ca="1" si="819"/>
        <v>0</v>
      </c>
      <c r="BB28" s="390">
        <f t="shared" ca="1" si="819"/>
        <v>26138.367999999999</v>
      </c>
      <c r="BD28" s="394"/>
      <c r="BE28" s="394"/>
      <c r="BF28" s="395"/>
      <c r="BG28" s="394"/>
      <c r="BL28" s="386" t="s">
        <v>1898</v>
      </c>
      <c r="BM28" s="387" t="s">
        <v>287</v>
      </c>
      <c r="BN28" s="390">
        <f ca="1">BN93</f>
        <v>125.46416599999999</v>
      </c>
      <c r="BO28" s="390">
        <f t="shared" ref="BO28:BR28" ca="1" si="821">BO93</f>
        <v>125.46416599999999</v>
      </c>
      <c r="BP28" s="390">
        <f t="shared" ca="1" si="821"/>
        <v>0</v>
      </c>
      <c r="BQ28" s="390">
        <f t="shared" ca="1" si="821"/>
        <v>0</v>
      </c>
      <c r="BR28" s="390">
        <f t="shared" ca="1" si="821"/>
        <v>0</v>
      </c>
      <c r="BT28" s="394"/>
      <c r="BU28" s="394"/>
      <c r="BV28" s="395"/>
      <c r="BW28" s="394"/>
      <c r="CB28" s="386" t="s">
        <v>1898</v>
      </c>
      <c r="CC28" s="387" t="s">
        <v>287</v>
      </c>
      <c r="CD28" s="390">
        <f ca="1">CD93</f>
        <v>26138.367999999999</v>
      </c>
      <c r="CE28" s="390">
        <f t="shared" ref="CE28:CO28" ca="1" si="822">CE93</f>
        <v>26138.367999999999</v>
      </c>
      <c r="CF28" s="390">
        <f t="shared" ca="1" si="822"/>
        <v>125.46416599999999</v>
      </c>
      <c r="CG28" s="390">
        <f t="shared" ca="1" si="822"/>
        <v>125.46416599999999</v>
      </c>
      <c r="CH28" s="390">
        <f t="shared" ca="1" si="822"/>
        <v>26138.367999999999</v>
      </c>
      <c r="CI28" s="390">
        <f t="shared" ca="1" si="822"/>
        <v>0</v>
      </c>
      <c r="CJ28" s="390">
        <f t="shared" ca="1" si="822"/>
        <v>0</v>
      </c>
      <c r="CK28" s="390">
        <f t="shared" ca="1" si="822"/>
        <v>1254.64166</v>
      </c>
      <c r="CL28" s="390">
        <f t="shared" ca="1" si="822"/>
        <v>0</v>
      </c>
      <c r="CM28" s="390">
        <f t="shared" ca="1" si="822"/>
        <v>0</v>
      </c>
      <c r="CN28" s="390">
        <f t="shared" ca="1" si="822"/>
        <v>1254.64166</v>
      </c>
      <c r="CO28" s="390">
        <f t="shared" ca="1" si="822"/>
        <v>0</v>
      </c>
      <c r="CQ28" s="394"/>
      <c r="CR28" s="394"/>
      <c r="CS28" s="395"/>
      <c r="CT28" s="394"/>
      <c r="CY28" s="386" t="s">
        <v>1898</v>
      </c>
      <c r="CZ28" s="387" t="s">
        <v>287</v>
      </c>
      <c r="DA28" s="390">
        <f ca="1">DA93</f>
        <v>0</v>
      </c>
      <c r="DB28" s="390">
        <f t="shared" ref="DB28:DJ28" ca="1" si="823">DB93</f>
        <v>0</v>
      </c>
      <c r="DC28" s="390">
        <f t="shared" ca="1" si="823"/>
        <v>0</v>
      </c>
      <c r="DD28" s="390">
        <f t="shared" ca="1" si="823"/>
        <v>0</v>
      </c>
      <c r="DE28" s="390">
        <f t="shared" ca="1" si="823"/>
        <v>0</v>
      </c>
      <c r="DF28" s="390">
        <f t="shared" ca="1" si="823"/>
        <v>0</v>
      </c>
      <c r="DG28" s="390">
        <f t="shared" ca="1" si="823"/>
        <v>0</v>
      </c>
      <c r="DH28" s="390">
        <f t="shared" ca="1" si="823"/>
        <v>0</v>
      </c>
      <c r="DI28" s="390">
        <f t="shared" ca="1" si="823"/>
        <v>0</v>
      </c>
      <c r="DJ28" s="390">
        <f t="shared" ca="1" si="823"/>
        <v>0</v>
      </c>
      <c r="DL28" s="394"/>
      <c r="DM28" s="394"/>
      <c r="DN28" s="395"/>
      <c r="DO28" s="394"/>
      <c r="DT28" s="386" t="s">
        <v>1898</v>
      </c>
      <c r="DU28" s="387" t="s">
        <v>287</v>
      </c>
      <c r="DV28" s="390">
        <f ca="1">DV93</f>
        <v>0</v>
      </c>
      <c r="DW28" s="390">
        <f t="shared" ref="DW28:EK28" ca="1" si="824">DW93</f>
        <v>0</v>
      </c>
      <c r="DX28" s="390">
        <f t="shared" ca="1" si="824"/>
        <v>0</v>
      </c>
      <c r="DY28" s="390">
        <f t="shared" ca="1" si="824"/>
        <v>0</v>
      </c>
      <c r="DZ28" s="390">
        <f t="shared" ca="1" si="824"/>
        <v>0</v>
      </c>
      <c r="EA28" s="390">
        <f t="shared" ca="1" si="824"/>
        <v>0</v>
      </c>
      <c r="EB28" s="390">
        <f t="shared" ca="1" si="824"/>
        <v>0</v>
      </c>
      <c r="EC28" s="390">
        <f t="shared" ca="1" si="824"/>
        <v>0</v>
      </c>
      <c r="ED28" s="390">
        <f t="shared" ca="1" si="824"/>
        <v>0</v>
      </c>
      <c r="EE28" s="390">
        <f t="shared" ca="1" si="824"/>
        <v>0</v>
      </c>
      <c r="EF28" s="390">
        <f t="shared" ca="1" si="824"/>
        <v>0</v>
      </c>
      <c r="EG28" s="390">
        <f t="shared" ca="1" si="824"/>
        <v>0</v>
      </c>
      <c r="EH28" s="390">
        <f t="shared" ca="1" si="824"/>
        <v>0</v>
      </c>
      <c r="EI28" s="390">
        <f t="shared" ca="1" si="824"/>
        <v>0</v>
      </c>
      <c r="EJ28" s="390">
        <f t="shared" ref="EJ28" ca="1" si="825">EJ93</f>
        <v>0</v>
      </c>
      <c r="EK28" s="390">
        <f t="shared" ca="1" si="824"/>
        <v>0</v>
      </c>
      <c r="EM28" s="394"/>
      <c r="EN28" s="394"/>
      <c r="EO28" s="395"/>
      <c r="EP28" s="394"/>
      <c r="EU28" s="386" t="s">
        <v>1898</v>
      </c>
      <c r="EV28" s="387" t="s">
        <v>287</v>
      </c>
      <c r="EW28" s="390">
        <f ca="1">EW93</f>
        <v>1254.64166</v>
      </c>
      <c r="EX28" s="390">
        <f t="shared" ref="EX28:FB28" ca="1" si="826">EX93</f>
        <v>1254.64166</v>
      </c>
      <c r="EY28" s="390">
        <f t="shared" ca="1" si="826"/>
        <v>1254.64166</v>
      </c>
      <c r="EZ28" s="390">
        <f t="shared" ca="1" si="826"/>
        <v>1254.64166</v>
      </c>
      <c r="FA28" s="390">
        <f t="shared" ca="1" si="826"/>
        <v>0</v>
      </c>
      <c r="FB28" s="390">
        <f t="shared" ca="1" si="826"/>
        <v>0</v>
      </c>
      <c r="FD28" s="394"/>
      <c r="FE28" s="394"/>
      <c r="FF28" s="395"/>
      <c r="FG28" s="394"/>
      <c r="FH28" s="896"/>
      <c r="FI28" s="896"/>
      <c r="FJ28" s="896"/>
      <c r="FL28" s="386" t="s">
        <v>1898</v>
      </c>
      <c r="FM28" s="387" t="s">
        <v>287</v>
      </c>
      <c r="FN28" s="390">
        <f ca="1">FN93</f>
        <v>0</v>
      </c>
      <c r="FO28" s="390">
        <f t="shared" ref="FO28:FX28" ca="1" si="827">FO93</f>
        <v>0</v>
      </c>
      <c r="FP28" s="390">
        <f t="shared" ca="1" si="827"/>
        <v>0</v>
      </c>
      <c r="FQ28" s="390">
        <f t="shared" ca="1" si="827"/>
        <v>0</v>
      </c>
      <c r="FR28" s="390">
        <f t="shared" ca="1" si="827"/>
        <v>0</v>
      </c>
      <c r="FS28" s="390">
        <f t="shared" ca="1" si="827"/>
        <v>0</v>
      </c>
      <c r="FT28" s="390">
        <f t="shared" ca="1" si="827"/>
        <v>0</v>
      </c>
      <c r="FU28" s="390">
        <f t="shared" ca="1" si="827"/>
        <v>0</v>
      </c>
      <c r="FV28" s="390">
        <f t="shared" ca="1" si="827"/>
        <v>0</v>
      </c>
      <c r="FW28" s="390">
        <f t="shared" ca="1" si="827"/>
        <v>0</v>
      </c>
      <c r="FX28" s="390">
        <f t="shared" ca="1" si="827"/>
        <v>0</v>
      </c>
      <c r="FZ28" s="394"/>
      <c r="GA28" s="394"/>
      <c r="GB28" s="395"/>
      <c r="GC28" s="394"/>
      <c r="GH28" s="386" t="s">
        <v>1898</v>
      </c>
      <c r="GI28" s="387" t="s">
        <v>287</v>
      </c>
      <c r="GJ28" s="390">
        <f ca="1">GJ93</f>
        <v>0</v>
      </c>
      <c r="GK28" s="390">
        <f t="shared" ref="GK28:GQ28" ca="1" si="828">GK93</f>
        <v>0</v>
      </c>
      <c r="GL28" s="390">
        <f t="shared" ca="1" si="828"/>
        <v>0</v>
      </c>
      <c r="GM28" s="390">
        <f t="shared" ca="1" si="828"/>
        <v>0</v>
      </c>
      <c r="GN28" s="390">
        <f t="shared" ca="1" si="828"/>
        <v>0</v>
      </c>
      <c r="GO28" s="390">
        <f t="shared" ca="1" si="828"/>
        <v>0</v>
      </c>
      <c r="GP28" s="390">
        <f t="shared" ca="1" si="828"/>
        <v>0</v>
      </c>
      <c r="GQ28" s="390">
        <f t="shared" ca="1" si="828"/>
        <v>0</v>
      </c>
      <c r="GS28" s="394"/>
      <c r="GT28" s="394"/>
      <c r="GU28" s="395"/>
      <c r="GV28" s="394"/>
      <c r="HA28" s="386" t="s">
        <v>1898</v>
      </c>
      <c r="HB28" s="387" t="s">
        <v>287</v>
      </c>
      <c r="HC28" s="390">
        <f ca="1">HC93</f>
        <v>1254.64166</v>
      </c>
      <c r="HD28" s="390">
        <f t="shared" ref="HD28:HH28" ca="1" si="829">HD93</f>
        <v>25.092833200000001</v>
      </c>
      <c r="HE28" s="390">
        <f t="shared" ca="1" si="829"/>
        <v>0</v>
      </c>
      <c r="HF28" s="390">
        <f t="shared" ca="1" si="829"/>
        <v>0</v>
      </c>
      <c r="HG28" s="390">
        <f t="shared" ca="1" si="829"/>
        <v>1229.54883</v>
      </c>
      <c r="HH28" s="390">
        <f t="shared" ca="1" si="829"/>
        <v>25.092833200000001</v>
      </c>
      <c r="HJ28" s="394"/>
      <c r="HK28" s="394"/>
      <c r="HL28" s="395"/>
      <c r="HM28" s="394"/>
      <c r="HN28" s="1339"/>
      <c r="HO28" s="1340"/>
      <c r="HP28" s="896"/>
      <c r="HR28" s="386" t="s">
        <v>1898</v>
      </c>
      <c r="HS28" s="387" t="s">
        <v>287</v>
      </c>
      <c r="HT28" s="390">
        <f ca="1">HT93</f>
        <v>0</v>
      </c>
      <c r="HU28" s="390">
        <f t="shared" ref="HU28:IE28" ca="1" si="830">HU93</f>
        <v>25.092833200000001</v>
      </c>
      <c r="HV28" s="390">
        <f t="shared" ca="1" si="830"/>
        <v>25.092833200000001</v>
      </c>
      <c r="HW28" s="390">
        <f t="shared" ca="1" si="830"/>
        <v>25.092833200000001</v>
      </c>
      <c r="HX28" s="390">
        <f t="shared" ca="1" si="830"/>
        <v>6.4237653100000003</v>
      </c>
      <c r="HY28" s="390">
        <f t="shared" ca="1" si="830"/>
        <v>18.669067900000002</v>
      </c>
      <c r="HZ28" s="390">
        <f t="shared" ca="1" si="830"/>
        <v>0</v>
      </c>
      <c r="IA28" s="390">
        <f t="shared" ca="1" si="830"/>
        <v>0</v>
      </c>
      <c r="IB28" s="390">
        <f t="shared" ca="1" si="830"/>
        <v>0</v>
      </c>
      <c r="IC28" s="390">
        <f t="shared" ca="1" si="830"/>
        <v>0</v>
      </c>
      <c r="ID28" s="390">
        <f t="shared" ca="1" si="830"/>
        <v>0</v>
      </c>
      <c r="IE28" s="390">
        <f t="shared" ca="1" si="830"/>
        <v>0</v>
      </c>
      <c r="IG28" s="394"/>
      <c r="IH28" s="394"/>
      <c r="II28" s="395"/>
      <c r="IJ28" s="394"/>
      <c r="IO28" s="386" t="s">
        <v>1898</v>
      </c>
      <c r="IP28" s="387" t="s">
        <v>287</v>
      </c>
      <c r="IQ28" s="390">
        <f ca="1">IQ93</f>
        <v>6.4237653100000003</v>
      </c>
      <c r="IR28" s="390">
        <f t="shared" ref="IR28:JH28" ca="1" si="831">IR93</f>
        <v>18.669067900000002</v>
      </c>
      <c r="IS28" s="390">
        <f t="shared" ca="1" si="831"/>
        <v>7.7444407400000008</v>
      </c>
      <c r="IT28" s="390">
        <f t="shared" ca="1" si="831"/>
        <v>26.413508700000001</v>
      </c>
      <c r="IU28" s="390">
        <f t="shared" ref="IU28" ca="1" si="832">IU93</f>
        <v>1.3206754300000001</v>
      </c>
      <c r="IV28" s="390">
        <f t="shared" ca="1" si="831"/>
        <v>193.611019</v>
      </c>
      <c r="IW28" s="390">
        <f t="shared" ca="1" si="831"/>
        <v>185.866578</v>
      </c>
      <c r="IX28" s="390">
        <f t="shared" ref="IX28" ca="1" si="833">IX93</f>
        <v>0</v>
      </c>
      <c r="IY28" s="390">
        <f t="shared" ca="1" si="831"/>
        <v>25.092833200000001</v>
      </c>
      <c r="IZ28" s="390">
        <f t="shared" ca="1" si="831"/>
        <v>0</v>
      </c>
      <c r="JA28" s="390">
        <f t="shared" ca="1" si="831"/>
        <v>193.611019</v>
      </c>
      <c r="JB28" s="390">
        <f t="shared" ca="1" si="831"/>
        <v>0</v>
      </c>
      <c r="JC28" s="390">
        <f t="shared" ca="1" si="831"/>
        <v>0</v>
      </c>
      <c r="JD28" s="390">
        <f t="shared" ca="1" si="831"/>
        <v>0</v>
      </c>
      <c r="JE28" s="390">
        <f t="shared" ca="1" si="831"/>
        <v>0</v>
      </c>
      <c r="JF28" s="390">
        <f t="shared" ca="1" si="831"/>
        <v>0</v>
      </c>
      <c r="JG28" s="390">
        <f t="shared" ca="1" si="831"/>
        <v>0</v>
      </c>
      <c r="JH28" s="390">
        <f t="shared" ca="1" si="831"/>
        <v>0</v>
      </c>
      <c r="JJ28" s="394"/>
      <c r="JK28" s="394"/>
      <c r="JL28" s="395"/>
      <c r="JM28" s="394"/>
      <c r="JR28" s="386" t="s">
        <v>1898</v>
      </c>
      <c r="JS28" s="387" t="s">
        <v>287</v>
      </c>
      <c r="JT28" s="390">
        <f ca="1">JT93</f>
        <v>0</v>
      </c>
      <c r="JU28" s="390">
        <f t="shared" ref="JU28:KC28" ca="1" si="834">JU93</f>
        <v>0</v>
      </c>
      <c r="JV28" s="390">
        <f t="shared" ca="1" si="834"/>
        <v>0</v>
      </c>
      <c r="JW28" s="390">
        <f t="shared" ca="1" si="834"/>
        <v>0</v>
      </c>
      <c r="JX28" s="390">
        <f t="shared" ca="1" si="834"/>
        <v>0</v>
      </c>
      <c r="JY28" s="390">
        <f t="shared" ca="1" si="834"/>
        <v>0</v>
      </c>
      <c r="JZ28" s="390">
        <f t="shared" ca="1" si="834"/>
        <v>0</v>
      </c>
      <c r="KA28" s="390">
        <f t="shared" ca="1" si="834"/>
        <v>0</v>
      </c>
      <c r="KB28" s="390">
        <f t="shared" ca="1" si="834"/>
        <v>0</v>
      </c>
      <c r="KC28" s="390">
        <f t="shared" ca="1" si="834"/>
        <v>0</v>
      </c>
      <c r="KE28" s="394"/>
      <c r="KJ28" s="386" t="s">
        <v>1898</v>
      </c>
      <c r="KK28" s="387" t="s">
        <v>287</v>
      </c>
      <c r="KL28" s="390">
        <f ca="1">KL93</f>
        <v>0</v>
      </c>
      <c r="KM28" s="390">
        <f t="shared" ref="KM28:KR28" ca="1" si="835">KM93</f>
        <v>0</v>
      </c>
      <c r="KN28" s="390">
        <f t="shared" ca="1" si="835"/>
        <v>0</v>
      </c>
      <c r="KO28" s="390">
        <f t="shared" ca="1" si="835"/>
        <v>0</v>
      </c>
      <c r="KP28" s="390">
        <f t="shared" ca="1" si="835"/>
        <v>0</v>
      </c>
      <c r="KQ28" s="390">
        <f t="shared" ca="1" si="835"/>
        <v>0</v>
      </c>
      <c r="KR28" s="390">
        <f t="shared" ca="1" si="835"/>
        <v>0</v>
      </c>
      <c r="KT28" s="394"/>
      <c r="KY28" s="386" t="s">
        <v>1898</v>
      </c>
      <c r="KZ28" s="387" t="s">
        <v>287</v>
      </c>
      <c r="LA28" s="390">
        <f ca="1">LA93</f>
        <v>0</v>
      </c>
      <c r="LB28" s="390">
        <f t="shared" ref="LB28:LK28" ca="1" si="836">LB93</f>
        <v>0</v>
      </c>
      <c r="LC28" s="390">
        <f t="shared" ca="1" si="836"/>
        <v>0</v>
      </c>
      <c r="LD28" s="390">
        <f t="shared" ca="1" si="836"/>
        <v>0</v>
      </c>
      <c r="LE28" s="390">
        <f t="shared" ca="1" si="836"/>
        <v>0</v>
      </c>
      <c r="LF28" s="390">
        <f t="shared" ca="1" si="836"/>
        <v>0</v>
      </c>
      <c r="LG28" s="390">
        <f t="shared" ca="1" si="836"/>
        <v>0</v>
      </c>
      <c r="LH28" s="390">
        <f t="shared" ca="1" si="836"/>
        <v>0</v>
      </c>
      <c r="LI28" s="390">
        <f t="shared" ca="1" si="836"/>
        <v>0</v>
      </c>
      <c r="LJ28" s="390">
        <f t="shared" ca="1" si="836"/>
        <v>0</v>
      </c>
      <c r="LK28" s="390">
        <f t="shared" ca="1" si="836"/>
        <v>0</v>
      </c>
      <c r="LM28" s="394"/>
      <c r="LN28" s="394"/>
      <c r="LO28" s="395"/>
      <c r="LP28" s="394"/>
      <c r="LU28" s="386" t="s">
        <v>1898</v>
      </c>
      <c r="LV28" s="387" t="s">
        <v>287</v>
      </c>
      <c r="LW28" s="390">
        <f ca="1">LW93</f>
        <v>0</v>
      </c>
      <c r="LX28" s="390">
        <f ca="1">LX93</f>
        <v>0</v>
      </c>
      <c r="LY28" s="390">
        <f t="shared" ref="LY28:MO28" ca="1" si="837">LY93</f>
        <v>1229.54883</v>
      </c>
      <c r="LZ28" s="390">
        <f t="shared" ca="1" si="837"/>
        <v>25.092833200000001</v>
      </c>
      <c r="MA28" s="390">
        <f t="shared" ca="1" si="837"/>
        <v>1254.64166</v>
      </c>
      <c r="MB28" s="390">
        <f t="shared" ca="1" si="837"/>
        <v>0</v>
      </c>
      <c r="MC28" s="390">
        <f t="shared" ca="1" si="837"/>
        <v>0</v>
      </c>
      <c r="MD28" s="390">
        <f t="shared" ca="1" si="837"/>
        <v>0</v>
      </c>
      <c r="ME28" s="390">
        <f t="shared" ca="1" si="837"/>
        <v>0</v>
      </c>
      <c r="MF28" s="390">
        <f t="shared" ca="1" si="837"/>
        <v>0</v>
      </c>
      <c r="MG28" s="390">
        <f t="shared" ca="1" si="837"/>
        <v>0</v>
      </c>
      <c r="MH28" s="390">
        <f t="shared" ref="MH28:MI28" ca="1" si="838">MH93</f>
        <v>0</v>
      </c>
      <c r="MI28" s="390">
        <f t="shared" ca="1" si="838"/>
        <v>0</v>
      </c>
      <c r="MJ28" s="390">
        <f t="shared" ca="1" si="837"/>
        <v>0</v>
      </c>
      <c r="MK28" s="390">
        <f t="shared" ca="1" si="837"/>
        <v>0</v>
      </c>
      <c r="ML28" s="390">
        <f t="shared" ca="1" si="837"/>
        <v>0</v>
      </c>
      <c r="MM28" s="390">
        <f t="shared" ca="1" si="837"/>
        <v>0</v>
      </c>
      <c r="MN28" s="390">
        <f t="shared" ca="1" si="837"/>
        <v>0</v>
      </c>
      <c r="MO28" s="390">
        <f t="shared" ca="1" si="837"/>
        <v>0</v>
      </c>
      <c r="MQ28" s="394"/>
      <c r="MR28" s="394"/>
      <c r="MS28" s="395"/>
      <c r="MT28" s="394"/>
      <c r="MY28" s="386" t="s">
        <v>1898</v>
      </c>
      <c r="MZ28" s="387" t="s">
        <v>287</v>
      </c>
      <c r="NA28" s="390">
        <f ca="1">NA93</f>
        <v>0</v>
      </c>
      <c r="NB28" s="390">
        <f t="shared" ref="NB28:NP28" ca="1" si="839">NB93</f>
        <v>0</v>
      </c>
      <c r="NC28" s="390">
        <f t="shared" ca="1" si="839"/>
        <v>0</v>
      </c>
      <c r="ND28" s="390">
        <f t="shared" ca="1" si="839"/>
        <v>0</v>
      </c>
      <c r="NE28" s="390">
        <f t="shared" ca="1" si="839"/>
        <v>0</v>
      </c>
      <c r="NF28" s="390">
        <f t="shared" ca="1" si="839"/>
        <v>0</v>
      </c>
      <c r="NG28" s="390">
        <f t="shared" ca="1" si="839"/>
        <v>0</v>
      </c>
      <c r="NH28" s="390">
        <f t="shared" ca="1" si="839"/>
        <v>0</v>
      </c>
      <c r="NI28" s="390">
        <f t="shared" ca="1" si="839"/>
        <v>0</v>
      </c>
      <c r="NJ28" s="390">
        <f t="shared" ca="1" si="839"/>
        <v>0</v>
      </c>
      <c r="NK28" s="390">
        <f t="shared" ca="1" si="839"/>
        <v>0</v>
      </c>
      <c r="NL28" s="390">
        <f t="shared" ca="1" si="839"/>
        <v>0</v>
      </c>
      <c r="NM28" s="390">
        <f t="shared" ca="1" si="839"/>
        <v>0</v>
      </c>
      <c r="NN28" s="390">
        <f t="shared" ca="1" si="839"/>
        <v>0</v>
      </c>
      <c r="NO28" s="390">
        <f t="shared" ca="1" si="839"/>
        <v>0</v>
      </c>
      <c r="NP28" s="390">
        <f t="shared" ca="1" si="839"/>
        <v>0</v>
      </c>
      <c r="NR28" s="394"/>
      <c r="NS28" s="394"/>
      <c r="NT28" s="395"/>
      <c r="NU28" s="394"/>
      <c r="NZ28" s="394"/>
      <c r="OA28" s="394"/>
      <c r="OF28" s="386" t="s">
        <v>1898</v>
      </c>
      <c r="OG28" s="387" t="s">
        <v>287</v>
      </c>
      <c r="OH28" s="390">
        <f ca="1">OH93</f>
        <v>0</v>
      </c>
      <c r="OI28" s="390">
        <f t="shared" ref="OI28:OO28" ca="1" si="840">OI93</f>
        <v>0</v>
      </c>
      <c r="OJ28" s="390">
        <f t="shared" ca="1" si="840"/>
        <v>0</v>
      </c>
      <c r="OK28" s="390">
        <f t="shared" ca="1" si="840"/>
        <v>0</v>
      </c>
      <c r="OL28" s="390">
        <f t="shared" ca="1" si="840"/>
        <v>0</v>
      </c>
      <c r="OM28" s="390">
        <f t="shared" ca="1" si="840"/>
        <v>0</v>
      </c>
      <c r="ON28" s="390">
        <f t="shared" ca="1" si="840"/>
        <v>0</v>
      </c>
      <c r="OO28" s="390">
        <f t="shared" ca="1" si="840"/>
        <v>0</v>
      </c>
      <c r="OQ28" s="394"/>
      <c r="OR28" s="394"/>
      <c r="OS28" s="395"/>
      <c r="OT28" s="394"/>
      <c r="OU28" s="896"/>
      <c r="OV28" s="896"/>
      <c r="OW28" s="896"/>
      <c r="OY28" s="386" t="s">
        <v>1898</v>
      </c>
      <c r="OZ28" s="387" t="s">
        <v>287</v>
      </c>
      <c r="PA28" s="390">
        <f ca="1">PA93</f>
        <v>0</v>
      </c>
      <c r="PB28" s="390">
        <f t="shared" ref="PB28:PK28" ca="1" si="841">PB93</f>
        <v>0</v>
      </c>
      <c r="PC28" s="390">
        <f t="shared" ca="1" si="841"/>
        <v>0</v>
      </c>
      <c r="PD28" s="390">
        <f t="shared" ca="1" si="841"/>
        <v>0</v>
      </c>
      <c r="PE28" s="390">
        <f t="shared" ca="1" si="841"/>
        <v>0</v>
      </c>
      <c r="PF28" s="390">
        <f t="shared" ca="1" si="841"/>
        <v>0</v>
      </c>
      <c r="PG28" s="390">
        <f t="shared" ca="1" si="841"/>
        <v>0</v>
      </c>
      <c r="PH28" s="390">
        <f t="shared" ca="1" si="841"/>
        <v>0</v>
      </c>
      <c r="PI28" s="390">
        <f t="shared" ca="1" si="841"/>
        <v>0</v>
      </c>
      <c r="PJ28" s="390">
        <f t="shared" ca="1" si="841"/>
        <v>0</v>
      </c>
      <c r="PK28" s="390">
        <f t="shared" ca="1" si="841"/>
        <v>0</v>
      </c>
      <c r="PM28" s="394"/>
      <c r="PN28" s="394"/>
      <c r="PO28" s="395"/>
      <c r="PP28" s="394"/>
      <c r="PU28" s="386" t="s">
        <v>1898</v>
      </c>
      <c r="PV28" s="387" t="s">
        <v>287</v>
      </c>
      <c r="PW28" s="390">
        <f ca="1">PW93</f>
        <v>0</v>
      </c>
      <c r="PX28" s="390">
        <f t="shared" ref="PX28:PZ28" ca="1" si="842">PX93</f>
        <v>0</v>
      </c>
      <c r="PY28" s="390">
        <f t="shared" ca="1" si="842"/>
        <v>0</v>
      </c>
      <c r="PZ28" s="390">
        <f t="shared" ca="1" si="842"/>
        <v>0</v>
      </c>
      <c r="QB28" s="394"/>
      <c r="QC28" s="394"/>
      <c r="QD28" s="395"/>
      <c r="QE28" s="394"/>
    </row>
    <row r="29" spans="1:453" x14ac:dyDescent="0.25">
      <c r="A29" s="1315"/>
      <c r="H29" s="386" t="s">
        <v>1899</v>
      </c>
      <c r="I29" s="387" t="s">
        <v>287</v>
      </c>
      <c r="J29" s="390">
        <f ca="1">J96</f>
        <v>16273.076000000001</v>
      </c>
      <c r="K29" s="390">
        <f ca="1">K96</f>
        <v>16273.076000000001</v>
      </c>
      <c r="R29" s="386" t="s">
        <v>1899</v>
      </c>
      <c r="S29" s="387" t="s">
        <v>287</v>
      </c>
      <c r="T29" s="390">
        <f ca="1">T96</f>
        <v>16273.076000000001</v>
      </c>
      <c r="U29" s="390">
        <f t="shared" ref="U29:AD29" ca="1" si="843">U96</f>
        <v>0</v>
      </c>
      <c r="V29" s="390">
        <f t="shared" ca="1" si="843"/>
        <v>0</v>
      </c>
      <c r="W29" s="390">
        <f t="shared" ca="1" si="843"/>
        <v>0</v>
      </c>
      <c r="X29" s="390">
        <f t="shared" ca="1" si="843"/>
        <v>0</v>
      </c>
      <c r="Y29" s="390">
        <f t="shared" ca="1" si="843"/>
        <v>423.09997600000003</v>
      </c>
      <c r="Z29" s="390">
        <f t="shared" ca="1" si="843"/>
        <v>0</v>
      </c>
      <c r="AA29" s="390">
        <f t="shared" ca="1" si="843"/>
        <v>423.09997600000003</v>
      </c>
      <c r="AB29" s="390">
        <f t="shared" ca="1" si="843"/>
        <v>0</v>
      </c>
      <c r="AC29" s="390">
        <f t="shared" ca="1" si="843"/>
        <v>0</v>
      </c>
      <c r="AD29" s="390">
        <f t="shared" ca="1" si="843"/>
        <v>0</v>
      </c>
      <c r="AF29" s="394"/>
      <c r="AG29" s="395"/>
      <c r="AH29" s="394"/>
      <c r="AI29" s="394"/>
      <c r="AK29" s="386" t="s">
        <v>1899</v>
      </c>
      <c r="AL29" s="387" t="s">
        <v>287</v>
      </c>
      <c r="AM29" s="390">
        <f ca="1">AM96</f>
        <v>0</v>
      </c>
      <c r="AN29" s="390">
        <f t="shared" ref="AN29:BB29" ca="1" si="844">AN96</f>
        <v>0</v>
      </c>
      <c r="AO29" s="390">
        <f t="shared" ref="AO29:AS29" ca="1" si="845">AO96</f>
        <v>423.09997600000003</v>
      </c>
      <c r="AP29" s="390">
        <f t="shared" ca="1" si="845"/>
        <v>423.09997600000003</v>
      </c>
      <c r="AQ29" s="390">
        <f t="shared" ca="1" si="845"/>
        <v>0</v>
      </c>
      <c r="AR29" s="390">
        <f t="shared" ca="1" si="845"/>
        <v>0</v>
      </c>
      <c r="AS29" s="390">
        <f t="shared" ca="1" si="845"/>
        <v>0</v>
      </c>
      <c r="AT29" s="390">
        <f t="shared" ca="1" si="844"/>
        <v>0</v>
      </c>
      <c r="AU29" s="390">
        <f t="shared" ca="1" si="844"/>
        <v>0</v>
      </c>
      <c r="AV29" s="390">
        <f t="shared" ca="1" si="844"/>
        <v>423.09997600000003</v>
      </c>
      <c r="AW29" s="390">
        <f t="shared" ca="1" si="844"/>
        <v>0</v>
      </c>
      <c r="AX29" s="390">
        <f t="shared" ca="1" si="844"/>
        <v>0</v>
      </c>
      <c r="AY29" s="390">
        <f t="shared" ca="1" si="844"/>
        <v>0</v>
      </c>
      <c r="AZ29" s="390">
        <f t="shared" ca="1" si="844"/>
        <v>0</v>
      </c>
      <c r="BA29" s="390">
        <f t="shared" ca="1" si="844"/>
        <v>0</v>
      </c>
      <c r="BB29" s="390">
        <f t="shared" ca="1" si="844"/>
        <v>423.09997600000003</v>
      </c>
      <c r="BD29" s="394"/>
      <c r="BE29" s="394"/>
      <c r="BF29" s="395"/>
      <c r="BG29" s="394"/>
      <c r="BL29" s="386" t="s">
        <v>1899</v>
      </c>
      <c r="BM29" s="387" t="s">
        <v>287</v>
      </c>
      <c r="BN29" s="390">
        <f ca="1">BN96</f>
        <v>42.309997600000003</v>
      </c>
      <c r="BO29" s="390">
        <f t="shared" ref="BO29:BR29" ca="1" si="846">BO96</f>
        <v>42.309997600000003</v>
      </c>
      <c r="BP29" s="390">
        <f t="shared" ca="1" si="846"/>
        <v>0</v>
      </c>
      <c r="BQ29" s="390">
        <f t="shared" ca="1" si="846"/>
        <v>0</v>
      </c>
      <c r="BR29" s="390">
        <f t="shared" ca="1" si="846"/>
        <v>0</v>
      </c>
      <c r="BT29" s="394"/>
      <c r="BU29" s="394"/>
      <c r="BV29" s="395"/>
      <c r="BW29" s="394"/>
      <c r="CB29" s="386" t="s">
        <v>1899</v>
      </c>
      <c r="CC29" s="387" t="s">
        <v>287</v>
      </c>
      <c r="CD29" s="390">
        <f ca="1">CD96</f>
        <v>423.09997600000003</v>
      </c>
      <c r="CE29" s="390">
        <f t="shared" ref="CE29:CO29" ca="1" si="847">CE96</f>
        <v>423.09997600000003</v>
      </c>
      <c r="CF29" s="390">
        <f t="shared" ca="1" si="847"/>
        <v>42.309997600000003</v>
      </c>
      <c r="CG29" s="390">
        <f t="shared" ca="1" si="847"/>
        <v>42.309997600000003</v>
      </c>
      <c r="CH29" s="390">
        <f t="shared" ca="1" si="847"/>
        <v>423.09997600000003</v>
      </c>
      <c r="CI29" s="390">
        <f t="shared" ca="1" si="847"/>
        <v>0</v>
      </c>
      <c r="CJ29" s="390">
        <f t="shared" ca="1" si="847"/>
        <v>0</v>
      </c>
      <c r="CK29" s="390">
        <f t="shared" ca="1" si="847"/>
        <v>423.09997600000003</v>
      </c>
      <c r="CL29" s="390">
        <f t="shared" ca="1" si="847"/>
        <v>0</v>
      </c>
      <c r="CM29" s="390">
        <f t="shared" ca="1" si="847"/>
        <v>0</v>
      </c>
      <c r="CN29" s="390">
        <f t="shared" ca="1" si="847"/>
        <v>423.09997600000003</v>
      </c>
      <c r="CO29" s="390">
        <f t="shared" ca="1" si="847"/>
        <v>0</v>
      </c>
      <c r="CQ29" s="394"/>
      <c r="CR29" s="394"/>
      <c r="CS29" s="395"/>
      <c r="CT29" s="394"/>
      <c r="CY29" s="386" t="s">
        <v>1899</v>
      </c>
      <c r="CZ29" s="387" t="s">
        <v>287</v>
      </c>
      <c r="DA29" s="390">
        <f ca="1">DA96</f>
        <v>0</v>
      </c>
      <c r="DB29" s="390">
        <f t="shared" ref="DB29:DJ29" ca="1" si="848">DB96</f>
        <v>0</v>
      </c>
      <c r="DC29" s="390">
        <f t="shared" ca="1" si="848"/>
        <v>0</v>
      </c>
      <c r="DD29" s="390">
        <f t="shared" ca="1" si="848"/>
        <v>0</v>
      </c>
      <c r="DE29" s="390">
        <f t="shared" ca="1" si="848"/>
        <v>0</v>
      </c>
      <c r="DF29" s="390">
        <f t="shared" ca="1" si="848"/>
        <v>0</v>
      </c>
      <c r="DG29" s="390">
        <f t="shared" ca="1" si="848"/>
        <v>0</v>
      </c>
      <c r="DH29" s="390">
        <f t="shared" ca="1" si="848"/>
        <v>0</v>
      </c>
      <c r="DI29" s="390">
        <f t="shared" ca="1" si="848"/>
        <v>0</v>
      </c>
      <c r="DJ29" s="390">
        <f t="shared" ca="1" si="848"/>
        <v>0</v>
      </c>
      <c r="DL29" s="394"/>
      <c r="DM29" s="394"/>
      <c r="DN29" s="395"/>
      <c r="DO29" s="394"/>
      <c r="DT29" s="386" t="s">
        <v>1899</v>
      </c>
      <c r="DU29" s="387" t="s">
        <v>287</v>
      </c>
      <c r="DV29" s="390">
        <f ca="1">DV96</f>
        <v>0</v>
      </c>
      <c r="DW29" s="390">
        <f t="shared" ref="DW29:EK29" ca="1" si="849">DW96</f>
        <v>0</v>
      </c>
      <c r="DX29" s="390">
        <f t="shared" ca="1" si="849"/>
        <v>0</v>
      </c>
      <c r="DY29" s="390">
        <f t="shared" ca="1" si="849"/>
        <v>0</v>
      </c>
      <c r="DZ29" s="390">
        <f t="shared" ca="1" si="849"/>
        <v>0</v>
      </c>
      <c r="EA29" s="390">
        <f t="shared" ca="1" si="849"/>
        <v>0</v>
      </c>
      <c r="EB29" s="390">
        <f t="shared" ca="1" si="849"/>
        <v>0</v>
      </c>
      <c r="EC29" s="390">
        <f t="shared" ca="1" si="849"/>
        <v>0</v>
      </c>
      <c r="ED29" s="390">
        <f t="shared" ca="1" si="849"/>
        <v>0</v>
      </c>
      <c r="EE29" s="390">
        <f t="shared" ca="1" si="849"/>
        <v>0</v>
      </c>
      <c r="EF29" s="390">
        <f t="shared" ca="1" si="849"/>
        <v>0</v>
      </c>
      <c r="EG29" s="390">
        <f t="shared" ca="1" si="849"/>
        <v>0</v>
      </c>
      <c r="EH29" s="390">
        <f t="shared" ca="1" si="849"/>
        <v>0</v>
      </c>
      <c r="EI29" s="390">
        <f t="shared" ca="1" si="849"/>
        <v>0</v>
      </c>
      <c r="EJ29" s="390">
        <f t="shared" ref="EJ29" ca="1" si="850">EJ96</f>
        <v>0</v>
      </c>
      <c r="EK29" s="390">
        <f t="shared" ca="1" si="849"/>
        <v>0</v>
      </c>
      <c r="EM29" s="394"/>
      <c r="EN29" s="394"/>
      <c r="EO29" s="395"/>
      <c r="EP29" s="394"/>
      <c r="EU29" s="386" t="s">
        <v>1899</v>
      </c>
      <c r="EV29" s="387" t="s">
        <v>287</v>
      </c>
      <c r="EW29" s="390">
        <f ca="1">EW96</f>
        <v>423.09997600000003</v>
      </c>
      <c r="EX29" s="390">
        <f t="shared" ref="EX29:FB29" ca="1" si="851">EX96</f>
        <v>423.09997600000003</v>
      </c>
      <c r="EY29" s="390">
        <f t="shared" ca="1" si="851"/>
        <v>423.09997600000003</v>
      </c>
      <c r="EZ29" s="390">
        <f t="shared" ca="1" si="851"/>
        <v>423.09997600000003</v>
      </c>
      <c r="FA29" s="390">
        <f t="shared" ca="1" si="851"/>
        <v>0</v>
      </c>
      <c r="FB29" s="390">
        <f t="shared" ca="1" si="851"/>
        <v>0</v>
      </c>
      <c r="FD29" s="394"/>
      <c r="FE29" s="394"/>
      <c r="FF29" s="395"/>
      <c r="FG29" s="394"/>
      <c r="FL29" s="386" t="s">
        <v>1899</v>
      </c>
      <c r="FM29" s="387" t="s">
        <v>287</v>
      </c>
      <c r="FN29" s="390">
        <f ca="1">FN96</f>
        <v>0</v>
      </c>
      <c r="FO29" s="390">
        <f t="shared" ref="FO29:FX29" ca="1" si="852">FO96</f>
        <v>0</v>
      </c>
      <c r="FP29" s="390">
        <f t="shared" ca="1" si="852"/>
        <v>0</v>
      </c>
      <c r="FQ29" s="390">
        <f t="shared" ca="1" si="852"/>
        <v>0</v>
      </c>
      <c r="FR29" s="390">
        <f t="shared" ca="1" si="852"/>
        <v>0</v>
      </c>
      <c r="FS29" s="390">
        <f t="shared" ca="1" si="852"/>
        <v>0</v>
      </c>
      <c r="FT29" s="390">
        <f t="shared" ca="1" si="852"/>
        <v>0</v>
      </c>
      <c r="FU29" s="390">
        <f t="shared" ca="1" si="852"/>
        <v>0</v>
      </c>
      <c r="FV29" s="390">
        <f t="shared" ca="1" si="852"/>
        <v>0</v>
      </c>
      <c r="FW29" s="390">
        <f t="shared" ca="1" si="852"/>
        <v>0</v>
      </c>
      <c r="FX29" s="390">
        <f t="shared" ca="1" si="852"/>
        <v>0</v>
      </c>
      <c r="FZ29" s="394"/>
      <c r="GA29" s="394"/>
      <c r="GB29" s="395"/>
      <c r="GC29" s="394"/>
      <c r="GH29" s="386" t="s">
        <v>1899</v>
      </c>
      <c r="GI29" s="387" t="s">
        <v>287</v>
      </c>
      <c r="GJ29" s="390">
        <f ca="1">GJ96</f>
        <v>0</v>
      </c>
      <c r="GK29" s="390">
        <f t="shared" ref="GK29:GQ29" ca="1" si="853">GK96</f>
        <v>0</v>
      </c>
      <c r="GL29" s="390">
        <f t="shared" ca="1" si="853"/>
        <v>0</v>
      </c>
      <c r="GM29" s="390">
        <f t="shared" ca="1" si="853"/>
        <v>0</v>
      </c>
      <c r="GN29" s="390">
        <f t="shared" ca="1" si="853"/>
        <v>0</v>
      </c>
      <c r="GO29" s="390">
        <f t="shared" ca="1" si="853"/>
        <v>0</v>
      </c>
      <c r="GP29" s="390">
        <f t="shared" ca="1" si="853"/>
        <v>0</v>
      </c>
      <c r="GQ29" s="390">
        <f t="shared" ca="1" si="853"/>
        <v>0</v>
      </c>
      <c r="GS29" s="394"/>
      <c r="GT29" s="394"/>
      <c r="GU29" s="395"/>
      <c r="GV29" s="394"/>
      <c r="HA29" s="386" t="s">
        <v>1899</v>
      </c>
      <c r="HB29" s="387" t="s">
        <v>287</v>
      </c>
      <c r="HC29" s="390">
        <f ca="1">HC96</f>
        <v>423.09997600000003</v>
      </c>
      <c r="HD29" s="390">
        <f t="shared" ref="HD29:HH29" ca="1" si="854">HD96</f>
        <v>8.4619995299999999</v>
      </c>
      <c r="HE29" s="390">
        <f t="shared" ca="1" si="854"/>
        <v>0</v>
      </c>
      <c r="HF29" s="390">
        <f t="shared" ca="1" si="854"/>
        <v>0</v>
      </c>
      <c r="HG29" s="390">
        <f t="shared" ca="1" si="854"/>
        <v>414.63797699999998</v>
      </c>
      <c r="HH29" s="390">
        <f t="shared" ca="1" si="854"/>
        <v>8.4619995299999999</v>
      </c>
      <c r="HJ29" s="394"/>
      <c r="HK29" s="394"/>
      <c r="HL29" s="395"/>
      <c r="HM29" s="394"/>
      <c r="HN29" s="395"/>
      <c r="HO29" s="394"/>
      <c r="HP29" s="896"/>
      <c r="HR29" s="386" t="s">
        <v>1899</v>
      </c>
      <c r="HS29" s="387" t="s">
        <v>287</v>
      </c>
      <c r="HT29" s="390">
        <f ca="1">HT96</f>
        <v>0</v>
      </c>
      <c r="HU29" s="390">
        <f t="shared" ref="HU29:IE29" ca="1" si="855">HU96</f>
        <v>8.4619995299999999</v>
      </c>
      <c r="HV29" s="390">
        <f t="shared" ca="1" si="855"/>
        <v>8.4619995299999999</v>
      </c>
      <c r="HW29" s="390">
        <f t="shared" ca="1" si="855"/>
        <v>8.4619995299999999</v>
      </c>
      <c r="HX29" s="390">
        <f t="shared" ca="1" si="855"/>
        <v>2.16627188</v>
      </c>
      <c r="HY29" s="390">
        <f t="shared" ca="1" si="855"/>
        <v>6.2957276499999999</v>
      </c>
      <c r="HZ29" s="390">
        <f t="shared" ca="1" si="855"/>
        <v>0</v>
      </c>
      <c r="IA29" s="390">
        <f t="shared" ca="1" si="855"/>
        <v>0</v>
      </c>
      <c r="IB29" s="390">
        <f t="shared" ca="1" si="855"/>
        <v>0</v>
      </c>
      <c r="IC29" s="390">
        <f t="shared" ca="1" si="855"/>
        <v>0</v>
      </c>
      <c r="ID29" s="390">
        <f t="shared" ca="1" si="855"/>
        <v>0</v>
      </c>
      <c r="IE29" s="390">
        <f t="shared" ca="1" si="855"/>
        <v>0</v>
      </c>
      <c r="IG29" s="394"/>
      <c r="IH29" s="394"/>
      <c r="II29" s="395"/>
      <c r="IJ29" s="394"/>
      <c r="IO29" s="386" t="s">
        <v>1899</v>
      </c>
      <c r="IP29" s="387" t="s">
        <v>287</v>
      </c>
      <c r="IQ29" s="390">
        <f ca="1">IQ96</f>
        <v>2.16627188</v>
      </c>
      <c r="IR29" s="390">
        <f t="shared" ref="IR29:JH29" ca="1" si="856">IR96</f>
        <v>6.2957276499999999</v>
      </c>
      <c r="IS29" s="390">
        <f t="shared" ca="1" si="856"/>
        <v>2.61164028</v>
      </c>
      <c r="IT29" s="390">
        <f t="shared" ca="1" si="856"/>
        <v>8.9073679200000004</v>
      </c>
      <c r="IU29" s="390">
        <f t="shared" ref="IU29" ca="1" si="857">IU96</f>
        <v>0.445368396</v>
      </c>
      <c r="IV29" s="390">
        <f t="shared" ca="1" si="856"/>
        <v>65.291006899999999</v>
      </c>
      <c r="IW29" s="390">
        <f t="shared" ca="1" si="856"/>
        <v>62.679366600000002</v>
      </c>
      <c r="IX29" s="390">
        <f t="shared" ref="IX29" ca="1" si="858">IX96</f>
        <v>0</v>
      </c>
      <c r="IY29" s="390">
        <f t="shared" ca="1" si="856"/>
        <v>8.4619995299999999</v>
      </c>
      <c r="IZ29" s="390">
        <f t="shared" ca="1" si="856"/>
        <v>0</v>
      </c>
      <c r="JA29" s="390">
        <f t="shared" ca="1" si="856"/>
        <v>65.291006899999999</v>
      </c>
      <c r="JB29" s="390">
        <f t="shared" ca="1" si="856"/>
        <v>0</v>
      </c>
      <c r="JC29" s="390">
        <f t="shared" ca="1" si="856"/>
        <v>0</v>
      </c>
      <c r="JD29" s="390">
        <f t="shared" ca="1" si="856"/>
        <v>0</v>
      </c>
      <c r="JE29" s="390">
        <f t="shared" ca="1" si="856"/>
        <v>0</v>
      </c>
      <c r="JF29" s="390">
        <f t="shared" ca="1" si="856"/>
        <v>0</v>
      </c>
      <c r="JG29" s="390">
        <f t="shared" ca="1" si="856"/>
        <v>0</v>
      </c>
      <c r="JH29" s="390">
        <f t="shared" ca="1" si="856"/>
        <v>0</v>
      </c>
      <c r="JJ29" s="394"/>
      <c r="JK29" s="394"/>
      <c r="JL29" s="395"/>
      <c r="JM29" s="394"/>
      <c r="JR29" s="386" t="s">
        <v>1899</v>
      </c>
      <c r="JS29" s="387" t="s">
        <v>287</v>
      </c>
      <c r="JT29" s="390">
        <f ca="1">JT96</f>
        <v>0</v>
      </c>
      <c r="JU29" s="390">
        <f t="shared" ref="JU29:KC29" ca="1" si="859">JU96</f>
        <v>0</v>
      </c>
      <c r="JV29" s="390">
        <f t="shared" ca="1" si="859"/>
        <v>0</v>
      </c>
      <c r="JW29" s="390">
        <f t="shared" ca="1" si="859"/>
        <v>0</v>
      </c>
      <c r="JX29" s="390">
        <f t="shared" ca="1" si="859"/>
        <v>0</v>
      </c>
      <c r="JY29" s="390">
        <f t="shared" ca="1" si="859"/>
        <v>0</v>
      </c>
      <c r="JZ29" s="390">
        <f t="shared" ca="1" si="859"/>
        <v>0</v>
      </c>
      <c r="KA29" s="390">
        <f t="shared" ca="1" si="859"/>
        <v>0</v>
      </c>
      <c r="KB29" s="390">
        <f t="shared" ca="1" si="859"/>
        <v>0</v>
      </c>
      <c r="KC29" s="390">
        <f t="shared" ca="1" si="859"/>
        <v>0</v>
      </c>
      <c r="KE29" s="394"/>
      <c r="KJ29" s="386" t="s">
        <v>1899</v>
      </c>
      <c r="KK29" s="387" t="s">
        <v>287</v>
      </c>
      <c r="KL29" s="390">
        <f ca="1">KL96</f>
        <v>0</v>
      </c>
      <c r="KM29" s="390">
        <f t="shared" ref="KM29:KR29" ca="1" si="860">KM96</f>
        <v>0</v>
      </c>
      <c r="KN29" s="390">
        <f t="shared" ca="1" si="860"/>
        <v>0</v>
      </c>
      <c r="KO29" s="390">
        <f t="shared" ca="1" si="860"/>
        <v>0</v>
      </c>
      <c r="KP29" s="390">
        <f t="shared" ca="1" si="860"/>
        <v>0</v>
      </c>
      <c r="KQ29" s="390">
        <f t="shared" ca="1" si="860"/>
        <v>0</v>
      </c>
      <c r="KR29" s="390">
        <f t="shared" ca="1" si="860"/>
        <v>0</v>
      </c>
      <c r="KT29" s="394"/>
      <c r="KY29" s="386" t="s">
        <v>1899</v>
      </c>
      <c r="KZ29" s="387" t="s">
        <v>287</v>
      </c>
      <c r="LA29" s="390">
        <f ca="1">LA96</f>
        <v>0</v>
      </c>
      <c r="LB29" s="390">
        <f t="shared" ref="LB29:LK29" ca="1" si="861">LB96</f>
        <v>0</v>
      </c>
      <c r="LC29" s="390">
        <f t="shared" ca="1" si="861"/>
        <v>0</v>
      </c>
      <c r="LD29" s="390">
        <f t="shared" ca="1" si="861"/>
        <v>0</v>
      </c>
      <c r="LE29" s="390">
        <f t="shared" ca="1" si="861"/>
        <v>0</v>
      </c>
      <c r="LF29" s="390">
        <f t="shared" ca="1" si="861"/>
        <v>0</v>
      </c>
      <c r="LG29" s="390">
        <f t="shared" ca="1" si="861"/>
        <v>0</v>
      </c>
      <c r="LH29" s="390">
        <f t="shared" ca="1" si="861"/>
        <v>0</v>
      </c>
      <c r="LI29" s="390">
        <f t="shared" ca="1" si="861"/>
        <v>0</v>
      </c>
      <c r="LJ29" s="390">
        <f t="shared" ca="1" si="861"/>
        <v>0</v>
      </c>
      <c r="LK29" s="390">
        <f t="shared" ca="1" si="861"/>
        <v>0</v>
      </c>
      <c r="LM29" s="394"/>
      <c r="LN29" s="394"/>
      <c r="LO29" s="395"/>
      <c r="LP29" s="394"/>
      <c r="LU29" s="386" t="s">
        <v>1899</v>
      </c>
      <c r="LV29" s="387" t="s">
        <v>287</v>
      </c>
      <c r="LW29" s="390">
        <f ca="1">LW96</f>
        <v>0</v>
      </c>
      <c r="LX29" s="390">
        <f ca="1">LX96</f>
        <v>0</v>
      </c>
      <c r="LY29" s="390">
        <f t="shared" ref="LY29:MO29" ca="1" si="862">LY96</f>
        <v>414.63797699999998</v>
      </c>
      <c r="LZ29" s="390">
        <f t="shared" ca="1" si="862"/>
        <v>8.4619995299999999</v>
      </c>
      <c r="MA29" s="390">
        <f t="shared" ca="1" si="862"/>
        <v>423.09997600000003</v>
      </c>
      <c r="MB29" s="390">
        <f t="shared" ca="1" si="862"/>
        <v>0</v>
      </c>
      <c r="MC29" s="390">
        <f t="shared" ca="1" si="862"/>
        <v>0</v>
      </c>
      <c r="MD29" s="390">
        <f t="shared" ca="1" si="862"/>
        <v>0</v>
      </c>
      <c r="ME29" s="390">
        <f t="shared" ca="1" si="862"/>
        <v>0</v>
      </c>
      <c r="MF29" s="390">
        <f t="shared" ca="1" si="862"/>
        <v>0</v>
      </c>
      <c r="MG29" s="390">
        <f t="shared" ca="1" si="862"/>
        <v>0</v>
      </c>
      <c r="MH29" s="390">
        <f t="shared" ref="MH29:MI29" ca="1" si="863">MH96</f>
        <v>0</v>
      </c>
      <c r="MI29" s="390">
        <f t="shared" ca="1" si="863"/>
        <v>0</v>
      </c>
      <c r="MJ29" s="390">
        <f t="shared" ca="1" si="862"/>
        <v>0</v>
      </c>
      <c r="MK29" s="390">
        <f t="shared" ca="1" si="862"/>
        <v>0</v>
      </c>
      <c r="ML29" s="390">
        <f t="shared" ca="1" si="862"/>
        <v>0</v>
      </c>
      <c r="MM29" s="390">
        <f t="shared" ca="1" si="862"/>
        <v>0</v>
      </c>
      <c r="MN29" s="390">
        <f t="shared" ca="1" si="862"/>
        <v>0</v>
      </c>
      <c r="MO29" s="390">
        <f t="shared" ca="1" si="862"/>
        <v>0</v>
      </c>
      <c r="MQ29" s="394"/>
      <c r="MR29" s="394"/>
      <c r="MS29" s="395"/>
      <c r="MT29" s="394"/>
      <c r="MY29" s="386" t="s">
        <v>1899</v>
      </c>
      <c r="MZ29" s="387" t="s">
        <v>287</v>
      </c>
      <c r="NA29" s="390">
        <f ca="1">NA96</f>
        <v>0</v>
      </c>
      <c r="NB29" s="390">
        <f t="shared" ref="NB29:NP29" ca="1" si="864">NB96</f>
        <v>0</v>
      </c>
      <c r="NC29" s="390">
        <f t="shared" ca="1" si="864"/>
        <v>0</v>
      </c>
      <c r="ND29" s="390">
        <f t="shared" ca="1" si="864"/>
        <v>0</v>
      </c>
      <c r="NE29" s="390">
        <f t="shared" ca="1" si="864"/>
        <v>0</v>
      </c>
      <c r="NF29" s="390">
        <f t="shared" ca="1" si="864"/>
        <v>0</v>
      </c>
      <c r="NG29" s="390">
        <f t="shared" ca="1" si="864"/>
        <v>0</v>
      </c>
      <c r="NH29" s="390">
        <f t="shared" ca="1" si="864"/>
        <v>0</v>
      </c>
      <c r="NI29" s="390">
        <f t="shared" ca="1" si="864"/>
        <v>0</v>
      </c>
      <c r="NJ29" s="390">
        <f t="shared" ca="1" si="864"/>
        <v>0</v>
      </c>
      <c r="NK29" s="390">
        <f t="shared" ca="1" si="864"/>
        <v>0</v>
      </c>
      <c r="NL29" s="390">
        <f t="shared" ca="1" si="864"/>
        <v>0</v>
      </c>
      <c r="NM29" s="390">
        <f t="shared" ca="1" si="864"/>
        <v>0</v>
      </c>
      <c r="NN29" s="390">
        <f t="shared" ca="1" si="864"/>
        <v>0</v>
      </c>
      <c r="NO29" s="390">
        <f t="shared" ca="1" si="864"/>
        <v>0</v>
      </c>
      <c r="NP29" s="390">
        <f t="shared" ca="1" si="864"/>
        <v>0</v>
      </c>
      <c r="NR29" s="394"/>
      <c r="NS29" s="394"/>
      <c r="NT29" s="395"/>
      <c r="NU29" s="394"/>
      <c r="NZ29" s="394"/>
      <c r="OA29" s="394"/>
      <c r="OF29" s="386" t="s">
        <v>1899</v>
      </c>
      <c r="OG29" s="387" t="s">
        <v>287</v>
      </c>
      <c r="OH29" s="390">
        <f ca="1">OH96</f>
        <v>0</v>
      </c>
      <c r="OI29" s="390">
        <f t="shared" ref="OI29:OO29" ca="1" si="865">OI96</f>
        <v>0</v>
      </c>
      <c r="OJ29" s="390">
        <f t="shared" ca="1" si="865"/>
        <v>0</v>
      </c>
      <c r="OK29" s="390">
        <f t="shared" ca="1" si="865"/>
        <v>0</v>
      </c>
      <c r="OL29" s="390">
        <f t="shared" ca="1" si="865"/>
        <v>0</v>
      </c>
      <c r="OM29" s="390">
        <f t="shared" ca="1" si="865"/>
        <v>0</v>
      </c>
      <c r="ON29" s="390">
        <f t="shared" ca="1" si="865"/>
        <v>0</v>
      </c>
      <c r="OO29" s="390">
        <f t="shared" ca="1" si="865"/>
        <v>0</v>
      </c>
      <c r="OQ29" s="394"/>
      <c r="OR29" s="394"/>
      <c r="OS29" s="395"/>
      <c r="OT29" s="394"/>
      <c r="OU29" s="896"/>
      <c r="OV29" s="896"/>
      <c r="OW29" s="896"/>
      <c r="OY29" s="386" t="s">
        <v>1899</v>
      </c>
      <c r="OZ29" s="387" t="s">
        <v>287</v>
      </c>
      <c r="PA29" s="390">
        <f ca="1">PA96</f>
        <v>0</v>
      </c>
      <c r="PB29" s="390">
        <f t="shared" ref="PB29:PK29" ca="1" si="866">PB96</f>
        <v>0</v>
      </c>
      <c r="PC29" s="390">
        <f t="shared" ca="1" si="866"/>
        <v>0</v>
      </c>
      <c r="PD29" s="390">
        <f t="shared" ca="1" si="866"/>
        <v>0</v>
      </c>
      <c r="PE29" s="390">
        <f t="shared" ca="1" si="866"/>
        <v>0</v>
      </c>
      <c r="PF29" s="390">
        <f t="shared" ca="1" si="866"/>
        <v>0</v>
      </c>
      <c r="PG29" s="390">
        <f t="shared" ca="1" si="866"/>
        <v>0</v>
      </c>
      <c r="PH29" s="390">
        <f t="shared" ca="1" si="866"/>
        <v>0</v>
      </c>
      <c r="PI29" s="390">
        <f t="shared" ca="1" si="866"/>
        <v>0</v>
      </c>
      <c r="PJ29" s="390">
        <f t="shared" ca="1" si="866"/>
        <v>0</v>
      </c>
      <c r="PK29" s="390">
        <f t="shared" ca="1" si="866"/>
        <v>0</v>
      </c>
      <c r="PM29" s="394"/>
      <c r="PN29" s="394"/>
      <c r="PO29" s="395"/>
      <c r="PP29" s="394"/>
      <c r="PU29" s="386" t="s">
        <v>1899</v>
      </c>
      <c r="PV29" s="387" t="s">
        <v>287</v>
      </c>
      <c r="PW29" s="390">
        <f ca="1">PW96</f>
        <v>0</v>
      </c>
      <c r="PX29" s="390">
        <f t="shared" ref="PX29:PZ29" ca="1" si="867">PX96</f>
        <v>0</v>
      </c>
      <c r="PY29" s="390">
        <f t="shared" ca="1" si="867"/>
        <v>0</v>
      </c>
      <c r="PZ29" s="390">
        <f t="shared" ca="1" si="867"/>
        <v>0</v>
      </c>
      <c r="QB29" s="394"/>
      <c r="QC29" s="394"/>
      <c r="QD29" s="395"/>
      <c r="QE29" s="394"/>
    </row>
    <row r="30" spans="1:453" x14ac:dyDescent="0.25">
      <c r="A30" s="1315"/>
      <c r="H30" s="386" t="s">
        <v>3303</v>
      </c>
      <c r="I30" s="387" t="s">
        <v>287</v>
      </c>
      <c r="J30" s="390">
        <f ca="1">J94+J95+J97</f>
        <v>3674.5655509999997</v>
      </c>
      <c r="K30" s="390">
        <f ca="1">K94+K95+K97</f>
        <v>3674.5655509999997</v>
      </c>
      <c r="R30" s="386" t="s">
        <v>3303</v>
      </c>
      <c r="S30" s="387" t="s">
        <v>287</v>
      </c>
      <c r="T30" s="390">
        <f ca="1">T94+T95+T97</f>
        <v>3674.5655509999997</v>
      </c>
      <c r="U30" s="390">
        <f t="shared" ref="U30:AD30" ca="1" si="868">U94+U95+U97</f>
        <v>0</v>
      </c>
      <c r="V30" s="390">
        <f t="shared" ca="1" si="868"/>
        <v>0</v>
      </c>
      <c r="W30" s="390">
        <f t="shared" ca="1" si="868"/>
        <v>0</v>
      </c>
      <c r="X30" s="390">
        <f t="shared" ca="1" si="868"/>
        <v>0</v>
      </c>
      <c r="Y30" s="390">
        <f t="shared" ca="1" si="868"/>
        <v>95.5387044</v>
      </c>
      <c r="Z30" s="390">
        <f t="shared" ca="1" si="868"/>
        <v>0</v>
      </c>
      <c r="AA30" s="390">
        <f t="shared" ca="1" si="868"/>
        <v>95.5387044</v>
      </c>
      <c r="AB30" s="390">
        <f t="shared" ca="1" si="868"/>
        <v>0</v>
      </c>
      <c r="AC30" s="390">
        <f t="shared" ca="1" si="868"/>
        <v>0</v>
      </c>
      <c r="AD30" s="390">
        <f t="shared" ca="1" si="868"/>
        <v>0</v>
      </c>
      <c r="AF30" s="394"/>
      <c r="AG30" s="395"/>
      <c r="AH30" s="394"/>
      <c r="AI30" s="394"/>
      <c r="AK30" s="386" t="s">
        <v>3303</v>
      </c>
      <c r="AL30" s="387" t="s">
        <v>287</v>
      </c>
      <c r="AM30" s="390">
        <f ca="1">AM94+AM95+AM97</f>
        <v>0</v>
      </c>
      <c r="AN30" s="390">
        <f t="shared" ref="AN30:BB30" ca="1" si="869">AN94+AN95+AN97</f>
        <v>0</v>
      </c>
      <c r="AO30" s="390">
        <f t="shared" ref="AO30:AS30" ca="1" si="870">AO94+AO95+AO97</f>
        <v>95.5387044</v>
      </c>
      <c r="AP30" s="390">
        <f t="shared" ca="1" si="870"/>
        <v>95.5387044</v>
      </c>
      <c r="AQ30" s="390">
        <f t="shared" ca="1" si="870"/>
        <v>0</v>
      </c>
      <c r="AR30" s="390">
        <f t="shared" ca="1" si="870"/>
        <v>0</v>
      </c>
      <c r="AS30" s="390">
        <f t="shared" ca="1" si="870"/>
        <v>0</v>
      </c>
      <c r="AT30" s="390">
        <f t="shared" ca="1" si="869"/>
        <v>0</v>
      </c>
      <c r="AU30" s="390">
        <f t="shared" ca="1" si="869"/>
        <v>0</v>
      </c>
      <c r="AV30" s="390">
        <f t="shared" ca="1" si="869"/>
        <v>95.5387044</v>
      </c>
      <c r="AW30" s="390">
        <f t="shared" ca="1" si="869"/>
        <v>0</v>
      </c>
      <c r="AX30" s="390">
        <f t="shared" ca="1" si="869"/>
        <v>0</v>
      </c>
      <c r="AY30" s="390">
        <f t="shared" ca="1" si="869"/>
        <v>0</v>
      </c>
      <c r="AZ30" s="390">
        <f t="shared" ca="1" si="869"/>
        <v>0</v>
      </c>
      <c r="BA30" s="390">
        <f t="shared" ca="1" si="869"/>
        <v>0</v>
      </c>
      <c r="BB30" s="390">
        <f t="shared" ca="1" si="869"/>
        <v>95.5387044</v>
      </c>
      <c r="BD30" s="394"/>
      <c r="BE30" s="394"/>
      <c r="BF30" s="395"/>
      <c r="BG30" s="394"/>
      <c r="BL30" s="386" t="s">
        <v>3303</v>
      </c>
      <c r="BM30" s="387" t="s">
        <v>287</v>
      </c>
      <c r="BN30" s="390">
        <f ca="1">BN94+BN95+BN97</f>
        <v>9.5538704400000007</v>
      </c>
      <c r="BO30" s="390">
        <f t="shared" ref="BO30:BR30" ca="1" si="871">BO94+BO95+BO97</f>
        <v>9.5538704400000007</v>
      </c>
      <c r="BP30" s="390">
        <f t="shared" ca="1" si="871"/>
        <v>0</v>
      </c>
      <c r="BQ30" s="390">
        <f t="shared" ca="1" si="871"/>
        <v>0</v>
      </c>
      <c r="BR30" s="390">
        <f t="shared" ca="1" si="871"/>
        <v>0</v>
      </c>
      <c r="BT30" s="394"/>
      <c r="BU30" s="394"/>
      <c r="BV30" s="395"/>
      <c r="BW30" s="394"/>
      <c r="CB30" s="386" t="s">
        <v>3303</v>
      </c>
      <c r="CC30" s="387" t="s">
        <v>287</v>
      </c>
      <c r="CD30" s="390">
        <f ca="1">CD94+CD95+CD97</f>
        <v>95.5387044</v>
      </c>
      <c r="CE30" s="390">
        <f t="shared" ref="CE30:CO30" ca="1" si="872">CE94+CE95+CE97</f>
        <v>95.5387044</v>
      </c>
      <c r="CF30" s="390">
        <f t="shared" ca="1" si="872"/>
        <v>9.5538704400000007</v>
      </c>
      <c r="CG30" s="390">
        <f t="shared" ca="1" si="872"/>
        <v>9.5538704400000007</v>
      </c>
      <c r="CH30" s="390">
        <f t="shared" ca="1" si="872"/>
        <v>95.5387044</v>
      </c>
      <c r="CI30" s="390">
        <f t="shared" ca="1" si="872"/>
        <v>0</v>
      </c>
      <c r="CJ30" s="390">
        <f t="shared" ca="1" si="872"/>
        <v>0</v>
      </c>
      <c r="CK30" s="390">
        <f t="shared" ca="1" si="872"/>
        <v>95.5387044</v>
      </c>
      <c r="CL30" s="390">
        <f t="shared" ca="1" si="872"/>
        <v>0</v>
      </c>
      <c r="CM30" s="390">
        <f t="shared" ca="1" si="872"/>
        <v>0</v>
      </c>
      <c r="CN30" s="390">
        <f t="shared" ca="1" si="872"/>
        <v>95.5387044</v>
      </c>
      <c r="CO30" s="390">
        <f t="shared" ca="1" si="872"/>
        <v>0</v>
      </c>
      <c r="CQ30" s="394"/>
      <c r="CR30" s="394"/>
      <c r="CS30" s="395"/>
      <c r="CT30" s="896"/>
      <c r="CY30" s="386" t="s">
        <v>3303</v>
      </c>
      <c r="CZ30" s="387" t="s">
        <v>287</v>
      </c>
      <c r="DA30" s="390">
        <f ca="1">DA94+DA95+DA97</f>
        <v>0</v>
      </c>
      <c r="DB30" s="390">
        <f t="shared" ref="DB30:DJ30" ca="1" si="873">DB94+DB95+DB97</f>
        <v>0</v>
      </c>
      <c r="DC30" s="390">
        <f t="shared" ca="1" si="873"/>
        <v>0</v>
      </c>
      <c r="DD30" s="390">
        <f t="shared" ca="1" si="873"/>
        <v>0</v>
      </c>
      <c r="DE30" s="390">
        <f t="shared" ca="1" si="873"/>
        <v>0</v>
      </c>
      <c r="DF30" s="390">
        <f t="shared" ca="1" si="873"/>
        <v>0</v>
      </c>
      <c r="DG30" s="390">
        <f t="shared" ca="1" si="873"/>
        <v>0</v>
      </c>
      <c r="DH30" s="390">
        <f t="shared" ca="1" si="873"/>
        <v>0</v>
      </c>
      <c r="DI30" s="390">
        <f t="shared" ca="1" si="873"/>
        <v>0</v>
      </c>
      <c r="DJ30" s="390">
        <f t="shared" ca="1" si="873"/>
        <v>0</v>
      </c>
      <c r="DL30" s="394"/>
      <c r="DM30" s="394"/>
      <c r="DN30" s="395"/>
      <c r="DO30" s="394"/>
      <c r="DT30" s="386" t="s">
        <v>3303</v>
      </c>
      <c r="DU30" s="387" t="s">
        <v>287</v>
      </c>
      <c r="DV30" s="390">
        <f ca="1">DV94+DV95+DV97</f>
        <v>0</v>
      </c>
      <c r="DW30" s="390">
        <f t="shared" ref="DW30:EK30" ca="1" si="874">DW94+DW95+DW97</f>
        <v>0</v>
      </c>
      <c r="DX30" s="390">
        <f t="shared" ca="1" si="874"/>
        <v>0</v>
      </c>
      <c r="DY30" s="390">
        <f t="shared" ca="1" si="874"/>
        <v>0</v>
      </c>
      <c r="DZ30" s="390">
        <f t="shared" ca="1" si="874"/>
        <v>0</v>
      </c>
      <c r="EA30" s="390">
        <f t="shared" ca="1" si="874"/>
        <v>0</v>
      </c>
      <c r="EB30" s="390">
        <f t="shared" ca="1" si="874"/>
        <v>0</v>
      </c>
      <c r="EC30" s="390">
        <f t="shared" ca="1" si="874"/>
        <v>0</v>
      </c>
      <c r="ED30" s="390">
        <f t="shared" ca="1" si="874"/>
        <v>0</v>
      </c>
      <c r="EE30" s="390">
        <f t="shared" ca="1" si="874"/>
        <v>0</v>
      </c>
      <c r="EF30" s="390">
        <f t="shared" ca="1" si="874"/>
        <v>0</v>
      </c>
      <c r="EG30" s="390">
        <f t="shared" ca="1" si="874"/>
        <v>0</v>
      </c>
      <c r="EH30" s="390">
        <f t="shared" ca="1" si="874"/>
        <v>0</v>
      </c>
      <c r="EI30" s="390">
        <f t="shared" ca="1" si="874"/>
        <v>0</v>
      </c>
      <c r="EJ30" s="390">
        <f t="shared" ref="EJ30" ca="1" si="875">EJ94+EJ95+EJ97</f>
        <v>0</v>
      </c>
      <c r="EK30" s="390">
        <f t="shared" ca="1" si="874"/>
        <v>0</v>
      </c>
      <c r="EM30" s="394"/>
      <c r="EN30" s="394"/>
      <c r="EO30" s="395"/>
      <c r="EP30" s="394"/>
      <c r="EU30" s="386" t="s">
        <v>3303</v>
      </c>
      <c r="EV30" s="387" t="s">
        <v>287</v>
      </c>
      <c r="EW30" s="390">
        <f ca="1">EW94+EW95+EW97</f>
        <v>95.5387044</v>
      </c>
      <c r="EX30" s="390">
        <f t="shared" ref="EX30:FB30" ca="1" si="876">EX94+EX95+EX97</f>
        <v>95.5387044</v>
      </c>
      <c r="EY30" s="390">
        <f t="shared" ca="1" si="876"/>
        <v>95.5387044</v>
      </c>
      <c r="EZ30" s="390">
        <f t="shared" ca="1" si="876"/>
        <v>95.5387044</v>
      </c>
      <c r="FA30" s="390">
        <f t="shared" ca="1" si="876"/>
        <v>0</v>
      </c>
      <c r="FB30" s="390">
        <f t="shared" ca="1" si="876"/>
        <v>0</v>
      </c>
      <c r="FD30" s="394"/>
      <c r="FE30" s="394"/>
      <c r="FF30" s="395"/>
      <c r="FG30" s="394"/>
      <c r="FL30" s="386" t="s">
        <v>3303</v>
      </c>
      <c r="FM30" s="387" t="s">
        <v>287</v>
      </c>
      <c r="FN30" s="390">
        <f ca="1">FN94+FN95+FN97</f>
        <v>0</v>
      </c>
      <c r="FO30" s="390">
        <f t="shared" ref="FO30:FX30" ca="1" si="877">FO94+FO95+FO97</f>
        <v>0</v>
      </c>
      <c r="FP30" s="390">
        <f t="shared" ca="1" si="877"/>
        <v>0</v>
      </c>
      <c r="FQ30" s="390">
        <f t="shared" ca="1" si="877"/>
        <v>0</v>
      </c>
      <c r="FR30" s="390">
        <f t="shared" ca="1" si="877"/>
        <v>0</v>
      </c>
      <c r="FS30" s="390">
        <f t="shared" ca="1" si="877"/>
        <v>0</v>
      </c>
      <c r="FT30" s="390">
        <f t="shared" ca="1" si="877"/>
        <v>0</v>
      </c>
      <c r="FU30" s="390">
        <f t="shared" ca="1" si="877"/>
        <v>0</v>
      </c>
      <c r="FV30" s="390">
        <f t="shared" ca="1" si="877"/>
        <v>0</v>
      </c>
      <c r="FW30" s="390">
        <f t="shared" ca="1" si="877"/>
        <v>0</v>
      </c>
      <c r="FX30" s="390">
        <f t="shared" ca="1" si="877"/>
        <v>0</v>
      </c>
      <c r="FZ30" s="394"/>
      <c r="GA30" s="394"/>
      <c r="GB30" s="395"/>
      <c r="GC30" s="394"/>
      <c r="GH30" s="386" t="s">
        <v>3303</v>
      </c>
      <c r="GI30" s="387" t="s">
        <v>287</v>
      </c>
      <c r="GJ30" s="390">
        <f ca="1">GJ94+GJ95+GJ97</f>
        <v>0</v>
      </c>
      <c r="GK30" s="390">
        <f t="shared" ref="GK30:GQ30" ca="1" si="878">GK94+GK95+GK97</f>
        <v>0</v>
      </c>
      <c r="GL30" s="390">
        <f t="shared" ca="1" si="878"/>
        <v>0</v>
      </c>
      <c r="GM30" s="390">
        <f t="shared" ca="1" si="878"/>
        <v>0</v>
      </c>
      <c r="GN30" s="390">
        <f t="shared" ca="1" si="878"/>
        <v>0</v>
      </c>
      <c r="GO30" s="390">
        <f t="shared" ca="1" si="878"/>
        <v>0</v>
      </c>
      <c r="GP30" s="390">
        <f t="shared" ca="1" si="878"/>
        <v>0</v>
      </c>
      <c r="GQ30" s="390">
        <f t="shared" ca="1" si="878"/>
        <v>0</v>
      </c>
      <c r="GS30" s="394"/>
      <c r="GT30" s="394"/>
      <c r="GU30" s="395"/>
      <c r="GV30" s="394"/>
      <c r="HA30" s="386" t="s">
        <v>3303</v>
      </c>
      <c r="HB30" s="387" t="s">
        <v>287</v>
      </c>
      <c r="HC30" s="390">
        <f ca="1">HC94+HC95+HC97</f>
        <v>95.5387044</v>
      </c>
      <c r="HD30" s="390">
        <f t="shared" ref="HD30:HH30" ca="1" si="879">HD94+HD95+HD97</f>
        <v>1.9107740849999999</v>
      </c>
      <c r="HE30" s="390">
        <f t="shared" ca="1" si="879"/>
        <v>0</v>
      </c>
      <c r="HF30" s="390">
        <f t="shared" ca="1" si="879"/>
        <v>0</v>
      </c>
      <c r="HG30" s="390">
        <f t="shared" ca="1" si="879"/>
        <v>93.627930300000003</v>
      </c>
      <c r="HH30" s="390">
        <f t="shared" ca="1" si="879"/>
        <v>1.9107740849999999</v>
      </c>
      <c r="HJ30" s="394"/>
      <c r="HK30" s="394"/>
      <c r="HL30" s="395"/>
      <c r="HM30" s="896"/>
      <c r="HN30" s="896"/>
      <c r="HO30" s="896"/>
      <c r="HP30" s="896"/>
      <c r="HR30" s="386" t="s">
        <v>3303</v>
      </c>
      <c r="HS30" s="387" t="s">
        <v>287</v>
      </c>
      <c r="HT30" s="390">
        <f ca="1">HT94+HT95+HT97</f>
        <v>0</v>
      </c>
      <c r="HU30" s="390">
        <f t="shared" ref="HU30:IE30" ca="1" si="880">HU94+HU95+HU97</f>
        <v>1.9107740849999999</v>
      </c>
      <c r="HV30" s="390">
        <f t="shared" ca="1" si="880"/>
        <v>1.9107740849999999</v>
      </c>
      <c r="HW30" s="390">
        <f t="shared" ca="1" si="880"/>
        <v>1.9107740849999999</v>
      </c>
      <c r="HX30" s="390">
        <f t="shared" ca="1" si="880"/>
        <v>0.48915816550000002</v>
      </c>
      <c r="HY30" s="390">
        <f t="shared" ca="1" si="880"/>
        <v>1.4216159199999998</v>
      </c>
      <c r="HZ30" s="390">
        <f t="shared" ca="1" si="880"/>
        <v>0</v>
      </c>
      <c r="IA30" s="390">
        <f t="shared" ca="1" si="880"/>
        <v>0</v>
      </c>
      <c r="IB30" s="390">
        <f t="shared" ca="1" si="880"/>
        <v>0</v>
      </c>
      <c r="IC30" s="390">
        <f t="shared" ca="1" si="880"/>
        <v>0</v>
      </c>
      <c r="ID30" s="390">
        <f t="shared" ca="1" si="880"/>
        <v>0</v>
      </c>
      <c r="IE30" s="390">
        <f t="shared" ca="1" si="880"/>
        <v>0</v>
      </c>
      <c r="IG30" s="394"/>
      <c r="IH30" s="394"/>
      <c r="II30" s="395"/>
      <c r="IJ30" s="394"/>
      <c r="IO30" s="386" t="s">
        <v>3303</v>
      </c>
      <c r="IP30" s="387" t="s">
        <v>287</v>
      </c>
      <c r="IQ30" s="390">
        <f ca="1">IQ94+IQ95+IQ97</f>
        <v>0.48915816550000002</v>
      </c>
      <c r="IR30" s="390">
        <f t="shared" ref="IR30:JH30" ca="1" si="881">IR94+IR95+IR97</f>
        <v>1.4216159199999998</v>
      </c>
      <c r="IS30" s="390">
        <f t="shared" ca="1" si="881"/>
        <v>0.58972522320000009</v>
      </c>
      <c r="IT30" s="390">
        <f t="shared" ca="1" si="881"/>
        <v>2.011341147</v>
      </c>
      <c r="IU30" s="390">
        <f t="shared" ref="IU30" ca="1" si="882">IU94+IU95+IU97</f>
        <v>0.10056705710000001</v>
      </c>
      <c r="IV30" s="390">
        <f t="shared" ca="1" si="881"/>
        <v>14.74313059</v>
      </c>
      <c r="IW30" s="390">
        <f t="shared" ca="1" si="881"/>
        <v>14.153405360000001</v>
      </c>
      <c r="IX30" s="390">
        <f t="shared" ref="IX30" ca="1" si="883">IX94+IX95+IX97</f>
        <v>0</v>
      </c>
      <c r="IY30" s="390">
        <f t="shared" ca="1" si="881"/>
        <v>1.910774084</v>
      </c>
      <c r="IZ30" s="390">
        <f t="shared" ca="1" si="881"/>
        <v>0</v>
      </c>
      <c r="JA30" s="390">
        <f t="shared" ca="1" si="881"/>
        <v>14.74313059</v>
      </c>
      <c r="JB30" s="390">
        <f t="shared" ca="1" si="881"/>
        <v>0</v>
      </c>
      <c r="JC30" s="390">
        <f t="shared" ca="1" si="881"/>
        <v>0</v>
      </c>
      <c r="JD30" s="390">
        <f t="shared" ca="1" si="881"/>
        <v>0</v>
      </c>
      <c r="JE30" s="390">
        <f t="shared" ca="1" si="881"/>
        <v>0</v>
      </c>
      <c r="JF30" s="390">
        <f t="shared" ca="1" si="881"/>
        <v>0</v>
      </c>
      <c r="JG30" s="390">
        <f t="shared" ca="1" si="881"/>
        <v>0</v>
      </c>
      <c r="JH30" s="390">
        <f t="shared" ca="1" si="881"/>
        <v>0</v>
      </c>
      <c r="JJ30" s="394"/>
      <c r="JK30" s="394"/>
      <c r="JL30" s="395"/>
      <c r="JM30" s="394"/>
      <c r="JR30" s="386" t="s">
        <v>3303</v>
      </c>
      <c r="JS30" s="387" t="s">
        <v>287</v>
      </c>
      <c r="JT30" s="390">
        <f ca="1">JT94+JT95+JT97</f>
        <v>0</v>
      </c>
      <c r="JU30" s="390">
        <f t="shared" ref="JU30:KC30" ca="1" si="884">JU94+JU95+JU97</f>
        <v>0</v>
      </c>
      <c r="JV30" s="390">
        <f t="shared" ca="1" si="884"/>
        <v>0</v>
      </c>
      <c r="JW30" s="390">
        <f t="shared" ca="1" si="884"/>
        <v>0</v>
      </c>
      <c r="JX30" s="390">
        <f t="shared" ca="1" si="884"/>
        <v>0</v>
      </c>
      <c r="JY30" s="390">
        <f t="shared" ca="1" si="884"/>
        <v>0</v>
      </c>
      <c r="JZ30" s="390">
        <f t="shared" ca="1" si="884"/>
        <v>0</v>
      </c>
      <c r="KA30" s="390">
        <f t="shared" ca="1" si="884"/>
        <v>0</v>
      </c>
      <c r="KB30" s="390">
        <f t="shared" ca="1" si="884"/>
        <v>0</v>
      </c>
      <c r="KC30" s="390">
        <f t="shared" ca="1" si="884"/>
        <v>0</v>
      </c>
      <c r="KE30" s="394"/>
      <c r="KJ30" s="386" t="s">
        <v>3303</v>
      </c>
      <c r="KK30" s="387" t="s">
        <v>287</v>
      </c>
      <c r="KL30" s="390">
        <f ca="1">KL94+KL95+KL97</f>
        <v>0</v>
      </c>
      <c r="KM30" s="390">
        <f t="shared" ref="KM30:KR30" ca="1" si="885">KM94+KM95+KM97</f>
        <v>0</v>
      </c>
      <c r="KN30" s="390">
        <f t="shared" ca="1" si="885"/>
        <v>0</v>
      </c>
      <c r="KO30" s="390">
        <f t="shared" ca="1" si="885"/>
        <v>0</v>
      </c>
      <c r="KP30" s="390">
        <f t="shared" ca="1" si="885"/>
        <v>0</v>
      </c>
      <c r="KQ30" s="390">
        <f t="shared" ca="1" si="885"/>
        <v>0</v>
      </c>
      <c r="KR30" s="390">
        <f t="shared" ca="1" si="885"/>
        <v>0</v>
      </c>
      <c r="KT30" s="394"/>
      <c r="KY30" s="386" t="s">
        <v>3303</v>
      </c>
      <c r="KZ30" s="387" t="s">
        <v>287</v>
      </c>
      <c r="LA30" s="390">
        <f ca="1">LA94+LA95+LA97</f>
        <v>0</v>
      </c>
      <c r="LB30" s="390">
        <f t="shared" ref="LB30:LK30" ca="1" si="886">LB94+LB95+LB97</f>
        <v>0</v>
      </c>
      <c r="LC30" s="390">
        <f t="shared" ca="1" si="886"/>
        <v>0</v>
      </c>
      <c r="LD30" s="390">
        <f t="shared" ca="1" si="886"/>
        <v>0</v>
      </c>
      <c r="LE30" s="390">
        <f t="shared" ca="1" si="886"/>
        <v>0</v>
      </c>
      <c r="LF30" s="390">
        <f t="shared" ca="1" si="886"/>
        <v>0</v>
      </c>
      <c r="LG30" s="390">
        <f t="shared" ca="1" si="886"/>
        <v>0</v>
      </c>
      <c r="LH30" s="390">
        <f t="shared" ca="1" si="886"/>
        <v>0</v>
      </c>
      <c r="LI30" s="390">
        <f t="shared" ca="1" si="886"/>
        <v>0</v>
      </c>
      <c r="LJ30" s="390">
        <f t="shared" ca="1" si="886"/>
        <v>0</v>
      </c>
      <c r="LK30" s="390">
        <f t="shared" ca="1" si="886"/>
        <v>0</v>
      </c>
      <c r="LM30" s="394"/>
      <c r="LN30" s="394"/>
      <c r="LO30" s="395"/>
      <c r="LP30" s="394"/>
      <c r="LU30" s="386" t="s">
        <v>3303</v>
      </c>
      <c r="LV30" s="387" t="s">
        <v>287</v>
      </c>
      <c r="LW30" s="390">
        <f ca="1">LW94+LW95+LW97</f>
        <v>0</v>
      </c>
      <c r="LX30" s="390">
        <f ca="1">LX94+LX95+LX97</f>
        <v>0</v>
      </c>
      <c r="LY30" s="390">
        <f t="shared" ref="LY30:MO30" ca="1" si="887">LY94+LY95+LY97</f>
        <v>93.627930300000003</v>
      </c>
      <c r="LZ30" s="390">
        <f t="shared" ca="1" si="887"/>
        <v>1.910774084</v>
      </c>
      <c r="MA30" s="390">
        <f t="shared" ca="1" si="887"/>
        <v>95.5387044</v>
      </c>
      <c r="MB30" s="390">
        <f t="shared" ca="1" si="887"/>
        <v>0</v>
      </c>
      <c r="MC30" s="390">
        <f t="shared" ca="1" si="887"/>
        <v>0</v>
      </c>
      <c r="MD30" s="390">
        <f t="shared" ca="1" si="887"/>
        <v>0</v>
      </c>
      <c r="ME30" s="390">
        <f t="shared" ca="1" si="887"/>
        <v>0</v>
      </c>
      <c r="MF30" s="390">
        <f t="shared" ca="1" si="887"/>
        <v>0</v>
      </c>
      <c r="MG30" s="390">
        <f t="shared" ca="1" si="887"/>
        <v>0</v>
      </c>
      <c r="MH30" s="390">
        <f t="shared" ref="MH30:MI30" ca="1" si="888">MH94+MH95+MH97</f>
        <v>0</v>
      </c>
      <c r="MI30" s="390">
        <f t="shared" ca="1" si="888"/>
        <v>0</v>
      </c>
      <c r="MJ30" s="390">
        <f t="shared" ca="1" si="887"/>
        <v>0</v>
      </c>
      <c r="MK30" s="390">
        <f t="shared" ca="1" si="887"/>
        <v>0</v>
      </c>
      <c r="ML30" s="390">
        <f t="shared" ca="1" si="887"/>
        <v>0</v>
      </c>
      <c r="MM30" s="390">
        <f t="shared" ca="1" si="887"/>
        <v>0</v>
      </c>
      <c r="MN30" s="390">
        <f t="shared" ca="1" si="887"/>
        <v>0</v>
      </c>
      <c r="MO30" s="390">
        <f t="shared" ca="1" si="887"/>
        <v>0</v>
      </c>
      <c r="MQ30" s="394"/>
      <c r="MR30" s="394"/>
      <c r="MS30" s="395"/>
      <c r="MT30" s="394"/>
      <c r="MY30" s="386" t="s">
        <v>3303</v>
      </c>
      <c r="MZ30" s="387" t="s">
        <v>287</v>
      </c>
      <c r="NA30" s="390">
        <f ca="1">NA94+NA95+NA97</f>
        <v>0</v>
      </c>
      <c r="NB30" s="390">
        <f t="shared" ref="NB30:NP30" ca="1" si="889">NB94+NB95+NB97</f>
        <v>0</v>
      </c>
      <c r="NC30" s="390">
        <f t="shared" ca="1" si="889"/>
        <v>0</v>
      </c>
      <c r="ND30" s="390">
        <f t="shared" ca="1" si="889"/>
        <v>0</v>
      </c>
      <c r="NE30" s="390">
        <f t="shared" ca="1" si="889"/>
        <v>0</v>
      </c>
      <c r="NF30" s="390">
        <f t="shared" ca="1" si="889"/>
        <v>0</v>
      </c>
      <c r="NG30" s="390">
        <f t="shared" ca="1" si="889"/>
        <v>0</v>
      </c>
      <c r="NH30" s="390">
        <f t="shared" ca="1" si="889"/>
        <v>0</v>
      </c>
      <c r="NI30" s="390">
        <f t="shared" ca="1" si="889"/>
        <v>0</v>
      </c>
      <c r="NJ30" s="390">
        <f t="shared" ca="1" si="889"/>
        <v>0</v>
      </c>
      <c r="NK30" s="390">
        <f t="shared" ca="1" si="889"/>
        <v>0</v>
      </c>
      <c r="NL30" s="390">
        <f t="shared" ca="1" si="889"/>
        <v>0</v>
      </c>
      <c r="NM30" s="390">
        <f t="shared" ca="1" si="889"/>
        <v>0</v>
      </c>
      <c r="NN30" s="390">
        <f t="shared" ca="1" si="889"/>
        <v>0</v>
      </c>
      <c r="NO30" s="390">
        <f t="shared" ca="1" si="889"/>
        <v>0</v>
      </c>
      <c r="NP30" s="390">
        <f t="shared" ca="1" si="889"/>
        <v>0</v>
      </c>
      <c r="NR30" s="394"/>
      <c r="NS30" s="394"/>
      <c r="NT30" s="395"/>
      <c r="NU30" s="394"/>
      <c r="NZ30" s="394"/>
      <c r="OA30" s="394"/>
      <c r="OF30" s="386" t="s">
        <v>3303</v>
      </c>
      <c r="OG30" s="387" t="s">
        <v>287</v>
      </c>
      <c r="OH30" s="390">
        <f ca="1">OH94+OH95+OH97</f>
        <v>0</v>
      </c>
      <c r="OI30" s="390">
        <f t="shared" ref="OI30:OO30" ca="1" si="890">OI94+OI95+OI97</f>
        <v>0</v>
      </c>
      <c r="OJ30" s="390">
        <f t="shared" ca="1" si="890"/>
        <v>0</v>
      </c>
      <c r="OK30" s="390">
        <f t="shared" ca="1" si="890"/>
        <v>0</v>
      </c>
      <c r="OL30" s="390">
        <f t="shared" ca="1" si="890"/>
        <v>0</v>
      </c>
      <c r="OM30" s="390">
        <f t="shared" ca="1" si="890"/>
        <v>0</v>
      </c>
      <c r="ON30" s="390">
        <f t="shared" ca="1" si="890"/>
        <v>0</v>
      </c>
      <c r="OO30" s="390">
        <f t="shared" ca="1" si="890"/>
        <v>0</v>
      </c>
      <c r="OQ30" s="394"/>
      <c r="OR30" s="394"/>
      <c r="OS30" s="395"/>
      <c r="OT30" s="394"/>
      <c r="OY30" s="386" t="s">
        <v>3303</v>
      </c>
      <c r="OZ30" s="387" t="s">
        <v>287</v>
      </c>
      <c r="PA30" s="390">
        <f ca="1">PA94+PA95+PA97</f>
        <v>0</v>
      </c>
      <c r="PB30" s="390">
        <f t="shared" ref="PB30:PK30" ca="1" si="891">PB94+PB95+PB97</f>
        <v>0</v>
      </c>
      <c r="PC30" s="390">
        <f t="shared" ca="1" si="891"/>
        <v>0</v>
      </c>
      <c r="PD30" s="390">
        <f t="shared" ca="1" si="891"/>
        <v>0</v>
      </c>
      <c r="PE30" s="390">
        <f t="shared" ca="1" si="891"/>
        <v>0</v>
      </c>
      <c r="PF30" s="390">
        <f t="shared" ca="1" si="891"/>
        <v>0</v>
      </c>
      <c r="PG30" s="390">
        <f t="shared" ca="1" si="891"/>
        <v>0</v>
      </c>
      <c r="PH30" s="390">
        <f t="shared" ca="1" si="891"/>
        <v>0</v>
      </c>
      <c r="PI30" s="390">
        <f t="shared" ca="1" si="891"/>
        <v>0</v>
      </c>
      <c r="PJ30" s="390">
        <f t="shared" ca="1" si="891"/>
        <v>0</v>
      </c>
      <c r="PK30" s="390">
        <f t="shared" ca="1" si="891"/>
        <v>0</v>
      </c>
      <c r="PM30" s="394"/>
      <c r="PN30" s="394"/>
      <c r="PO30" s="395"/>
      <c r="PP30" s="394"/>
      <c r="PU30" s="386" t="s">
        <v>3303</v>
      </c>
      <c r="PV30" s="387" t="s">
        <v>287</v>
      </c>
      <c r="PW30" s="390">
        <f ca="1">PW94+PW95+PW97</f>
        <v>0</v>
      </c>
      <c r="PX30" s="390">
        <f t="shared" ref="PX30:PZ30" ca="1" si="892">PX94+PX95+PX97</f>
        <v>0</v>
      </c>
      <c r="PY30" s="390">
        <f t="shared" ca="1" si="892"/>
        <v>0</v>
      </c>
      <c r="PZ30" s="390">
        <f t="shared" ca="1" si="892"/>
        <v>0</v>
      </c>
      <c r="QB30" s="394"/>
      <c r="QC30" s="394"/>
      <c r="QD30" s="395"/>
      <c r="QE30" s="394"/>
    </row>
    <row r="31" spans="1:453" x14ac:dyDescent="0.25">
      <c r="A31" s="1315"/>
      <c r="H31" s="386" t="s">
        <v>1900</v>
      </c>
      <c r="I31" s="387" t="s">
        <v>287</v>
      </c>
      <c r="J31" s="390">
        <f ca="1">J99</f>
        <v>1508.1550199999999</v>
      </c>
      <c r="K31" s="390">
        <f ca="1">K99</f>
        <v>1508.1550199999999</v>
      </c>
      <c r="R31" s="386" t="s">
        <v>1900</v>
      </c>
      <c r="S31" s="387" t="s">
        <v>287</v>
      </c>
      <c r="T31" s="390">
        <f ca="1">T99</f>
        <v>1508.1550199999999</v>
      </c>
      <c r="U31" s="390">
        <f t="shared" ref="U31:AD31" ca="1" si="893">U99</f>
        <v>0</v>
      </c>
      <c r="V31" s="390">
        <f t="shared" ca="1" si="893"/>
        <v>0</v>
      </c>
      <c r="W31" s="390">
        <f t="shared" ca="1" si="893"/>
        <v>0</v>
      </c>
      <c r="X31" s="390">
        <f t="shared" ca="1" si="893"/>
        <v>0</v>
      </c>
      <c r="Y31" s="390">
        <f t="shared" ca="1" si="893"/>
        <v>0</v>
      </c>
      <c r="Z31" s="390">
        <f t="shared" ca="1" si="893"/>
        <v>0</v>
      </c>
      <c r="AA31" s="390">
        <f t="shared" ca="1" si="893"/>
        <v>0</v>
      </c>
      <c r="AB31" s="390">
        <f t="shared" ca="1" si="893"/>
        <v>0</v>
      </c>
      <c r="AC31" s="390">
        <f t="shared" ca="1" si="893"/>
        <v>0</v>
      </c>
      <c r="AD31" s="390">
        <f t="shared" ca="1" si="893"/>
        <v>0</v>
      </c>
      <c r="AF31" s="394"/>
      <c r="AG31" s="395"/>
      <c r="AH31" s="394"/>
      <c r="AI31" s="394"/>
      <c r="AK31" s="386" t="s">
        <v>1900</v>
      </c>
      <c r="AL31" s="387" t="s">
        <v>287</v>
      </c>
      <c r="AM31" s="390">
        <f ca="1">AM99</f>
        <v>0</v>
      </c>
      <c r="AN31" s="390">
        <f t="shared" ref="AN31:BB31" ca="1" si="894">AN99</f>
        <v>0</v>
      </c>
      <c r="AO31" s="390">
        <f t="shared" ref="AO31:AS31" ca="1" si="895">AO99</f>
        <v>0</v>
      </c>
      <c r="AP31" s="390">
        <f t="shared" ca="1" si="895"/>
        <v>0</v>
      </c>
      <c r="AQ31" s="390">
        <f t="shared" ca="1" si="895"/>
        <v>0</v>
      </c>
      <c r="AR31" s="390">
        <f t="shared" ca="1" si="895"/>
        <v>0</v>
      </c>
      <c r="AS31" s="390">
        <f t="shared" ca="1" si="895"/>
        <v>0</v>
      </c>
      <c r="AT31" s="390">
        <f t="shared" ca="1" si="894"/>
        <v>0</v>
      </c>
      <c r="AU31" s="390">
        <f t="shared" ca="1" si="894"/>
        <v>0</v>
      </c>
      <c r="AV31" s="390">
        <f t="shared" ca="1" si="894"/>
        <v>0</v>
      </c>
      <c r="AW31" s="390">
        <f t="shared" ca="1" si="894"/>
        <v>0</v>
      </c>
      <c r="AX31" s="390">
        <f t="shared" ca="1" si="894"/>
        <v>0</v>
      </c>
      <c r="AY31" s="390">
        <f t="shared" ca="1" si="894"/>
        <v>0</v>
      </c>
      <c r="AZ31" s="390">
        <f t="shared" ca="1" si="894"/>
        <v>0</v>
      </c>
      <c r="BA31" s="390">
        <f t="shared" ca="1" si="894"/>
        <v>0</v>
      </c>
      <c r="BB31" s="390">
        <f t="shared" ca="1" si="894"/>
        <v>0</v>
      </c>
      <c r="BD31" s="394"/>
      <c r="BE31" s="394"/>
      <c r="BF31" s="395"/>
      <c r="BG31" s="896"/>
      <c r="BL31" s="386" t="s">
        <v>1900</v>
      </c>
      <c r="BM31" s="387" t="s">
        <v>287</v>
      </c>
      <c r="BN31" s="390">
        <f ca="1">BN99</f>
        <v>0</v>
      </c>
      <c r="BO31" s="390">
        <f t="shared" ref="BO31:BR31" ca="1" si="896">BO99</f>
        <v>0</v>
      </c>
      <c r="BP31" s="390">
        <f t="shared" ca="1" si="896"/>
        <v>0</v>
      </c>
      <c r="BQ31" s="390">
        <f t="shared" ca="1" si="896"/>
        <v>0</v>
      </c>
      <c r="BR31" s="390">
        <f t="shared" ca="1" si="896"/>
        <v>0</v>
      </c>
      <c r="BT31" s="394"/>
      <c r="BU31" s="394"/>
      <c r="BV31" s="395"/>
      <c r="BW31" s="896"/>
      <c r="CB31" s="386" t="s">
        <v>1900</v>
      </c>
      <c r="CC31" s="387" t="s">
        <v>287</v>
      </c>
      <c r="CD31" s="390">
        <f ca="1">CD99</f>
        <v>0</v>
      </c>
      <c r="CE31" s="390">
        <f t="shared" ref="CE31:CO31" ca="1" si="897">CE99</f>
        <v>0</v>
      </c>
      <c r="CF31" s="390">
        <f t="shared" ca="1" si="897"/>
        <v>0</v>
      </c>
      <c r="CG31" s="390">
        <f t="shared" ca="1" si="897"/>
        <v>0</v>
      </c>
      <c r="CH31" s="390">
        <f t="shared" ca="1" si="897"/>
        <v>0</v>
      </c>
      <c r="CI31" s="390">
        <f t="shared" ca="1" si="897"/>
        <v>0</v>
      </c>
      <c r="CJ31" s="390">
        <f t="shared" ca="1" si="897"/>
        <v>0</v>
      </c>
      <c r="CK31" s="390">
        <f t="shared" ca="1" si="897"/>
        <v>0</v>
      </c>
      <c r="CL31" s="390">
        <f t="shared" ca="1" si="897"/>
        <v>0</v>
      </c>
      <c r="CM31" s="390">
        <f t="shared" ca="1" si="897"/>
        <v>0</v>
      </c>
      <c r="CN31" s="390">
        <f t="shared" ca="1" si="897"/>
        <v>0</v>
      </c>
      <c r="CO31" s="390">
        <f t="shared" ca="1" si="897"/>
        <v>0</v>
      </c>
      <c r="CQ31" s="394"/>
      <c r="CR31" s="394"/>
      <c r="CS31" s="395"/>
      <c r="CY31" s="386" t="s">
        <v>1900</v>
      </c>
      <c r="CZ31" s="387" t="s">
        <v>287</v>
      </c>
      <c r="DA31" s="390">
        <f ca="1">DA99</f>
        <v>0</v>
      </c>
      <c r="DB31" s="390">
        <f t="shared" ref="DB31:DJ31" ca="1" si="898">DB99</f>
        <v>0</v>
      </c>
      <c r="DC31" s="390">
        <f t="shared" ca="1" si="898"/>
        <v>0</v>
      </c>
      <c r="DD31" s="390">
        <f t="shared" ca="1" si="898"/>
        <v>0</v>
      </c>
      <c r="DE31" s="390">
        <f t="shared" ca="1" si="898"/>
        <v>0</v>
      </c>
      <c r="DF31" s="390">
        <f t="shared" ca="1" si="898"/>
        <v>0</v>
      </c>
      <c r="DG31" s="390">
        <f t="shared" ca="1" si="898"/>
        <v>0</v>
      </c>
      <c r="DH31" s="390">
        <f t="shared" ca="1" si="898"/>
        <v>0</v>
      </c>
      <c r="DI31" s="390">
        <f t="shared" ca="1" si="898"/>
        <v>0</v>
      </c>
      <c r="DJ31" s="390">
        <f t="shared" ca="1" si="898"/>
        <v>0</v>
      </c>
      <c r="DL31" s="394"/>
      <c r="DM31" s="394"/>
      <c r="DN31" s="395"/>
      <c r="DO31" s="896"/>
      <c r="DT31" s="386" t="s">
        <v>1900</v>
      </c>
      <c r="DU31" s="387" t="s">
        <v>287</v>
      </c>
      <c r="DV31" s="390">
        <f ca="1">DV99</f>
        <v>0</v>
      </c>
      <c r="DW31" s="390">
        <f t="shared" ref="DW31:EK31" ca="1" si="899">DW99</f>
        <v>0</v>
      </c>
      <c r="DX31" s="390">
        <f t="shared" ca="1" si="899"/>
        <v>0</v>
      </c>
      <c r="DY31" s="390">
        <f t="shared" ca="1" si="899"/>
        <v>0</v>
      </c>
      <c r="DZ31" s="390">
        <f t="shared" ca="1" si="899"/>
        <v>0</v>
      </c>
      <c r="EA31" s="390">
        <f t="shared" ca="1" si="899"/>
        <v>0</v>
      </c>
      <c r="EB31" s="390">
        <f t="shared" ca="1" si="899"/>
        <v>0</v>
      </c>
      <c r="EC31" s="390">
        <f t="shared" ca="1" si="899"/>
        <v>0</v>
      </c>
      <c r="ED31" s="390">
        <f t="shared" ca="1" si="899"/>
        <v>0</v>
      </c>
      <c r="EE31" s="390">
        <f t="shared" ca="1" si="899"/>
        <v>0</v>
      </c>
      <c r="EF31" s="390">
        <f t="shared" ca="1" si="899"/>
        <v>0</v>
      </c>
      <c r="EG31" s="390">
        <f t="shared" ca="1" si="899"/>
        <v>0</v>
      </c>
      <c r="EH31" s="390">
        <f t="shared" ca="1" si="899"/>
        <v>0</v>
      </c>
      <c r="EI31" s="390">
        <f t="shared" ca="1" si="899"/>
        <v>0</v>
      </c>
      <c r="EJ31" s="390">
        <f t="shared" ref="EJ31" ca="1" si="900">EJ99</f>
        <v>0</v>
      </c>
      <c r="EK31" s="390">
        <f t="shared" ca="1" si="899"/>
        <v>0</v>
      </c>
      <c r="EM31" s="394"/>
      <c r="EN31" s="394"/>
      <c r="EO31" s="395"/>
      <c r="EP31" s="896"/>
      <c r="EU31" s="386" t="s">
        <v>1900</v>
      </c>
      <c r="EV31" s="387" t="s">
        <v>287</v>
      </c>
      <c r="EW31" s="390">
        <f ca="1">EW99</f>
        <v>0</v>
      </c>
      <c r="EX31" s="390">
        <f t="shared" ref="EX31:FB31" ca="1" si="901">EX99</f>
        <v>0</v>
      </c>
      <c r="EY31" s="390">
        <f t="shared" ca="1" si="901"/>
        <v>0</v>
      </c>
      <c r="EZ31" s="390">
        <f t="shared" ca="1" si="901"/>
        <v>0</v>
      </c>
      <c r="FA31" s="390">
        <f t="shared" ca="1" si="901"/>
        <v>0</v>
      </c>
      <c r="FB31" s="390">
        <f t="shared" ca="1" si="901"/>
        <v>0</v>
      </c>
      <c r="FD31" s="394"/>
      <c r="FE31" s="394"/>
      <c r="FF31" s="395"/>
      <c r="FG31" s="896"/>
      <c r="FL31" s="386" t="s">
        <v>1900</v>
      </c>
      <c r="FM31" s="387" t="s">
        <v>287</v>
      </c>
      <c r="FN31" s="390">
        <f ca="1">FN99</f>
        <v>0</v>
      </c>
      <c r="FO31" s="390">
        <f t="shared" ref="FO31:FX31" ca="1" si="902">FO99</f>
        <v>0</v>
      </c>
      <c r="FP31" s="390">
        <f t="shared" ca="1" si="902"/>
        <v>0</v>
      </c>
      <c r="FQ31" s="390">
        <f t="shared" ca="1" si="902"/>
        <v>0</v>
      </c>
      <c r="FR31" s="390">
        <f t="shared" ca="1" si="902"/>
        <v>0</v>
      </c>
      <c r="FS31" s="390">
        <f t="shared" ca="1" si="902"/>
        <v>0</v>
      </c>
      <c r="FT31" s="390">
        <f t="shared" ca="1" si="902"/>
        <v>0</v>
      </c>
      <c r="FU31" s="390">
        <f t="shared" ca="1" si="902"/>
        <v>0</v>
      </c>
      <c r="FV31" s="390">
        <f t="shared" ca="1" si="902"/>
        <v>0</v>
      </c>
      <c r="FW31" s="390">
        <f t="shared" ca="1" si="902"/>
        <v>0</v>
      </c>
      <c r="FX31" s="390">
        <f t="shared" ca="1" si="902"/>
        <v>0</v>
      </c>
      <c r="FZ31" s="394"/>
      <c r="GA31" s="394"/>
      <c r="GB31" s="395"/>
      <c r="GC31" s="896"/>
      <c r="GH31" s="386" t="s">
        <v>1900</v>
      </c>
      <c r="GI31" s="387" t="s">
        <v>287</v>
      </c>
      <c r="GJ31" s="390">
        <f ca="1">GJ99</f>
        <v>0</v>
      </c>
      <c r="GK31" s="390">
        <f t="shared" ref="GK31:GQ31" ca="1" si="903">GK99</f>
        <v>0</v>
      </c>
      <c r="GL31" s="390">
        <f t="shared" ca="1" si="903"/>
        <v>0</v>
      </c>
      <c r="GM31" s="390">
        <f t="shared" ca="1" si="903"/>
        <v>0</v>
      </c>
      <c r="GN31" s="390">
        <f t="shared" ca="1" si="903"/>
        <v>0</v>
      </c>
      <c r="GO31" s="390">
        <f t="shared" ca="1" si="903"/>
        <v>0</v>
      </c>
      <c r="GP31" s="390">
        <f t="shared" ca="1" si="903"/>
        <v>0</v>
      </c>
      <c r="GQ31" s="390">
        <f t="shared" ca="1" si="903"/>
        <v>0</v>
      </c>
      <c r="GS31" s="394"/>
      <c r="GT31" s="394"/>
      <c r="GU31" s="395"/>
      <c r="GV31" s="896"/>
      <c r="HA31" s="386" t="s">
        <v>1900</v>
      </c>
      <c r="HB31" s="387" t="s">
        <v>287</v>
      </c>
      <c r="HC31" s="390">
        <f ca="1">HC99</f>
        <v>0</v>
      </c>
      <c r="HD31" s="390">
        <f t="shared" ref="HD31:HH31" ca="1" si="904">HD99</f>
        <v>0</v>
      </c>
      <c r="HE31" s="390">
        <f t="shared" ca="1" si="904"/>
        <v>0</v>
      </c>
      <c r="HF31" s="390">
        <f t="shared" ca="1" si="904"/>
        <v>0</v>
      </c>
      <c r="HG31" s="390">
        <f t="shared" ca="1" si="904"/>
        <v>0</v>
      </c>
      <c r="HH31" s="390">
        <f t="shared" ca="1" si="904"/>
        <v>0</v>
      </c>
      <c r="HJ31" s="394"/>
      <c r="HK31" s="394"/>
      <c r="HL31" s="395"/>
      <c r="HM31" s="896"/>
      <c r="HN31" s="896"/>
      <c r="HO31" s="896"/>
      <c r="HP31" s="896"/>
      <c r="HR31" s="386" t="s">
        <v>1900</v>
      </c>
      <c r="HS31" s="387" t="s">
        <v>287</v>
      </c>
      <c r="HT31" s="390">
        <f ca="1">HT99</f>
        <v>0</v>
      </c>
      <c r="HU31" s="390">
        <f t="shared" ref="HU31:IE31" ca="1" si="905">HU99</f>
        <v>0</v>
      </c>
      <c r="HV31" s="390">
        <f t="shared" ca="1" si="905"/>
        <v>0</v>
      </c>
      <c r="HW31" s="390">
        <f t="shared" ca="1" si="905"/>
        <v>0</v>
      </c>
      <c r="HX31" s="390">
        <f t="shared" ca="1" si="905"/>
        <v>0</v>
      </c>
      <c r="HY31" s="390">
        <f t="shared" ca="1" si="905"/>
        <v>0</v>
      </c>
      <c r="HZ31" s="390">
        <f t="shared" ca="1" si="905"/>
        <v>0</v>
      </c>
      <c r="IA31" s="390">
        <f t="shared" ca="1" si="905"/>
        <v>0</v>
      </c>
      <c r="IB31" s="390">
        <f t="shared" ca="1" si="905"/>
        <v>0</v>
      </c>
      <c r="IC31" s="390">
        <f t="shared" ca="1" si="905"/>
        <v>0</v>
      </c>
      <c r="ID31" s="390">
        <f t="shared" ca="1" si="905"/>
        <v>0</v>
      </c>
      <c r="IE31" s="390">
        <f t="shared" ca="1" si="905"/>
        <v>0</v>
      </c>
      <c r="IG31" s="394"/>
      <c r="IH31" s="394"/>
      <c r="II31" s="395"/>
      <c r="IJ31" s="896"/>
      <c r="IO31" s="386" t="s">
        <v>1900</v>
      </c>
      <c r="IP31" s="387" t="s">
        <v>287</v>
      </c>
      <c r="IQ31" s="390">
        <f ca="1">IQ99</f>
        <v>0</v>
      </c>
      <c r="IR31" s="390">
        <f t="shared" ref="IR31:JH31" ca="1" si="906">IR99</f>
        <v>0</v>
      </c>
      <c r="IS31" s="390">
        <f t="shared" ca="1" si="906"/>
        <v>0</v>
      </c>
      <c r="IT31" s="390">
        <f t="shared" ca="1" si="906"/>
        <v>0</v>
      </c>
      <c r="IU31" s="390">
        <f t="shared" ref="IU31" ca="1" si="907">IU99</f>
        <v>0</v>
      </c>
      <c r="IV31" s="390">
        <f t="shared" ca="1" si="906"/>
        <v>0</v>
      </c>
      <c r="IW31" s="390">
        <f t="shared" ca="1" si="906"/>
        <v>0</v>
      </c>
      <c r="IX31" s="390">
        <f t="shared" ref="IX31" ca="1" si="908">IX99</f>
        <v>0</v>
      </c>
      <c r="IY31" s="390">
        <f t="shared" ca="1" si="906"/>
        <v>0</v>
      </c>
      <c r="IZ31" s="390">
        <f t="shared" ca="1" si="906"/>
        <v>0</v>
      </c>
      <c r="JA31" s="390">
        <f t="shared" ca="1" si="906"/>
        <v>0</v>
      </c>
      <c r="JB31" s="390">
        <f t="shared" ca="1" si="906"/>
        <v>0</v>
      </c>
      <c r="JC31" s="390">
        <f t="shared" ca="1" si="906"/>
        <v>0</v>
      </c>
      <c r="JD31" s="390">
        <f t="shared" ca="1" si="906"/>
        <v>0</v>
      </c>
      <c r="JE31" s="390">
        <f t="shared" ca="1" si="906"/>
        <v>0</v>
      </c>
      <c r="JF31" s="390">
        <f t="shared" ca="1" si="906"/>
        <v>0</v>
      </c>
      <c r="JG31" s="390">
        <f t="shared" ca="1" si="906"/>
        <v>0</v>
      </c>
      <c r="JH31" s="390">
        <f t="shared" ca="1" si="906"/>
        <v>0</v>
      </c>
      <c r="JJ31" s="394"/>
      <c r="JK31" s="394"/>
      <c r="JL31" s="395"/>
      <c r="JM31" s="896"/>
      <c r="JR31" s="386" t="s">
        <v>1900</v>
      </c>
      <c r="JS31" s="387" t="s">
        <v>287</v>
      </c>
      <c r="JT31" s="390">
        <f ca="1">JT99</f>
        <v>0</v>
      </c>
      <c r="JU31" s="390">
        <f t="shared" ref="JU31:KC31" ca="1" si="909">JU99</f>
        <v>0</v>
      </c>
      <c r="JV31" s="390">
        <f t="shared" ca="1" si="909"/>
        <v>0</v>
      </c>
      <c r="JW31" s="390">
        <f t="shared" ca="1" si="909"/>
        <v>0</v>
      </c>
      <c r="JX31" s="390">
        <f t="shared" ca="1" si="909"/>
        <v>0</v>
      </c>
      <c r="JY31" s="390">
        <f t="shared" ca="1" si="909"/>
        <v>0</v>
      </c>
      <c r="JZ31" s="390">
        <f t="shared" ca="1" si="909"/>
        <v>0</v>
      </c>
      <c r="KA31" s="390">
        <f t="shared" ca="1" si="909"/>
        <v>0</v>
      </c>
      <c r="KB31" s="390">
        <f t="shared" ca="1" si="909"/>
        <v>0</v>
      </c>
      <c r="KC31" s="390">
        <f t="shared" ca="1" si="909"/>
        <v>0</v>
      </c>
      <c r="KE31" s="896"/>
      <c r="KJ31" s="386" t="s">
        <v>1900</v>
      </c>
      <c r="KK31" s="387" t="s">
        <v>287</v>
      </c>
      <c r="KL31" s="390">
        <f ca="1">KL99</f>
        <v>0</v>
      </c>
      <c r="KM31" s="390">
        <f t="shared" ref="KM31:KR31" ca="1" si="910">KM99</f>
        <v>0</v>
      </c>
      <c r="KN31" s="390">
        <f t="shared" ca="1" si="910"/>
        <v>0</v>
      </c>
      <c r="KO31" s="390">
        <f t="shared" ca="1" si="910"/>
        <v>0</v>
      </c>
      <c r="KP31" s="390">
        <f t="shared" ca="1" si="910"/>
        <v>0</v>
      </c>
      <c r="KQ31" s="390">
        <f t="shared" ca="1" si="910"/>
        <v>0</v>
      </c>
      <c r="KR31" s="390">
        <f t="shared" ca="1" si="910"/>
        <v>0</v>
      </c>
      <c r="KT31" s="896"/>
      <c r="KY31" s="386" t="s">
        <v>1900</v>
      </c>
      <c r="KZ31" s="387" t="s">
        <v>287</v>
      </c>
      <c r="LA31" s="390">
        <f ca="1">LA99</f>
        <v>0</v>
      </c>
      <c r="LB31" s="390">
        <f t="shared" ref="LB31:LK31" ca="1" si="911">LB99</f>
        <v>0</v>
      </c>
      <c r="LC31" s="390">
        <f t="shared" ca="1" si="911"/>
        <v>0</v>
      </c>
      <c r="LD31" s="390">
        <f t="shared" ca="1" si="911"/>
        <v>0</v>
      </c>
      <c r="LE31" s="390">
        <f t="shared" ca="1" si="911"/>
        <v>0</v>
      </c>
      <c r="LF31" s="390">
        <f t="shared" ca="1" si="911"/>
        <v>0</v>
      </c>
      <c r="LG31" s="390">
        <f t="shared" ca="1" si="911"/>
        <v>0</v>
      </c>
      <c r="LH31" s="390">
        <f t="shared" ca="1" si="911"/>
        <v>0</v>
      </c>
      <c r="LI31" s="390">
        <f t="shared" ca="1" si="911"/>
        <v>0</v>
      </c>
      <c r="LJ31" s="390">
        <f t="shared" ca="1" si="911"/>
        <v>0</v>
      </c>
      <c r="LK31" s="390">
        <f t="shared" ca="1" si="911"/>
        <v>0</v>
      </c>
      <c r="LM31" s="394"/>
      <c r="LN31" s="394"/>
      <c r="LO31" s="395"/>
      <c r="LP31" s="896"/>
      <c r="LU31" s="386" t="s">
        <v>1900</v>
      </c>
      <c r="LV31" s="387" t="s">
        <v>287</v>
      </c>
      <c r="LW31" s="390">
        <f ca="1">LW99</f>
        <v>0</v>
      </c>
      <c r="LX31" s="390">
        <f ca="1">LX99</f>
        <v>0</v>
      </c>
      <c r="LY31" s="390">
        <f t="shared" ref="LY31:MO31" ca="1" si="912">LY99</f>
        <v>0</v>
      </c>
      <c r="LZ31" s="390">
        <f t="shared" ca="1" si="912"/>
        <v>0</v>
      </c>
      <c r="MA31" s="390">
        <f t="shared" ca="1" si="912"/>
        <v>0</v>
      </c>
      <c r="MB31" s="390">
        <f t="shared" ca="1" si="912"/>
        <v>0</v>
      </c>
      <c r="MC31" s="390">
        <f t="shared" ca="1" si="912"/>
        <v>0</v>
      </c>
      <c r="MD31" s="390">
        <f t="shared" ca="1" si="912"/>
        <v>0</v>
      </c>
      <c r="ME31" s="390">
        <f t="shared" ca="1" si="912"/>
        <v>0</v>
      </c>
      <c r="MF31" s="390">
        <f t="shared" ca="1" si="912"/>
        <v>0</v>
      </c>
      <c r="MG31" s="390">
        <f t="shared" ca="1" si="912"/>
        <v>0</v>
      </c>
      <c r="MH31" s="390">
        <f t="shared" ref="MH31:MI31" ca="1" si="913">MH99</f>
        <v>0</v>
      </c>
      <c r="MI31" s="390">
        <f t="shared" ca="1" si="913"/>
        <v>0</v>
      </c>
      <c r="MJ31" s="390">
        <f t="shared" ca="1" si="912"/>
        <v>0</v>
      </c>
      <c r="MK31" s="390">
        <f t="shared" ca="1" si="912"/>
        <v>0</v>
      </c>
      <c r="ML31" s="390">
        <f t="shared" ca="1" si="912"/>
        <v>0</v>
      </c>
      <c r="MM31" s="390">
        <f t="shared" ca="1" si="912"/>
        <v>0</v>
      </c>
      <c r="MN31" s="390">
        <f t="shared" ca="1" si="912"/>
        <v>0</v>
      </c>
      <c r="MO31" s="390">
        <f t="shared" ca="1" si="912"/>
        <v>0</v>
      </c>
      <c r="MQ31" s="394"/>
      <c r="MR31" s="394"/>
      <c r="MS31" s="395"/>
      <c r="MT31" s="896"/>
      <c r="MY31" s="386" t="s">
        <v>1900</v>
      </c>
      <c r="MZ31" s="387" t="s">
        <v>287</v>
      </c>
      <c r="NA31" s="390">
        <f ca="1">NA99</f>
        <v>0</v>
      </c>
      <c r="NB31" s="390">
        <f t="shared" ref="NB31:NP31" ca="1" si="914">NB99</f>
        <v>0</v>
      </c>
      <c r="NC31" s="390">
        <f t="shared" ca="1" si="914"/>
        <v>0</v>
      </c>
      <c r="ND31" s="390">
        <f t="shared" ca="1" si="914"/>
        <v>0</v>
      </c>
      <c r="NE31" s="390">
        <f t="shared" ca="1" si="914"/>
        <v>0</v>
      </c>
      <c r="NF31" s="390">
        <f t="shared" ca="1" si="914"/>
        <v>0</v>
      </c>
      <c r="NG31" s="390">
        <f t="shared" ca="1" si="914"/>
        <v>0</v>
      </c>
      <c r="NH31" s="390">
        <f t="shared" ca="1" si="914"/>
        <v>0</v>
      </c>
      <c r="NI31" s="390">
        <f t="shared" ca="1" si="914"/>
        <v>0</v>
      </c>
      <c r="NJ31" s="390">
        <f t="shared" ca="1" si="914"/>
        <v>0</v>
      </c>
      <c r="NK31" s="390">
        <f t="shared" ca="1" si="914"/>
        <v>0</v>
      </c>
      <c r="NL31" s="390">
        <f t="shared" ca="1" si="914"/>
        <v>0</v>
      </c>
      <c r="NM31" s="390">
        <f t="shared" ca="1" si="914"/>
        <v>0</v>
      </c>
      <c r="NN31" s="390">
        <f t="shared" ca="1" si="914"/>
        <v>0</v>
      </c>
      <c r="NO31" s="390">
        <f t="shared" ca="1" si="914"/>
        <v>0</v>
      </c>
      <c r="NP31" s="390">
        <f t="shared" ca="1" si="914"/>
        <v>0</v>
      </c>
      <c r="NR31" s="394"/>
      <c r="NS31" s="394"/>
      <c r="NT31" s="395"/>
      <c r="NU31" s="896"/>
      <c r="NZ31" s="394"/>
      <c r="OA31" s="896"/>
      <c r="OF31" s="386" t="s">
        <v>1900</v>
      </c>
      <c r="OG31" s="387" t="s">
        <v>287</v>
      </c>
      <c r="OH31" s="390">
        <f ca="1">OH99</f>
        <v>0</v>
      </c>
      <c r="OI31" s="390">
        <f t="shared" ref="OI31:OO31" ca="1" si="915">OI99</f>
        <v>0</v>
      </c>
      <c r="OJ31" s="390">
        <f t="shared" ca="1" si="915"/>
        <v>0</v>
      </c>
      <c r="OK31" s="390">
        <f t="shared" ca="1" si="915"/>
        <v>0</v>
      </c>
      <c r="OL31" s="390">
        <f t="shared" ca="1" si="915"/>
        <v>0</v>
      </c>
      <c r="OM31" s="390">
        <f t="shared" ca="1" si="915"/>
        <v>0</v>
      </c>
      <c r="ON31" s="390">
        <f t="shared" ca="1" si="915"/>
        <v>0</v>
      </c>
      <c r="OO31" s="390">
        <f t="shared" ca="1" si="915"/>
        <v>0</v>
      </c>
      <c r="OQ31" s="394"/>
      <c r="OR31" s="394"/>
      <c r="OS31" s="395"/>
      <c r="OT31" s="896"/>
      <c r="OY31" s="386" t="s">
        <v>1900</v>
      </c>
      <c r="OZ31" s="387" t="s">
        <v>287</v>
      </c>
      <c r="PA31" s="390">
        <f ca="1">PA99</f>
        <v>0</v>
      </c>
      <c r="PB31" s="390">
        <f t="shared" ref="PB31:PK31" ca="1" si="916">PB99</f>
        <v>0</v>
      </c>
      <c r="PC31" s="390">
        <f t="shared" ca="1" si="916"/>
        <v>0</v>
      </c>
      <c r="PD31" s="390">
        <f t="shared" ca="1" si="916"/>
        <v>0</v>
      </c>
      <c r="PE31" s="390">
        <f t="shared" ca="1" si="916"/>
        <v>0</v>
      </c>
      <c r="PF31" s="390">
        <f t="shared" ca="1" si="916"/>
        <v>0</v>
      </c>
      <c r="PG31" s="390">
        <f t="shared" ca="1" si="916"/>
        <v>0</v>
      </c>
      <c r="PH31" s="390">
        <f t="shared" ca="1" si="916"/>
        <v>0</v>
      </c>
      <c r="PI31" s="390">
        <f t="shared" ca="1" si="916"/>
        <v>0</v>
      </c>
      <c r="PJ31" s="390">
        <f t="shared" ca="1" si="916"/>
        <v>0</v>
      </c>
      <c r="PK31" s="390">
        <f t="shared" ca="1" si="916"/>
        <v>0</v>
      </c>
      <c r="PM31" s="394"/>
      <c r="PN31" s="394"/>
      <c r="PO31" s="395"/>
      <c r="PP31" s="896"/>
      <c r="PU31" s="386" t="s">
        <v>1900</v>
      </c>
      <c r="PV31" s="387" t="s">
        <v>287</v>
      </c>
      <c r="PW31" s="390">
        <f ca="1">PW99</f>
        <v>0</v>
      </c>
      <c r="PX31" s="390">
        <f t="shared" ref="PX31:PZ31" ca="1" si="917">PX99</f>
        <v>0</v>
      </c>
      <c r="PY31" s="390">
        <f t="shared" ca="1" si="917"/>
        <v>0</v>
      </c>
      <c r="PZ31" s="390">
        <f t="shared" ca="1" si="917"/>
        <v>0</v>
      </c>
      <c r="QB31" s="394"/>
      <c r="QC31" s="394"/>
      <c r="QD31" s="395"/>
      <c r="QE31" s="896"/>
    </row>
    <row r="32" spans="1:453" x14ac:dyDescent="0.25">
      <c r="A32" s="1315"/>
      <c r="H32" s="386" t="s">
        <v>1902</v>
      </c>
      <c r="I32" s="387" t="s">
        <v>287</v>
      </c>
      <c r="J32" s="390">
        <f ca="1">J98</f>
        <v>13131.780699999999</v>
      </c>
      <c r="K32" s="390">
        <f ca="1">K98</f>
        <v>13131.780699999999</v>
      </c>
      <c r="R32" s="386" t="s">
        <v>1902</v>
      </c>
      <c r="S32" s="387" t="s">
        <v>287</v>
      </c>
      <c r="T32" s="390">
        <f ca="1">T98</f>
        <v>13131.780699999999</v>
      </c>
      <c r="U32" s="390">
        <f t="shared" ref="U32:AD32" ca="1" si="918">U98</f>
        <v>0</v>
      </c>
      <c r="V32" s="390">
        <f t="shared" ca="1" si="918"/>
        <v>0</v>
      </c>
      <c r="W32" s="390">
        <f t="shared" ca="1" si="918"/>
        <v>0</v>
      </c>
      <c r="X32" s="390">
        <f t="shared" ca="1" si="918"/>
        <v>0</v>
      </c>
      <c r="Y32" s="390">
        <f t="shared" ca="1" si="918"/>
        <v>12475.191699999999</v>
      </c>
      <c r="Z32" s="390">
        <f t="shared" ca="1" si="918"/>
        <v>0</v>
      </c>
      <c r="AA32" s="390">
        <f t="shared" ca="1" si="918"/>
        <v>12475.191699999999</v>
      </c>
      <c r="AB32" s="390">
        <f t="shared" ca="1" si="918"/>
        <v>0</v>
      </c>
      <c r="AC32" s="390">
        <f t="shared" ca="1" si="918"/>
        <v>0</v>
      </c>
      <c r="AD32" s="390">
        <f t="shared" ca="1" si="918"/>
        <v>0</v>
      </c>
      <c r="AF32" s="394"/>
      <c r="AG32" s="395"/>
      <c r="AH32" s="394"/>
      <c r="AI32" s="394"/>
      <c r="AK32" s="386" t="s">
        <v>1902</v>
      </c>
      <c r="AL32" s="387" t="s">
        <v>287</v>
      </c>
      <c r="AM32" s="390">
        <f ca="1">AM98</f>
        <v>0</v>
      </c>
      <c r="AN32" s="390">
        <f t="shared" ref="AN32:BB32" ca="1" si="919">AN98</f>
        <v>0</v>
      </c>
      <c r="AO32" s="390">
        <f t="shared" ref="AO32:AS32" ca="1" si="920">AO98</f>
        <v>12475.191699999999</v>
      </c>
      <c r="AP32" s="390">
        <f t="shared" ca="1" si="920"/>
        <v>12475.191699999999</v>
      </c>
      <c r="AQ32" s="390">
        <f t="shared" ca="1" si="920"/>
        <v>0</v>
      </c>
      <c r="AR32" s="390">
        <f t="shared" ca="1" si="920"/>
        <v>0</v>
      </c>
      <c r="AS32" s="390">
        <f t="shared" ca="1" si="920"/>
        <v>0</v>
      </c>
      <c r="AT32" s="390">
        <f t="shared" ca="1" si="919"/>
        <v>0</v>
      </c>
      <c r="AU32" s="390">
        <f t="shared" ca="1" si="919"/>
        <v>0</v>
      </c>
      <c r="AV32" s="390">
        <f t="shared" ca="1" si="919"/>
        <v>12475.191699999999</v>
      </c>
      <c r="AW32" s="390">
        <f t="shared" ca="1" si="919"/>
        <v>0</v>
      </c>
      <c r="AX32" s="390">
        <f t="shared" ca="1" si="919"/>
        <v>0</v>
      </c>
      <c r="AY32" s="390">
        <f t="shared" ca="1" si="919"/>
        <v>0</v>
      </c>
      <c r="AZ32" s="390">
        <f t="shared" ca="1" si="919"/>
        <v>0</v>
      </c>
      <c r="BA32" s="390">
        <f t="shared" ca="1" si="919"/>
        <v>0</v>
      </c>
      <c r="BB32" s="390">
        <f t="shared" ca="1" si="919"/>
        <v>12475.191699999999</v>
      </c>
      <c r="BD32" s="394"/>
      <c r="BE32" s="394"/>
      <c r="BF32" s="395"/>
      <c r="BL32" s="386" t="s">
        <v>1902</v>
      </c>
      <c r="BM32" s="387" t="s">
        <v>287</v>
      </c>
      <c r="BN32" s="390">
        <f ca="1">BN98</f>
        <v>1247.51917</v>
      </c>
      <c r="BO32" s="390">
        <f t="shared" ref="BO32:BR32" ca="1" si="921">BO98</f>
        <v>1247.51917</v>
      </c>
      <c r="BP32" s="390">
        <f t="shared" ca="1" si="921"/>
        <v>0</v>
      </c>
      <c r="BQ32" s="390">
        <f t="shared" ca="1" si="921"/>
        <v>0</v>
      </c>
      <c r="BR32" s="390">
        <f t="shared" ca="1" si="921"/>
        <v>0</v>
      </c>
      <c r="BT32" s="394"/>
      <c r="BU32" s="394"/>
      <c r="BV32" s="395"/>
      <c r="CB32" s="386" t="s">
        <v>1902</v>
      </c>
      <c r="CC32" s="387" t="s">
        <v>287</v>
      </c>
      <c r="CD32" s="390">
        <f ca="1">CD98</f>
        <v>12475.191699999999</v>
      </c>
      <c r="CE32" s="390">
        <f t="shared" ref="CE32:CO32" ca="1" si="922">CE98</f>
        <v>12475.191699999999</v>
      </c>
      <c r="CF32" s="390">
        <f t="shared" ca="1" si="922"/>
        <v>1247.51917</v>
      </c>
      <c r="CG32" s="390">
        <f t="shared" ca="1" si="922"/>
        <v>1247.51917</v>
      </c>
      <c r="CH32" s="390">
        <f t="shared" ca="1" si="922"/>
        <v>12475.191699999999</v>
      </c>
      <c r="CI32" s="390">
        <f t="shared" ca="1" si="922"/>
        <v>0</v>
      </c>
      <c r="CJ32" s="390">
        <f t="shared" ca="1" si="922"/>
        <v>0</v>
      </c>
      <c r="CK32" s="390">
        <f t="shared" ca="1" si="922"/>
        <v>12475.191699999999</v>
      </c>
      <c r="CL32" s="390">
        <f t="shared" ca="1" si="922"/>
        <v>0</v>
      </c>
      <c r="CM32" s="390">
        <f t="shared" ca="1" si="922"/>
        <v>0</v>
      </c>
      <c r="CN32" s="390">
        <f t="shared" ca="1" si="922"/>
        <v>12475.191699999999</v>
      </c>
      <c r="CO32" s="390">
        <f t="shared" ca="1" si="922"/>
        <v>0</v>
      </c>
      <c r="CQ32" s="394"/>
      <c r="CR32" s="394"/>
      <c r="CS32" s="395"/>
      <c r="CY32" s="386" t="s">
        <v>1902</v>
      </c>
      <c r="CZ32" s="387" t="s">
        <v>287</v>
      </c>
      <c r="DA32" s="390">
        <f ca="1">DA98</f>
        <v>0</v>
      </c>
      <c r="DB32" s="390">
        <f t="shared" ref="DB32:DJ32" ca="1" si="923">DB98</f>
        <v>0</v>
      </c>
      <c r="DC32" s="390">
        <f t="shared" ca="1" si="923"/>
        <v>0</v>
      </c>
      <c r="DD32" s="390">
        <f t="shared" ca="1" si="923"/>
        <v>0</v>
      </c>
      <c r="DE32" s="390">
        <f t="shared" ca="1" si="923"/>
        <v>0</v>
      </c>
      <c r="DF32" s="390">
        <f t="shared" ca="1" si="923"/>
        <v>0</v>
      </c>
      <c r="DG32" s="390">
        <f t="shared" ca="1" si="923"/>
        <v>0</v>
      </c>
      <c r="DH32" s="390">
        <f t="shared" ca="1" si="923"/>
        <v>0</v>
      </c>
      <c r="DI32" s="390">
        <f t="shared" ca="1" si="923"/>
        <v>0</v>
      </c>
      <c r="DJ32" s="390">
        <f t="shared" ca="1" si="923"/>
        <v>0</v>
      </c>
      <c r="DL32" s="394"/>
      <c r="DM32" s="394"/>
      <c r="DN32" s="395"/>
      <c r="DT32" s="386" t="s">
        <v>1902</v>
      </c>
      <c r="DU32" s="387" t="s">
        <v>287</v>
      </c>
      <c r="DV32" s="390">
        <f ca="1">DV98</f>
        <v>0</v>
      </c>
      <c r="DW32" s="390">
        <f t="shared" ref="DW32:EK32" ca="1" si="924">DW98</f>
        <v>0</v>
      </c>
      <c r="DX32" s="390">
        <f t="shared" ca="1" si="924"/>
        <v>0</v>
      </c>
      <c r="DY32" s="390">
        <f t="shared" ca="1" si="924"/>
        <v>0</v>
      </c>
      <c r="DZ32" s="390">
        <f t="shared" ca="1" si="924"/>
        <v>0</v>
      </c>
      <c r="EA32" s="390">
        <f t="shared" ca="1" si="924"/>
        <v>0</v>
      </c>
      <c r="EB32" s="390">
        <f t="shared" ca="1" si="924"/>
        <v>0</v>
      </c>
      <c r="EC32" s="390">
        <f t="shared" ca="1" si="924"/>
        <v>0</v>
      </c>
      <c r="ED32" s="390">
        <f t="shared" ca="1" si="924"/>
        <v>0</v>
      </c>
      <c r="EE32" s="390">
        <f t="shared" ca="1" si="924"/>
        <v>0</v>
      </c>
      <c r="EF32" s="390">
        <f t="shared" ca="1" si="924"/>
        <v>0</v>
      </c>
      <c r="EG32" s="390">
        <f t="shared" ca="1" si="924"/>
        <v>0</v>
      </c>
      <c r="EH32" s="390">
        <f t="shared" ca="1" si="924"/>
        <v>0</v>
      </c>
      <c r="EI32" s="390">
        <f t="shared" ca="1" si="924"/>
        <v>0</v>
      </c>
      <c r="EJ32" s="390">
        <f t="shared" ref="EJ32" ca="1" si="925">EJ98</f>
        <v>0</v>
      </c>
      <c r="EK32" s="390">
        <f t="shared" ca="1" si="924"/>
        <v>0</v>
      </c>
      <c r="EM32" s="394"/>
      <c r="EN32" s="394"/>
      <c r="EO32" s="395"/>
      <c r="EU32" s="386" t="s">
        <v>1902</v>
      </c>
      <c r="EV32" s="387" t="s">
        <v>287</v>
      </c>
      <c r="EW32" s="390">
        <f ca="1">EW98</f>
        <v>12475.191699999999</v>
      </c>
      <c r="EX32" s="390">
        <f t="shared" ref="EX32:FB32" ca="1" si="926">EX98</f>
        <v>12475.191699999999</v>
      </c>
      <c r="EY32" s="390">
        <f t="shared" ca="1" si="926"/>
        <v>12475.191699999999</v>
      </c>
      <c r="EZ32" s="390">
        <f t="shared" ca="1" si="926"/>
        <v>12475.191699999999</v>
      </c>
      <c r="FA32" s="390">
        <f t="shared" ca="1" si="926"/>
        <v>0</v>
      </c>
      <c r="FB32" s="390">
        <f t="shared" ca="1" si="926"/>
        <v>0</v>
      </c>
      <c r="FD32" s="394"/>
      <c r="FE32" s="394"/>
      <c r="FF32" s="395"/>
      <c r="FL32" s="386" t="s">
        <v>1902</v>
      </c>
      <c r="FM32" s="387" t="s">
        <v>287</v>
      </c>
      <c r="FN32" s="390">
        <f ca="1">FN98</f>
        <v>0</v>
      </c>
      <c r="FO32" s="390">
        <f t="shared" ref="FO32:FX32" ca="1" si="927">FO98</f>
        <v>0</v>
      </c>
      <c r="FP32" s="390">
        <f t="shared" ca="1" si="927"/>
        <v>0</v>
      </c>
      <c r="FQ32" s="390">
        <f t="shared" ca="1" si="927"/>
        <v>0</v>
      </c>
      <c r="FR32" s="390">
        <f t="shared" ca="1" si="927"/>
        <v>0</v>
      </c>
      <c r="FS32" s="390">
        <f t="shared" ca="1" si="927"/>
        <v>0</v>
      </c>
      <c r="FT32" s="390">
        <f t="shared" ca="1" si="927"/>
        <v>0</v>
      </c>
      <c r="FU32" s="390">
        <f t="shared" ca="1" si="927"/>
        <v>0</v>
      </c>
      <c r="FV32" s="390">
        <f t="shared" ca="1" si="927"/>
        <v>0</v>
      </c>
      <c r="FW32" s="390">
        <f t="shared" ca="1" si="927"/>
        <v>0</v>
      </c>
      <c r="FX32" s="390">
        <f t="shared" ca="1" si="927"/>
        <v>0</v>
      </c>
      <c r="FZ32" s="394"/>
      <c r="GA32" s="394"/>
      <c r="GB32" s="395"/>
      <c r="GH32" s="386" t="s">
        <v>1902</v>
      </c>
      <c r="GI32" s="387" t="s">
        <v>287</v>
      </c>
      <c r="GJ32" s="390">
        <f ca="1">GJ98</f>
        <v>0</v>
      </c>
      <c r="GK32" s="390">
        <f t="shared" ref="GK32:GQ32" ca="1" si="928">GK98</f>
        <v>0</v>
      </c>
      <c r="GL32" s="390">
        <f t="shared" ca="1" si="928"/>
        <v>0</v>
      </c>
      <c r="GM32" s="390">
        <f t="shared" ca="1" si="928"/>
        <v>0</v>
      </c>
      <c r="GN32" s="390">
        <f t="shared" ca="1" si="928"/>
        <v>0</v>
      </c>
      <c r="GO32" s="390">
        <f t="shared" ca="1" si="928"/>
        <v>0</v>
      </c>
      <c r="GP32" s="390">
        <f t="shared" ca="1" si="928"/>
        <v>0</v>
      </c>
      <c r="GQ32" s="390">
        <f t="shared" ca="1" si="928"/>
        <v>0</v>
      </c>
      <c r="GS32" s="394"/>
      <c r="GT32" s="394"/>
      <c r="GU32" s="395"/>
      <c r="HA32" s="386" t="s">
        <v>1902</v>
      </c>
      <c r="HB32" s="387" t="s">
        <v>287</v>
      </c>
      <c r="HC32" s="390">
        <f ca="1">HC98</f>
        <v>12475.191699999999</v>
      </c>
      <c r="HD32" s="390">
        <f t="shared" ref="HD32:HH32" ca="1" si="929">HD98</f>
        <v>249.50383400000001</v>
      </c>
      <c r="HE32" s="390">
        <f t="shared" ca="1" si="929"/>
        <v>0</v>
      </c>
      <c r="HF32" s="390">
        <f t="shared" ca="1" si="929"/>
        <v>0</v>
      </c>
      <c r="HG32" s="390">
        <f t="shared" ca="1" si="929"/>
        <v>12225.687900000001</v>
      </c>
      <c r="HH32" s="390">
        <f t="shared" ca="1" si="929"/>
        <v>249.50383400000001</v>
      </c>
      <c r="HJ32" s="394"/>
      <c r="HK32" s="394"/>
      <c r="HL32" s="395"/>
      <c r="HM32" s="896"/>
      <c r="HN32" s="896"/>
      <c r="HO32" s="896"/>
      <c r="HP32" s="896"/>
      <c r="HR32" s="386" t="s">
        <v>1902</v>
      </c>
      <c r="HS32" s="387" t="s">
        <v>287</v>
      </c>
      <c r="HT32" s="390">
        <f ca="1">HT98</f>
        <v>0</v>
      </c>
      <c r="HU32" s="390">
        <f t="shared" ref="HU32:IE32" ca="1" si="930">HU98</f>
        <v>249.50383400000001</v>
      </c>
      <c r="HV32" s="390">
        <f t="shared" ca="1" si="930"/>
        <v>249.50383400000001</v>
      </c>
      <c r="HW32" s="390">
        <f t="shared" ca="1" si="930"/>
        <v>249.50383400000001</v>
      </c>
      <c r="HX32" s="390">
        <f t="shared" ca="1" si="930"/>
        <v>63.872981600000003</v>
      </c>
      <c r="HY32" s="390">
        <f t="shared" ca="1" si="930"/>
        <v>185.630853</v>
      </c>
      <c r="HZ32" s="390">
        <f t="shared" ca="1" si="930"/>
        <v>0</v>
      </c>
      <c r="IA32" s="390">
        <f t="shared" ca="1" si="930"/>
        <v>0</v>
      </c>
      <c r="IB32" s="390">
        <f t="shared" ca="1" si="930"/>
        <v>0</v>
      </c>
      <c r="IC32" s="390">
        <f t="shared" ca="1" si="930"/>
        <v>0</v>
      </c>
      <c r="ID32" s="390">
        <f t="shared" ca="1" si="930"/>
        <v>0</v>
      </c>
      <c r="IE32" s="390">
        <f t="shared" ca="1" si="930"/>
        <v>0</v>
      </c>
      <c r="IG32" s="394"/>
      <c r="IH32" s="394"/>
      <c r="II32" s="395"/>
      <c r="IO32" s="386" t="s">
        <v>1902</v>
      </c>
      <c r="IP32" s="387" t="s">
        <v>287</v>
      </c>
      <c r="IQ32" s="390">
        <f ca="1">IQ98</f>
        <v>63.872981600000003</v>
      </c>
      <c r="IR32" s="390">
        <f t="shared" ref="IR32:JH32" ca="1" si="931">IR98</f>
        <v>185.630853</v>
      </c>
      <c r="IS32" s="390">
        <f t="shared" ca="1" si="931"/>
        <v>77.004762299999996</v>
      </c>
      <c r="IT32" s="390">
        <f t="shared" ca="1" si="931"/>
        <v>262.63561499999997</v>
      </c>
      <c r="IU32" s="390">
        <f t="shared" ref="IU32" ca="1" si="932">IU98</f>
        <v>13.1317807</v>
      </c>
      <c r="IV32" s="390">
        <f t="shared" ca="1" si="931"/>
        <v>1925.11906</v>
      </c>
      <c r="IW32" s="390">
        <f t="shared" ca="1" si="931"/>
        <v>1848.1143</v>
      </c>
      <c r="IX32" s="390">
        <f t="shared" ref="IX32" ca="1" si="933">IX98</f>
        <v>0</v>
      </c>
      <c r="IY32" s="390">
        <f t="shared" ca="1" si="931"/>
        <v>249.50383400000001</v>
      </c>
      <c r="IZ32" s="390">
        <f t="shared" ca="1" si="931"/>
        <v>0</v>
      </c>
      <c r="JA32" s="390">
        <f t="shared" ca="1" si="931"/>
        <v>1925.11906</v>
      </c>
      <c r="JB32" s="390">
        <f t="shared" ca="1" si="931"/>
        <v>0</v>
      </c>
      <c r="JC32" s="390">
        <f t="shared" ca="1" si="931"/>
        <v>0</v>
      </c>
      <c r="JD32" s="390">
        <f t="shared" ca="1" si="931"/>
        <v>0</v>
      </c>
      <c r="JE32" s="390">
        <f t="shared" ca="1" si="931"/>
        <v>0</v>
      </c>
      <c r="JF32" s="390">
        <f t="shared" ca="1" si="931"/>
        <v>0</v>
      </c>
      <c r="JG32" s="390">
        <f t="shared" ca="1" si="931"/>
        <v>0</v>
      </c>
      <c r="JH32" s="390">
        <f t="shared" ca="1" si="931"/>
        <v>0</v>
      </c>
      <c r="JJ32" s="394"/>
      <c r="JK32" s="394"/>
      <c r="JL32" s="395"/>
      <c r="JR32" s="386" t="s">
        <v>1902</v>
      </c>
      <c r="JS32" s="387" t="s">
        <v>287</v>
      </c>
      <c r="JT32" s="390">
        <f ca="1">JT98</f>
        <v>0</v>
      </c>
      <c r="JU32" s="390">
        <f t="shared" ref="JU32:KC32" ca="1" si="934">JU98</f>
        <v>0</v>
      </c>
      <c r="JV32" s="390">
        <f t="shared" ca="1" si="934"/>
        <v>0</v>
      </c>
      <c r="JW32" s="390">
        <f t="shared" ca="1" si="934"/>
        <v>0</v>
      </c>
      <c r="JX32" s="390">
        <f t="shared" ca="1" si="934"/>
        <v>0</v>
      </c>
      <c r="JY32" s="390">
        <f t="shared" ca="1" si="934"/>
        <v>0</v>
      </c>
      <c r="JZ32" s="390">
        <f t="shared" ca="1" si="934"/>
        <v>0</v>
      </c>
      <c r="KA32" s="390">
        <f t="shared" ca="1" si="934"/>
        <v>0</v>
      </c>
      <c r="KB32" s="390">
        <f t="shared" ca="1" si="934"/>
        <v>0</v>
      </c>
      <c r="KC32" s="390">
        <f t="shared" ca="1" si="934"/>
        <v>0</v>
      </c>
      <c r="KJ32" s="386" t="s">
        <v>1902</v>
      </c>
      <c r="KK32" s="387" t="s">
        <v>287</v>
      </c>
      <c r="KL32" s="390">
        <f ca="1">KL98</f>
        <v>0</v>
      </c>
      <c r="KM32" s="390">
        <f t="shared" ref="KM32:KR32" ca="1" si="935">KM98</f>
        <v>0</v>
      </c>
      <c r="KN32" s="390">
        <f t="shared" ca="1" si="935"/>
        <v>0</v>
      </c>
      <c r="KO32" s="390">
        <f t="shared" ca="1" si="935"/>
        <v>0</v>
      </c>
      <c r="KP32" s="390">
        <f t="shared" ca="1" si="935"/>
        <v>0</v>
      </c>
      <c r="KQ32" s="390">
        <f t="shared" ca="1" si="935"/>
        <v>0</v>
      </c>
      <c r="KR32" s="390">
        <f t="shared" ca="1" si="935"/>
        <v>0</v>
      </c>
      <c r="KY32" s="386" t="s">
        <v>1902</v>
      </c>
      <c r="KZ32" s="387" t="s">
        <v>287</v>
      </c>
      <c r="LA32" s="390">
        <f ca="1">LA98</f>
        <v>0</v>
      </c>
      <c r="LB32" s="390">
        <f t="shared" ref="LB32:LK32" ca="1" si="936">LB98</f>
        <v>0</v>
      </c>
      <c r="LC32" s="390">
        <f t="shared" ca="1" si="936"/>
        <v>0</v>
      </c>
      <c r="LD32" s="390">
        <f t="shared" ca="1" si="936"/>
        <v>0</v>
      </c>
      <c r="LE32" s="390">
        <f t="shared" ca="1" si="936"/>
        <v>0</v>
      </c>
      <c r="LF32" s="390">
        <f t="shared" ca="1" si="936"/>
        <v>0</v>
      </c>
      <c r="LG32" s="390">
        <f t="shared" ca="1" si="936"/>
        <v>0</v>
      </c>
      <c r="LH32" s="390">
        <f t="shared" ca="1" si="936"/>
        <v>0</v>
      </c>
      <c r="LI32" s="390">
        <f t="shared" ca="1" si="936"/>
        <v>0</v>
      </c>
      <c r="LJ32" s="390">
        <f t="shared" ca="1" si="936"/>
        <v>0</v>
      </c>
      <c r="LK32" s="390">
        <f t="shared" ca="1" si="936"/>
        <v>0</v>
      </c>
      <c r="LM32" s="394"/>
      <c r="LN32" s="394"/>
      <c r="LO32" s="395"/>
      <c r="LU32" s="386" t="s">
        <v>1902</v>
      </c>
      <c r="LV32" s="387" t="s">
        <v>287</v>
      </c>
      <c r="LW32" s="390">
        <f ca="1">LW98</f>
        <v>0</v>
      </c>
      <c r="LX32" s="390">
        <f ca="1">LX98</f>
        <v>0</v>
      </c>
      <c r="LY32" s="390">
        <f t="shared" ref="LY32:MO32" ca="1" si="937">LY98</f>
        <v>12225.687900000001</v>
      </c>
      <c r="LZ32" s="390">
        <f t="shared" ca="1" si="937"/>
        <v>249.50383400000001</v>
      </c>
      <c r="MA32" s="390">
        <f t="shared" ca="1" si="937"/>
        <v>12475.191699999999</v>
      </c>
      <c r="MB32" s="390">
        <f t="shared" ca="1" si="937"/>
        <v>0</v>
      </c>
      <c r="MC32" s="390">
        <f t="shared" ca="1" si="937"/>
        <v>0</v>
      </c>
      <c r="MD32" s="390">
        <f t="shared" ca="1" si="937"/>
        <v>0</v>
      </c>
      <c r="ME32" s="390">
        <f t="shared" ca="1" si="937"/>
        <v>0</v>
      </c>
      <c r="MF32" s="390">
        <f t="shared" ca="1" si="937"/>
        <v>0</v>
      </c>
      <c r="MG32" s="390">
        <f t="shared" ca="1" si="937"/>
        <v>0</v>
      </c>
      <c r="MH32" s="390">
        <f t="shared" ref="MH32:MI32" ca="1" si="938">MH98</f>
        <v>0</v>
      </c>
      <c r="MI32" s="390">
        <f t="shared" ca="1" si="938"/>
        <v>0</v>
      </c>
      <c r="MJ32" s="390">
        <f t="shared" ca="1" si="937"/>
        <v>0</v>
      </c>
      <c r="MK32" s="390">
        <f t="shared" ca="1" si="937"/>
        <v>0</v>
      </c>
      <c r="ML32" s="390">
        <f t="shared" ca="1" si="937"/>
        <v>0</v>
      </c>
      <c r="MM32" s="390">
        <f t="shared" ca="1" si="937"/>
        <v>0</v>
      </c>
      <c r="MN32" s="390">
        <f t="shared" ca="1" si="937"/>
        <v>0</v>
      </c>
      <c r="MO32" s="390">
        <f t="shared" ca="1" si="937"/>
        <v>0</v>
      </c>
      <c r="MQ32" s="394"/>
      <c r="MR32" s="394"/>
      <c r="MS32" s="395"/>
      <c r="MY32" s="386" t="s">
        <v>1902</v>
      </c>
      <c r="MZ32" s="387" t="s">
        <v>287</v>
      </c>
      <c r="NA32" s="390">
        <f ca="1">NA98</f>
        <v>0</v>
      </c>
      <c r="NB32" s="390">
        <f t="shared" ref="NB32:NP32" ca="1" si="939">NB98</f>
        <v>0</v>
      </c>
      <c r="NC32" s="390">
        <f t="shared" ca="1" si="939"/>
        <v>0</v>
      </c>
      <c r="ND32" s="390">
        <f t="shared" ca="1" si="939"/>
        <v>0</v>
      </c>
      <c r="NE32" s="390">
        <f t="shared" ca="1" si="939"/>
        <v>0</v>
      </c>
      <c r="NF32" s="390">
        <f t="shared" ca="1" si="939"/>
        <v>0</v>
      </c>
      <c r="NG32" s="390">
        <f t="shared" ca="1" si="939"/>
        <v>0</v>
      </c>
      <c r="NH32" s="390">
        <f t="shared" ca="1" si="939"/>
        <v>0</v>
      </c>
      <c r="NI32" s="390">
        <f t="shared" ca="1" si="939"/>
        <v>0</v>
      </c>
      <c r="NJ32" s="390">
        <f t="shared" ca="1" si="939"/>
        <v>0</v>
      </c>
      <c r="NK32" s="390">
        <f t="shared" ca="1" si="939"/>
        <v>0</v>
      </c>
      <c r="NL32" s="390">
        <f t="shared" ca="1" si="939"/>
        <v>0</v>
      </c>
      <c r="NM32" s="390">
        <f t="shared" ca="1" si="939"/>
        <v>0</v>
      </c>
      <c r="NN32" s="390">
        <f t="shared" ca="1" si="939"/>
        <v>0</v>
      </c>
      <c r="NO32" s="390">
        <f t="shared" ca="1" si="939"/>
        <v>0</v>
      </c>
      <c r="NP32" s="390">
        <f t="shared" ca="1" si="939"/>
        <v>0</v>
      </c>
      <c r="NR32" s="394"/>
      <c r="NS32" s="394"/>
      <c r="NT32" s="395"/>
      <c r="NZ32" s="394"/>
      <c r="OF32" s="386" t="s">
        <v>1902</v>
      </c>
      <c r="OG32" s="387" t="s">
        <v>287</v>
      </c>
      <c r="OH32" s="390">
        <f ca="1">OH98</f>
        <v>0</v>
      </c>
      <c r="OI32" s="390">
        <f t="shared" ref="OI32:OO32" ca="1" si="940">OI98</f>
        <v>0</v>
      </c>
      <c r="OJ32" s="390">
        <f t="shared" ca="1" si="940"/>
        <v>0</v>
      </c>
      <c r="OK32" s="390">
        <f t="shared" ca="1" si="940"/>
        <v>0</v>
      </c>
      <c r="OL32" s="390">
        <f t="shared" ca="1" si="940"/>
        <v>0</v>
      </c>
      <c r="OM32" s="390">
        <f t="shared" ca="1" si="940"/>
        <v>0</v>
      </c>
      <c r="ON32" s="390">
        <f t="shared" ca="1" si="940"/>
        <v>0</v>
      </c>
      <c r="OO32" s="390">
        <f t="shared" ca="1" si="940"/>
        <v>0</v>
      </c>
      <c r="OQ32" s="394"/>
      <c r="OR32" s="394"/>
      <c r="OS32" s="395"/>
      <c r="OY32" s="386" t="s">
        <v>1902</v>
      </c>
      <c r="OZ32" s="387" t="s">
        <v>287</v>
      </c>
      <c r="PA32" s="390">
        <f ca="1">PA98</f>
        <v>0</v>
      </c>
      <c r="PB32" s="390">
        <f t="shared" ref="PB32:PK32" ca="1" si="941">PB98</f>
        <v>0</v>
      </c>
      <c r="PC32" s="390">
        <f t="shared" ca="1" si="941"/>
        <v>0</v>
      </c>
      <c r="PD32" s="390">
        <f t="shared" ca="1" si="941"/>
        <v>0</v>
      </c>
      <c r="PE32" s="390">
        <f t="shared" ca="1" si="941"/>
        <v>0</v>
      </c>
      <c r="PF32" s="390">
        <f t="shared" ca="1" si="941"/>
        <v>0</v>
      </c>
      <c r="PG32" s="390">
        <f t="shared" ca="1" si="941"/>
        <v>0</v>
      </c>
      <c r="PH32" s="390">
        <f t="shared" ca="1" si="941"/>
        <v>0</v>
      </c>
      <c r="PI32" s="390">
        <f t="shared" ca="1" si="941"/>
        <v>0</v>
      </c>
      <c r="PJ32" s="390">
        <f t="shared" ca="1" si="941"/>
        <v>0</v>
      </c>
      <c r="PK32" s="390">
        <f t="shared" ca="1" si="941"/>
        <v>0</v>
      </c>
      <c r="PM32" s="394"/>
      <c r="PN32" s="394"/>
      <c r="PO32" s="395"/>
      <c r="PU32" s="386" t="s">
        <v>1902</v>
      </c>
      <c r="PV32" s="387" t="s">
        <v>287</v>
      </c>
      <c r="PW32" s="390">
        <f ca="1">PW98</f>
        <v>0</v>
      </c>
      <c r="PX32" s="390">
        <f t="shared" ref="PX32:PZ32" ca="1" si="942">PX98</f>
        <v>0</v>
      </c>
      <c r="PY32" s="390">
        <f t="shared" ca="1" si="942"/>
        <v>0</v>
      </c>
      <c r="PZ32" s="390">
        <f t="shared" ca="1" si="942"/>
        <v>0</v>
      </c>
      <c r="QB32" s="394"/>
      <c r="QC32" s="394"/>
      <c r="QD32" s="395"/>
    </row>
    <row r="33" spans="1:446" x14ac:dyDescent="0.25">
      <c r="A33" s="1315"/>
      <c r="H33" s="386" t="s">
        <v>3212</v>
      </c>
      <c r="I33" s="387" t="s">
        <v>287</v>
      </c>
      <c r="J33" s="390">
        <f ca="1">J100+J102+J103</f>
        <v>2583.0279399999999</v>
      </c>
      <c r="K33" s="390">
        <f ca="1">K100+K102+K103</f>
        <v>2583.0279399999999</v>
      </c>
      <c r="R33" s="386" t="s">
        <v>3212</v>
      </c>
      <c r="S33" s="387" t="s">
        <v>287</v>
      </c>
      <c r="T33" s="390">
        <f ca="1">T100+T102+T103</f>
        <v>2583.0279399999999</v>
      </c>
      <c r="U33" s="390">
        <f t="shared" ref="U33:AD33" ca="1" si="943">U100+U102+U103</f>
        <v>0</v>
      </c>
      <c r="V33" s="390">
        <f t="shared" ca="1" si="943"/>
        <v>0</v>
      </c>
      <c r="W33" s="390">
        <f t="shared" ca="1" si="943"/>
        <v>0</v>
      </c>
      <c r="X33" s="390">
        <f t="shared" ca="1" si="943"/>
        <v>0</v>
      </c>
      <c r="Y33" s="390">
        <f t="shared" ca="1" si="943"/>
        <v>2583.0279399999999</v>
      </c>
      <c r="Z33" s="390">
        <f t="shared" ca="1" si="943"/>
        <v>0</v>
      </c>
      <c r="AA33" s="390">
        <f t="shared" ca="1" si="943"/>
        <v>2583.0279399999999</v>
      </c>
      <c r="AB33" s="390">
        <f t="shared" ca="1" si="943"/>
        <v>0</v>
      </c>
      <c r="AC33" s="390">
        <f t="shared" ca="1" si="943"/>
        <v>0</v>
      </c>
      <c r="AD33" s="390">
        <f t="shared" ca="1" si="943"/>
        <v>0</v>
      </c>
      <c r="AF33" s="896"/>
      <c r="AG33" s="896"/>
      <c r="AH33" s="896"/>
      <c r="AI33" s="896"/>
      <c r="AK33" s="386" t="s">
        <v>3212</v>
      </c>
      <c r="AL33" s="387" t="s">
        <v>287</v>
      </c>
      <c r="AM33" s="390">
        <f ca="1">AM100+AM102+AM103</f>
        <v>0</v>
      </c>
      <c r="AN33" s="390">
        <f t="shared" ref="AN33:BB33" ca="1" si="944">AN100+AN102+AN103</f>
        <v>0</v>
      </c>
      <c r="AO33" s="390">
        <f t="shared" ref="AO33:AS33" ca="1" si="945">AO100+AO102+AO103</f>
        <v>2583.0279399999999</v>
      </c>
      <c r="AP33" s="390">
        <f t="shared" ca="1" si="945"/>
        <v>2583.0279399999999</v>
      </c>
      <c r="AQ33" s="390">
        <f t="shared" ca="1" si="945"/>
        <v>0</v>
      </c>
      <c r="AR33" s="390">
        <f t="shared" ca="1" si="945"/>
        <v>0</v>
      </c>
      <c r="AS33" s="390">
        <f t="shared" ca="1" si="945"/>
        <v>0</v>
      </c>
      <c r="AT33" s="390">
        <f t="shared" ca="1" si="944"/>
        <v>0</v>
      </c>
      <c r="AU33" s="390">
        <f t="shared" ca="1" si="944"/>
        <v>0</v>
      </c>
      <c r="AV33" s="390">
        <f t="shared" ca="1" si="944"/>
        <v>2583.0279399999999</v>
      </c>
      <c r="AW33" s="390">
        <f t="shared" ca="1" si="944"/>
        <v>0</v>
      </c>
      <c r="AX33" s="390">
        <f t="shared" ca="1" si="944"/>
        <v>0</v>
      </c>
      <c r="AY33" s="390">
        <f t="shared" ca="1" si="944"/>
        <v>0</v>
      </c>
      <c r="AZ33" s="390">
        <f t="shared" ca="1" si="944"/>
        <v>0</v>
      </c>
      <c r="BA33" s="390">
        <f t="shared" ca="1" si="944"/>
        <v>0</v>
      </c>
      <c r="BB33" s="390">
        <f t="shared" ca="1" si="944"/>
        <v>2583.0279399999999</v>
      </c>
      <c r="BD33" s="896"/>
      <c r="BE33" s="896"/>
      <c r="BF33" s="896"/>
      <c r="BL33" s="386" t="s">
        <v>3212</v>
      </c>
      <c r="BM33" s="387" t="s">
        <v>287</v>
      </c>
      <c r="BN33" s="390">
        <f ca="1">BN100+BN102+BN103</f>
        <v>320.28200702000004</v>
      </c>
      <c r="BO33" s="390">
        <f t="shared" ref="BO33:BR33" ca="1" si="946">BO100+BO102+BO103</f>
        <v>364.30669302000001</v>
      </c>
      <c r="BP33" s="390">
        <f t="shared" ca="1" si="946"/>
        <v>0</v>
      </c>
      <c r="BQ33" s="390">
        <f t="shared" ca="1" si="946"/>
        <v>52.6961972</v>
      </c>
      <c r="BR33" s="390">
        <f t="shared" ca="1" si="946"/>
        <v>0</v>
      </c>
      <c r="BT33" s="896"/>
      <c r="BU33" s="896"/>
      <c r="BV33" s="896"/>
      <c r="CB33" s="386" t="s">
        <v>3212</v>
      </c>
      <c r="CC33" s="387" t="s">
        <v>287</v>
      </c>
      <c r="CD33" s="390">
        <f ca="1">CD100+CD102+CD103</f>
        <v>2583.0279399999999</v>
      </c>
      <c r="CE33" s="390">
        <f t="shared" ref="CE33:CO33" ca="1" si="947">CE100+CE102+CE103</f>
        <v>2583.0279399999999</v>
      </c>
      <c r="CF33" s="390">
        <f t="shared" ca="1" si="947"/>
        <v>320.28200702000004</v>
      </c>
      <c r="CG33" s="390">
        <f t="shared" ca="1" si="947"/>
        <v>364.30669302000001</v>
      </c>
      <c r="CH33" s="390">
        <f t="shared" ca="1" si="947"/>
        <v>3202.8220182999999</v>
      </c>
      <c r="CI33" s="390">
        <f t="shared" ca="1" si="947"/>
        <v>237.13288700000004</v>
      </c>
      <c r="CJ33" s="390">
        <f t="shared" ca="1" si="947"/>
        <v>0</v>
      </c>
      <c r="CK33" s="390">
        <f t="shared" ca="1" si="947"/>
        <v>3444.7836302000001</v>
      </c>
      <c r="CL33" s="390">
        <f t="shared" ca="1" si="947"/>
        <v>0</v>
      </c>
      <c r="CM33" s="390">
        <f t="shared" ca="1" si="947"/>
        <v>619.7940784000001</v>
      </c>
      <c r="CN33" s="390">
        <f t="shared" ca="1" si="947"/>
        <v>3444.7836302000001</v>
      </c>
      <c r="CO33" s="390">
        <f t="shared" ca="1" si="947"/>
        <v>0</v>
      </c>
      <c r="CQ33" s="896"/>
      <c r="CR33" s="896"/>
      <c r="CS33" s="896"/>
      <c r="CY33" s="386" t="s">
        <v>3212</v>
      </c>
      <c r="CZ33" s="387" t="s">
        <v>287</v>
      </c>
      <c r="DA33" s="390">
        <f ca="1">DA100+DA102+DA103</f>
        <v>3.4432896290000001</v>
      </c>
      <c r="DB33" s="390">
        <f t="shared" ref="DB33:DJ33" ca="1" si="948">DB100+DB102+DB103</f>
        <v>1.9650539799999998</v>
      </c>
      <c r="DC33" s="390">
        <f t="shared" ca="1" si="948"/>
        <v>0</v>
      </c>
      <c r="DD33" s="390">
        <f t="shared" ca="1" si="948"/>
        <v>0</v>
      </c>
      <c r="DE33" s="390">
        <f t="shared" ca="1" si="948"/>
        <v>6.9192319300000005</v>
      </c>
      <c r="DF33" s="390">
        <f t="shared" ca="1" si="948"/>
        <v>0</v>
      </c>
      <c r="DG33" s="390">
        <f t="shared" ca="1" si="948"/>
        <v>0</v>
      </c>
      <c r="DH33" s="390">
        <f t="shared" ca="1" si="948"/>
        <v>0</v>
      </c>
      <c r="DI33" s="390">
        <f t="shared" ca="1" si="948"/>
        <v>0</v>
      </c>
      <c r="DJ33" s="390">
        <f t="shared" ca="1" si="948"/>
        <v>0</v>
      </c>
      <c r="DL33" s="896"/>
      <c r="DM33" s="896"/>
      <c r="DN33" s="896"/>
      <c r="DT33" s="386" t="s">
        <v>3212</v>
      </c>
      <c r="DU33" s="387" t="s">
        <v>287</v>
      </c>
      <c r="DV33" s="390">
        <f ca="1">DV100+DV102+DV103</f>
        <v>0</v>
      </c>
      <c r="DW33" s="390">
        <f t="shared" ref="DW33:EK33" ca="1" si="949">DW100+DW102+DW103</f>
        <v>0</v>
      </c>
      <c r="DX33" s="390">
        <f t="shared" ca="1" si="949"/>
        <v>68.865792569999996</v>
      </c>
      <c r="DY33" s="390">
        <f t="shared" ca="1" si="949"/>
        <v>3.4432896290000001</v>
      </c>
      <c r="DZ33" s="390">
        <f t="shared" ca="1" si="949"/>
        <v>0</v>
      </c>
      <c r="EA33" s="390">
        <f t="shared" ca="1" si="949"/>
        <v>6.9192319300000005</v>
      </c>
      <c r="EB33" s="390">
        <f t="shared" ca="1" si="949"/>
        <v>65.422502899999998</v>
      </c>
      <c r="EC33" s="390">
        <f t="shared" ca="1" si="949"/>
        <v>39.158165099999998</v>
      </c>
      <c r="ED33" s="390">
        <f t="shared" ca="1" si="949"/>
        <v>619.7940784000001</v>
      </c>
      <c r="EE33" s="390">
        <f t="shared" ca="1" si="949"/>
        <v>0</v>
      </c>
      <c r="EF33" s="390">
        <f t="shared" ca="1" si="949"/>
        <v>0</v>
      </c>
      <c r="EG33" s="390">
        <f t="shared" ca="1" si="949"/>
        <v>0</v>
      </c>
      <c r="EH33" s="390">
        <f t="shared" ca="1" si="949"/>
        <v>0</v>
      </c>
      <c r="EI33" s="390">
        <f t="shared" ca="1" si="949"/>
        <v>39.158165099999998</v>
      </c>
      <c r="EJ33" s="390">
        <f t="shared" ref="EJ33" ca="1" si="950">EJ100+EJ102+EJ103</f>
        <v>0</v>
      </c>
      <c r="EK33" s="390">
        <f t="shared" ca="1" si="949"/>
        <v>0</v>
      </c>
      <c r="EM33" s="896"/>
      <c r="EN33" s="896"/>
      <c r="EO33" s="896"/>
      <c r="EU33" s="386" t="s">
        <v>3212</v>
      </c>
      <c r="EV33" s="387" t="s">
        <v>287</v>
      </c>
      <c r="EW33" s="390">
        <f ca="1">EW100+EW102+EW103</f>
        <v>3444.7836302000001</v>
      </c>
      <c r="EX33" s="390">
        <f t="shared" ref="EX33:FB33" ca="1" si="951">EX100+EX102+EX103</f>
        <v>3444.7836302000001</v>
      </c>
      <c r="EY33" s="390">
        <f t="shared" ca="1" si="951"/>
        <v>3444.7836302000001</v>
      </c>
      <c r="EZ33" s="390">
        <f t="shared" ca="1" si="951"/>
        <v>3444.7836302000001</v>
      </c>
      <c r="FA33" s="390">
        <f t="shared" ca="1" si="951"/>
        <v>0</v>
      </c>
      <c r="FB33" s="390">
        <f t="shared" ca="1" si="951"/>
        <v>0</v>
      </c>
      <c r="FD33" s="896"/>
      <c r="FE33" s="896"/>
      <c r="FF33" s="896"/>
      <c r="FL33" s="386" t="s">
        <v>3212</v>
      </c>
      <c r="FM33" s="387" t="s">
        <v>287</v>
      </c>
      <c r="FN33" s="390">
        <f ca="1">FN100+FN102+FN103</f>
        <v>0</v>
      </c>
      <c r="FO33" s="390">
        <f t="shared" ref="FO33:FX33" ca="1" si="952">FO100+FO102+FO103</f>
        <v>0</v>
      </c>
      <c r="FP33" s="390">
        <f t="shared" ca="1" si="952"/>
        <v>0</v>
      </c>
      <c r="FQ33" s="390">
        <f t="shared" ca="1" si="952"/>
        <v>0</v>
      </c>
      <c r="FR33" s="390">
        <f t="shared" ca="1" si="952"/>
        <v>0</v>
      </c>
      <c r="FS33" s="390">
        <f t="shared" ca="1" si="952"/>
        <v>0</v>
      </c>
      <c r="FT33" s="390">
        <f t="shared" ca="1" si="952"/>
        <v>0</v>
      </c>
      <c r="FU33" s="390">
        <f t="shared" ca="1" si="952"/>
        <v>0</v>
      </c>
      <c r="FV33" s="390">
        <f t="shared" ca="1" si="952"/>
        <v>0</v>
      </c>
      <c r="FW33" s="390">
        <f t="shared" ca="1" si="952"/>
        <v>0</v>
      </c>
      <c r="FX33" s="390">
        <f t="shared" ca="1" si="952"/>
        <v>0</v>
      </c>
      <c r="FZ33" s="896"/>
      <c r="GA33" s="896"/>
      <c r="GB33" s="896"/>
      <c r="GH33" s="386" t="s">
        <v>3212</v>
      </c>
      <c r="GI33" s="387" t="s">
        <v>287</v>
      </c>
      <c r="GJ33" s="390">
        <f ca="1">GJ100+GJ102+GJ103</f>
        <v>0</v>
      </c>
      <c r="GK33" s="390">
        <f t="shared" ref="GK33:GQ33" ca="1" si="953">GK100+GK102+GK103</f>
        <v>0</v>
      </c>
      <c r="GL33" s="390">
        <f t="shared" ca="1" si="953"/>
        <v>0</v>
      </c>
      <c r="GM33" s="390">
        <f t="shared" ca="1" si="953"/>
        <v>0</v>
      </c>
      <c r="GN33" s="390">
        <f t="shared" ca="1" si="953"/>
        <v>0</v>
      </c>
      <c r="GO33" s="390">
        <f t="shared" ca="1" si="953"/>
        <v>0</v>
      </c>
      <c r="GP33" s="390">
        <f t="shared" ca="1" si="953"/>
        <v>0</v>
      </c>
      <c r="GQ33" s="390">
        <f t="shared" ca="1" si="953"/>
        <v>0</v>
      </c>
      <c r="GS33" s="896"/>
      <c r="GT33" s="896"/>
      <c r="GU33" s="896"/>
      <c r="HA33" s="386" t="s">
        <v>3212</v>
      </c>
      <c r="HB33" s="387" t="s">
        <v>287</v>
      </c>
      <c r="HC33" s="390">
        <f ca="1">HC100+HC102+HC103</f>
        <v>3444.7836302000001</v>
      </c>
      <c r="HD33" s="390">
        <f t="shared" ref="HD33:HH33" ca="1" si="954">HD100+HD102+HD103</f>
        <v>68.895672619999985</v>
      </c>
      <c r="HE33" s="390">
        <f t="shared" ca="1" si="954"/>
        <v>0</v>
      </c>
      <c r="HF33" s="390">
        <f t="shared" ca="1" si="954"/>
        <v>0</v>
      </c>
      <c r="HG33" s="390">
        <f t="shared" ca="1" si="954"/>
        <v>3375.8879540999997</v>
      </c>
      <c r="HH33" s="390">
        <f t="shared" ca="1" si="954"/>
        <v>68.895672619999985</v>
      </c>
      <c r="HJ33" s="896"/>
      <c r="HK33" s="896"/>
      <c r="HL33" s="896"/>
      <c r="HM33" s="896"/>
      <c r="HN33" s="896"/>
      <c r="HO33" s="896"/>
      <c r="HP33" s="896"/>
      <c r="HR33" s="386" t="s">
        <v>3212</v>
      </c>
      <c r="HS33" s="387" t="s">
        <v>287</v>
      </c>
      <c r="HT33" s="390">
        <f ca="1">HT100+HT102+HT103</f>
        <v>0</v>
      </c>
      <c r="HU33" s="390">
        <f t="shared" ref="HU33:IE33" ca="1" si="955">HU100+HU102+HU103</f>
        <v>68.895672619999985</v>
      </c>
      <c r="HV33" s="390">
        <f t="shared" ca="1" si="955"/>
        <v>68.895672619999985</v>
      </c>
      <c r="HW33" s="390">
        <f t="shared" ca="1" si="955"/>
        <v>68.895672619999985</v>
      </c>
      <c r="HX33" s="390">
        <f t="shared" ca="1" si="955"/>
        <v>17.637292194</v>
      </c>
      <c r="HY33" s="390">
        <f t="shared" ca="1" si="955"/>
        <v>51.258380420000002</v>
      </c>
      <c r="HZ33" s="390">
        <f t="shared" ca="1" si="955"/>
        <v>0</v>
      </c>
      <c r="IA33" s="390">
        <f t="shared" ca="1" si="955"/>
        <v>0</v>
      </c>
      <c r="IB33" s="390">
        <f t="shared" ca="1" si="955"/>
        <v>0</v>
      </c>
      <c r="IC33" s="390">
        <f t="shared" ca="1" si="955"/>
        <v>0</v>
      </c>
      <c r="ID33" s="390">
        <f t="shared" ca="1" si="955"/>
        <v>0</v>
      </c>
      <c r="IE33" s="390">
        <f t="shared" ca="1" si="955"/>
        <v>0</v>
      </c>
      <c r="IG33" s="896"/>
      <c r="IH33" s="896"/>
      <c r="II33" s="896"/>
      <c r="IO33" s="386" t="s">
        <v>3212</v>
      </c>
      <c r="IP33" s="387" t="s">
        <v>287</v>
      </c>
      <c r="IQ33" s="390">
        <f ca="1">IQ100+IQ102+IQ103</f>
        <v>17.637292194</v>
      </c>
      <c r="IR33" s="390">
        <f t="shared" ref="IR33:JH33" ca="1" si="956">IR100+IR102+IR103</f>
        <v>51.258380420000002</v>
      </c>
      <c r="IS33" s="390">
        <f t="shared" ca="1" si="956"/>
        <v>3.5998858364999999</v>
      </c>
      <c r="IT33" s="390">
        <f t="shared" ca="1" si="956"/>
        <v>54.858266270000001</v>
      </c>
      <c r="IU33" s="390">
        <f t="shared" ref="IU33" ca="1" si="957">IU100+IU102+IU103</f>
        <v>2.7429133122999998</v>
      </c>
      <c r="IV33" s="390">
        <f t="shared" ca="1" si="956"/>
        <v>89.997145756000009</v>
      </c>
      <c r="IW33" s="390">
        <f t="shared" ca="1" si="956"/>
        <v>86.397259937000001</v>
      </c>
      <c r="IX33" s="390">
        <f t="shared" ref="IX33" ca="1" si="958">IX100+IX102+IX103</f>
        <v>0</v>
      </c>
      <c r="IY33" s="390">
        <f t="shared" ca="1" si="956"/>
        <v>52.115352919999999</v>
      </c>
      <c r="IZ33" s="390">
        <f t="shared" ca="1" si="956"/>
        <v>0</v>
      </c>
      <c r="JA33" s="390">
        <f t="shared" ca="1" si="956"/>
        <v>89.997145756000009</v>
      </c>
      <c r="JB33" s="390">
        <f t="shared" ca="1" si="956"/>
        <v>0</v>
      </c>
      <c r="JC33" s="390">
        <f t="shared" ca="1" si="956"/>
        <v>0</v>
      </c>
      <c r="JD33" s="390">
        <f t="shared" ca="1" si="956"/>
        <v>0</v>
      </c>
      <c r="JE33" s="390">
        <f t="shared" ca="1" si="956"/>
        <v>0</v>
      </c>
      <c r="JF33" s="390">
        <f t="shared" ca="1" si="956"/>
        <v>0</v>
      </c>
      <c r="JG33" s="390">
        <f t="shared" ca="1" si="956"/>
        <v>0</v>
      </c>
      <c r="JH33" s="390">
        <f t="shared" ca="1" si="956"/>
        <v>0</v>
      </c>
      <c r="JJ33" s="896"/>
      <c r="JK33" s="896"/>
      <c r="JL33" s="896"/>
      <c r="JR33" s="386" t="s">
        <v>3212</v>
      </c>
      <c r="JS33" s="387" t="s">
        <v>287</v>
      </c>
      <c r="JT33" s="390">
        <f ca="1">JT100+JT102+JT103</f>
        <v>52.6961972</v>
      </c>
      <c r="JU33" s="390">
        <f t="shared" ref="JU33:KC33" ca="1" si="959">JU100+JU102+JU103</f>
        <v>237.13288700000004</v>
      </c>
      <c r="JV33" s="390">
        <f t="shared" ca="1" si="959"/>
        <v>1.9650539799999998</v>
      </c>
      <c r="JW33" s="390">
        <f t="shared" ca="1" si="959"/>
        <v>39.158165099999998</v>
      </c>
      <c r="JX33" s="390">
        <f t="shared" ca="1" si="959"/>
        <v>0</v>
      </c>
      <c r="JY33" s="390">
        <f t="shared" ca="1" si="959"/>
        <v>0</v>
      </c>
      <c r="JZ33" s="390">
        <f t="shared" ca="1" si="959"/>
        <v>0</v>
      </c>
      <c r="KA33" s="390">
        <f t="shared" ca="1" si="959"/>
        <v>0</v>
      </c>
      <c r="KB33" s="390">
        <f t="shared" ca="1" si="959"/>
        <v>0</v>
      </c>
      <c r="KC33" s="390">
        <f t="shared" ca="1" si="959"/>
        <v>330.95230400000003</v>
      </c>
      <c r="KJ33" s="386" t="s">
        <v>3212</v>
      </c>
      <c r="KK33" s="387" t="s">
        <v>287</v>
      </c>
      <c r="KL33" s="390">
        <f ca="1">KL100+KL102+KL103</f>
        <v>0</v>
      </c>
      <c r="KM33" s="390">
        <f t="shared" ref="KM33:KR33" ca="1" si="960">KM100+KM102+KM103</f>
        <v>0</v>
      </c>
      <c r="KN33" s="390">
        <f t="shared" ca="1" si="960"/>
        <v>0</v>
      </c>
      <c r="KO33" s="390">
        <f t="shared" ca="1" si="960"/>
        <v>0</v>
      </c>
      <c r="KP33" s="390">
        <f t="shared" ca="1" si="960"/>
        <v>0</v>
      </c>
      <c r="KQ33" s="390">
        <f t="shared" ca="1" si="960"/>
        <v>0</v>
      </c>
      <c r="KR33" s="390">
        <f t="shared" ca="1" si="960"/>
        <v>0</v>
      </c>
      <c r="KY33" s="386" t="s">
        <v>3212</v>
      </c>
      <c r="KZ33" s="387" t="s">
        <v>287</v>
      </c>
      <c r="LA33" s="390">
        <f ca="1">LA100+LA102+LA103</f>
        <v>0</v>
      </c>
      <c r="LB33" s="390">
        <f t="shared" ref="LB33:LK33" ca="1" si="961">LB100+LB102+LB103</f>
        <v>0</v>
      </c>
      <c r="LC33" s="390">
        <f t="shared" ca="1" si="961"/>
        <v>0</v>
      </c>
      <c r="LD33" s="390">
        <f t="shared" ca="1" si="961"/>
        <v>0</v>
      </c>
      <c r="LE33" s="390">
        <f t="shared" ca="1" si="961"/>
        <v>0</v>
      </c>
      <c r="LF33" s="390">
        <f t="shared" ca="1" si="961"/>
        <v>0</v>
      </c>
      <c r="LG33" s="390">
        <f t="shared" ca="1" si="961"/>
        <v>0</v>
      </c>
      <c r="LH33" s="390">
        <f t="shared" ca="1" si="961"/>
        <v>0</v>
      </c>
      <c r="LI33" s="390">
        <f t="shared" ca="1" si="961"/>
        <v>0</v>
      </c>
      <c r="LJ33" s="390">
        <f t="shared" ca="1" si="961"/>
        <v>0</v>
      </c>
      <c r="LK33" s="390">
        <f t="shared" ca="1" si="961"/>
        <v>0</v>
      </c>
      <c r="LM33" s="896"/>
      <c r="LN33" s="896"/>
      <c r="LO33" s="896"/>
      <c r="LU33" s="386" t="s">
        <v>3212</v>
      </c>
      <c r="LV33" s="387" t="s">
        <v>287</v>
      </c>
      <c r="LW33" s="390">
        <f ca="1">LW100+LW102+LW103</f>
        <v>0</v>
      </c>
      <c r="LX33" s="390">
        <f ca="1">LX100+LX102+LX103</f>
        <v>0</v>
      </c>
      <c r="LY33" s="390">
        <f t="shared" ref="LY33:MO33" ca="1" si="962">LY100+LY102+LY103</f>
        <v>3375.8879540999997</v>
      </c>
      <c r="LZ33" s="390">
        <f t="shared" ca="1" si="962"/>
        <v>52.115352919999999</v>
      </c>
      <c r="MA33" s="390">
        <f t="shared" ca="1" si="962"/>
        <v>3428.0033102000002</v>
      </c>
      <c r="MB33" s="390">
        <f t="shared" ca="1" si="962"/>
        <v>0</v>
      </c>
      <c r="MC33" s="390">
        <f t="shared" ca="1" si="962"/>
        <v>0</v>
      </c>
      <c r="MD33" s="390">
        <f t="shared" ca="1" si="962"/>
        <v>0</v>
      </c>
      <c r="ME33" s="390">
        <f t="shared" ca="1" si="962"/>
        <v>0</v>
      </c>
      <c r="MF33" s="390">
        <f t="shared" ca="1" si="962"/>
        <v>0</v>
      </c>
      <c r="MG33" s="390">
        <f t="shared" ca="1" si="962"/>
        <v>0</v>
      </c>
      <c r="MH33" s="390">
        <f t="shared" ref="MH33:MI33" ca="1" si="963">MH100+MH102+MH103</f>
        <v>0</v>
      </c>
      <c r="MI33" s="390">
        <f t="shared" ca="1" si="963"/>
        <v>0</v>
      </c>
      <c r="MJ33" s="390">
        <f t="shared" ca="1" si="962"/>
        <v>0</v>
      </c>
      <c r="MK33" s="390">
        <f t="shared" ca="1" si="962"/>
        <v>0</v>
      </c>
      <c r="ML33" s="390">
        <f t="shared" ca="1" si="962"/>
        <v>0</v>
      </c>
      <c r="MM33" s="390">
        <f t="shared" ca="1" si="962"/>
        <v>0</v>
      </c>
      <c r="MN33" s="390">
        <f t="shared" ca="1" si="962"/>
        <v>0</v>
      </c>
      <c r="MO33" s="390">
        <f t="shared" ca="1" si="962"/>
        <v>0</v>
      </c>
      <c r="MQ33" s="896"/>
      <c r="MR33" s="896"/>
      <c r="MS33" s="896"/>
      <c r="MY33" s="386" t="s">
        <v>3212</v>
      </c>
      <c r="MZ33" s="387" t="s">
        <v>287</v>
      </c>
      <c r="NA33" s="390">
        <f ca="1">NA100+NA102+NA103</f>
        <v>0</v>
      </c>
      <c r="NB33" s="390">
        <f t="shared" ref="NB33:NP33" ca="1" si="964">NB100+NB102+NB103</f>
        <v>0</v>
      </c>
      <c r="NC33" s="390">
        <f t="shared" ca="1" si="964"/>
        <v>0</v>
      </c>
      <c r="ND33" s="390">
        <f t="shared" ca="1" si="964"/>
        <v>0</v>
      </c>
      <c r="NE33" s="390">
        <f t="shared" ca="1" si="964"/>
        <v>0</v>
      </c>
      <c r="NF33" s="390">
        <f t="shared" ca="1" si="964"/>
        <v>0</v>
      </c>
      <c r="NG33" s="390">
        <f t="shared" ca="1" si="964"/>
        <v>0</v>
      </c>
      <c r="NH33" s="390">
        <f t="shared" ca="1" si="964"/>
        <v>0</v>
      </c>
      <c r="NI33" s="390">
        <f t="shared" ca="1" si="964"/>
        <v>0</v>
      </c>
      <c r="NJ33" s="390">
        <f t="shared" ca="1" si="964"/>
        <v>0</v>
      </c>
      <c r="NK33" s="390">
        <f t="shared" ca="1" si="964"/>
        <v>0</v>
      </c>
      <c r="NL33" s="390">
        <f t="shared" ca="1" si="964"/>
        <v>0</v>
      </c>
      <c r="NM33" s="390">
        <f t="shared" ca="1" si="964"/>
        <v>0</v>
      </c>
      <c r="NN33" s="390">
        <f t="shared" ca="1" si="964"/>
        <v>0</v>
      </c>
      <c r="NO33" s="390">
        <f t="shared" ca="1" si="964"/>
        <v>0</v>
      </c>
      <c r="NP33" s="390">
        <f t="shared" ca="1" si="964"/>
        <v>0</v>
      </c>
      <c r="NR33" s="896"/>
      <c r="NS33" s="896"/>
      <c r="NT33" s="896"/>
      <c r="NZ33" s="394"/>
      <c r="OF33" s="386" t="s">
        <v>3212</v>
      </c>
      <c r="OG33" s="387" t="s">
        <v>287</v>
      </c>
      <c r="OH33" s="390">
        <f ca="1">OH100+OH102+OH103</f>
        <v>0</v>
      </c>
      <c r="OI33" s="390">
        <f t="shared" ref="OI33:OO33" ca="1" si="965">OI100+OI102+OI103</f>
        <v>0</v>
      </c>
      <c r="OJ33" s="390">
        <f t="shared" ca="1" si="965"/>
        <v>0</v>
      </c>
      <c r="OK33" s="390">
        <f t="shared" ca="1" si="965"/>
        <v>0</v>
      </c>
      <c r="OL33" s="390">
        <f t="shared" ca="1" si="965"/>
        <v>0</v>
      </c>
      <c r="OM33" s="390">
        <f t="shared" ca="1" si="965"/>
        <v>0</v>
      </c>
      <c r="ON33" s="390">
        <f t="shared" ca="1" si="965"/>
        <v>0</v>
      </c>
      <c r="OO33" s="390">
        <f t="shared" ca="1" si="965"/>
        <v>0</v>
      </c>
      <c r="OQ33" s="896"/>
      <c r="OR33" s="896"/>
      <c r="OS33" s="896"/>
      <c r="OY33" s="386" t="s">
        <v>3212</v>
      </c>
      <c r="OZ33" s="387" t="s">
        <v>287</v>
      </c>
      <c r="PA33" s="390">
        <f ca="1">PA100+PA102+PA103</f>
        <v>0</v>
      </c>
      <c r="PB33" s="390">
        <f t="shared" ref="PB33:PK33" ca="1" si="966">PB100+PB102+PB103</f>
        <v>0</v>
      </c>
      <c r="PC33" s="390">
        <f t="shared" ca="1" si="966"/>
        <v>0</v>
      </c>
      <c r="PD33" s="390">
        <f t="shared" ca="1" si="966"/>
        <v>0</v>
      </c>
      <c r="PE33" s="390">
        <f t="shared" ca="1" si="966"/>
        <v>0</v>
      </c>
      <c r="PF33" s="390">
        <f t="shared" ca="1" si="966"/>
        <v>0</v>
      </c>
      <c r="PG33" s="390">
        <f t="shared" ca="1" si="966"/>
        <v>0</v>
      </c>
      <c r="PH33" s="390">
        <f t="shared" ca="1" si="966"/>
        <v>0</v>
      </c>
      <c r="PI33" s="390">
        <f t="shared" ca="1" si="966"/>
        <v>0</v>
      </c>
      <c r="PJ33" s="390">
        <f t="shared" ca="1" si="966"/>
        <v>0</v>
      </c>
      <c r="PK33" s="390">
        <f t="shared" ca="1" si="966"/>
        <v>0</v>
      </c>
      <c r="PM33" s="896"/>
      <c r="PN33" s="896"/>
      <c r="PO33" s="896"/>
      <c r="PU33" s="386" t="s">
        <v>3212</v>
      </c>
      <c r="PV33" s="387" t="s">
        <v>287</v>
      </c>
      <c r="PW33" s="390">
        <f ca="1">PW100+PW102+PW103</f>
        <v>0</v>
      </c>
      <c r="PX33" s="390">
        <f t="shared" ref="PX33:PZ33" ca="1" si="967">PX100+PX102+PX103</f>
        <v>0</v>
      </c>
      <c r="PY33" s="390">
        <f t="shared" ca="1" si="967"/>
        <v>0</v>
      </c>
      <c r="PZ33" s="390">
        <f t="shared" ca="1" si="967"/>
        <v>0</v>
      </c>
      <c r="QB33" s="896"/>
      <c r="QC33" s="896"/>
      <c r="QD33" s="896"/>
    </row>
    <row r="34" spans="1:446" x14ac:dyDescent="0.25">
      <c r="A34" s="1315"/>
      <c r="H34" s="386" t="s">
        <v>1901</v>
      </c>
      <c r="I34" s="387" t="s">
        <v>287</v>
      </c>
      <c r="J34" s="390">
        <f ca="1">J104+J105+J106</f>
        <v>0</v>
      </c>
      <c r="K34" s="390">
        <f ca="1">K104+K105+K106</f>
        <v>0</v>
      </c>
      <c r="R34" s="386" t="s">
        <v>1901</v>
      </c>
      <c r="S34" s="387" t="s">
        <v>287</v>
      </c>
      <c r="T34" s="390">
        <f ca="1">T104+T105+T106</f>
        <v>0</v>
      </c>
      <c r="U34" s="390">
        <f t="shared" ref="U34:AD34" ca="1" si="968">U104+U105+U106</f>
        <v>0</v>
      </c>
      <c r="V34" s="390">
        <f t="shared" ca="1" si="968"/>
        <v>0</v>
      </c>
      <c r="W34" s="390">
        <f t="shared" ca="1" si="968"/>
        <v>0</v>
      </c>
      <c r="X34" s="390">
        <f t="shared" ca="1" si="968"/>
        <v>0</v>
      </c>
      <c r="Y34" s="390">
        <f t="shared" ca="1" si="968"/>
        <v>0</v>
      </c>
      <c r="Z34" s="390">
        <f t="shared" ca="1" si="968"/>
        <v>0</v>
      </c>
      <c r="AA34" s="390">
        <f t="shared" ca="1" si="968"/>
        <v>0</v>
      </c>
      <c r="AB34" s="390">
        <f t="shared" ca="1" si="968"/>
        <v>0</v>
      </c>
      <c r="AC34" s="390">
        <f t="shared" ca="1" si="968"/>
        <v>0</v>
      </c>
      <c r="AD34" s="390">
        <f t="shared" ca="1" si="968"/>
        <v>0</v>
      </c>
      <c r="AK34" s="386" t="s">
        <v>1901</v>
      </c>
      <c r="AL34" s="387" t="s">
        <v>287</v>
      </c>
      <c r="AM34" s="390">
        <f ca="1">AM104+AM105+AM106</f>
        <v>0</v>
      </c>
      <c r="AN34" s="390">
        <f t="shared" ref="AN34:BB34" ca="1" si="969">AN104+AN105+AN106</f>
        <v>0</v>
      </c>
      <c r="AO34" s="390">
        <f t="shared" ref="AO34:AS34" ca="1" si="970">AO104+AO105+AO106</f>
        <v>0</v>
      </c>
      <c r="AP34" s="390">
        <f t="shared" ca="1" si="970"/>
        <v>0</v>
      </c>
      <c r="AQ34" s="390">
        <f t="shared" ca="1" si="970"/>
        <v>0</v>
      </c>
      <c r="AR34" s="390">
        <f t="shared" ca="1" si="970"/>
        <v>0</v>
      </c>
      <c r="AS34" s="390">
        <f t="shared" ca="1" si="970"/>
        <v>0</v>
      </c>
      <c r="AT34" s="390">
        <f t="shared" ca="1" si="969"/>
        <v>0</v>
      </c>
      <c r="AU34" s="390">
        <f t="shared" ca="1" si="969"/>
        <v>0</v>
      </c>
      <c r="AV34" s="390">
        <f t="shared" ca="1" si="969"/>
        <v>0</v>
      </c>
      <c r="AW34" s="390">
        <f t="shared" ca="1" si="969"/>
        <v>0</v>
      </c>
      <c r="AX34" s="390">
        <f t="shared" ca="1" si="969"/>
        <v>0</v>
      </c>
      <c r="AY34" s="390">
        <f t="shared" ca="1" si="969"/>
        <v>0</v>
      </c>
      <c r="AZ34" s="390">
        <f t="shared" ca="1" si="969"/>
        <v>0</v>
      </c>
      <c r="BA34" s="390">
        <f t="shared" ca="1" si="969"/>
        <v>0</v>
      </c>
      <c r="BB34" s="390">
        <f t="shared" ca="1" si="969"/>
        <v>0</v>
      </c>
      <c r="BL34" s="386" t="s">
        <v>1901</v>
      </c>
      <c r="BM34" s="387" t="s">
        <v>287</v>
      </c>
      <c r="BN34" s="390">
        <f ca="1">BN104+BN105+BN106</f>
        <v>10.780222800000001</v>
      </c>
      <c r="BO34" s="390">
        <f t="shared" ref="BO34:BR34" ca="1" si="971">BO104+BO105+BO106</f>
        <v>162.23074979999998</v>
      </c>
      <c r="BP34" s="390">
        <f t="shared" ca="1" si="971"/>
        <v>0</v>
      </c>
      <c r="BQ34" s="390">
        <f t="shared" ca="1" si="971"/>
        <v>0</v>
      </c>
      <c r="BR34" s="390">
        <f t="shared" ca="1" si="971"/>
        <v>0</v>
      </c>
      <c r="CB34" s="386" t="s">
        <v>1901</v>
      </c>
      <c r="CC34" s="387" t="s">
        <v>287</v>
      </c>
      <c r="CD34" s="390">
        <f ca="1">CD104+CD105+CD106</f>
        <v>0</v>
      </c>
      <c r="CE34" s="390">
        <f t="shared" ref="CE34:CO34" ca="1" si="972">CE104+CE105+CE106</f>
        <v>0</v>
      </c>
      <c r="CF34" s="390">
        <f t="shared" ca="1" si="972"/>
        <v>10.780222800000001</v>
      </c>
      <c r="CG34" s="390">
        <f t="shared" ca="1" si="972"/>
        <v>162.23074979999998</v>
      </c>
      <c r="CH34" s="390">
        <f t="shared" ca="1" si="972"/>
        <v>107.802228</v>
      </c>
      <c r="CI34" s="390">
        <f t="shared" ca="1" si="972"/>
        <v>0</v>
      </c>
      <c r="CJ34" s="390">
        <f t="shared" ca="1" si="972"/>
        <v>0</v>
      </c>
      <c r="CK34" s="390">
        <f t="shared" ca="1" si="972"/>
        <v>943.78645700000004</v>
      </c>
      <c r="CL34" s="390">
        <f t="shared" ca="1" si="972"/>
        <v>0</v>
      </c>
      <c r="CM34" s="390">
        <f t="shared" ca="1" si="972"/>
        <v>107.802228</v>
      </c>
      <c r="CN34" s="390">
        <f t="shared" ca="1" si="972"/>
        <v>943.78645700000004</v>
      </c>
      <c r="CO34" s="390">
        <f t="shared" ca="1" si="972"/>
        <v>0</v>
      </c>
      <c r="CY34" s="386" t="s">
        <v>1901</v>
      </c>
      <c r="CZ34" s="387" t="s">
        <v>287</v>
      </c>
      <c r="DA34" s="390">
        <f ca="1">DA104+DA105+DA106</f>
        <v>0.59890126600000004</v>
      </c>
      <c r="DB34" s="390">
        <f t="shared" ref="DB34:DJ34" ca="1" si="973">DB104+DB105+DB106</f>
        <v>0</v>
      </c>
      <c r="DC34" s="390">
        <f t="shared" ca="1" si="973"/>
        <v>0</v>
      </c>
      <c r="DD34" s="390">
        <f t="shared" ca="1" si="973"/>
        <v>0</v>
      </c>
      <c r="DE34" s="390">
        <f t="shared" ca="1" si="973"/>
        <v>33.933767400000001</v>
      </c>
      <c r="DF34" s="390">
        <f t="shared" ca="1" si="973"/>
        <v>0</v>
      </c>
      <c r="DG34" s="390">
        <f t="shared" ca="1" si="973"/>
        <v>0</v>
      </c>
      <c r="DH34" s="390">
        <f t="shared" ca="1" si="973"/>
        <v>0</v>
      </c>
      <c r="DI34" s="390">
        <f t="shared" ca="1" si="973"/>
        <v>0</v>
      </c>
      <c r="DJ34" s="390">
        <f t="shared" ca="1" si="973"/>
        <v>0</v>
      </c>
      <c r="DT34" s="386" t="s">
        <v>1901</v>
      </c>
      <c r="DU34" s="387" t="s">
        <v>287</v>
      </c>
      <c r="DV34" s="390">
        <f ca="1">DV104+DV105+DV106</f>
        <v>0</v>
      </c>
      <c r="DW34" s="390">
        <f t="shared" ref="DW34:EK34" ca="1" si="974">DW104+DW105+DW106</f>
        <v>0</v>
      </c>
      <c r="DX34" s="390">
        <f t="shared" ca="1" si="974"/>
        <v>11.978025300000001</v>
      </c>
      <c r="DY34" s="390">
        <f t="shared" ca="1" si="974"/>
        <v>0.59890126600000004</v>
      </c>
      <c r="DZ34" s="390">
        <f t="shared" ca="1" si="974"/>
        <v>0</v>
      </c>
      <c r="EA34" s="390">
        <f t="shared" ca="1" si="974"/>
        <v>33.933767400000001</v>
      </c>
      <c r="EB34" s="390">
        <f t="shared" ca="1" si="974"/>
        <v>11.3791241</v>
      </c>
      <c r="EC34" s="390">
        <f t="shared" ca="1" si="974"/>
        <v>0</v>
      </c>
      <c r="ED34" s="390">
        <f t="shared" ca="1" si="974"/>
        <v>107.802228</v>
      </c>
      <c r="EE34" s="390">
        <f t="shared" ca="1" si="974"/>
        <v>0</v>
      </c>
      <c r="EF34" s="390">
        <f t="shared" ca="1" si="974"/>
        <v>0</v>
      </c>
      <c r="EG34" s="390">
        <f t="shared" ca="1" si="974"/>
        <v>0</v>
      </c>
      <c r="EH34" s="390">
        <f t="shared" ca="1" si="974"/>
        <v>0</v>
      </c>
      <c r="EI34" s="390">
        <f t="shared" ca="1" si="974"/>
        <v>0</v>
      </c>
      <c r="EJ34" s="390">
        <f t="shared" ref="EJ34" ca="1" si="975">EJ104+EJ105+EJ106</f>
        <v>0</v>
      </c>
      <c r="EK34" s="390">
        <f t="shared" ca="1" si="974"/>
        <v>0</v>
      </c>
      <c r="EU34" s="386" t="s">
        <v>1901</v>
      </c>
      <c r="EV34" s="387" t="s">
        <v>287</v>
      </c>
      <c r="EW34" s="390">
        <f ca="1">EW104+EW105+EW106</f>
        <v>943.78645700000004</v>
      </c>
      <c r="EX34" s="390">
        <f t="shared" ref="EX34:FB34" ca="1" si="976">EX104+EX105+EX106</f>
        <v>943.78645700000004</v>
      </c>
      <c r="EY34" s="390">
        <f t="shared" ca="1" si="976"/>
        <v>943.78645700000004</v>
      </c>
      <c r="EZ34" s="390">
        <f t="shared" ca="1" si="976"/>
        <v>943.78645700000004</v>
      </c>
      <c r="FA34" s="390">
        <f t="shared" ca="1" si="976"/>
        <v>0</v>
      </c>
      <c r="FB34" s="390">
        <f t="shared" ca="1" si="976"/>
        <v>0</v>
      </c>
      <c r="FL34" s="386" t="s">
        <v>1901</v>
      </c>
      <c r="FM34" s="387" t="s">
        <v>287</v>
      </c>
      <c r="FN34" s="390">
        <f ca="1">FN104+FN105+FN106</f>
        <v>0</v>
      </c>
      <c r="FO34" s="390">
        <f t="shared" ref="FO34:FX34" ca="1" si="977">FO104+FO105+FO106</f>
        <v>0</v>
      </c>
      <c r="FP34" s="390">
        <f t="shared" ca="1" si="977"/>
        <v>0</v>
      </c>
      <c r="FQ34" s="390">
        <f t="shared" ca="1" si="977"/>
        <v>0</v>
      </c>
      <c r="FR34" s="390">
        <f t="shared" ca="1" si="977"/>
        <v>0</v>
      </c>
      <c r="FS34" s="390">
        <f t="shared" ca="1" si="977"/>
        <v>0</v>
      </c>
      <c r="FT34" s="390">
        <f t="shared" ca="1" si="977"/>
        <v>0</v>
      </c>
      <c r="FU34" s="390">
        <f t="shared" ca="1" si="977"/>
        <v>0</v>
      </c>
      <c r="FV34" s="390">
        <f t="shared" ca="1" si="977"/>
        <v>0</v>
      </c>
      <c r="FW34" s="390">
        <f t="shared" ca="1" si="977"/>
        <v>0</v>
      </c>
      <c r="FX34" s="390">
        <f t="shared" ca="1" si="977"/>
        <v>0</v>
      </c>
      <c r="GH34" s="386" t="s">
        <v>1901</v>
      </c>
      <c r="GI34" s="387" t="s">
        <v>287</v>
      </c>
      <c r="GJ34" s="390">
        <f ca="1">GJ104+GJ105+GJ106</f>
        <v>0</v>
      </c>
      <c r="GK34" s="390">
        <f t="shared" ref="GK34:GQ34" ca="1" si="978">GK104+GK105+GK106</f>
        <v>0</v>
      </c>
      <c r="GL34" s="390">
        <f t="shared" ca="1" si="978"/>
        <v>0</v>
      </c>
      <c r="GM34" s="390">
        <f t="shared" ca="1" si="978"/>
        <v>0</v>
      </c>
      <c r="GN34" s="390">
        <f t="shared" ca="1" si="978"/>
        <v>0</v>
      </c>
      <c r="GO34" s="390">
        <f t="shared" ca="1" si="978"/>
        <v>0</v>
      </c>
      <c r="GP34" s="390">
        <f t="shared" ca="1" si="978"/>
        <v>0</v>
      </c>
      <c r="GQ34" s="390">
        <f t="shared" ca="1" si="978"/>
        <v>0</v>
      </c>
      <c r="HA34" s="386" t="s">
        <v>1901</v>
      </c>
      <c r="HB34" s="387" t="s">
        <v>287</v>
      </c>
      <c r="HC34" s="390">
        <f ca="1">HC104+HC105+HC106</f>
        <v>943.78645700000004</v>
      </c>
      <c r="HD34" s="390">
        <f t="shared" ref="HD34:HH34" ca="1" si="979">HD104+HD105+HD106</f>
        <v>18.875729160000002</v>
      </c>
      <c r="HE34" s="390">
        <f t="shared" ca="1" si="979"/>
        <v>0</v>
      </c>
      <c r="HF34" s="390">
        <f t="shared" ca="1" si="979"/>
        <v>0</v>
      </c>
      <c r="HG34" s="390">
        <f t="shared" ca="1" si="979"/>
        <v>924.91072699999995</v>
      </c>
      <c r="HH34" s="390">
        <f t="shared" ca="1" si="979"/>
        <v>18.875729160000002</v>
      </c>
      <c r="HR34" s="386" t="s">
        <v>1901</v>
      </c>
      <c r="HS34" s="387" t="s">
        <v>287</v>
      </c>
      <c r="HT34" s="390">
        <f ca="1">HT104+HT105+HT106</f>
        <v>0</v>
      </c>
      <c r="HU34" s="390">
        <f t="shared" ref="HU34:IE34" ca="1" si="980">HU104+HU105+HU106</f>
        <v>18.875729160000002</v>
      </c>
      <c r="HV34" s="390">
        <f t="shared" ca="1" si="980"/>
        <v>18.875729160000002</v>
      </c>
      <c r="HW34" s="390">
        <f t="shared" ca="1" si="980"/>
        <v>18.875729160000002</v>
      </c>
      <c r="HX34" s="390">
        <f t="shared" ca="1" si="980"/>
        <v>279.59150965700002</v>
      </c>
      <c r="HY34" s="390">
        <f t="shared" ca="1" si="980"/>
        <v>812.56282444999999</v>
      </c>
      <c r="HZ34" s="390">
        <f t="shared" ca="1" si="980"/>
        <v>0</v>
      </c>
      <c r="IA34" s="390">
        <f t="shared" ca="1" si="980"/>
        <v>0</v>
      </c>
      <c r="IB34" s="390">
        <f t="shared" ca="1" si="980"/>
        <v>0</v>
      </c>
      <c r="IC34" s="390">
        <f t="shared" ca="1" si="980"/>
        <v>0</v>
      </c>
      <c r="ID34" s="390">
        <f t="shared" ca="1" si="980"/>
        <v>0</v>
      </c>
      <c r="IE34" s="390">
        <f t="shared" ca="1" si="980"/>
        <v>0</v>
      </c>
      <c r="IO34" s="386" t="s">
        <v>1901</v>
      </c>
      <c r="IP34" s="387" t="s">
        <v>287</v>
      </c>
      <c r="IQ34" s="390">
        <f ca="1">IQ104+IQ105+IQ106</f>
        <v>279.59150965700002</v>
      </c>
      <c r="IR34" s="390">
        <f t="shared" ref="IR34:JH34" ca="1" si="981">IR104+IR105+IR106</f>
        <v>812.56282444999999</v>
      </c>
      <c r="IS34" s="390">
        <f t="shared" ca="1" si="981"/>
        <v>791.12417108600005</v>
      </c>
      <c r="IT34" s="390">
        <f t="shared" ca="1" si="981"/>
        <v>1603.68699859</v>
      </c>
      <c r="IU34" s="390">
        <f t="shared" ref="IU34" ca="1" si="982">IU104+IU105+IU106</f>
        <v>80.184349827999995</v>
      </c>
      <c r="IV34" s="390">
        <f t="shared" ca="1" si="981"/>
        <v>19778.104151899999</v>
      </c>
      <c r="IW34" s="390">
        <f t="shared" ca="1" si="981"/>
        <v>18986.980106499999</v>
      </c>
      <c r="IX34" s="390">
        <f t="shared" ref="IX34" ca="1" si="983">IX104+IX105+IX106</f>
        <v>0</v>
      </c>
      <c r="IY34" s="390">
        <f t="shared" ca="1" si="981"/>
        <v>1523.5026491599999</v>
      </c>
      <c r="IZ34" s="390">
        <f t="shared" ca="1" si="981"/>
        <v>0</v>
      </c>
      <c r="JA34" s="390">
        <f t="shared" ca="1" si="981"/>
        <v>19778.1042519</v>
      </c>
      <c r="JB34" s="390">
        <f t="shared" ca="1" si="981"/>
        <v>0</v>
      </c>
      <c r="JC34" s="390">
        <f t="shared" ca="1" si="981"/>
        <v>0</v>
      </c>
      <c r="JD34" s="390">
        <f t="shared" ca="1" si="981"/>
        <v>0</v>
      </c>
      <c r="JE34" s="390">
        <f t="shared" ca="1" si="981"/>
        <v>0</v>
      </c>
      <c r="JF34" s="390">
        <f t="shared" ca="1" si="981"/>
        <v>0</v>
      </c>
      <c r="JG34" s="390">
        <f t="shared" ca="1" si="981"/>
        <v>0</v>
      </c>
      <c r="JH34" s="390">
        <f t="shared" ca="1" si="981"/>
        <v>0</v>
      </c>
      <c r="JR34" s="386" t="s">
        <v>1901</v>
      </c>
      <c r="JS34" s="387" t="s">
        <v>287</v>
      </c>
      <c r="JT34" s="390">
        <f ca="1">JT104+JT105+JT106</f>
        <v>0</v>
      </c>
      <c r="JU34" s="390">
        <f t="shared" ref="JU34:KC34" ca="1" si="984">JU104+JU105+JU106</f>
        <v>0</v>
      </c>
      <c r="JV34" s="390">
        <f t="shared" ca="1" si="984"/>
        <v>0</v>
      </c>
      <c r="JW34" s="390">
        <f t="shared" ca="1" si="984"/>
        <v>0</v>
      </c>
      <c r="JX34" s="390">
        <f t="shared" ca="1" si="984"/>
        <v>0</v>
      </c>
      <c r="JY34" s="390">
        <f t="shared" ca="1" si="984"/>
        <v>0</v>
      </c>
      <c r="JZ34" s="390">
        <f t="shared" ca="1" si="984"/>
        <v>0</v>
      </c>
      <c r="KA34" s="390">
        <f t="shared" ca="1" si="984"/>
        <v>0</v>
      </c>
      <c r="KB34" s="390">
        <f t="shared" ca="1" si="984"/>
        <v>0</v>
      </c>
      <c r="KC34" s="390">
        <f t="shared" ca="1" si="984"/>
        <v>0</v>
      </c>
      <c r="KJ34" s="386" t="s">
        <v>1901</v>
      </c>
      <c r="KK34" s="387" t="s">
        <v>287</v>
      </c>
      <c r="KL34" s="390">
        <f ca="1">KL104+KL105+KL106</f>
        <v>0</v>
      </c>
      <c r="KM34" s="390">
        <f t="shared" ref="KM34:KR34" ca="1" si="985">KM104+KM105+KM106</f>
        <v>0</v>
      </c>
      <c r="KN34" s="390">
        <f t="shared" ca="1" si="985"/>
        <v>0</v>
      </c>
      <c r="KO34" s="390">
        <f t="shared" ca="1" si="985"/>
        <v>0</v>
      </c>
      <c r="KP34" s="390">
        <f t="shared" ca="1" si="985"/>
        <v>0</v>
      </c>
      <c r="KQ34" s="390">
        <f t="shared" ca="1" si="985"/>
        <v>0</v>
      </c>
      <c r="KR34" s="390">
        <f t="shared" ca="1" si="985"/>
        <v>0</v>
      </c>
      <c r="KY34" s="386" t="s">
        <v>1901</v>
      </c>
      <c r="KZ34" s="387" t="s">
        <v>287</v>
      </c>
      <c r="LA34" s="390">
        <f ca="1">LA104+LA105+LA106</f>
        <v>0</v>
      </c>
      <c r="LB34" s="390">
        <f t="shared" ref="LB34:LK34" ca="1" si="986">LB104+LB105+LB106</f>
        <v>0</v>
      </c>
      <c r="LC34" s="390">
        <f t="shared" ca="1" si="986"/>
        <v>0</v>
      </c>
      <c r="LD34" s="390">
        <f t="shared" ca="1" si="986"/>
        <v>0</v>
      </c>
      <c r="LE34" s="390">
        <f t="shared" ca="1" si="986"/>
        <v>0</v>
      </c>
      <c r="LF34" s="390">
        <f t="shared" ca="1" si="986"/>
        <v>0</v>
      </c>
      <c r="LG34" s="390">
        <f t="shared" ca="1" si="986"/>
        <v>0</v>
      </c>
      <c r="LH34" s="390">
        <f t="shared" ca="1" si="986"/>
        <v>0</v>
      </c>
      <c r="LI34" s="390">
        <f t="shared" ca="1" si="986"/>
        <v>0</v>
      </c>
      <c r="LJ34" s="390">
        <f t="shared" ca="1" si="986"/>
        <v>0</v>
      </c>
      <c r="LK34" s="390">
        <f t="shared" ca="1" si="986"/>
        <v>0</v>
      </c>
      <c r="LU34" s="386" t="s">
        <v>1901</v>
      </c>
      <c r="LV34" s="387" t="s">
        <v>287</v>
      </c>
      <c r="LW34" s="390">
        <f ca="1">LW104+LW105+LW106</f>
        <v>0</v>
      </c>
      <c r="LX34" s="390">
        <f ca="1">LX104+LX105+LX106</f>
        <v>0</v>
      </c>
      <c r="LY34" s="390">
        <f t="shared" ref="LY34:MO34" ca="1" si="987">LY104+LY105+LY106</f>
        <v>924.91072699999995</v>
      </c>
      <c r="LZ34" s="390">
        <f t="shared" ca="1" si="987"/>
        <v>1523.5026491599999</v>
      </c>
      <c r="MA34" s="390">
        <f t="shared" ca="1" si="987"/>
        <v>2448.4133769999999</v>
      </c>
      <c r="MB34" s="390">
        <f t="shared" ca="1" si="987"/>
        <v>0</v>
      </c>
      <c r="MC34" s="390">
        <f t="shared" ca="1" si="987"/>
        <v>0</v>
      </c>
      <c r="MD34" s="390">
        <f t="shared" ca="1" si="987"/>
        <v>0</v>
      </c>
      <c r="ME34" s="390">
        <f t="shared" ca="1" si="987"/>
        <v>0</v>
      </c>
      <c r="MF34" s="390">
        <f t="shared" ca="1" si="987"/>
        <v>0</v>
      </c>
      <c r="MG34" s="390">
        <f t="shared" ca="1" si="987"/>
        <v>0</v>
      </c>
      <c r="MH34" s="390">
        <f t="shared" ref="MH34:MI34" ca="1" si="988">MH104+MH105+MH106</f>
        <v>0</v>
      </c>
      <c r="MI34" s="390">
        <f t="shared" ca="1" si="988"/>
        <v>0</v>
      </c>
      <c r="MJ34" s="390">
        <f t="shared" ca="1" si="987"/>
        <v>0</v>
      </c>
      <c r="MK34" s="390">
        <f t="shared" ca="1" si="987"/>
        <v>0</v>
      </c>
      <c r="ML34" s="390">
        <f t="shared" ca="1" si="987"/>
        <v>0</v>
      </c>
      <c r="MM34" s="390">
        <f t="shared" ca="1" si="987"/>
        <v>0</v>
      </c>
      <c r="MN34" s="390">
        <f t="shared" ca="1" si="987"/>
        <v>0</v>
      </c>
      <c r="MO34" s="390">
        <f t="shared" ca="1" si="987"/>
        <v>0</v>
      </c>
      <c r="MY34" s="386" t="s">
        <v>1901</v>
      </c>
      <c r="MZ34" s="387" t="s">
        <v>287</v>
      </c>
      <c r="NA34" s="390">
        <f ca="1">NA104+NA105+NA106</f>
        <v>0</v>
      </c>
      <c r="NB34" s="390">
        <f t="shared" ref="NB34:NP34" ca="1" si="989">NB104+NB105+NB106</f>
        <v>0</v>
      </c>
      <c r="NC34" s="390">
        <f t="shared" ca="1" si="989"/>
        <v>0</v>
      </c>
      <c r="ND34" s="390">
        <f t="shared" ca="1" si="989"/>
        <v>0</v>
      </c>
      <c r="NE34" s="390">
        <f t="shared" ca="1" si="989"/>
        <v>0</v>
      </c>
      <c r="NF34" s="390">
        <f t="shared" ca="1" si="989"/>
        <v>0</v>
      </c>
      <c r="NG34" s="390">
        <f t="shared" ca="1" si="989"/>
        <v>0</v>
      </c>
      <c r="NH34" s="390">
        <f t="shared" ca="1" si="989"/>
        <v>0</v>
      </c>
      <c r="NI34" s="390">
        <f t="shared" ca="1" si="989"/>
        <v>0</v>
      </c>
      <c r="NJ34" s="390">
        <f t="shared" ca="1" si="989"/>
        <v>0</v>
      </c>
      <c r="NK34" s="390">
        <f t="shared" ca="1" si="989"/>
        <v>0</v>
      </c>
      <c r="NL34" s="390">
        <f t="shared" ca="1" si="989"/>
        <v>0</v>
      </c>
      <c r="NM34" s="390">
        <f t="shared" ca="1" si="989"/>
        <v>0</v>
      </c>
      <c r="NN34" s="390">
        <f t="shared" ca="1" si="989"/>
        <v>0</v>
      </c>
      <c r="NO34" s="390">
        <f t="shared" ca="1" si="989"/>
        <v>0</v>
      </c>
      <c r="NP34" s="390">
        <f t="shared" ca="1" si="989"/>
        <v>0</v>
      </c>
      <c r="NZ34" s="394"/>
      <c r="OF34" s="386" t="s">
        <v>1901</v>
      </c>
      <c r="OG34" s="387" t="s">
        <v>287</v>
      </c>
      <c r="OH34" s="390">
        <f ca="1">OH104+OH105+OH106</f>
        <v>0</v>
      </c>
      <c r="OI34" s="390">
        <f t="shared" ref="OI34:OO34" ca="1" si="990">OI104+OI105+OI106</f>
        <v>0</v>
      </c>
      <c r="OJ34" s="390">
        <f t="shared" ca="1" si="990"/>
        <v>0</v>
      </c>
      <c r="OK34" s="390">
        <f t="shared" ca="1" si="990"/>
        <v>0</v>
      </c>
      <c r="OL34" s="390">
        <f t="shared" ca="1" si="990"/>
        <v>0</v>
      </c>
      <c r="OM34" s="390">
        <f t="shared" ca="1" si="990"/>
        <v>0</v>
      </c>
      <c r="ON34" s="390">
        <f t="shared" ca="1" si="990"/>
        <v>0</v>
      </c>
      <c r="OO34" s="390">
        <f t="shared" ca="1" si="990"/>
        <v>0</v>
      </c>
      <c r="OY34" s="386" t="s">
        <v>1901</v>
      </c>
      <c r="OZ34" s="387" t="s">
        <v>287</v>
      </c>
      <c r="PA34" s="390">
        <f ca="1">PA104+PA105+PA106</f>
        <v>0</v>
      </c>
      <c r="PB34" s="390">
        <f t="shared" ref="PB34:PK34" ca="1" si="991">PB104+PB105+PB106</f>
        <v>0</v>
      </c>
      <c r="PC34" s="390">
        <f t="shared" ca="1" si="991"/>
        <v>0</v>
      </c>
      <c r="PD34" s="390">
        <f t="shared" ca="1" si="991"/>
        <v>0</v>
      </c>
      <c r="PE34" s="390">
        <f t="shared" ca="1" si="991"/>
        <v>0</v>
      </c>
      <c r="PF34" s="390">
        <f t="shared" ca="1" si="991"/>
        <v>0</v>
      </c>
      <c r="PG34" s="390">
        <f t="shared" ca="1" si="991"/>
        <v>0</v>
      </c>
      <c r="PH34" s="390">
        <f t="shared" ca="1" si="991"/>
        <v>0</v>
      </c>
      <c r="PI34" s="390">
        <f t="shared" ca="1" si="991"/>
        <v>0</v>
      </c>
      <c r="PJ34" s="390">
        <f t="shared" ca="1" si="991"/>
        <v>0</v>
      </c>
      <c r="PK34" s="390">
        <f t="shared" ca="1" si="991"/>
        <v>0</v>
      </c>
      <c r="PU34" s="386" t="s">
        <v>1901</v>
      </c>
      <c r="PV34" s="387" t="s">
        <v>287</v>
      </c>
      <c r="PW34" s="390">
        <f ca="1">PW104+PW105+PW106</f>
        <v>0</v>
      </c>
      <c r="PX34" s="390">
        <f t="shared" ref="PX34:PZ34" ca="1" si="992">PX104+PX105+PX106</f>
        <v>0</v>
      </c>
      <c r="PY34" s="390">
        <f t="shared" ca="1" si="992"/>
        <v>0</v>
      </c>
      <c r="PZ34" s="390">
        <f t="shared" ca="1" si="992"/>
        <v>0</v>
      </c>
    </row>
    <row r="35" spans="1:446" x14ac:dyDescent="0.25">
      <c r="A35" s="1315"/>
      <c r="H35" s="386" t="s">
        <v>1903</v>
      </c>
      <c r="I35" s="387" t="s">
        <v>287</v>
      </c>
      <c r="J35" s="390">
        <f ca="1">J107+J101+J110+J109+J108</f>
        <v>4107.8476600000004</v>
      </c>
      <c r="K35" s="390">
        <f ca="1">K107+K101+K110+K109+K108</f>
        <v>4107.8476600000004</v>
      </c>
      <c r="R35" s="386" t="s">
        <v>1903</v>
      </c>
      <c r="S35" s="387" t="s">
        <v>287</v>
      </c>
      <c r="T35" s="390">
        <f ca="1">T107+T101+T110+T109+T108</f>
        <v>4107.8476600000004</v>
      </c>
      <c r="U35" s="390">
        <f t="shared" ref="U35:AD35" ca="1" si="993">U107+U101+U110+U109+U108</f>
        <v>0</v>
      </c>
      <c r="V35" s="390">
        <f t="shared" ca="1" si="993"/>
        <v>0</v>
      </c>
      <c r="W35" s="390">
        <f t="shared" ca="1" si="993"/>
        <v>0</v>
      </c>
      <c r="X35" s="390">
        <f t="shared" ca="1" si="993"/>
        <v>0</v>
      </c>
      <c r="Y35" s="390">
        <f t="shared" ca="1" si="993"/>
        <v>4377.3205670000007</v>
      </c>
      <c r="Z35" s="390">
        <f t="shared" ca="1" si="993"/>
        <v>0</v>
      </c>
      <c r="AA35" s="390">
        <f t="shared" ca="1" si="993"/>
        <v>4377.3205670000007</v>
      </c>
      <c r="AB35" s="390">
        <f t="shared" ca="1" si="993"/>
        <v>0</v>
      </c>
      <c r="AC35" s="390">
        <f t="shared" ca="1" si="993"/>
        <v>0</v>
      </c>
      <c r="AD35" s="390">
        <f t="shared" ca="1" si="993"/>
        <v>0</v>
      </c>
      <c r="AK35" s="386" t="s">
        <v>1903</v>
      </c>
      <c r="AL35" s="387" t="s">
        <v>287</v>
      </c>
      <c r="AM35" s="390">
        <f ca="1">AM107+AM101+AM110+AM109+AM108</f>
        <v>0</v>
      </c>
      <c r="AN35" s="390">
        <f t="shared" ref="AN35:BB35" ca="1" si="994">AN107+AN101+AN110+AN109+AN108</f>
        <v>0</v>
      </c>
      <c r="AO35" s="390">
        <f t="shared" ref="AO35:AS35" ca="1" si="995">AO107+AO101+AO110+AO109+AO108</f>
        <v>4377.3205670000007</v>
      </c>
      <c r="AP35" s="390">
        <f t="shared" ca="1" si="995"/>
        <v>4377.3205670000007</v>
      </c>
      <c r="AQ35" s="390">
        <f t="shared" ca="1" si="995"/>
        <v>0</v>
      </c>
      <c r="AR35" s="390">
        <f t="shared" ca="1" si="995"/>
        <v>0</v>
      </c>
      <c r="AS35" s="390">
        <f t="shared" ca="1" si="995"/>
        <v>0</v>
      </c>
      <c r="AT35" s="390">
        <f t="shared" ca="1" si="994"/>
        <v>0</v>
      </c>
      <c r="AU35" s="390">
        <f t="shared" ca="1" si="994"/>
        <v>0</v>
      </c>
      <c r="AV35" s="390">
        <f t="shared" ca="1" si="994"/>
        <v>4377.3205670000007</v>
      </c>
      <c r="AW35" s="390">
        <f t="shared" ca="1" si="994"/>
        <v>0</v>
      </c>
      <c r="AX35" s="390">
        <f t="shared" ca="1" si="994"/>
        <v>0</v>
      </c>
      <c r="AY35" s="390">
        <f t="shared" ca="1" si="994"/>
        <v>0</v>
      </c>
      <c r="AZ35" s="390">
        <f t="shared" ca="1" si="994"/>
        <v>0</v>
      </c>
      <c r="BA35" s="390">
        <f t="shared" ca="1" si="994"/>
        <v>0</v>
      </c>
      <c r="BB35" s="390">
        <f t="shared" ca="1" si="994"/>
        <v>4580.9440440000008</v>
      </c>
      <c r="BL35" s="386" t="s">
        <v>1903</v>
      </c>
      <c r="BM35" s="387" t="s">
        <v>287</v>
      </c>
      <c r="BN35" s="390">
        <f ca="1">BN107+BN101+BN110+BN109+BN108</f>
        <v>458.09439759999998</v>
      </c>
      <c r="BO35" s="390">
        <f t="shared" ref="BO35:BR35" ca="1" si="996">BO107+BO101+BO110+BO109+BO108</f>
        <v>458.09439759999998</v>
      </c>
      <c r="BP35" s="390">
        <f t="shared" ca="1" si="996"/>
        <v>0</v>
      </c>
      <c r="BQ35" s="390">
        <f t="shared" ca="1" si="996"/>
        <v>0</v>
      </c>
      <c r="BR35" s="390">
        <f t="shared" ca="1" si="996"/>
        <v>0</v>
      </c>
      <c r="CB35" s="386" t="s">
        <v>1903</v>
      </c>
      <c r="CC35" s="387" t="s">
        <v>287</v>
      </c>
      <c r="CD35" s="390">
        <f ca="1">CD107+CD101+CD110+CD109+CD108</f>
        <v>4580.9440440000008</v>
      </c>
      <c r="CE35" s="390">
        <f t="shared" ref="CE35:CO35" ca="1" si="997">CE107+CE101+CE110+CE109+CE108</f>
        <v>4580.9440440000008</v>
      </c>
      <c r="CF35" s="390">
        <f t="shared" ca="1" si="997"/>
        <v>458.09439759999998</v>
      </c>
      <c r="CG35" s="390">
        <f t="shared" ca="1" si="997"/>
        <v>458.09439759999998</v>
      </c>
      <c r="CH35" s="390">
        <f t="shared" ca="1" si="997"/>
        <v>4580.9440440000008</v>
      </c>
      <c r="CI35" s="390">
        <f t="shared" ca="1" si="997"/>
        <v>0</v>
      </c>
      <c r="CJ35" s="390">
        <f t="shared" ca="1" si="997"/>
        <v>0</v>
      </c>
      <c r="CK35" s="390">
        <f t="shared" ca="1" si="997"/>
        <v>4580.9439760000005</v>
      </c>
      <c r="CL35" s="390">
        <f t="shared" ca="1" si="997"/>
        <v>0</v>
      </c>
      <c r="CM35" s="390">
        <f t="shared" ca="1" si="997"/>
        <v>0</v>
      </c>
      <c r="CN35" s="390">
        <f t="shared" ca="1" si="997"/>
        <v>4580.9439760000005</v>
      </c>
      <c r="CO35" s="390">
        <f t="shared" ca="1" si="997"/>
        <v>0</v>
      </c>
      <c r="CY35" s="386" t="s">
        <v>1903</v>
      </c>
      <c r="CZ35" s="387" t="s">
        <v>287</v>
      </c>
      <c r="DA35" s="390">
        <f ca="1">DA107+DA101+DA110+DA109+DA108</f>
        <v>0</v>
      </c>
      <c r="DB35" s="390">
        <f t="shared" ref="DB35:DJ35" ca="1" si="998">DB107+DB101+DB110+DB109+DB108</f>
        <v>0</v>
      </c>
      <c r="DC35" s="390">
        <f t="shared" ca="1" si="998"/>
        <v>0</v>
      </c>
      <c r="DD35" s="390">
        <f t="shared" ca="1" si="998"/>
        <v>0</v>
      </c>
      <c r="DE35" s="390">
        <f t="shared" ca="1" si="998"/>
        <v>0</v>
      </c>
      <c r="DF35" s="390">
        <f t="shared" ca="1" si="998"/>
        <v>0</v>
      </c>
      <c r="DG35" s="390">
        <f t="shared" ca="1" si="998"/>
        <v>0</v>
      </c>
      <c r="DH35" s="390">
        <f t="shared" ca="1" si="998"/>
        <v>0</v>
      </c>
      <c r="DI35" s="390">
        <f t="shared" ca="1" si="998"/>
        <v>0</v>
      </c>
      <c r="DJ35" s="390">
        <f t="shared" ca="1" si="998"/>
        <v>0</v>
      </c>
      <c r="DT35" s="386" t="s">
        <v>1903</v>
      </c>
      <c r="DU35" s="387" t="s">
        <v>287</v>
      </c>
      <c r="DV35" s="390">
        <f ca="1">DV107+DV101+DV110+DV109+DV108</f>
        <v>0</v>
      </c>
      <c r="DW35" s="390">
        <f t="shared" ref="DW35:EK35" ca="1" si="999">DW107+DW101+DW110+DW109+DW108</f>
        <v>0</v>
      </c>
      <c r="DX35" s="390">
        <f t="shared" ca="1" si="999"/>
        <v>0</v>
      </c>
      <c r="DY35" s="390">
        <f t="shared" ca="1" si="999"/>
        <v>0</v>
      </c>
      <c r="DZ35" s="390">
        <f t="shared" ca="1" si="999"/>
        <v>0</v>
      </c>
      <c r="EA35" s="390">
        <f t="shared" ca="1" si="999"/>
        <v>0</v>
      </c>
      <c r="EB35" s="390">
        <f t="shared" ca="1" si="999"/>
        <v>0</v>
      </c>
      <c r="EC35" s="390">
        <f t="shared" ca="1" si="999"/>
        <v>0</v>
      </c>
      <c r="ED35" s="390">
        <f t="shared" ca="1" si="999"/>
        <v>0</v>
      </c>
      <c r="EE35" s="390">
        <f t="shared" ca="1" si="999"/>
        <v>0</v>
      </c>
      <c r="EF35" s="390">
        <f t="shared" ca="1" si="999"/>
        <v>0</v>
      </c>
      <c r="EG35" s="390">
        <f t="shared" ca="1" si="999"/>
        <v>0</v>
      </c>
      <c r="EH35" s="390">
        <f t="shared" ca="1" si="999"/>
        <v>0</v>
      </c>
      <c r="EI35" s="390">
        <f t="shared" ca="1" si="999"/>
        <v>0</v>
      </c>
      <c r="EJ35" s="390">
        <f t="shared" ref="EJ35" ca="1" si="1000">EJ107+EJ101+EJ110+EJ109+EJ108</f>
        <v>0</v>
      </c>
      <c r="EK35" s="390">
        <f t="shared" ca="1" si="999"/>
        <v>0</v>
      </c>
      <c r="EU35" s="386" t="s">
        <v>1903</v>
      </c>
      <c r="EV35" s="387" t="s">
        <v>287</v>
      </c>
      <c r="EW35" s="390">
        <f ca="1">EW107+EW101+EW110+EW109+EW108</f>
        <v>4580.9439760000005</v>
      </c>
      <c r="EX35" s="390">
        <f t="shared" ref="EX35:FB35" ca="1" si="1001">EX107+EX101+EX110+EX109+EX108</f>
        <v>4580.9439760000005</v>
      </c>
      <c r="EY35" s="390">
        <f t="shared" ca="1" si="1001"/>
        <v>4580.9439760000005</v>
      </c>
      <c r="EZ35" s="390">
        <f t="shared" ca="1" si="1001"/>
        <v>4580.9439760000005</v>
      </c>
      <c r="FA35" s="390">
        <f t="shared" ca="1" si="1001"/>
        <v>0</v>
      </c>
      <c r="FB35" s="390">
        <f t="shared" ca="1" si="1001"/>
        <v>0</v>
      </c>
      <c r="FL35" s="386" t="s">
        <v>1903</v>
      </c>
      <c r="FM35" s="387" t="s">
        <v>287</v>
      </c>
      <c r="FN35" s="390">
        <f ca="1">FN107+FN101+FN110+FN109+FN108</f>
        <v>0</v>
      </c>
      <c r="FO35" s="390">
        <f t="shared" ref="FO35:FX35" ca="1" si="1002">FO107+FO101+FO110+FO109+FO108</f>
        <v>0</v>
      </c>
      <c r="FP35" s="390">
        <f t="shared" ca="1" si="1002"/>
        <v>0</v>
      </c>
      <c r="FQ35" s="390">
        <f t="shared" ca="1" si="1002"/>
        <v>0</v>
      </c>
      <c r="FR35" s="390">
        <f t="shared" ca="1" si="1002"/>
        <v>0</v>
      </c>
      <c r="FS35" s="390">
        <f t="shared" ca="1" si="1002"/>
        <v>0</v>
      </c>
      <c r="FT35" s="390">
        <f t="shared" ca="1" si="1002"/>
        <v>0</v>
      </c>
      <c r="FU35" s="390">
        <f t="shared" ca="1" si="1002"/>
        <v>0</v>
      </c>
      <c r="FV35" s="390">
        <f t="shared" ca="1" si="1002"/>
        <v>0</v>
      </c>
      <c r="FW35" s="390">
        <f t="shared" ca="1" si="1002"/>
        <v>0</v>
      </c>
      <c r="FX35" s="390">
        <f t="shared" ca="1" si="1002"/>
        <v>0</v>
      </c>
      <c r="GH35" s="386" t="s">
        <v>1903</v>
      </c>
      <c r="GI35" s="387" t="s">
        <v>287</v>
      </c>
      <c r="GJ35" s="390">
        <f ca="1">GJ107+GJ101+GJ110+GJ109+GJ108</f>
        <v>0</v>
      </c>
      <c r="GK35" s="390">
        <f t="shared" ref="GK35:GQ35" ca="1" si="1003">GK107+GK101+GK110+GK109+GK108</f>
        <v>0</v>
      </c>
      <c r="GL35" s="390">
        <f t="shared" ca="1" si="1003"/>
        <v>0</v>
      </c>
      <c r="GM35" s="390">
        <f t="shared" ca="1" si="1003"/>
        <v>0</v>
      </c>
      <c r="GN35" s="390">
        <f t="shared" ca="1" si="1003"/>
        <v>0</v>
      </c>
      <c r="GO35" s="390">
        <f t="shared" ca="1" si="1003"/>
        <v>0</v>
      </c>
      <c r="GP35" s="390">
        <f t="shared" ca="1" si="1003"/>
        <v>0</v>
      </c>
      <c r="GQ35" s="390">
        <f t="shared" ca="1" si="1003"/>
        <v>0</v>
      </c>
      <c r="HA35" s="386" t="s">
        <v>1903</v>
      </c>
      <c r="HB35" s="387" t="s">
        <v>287</v>
      </c>
      <c r="HC35" s="390">
        <f ca="1">HC107+HC101+HC110+HC109+HC108</f>
        <v>4580.9439760000005</v>
      </c>
      <c r="HD35" s="390">
        <f t="shared" ref="HD35:HH35" ca="1" si="1004">HD107+HD101+HD110+HD109+HD108</f>
        <v>91.618879419999999</v>
      </c>
      <c r="HE35" s="390">
        <f t="shared" ca="1" si="1004"/>
        <v>0</v>
      </c>
      <c r="HF35" s="390">
        <f t="shared" ca="1" si="1004"/>
        <v>0</v>
      </c>
      <c r="HG35" s="390">
        <f t="shared" ca="1" si="1004"/>
        <v>4489.3250899999994</v>
      </c>
      <c r="HH35" s="390">
        <f t="shared" ca="1" si="1004"/>
        <v>91.618879419999999</v>
      </c>
      <c r="HR35" s="386" t="s">
        <v>1903</v>
      </c>
      <c r="HS35" s="387" t="s">
        <v>287</v>
      </c>
      <c r="HT35" s="390">
        <f ca="1">HT107+HT101+HT110+HT109+HT108</f>
        <v>0</v>
      </c>
      <c r="HU35" s="390">
        <f t="shared" ref="HU35:IE35" ca="1" si="1005">HU107+HU101+HU110+HU109+HU108</f>
        <v>91.618879419999999</v>
      </c>
      <c r="HV35" s="390">
        <f t="shared" ca="1" si="1005"/>
        <v>91.618879419999999</v>
      </c>
      <c r="HW35" s="390">
        <f t="shared" ca="1" si="1005"/>
        <v>91.618879419999999</v>
      </c>
      <c r="HX35" s="390">
        <f t="shared" ca="1" si="1005"/>
        <v>23.454433139999999</v>
      </c>
      <c r="HY35" s="390">
        <f t="shared" ca="1" si="1005"/>
        <v>68.164446279999993</v>
      </c>
      <c r="HZ35" s="390">
        <f t="shared" ca="1" si="1005"/>
        <v>0</v>
      </c>
      <c r="IA35" s="390">
        <f t="shared" ca="1" si="1005"/>
        <v>0</v>
      </c>
      <c r="IB35" s="390">
        <f t="shared" ca="1" si="1005"/>
        <v>0</v>
      </c>
      <c r="IC35" s="390">
        <f t="shared" ca="1" si="1005"/>
        <v>0</v>
      </c>
      <c r="ID35" s="390">
        <f t="shared" ca="1" si="1005"/>
        <v>0</v>
      </c>
      <c r="IE35" s="390">
        <f t="shared" ca="1" si="1005"/>
        <v>0</v>
      </c>
      <c r="IO35" s="386" t="s">
        <v>1903</v>
      </c>
      <c r="IP35" s="387" t="s">
        <v>287</v>
      </c>
      <c r="IQ35" s="390">
        <f ca="1">IQ107+IQ101+IQ110+IQ109+IQ108</f>
        <v>23.454433139999999</v>
      </c>
      <c r="IR35" s="390">
        <f t="shared" ref="IR35:JH35" ca="1" si="1006">IR107+IR101+IR110+IR109+IR108</f>
        <v>68.164446279999993</v>
      </c>
      <c r="IS35" s="390">
        <f t="shared" ca="1" si="1006"/>
        <v>28.276479459999997</v>
      </c>
      <c r="IT35" s="390">
        <f t="shared" ca="1" si="1006"/>
        <v>96.440925739999997</v>
      </c>
      <c r="IU35" s="390">
        <f t="shared" ref="IU35" ca="1" si="1007">IU107+IU101+IU110+IU109+IU108</f>
        <v>4.8220462919999996</v>
      </c>
      <c r="IV35" s="390">
        <f t="shared" ca="1" si="1006"/>
        <v>706.91198550000001</v>
      </c>
      <c r="IW35" s="390">
        <f t="shared" ca="1" si="1006"/>
        <v>678.63550620000001</v>
      </c>
      <c r="IX35" s="390">
        <f t="shared" ref="IX35" ca="1" si="1008">IX107+IX101+IX110+IX109+IX108</f>
        <v>0</v>
      </c>
      <c r="IY35" s="390">
        <f t="shared" ca="1" si="1006"/>
        <v>91.618879419999999</v>
      </c>
      <c r="IZ35" s="390">
        <f t="shared" ca="1" si="1006"/>
        <v>0</v>
      </c>
      <c r="JA35" s="390">
        <f t="shared" ca="1" si="1006"/>
        <v>706.91198550000001</v>
      </c>
      <c r="JB35" s="390">
        <f t="shared" ca="1" si="1006"/>
        <v>0</v>
      </c>
      <c r="JC35" s="390">
        <f t="shared" ca="1" si="1006"/>
        <v>0</v>
      </c>
      <c r="JD35" s="390">
        <f t="shared" ca="1" si="1006"/>
        <v>0</v>
      </c>
      <c r="JE35" s="390">
        <f t="shared" ca="1" si="1006"/>
        <v>0</v>
      </c>
      <c r="JF35" s="390">
        <f t="shared" ca="1" si="1006"/>
        <v>0</v>
      </c>
      <c r="JG35" s="390">
        <f t="shared" ca="1" si="1006"/>
        <v>0</v>
      </c>
      <c r="JH35" s="390">
        <f t="shared" ca="1" si="1006"/>
        <v>0</v>
      </c>
      <c r="JR35" s="386" t="s">
        <v>1903</v>
      </c>
      <c r="JS35" s="387" t="s">
        <v>287</v>
      </c>
      <c r="JT35" s="390">
        <f ca="1">JT107+JT101+JT110+JT109+JT108</f>
        <v>0</v>
      </c>
      <c r="JU35" s="390">
        <f t="shared" ref="JU35:KC35" ca="1" si="1009">JU107+JU101+JU110+JU109+JU108</f>
        <v>0</v>
      </c>
      <c r="JV35" s="390">
        <f t="shared" ca="1" si="1009"/>
        <v>0</v>
      </c>
      <c r="JW35" s="390">
        <f t="shared" ca="1" si="1009"/>
        <v>0</v>
      </c>
      <c r="JX35" s="390">
        <f t="shared" ca="1" si="1009"/>
        <v>0</v>
      </c>
      <c r="JY35" s="390">
        <f t="shared" ca="1" si="1009"/>
        <v>0</v>
      </c>
      <c r="JZ35" s="390">
        <f t="shared" ca="1" si="1009"/>
        <v>0</v>
      </c>
      <c r="KA35" s="390">
        <f t="shared" ca="1" si="1009"/>
        <v>0</v>
      </c>
      <c r="KB35" s="390">
        <f t="shared" ca="1" si="1009"/>
        <v>0</v>
      </c>
      <c r="KC35" s="390">
        <f t="shared" ca="1" si="1009"/>
        <v>0</v>
      </c>
      <c r="KJ35" s="386" t="s">
        <v>1903</v>
      </c>
      <c r="KK35" s="387" t="s">
        <v>287</v>
      </c>
      <c r="KL35" s="390">
        <f ca="1">KL107+KL101+KL110+KL109+KL108</f>
        <v>0</v>
      </c>
      <c r="KM35" s="390">
        <f t="shared" ref="KM35:KR35" ca="1" si="1010">KM107+KM101+KM110+KM109+KM108</f>
        <v>0</v>
      </c>
      <c r="KN35" s="390">
        <f t="shared" ca="1" si="1010"/>
        <v>0</v>
      </c>
      <c r="KO35" s="390">
        <f t="shared" ca="1" si="1010"/>
        <v>0</v>
      </c>
      <c r="KP35" s="390">
        <f t="shared" ca="1" si="1010"/>
        <v>0</v>
      </c>
      <c r="KQ35" s="390">
        <f t="shared" ca="1" si="1010"/>
        <v>0</v>
      </c>
      <c r="KR35" s="390">
        <f t="shared" ca="1" si="1010"/>
        <v>0</v>
      </c>
      <c r="KY35" s="386" t="s">
        <v>1903</v>
      </c>
      <c r="KZ35" s="387" t="s">
        <v>287</v>
      </c>
      <c r="LA35" s="390">
        <f ca="1">LA107+LA101+LA110+LA109+LA108</f>
        <v>0</v>
      </c>
      <c r="LB35" s="390">
        <f t="shared" ref="LB35:LK35" ca="1" si="1011">LB107+LB101+LB110+LB109+LB108</f>
        <v>0</v>
      </c>
      <c r="LC35" s="390">
        <f t="shared" ca="1" si="1011"/>
        <v>0</v>
      </c>
      <c r="LD35" s="390">
        <f t="shared" ca="1" si="1011"/>
        <v>0</v>
      </c>
      <c r="LE35" s="390">
        <f t="shared" ca="1" si="1011"/>
        <v>0</v>
      </c>
      <c r="LF35" s="390">
        <f t="shared" ca="1" si="1011"/>
        <v>4230.367808</v>
      </c>
      <c r="LG35" s="390">
        <f t="shared" ca="1" si="1011"/>
        <v>4230.367808</v>
      </c>
      <c r="LH35" s="390">
        <f t="shared" ca="1" si="1011"/>
        <v>5724.0657469999996</v>
      </c>
      <c r="LI35" s="390">
        <f t="shared" ca="1" si="1011"/>
        <v>0</v>
      </c>
      <c r="LJ35" s="390">
        <f t="shared" ca="1" si="1011"/>
        <v>0</v>
      </c>
      <c r="LK35" s="390">
        <f t="shared" ca="1" si="1011"/>
        <v>894.45129599999996</v>
      </c>
      <c r="LU35" s="386" t="s">
        <v>1903</v>
      </c>
      <c r="LV35" s="387" t="s">
        <v>287</v>
      </c>
      <c r="LW35" s="390">
        <f ca="1">LW107+LW101+LW110+LW109+LW108</f>
        <v>0</v>
      </c>
      <c r="LX35" s="390">
        <f ca="1">LX107+LX101+LX110+LX109+LX108</f>
        <v>0</v>
      </c>
      <c r="LY35" s="390">
        <f t="shared" ref="LY35:MO35" ca="1" si="1012">LY107+LY101+LY110+LY109+LY108</f>
        <v>4489.3250899999994</v>
      </c>
      <c r="LZ35" s="390">
        <f t="shared" ca="1" si="1012"/>
        <v>91.618879419999999</v>
      </c>
      <c r="MA35" s="390">
        <f t="shared" ca="1" si="1012"/>
        <v>4580.9439760000005</v>
      </c>
      <c r="MB35" s="390">
        <f t="shared" ca="1" si="1012"/>
        <v>0</v>
      </c>
      <c r="MC35" s="390">
        <f t="shared" ca="1" si="1012"/>
        <v>4230.367808</v>
      </c>
      <c r="MD35" s="390">
        <f t="shared" ca="1" si="1012"/>
        <v>0</v>
      </c>
      <c r="ME35" s="390">
        <f t="shared" ca="1" si="1012"/>
        <v>0</v>
      </c>
      <c r="MF35" s="390">
        <f t="shared" ca="1" si="1012"/>
        <v>0</v>
      </c>
      <c r="MG35" s="390">
        <f t="shared" ca="1" si="1012"/>
        <v>0</v>
      </c>
      <c r="MH35" s="390">
        <f t="shared" ref="MH35:MI35" ca="1" si="1013">MH107+MH101+MH110+MH109+MH108</f>
        <v>0</v>
      </c>
      <c r="MI35" s="390">
        <f t="shared" ca="1" si="1013"/>
        <v>0</v>
      </c>
      <c r="MJ35" s="390">
        <f t="shared" ca="1" si="1012"/>
        <v>0</v>
      </c>
      <c r="MK35" s="390">
        <f t="shared" ca="1" si="1012"/>
        <v>0</v>
      </c>
      <c r="ML35" s="390">
        <f t="shared" ca="1" si="1012"/>
        <v>0</v>
      </c>
      <c r="MM35" s="390">
        <f t="shared" ca="1" si="1012"/>
        <v>0</v>
      </c>
      <c r="MN35" s="390">
        <f t="shared" ca="1" si="1012"/>
        <v>0</v>
      </c>
      <c r="MO35" s="390">
        <f t="shared" ca="1" si="1012"/>
        <v>0</v>
      </c>
      <c r="MY35" s="386" t="s">
        <v>1903</v>
      </c>
      <c r="MZ35" s="387" t="s">
        <v>287</v>
      </c>
      <c r="NA35" s="390">
        <f ca="1">NA107+NA101+NA110+NA109+NA108</f>
        <v>0</v>
      </c>
      <c r="NB35" s="390">
        <f t="shared" ref="NB35:NP35" ca="1" si="1014">NB107+NB101+NB110+NB109+NB108</f>
        <v>0</v>
      </c>
      <c r="NC35" s="390">
        <f t="shared" ca="1" si="1014"/>
        <v>0</v>
      </c>
      <c r="ND35" s="390">
        <f t="shared" ca="1" si="1014"/>
        <v>0</v>
      </c>
      <c r="NE35" s="390">
        <f t="shared" ca="1" si="1014"/>
        <v>0</v>
      </c>
      <c r="NF35" s="390">
        <f t="shared" ca="1" si="1014"/>
        <v>0</v>
      </c>
      <c r="NG35" s="390">
        <f t="shared" ca="1" si="1014"/>
        <v>0</v>
      </c>
      <c r="NH35" s="390">
        <f t="shared" ca="1" si="1014"/>
        <v>0</v>
      </c>
      <c r="NI35" s="390">
        <f t="shared" ca="1" si="1014"/>
        <v>0</v>
      </c>
      <c r="NJ35" s="390">
        <f t="shared" ca="1" si="1014"/>
        <v>0</v>
      </c>
      <c r="NK35" s="390">
        <f t="shared" ca="1" si="1014"/>
        <v>0</v>
      </c>
      <c r="NL35" s="390">
        <f t="shared" ca="1" si="1014"/>
        <v>0</v>
      </c>
      <c r="NM35" s="390">
        <f t="shared" ca="1" si="1014"/>
        <v>0</v>
      </c>
      <c r="NN35" s="390">
        <f t="shared" ca="1" si="1014"/>
        <v>0</v>
      </c>
      <c r="NO35" s="390">
        <f t="shared" ca="1" si="1014"/>
        <v>0</v>
      </c>
      <c r="NP35" s="390">
        <f t="shared" ca="1" si="1014"/>
        <v>0</v>
      </c>
      <c r="NZ35" s="394"/>
      <c r="OF35" s="386" t="s">
        <v>1903</v>
      </c>
      <c r="OG35" s="387" t="s">
        <v>287</v>
      </c>
      <c r="OH35" s="390">
        <f ca="1">OH107+OH101+OH110+OH109+OH108</f>
        <v>0</v>
      </c>
      <c r="OI35" s="390">
        <f t="shared" ref="OI35:OO35" ca="1" si="1015">OI107+OI101+OI110+OI109+OI108</f>
        <v>0</v>
      </c>
      <c r="OJ35" s="390">
        <f t="shared" ca="1" si="1015"/>
        <v>0</v>
      </c>
      <c r="OK35" s="390">
        <f t="shared" ca="1" si="1015"/>
        <v>0</v>
      </c>
      <c r="OL35" s="390">
        <f t="shared" ca="1" si="1015"/>
        <v>0</v>
      </c>
      <c r="OM35" s="390">
        <f t="shared" ca="1" si="1015"/>
        <v>0</v>
      </c>
      <c r="ON35" s="390">
        <f t="shared" ca="1" si="1015"/>
        <v>0</v>
      </c>
      <c r="OO35" s="390">
        <f t="shared" ca="1" si="1015"/>
        <v>0</v>
      </c>
      <c r="OY35" s="386" t="s">
        <v>1903</v>
      </c>
      <c r="OZ35" s="387" t="s">
        <v>287</v>
      </c>
      <c r="PA35" s="390">
        <f ca="1">PA107+PA101+PA110+PA109+PA108</f>
        <v>0</v>
      </c>
      <c r="PB35" s="390">
        <f t="shared" ref="PB35:PK35" ca="1" si="1016">PB107+PB101+PB110+PB109+PB108</f>
        <v>0</v>
      </c>
      <c r="PC35" s="390">
        <f t="shared" ca="1" si="1016"/>
        <v>0</v>
      </c>
      <c r="PD35" s="390">
        <f t="shared" ca="1" si="1016"/>
        <v>0</v>
      </c>
      <c r="PE35" s="390">
        <f t="shared" ca="1" si="1016"/>
        <v>0</v>
      </c>
      <c r="PF35" s="390">
        <f t="shared" ca="1" si="1016"/>
        <v>0</v>
      </c>
      <c r="PG35" s="390">
        <f t="shared" ca="1" si="1016"/>
        <v>0</v>
      </c>
      <c r="PH35" s="390">
        <f t="shared" ca="1" si="1016"/>
        <v>0</v>
      </c>
      <c r="PI35" s="390">
        <f t="shared" ca="1" si="1016"/>
        <v>0</v>
      </c>
      <c r="PJ35" s="390">
        <f t="shared" ca="1" si="1016"/>
        <v>0</v>
      </c>
      <c r="PK35" s="390">
        <f t="shared" ca="1" si="1016"/>
        <v>0</v>
      </c>
      <c r="PU35" s="386" t="s">
        <v>1903</v>
      </c>
      <c r="PV35" s="387" t="s">
        <v>287</v>
      </c>
      <c r="PW35" s="390">
        <f ca="1">PW107+PW101+PW110+PW109+PW108</f>
        <v>0</v>
      </c>
      <c r="PX35" s="390">
        <f t="shared" ref="PX35:PZ35" ca="1" si="1017">PX107+PX101+PX110+PX109+PX108</f>
        <v>0</v>
      </c>
      <c r="PY35" s="390">
        <f t="shared" ca="1" si="1017"/>
        <v>0</v>
      </c>
      <c r="PZ35" s="390">
        <f t="shared" ca="1" si="1017"/>
        <v>0</v>
      </c>
    </row>
    <row r="36" spans="1:446" x14ac:dyDescent="0.25">
      <c r="A36" s="1315"/>
      <c r="H36" s="386" t="s">
        <v>3304</v>
      </c>
      <c r="I36" s="387" t="s">
        <v>2947</v>
      </c>
      <c r="J36" s="390">
        <f ca="1">(J112+J113)*3600</f>
        <v>3117.0850799366813</v>
      </c>
      <c r="K36" s="390">
        <f ca="1">(K112+K113)*3600</f>
        <v>3117.0850799366813</v>
      </c>
      <c r="R36" s="386" t="s">
        <v>3304</v>
      </c>
      <c r="S36" s="387" t="s">
        <v>2947</v>
      </c>
      <c r="T36" s="390">
        <f ca="1">(T112+T113)*3600</f>
        <v>3117.0850799366813</v>
      </c>
      <c r="U36" s="390">
        <f t="shared" ref="U36:AD36" ca="1" si="1018">(U112+U113)*3600</f>
        <v>0</v>
      </c>
      <c r="V36" s="390">
        <f t="shared" ca="1" si="1018"/>
        <v>9.8117285384938278</v>
      </c>
      <c r="W36" s="390">
        <f t="shared" ca="1" si="1018"/>
        <v>0</v>
      </c>
      <c r="X36" s="390">
        <f t="shared" ca="1" si="1018"/>
        <v>0</v>
      </c>
      <c r="Y36" s="390">
        <f t="shared" ca="1" si="1018"/>
        <v>3126.8968150151741</v>
      </c>
      <c r="Z36" s="390">
        <f t="shared" ca="1" si="1018"/>
        <v>12.20935979767488</v>
      </c>
      <c r="AA36" s="390">
        <f t="shared" ca="1" si="1018"/>
        <v>3114.6874549175</v>
      </c>
      <c r="AB36" s="390">
        <f t="shared" ca="1" si="1018"/>
        <v>0</v>
      </c>
      <c r="AC36" s="390">
        <f t="shared" ca="1" si="1018"/>
        <v>9.8117285384938278</v>
      </c>
      <c r="AD36" s="390">
        <f t="shared" ca="1" si="1018"/>
        <v>0</v>
      </c>
      <c r="AK36" s="386" t="s">
        <v>3304</v>
      </c>
      <c r="AL36" s="387" t="s">
        <v>2947</v>
      </c>
      <c r="AM36" s="390">
        <f ca="1">(AM112+AM113)*3600</f>
        <v>0</v>
      </c>
      <c r="AN36" s="390">
        <f t="shared" ref="AN36:BB36" ca="1" si="1019">(AN112+AN113)*3600</f>
        <v>0</v>
      </c>
      <c r="AO36" s="390">
        <f t="shared" ref="AO36:AS36" ca="1" si="1020">(AO112+AO113)*3600</f>
        <v>3114.6874549175</v>
      </c>
      <c r="AP36" s="390">
        <f t="shared" ca="1" si="1020"/>
        <v>3114.6874549175</v>
      </c>
      <c r="AQ36" s="390">
        <f t="shared" ca="1" si="1020"/>
        <v>7.3896755891174042</v>
      </c>
      <c r="AR36" s="390">
        <f t="shared" ca="1" si="1020"/>
        <v>11.430521791444173</v>
      </c>
      <c r="AS36" s="390">
        <f t="shared" ca="1" si="1020"/>
        <v>0.7788379612307037</v>
      </c>
      <c r="AT36" s="390">
        <f t="shared" ca="1" si="1019"/>
        <v>15.202096921616775</v>
      </c>
      <c r="AU36" s="390">
        <f t="shared" ca="1" si="1019"/>
        <v>3.6181004789448035</v>
      </c>
      <c r="AV36" s="390">
        <f t="shared" ca="1" si="1019"/>
        <v>3107.2977848583823</v>
      </c>
      <c r="AW36" s="390">
        <f t="shared" ca="1" si="1019"/>
        <v>15.202096921616775</v>
      </c>
      <c r="AX36" s="390">
        <f t="shared" ca="1" si="1019"/>
        <v>19.599035356792282</v>
      </c>
      <c r="AY36" s="390">
        <f t="shared" ca="1" si="1019"/>
        <v>0</v>
      </c>
      <c r="AZ36" s="390">
        <f t="shared" ca="1" si="1019"/>
        <v>0</v>
      </c>
      <c r="BA36" s="390">
        <f t="shared" ca="1" si="1019"/>
        <v>0</v>
      </c>
      <c r="BB36" s="390">
        <f t="shared" ca="1" si="1019"/>
        <v>3107.2977748583817</v>
      </c>
      <c r="BL36" s="386" t="s">
        <v>3304</v>
      </c>
      <c r="BM36" s="387" t="s">
        <v>2947</v>
      </c>
      <c r="BN36" s="390">
        <f ca="1">(BN112+BN113)*3600</f>
        <v>313.99459371195672</v>
      </c>
      <c r="BO36" s="390">
        <f t="shared" ref="BO36:BR36" ca="1" si="1021">(BO112+BO113)*3600</f>
        <v>273.49108828792868</v>
      </c>
      <c r="BP36" s="390">
        <f t="shared" ca="1" si="1021"/>
        <v>44.16851765334814</v>
      </c>
      <c r="BQ36" s="390">
        <f t="shared" ca="1" si="1021"/>
        <v>4.0446819623574557</v>
      </c>
      <c r="BR36" s="390">
        <f t="shared" ca="1" si="1021"/>
        <v>0</v>
      </c>
      <c r="CB36" s="386" t="s">
        <v>3304</v>
      </c>
      <c r="CC36" s="387" t="s">
        <v>2947</v>
      </c>
      <c r="CD36" s="390">
        <f ca="1">(CD112+CD113)*3600</f>
        <v>3107.2977748583817</v>
      </c>
      <c r="CE36" s="390">
        <f t="shared" ref="CE36:CO36" ca="1" si="1022">(CE112+CE113)*3600</f>
        <v>3107.2977748583817</v>
      </c>
      <c r="CF36" s="390">
        <f t="shared" ca="1" si="1022"/>
        <v>313.99459371195672</v>
      </c>
      <c r="CG36" s="390">
        <f t="shared" ca="1" si="1022"/>
        <v>273.49108828792868</v>
      </c>
      <c r="CH36" s="390">
        <f t="shared" ca="1" si="1022"/>
        <v>3139.9460051195679</v>
      </c>
      <c r="CI36" s="390">
        <f t="shared" ca="1" si="1022"/>
        <v>18.201068795608549</v>
      </c>
      <c r="CJ36" s="390">
        <f t="shared" ca="1" si="1022"/>
        <v>0</v>
      </c>
      <c r="CK36" s="390">
        <f t="shared" ca="1" si="1022"/>
        <v>2685.1175884809409</v>
      </c>
      <c r="CL36" s="390">
        <f t="shared" ca="1" si="1022"/>
        <v>430.80985744647887</v>
      </c>
      <c r="CM36" s="390">
        <f t="shared" ca="1" si="1022"/>
        <v>32.648228651185825</v>
      </c>
      <c r="CN36" s="390">
        <f t="shared" ca="1" si="1022"/>
        <v>2704.291538634332</v>
      </c>
      <c r="CO36" s="390">
        <f t="shared" ca="1" si="1022"/>
        <v>19.173947453391577</v>
      </c>
      <c r="CY36" s="386" t="s">
        <v>3304</v>
      </c>
      <c r="CZ36" s="387" t="s">
        <v>2947</v>
      </c>
      <c r="DA36" s="390">
        <f ca="1">(DA112+DA113)*3600</f>
        <v>4.2077937546623509</v>
      </c>
      <c r="DB36" s="390">
        <f t="shared" ref="DB36:DJ36" ca="1" si="1023">(DB112+DB113)*3600</f>
        <v>0.15082717140661739</v>
      </c>
      <c r="DC36" s="390">
        <f t="shared" ca="1" si="1023"/>
        <v>0</v>
      </c>
      <c r="DD36" s="390">
        <f t="shared" ca="1" si="1023"/>
        <v>0</v>
      </c>
      <c r="DE36" s="390">
        <f t="shared" ca="1" si="1023"/>
        <v>2.197958954583672</v>
      </c>
      <c r="DF36" s="390">
        <f t="shared" ca="1" si="1023"/>
        <v>2.1606615172852921</v>
      </c>
      <c r="DG36" s="390">
        <f t="shared" ca="1" si="1023"/>
        <v>0</v>
      </c>
      <c r="DH36" s="390">
        <f t="shared" ca="1" si="1023"/>
        <v>0</v>
      </c>
      <c r="DI36" s="390">
        <f t="shared" ca="1" si="1023"/>
        <v>0</v>
      </c>
      <c r="DJ36" s="390">
        <f t="shared" ca="1" si="1023"/>
        <v>0</v>
      </c>
      <c r="DT36" s="386" t="s">
        <v>3304</v>
      </c>
      <c r="DU36" s="387" t="s">
        <v>2947</v>
      </c>
      <c r="DV36" s="390">
        <f ca="1">(DV112+DV113)*3600</f>
        <v>0</v>
      </c>
      <c r="DW36" s="390">
        <f t="shared" ref="DW36:EK36" ca="1" si="1024">(DW112+DW113)*3600</f>
        <v>80.528303244226436</v>
      </c>
      <c r="DX36" s="390">
        <f t="shared" ca="1" si="1024"/>
        <v>84.155875103247013</v>
      </c>
      <c r="DY36" s="390">
        <f t="shared" ca="1" si="1024"/>
        <v>4.2077937546623509</v>
      </c>
      <c r="DZ36" s="390">
        <f t="shared" ca="1" si="1024"/>
        <v>0</v>
      </c>
      <c r="EA36" s="390">
        <f t="shared" ca="1" si="1024"/>
        <v>2.197958954583672</v>
      </c>
      <c r="EB36" s="390">
        <f t="shared" ca="1" si="1024"/>
        <v>79.948081389584644</v>
      </c>
      <c r="EC36" s="390">
        <f t="shared" ca="1" si="1024"/>
        <v>5.2486772619894175</v>
      </c>
      <c r="ED36" s="390">
        <f t="shared" ca="1" si="1024"/>
        <v>32.648228651185825</v>
      </c>
      <c r="EE36" s="390">
        <f t="shared" ca="1" si="1024"/>
        <v>51.969977015759824</v>
      </c>
      <c r="EF36" s="390">
        <f t="shared" ca="1" si="1024"/>
        <v>2.2431031879448255</v>
      </c>
      <c r="EG36" s="390">
        <f t="shared" ca="1" si="1024"/>
        <v>0</v>
      </c>
      <c r="EH36" s="390">
        <f t="shared" ca="1" si="1024"/>
        <v>0</v>
      </c>
      <c r="EI36" s="390">
        <f t="shared" ca="1" si="1024"/>
        <v>3.0055740640445925</v>
      </c>
      <c r="EJ36" s="390">
        <f t="shared" ref="EJ36" ca="1" si="1025">(EJ112+EJ113)*3600</f>
        <v>0.85119865280958917</v>
      </c>
      <c r="EK36" s="390">
        <f t="shared" ca="1" si="1024"/>
        <v>0</v>
      </c>
      <c r="EU36" s="386" t="s">
        <v>3304</v>
      </c>
      <c r="EV36" s="387" t="s">
        <v>2947</v>
      </c>
      <c r="EW36" s="390">
        <f ca="1">(EW112+EW113)*3600</f>
        <v>2704.291538634332</v>
      </c>
      <c r="EX36" s="390">
        <f t="shared" ref="EX36:FB36" ca="1" si="1026">(EX112+EX113)*3600</f>
        <v>2704.291538634332</v>
      </c>
      <c r="EY36" s="390">
        <f t="shared" ca="1" si="1026"/>
        <v>1738.2871659062973</v>
      </c>
      <c r="EZ36" s="390">
        <f t="shared" ca="1" si="1026"/>
        <v>1738.2871659062973</v>
      </c>
      <c r="FA36" s="390">
        <f t="shared" ca="1" si="1026"/>
        <v>14.715774617726197</v>
      </c>
      <c r="FB36" s="390">
        <f t="shared" ca="1" si="1026"/>
        <v>951.28861861030884</v>
      </c>
      <c r="FL36" s="386" t="s">
        <v>3304</v>
      </c>
      <c r="FM36" s="387" t="s">
        <v>2947</v>
      </c>
      <c r="FN36" s="390">
        <f ca="1">(FN112+FN113)*3600</f>
        <v>44.16851765334814</v>
      </c>
      <c r="FO36" s="390">
        <f t="shared" ref="FO36:FX36" ca="1" si="1027">(FO112+FO113)*3600</f>
        <v>430.80985744647887</v>
      </c>
      <c r="FP36" s="390">
        <f t="shared" ca="1" si="1027"/>
        <v>14.715774617726197</v>
      </c>
      <c r="FQ36" s="390">
        <f t="shared" ca="1" si="1027"/>
        <v>951.28861861030884</v>
      </c>
      <c r="FR36" s="390">
        <f t="shared" ca="1" si="1027"/>
        <v>1172.1078293768626</v>
      </c>
      <c r="FS36" s="390">
        <f t="shared" ca="1" si="1027"/>
        <v>9.8117285384938278</v>
      </c>
      <c r="FT36" s="390">
        <f t="shared" ca="1" si="1027"/>
        <v>230.63095184504763</v>
      </c>
      <c r="FU36" s="390">
        <f t="shared" ca="1" si="1027"/>
        <v>489.6941499175532</v>
      </c>
      <c r="FV36" s="390">
        <f t="shared" ca="1" si="1027"/>
        <v>0</v>
      </c>
      <c r="FW36" s="390">
        <f t="shared" ca="1" si="1027"/>
        <v>470.52020176416164</v>
      </c>
      <c r="FX36" s="390">
        <f t="shared" ca="1" si="1027"/>
        <v>19.173947453391577</v>
      </c>
      <c r="GH36" s="386" t="s">
        <v>3304</v>
      </c>
      <c r="GI36" s="387" t="s">
        <v>2947</v>
      </c>
      <c r="GJ36" s="390">
        <f ca="1">(GJ112+GJ113)*3600</f>
        <v>1172.1078293768626</v>
      </c>
      <c r="GK36" s="390">
        <f t="shared" ref="GK36:GQ36" ca="1" si="1028">(GK112+GK113)*3600</f>
        <v>1172.1078293768626</v>
      </c>
      <c r="GL36" s="390">
        <f t="shared" ca="1" si="1028"/>
        <v>230.63097684504783</v>
      </c>
      <c r="GM36" s="390">
        <f t="shared" ca="1" si="1028"/>
        <v>941.47684953181488</v>
      </c>
      <c r="GN36" s="390">
        <f t="shared" ca="1" si="1028"/>
        <v>941.47684953181488</v>
      </c>
      <c r="GO36" s="390">
        <f t="shared" ca="1" si="1028"/>
        <v>230.63097684504783</v>
      </c>
      <c r="GP36" s="390">
        <f t="shared" ca="1" si="1028"/>
        <v>941.47684953181488</v>
      </c>
      <c r="GQ36" s="390">
        <f t="shared" ca="1" si="1028"/>
        <v>230.63095184504763</v>
      </c>
      <c r="HA36" s="386" t="s">
        <v>3304</v>
      </c>
      <c r="HB36" s="387" t="s">
        <v>2947</v>
      </c>
      <c r="HC36" s="390">
        <f ca="1">(HC112+HC113)*3600</f>
        <v>1738.2871659062973</v>
      </c>
      <c r="HD36" s="390">
        <f t="shared" ref="HD36:HH36" ca="1" si="1029">(HD112+HD113)*3600</f>
        <v>800.77739150621915</v>
      </c>
      <c r="HE36" s="390">
        <f t="shared" ca="1" si="1029"/>
        <v>0</v>
      </c>
      <c r="HF36" s="390">
        <f t="shared" ca="1" si="1029"/>
        <v>8.4966891979735129E-2</v>
      </c>
      <c r="HG36" s="390">
        <f t="shared" ca="1" si="1029"/>
        <v>937.42480649939864</v>
      </c>
      <c r="HH36" s="390">
        <f t="shared" ca="1" si="1029"/>
        <v>800.77739150621915</v>
      </c>
      <c r="HR36" s="386" t="s">
        <v>3304</v>
      </c>
      <c r="HS36" s="387" t="s">
        <v>2947</v>
      </c>
      <c r="HT36" s="390">
        <f ca="1">(HT112+HT113)*3600</f>
        <v>19.599035356792282</v>
      </c>
      <c r="HU36" s="390">
        <f t="shared" ref="HU36:IE36" ca="1" si="1030">(HU112+HU113)*3600</f>
        <v>800.77739150621915</v>
      </c>
      <c r="HV36" s="390">
        <f t="shared" ca="1" si="1030"/>
        <v>820.37642666301144</v>
      </c>
      <c r="HW36" s="390">
        <f t="shared" ca="1" si="1030"/>
        <v>820.37642666301144</v>
      </c>
      <c r="HX36" s="390">
        <f t="shared" ca="1" si="1030"/>
        <v>115.51136952409094</v>
      </c>
      <c r="HY36" s="390">
        <f t="shared" ca="1" si="1030"/>
        <v>55.662571345300563</v>
      </c>
      <c r="HZ36" s="390">
        <f t="shared" ca="1" si="1030"/>
        <v>659.55447327643583</v>
      </c>
      <c r="IA36" s="390">
        <f t="shared" ca="1" si="1030"/>
        <v>7.2631017781048135E-2</v>
      </c>
      <c r="IB36" s="390">
        <f t="shared" ca="1" si="1030"/>
        <v>0</v>
      </c>
      <c r="IC36" s="390">
        <f t="shared" ca="1" si="1030"/>
        <v>0</v>
      </c>
      <c r="ID36" s="390">
        <f t="shared" ca="1" si="1030"/>
        <v>0</v>
      </c>
      <c r="IE36" s="390">
        <f t="shared" ca="1" si="1030"/>
        <v>0</v>
      </c>
      <c r="IO36" s="386" t="s">
        <v>3304</v>
      </c>
      <c r="IP36" s="387" t="s">
        <v>2947</v>
      </c>
      <c r="IQ36" s="390">
        <f ca="1">(IQ112+IQ113)*3600</f>
        <v>115.51136952409094</v>
      </c>
      <c r="IR36" s="390">
        <f t="shared" ref="IR36:JH36" ca="1" si="1031">(IR112+IR113)*3600</f>
        <v>55.662571345300563</v>
      </c>
      <c r="IS36" s="390">
        <f t="shared" ca="1" si="1031"/>
        <v>39.645941558167536</v>
      </c>
      <c r="IT36" s="390">
        <f t="shared" ca="1" si="1031"/>
        <v>95.308513002468118</v>
      </c>
      <c r="IU36" s="390">
        <f t="shared" ref="IU36" ca="1" si="1032">(IU112+IU113)*3600</f>
        <v>12.216499107731993</v>
      </c>
      <c r="IV36" s="390">
        <f t="shared" ca="1" si="1031"/>
        <v>995.0785455606283</v>
      </c>
      <c r="IW36" s="390">
        <f t="shared" ca="1" si="1031"/>
        <v>951.50259801202083</v>
      </c>
      <c r="IX36" s="390">
        <f t="shared" ref="IX36" ca="1" si="1033">(IX112+IX113)*3600</f>
        <v>87.834635902677078</v>
      </c>
      <c r="IY36" s="390">
        <f t="shared" ca="1" si="1031"/>
        <v>83.092013853736105</v>
      </c>
      <c r="IZ36" s="390">
        <f t="shared" ca="1" si="1031"/>
        <v>3.9300165714401323</v>
      </c>
      <c r="JA36" s="390">
        <f t="shared" ca="1" si="1031"/>
        <v>991.14856142918859</v>
      </c>
      <c r="JB36" s="390">
        <f t="shared" ca="1" si="1031"/>
        <v>0</v>
      </c>
      <c r="JC36" s="390">
        <f t="shared" ca="1" si="1031"/>
        <v>3.857385550859084</v>
      </c>
      <c r="JD36" s="390">
        <f t="shared" ca="1" si="1031"/>
        <v>0</v>
      </c>
      <c r="JE36" s="390">
        <f t="shared" ca="1" si="1031"/>
        <v>3.9300165714401323</v>
      </c>
      <c r="JF36" s="390">
        <f t="shared" ca="1" si="1031"/>
        <v>0</v>
      </c>
      <c r="JG36" s="390">
        <f t="shared" ca="1" si="1031"/>
        <v>0</v>
      </c>
      <c r="JH36" s="390">
        <f t="shared" ca="1" si="1031"/>
        <v>7.2631017781048135E-2</v>
      </c>
      <c r="JR36" s="386" t="s">
        <v>3304</v>
      </c>
      <c r="JS36" s="387" t="s">
        <v>2947</v>
      </c>
      <c r="JT36" s="390">
        <f ca="1">(JT112+JT113)*3600</f>
        <v>4.0446819623574557</v>
      </c>
      <c r="JU36" s="390">
        <f t="shared" ref="JU36:KC36" ca="1" si="1034">(JU112+JU113)*3600</f>
        <v>18.201068795608549</v>
      </c>
      <c r="JV36" s="390">
        <f t="shared" ca="1" si="1034"/>
        <v>0.15082717140661739</v>
      </c>
      <c r="JW36" s="390">
        <f t="shared" ca="1" si="1034"/>
        <v>3.0055740640445925</v>
      </c>
      <c r="JX36" s="390">
        <f t="shared" ca="1" si="1034"/>
        <v>941.47684953181488</v>
      </c>
      <c r="JY36" s="390">
        <f t="shared" ca="1" si="1034"/>
        <v>32.480262059842097</v>
      </c>
      <c r="JZ36" s="390">
        <f t="shared" ca="1" si="1034"/>
        <v>973.95711179165687</v>
      </c>
      <c r="KA36" s="390">
        <f t="shared" ca="1" si="1034"/>
        <v>0</v>
      </c>
      <c r="KB36" s="390">
        <f t="shared" ca="1" si="1034"/>
        <v>0</v>
      </c>
      <c r="KC36" s="390">
        <f t="shared" ca="1" si="1034"/>
        <v>25.402152003217218</v>
      </c>
      <c r="KJ36" s="386" t="s">
        <v>3304</v>
      </c>
      <c r="KK36" s="387" t="s">
        <v>2947</v>
      </c>
      <c r="KL36" s="390">
        <f ca="1">(KL112+KL113)*3600</f>
        <v>0</v>
      </c>
      <c r="KM36" s="390">
        <f t="shared" ref="KM36:KR36" ca="1" si="1035">(KM112+KM113)*3600</f>
        <v>0</v>
      </c>
      <c r="KN36" s="390">
        <f t="shared" ca="1" si="1035"/>
        <v>0</v>
      </c>
      <c r="KO36" s="390">
        <f t="shared" ca="1" si="1035"/>
        <v>0</v>
      </c>
      <c r="KP36" s="390">
        <f t="shared" ca="1" si="1035"/>
        <v>0</v>
      </c>
      <c r="KQ36" s="390">
        <f t="shared" ca="1" si="1035"/>
        <v>0</v>
      </c>
      <c r="KR36" s="390">
        <f t="shared" ca="1" si="1035"/>
        <v>0</v>
      </c>
      <c r="KY36" s="386" t="s">
        <v>3304</v>
      </c>
      <c r="KZ36" s="387" t="s">
        <v>2947</v>
      </c>
      <c r="LA36" s="390">
        <f ca="1">(LA112+LA113)*3600</f>
        <v>8.4966891979735129E-2</v>
      </c>
      <c r="LB36" s="390">
        <f t="shared" ref="LB36:LK36" ca="1" si="1036">(LB112+LB113)*3600</f>
        <v>659.55447327643583</v>
      </c>
      <c r="LC36" s="390">
        <f t="shared" ca="1" si="1036"/>
        <v>659.63944027711557</v>
      </c>
      <c r="LD36" s="390">
        <f t="shared" ca="1" si="1036"/>
        <v>659.63944027711557</v>
      </c>
      <c r="LE36" s="390">
        <f t="shared" ca="1" si="1036"/>
        <v>0</v>
      </c>
      <c r="LF36" s="390">
        <f t="shared" ca="1" si="1036"/>
        <v>1680.1562651412503</v>
      </c>
      <c r="LG36" s="390">
        <f t="shared" ca="1" si="1036"/>
        <v>1680.1562651412503</v>
      </c>
      <c r="LH36" s="390">
        <f t="shared" ca="1" si="1036"/>
        <v>10.200661781605294</v>
      </c>
      <c r="LI36" s="390">
        <f t="shared" ca="1" si="1036"/>
        <v>1669.9556033596448</v>
      </c>
      <c r="LJ36" s="390">
        <f t="shared" ca="1" si="1036"/>
        <v>0</v>
      </c>
      <c r="LK36" s="390">
        <f t="shared" ca="1" si="1036"/>
        <v>0</v>
      </c>
      <c r="LU36" s="386" t="s">
        <v>3304</v>
      </c>
      <c r="LV36" s="387" t="s">
        <v>2947</v>
      </c>
      <c r="LW36" s="390">
        <f ca="1">(LW112+LW113)*3600</f>
        <v>0</v>
      </c>
      <c r="LX36" s="390">
        <f ca="1">(LX112+LX113)*3600</f>
        <v>0</v>
      </c>
      <c r="LY36" s="390">
        <f t="shared" ref="LY36:MO36" ca="1" si="1037">(LY112+LY113)*3600</f>
        <v>937.42480649939864</v>
      </c>
      <c r="LZ36" s="390">
        <f t="shared" ca="1" si="1037"/>
        <v>83.092013853736105</v>
      </c>
      <c r="MA36" s="390">
        <f t="shared" ca="1" si="1037"/>
        <v>1020.5168212641345</v>
      </c>
      <c r="MB36" s="390">
        <f t="shared" ca="1" si="1037"/>
        <v>659.63944027711557</v>
      </c>
      <c r="MC36" s="390">
        <f t="shared" ca="1" si="1037"/>
        <v>1680.1562651412503</v>
      </c>
      <c r="MD36" s="390">
        <f t="shared" ca="1" si="1037"/>
        <v>0</v>
      </c>
      <c r="ME36" s="390">
        <f t="shared" ca="1" si="1037"/>
        <v>0</v>
      </c>
      <c r="MF36" s="390">
        <f t="shared" ca="1" si="1037"/>
        <v>0</v>
      </c>
      <c r="MG36" s="390">
        <f t="shared" ca="1" si="1037"/>
        <v>0</v>
      </c>
      <c r="MH36" s="390">
        <f t="shared" ref="MH36:MI36" ca="1" si="1038">(MH112+MH113)*3600</f>
        <v>0</v>
      </c>
      <c r="MI36" s="390">
        <f t="shared" ca="1" si="1038"/>
        <v>0</v>
      </c>
      <c r="MJ36" s="390">
        <f t="shared" ca="1" si="1037"/>
        <v>0</v>
      </c>
      <c r="MK36" s="390">
        <f t="shared" ca="1" si="1037"/>
        <v>0</v>
      </c>
      <c r="ML36" s="390">
        <f t="shared" ca="1" si="1037"/>
        <v>0</v>
      </c>
      <c r="MM36" s="390">
        <f t="shared" ca="1" si="1037"/>
        <v>0</v>
      </c>
      <c r="MN36" s="390">
        <f t="shared" ca="1" si="1037"/>
        <v>0</v>
      </c>
      <c r="MO36" s="390">
        <f t="shared" ca="1" si="1037"/>
        <v>6.2333414498667312E-9</v>
      </c>
      <c r="MY36" s="386" t="s">
        <v>3304</v>
      </c>
      <c r="MZ36" s="387" t="s">
        <v>2947</v>
      </c>
      <c r="NA36" s="390">
        <f ca="1">(NA112+NA113)*3600</f>
        <v>12.20935979767488</v>
      </c>
      <c r="NB36" s="390">
        <f t="shared" ref="NB36:NP36" ca="1" si="1039">(NB112+NB113)*3600</f>
        <v>11.430521791444173</v>
      </c>
      <c r="NC36" s="390">
        <f t="shared" ca="1" si="1039"/>
        <v>0.7788379612307037</v>
      </c>
      <c r="ND36" s="390">
        <f t="shared" ca="1" si="1039"/>
        <v>0</v>
      </c>
      <c r="NE36" s="390">
        <f t="shared" ca="1" si="1039"/>
        <v>0</v>
      </c>
      <c r="NF36" s="390">
        <f t="shared" ca="1" si="1039"/>
        <v>0</v>
      </c>
      <c r="NG36" s="390">
        <f t="shared" ca="1" si="1039"/>
        <v>0</v>
      </c>
      <c r="NH36" s="390">
        <f t="shared" ca="1" si="1039"/>
        <v>0</v>
      </c>
      <c r="NI36" s="390">
        <f t="shared" ca="1" si="1039"/>
        <v>0</v>
      </c>
      <c r="NJ36" s="390">
        <f t="shared" ca="1" si="1039"/>
        <v>0</v>
      </c>
      <c r="NK36" s="390">
        <f t="shared" ca="1" si="1039"/>
        <v>0</v>
      </c>
      <c r="NL36" s="390">
        <f t="shared" ca="1" si="1039"/>
        <v>0</v>
      </c>
      <c r="NM36" s="390">
        <f t="shared" ca="1" si="1039"/>
        <v>0</v>
      </c>
      <c r="NN36" s="390">
        <f t="shared" ca="1" si="1039"/>
        <v>0</v>
      </c>
      <c r="NO36" s="390">
        <f t="shared" ca="1" si="1039"/>
        <v>0</v>
      </c>
      <c r="NP36" s="390">
        <f t="shared" ca="1" si="1039"/>
        <v>0</v>
      </c>
      <c r="NZ36" s="394"/>
      <c r="OF36" s="386" t="s">
        <v>3304</v>
      </c>
      <c r="OG36" s="387" t="s">
        <v>2947</v>
      </c>
      <c r="OH36" s="390">
        <f ca="1">(OH112+OH113)*3600</f>
        <v>0</v>
      </c>
      <c r="OI36" s="390">
        <f t="shared" ref="OI36:OO36" ca="1" si="1040">(OI112+OI113)*3600</f>
        <v>0</v>
      </c>
      <c r="OJ36" s="390">
        <f t="shared" ca="1" si="1040"/>
        <v>0</v>
      </c>
      <c r="OK36" s="390">
        <f t="shared" ca="1" si="1040"/>
        <v>0</v>
      </c>
      <c r="OL36" s="390">
        <f t="shared" ca="1" si="1040"/>
        <v>0</v>
      </c>
      <c r="OM36" s="390">
        <f t="shared" ca="1" si="1040"/>
        <v>0</v>
      </c>
      <c r="ON36" s="390">
        <f t="shared" ca="1" si="1040"/>
        <v>0</v>
      </c>
      <c r="OO36" s="390">
        <f t="shared" ca="1" si="1040"/>
        <v>0</v>
      </c>
      <c r="OY36" s="386" t="s">
        <v>3304</v>
      </c>
      <c r="OZ36" s="387" t="s">
        <v>2947</v>
      </c>
      <c r="PA36" s="390">
        <f ca="1">(PA112+PA113)*3600</f>
        <v>0</v>
      </c>
      <c r="PB36" s="390">
        <f t="shared" ref="PB36:PK36" ca="1" si="1041">(PB112+PB113)*3600</f>
        <v>0</v>
      </c>
      <c r="PC36" s="390">
        <f t="shared" ca="1" si="1041"/>
        <v>0</v>
      </c>
      <c r="PD36" s="390">
        <f t="shared" ca="1" si="1041"/>
        <v>0</v>
      </c>
      <c r="PE36" s="390">
        <f t="shared" ca="1" si="1041"/>
        <v>0</v>
      </c>
      <c r="PF36" s="390">
        <f t="shared" ca="1" si="1041"/>
        <v>0</v>
      </c>
      <c r="PG36" s="390">
        <f t="shared" ca="1" si="1041"/>
        <v>0</v>
      </c>
      <c r="PH36" s="390">
        <f t="shared" ca="1" si="1041"/>
        <v>0</v>
      </c>
      <c r="PI36" s="390">
        <f t="shared" ca="1" si="1041"/>
        <v>0</v>
      </c>
      <c r="PJ36" s="390">
        <f t="shared" ca="1" si="1041"/>
        <v>0</v>
      </c>
      <c r="PK36" s="390">
        <f t="shared" ca="1" si="1041"/>
        <v>0</v>
      </c>
      <c r="PU36" s="386" t="s">
        <v>3304</v>
      </c>
      <c r="PV36" s="387" t="s">
        <v>2947</v>
      </c>
      <c r="PW36" s="390">
        <f ca="1">(PW112+PW113)*3600</f>
        <v>0</v>
      </c>
      <c r="PX36" s="390">
        <f t="shared" ref="PX36:PZ36" ca="1" si="1042">(PX112+PX113)*3600</f>
        <v>0</v>
      </c>
      <c r="PY36" s="390">
        <f t="shared" ca="1" si="1042"/>
        <v>0</v>
      </c>
      <c r="PZ36" s="390">
        <f t="shared" ca="1" si="1042"/>
        <v>0</v>
      </c>
    </row>
    <row r="37" spans="1:446" x14ac:dyDescent="0.25">
      <c r="A37" s="1315"/>
      <c r="H37" s="386" t="s">
        <v>3203</v>
      </c>
      <c r="I37" s="387" t="s">
        <v>287</v>
      </c>
      <c r="J37" s="390">
        <f ca="1">J111*J41</f>
        <v>101238.03469896171</v>
      </c>
      <c r="K37" s="390">
        <f ca="1">K111*K41</f>
        <v>101238.03469896171</v>
      </c>
      <c r="R37" s="386" t="s">
        <v>3203</v>
      </c>
      <c r="S37" s="387" t="s">
        <v>287</v>
      </c>
      <c r="T37" s="390">
        <f ca="1">T111*T41</f>
        <v>101238.03469896171</v>
      </c>
      <c r="U37" s="390">
        <f t="shared" ref="U37:AD37" ca="1" si="1043">U111*U41</f>
        <v>0</v>
      </c>
      <c r="V37" s="390">
        <f t="shared" ca="1" si="1043"/>
        <v>326.77475138389786</v>
      </c>
      <c r="W37" s="390">
        <f t="shared" ca="1" si="1043"/>
        <v>0</v>
      </c>
      <c r="X37" s="390">
        <f t="shared" ca="1" si="1043"/>
        <v>0</v>
      </c>
      <c r="Y37" s="390">
        <f t="shared" ca="1" si="1043"/>
        <v>101564.80924020118</v>
      </c>
      <c r="Z37" s="390">
        <f t="shared" ca="1" si="1043"/>
        <v>396.43814621167536</v>
      </c>
      <c r="AA37" s="390">
        <f t="shared" ca="1" si="1043"/>
        <v>101168.3710552765</v>
      </c>
      <c r="AB37" s="390">
        <f t="shared" ca="1" si="1043"/>
        <v>0</v>
      </c>
      <c r="AC37" s="390">
        <f t="shared" ca="1" si="1043"/>
        <v>326.77475110372797</v>
      </c>
      <c r="AD37" s="390">
        <f t="shared" ca="1" si="1043"/>
        <v>0</v>
      </c>
      <c r="AK37" s="386" t="s">
        <v>3203</v>
      </c>
      <c r="AL37" s="387" t="s">
        <v>287</v>
      </c>
      <c r="AM37" s="390">
        <f ca="1">AM111*AM41</f>
        <v>0</v>
      </c>
      <c r="AN37" s="390">
        <f t="shared" ref="AN37:BB37" ca="1" si="1044">AN111*AN41</f>
        <v>0</v>
      </c>
      <c r="AO37" s="390">
        <f t="shared" ref="AO37:AS37" ca="1" si="1045">AO111*AO41</f>
        <v>101168.3710552765</v>
      </c>
      <c r="AP37" s="390">
        <f t="shared" ca="1" si="1045"/>
        <v>101168.3710552765</v>
      </c>
      <c r="AQ37" s="390">
        <f t="shared" ca="1" si="1045"/>
        <v>239.45262084427858</v>
      </c>
      <c r="AR37" s="390">
        <f t="shared" ca="1" si="1045"/>
        <v>371.38498343028266</v>
      </c>
      <c r="AS37" s="390">
        <f t="shared" ca="1" si="1045"/>
        <v>25.05316248576267</v>
      </c>
      <c r="AT37" s="390">
        <f t="shared" ca="1" si="1044"/>
        <v>494.23213074144456</v>
      </c>
      <c r="AU37" s="390">
        <f t="shared" ca="1" si="1044"/>
        <v>116.60547313409062</v>
      </c>
      <c r="AV37" s="390">
        <f t="shared" ca="1" si="1044"/>
        <v>100928.9182478647</v>
      </c>
      <c r="AW37" s="390">
        <f t="shared" ca="1" si="1044"/>
        <v>494.23213074144456</v>
      </c>
      <c r="AX37" s="390">
        <f t="shared" ca="1" si="1044"/>
        <v>635.89076641285021</v>
      </c>
      <c r="AY37" s="390">
        <f t="shared" ca="1" si="1044"/>
        <v>0</v>
      </c>
      <c r="AZ37" s="390">
        <f t="shared" ca="1" si="1044"/>
        <v>0</v>
      </c>
      <c r="BA37" s="390">
        <f t="shared" ca="1" si="1044"/>
        <v>0</v>
      </c>
      <c r="BB37" s="390">
        <f t="shared" ca="1" si="1044"/>
        <v>100928.91826650944</v>
      </c>
      <c r="BL37" s="386" t="s">
        <v>3203</v>
      </c>
      <c r="BM37" s="387" t="s">
        <v>287</v>
      </c>
      <c r="BN37" s="390">
        <f ca="1">BN111*BN41</f>
        <v>10200.965004473959</v>
      </c>
      <c r="BO37" s="390">
        <f t="shared" ref="BO37:BR37" ca="1" si="1046">BO111*BO41</f>
        <v>10279.80356796554</v>
      </c>
      <c r="BP37" s="390">
        <f t="shared" ca="1" si="1046"/>
        <v>67.025536946189376</v>
      </c>
      <c r="BQ37" s="390">
        <f t="shared" ca="1" si="1046"/>
        <v>131.68167763454053</v>
      </c>
      <c r="BR37" s="390">
        <f t="shared" ca="1" si="1046"/>
        <v>0</v>
      </c>
      <c r="CB37" s="386" t="s">
        <v>3203</v>
      </c>
      <c r="CC37" s="387" t="s">
        <v>287</v>
      </c>
      <c r="CD37" s="390">
        <f ca="1">CD111*CD41</f>
        <v>100928.91826650944</v>
      </c>
      <c r="CE37" s="390">
        <f t="shared" ref="CE37:CO37" ca="1" si="1047">CE111*CE41</f>
        <v>100928.91826650944</v>
      </c>
      <c r="CF37" s="390">
        <f t="shared" ca="1" si="1047"/>
        <v>10200.965004473959</v>
      </c>
      <c r="CG37" s="390">
        <f t="shared" ca="1" si="1047"/>
        <v>10279.80356796554</v>
      </c>
      <c r="CH37" s="390">
        <f t="shared" ca="1" si="1047"/>
        <v>102009.65248639212</v>
      </c>
      <c r="CI37" s="390">
        <f t="shared" ca="1" si="1047"/>
        <v>592.56754904307195</v>
      </c>
      <c r="CJ37" s="390">
        <f t="shared" ca="1" si="1047"/>
        <v>0</v>
      </c>
      <c r="CK37" s="390">
        <f t="shared" ca="1" si="1047"/>
        <v>102131.27246550031</v>
      </c>
      <c r="CL37" s="390">
        <f t="shared" ca="1" si="1047"/>
        <v>692.50861943305404</v>
      </c>
      <c r="CM37" s="390">
        <f t="shared" ca="1" si="1047"/>
        <v>1080.7338408205439</v>
      </c>
      <c r="CN37" s="390">
        <f t="shared" ca="1" si="1047"/>
        <v>103018.61585175399</v>
      </c>
      <c r="CO37" s="390">
        <f t="shared" ca="1" si="1047"/>
        <v>887.34368788916663</v>
      </c>
      <c r="CY37" s="386" t="s">
        <v>3203</v>
      </c>
      <c r="CZ37" s="387" t="s">
        <v>287</v>
      </c>
      <c r="DA37" s="390">
        <f ca="1">DA111*DA41</f>
        <v>134.84934646349228</v>
      </c>
      <c r="DB37" s="390">
        <f t="shared" ref="DB37:DJ37" ca="1" si="1048">DB111*DB41</f>
        <v>4.9104416998444167</v>
      </c>
      <c r="DC37" s="390">
        <f t="shared" ca="1" si="1048"/>
        <v>0.12214172498884419</v>
      </c>
      <c r="DD37" s="390">
        <f t="shared" ca="1" si="1048"/>
        <v>0</v>
      </c>
      <c r="DE37" s="390">
        <f t="shared" ca="1" si="1048"/>
        <v>72.542353793374602</v>
      </c>
      <c r="DF37" s="390">
        <f t="shared" ca="1" si="1048"/>
        <v>1.2868191878998524E-4</v>
      </c>
      <c r="DG37" s="390">
        <f t="shared" ca="1" si="1048"/>
        <v>0</v>
      </c>
      <c r="DH37" s="390">
        <f t="shared" ca="1" si="1048"/>
        <v>0</v>
      </c>
      <c r="DI37" s="390">
        <f t="shared" ca="1" si="1048"/>
        <v>0</v>
      </c>
      <c r="DJ37" s="390">
        <f t="shared" ca="1" si="1048"/>
        <v>0</v>
      </c>
      <c r="DT37" s="386" t="s">
        <v>3203</v>
      </c>
      <c r="DU37" s="387" t="s">
        <v>287</v>
      </c>
      <c r="DV37" s="390">
        <f ca="1">DV111*DV41</f>
        <v>0</v>
      </c>
      <c r="DW37" s="390">
        <f t="shared" ref="DW37:EK37" ca="1" si="1049">DW111*DW41</f>
        <v>2576.9056823576357</v>
      </c>
      <c r="DX37" s="390">
        <f t="shared" ca="1" si="1049"/>
        <v>2696.9869224425825</v>
      </c>
      <c r="DY37" s="390">
        <f t="shared" ca="1" si="1049"/>
        <v>134.84934646349228</v>
      </c>
      <c r="DZ37" s="390">
        <f t="shared" ca="1" si="1049"/>
        <v>0.12214172498884419</v>
      </c>
      <c r="EA37" s="390">
        <f t="shared" ca="1" si="1049"/>
        <v>72.542353793374602</v>
      </c>
      <c r="EB37" s="390">
        <f t="shared" ca="1" si="1049"/>
        <v>2562.1375899749805</v>
      </c>
      <c r="EC37" s="390">
        <f t="shared" ca="1" si="1049"/>
        <v>169.63100873037081</v>
      </c>
      <c r="ED37" s="390">
        <f t="shared" ca="1" si="1049"/>
        <v>1080.7338408205439</v>
      </c>
      <c r="EE37" s="390">
        <f t="shared" ca="1" si="1049"/>
        <v>4.0096275843395568E-3</v>
      </c>
      <c r="EF37" s="390">
        <f t="shared" ca="1" si="1049"/>
        <v>71.779301296415525</v>
      </c>
      <c r="EG37" s="390">
        <f t="shared" ca="1" si="1049"/>
        <v>0</v>
      </c>
      <c r="EH37" s="390">
        <f t="shared" ca="1" si="1049"/>
        <v>4.0997232297396806</v>
      </c>
      <c r="EI37" s="390">
        <f t="shared" ca="1" si="1049"/>
        <v>97.851707132247526</v>
      </c>
      <c r="EJ37" s="390">
        <f t="shared" ref="EJ37" ca="1" si="1050">EJ111*EJ41</f>
        <v>38.587672056713821</v>
      </c>
      <c r="EK37" s="390">
        <f t="shared" ca="1" si="1049"/>
        <v>0</v>
      </c>
      <c r="EU37" s="386" t="s">
        <v>3203</v>
      </c>
      <c r="EV37" s="387" t="s">
        <v>287</v>
      </c>
      <c r="EW37" s="390">
        <f ca="1">EW111*EW41</f>
        <v>103018.61585175399</v>
      </c>
      <c r="EX37" s="390">
        <f t="shared" ref="EX37:FB37" ca="1" si="1051">EX111*EX41</f>
        <v>103018.61585175399</v>
      </c>
      <c r="EY37" s="390">
        <f t="shared" ca="1" si="1051"/>
        <v>57393.431165357055</v>
      </c>
      <c r="EZ37" s="390">
        <f t="shared" ca="1" si="1051"/>
        <v>57393.431165357055</v>
      </c>
      <c r="FA37" s="390">
        <f t="shared" ca="1" si="1051"/>
        <v>136.81291540282999</v>
      </c>
      <c r="FB37" s="390">
        <f t="shared" ca="1" si="1051"/>
        <v>45488.372057834626</v>
      </c>
      <c r="FL37" s="386" t="s">
        <v>3203</v>
      </c>
      <c r="FM37" s="387" t="s">
        <v>287</v>
      </c>
      <c r="FN37" s="390">
        <f ca="1">FN111*FN41</f>
        <v>67.025536946189376</v>
      </c>
      <c r="FO37" s="390">
        <f t="shared" ref="FO37:FX37" ca="1" si="1052">FO111*FO41</f>
        <v>692.50861943305404</v>
      </c>
      <c r="FP37" s="390">
        <f t="shared" ca="1" si="1052"/>
        <v>136.81291540282999</v>
      </c>
      <c r="FQ37" s="390">
        <f t="shared" ca="1" si="1052"/>
        <v>45488.372057834626</v>
      </c>
      <c r="FR37" s="390">
        <f t="shared" ca="1" si="1052"/>
        <v>56231.882277784993</v>
      </c>
      <c r="FS37" s="390">
        <f t="shared" ca="1" si="1052"/>
        <v>326.77475110372797</v>
      </c>
      <c r="FT37" s="390">
        <f t="shared" ca="1" si="1052"/>
        <v>11070.28563324099</v>
      </c>
      <c r="FU37" s="390">
        <f t="shared" ca="1" si="1052"/>
        <v>896.34706831851997</v>
      </c>
      <c r="FV37" s="390">
        <f t="shared" ca="1" si="1052"/>
        <v>0</v>
      </c>
      <c r="FW37" s="390">
        <f t="shared" ca="1" si="1052"/>
        <v>9.0033801794994162</v>
      </c>
      <c r="FX37" s="390">
        <f t="shared" ca="1" si="1052"/>
        <v>887.34368788916663</v>
      </c>
      <c r="GH37" s="386" t="s">
        <v>3203</v>
      </c>
      <c r="GI37" s="387" t="s">
        <v>287</v>
      </c>
      <c r="GJ37" s="390">
        <f ca="1">GJ111*GJ41</f>
        <v>56231.882277784993</v>
      </c>
      <c r="GK37" s="390">
        <f t="shared" ref="GK37:GQ37" ca="1" si="1053">GK111*GK41</f>
        <v>56231.882277784993</v>
      </c>
      <c r="GL37" s="390">
        <f t="shared" ca="1" si="1053"/>
        <v>11070.286764845618</v>
      </c>
      <c r="GM37" s="390">
        <f t="shared" ca="1" si="1053"/>
        <v>45161.595298099877</v>
      </c>
      <c r="GN37" s="390">
        <f t="shared" ca="1" si="1053"/>
        <v>45161.595298099877</v>
      </c>
      <c r="GO37" s="390">
        <f t="shared" ca="1" si="1053"/>
        <v>11070.286764845618</v>
      </c>
      <c r="GP37" s="390">
        <f t="shared" ca="1" si="1053"/>
        <v>45161.595298099877</v>
      </c>
      <c r="GQ37" s="390">
        <f t="shared" ca="1" si="1053"/>
        <v>11070.28563324099</v>
      </c>
      <c r="HA37" s="386" t="s">
        <v>3203</v>
      </c>
      <c r="HB37" s="387" t="s">
        <v>287</v>
      </c>
      <c r="HC37" s="390">
        <f ca="1">HC111*HC41</f>
        <v>57393.431165357055</v>
      </c>
      <c r="HD37" s="390">
        <f t="shared" ref="HD37:HH37" ca="1" si="1054">HD111*HD41</f>
        <v>25901.64753390706</v>
      </c>
      <c r="HE37" s="390">
        <f t="shared" ca="1" si="1054"/>
        <v>0</v>
      </c>
      <c r="HF37" s="390">
        <f t="shared" ca="1" si="1054"/>
        <v>3.5318724626513673</v>
      </c>
      <c r="HG37" s="390">
        <f t="shared" ca="1" si="1054"/>
        <v>31488.25183719609</v>
      </c>
      <c r="HH37" s="390">
        <f t="shared" ca="1" si="1054"/>
        <v>25901.64753390706</v>
      </c>
      <c r="HR37" s="386" t="s">
        <v>3203</v>
      </c>
      <c r="HS37" s="387" t="s">
        <v>287</v>
      </c>
      <c r="HT37" s="390">
        <f ca="1">HT111*HT41</f>
        <v>635.89076641285021</v>
      </c>
      <c r="HU37" s="390">
        <f t="shared" ref="HU37:IE37" ca="1" si="1055">HU111*HU41</f>
        <v>25901.64753390706</v>
      </c>
      <c r="HV37" s="390">
        <f t="shared" ca="1" si="1055"/>
        <v>26537.538251988262</v>
      </c>
      <c r="HW37" s="390">
        <f t="shared" ca="1" si="1055"/>
        <v>26537.538251988262</v>
      </c>
      <c r="HX37" s="390">
        <f t="shared" ca="1" si="1055"/>
        <v>4181.3869314894819</v>
      </c>
      <c r="HY37" s="390">
        <f t="shared" ca="1" si="1055"/>
        <v>1891.1302467010591</v>
      </c>
      <c r="HZ37" s="390">
        <f t="shared" ca="1" si="1055"/>
        <v>21994.782573019391</v>
      </c>
      <c r="IA37" s="390">
        <f t="shared" ca="1" si="1055"/>
        <v>1.0419904639761675</v>
      </c>
      <c r="IB37" s="390">
        <f t="shared" ca="1" si="1055"/>
        <v>0</v>
      </c>
      <c r="IC37" s="390">
        <f t="shared" ca="1" si="1055"/>
        <v>0</v>
      </c>
      <c r="ID37" s="390">
        <f t="shared" ca="1" si="1055"/>
        <v>0</v>
      </c>
      <c r="IE37" s="390">
        <f t="shared" ca="1" si="1055"/>
        <v>0</v>
      </c>
      <c r="IO37" s="386" t="s">
        <v>3203</v>
      </c>
      <c r="IP37" s="387" t="s">
        <v>287</v>
      </c>
      <c r="IQ37" s="390">
        <f ca="1">IQ111*IQ41</f>
        <v>4181.3869314894819</v>
      </c>
      <c r="IR37" s="390">
        <f t="shared" ref="IR37:JH37" ca="1" si="1056">IR111*IR41</f>
        <v>1891.1302467010591</v>
      </c>
      <c r="IS37" s="390">
        <f t="shared" ca="1" si="1056"/>
        <v>1346.2111502911589</v>
      </c>
      <c r="IT37" s="390">
        <f t="shared" ca="1" si="1056"/>
        <v>3237.3413873539448</v>
      </c>
      <c r="IU37" s="390">
        <f t="shared" ref="IU37" ca="1" si="1057">IU111*IU41</f>
        <v>446.44967034586358</v>
      </c>
      <c r="IV37" s="390">
        <f t="shared" ca="1" si="1056"/>
        <v>33855.765907934248</v>
      </c>
      <c r="IW37" s="390">
        <f t="shared" ca="1" si="1056"/>
        <v>32309.067684308673</v>
      </c>
      <c r="IX37" s="390">
        <f t="shared" ref="IX37" ca="1" si="1058">IX111*IX41</f>
        <v>542.53136319169414</v>
      </c>
      <c r="IY37" s="390">
        <f t="shared" ca="1" si="1056"/>
        <v>2790.8917276863394</v>
      </c>
      <c r="IZ37" s="390">
        <f t="shared" ca="1" si="1056"/>
        <v>200.48875852068545</v>
      </c>
      <c r="JA37" s="390">
        <f t="shared" ca="1" si="1056"/>
        <v>33655.278493766236</v>
      </c>
      <c r="JB37" s="390">
        <f t="shared" ca="1" si="1056"/>
        <v>0</v>
      </c>
      <c r="JC37" s="390">
        <f t="shared" ca="1" si="1056"/>
        <v>199.44676758193347</v>
      </c>
      <c r="JD37" s="390">
        <f t="shared" ca="1" si="1056"/>
        <v>0</v>
      </c>
      <c r="JE37" s="390">
        <f t="shared" ca="1" si="1056"/>
        <v>200.48875847218443</v>
      </c>
      <c r="JF37" s="390">
        <f t="shared" ca="1" si="1056"/>
        <v>0</v>
      </c>
      <c r="JG37" s="390">
        <f t="shared" ca="1" si="1056"/>
        <v>0</v>
      </c>
      <c r="JH37" s="390">
        <f t="shared" ca="1" si="1056"/>
        <v>1.0419904639761675</v>
      </c>
      <c r="JR37" s="386" t="s">
        <v>3203</v>
      </c>
      <c r="JS37" s="387" t="s">
        <v>287</v>
      </c>
      <c r="JT37" s="390">
        <f ca="1">JT111*JT41</f>
        <v>131.68167763454053</v>
      </c>
      <c r="JU37" s="390">
        <f t="shared" ref="JU37:KC37" ca="1" si="1059">JU111*JU41</f>
        <v>592.56754904307195</v>
      </c>
      <c r="JV37" s="390">
        <f t="shared" ca="1" si="1059"/>
        <v>4.9104416998444167</v>
      </c>
      <c r="JW37" s="390">
        <f t="shared" ca="1" si="1059"/>
        <v>97.851707132247526</v>
      </c>
      <c r="JX37" s="390">
        <f t="shared" ca="1" si="1059"/>
        <v>45161.595298099877</v>
      </c>
      <c r="JY37" s="390">
        <f t="shared" ca="1" si="1059"/>
        <v>1633.2931690182154</v>
      </c>
      <c r="JZ37" s="390">
        <f t="shared" ca="1" si="1059"/>
        <v>46794.888471854661</v>
      </c>
      <c r="KA37" s="390">
        <f t="shared" ca="1" si="1059"/>
        <v>0</v>
      </c>
      <c r="KB37" s="390">
        <f t="shared" ca="1" si="1059"/>
        <v>0</v>
      </c>
      <c r="KC37" s="390">
        <f t="shared" ca="1" si="1059"/>
        <v>827.01137868953424</v>
      </c>
      <c r="KJ37" s="386" t="s">
        <v>3203</v>
      </c>
      <c r="KK37" s="387" t="s">
        <v>287</v>
      </c>
      <c r="KL37" s="390">
        <f ca="1">KL111*KL41</f>
        <v>0</v>
      </c>
      <c r="KM37" s="390">
        <f t="shared" ref="KM37:KR37" ca="1" si="1060">KM111*KM41</f>
        <v>0</v>
      </c>
      <c r="KN37" s="390">
        <f t="shared" ca="1" si="1060"/>
        <v>0</v>
      </c>
      <c r="KO37" s="390">
        <f t="shared" ca="1" si="1060"/>
        <v>0</v>
      </c>
      <c r="KP37" s="390">
        <f t="shared" ca="1" si="1060"/>
        <v>0</v>
      </c>
      <c r="KQ37" s="390">
        <f t="shared" ca="1" si="1060"/>
        <v>0</v>
      </c>
      <c r="KR37" s="390">
        <f t="shared" ca="1" si="1060"/>
        <v>0</v>
      </c>
      <c r="KY37" s="386" t="s">
        <v>3203</v>
      </c>
      <c r="KZ37" s="387" t="s">
        <v>287</v>
      </c>
      <c r="LA37" s="390">
        <f ca="1">LA111*LA41</f>
        <v>3.5318724626513673</v>
      </c>
      <c r="LB37" s="390">
        <f t="shared" ref="LB37:LK37" ca="1" si="1061">LB111*LB41</f>
        <v>21994.782573019391</v>
      </c>
      <c r="LC37" s="390">
        <f t="shared" ca="1" si="1061"/>
        <v>21998.314426910238</v>
      </c>
      <c r="LD37" s="390">
        <f t="shared" ca="1" si="1061"/>
        <v>21998.314426910238</v>
      </c>
      <c r="LE37" s="390">
        <f t="shared" ca="1" si="1061"/>
        <v>0</v>
      </c>
      <c r="LF37" s="390">
        <f t="shared" ca="1" si="1061"/>
        <v>529.77400577074809</v>
      </c>
      <c r="LG37" s="390">
        <f t="shared" ca="1" si="1061"/>
        <v>529.77400577074809</v>
      </c>
      <c r="LH37" s="390">
        <f t="shared" ca="1" si="1061"/>
        <v>326.42117506095587</v>
      </c>
      <c r="LI37" s="390">
        <f t="shared" ca="1" si="1061"/>
        <v>48.830458263228707</v>
      </c>
      <c r="LJ37" s="390">
        <f t="shared" ca="1" si="1061"/>
        <v>0</v>
      </c>
      <c r="LK37" s="390">
        <f t="shared" ca="1" si="1061"/>
        <v>0</v>
      </c>
      <c r="LU37" s="386" t="s">
        <v>3203</v>
      </c>
      <c r="LV37" s="387" t="s">
        <v>287</v>
      </c>
      <c r="LW37" s="390">
        <f ca="1">LW111*LW41</f>
        <v>0</v>
      </c>
      <c r="LX37" s="390">
        <f ca="1">LX111*LX41</f>
        <v>0</v>
      </c>
      <c r="LY37" s="390">
        <f t="shared" ref="LY37:MO37" ca="1" si="1062">LY111*LY41</f>
        <v>31488.25183719609</v>
      </c>
      <c r="LZ37" s="390">
        <f t="shared" ca="1" si="1062"/>
        <v>2790.8917276863394</v>
      </c>
      <c r="MA37" s="390">
        <f t="shared" ca="1" si="1062"/>
        <v>34279.143599263298</v>
      </c>
      <c r="MB37" s="390">
        <f t="shared" ca="1" si="1062"/>
        <v>21998.314426910238</v>
      </c>
      <c r="MC37" s="390">
        <f t="shared" ca="1" si="1062"/>
        <v>529.77400577074809</v>
      </c>
      <c r="MD37" s="390">
        <f t="shared" ca="1" si="1062"/>
        <v>0</v>
      </c>
      <c r="ME37" s="390">
        <f t="shared" ca="1" si="1062"/>
        <v>0</v>
      </c>
      <c r="MF37" s="390">
        <f t="shared" ca="1" si="1062"/>
        <v>0</v>
      </c>
      <c r="MG37" s="390">
        <f t="shared" ca="1" si="1062"/>
        <v>0</v>
      </c>
      <c r="MH37" s="390">
        <f t="shared" ref="MH37:MI37" ca="1" si="1063">MH111*MH41</f>
        <v>0</v>
      </c>
      <c r="MI37" s="390">
        <f t="shared" ca="1" si="1063"/>
        <v>0</v>
      </c>
      <c r="MJ37" s="390">
        <f t="shared" ca="1" si="1062"/>
        <v>0</v>
      </c>
      <c r="MK37" s="390">
        <f t="shared" ca="1" si="1062"/>
        <v>0</v>
      </c>
      <c r="ML37" s="390">
        <f t="shared" ca="1" si="1062"/>
        <v>0</v>
      </c>
      <c r="MM37" s="390">
        <f t="shared" ca="1" si="1062"/>
        <v>0</v>
      </c>
      <c r="MN37" s="390">
        <f t="shared" ca="1" si="1062"/>
        <v>0</v>
      </c>
      <c r="MO37" s="390">
        <f t="shared" ca="1" si="1062"/>
        <v>3.9893384900000003E-7</v>
      </c>
      <c r="MY37" s="386" t="s">
        <v>3203</v>
      </c>
      <c r="MZ37" s="387" t="s">
        <v>287</v>
      </c>
      <c r="NA37" s="390">
        <f ca="1">NA111*NA41</f>
        <v>396.43814621167536</v>
      </c>
      <c r="NB37" s="390">
        <f t="shared" ref="NB37:NP37" ca="1" si="1064">NB111*NB41</f>
        <v>371.38498343028266</v>
      </c>
      <c r="NC37" s="390">
        <f t="shared" ca="1" si="1064"/>
        <v>25.05316248576267</v>
      </c>
      <c r="ND37" s="390">
        <f t="shared" ca="1" si="1064"/>
        <v>0</v>
      </c>
      <c r="NE37" s="390">
        <f t="shared" ca="1" si="1064"/>
        <v>0</v>
      </c>
      <c r="NF37" s="390">
        <f t="shared" ca="1" si="1064"/>
        <v>0</v>
      </c>
      <c r="NG37" s="390">
        <f t="shared" ca="1" si="1064"/>
        <v>0</v>
      </c>
      <c r="NH37" s="390">
        <f t="shared" ca="1" si="1064"/>
        <v>0</v>
      </c>
      <c r="NI37" s="390">
        <f t="shared" ca="1" si="1064"/>
        <v>0</v>
      </c>
      <c r="NJ37" s="390">
        <f t="shared" ca="1" si="1064"/>
        <v>0</v>
      </c>
      <c r="NK37" s="390">
        <f t="shared" ca="1" si="1064"/>
        <v>0</v>
      </c>
      <c r="NL37" s="390">
        <f t="shared" ca="1" si="1064"/>
        <v>0</v>
      </c>
      <c r="NM37" s="390">
        <f t="shared" ca="1" si="1064"/>
        <v>0</v>
      </c>
      <c r="NN37" s="390">
        <f t="shared" ca="1" si="1064"/>
        <v>0</v>
      </c>
      <c r="NO37" s="390">
        <f t="shared" ca="1" si="1064"/>
        <v>0</v>
      </c>
      <c r="NP37" s="390">
        <f t="shared" ca="1" si="1064"/>
        <v>0</v>
      </c>
      <c r="NZ37" s="394"/>
      <c r="OF37" s="386" t="s">
        <v>3203</v>
      </c>
      <c r="OG37" s="387" t="s">
        <v>287</v>
      </c>
      <c r="OH37" s="390">
        <f ca="1">OH111*OH41</f>
        <v>0</v>
      </c>
      <c r="OI37" s="390">
        <f t="shared" ref="OI37:OO37" ca="1" si="1065">OI111*OI41</f>
        <v>0</v>
      </c>
      <c r="OJ37" s="390">
        <f t="shared" ca="1" si="1065"/>
        <v>0</v>
      </c>
      <c r="OK37" s="390">
        <f t="shared" ca="1" si="1065"/>
        <v>0</v>
      </c>
      <c r="OL37" s="390">
        <f t="shared" ca="1" si="1065"/>
        <v>0</v>
      </c>
      <c r="OM37" s="390">
        <f t="shared" ca="1" si="1065"/>
        <v>0</v>
      </c>
      <c r="ON37" s="390">
        <f t="shared" ca="1" si="1065"/>
        <v>0</v>
      </c>
      <c r="OO37" s="390">
        <f t="shared" ca="1" si="1065"/>
        <v>0</v>
      </c>
      <c r="OY37" s="386" t="s">
        <v>3203</v>
      </c>
      <c r="OZ37" s="387" t="s">
        <v>287</v>
      </c>
      <c r="PA37" s="390">
        <f ca="1">PA111*PA41</f>
        <v>0</v>
      </c>
      <c r="PB37" s="390">
        <f t="shared" ref="PB37:PK37" ca="1" si="1066">PB111*PB41</f>
        <v>0</v>
      </c>
      <c r="PC37" s="390">
        <f t="shared" ca="1" si="1066"/>
        <v>0</v>
      </c>
      <c r="PD37" s="390">
        <f t="shared" ca="1" si="1066"/>
        <v>0</v>
      </c>
      <c r="PE37" s="390">
        <f t="shared" ca="1" si="1066"/>
        <v>0</v>
      </c>
      <c r="PF37" s="390">
        <f t="shared" ca="1" si="1066"/>
        <v>0</v>
      </c>
      <c r="PG37" s="390">
        <f t="shared" ca="1" si="1066"/>
        <v>0</v>
      </c>
      <c r="PH37" s="390">
        <f t="shared" ca="1" si="1066"/>
        <v>0</v>
      </c>
      <c r="PI37" s="390">
        <f t="shared" ca="1" si="1066"/>
        <v>0</v>
      </c>
      <c r="PJ37" s="390">
        <f t="shared" ca="1" si="1066"/>
        <v>0</v>
      </c>
      <c r="PK37" s="390">
        <f t="shared" ca="1" si="1066"/>
        <v>0</v>
      </c>
      <c r="PU37" s="386" t="s">
        <v>3203</v>
      </c>
      <c r="PV37" s="387" t="s">
        <v>287</v>
      </c>
      <c r="PW37" s="390">
        <f ca="1">PW111*PW41</f>
        <v>0</v>
      </c>
      <c r="PX37" s="390">
        <f t="shared" ref="PX37:PZ37" ca="1" si="1067">PX111*PX41</f>
        <v>0</v>
      </c>
      <c r="PY37" s="390">
        <f t="shared" ca="1" si="1067"/>
        <v>0</v>
      </c>
      <c r="PZ37" s="390">
        <f t="shared" ca="1" si="1067"/>
        <v>0</v>
      </c>
    </row>
    <row r="38" spans="1:446" x14ac:dyDescent="0.25">
      <c r="A38" s="1315"/>
      <c r="H38" s="386" t="s">
        <v>3305</v>
      </c>
      <c r="I38" s="387" t="s">
        <v>3079</v>
      </c>
      <c r="J38" s="391">
        <f ca="1">J190</f>
        <v>-315.57189332922121</v>
      </c>
      <c r="K38" s="391">
        <f ca="1">K190</f>
        <v>-315.57189332922121</v>
      </c>
      <c r="R38" s="386" t="s">
        <v>3305</v>
      </c>
      <c r="S38" s="387" t="s">
        <v>3079</v>
      </c>
      <c r="T38" s="391">
        <f ca="1">T190</f>
        <v>-315.57189332922121</v>
      </c>
      <c r="U38" s="391">
        <f t="shared" ref="U38:AD38" ca="1" si="1068">U190</f>
        <v>72.307318605883992</v>
      </c>
      <c r="V38" s="391">
        <f t="shared" ca="1" si="1068"/>
        <v>18.18293539607896</v>
      </c>
      <c r="W38" s="391">
        <f t="shared" ca="1" si="1068"/>
        <v>-0.38821422241906911</v>
      </c>
      <c r="X38" s="391">
        <f t="shared" ca="1" si="1068"/>
        <v>-2.7306140460192281</v>
      </c>
      <c r="Y38" s="391">
        <f t="shared" ca="1" si="1068"/>
        <v>-231.62551604489394</v>
      </c>
      <c r="Z38" s="391">
        <f t="shared" ca="1" si="1068"/>
        <v>-2.8631872306220862</v>
      </c>
      <c r="AA38" s="391">
        <f t="shared" ca="1" si="1068"/>
        <v>-229.93917395030593</v>
      </c>
      <c r="AB38" s="391">
        <f t="shared" ca="1" si="1068"/>
        <v>1.224578636430133</v>
      </c>
      <c r="AC38" s="391">
        <f t="shared" ca="1" si="1068"/>
        <v>16.958977353366805</v>
      </c>
      <c r="AD38" s="391">
        <f t="shared" ca="1" si="1068"/>
        <v>1.2251858292967119</v>
      </c>
      <c r="AK38" s="386" t="s">
        <v>3305</v>
      </c>
      <c r="AL38" s="387" t="s">
        <v>3079</v>
      </c>
      <c r="AM38" s="391">
        <f ca="1">AM190</f>
        <v>80.952278605883961</v>
      </c>
      <c r="AN38" s="391">
        <f t="shared" ref="AN38:BB38" ca="1" si="1069">AN190</f>
        <v>72.307318605883992</v>
      </c>
      <c r="AO38" s="391">
        <f t="shared" ref="AO38:AS38" ca="1" si="1070">AO190</f>
        <v>-229.93917395030593</v>
      </c>
      <c r="AP38" s="391">
        <f t="shared" ca="1" si="1070"/>
        <v>-230.06603995030599</v>
      </c>
      <c r="AQ38" s="391">
        <f t="shared" ca="1" si="1070"/>
        <v>-1.4598698977682723</v>
      </c>
      <c r="AR38" s="391">
        <f t="shared" ca="1" si="1070"/>
        <v>-1.7391559098125644</v>
      </c>
      <c r="AS38" s="391">
        <f t="shared" ca="1" si="1070"/>
        <v>1.9001378686115211</v>
      </c>
      <c r="AT38" s="391">
        <f t="shared" ca="1" si="1069"/>
        <v>-2.066582796254945</v>
      </c>
      <c r="AU38" s="391">
        <f t="shared" ca="1" si="1069"/>
        <v>7.7656038686993192</v>
      </c>
      <c r="AV38" s="391">
        <f t="shared" ca="1" si="1069"/>
        <v>-228.80561505305104</v>
      </c>
      <c r="AW38" s="391">
        <f t="shared" ca="1" si="1069"/>
        <v>5.1100224650263915</v>
      </c>
      <c r="AX38" s="391">
        <f t="shared" ca="1" si="1069"/>
        <v>14.775955389122139</v>
      </c>
      <c r="AY38" s="391">
        <f t="shared" ca="1" si="1069"/>
        <v>-4.368626386199252</v>
      </c>
      <c r="AZ38" s="391">
        <f t="shared" ca="1" si="1069"/>
        <v>86.382967786154182</v>
      </c>
      <c r="BA38" s="391">
        <f t="shared" ca="1" si="1069"/>
        <v>81.429230169954621</v>
      </c>
      <c r="BB38" s="391">
        <f t="shared" ca="1" si="1069"/>
        <v>-146.9890514290297</v>
      </c>
      <c r="BL38" s="386" t="s">
        <v>3305</v>
      </c>
      <c r="BM38" s="387" t="s">
        <v>3079</v>
      </c>
      <c r="BN38" s="391">
        <f ca="1">BN190</f>
        <v>-12.729680923323112</v>
      </c>
      <c r="BO38" s="391">
        <f t="shared" ref="BO38:BR38" ca="1" si="1071">BO190</f>
        <v>-12.568784961110314</v>
      </c>
      <c r="BP38" s="391">
        <f t="shared" ca="1" si="1071"/>
        <v>-0.2018748490219946</v>
      </c>
      <c r="BQ38" s="391">
        <f t="shared" ca="1" si="1071"/>
        <v>-0.38882852787784594</v>
      </c>
      <c r="BR38" s="391">
        <f t="shared" ca="1" si="1071"/>
        <v>1.2431099999994644E-5</v>
      </c>
      <c r="CB38" s="386" t="s">
        <v>3305</v>
      </c>
      <c r="CC38" s="387" t="s">
        <v>3079</v>
      </c>
      <c r="CD38" s="391">
        <f ca="1">CD190</f>
        <v>-146.9890514290297</v>
      </c>
      <c r="CE38" s="391">
        <f t="shared" ref="CE38:CO38" ca="1" si="1072">CE190</f>
        <v>-136.35025142902975</v>
      </c>
      <c r="CF38" s="391">
        <f t="shared" ca="1" si="1072"/>
        <v>-12.729680923323112</v>
      </c>
      <c r="CG38" s="391">
        <f t="shared" ca="1" si="1072"/>
        <v>-12.568784961110314</v>
      </c>
      <c r="CH38" s="391">
        <f t="shared" ca="1" si="1072"/>
        <v>-132.87986052394538</v>
      </c>
      <c r="CI38" s="391">
        <f t="shared" ca="1" si="1072"/>
        <v>-1.7497283745927834</v>
      </c>
      <c r="CJ38" s="391">
        <f t="shared" ca="1" si="1072"/>
        <v>5.5104999999999738E-5</v>
      </c>
      <c r="CK38" s="391">
        <f t="shared" ca="1" si="1072"/>
        <v>-122.84352620535307</v>
      </c>
      <c r="CL38" s="391">
        <f t="shared" ca="1" si="1072"/>
        <v>-2.0839781972667999</v>
      </c>
      <c r="CM38" s="391">
        <f t="shared" ca="1" si="1072"/>
        <v>3.5819404375231967</v>
      </c>
      <c r="CN38" s="391">
        <f t="shared" ca="1" si="1072"/>
        <v>-110.35104882163026</v>
      </c>
      <c r="CO38" s="391">
        <f t="shared" ca="1" si="1072"/>
        <v>12.589733222954745</v>
      </c>
      <c r="CY38" s="386" t="s">
        <v>3305</v>
      </c>
      <c r="CZ38" s="387" t="s">
        <v>3079</v>
      </c>
      <c r="DA38" s="391">
        <f ca="1">DA190</f>
        <v>-7.0500311216648626E-2</v>
      </c>
      <c r="DB38" s="391">
        <f t="shared" ref="DB38:DJ38" ca="1" si="1073">DB190</f>
        <v>-1.4499510179653464E-2</v>
      </c>
      <c r="DC38" s="391">
        <f t="shared" ca="1" si="1073"/>
        <v>-2.1853600000009809E-7</v>
      </c>
      <c r="DD38" s="391">
        <f t="shared" ca="1" si="1073"/>
        <v>-2.542448868464885E-2</v>
      </c>
      <c r="DE38" s="391">
        <f t="shared" ca="1" si="1073"/>
        <v>0.1584063454127968</v>
      </c>
      <c r="DF38" s="391">
        <f t="shared" ca="1" si="1073"/>
        <v>-2.4083269194619629E-3</v>
      </c>
      <c r="DG38" s="391">
        <f t="shared" ca="1" si="1073"/>
        <v>-2.9133742977092614E-9</v>
      </c>
      <c r="DH38" s="391">
        <f t="shared" ca="1" si="1073"/>
        <v>-3.8835815799552309E-2</v>
      </c>
      <c r="DI38" s="391">
        <f t="shared" ca="1" si="1073"/>
        <v>-3.6986490412959802E-2</v>
      </c>
      <c r="DJ38" s="391">
        <f t="shared" ca="1" si="1073"/>
        <v>-1.8493237682685147E-3</v>
      </c>
      <c r="DT38" s="386" t="s">
        <v>3305</v>
      </c>
      <c r="DU38" s="387" t="s">
        <v>3079</v>
      </c>
      <c r="DV38" s="391">
        <f ca="1">DV190</f>
        <v>6.556132058539859</v>
      </c>
      <c r="DW38" s="391">
        <f t="shared" ref="DW38:EK38" ca="1" si="1074">DW190</f>
        <v>-7.9441872443591892</v>
      </c>
      <c r="DX38" s="391">
        <f t="shared" ca="1" si="1074"/>
        <v>-1.4100061125322858</v>
      </c>
      <c r="DY38" s="391">
        <f t="shared" ca="1" si="1074"/>
        <v>-7.0500311216648626E-2</v>
      </c>
      <c r="DZ38" s="391">
        <f t="shared" ca="1" si="1074"/>
        <v>-2.1853600000009809E-7</v>
      </c>
      <c r="EA38" s="391">
        <f t="shared" ca="1" si="1074"/>
        <v>0.1584063454127968</v>
      </c>
      <c r="EB38" s="391">
        <f t="shared" ca="1" si="1074"/>
        <v>-1.3395058284969865</v>
      </c>
      <c r="EC38" s="391">
        <f t="shared" ca="1" si="1074"/>
        <v>-0.51876628005642567</v>
      </c>
      <c r="ED38" s="391">
        <f t="shared" ca="1" si="1074"/>
        <v>3.5819404375231967</v>
      </c>
      <c r="EE38" s="391">
        <f t="shared" ca="1" si="1074"/>
        <v>-2.4249994930616234E-2</v>
      </c>
      <c r="EF38" s="391">
        <f t="shared" ca="1" si="1074"/>
        <v>-0.22789580472544735</v>
      </c>
      <c r="EG38" s="391">
        <f t="shared" ca="1" si="1074"/>
        <v>-0.48560773454269091</v>
      </c>
      <c r="EH38" s="391">
        <f t="shared" ca="1" si="1074"/>
        <v>-7.3351999999998752E-6</v>
      </c>
      <c r="EI38" s="391">
        <f t="shared" ca="1" si="1074"/>
        <v>-0.28893568233097827</v>
      </c>
      <c r="EJ38" s="391">
        <f t="shared" ref="EJ38" ca="1" si="1075">EJ190</f>
        <v>-0.1171359786650291</v>
      </c>
      <c r="EK38" s="391">
        <f t="shared" ca="1" si="1074"/>
        <v>-3.6986490412959802E-2</v>
      </c>
      <c r="EU38" s="386" t="s">
        <v>3305</v>
      </c>
      <c r="EV38" s="387" t="s">
        <v>3079</v>
      </c>
      <c r="EW38" s="391">
        <f ca="1">EW190</f>
        <v>-110.35104882163026</v>
      </c>
      <c r="EX38" s="391">
        <f t="shared" ref="EX38:FB38" ca="1" si="1076">EX190</f>
        <v>-139.77045882163023</v>
      </c>
      <c r="EY38" s="391">
        <f t="shared" ca="1" si="1076"/>
        <v>-25.497479146562284</v>
      </c>
      <c r="EZ38" s="391">
        <f t="shared" ca="1" si="1076"/>
        <v>3.9218708534378379</v>
      </c>
      <c r="FA38" s="391">
        <f t="shared" ca="1" si="1076"/>
        <v>-0.41091974446373752</v>
      </c>
      <c r="FB38" s="391">
        <f t="shared" ca="1" si="1076"/>
        <v>-137.30688473303269</v>
      </c>
      <c r="FL38" s="386" t="s">
        <v>3305</v>
      </c>
      <c r="FM38" s="387" t="s">
        <v>3079</v>
      </c>
      <c r="FN38" s="391">
        <f ca="1">FN190</f>
        <v>-0.2018748490219946</v>
      </c>
      <c r="FO38" s="391">
        <f t="shared" ref="FO38:FX38" ca="1" si="1077">FO190</f>
        <v>-2.0839781972667999</v>
      </c>
      <c r="FP38" s="391">
        <f t="shared" ca="1" si="1077"/>
        <v>-0.41091974446373752</v>
      </c>
      <c r="FQ38" s="391">
        <f t="shared" ca="1" si="1077"/>
        <v>-137.30688473303269</v>
      </c>
      <c r="FR38" s="391">
        <f t="shared" ca="1" si="1077"/>
        <v>-167.53817948662441</v>
      </c>
      <c r="FS38" s="391">
        <f t="shared" ca="1" si="1077"/>
        <v>16.958977353366805</v>
      </c>
      <c r="FT38" s="391">
        <f t="shared" ca="1" si="1077"/>
        <v>-33.093324169137055</v>
      </c>
      <c r="FU38" s="391">
        <f t="shared" ca="1" si="1077"/>
        <v>-2.6967728329675498</v>
      </c>
      <c r="FV38" s="391">
        <f t="shared" ca="1" si="1077"/>
        <v>15.404448073866867</v>
      </c>
      <c r="FW38" s="391">
        <f t="shared" ca="1" si="1077"/>
        <v>-6.5718471546342999E-2</v>
      </c>
      <c r="FX38" s="391">
        <f t="shared" ca="1" si="1077"/>
        <v>12.589733222954745</v>
      </c>
      <c r="GH38" s="386" t="s">
        <v>3305</v>
      </c>
      <c r="GI38" s="387" t="s">
        <v>3079</v>
      </c>
      <c r="GJ38" s="391">
        <f ca="1">GJ190</f>
        <v>-167.53817948662441</v>
      </c>
      <c r="GK38" s="391">
        <f t="shared" ref="GK38:GQ38" ca="1" si="1078">GK190</f>
        <v>-167.83870828662444</v>
      </c>
      <c r="GL38" s="391">
        <f t="shared" ca="1" si="1078"/>
        <v>-33.108211771536737</v>
      </c>
      <c r="GM38" s="391">
        <f t="shared" ca="1" si="1078"/>
        <v>-134.73049652066123</v>
      </c>
      <c r="GN38" s="391">
        <f t="shared" ca="1" si="1078"/>
        <v>-138.88942433999296</v>
      </c>
      <c r="GO38" s="391">
        <f t="shared" ca="1" si="1078"/>
        <v>-32.878960388953679</v>
      </c>
      <c r="GP38" s="391">
        <f t="shared" ca="1" si="1078"/>
        <v>-134.51612622066122</v>
      </c>
      <c r="GQ38" s="391">
        <f t="shared" ca="1" si="1078"/>
        <v>-33.093324169137055</v>
      </c>
      <c r="HA38" s="386" t="s">
        <v>3305</v>
      </c>
      <c r="HB38" s="387" t="s">
        <v>3079</v>
      </c>
      <c r="HC38" s="391">
        <f ca="1">HC190</f>
        <v>3.9218708534378379</v>
      </c>
      <c r="HD38" s="391">
        <f t="shared" ref="HD38:HH38" ca="1" si="1079">HD190</f>
        <v>100.9694867687094</v>
      </c>
      <c r="HE38" s="391">
        <f t="shared" ca="1" si="1079"/>
        <v>-0.16385498373578841</v>
      </c>
      <c r="HF38" s="391">
        <f t="shared" ca="1" si="1079"/>
        <v>-0.10141598878145142</v>
      </c>
      <c r="HG38" s="391">
        <f t="shared" ca="1" si="1079"/>
        <v>-97.281632168432509</v>
      </c>
      <c r="HH38" s="391">
        <f t="shared" ca="1" si="1079"/>
        <v>101.03818676870944</v>
      </c>
      <c r="HR38" s="386" t="s">
        <v>3305</v>
      </c>
      <c r="HS38" s="387" t="s">
        <v>3079</v>
      </c>
      <c r="HT38" s="391">
        <f ca="1">HT190</f>
        <v>14.775955389122139</v>
      </c>
      <c r="HU38" s="391">
        <f t="shared" ref="HU38:IE38" ca="1" si="1080">HU190</f>
        <v>100.9694867687094</v>
      </c>
      <c r="HV38" s="391">
        <f t="shared" ca="1" si="1080"/>
        <v>128.43237986484894</v>
      </c>
      <c r="HW38" s="391">
        <f t="shared" ca="1" si="1080"/>
        <v>134.77620986484897</v>
      </c>
      <c r="HX38" s="391">
        <f t="shared" ca="1" si="1080"/>
        <v>187.9983098159513</v>
      </c>
      <c r="HY38" s="391">
        <f t="shared" ca="1" si="1080"/>
        <v>8.8365555392817932</v>
      </c>
      <c r="HZ38" s="391">
        <f t="shared" ca="1" si="1080"/>
        <v>-65.51961911254287</v>
      </c>
      <c r="IA38" s="391">
        <f t="shared" ca="1" si="1080"/>
        <v>-2.4633760803081093E-3</v>
      </c>
      <c r="IB38" s="391">
        <f t="shared" ca="1" si="1080"/>
        <v>2.3706027807342145</v>
      </c>
      <c r="IC38" s="391">
        <f t="shared" ca="1" si="1080"/>
        <v>87.157311526553755</v>
      </c>
      <c r="ID38" s="391">
        <f t="shared" ca="1" si="1080"/>
        <v>80.813482526553727</v>
      </c>
      <c r="IE38" s="391">
        <f t="shared" ca="1" si="1080"/>
        <v>10.228597906007128</v>
      </c>
      <c r="IO38" s="386" t="s">
        <v>3305</v>
      </c>
      <c r="IP38" s="387" t="s">
        <v>3079</v>
      </c>
      <c r="IQ38" s="391">
        <f ca="1">IQ190</f>
        <v>187.9983098159513</v>
      </c>
      <c r="IR38" s="391">
        <f t="shared" ref="IR38:JH38" ca="1" si="1081">IR190</f>
        <v>8.8365555392817932</v>
      </c>
      <c r="IS38" s="391">
        <f t="shared" ca="1" si="1081"/>
        <v>48.241951847455795</v>
      </c>
      <c r="IT38" s="391">
        <f t="shared" ca="1" si="1081"/>
        <v>56.872441604848035</v>
      </c>
      <c r="IU38" s="391">
        <f t="shared" ref="IU38" ca="1" si="1082">IU190</f>
        <v>62.043023052742619</v>
      </c>
      <c r="IV38" s="391">
        <f t="shared" ca="1" si="1081"/>
        <v>1434.0579651952924</v>
      </c>
      <c r="IW38" s="391">
        <f t="shared" ca="1" si="1081"/>
        <v>1157.8068322745048</v>
      </c>
      <c r="IX38" s="391">
        <f t="shared" ref="IX38" ca="1" si="1083">IX190</f>
        <v>-1.064705577422639</v>
      </c>
      <c r="IY38" s="391">
        <f t="shared" ca="1" si="1081"/>
        <v>-5.1710732625487257</v>
      </c>
      <c r="IZ38" s="391">
        <f t="shared" ca="1" si="1081"/>
        <v>227.65082912337843</v>
      </c>
      <c r="JA38" s="391">
        <f t="shared" ca="1" si="1081"/>
        <v>1206.1129604273951</v>
      </c>
      <c r="JB38" s="391">
        <f t="shared" ca="1" si="1081"/>
        <v>218.2961633157602</v>
      </c>
      <c r="JC38" s="391">
        <f t="shared" ca="1" si="1081"/>
        <v>8.2103806326011597</v>
      </c>
      <c r="JD38" s="391">
        <f t="shared" ca="1" si="1081"/>
        <v>177.46270860942406</v>
      </c>
      <c r="JE38" s="391">
        <f t="shared" ca="1" si="1081"/>
        <v>50.18521201992003</v>
      </c>
      <c r="JF38" s="391">
        <f t="shared" ca="1" si="1081"/>
        <v>-1.426208039161771E-8</v>
      </c>
      <c r="JG38" s="391">
        <f t="shared" ca="1" si="1081"/>
        <v>3.2688881071136531</v>
      </c>
      <c r="JH38" s="391">
        <f t="shared" ca="1" si="1081"/>
        <v>-2.4633760803081093E-3</v>
      </c>
      <c r="JR38" s="386" t="s">
        <v>3305</v>
      </c>
      <c r="JS38" s="387" t="s">
        <v>3079</v>
      </c>
      <c r="JT38" s="391">
        <f ca="1">JT190</f>
        <v>-0.38888221987784599</v>
      </c>
      <c r="JU38" s="391">
        <f t="shared" ref="JU38:KC38" ca="1" si="1084">JU190</f>
        <v>-1.7499699845927832</v>
      </c>
      <c r="JV38" s="391">
        <f t="shared" ca="1" si="1084"/>
        <v>-1.4499510179653464E-2</v>
      </c>
      <c r="JW38" s="391">
        <f t="shared" ca="1" si="1084"/>
        <v>-0.28893568233097827</v>
      </c>
      <c r="JX38" s="391">
        <f t="shared" ca="1" si="1084"/>
        <v>-138.88942433999296</v>
      </c>
      <c r="JY38" s="391">
        <f t="shared" ca="1" si="1084"/>
        <v>-4.9472335911946583</v>
      </c>
      <c r="JZ38" s="391">
        <f t="shared" ca="1" si="1084"/>
        <v>-143.57900651218759</v>
      </c>
      <c r="KA38" s="391">
        <f t="shared" ca="1" si="1084"/>
        <v>1.2251858292967119</v>
      </c>
      <c r="KB38" s="391">
        <f t="shared" ca="1" si="1084"/>
        <v>4.7013548218724068</v>
      </c>
      <c r="KC38" s="391">
        <f t="shared" ca="1" si="1084"/>
        <v>-2.4419920897910927</v>
      </c>
      <c r="KJ38" s="386" t="s">
        <v>3305</v>
      </c>
      <c r="KK38" s="387" t="s">
        <v>3079</v>
      </c>
      <c r="KL38" s="391">
        <f ca="1">KL190</f>
        <v>-4.368626386199252</v>
      </c>
      <c r="KM38" s="391">
        <f t="shared" ref="KM38:KR38" ca="1" si="1085">KM190</f>
        <v>1.2431099999994644E-5</v>
      </c>
      <c r="KN38" s="391">
        <f t="shared" ca="1" si="1085"/>
        <v>5.5104999999999738E-5</v>
      </c>
      <c r="KO38" s="391">
        <f t="shared" ca="1" si="1085"/>
        <v>-2.542448868464885E-2</v>
      </c>
      <c r="KP38" s="391">
        <f t="shared" ca="1" si="1085"/>
        <v>-0.48560773454269091</v>
      </c>
      <c r="KQ38" s="391">
        <f t="shared" ca="1" si="1085"/>
        <v>-4.8466110535380205</v>
      </c>
      <c r="KR38" s="391">
        <f t="shared" ca="1" si="1085"/>
        <v>6.7535999999979168E-5</v>
      </c>
      <c r="KY38" s="386" t="s">
        <v>3305</v>
      </c>
      <c r="KZ38" s="387" t="s">
        <v>3079</v>
      </c>
      <c r="LA38" s="391">
        <f ca="1">LA190</f>
        <v>-0.10141598878145142</v>
      </c>
      <c r="LB38" s="391">
        <f t="shared" ref="LB38:LK38" ca="1" si="1086">LB190</f>
        <v>-65.51961911254287</v>
      </c>
      <c r="LC38" s="391">
        <f t="shared" ca="1" si="1086"/>
        <v>-65.737449472287182</v>
      </c>
      <c r="LD38" s="391">
        <f t="shared" ca="1" si="1086"/>
        <v>-78.849743372287179</v>
      </c>
      <c r="LE38" s="391">
        <f t="shared" ca="1" si="1086"/>
        <v>-2.5354831022583616E-8</v>
      </c>
      <c r="LF38" s="391">
        <f t="shared" ca="1" si="1086"/>
        <v>-26.425817199813228</v>
      </c>
      <c r="LG38" s="391">
        <f t="shared" ca="1" si="1086"/>
        <v>-13.31352642882587</v>
      </c>
      <c r="LH38" s="391">
        <f t="shared" ca="1" si="1086"/>
        <v>0.12526356952489248</v>
      </c>
      <c r="LI38" s="391">
        <f t="shared" ca="1" si="1086"/>
        <v>-11.577804382133733</v>
      </c>
      <c r="LJ38" s="391">
        <f t="shared" ca="1" si="1086"/>
        <v>2.0519761099266227</v>
      </c>
      <c r="LK38" s="391">
        <f t="shared" ca="1" si="1086"/>
        <v>0.31481130385388462</v>
      </c>
      <c r="LU38" s="386" t="s">
        <v>3305</v>
      </c>
      <c r="LV38" s="387" t="s">
        <v>3079</v>
      </c>
      <c r="LW38" s="391">
        <f ca="1">LW190</f>
        <v>-0.34922042241907081</v>
      </c>
      <c r="LX38" s="391">
        <f ca="1">LX190</f>
        <v>-2.456340346019219</v>
      </c>
      <c r="LY38" s="391">
        <f t="shared" ref="LY38:MO38" ca="1" si="1087">LY190</f>
        <v>-97.281632168432509</v>
      </c>
      <c r="LZ38" s="391">
        <f t="shared" ca="1" si="1087"/>
        <v>-5.1710732625487257</v>
      </c>
      <c r="MA38" s="391">
        <f t="shared" ca="1" si="1087"/>
        <v>-102.44485575490933</v>
      </c>
      <c r="MB38" s="391">
        <f t="shared" ca="1" si="1087"/>
        <v>-78.849743372287179</v>
      </c>
      <c r="MC38" s="391">
        <f t="shared" ca="1" si="1087"/>
        <v>-26.425817199813228</v>
      </c>
      <c r="MD38" s="391">
        <f t="shared" ca="1" si="1087"/>
        <v>-42.932085821617832</v>
      </c>
      <c r="ME38" s="391">
        <f t="shared" ca="1" si="1087"/>
        <v>-3.0123267684674175</v>
      </c>
      <c r="MF38" s="391">
        <f t="shared" ca="1" si="1087"/>
        <v>119.39323153594819</v>
      </c>
      <c r="MG38" s="391">
        <f t="shared" ca="1" si="1087"/>
        <v>103.93636253128503</v>
      </c>
      <c r="MH38" s="391">
        <f t="shared" ref="MH38:MI38" ca="1" si="1088">MH190</f>
        <v>-6.4117493944469368</v>
      </c>
      <c r="MI38" s="391">
        <f t="shared" ca="1" si="1088"/>
        <v>-9.0129677882498649E-3</v>
      </c>
      <c r="MJ38" s="391">
        <f t="shared" ca="1" si="1087"/>
        <v>6.3058868266413048</v>
      </c>
      <c r="MK38" s="391">
        <f t="shared" ca="1" si="1087"/>
        <v>56.885659375410754</v>
      </c>
      <c r="ML38" s="391">
        <f t="shared" ca="1" si="1087"/>
        <v>56.879515375410747</v>
      </c>
      <c r="MM38" s="391">
        <f t="shared" ca="1" si="1087"/>
        <v>2.3706027807342145</v>
      </c>
      <c r="MN38" s="391">
        <f t="shared" ca="1" si="1087"/>
        <v>12.400680931568711</v>
      </c>
      <c r="MO38" s="391">
        <f t="shared" ca="1" si="1087"/>
        <v>-1.1949441109883836E-9</v>
      </c>
      <c r="MY38" s="386" t="s">
        <v>3305</v>
      </c>
      <c r="MZ38" s="387" t="s">
        <v>3079</v>
      </c>
      <c r="NA38" s="391">
        <f ca="1">NA190</f>
        <v>-2.8631872306220862</v>
      </c>
      <c r="NB38" s="391">
        <f t="shared" ref="NB38:NP38" ca="1" si="1089">NB190</f>
        <v>-1.7391559098125644</v>
      </c>
      <c r="NC38" s="391">
        <f t="shared" ca="1" si="1089"/>
        <v>1.9001378686115211</v>
      </c>
      <c r="ND38" s="391">
        <f t="shared" ca="1" si="1089"/>
        <v>20.24950802276236</v>
      </c>
      <c r="NE38" s="391">
        <f t="shared" ca="1" si="1089"/>
        <v>101.84884034364686</v>
      </c>
      <c r="NF38" s="391">
        <f t="shared" ca="1" si="1089"/>
        <v>119.89972448270944</v>
      </c>
      <c r="NG38" s="391">
        <f t="shared" ca="1" si="1089"/>
        <v>18.063436022762364</v>
      </c>
      <c r="NH38" s="391">
        <f t="shared" ca="1" si="1089"/>
        <v>0</v>
      </c>
      <c r="NI38" s="391">
        <f t="shared" ca="1" si="1089"/>
        <v>119.54609953594809</v>
      </c>
      <c r="NJ38" s="391">
        <f t="shared" ca="1" si="1089"/>
        <v>119.39323153594819</v>
      </c>
      <c r="NK38" s="391">
        <f t="shared" ca="1" si="1089"/>
        <v>-9.0129677882498649E-3</v>
      </c>
      <c r="NL38" s="391">
        <f t="shared" ca="1" si="1089"/>
        <v>56.879515375410747</v>
      </c>
      <c r="NM38" s="391">
        <f t="shared" ca="1" si="1089"/>
        <v>2.3706027807342145</v>
      </c>
      <c r="NN38" s="391">
        <f t="shared" ca="1" si="1089"/>
        <v>-7.9047165536820035E-2</v>
      </c>
      <c r="NO38" s="391">
        <f t="shared" ca="1" si="1089"/>
        <v>12.400680931568711</v>
      </c>
      <c r="NP38" s="391">
        <f t="shared" ca="1" si="1089"/>
        <v>32.585070152967575</v>
      </c>
      <c r="NZ38" s="394"/>
      <c r="OF38" s="386" t="s">
        <v>3305</v>
      </c>
      <c r="OG38" s="387" t="s">
        <v>3079</v>
      </c>
      <c r="OH38" s="391">
        <f ca="1">OH190</f>
        <v>6897.8494617474971</v>
      </c>
      <c r="OI38" s="391">
        <f t="shared" ref="OI38:OO38" ca="1" si="1090">OI190</f>
        <v>89.01277036383722</v>
      </c>
      <c r="OJ38" s="391">
        <f t="shared" ca="1" si="1090"/>
        <v>10.227804145393302</v>
      </c>
      <c r="OK38" s="391">
        <f t="shared" ca="1" si="1090"/>
        <v>6800.4614617474981</v>
      </c>
      <c r="OL38" s="391">
        <f t="shared" ca="1" si="1090"/>
        <v>-7.7653468550014917E-7</v>
      </c>
      <c r="OM38" s="391">
        <f t="shared" ca="1" si="1090"/>
        <v>-20.334017580135438</v>
      </c>
      <c r="ON38" s="391">
        <f t="shared" ca="1" si="1090"/>
        <v>824.29251395089057</v>
      </c>
      <c r="OO38" s="391">
        <f t="shared" ca="1" si="1090"/>
        <v>810.8482239508902</v>
      </c>
      <c r="OY38" s="386" t="s">
        <v>3305</v>
      </c>
      <c r="OZ38" s="387" t="s">
        <v>3079</v>
      </c>
      <c r="PA38" s="391">
        <f ca="1">PA190</f>
        <v>80.935506605884015</v>
      </c>
      <c r="PB38" s="391">
        <f t="shared" ref="PB38:PK38" ca="1" si="1091">PB190</f>
        <v>86.365069786154123</v>
      </c>
      <c r="PC38" s="391">
        <f t="shared" ca="1" si="1091"/>
        <v>6.5547736585398582</v>
      </c>
      <c r="PD38" s="391">
        <f t="shared" ca="1" si="1091"/>
        <v>15.401257073866866</v>
      </c>
      <c r="PE38" s="391">
        <f t="shared" ca="1" si="1091"/>
        <v>218.2961633157602</v>
      </c>
      <c r="PF38" s="391">
        <f t="shared" ca="1" si="1091"/>
        <v>20.266577022762409</v>
      </c>
      <c r="PG38" s="391">
        <f t="shared" ca="1" si="1091"/>
        <v>2.0537065099266223</v>
      </c>
      <c r="PH38" s="391">
        <f t="shared" ca="1" si="1091"/>
        <v>80.813482526553727</v>
      </c>
      <c r="PI38" s="391">
        <f t="shared" ca="1" si="1091"/>
        <v>300.65445042381498</v>
      </c>
      <c r="PJ38" s="391">
        <f t="shared" ca="1" si="1091"/>
        <v>8.4977565728692403E-2</v>
      </c>
      <c r="PK38" s="391">
        <f t="shared" ca="1" si="1091"/>
        <v>89.01277036383722</v>
      </c>
      <c r="PU38" s="386" t="s">
        <v>3305</v>
      </c>
      <c r="PV38" s="387" t="s">
        <v>3079</v>
      </c>
      <c r="PW38" s="391">
        <f ca="1">PW190</f>
        <v>8.4977565728692403E-2</v>
      </c>
      <c r="PX38" s="391">
        <f t="shared" ref="PX38:PZ38" ca="1" si="1092">PX190</f>
        <v>-6.2477596330577489E-3</v>
      </c>
      <c r="PY38" s="391">
        <f t="shared" ca="1" si="1092"/>
        <v>8.4977565728692403E-2</v>
      </c>
      <c r="PZ38" s="391">
        <f t="shared" ca="1" si="1092"/>
        <v>8.4977565728692403E-2</v>
      </c>
    </row>
    <row r="39" spans="1:446" x14ac:dyDescent="0.25">
      <c r="A39" s="1315"/>
      <c r="NZ39" s="896"/>
    </row>
    <row r="40" spans="1:446" x14ac:dyDescent="0.25">
      <c r="A40" s="189" t="s">
        <v>3206</v>
      </c>
      <c r="NZ40" s="896"/>
    </row>
    <row r="41" spans="1:446" x14ac:dyDescent="0.25">
      <c r="A41" s="189">
        <v>2</v>
      </c>
      <c r="B41" s="282" t="s">
        <v>1253</v>
      </c>
      <c r="C41" s="1317" t="s">
        <v>1254</v>
      </c>
      <c r="D41" s="1317" t="s">
        <v>206</v>
      </c>
      <c r="J41" s="1319">
        <f t="shared" ref="J41:K72" ca="1" si="1093">VLOOKUP(J$1,INDIRECT(LU_MAT),$A41,FALSE)</f>
        <v>104166.667</v>
      </c>
      <c r="K41" s="1319">
        <f t="shared" ca="1" si="1093"/>
        <v>104166.667</v>
      </c>
      <c r="T41" s="1319">
        <f t="shared" ref="T41:AD72" ca="1" si="1094">VLOOKUP(T$1,INDIRECT(LU_MAT),$A41,FALSE)</f>
        <v>104166.667</v>
      </c>
      <c r="U41" s="1319">
        <f t="shared" ca="1" si="1094"/>
        <v>140999.443</v>
      </c>
      <c r="V41" s="1319">
        <f t="shared" ca="1" si="1094"/>
        <v>38825.381000000001</v>
      </c>
      <c r="W41" s="1319">
        <f t="shared" ca="1" si="1094"/>
        <v>3491.0177199999998</v>
      </c>
      <c r="X41" s="1319">
        <f t="shared" ca="1" si="1094"/>
        <v>24555.056100000002</v>
      </c>
      <c r="Y41" s="1319">
        <f t="shared" ca="1" si="1094"/>
        <v>312037.44099999999</v>
      </c>
      <c r="Z41" s="1319">
        <f t="shared" ca="1" si="1094"/>
        <v>19796.793000000001</v>
      </c>
      <c r="AA41" s="1319">
        <f t="shared" ca="1" si="1094"/>
        <v>292240.64799999999</v>
      </c>
      <c r="AB41" s="1319">
        <f t="shared" ca="1" si="1094"/>
        <v>1980.28674</v>
      </c>
      <c r="AC41" s="1319">
        <f t="shared" ca="1" si="1094"/>
        <v>36845.0942</v>
      </c>
      <c r="AD41" s="1319">
        <f t="shared" ca="1" si="1094"/>
        <v>1980.6120699999999</v>
      </c>
      <c r="AM41" s="1319">
        <f t="shared" ref="AM41:BB64" ca="1" si="1095">VLOOKUP(AM$1,INDIRECT(LU_MAT),$A41,FALSE)</f>
        <v>140999.443</v>
      </c>
      <c r="AN41" s="1319">
        <f t="shared" ca="1" si="1095"/>
        <v>140999.443</v>
      </c>
      <c r="AO41" s="1319">
        <f t="shared" ref="AO41:AS56" ca="1" si="1096">VLOOKUP(AO$1,INDIRECT(LU_MAT),$A41,FALSE)</f>
        <v>292240.64799999999</v>
      </c>
      <c r="AP41" s="1319">
        <f t="shared" ca="1" si="1096"/>
        <v>292240.64799999999</v>
      </c>
      <c r="AQ41" s="1319">
        <f t="shared" ca="1" si="1096"/>
        <v>13876.749</v>
      </c>
      <c r="AR41" s="1319">
        <f t="shared" ca="1" si="1096"/>
        <v>15874.879800000001</v>
      </c>
      <c r="AS41" s="1319">
        <f t="shared" ca="1" si="1096"/>
        <v>3921.9132100000002</v>
      </c>
      <c r="AT41" s="1319">
        <f t="shared" ca="1" si="1095"/>
        <v>13617.9959</v>
      </c>
      <c r="AU41" s="1319">
        <f t="shared" ca="1" si="1095"/>
        <v>16133.632899999999</v>
      </c>
      <c r="AV41" s="1319">
        <f t="shared" ca="1" si="1095"/>
        <v>278363.89799999999</v>
      </c>
      <c r="AW41" s="1319">
        <f t="shared" ca="1" si="1095"/>
        <v>13617.9959</v>
      </c>
      <c r="AX41" s="1319">
        <f t="shared" ca="1" si="1095"/>
        <v>33673.542000000001</v>
      </c>
      <c r="AY41" s="1319">
        <f t="shared" ca="1" si="1095"/>
        <v>1050.8174799999999</v>
      </c>
      <c r="AZ41" s="1319">
        <f t="shared" ca="1" si="1095"/>
        <v>150458.399</v>
      </c>
      <c r="BA41" s="1319">
        <f t="shared" ca="1" si="1095"/>
        <v>151509.217</v>
      </c>
      <c r="BB41" s="1319">
        <f t="shared" ca="1" si="1095"/>
        <v>429873.44099999999</v>
      </c>
      <c r="BN41" s="1319">
        <f t="shared" ref="BN41:BR56" ca="1" si="1097">VLOOKUP(BN$1,INDIRECT(LU_MAT),$A41,FALSE)</f>
        <v>44370.961600000002</v>
      </c>
      <c r="BO41" s="1319">
        <f t="shared" ca="1" si="1097"/>
        <v>42638.759899999997</v>
      </c>
      <c r="BP41" s="1319">
        <f t="shared" ca="1" si="1097"/>
        <v>1969.1759100000002</v>
      </c>
      <c r="BQ41" s="1319">
        <f t="shared" ca="1" si="1097"/>
        <v>210.78478899999999</v>
      </c>
      <c r="BR41" s="1319">
        <f t="shared" ca="1" si="1097"/>
        <v>26.1890933</v>
      </c>
      <c r="CD41" s="1319">
        <f t="shared" ref="CD41:CO56" ca="1" si="1098">VLOOKUP(CD$1,INDIRECT(LU_MAT),$A41,FALSE)</f>
        <v>429873.44099999999</v>
      </c>
      <c r="CE41" s="1319">
        <f t="shared" ca="1" si="1098"/>
        <v>429873.44099999999</v>
      </c>
      <c r="CF41" s="1319">
        <f t="shared" ca="1" si="1098"/>
        <v>44370.961600000002</v>
      </c>
      <c r="CG41" s="1319">
        <f t="shared" ca="1" si="1098"/>
        <v>42638.759899999997</v>
      </c>
      <c r="CH41" s="1319">
        <f t="shared" ca="1" si="1098"/>
        <v>443709.94699999999</v>
      </c>
      <c r="CI41" s="1319">
        <f t="shared" ca="1" si="1098"/>
        <v>948.53155000000004</v>
      </c>
      <c r="CJ41" s="1319">
        <f t="shared" ca="1" si="1098"/>
        <v>116.09195099999999</v>
      </c>
      <c r="CK41" s="1319">
        <f t="shared" ca="1" si="1098"/>
        <v>423862.61099999998</v>
      </c>
      <c r="CL41" s="1319">
        <f t="shared" ca="1" si="1098"/>
        <v>19179.428500000002</v>
      </c>
      <c r="CM41" s="1319">
        <f t="shared" ca="1" si="1098"/>
        <v>13836.505999999999</v>
      </c>
      <c r="CN41" s="1319">
        <f t="shared" ca="1" si="1098"/>
        <v>451055.005</v>
      </c>
      <c r="CO41" s="1319">
        <f t="shared" ca="1" si="1098"/>
        <v>27192.394899999999</v>
      </c>
      <c r="DA41" s="1319">
        <f t="shared" ref="DA41:DJ56" ca="1" si="1099">VLOOKUP(DA$1,INDIRECT(LU_MAT),$A41,FALSE)</f>
        <v>790.06378199999995</v>
      </c>
      <c r="DB41" s="1319">
        <f t="shared" ca="1" si="1099"/>
        <v>7.86021591</v>
      </c>
      <c r="DC41" s="1319">
        <f t="shared" ca="1" si="1099"/>
        <v>0.489061574</v>
      </c>
      <c r="DD41" s="1319">
        <f t="shared" ca="1" si="1099"/>
        <v>5.7200563799999999</v>
      </c>
      <c r="DE41" s="1319">
        <f t="shared" ca="1" si="1099"/>
        <v>769.70881299999996</v>
      </c>
      <c r="DF41" s="1319">
        <f t="shared" ca="1" si="1099"/>
        <v>1585.9873700000001</v>
      </c>
      <c r="DG41" s="1319">
        <f t="shared" ca="1" si="1099"/>
        <v>32582.828799999999</v>
      </c>
      <c r="DH41" s="1319">
        <f t="shared" ca="1" si="1099"/>
        <v>32582.828799999999</v>
      </c>
      <c r="DI41" s="1319">
        <f t="shared" ca="1" si="1099"/>
        <v>31031.265499999998</v>
      </c>
      <c r="DJ41" s="1319">
        <f t="shared" ca="1" si="1099"/>
        <v>1551.5632800000001</v>
      </c>
      <c r="DV41" s="1319">
        <f t="shared" ref="DV41:EK56" ca="1" si="1100">VLOOKUP(DV$1,INDIRECT(LU_MAT),$A41,FALSE)</f>
        <v>11419.2086</v>
      </c>
      <c r="DW41" s="1319">
        <f t="shared" ca="1" si="1100"/>
        <v>2844.6651299999999</v>
      </c>
      <c r="DX41" s="1319">
        <f t="shared" ca="1" si="1100"/>
        <v>15801.275600000003</v>
      </c>
      <c r="DY41" s="1319">
        <f t="shared" ca="1" si="1100"/>
        <v>790.06378199999995</v>
      </c>
      <c r="DZ41" s="1319">
        <f t="shared" ca="1" si="1100"/>
        <v>0.489061574</v>
      </c>
      <c r="EA41" s="1319">
        <f t="shared" ca="1" si="1100"/>
        <v>769.70881299999996</v>
      </c>
      <c r="EB41" s="1319">
        <f t="shared" ca="1" si="1100"/>
        <v>15011.2119</v>
      </c>
      <c r="EC41" s="1319">
        <f t="shared" ca="1" si="1100"/>
        <v>223.98470399999999</v>
      </c>
      <c r="ED41" s="1319">
        <f t="shared" ca="1" si="1100"/>
        <v>13836.505999999999</v>
      </c>
      <c r="EE41" s="1319">
        <f t="shared" ca="1" si="1100"/>
        <v>31801.300599999999</v>
      </c>
      <c r="EF41" s="1319">
        <f t="shared" ca="1" si="1100"/>
        <v>67.352044000000006</v>
      </c>
      <c r="EG41" s="1319">
        <f t="shared" ca="1" si="1100"/>
        <v>109.253077</v>
      </c>
      <c r="EH41" s="1319">
        <f t="shared" ca="1" si="1100"/>
        <v>16.4154968</v>
      </c>
      <c r="EI41" s="1319">
        <f t="shared" ca="1" si="1100"/>
        <v>156.63265999999999</v>
      </c>
      <c r="EJ41" s="1319">
        <f t="shared" ref="EJ41:EJ104" ca="1" si="1101">VLOOKUP(EJ$1,INDIRECT(LU_MAT),$A41,FALSE)</f>
        <v>13.357518000000001</v>
      </c>
      <c r="EK41" s="1319">
        <f t="shared" ca="1" si="1100"/>
        <v>31031.265499999998</v>
      </c>
      <c r="EW41" s="1319">
        <f t="shared" ref="EW41:FB56" ca="1" si="1102">VLOOKUP(EW$1,INDIRECT(LU_MAT),$A41,FALSE)</f>
        <v>451055.005</v>
      </c>
      <c r="EX41" s="1319">
        <f t="shared" ca="1" si="1102"/>
        <v>451055.005</v>
      </c>
      <c r="EY41" s="1319">
        <f t="shared" ca="1" si="1102"/>
        <v>391789.30499999999</v>
      </c>
      <c r="EZ41" s="1319">
        <f t="shared" ca="1" si="1102"/>
        <v>391789.30499999999</v>
      </c>
      <c r="FA41" s="1319">
        <f t="shared" ca="1" si="1102"/>
        <v>610.62466600000005</v>
      </c>
      <c r="FB41" s="1319">
        <f t="shared" ca="1" si="1102"/>
        <v>58655.076299999993</v>
      </c>
      <c r="FN41" s="1319">
        <f t="shared" ref="FN41:FX56" ca="1" si="1103">VLOOKUP(FN$1,INDIRECT(LU_MAT),$A41,FALSE)</f>
        <v>1969.1759100000002</v>
      </c>
      <c r="FO41" s="1319">
        <f t="shared" ca="1" si="1103"/>
        <v>19179.428500000002</v>
      </c>
      <c r="FP41" s="1319">
        <f t="shared" ca="1" si="1103"/>
        <v>610.62466600000005</v>
      </c>
      <c r="FQ41" s="1319">
        <f t="shared" ca="1" si="1103"/>
        <v>58655.076299999993</v>
      </c>
      <c r="FR41" s="1319">
        <f t="shared" ca="1" si="1103"/>
        <v>29172.843199999999</v>
      </c>
      <c r="FS41" s="1319">
        <f t="shared" ca="1" si="1103"/>
        <v>36845.0942</v>
      </c>
      <c r="FT41" s="1319">
        <f t="shared" ca="1" si="1103"/>
        <v>7362.8612899999998</v>
      </c>
      <c r="FU41" s="1319">
        <f t="shared" ca="1" si="1103"/>
        <v>21759.228999999999</v>
      </c>
      <c r="FV41" s="1319">
        <f t="shared" ca="1" si="1103"/>
        <v>26830.853200000001</v>
      </c>
      <c r="FW41" s="1319">
        <f t="shared" ca="1" si="1103"/>
        <v>21397.687300000001</v>
      </c>
      <c r="FX41" s="1319">
        <f t="shared" ca="1" si="1103"/>
        <v>27192.394899999999</v>
      </c>
      <c r="GJ41" s="1319">
        <f t="shared" ref="GJ41:GQ56" ca="1" si="1104">VLOOKUP(GJ$1,INDIRECT(LU_MAT),$A41,FALSE)</f>
        <v>29172.843199999999</v>
      </c>
      <c r="GK41" s="1319">
        <f t="shared" ca="1" si="1104"/>
        <v>29172.843199999999</v>
      </c>
      <c r="GL41" s="1319">
        <f t="shared" ca="1" si="1104"/>
        <v>7362.85646</v>
      </c>
      <c r="GM41" s="1319">
        <f t="shared" ca="1" si="1104"/>
        <v>21809.986700000001</v>
      </c>
      <c r="GN41" s="1319">
        <f t="shared" ca="1" si="1104"/>
        <v>21809.986700000001</v>
      </c>
      <c r="GO41" s="1319">
        <f t="shared" ca="1" si="1104"/>
        <v>7362.85646</v>
      </c>
      <c r="GP41" s="1319">
        <f t="shared" ca="1" si="1104"/>
        <v>21809.986700000001</v>
      </c>
      <c r="GQ41" s="1319">
        <f t="shared" ca="1" si="1104"/>
        <v>7362.8612899999998</v>
      </c>
      <c r="HC41" s="1319">
        <f t="shared" ref="HC41:HH56" ca="1" si="1105">VLOOKUP(HC$1,INDIRECT(LU_MAT),$A41,FALSE)</f>
        <v>391789.30499999999</v>
      </c>
      <c r="HD41" s="1319">
        <f t="shared" ca="1" si="1105"/>
        <v>355313.18800000002</v>
      </c>
      <c r="HE41" s="1319">
        <f t="shared" ca="1" si="1105"/>
        <v>12113.951800000001</v>
      </c>
      <c r="HF41" s="1319">
        <f t="shared" ca="1" si="1105"/>
        <v>12052.6684</v>
      </c>
      <c r="HG41" s="1319">
        <f t="shared" ca="1" si="1105"/>
        <v>36537.4012</v>
      </c>
      <c r="HH41" s="1319">
        <f t="shared" ca="1" si="1105"/>
        <v>355313.18800000002</v>
      </c>
      <c r="HT41" s="1319">
        <f t="shared" ref="HT41:IE56" ca="1" si="1106">VLOOKUP(HT$1,INDIRECT(LU_MAT),$A41,FALSE)</f>
        <v>33673.542000000001</v>
      </c>
      <c r="HU41" s="1319">
        <f t="shared" ca="1" si="1106"/>
        <v>355313.18800000002</v>
      </c>
      <c r="HV41" s="1319">
        <f t="shared" ca="1" si="1106"/>
        <v>411491.266</v>
      </c>
      <c r="HW41" s="1319">
        <f t="shared" ca="1" si="1106"/>
        <v>411491.266</v>
      </c>
      <c r="HX41" s="1319">
        <f t="shared" ca="1" si="1106"/>
        <v>361079.29</v>
      </c>
      <c r="HY41" s="1319">
        <f t="shared" ca="1" si="1106"/>
        <v>28572.065299999998</v>
      </c>
      <c r="HZ41" s="1319">
        <f t="shared" ca="1" si="1106"/>
        <v>21861.0072</v>
      </c>
      <c r="IA41" s="1319">
        <f t="shared" ca="1" si="1106"/>
        <v>21.092107800000001</v>
      </c>
      <c r="IB41" s="1319">
        <f t="shared" ca="1" si="1106"/>
        <v>4682.04054</v>
      </c>
      <c r="IC41" s="1319">
        <f t="shared" ca="1" si="1106"/>
        <v>147136.25899999999</v>
      </c>
      <c r="ID41" s="1319">
        <f t="shared" ca="1" si="1106"/>
        <v>147136.25899999999</v>
      </c>
      <c r="IE41" s="1319">
        <f t="shared" ca="1" si="1106"/>
        <v>17677.4961</v>
      </c>
      <c r="IQ41" s="1319">
        <f t="shared" ref="IQ41:JH56" ca="1" si="1107">VLOOKUP(IQ$1,INDIRECT(LU_MAT),$A41,FALSE)</f>
        <v>361079.29</v>
      </c>
      <c r="IR41" s="1319">
        <f t="shared" ca="1" si="1107"/>
        <v>28572.065299999998</v>
      </c>
      <c r="IS41" s="1319">
        <f t="shared" ca="1" si="1107"/>
        <v>90535.697700000004</v>
      </c>
      <c r="IT41" s="1319">
        <f t="shared" ca="1" si="1107"/>
        <v>119107.76300000002</v>
      </c>
      <c r="IU41" s="1319">
        <f t="shared" ref="IU41:IU104" ca="1" si="1108">VLOOKUP(IU$1,INDIRECT(LU_MAT),$A41,FALSE)</f>
        <v>109347.728</v>
      </c>
      <c r="IV41" s="1319">
        <f t="shared" ca="1" si="1107"/>
        <v>2649972.5</v>
      </c>
      <c r="IW41" s="1319">
        <f t="shared" ca="1" si="1107"/>
        <v>2172856.75</v>
      </c>
      <c r="IX41" s="1319">
        <f t="shared" ref="IX41:IX104" ca="1" si="1109">VLOOKUP(IX$1,INDIRECT(LU_MAT),$A41,FALSE)</f>
        <v>220999.43700000001</v>
      </c>
      <c r="IY41" s="1319">
        <f t="shared" ca="1" si="1107"/>
        <v>9760.0353699999996</v>
      </c>
      <c r="IZ41" s="1319">
        <f t="shared" ca="1" si="1107"/>
        <v>386582.93</v>
      </c>
      <c r="JA41" s="1319">
        <f t="shared" ca="1" si="1107"/>
        <v>2263392.44</v>
      </c>
      <c r="JB41" s="1319">
        <f t="shared" ca="1" si="1107"/>
        <v>376640.16100000002</v>
      </c>
      <c r="JC41" s="1319">
        <f t="shared" ca="1" si="1107"/>
        <v>9921.6759700000002</v>
      </c>
      <c r="JD41" s="1319">
        <f t="shared" ca="1" si="1107"/>
        <v>305287.01400000002</v>
      </c>
      <c r="JE41" s="1319">
        <f t="shared" ca="1" si="1107"/>
        <v>81295.915800000002</v>
      </c>
      <c r="JF41" s="1319">
        <f t="shared" ca="1" si="1107"/>
        <v>223184.03400000001</v>
      </c>
      <c r="JG41" s="1319">
        <f t="shared" ca="1" si="1107"/>
        <v>4504.1320500000002</v>
      </c>
      <c r="JH41" s="1319">
        <f t="shared" ca="1" si="1107"/>
        <v>21.092107800000001</v>
      </c>
      <c r="JT41" s="1319">
        <f t="shared" ref="JT41:KC56" ca="1" si="1110">VLOOKUP(JT$1,INDIRECT(LU_MAT),$A41,FALSE)</f>
        <v>210.78478899999999</v>
      </c>
      <c r="JU41" s="1319">
        <f t="shared" ca="1" si="1110"/>
        <v>948.53155000000004</v>
      </c>
      <c r="JV41" s="1319">
        <f t="shared" ca="1" si="1110"/>
        <v>7.86021591</v>
      </c>
      <c r="JW41" s="1319">
        <f t="shared" ca="1" si="1110"/>
        <v>156.63265999999999</v>
      </c>
      <c r="JX41" s="1319">
        <f t="shared" ca="1" si="1110"/>
        <v>21809.986700000001</v>
      </c>
      <c r="JY41" s="1319">
        <f t="shared" ca="1" si="1110"/>
        <v>464.95049399999994</v>
      </c>
      <c r="JZ41" s="1319">
        <f t="shared" ca="1" si="1110"/>
        <v>22274.9372</v>
      </c>
      <c r="KA41" s="1319">
        <f t="shared" ca="1" si="1110"/>
        <v>1980.6120699999999</v>
      </c>
      <c r="KB41" s="1319">
        <f t="shared" ca="1" si="1110"/>
        <v>8022.0755900000004</v>
      </c>
      <c r="KC41" s="1319">
        <f t="shared" ca="1" si="1110"/>
        <v>1323.8092200000001</v>
      </c>
      <c r="KL41" s="1319">
        <f t="shared" ref="KL41:KR56" ca="1" si="1111">VLOOKUP(KL$1,INDIRECT(LU_MAT),$A41,FALSE)</f>
        <v>1050.8174799999999</v>
      </c>
      <c r="KM41" s="1319">
        <f t="shared" ca="1" si="1111"/>
        <v>26.1890933</v>
      </c>
      <c r="KN41" s="1319">
        <f t="shared" ca="1" si="1111"/>
        <v>116.09195099999999</v>
      </c>
      <c r="KO41" s="1319">
        <f t="shared" ca="1" si="1111"/>
        <v>5.7200563799999999</v>
      </c>
      <c r="KP41" s="1319">
        <f t="shared" ca="1" si="1111"/>
        <v>109.253077</v>
      </c>
      <c r="KQ41" s="1319">
        <f t="shared" ca="1" si="1111"/>
        <v>1165.79061</v>
      </c>
      <c r="KR41" s="1319">
        <f t="shared" ca="1" si="1111"/>
        <v>142.28104400000001</v>
      </c>
      <c r="LA41" s="1319">
        <f t="shared" ref="LA41:LK56" ca="1" si="1112">VLOOKUP(LA$1,INDIRECT(LU_MAT),$A41,FALSE)</f>
        <v>12052.6684</v>
      </c>
      <c r="LB41" s="1319">
        <f t="shared" ca="1" si="1112"/>
        <v>21861.0072</v>
      </c>
      <c r="LC41" s="1319">
        <f t="shared" ca="1" si="1112"/>
        <v>318408.56599999999</v>
      </c>
      <c r="LD41" s="1319">
        <f t="shared" ca="1" si="1112"/>
        <v>318408.56599999999</v>
      </c>
      <c r="LE41" s="1319">
        <f t="shared" ca="1" si="1112"/>
        <v>284494.891</v>
      </c>
      <c r="LF41" s="1319">
        <f t="shared" ca="1" si="1112"/>
        <v>364705.984</v>
      </c>
      <c r="LG41" s="1319">
        <f t="shared" ca="1" si="1112"/>
        <v>364705.984</v>
      </c>
      <c r="LH41" s="1319">
        <f t="shared" ca="1" si="1112"/>
        <v>5724.06574</v>
      </c>
      <c r="LI41" s="1319">
        <f t="shared" ca="1" si="1112"/>
        <v>363454.174</v>
      </c>
      <c r="LJ41" s="1319">
        <f t="shared" ca="1" si="1112"/>
        <v>3577.80519</v>
      </c>
      <c r="LK41" s="1319">
        <f t="shared" ca="1" si="1112"/>
        <v>894.45129599999996</v>
      </c>
      <c r="LW41" s="1319">
        <f t="shared" ref="LW41:LW104" ca="1" si="1113">VLOOKUP(LW$1,INDIRECT(LU_MAT),$A41,FALSE)</f>
        <v>3491.0177199999998</v>
      </c>
      <c r="LX41" s="1319">
        <f t="shared" ref="LX41:MO56" ca="1" si="1114">VLOOKUP(LX$1,INDIRECT(LU_MAT),$A41,FALSE)</f>
        <v>24555.056100000002</v>
      </c>
      <c r="LY41" s="1319">
        <f t="shared" ca="1" si="1114"/>
        <v>36537.4012</v>
      </c>
      <c r="LZ41" s="1319">
        <f t="shared" ca="1" si="1114"/>
        <v>9760.0353699999996</v>
      </c>
      <c r="MA41" s="1319">
        <f t="shared" ca="1" si="1114"/>
        <v>46297.436600000001</v>
      </c>
      <c r="MB41" s="1319">
        <f t="shared" ca="1" si="1114"/>
        <v>318408.56599999999</v>
      </c>
      <c r="MC41" s="1319">
        <f t="shared" ca="1" si="1114"/>
        <v>364705.984</v>
      </c>
      <c r="MD41" s="1319">
        <f t="shared" ca="1" si="1114"/>
        <v>234812.967</v>
      </c>
      <c r="ME41" s="1319">
        <f t="shared" ca="1" si="1114"/>
        <v>30113.032100000004</v>
      </c>
      <c r="MF41" s="1319">
        <f t="shared" ca="1" si="1114"/>
        <v>242073.72100000002</v>
      </c>
      <c r="MG41" s="1319">
        <f t="shared" ca="1" si="1114"/>
        <v>242075.22399999999</v>
      </c>
      <c r="MH41" s="1319">
        <f t="shared" ref="MH41:MI56" ca="1" si="1115">VLOOKUP(MH$1,INDIRECT(LU_MAT),$A41,FALSE)</f>
        <v>75054.059099999999</v>
      </c>
      <c r="MI41" s="1319">
        <f t="shared" ca="1" si="1115"/>
        <v>105.503152</v>
      </c>
      <c r="MJ41" s="1319">
        <f t="shared" ca="1" si="1114"/>
        <v>101494.299</v>
      </c>
      <c r="MK41" s="1319">
        <f t="shared" ca="1" si="1114"/>
        <v>101494.299</v>
      </c>
      <c r="ML41" s="1319">
        <f t="shared" ca="1" si="1114"/>
        <v>101494.299</v>
      </c>
      <c r="MM41" s="1319">
        <f t="shared" ca="1" si="1114"/>
        <v>4682.04054</v>
      </c>
      <c r="MN41" s="1319">
        <f t="shared" ca="1" si="1114"/>
        <v>30113.032100000004</v>
      </c>
      <c r="MO41" s="1319">
        <f t="shared" ca="1" si="1114"/>
        <v>9.9999999999999995E-8</v>
      </c>
      <c r="NA41" s="1319">
        <f t="shared" ref="NA41:NP56" ca="1" si="1116">VLOOKUP(NA$1,INDIRECT(LU_MAT),$A41,FALSE)</f>
        <v>19796.793000000001</v>
      </c>
      <c r="NB41" s="1319">
        <f t="shared" ca="1" si="1116"/>
        <v>15874.879800000001</v>
      </c>
      <c r="NC41" s="1319">
        <f t="shared" ca="1" si="1116"/>
        <v>3921.9132100000002</v>
      </c>
      <c r="ND41" s="1319">
        <f t="shared" ca="1" si="1116"/>
        <v>35306.827799999999</v>
      </c>
      <c r="NE41" s="1319">
        <f t="shared" ca="1" si="1116"/>
        <v>206661.39</v>
      </c>
      <c r="NF41" s="1319">
        <f t="shared" ca="1" si="1116"/>
        <v>241968.21799999999</v>
      </c>
      <c r="NG41" s="1319">
        <f t="shared" ca="1" si="1116"/>
        <v>35306.827799999999</v>
      </c>
      <c r="NH41" s="1319">
        <f t="shared" ca="1" si="1116"/>
        <v>0</v>
      </c>
      <c r="NI41" s="1319">
        <f t="shared" ca="1" si="1116"/>
        <v>242073.72100000002</v>
      </c>
      <c r="NJ41" s="1319">
        <f t="shared" ca="1" si="1116"/>
        <v>242073.72100000002</v>
      </c>
      <c r="NK41" s="1319">
        <f t="shared" ca="1" si="1116"/>
        <v>105.503152</v>
      </c>
      <c r="NL41" s="1319">
        <f t="shared" ca="1" si="1116"/>
        <v>101494.299</v>
      </c>
      <c r="NM41" s="1319">
        <f t="shared" ca="1" si="1116"/>
        <v>4682.04054</v>
      </c>
      <c r="NN41" s="1319">
        <f t="shared" ca="1" si="1116"/>
        <v>2580.6417799999999</v>
      </c>
      <c r="NO41" s="1319">
        <f t="shared" ca="1" si="1116"/>
        <v>30113.032100000004</v>
      </c>
      <c r="NP41" s="1319">
        <f t="shared" ca="1" si="1116"/>
        <v>75054.059099999999</v>
      </c>
      <c r="NZ41" s="896"/>
      <c r="OH41" s="1319">
        <f t="shared" ref="OH41:OO56" ca="1" si="1117">VLOOKUP(OH$1,INDIRECT(LU_MAT),$A41,FALSE)</f>
        <v>11922358.800000001</v>
      </c>
      <c r="OI41" s="1319">
        <f t="shared" ca="1" si="1117"/>
        <v>155038.88399999999</v>
      </c>
      <c r="OJ41" s="1319">
        <f t="shared" ca="1" si="1117"/>
        <v>17676.124199999998</v>
      </c>
      <c r="OK41" s="1319">
        <f t="shared" ca="1" si="1117"/>
        <v>11922358.800000001</v>
      </c>
      <c r="OL41" s="1319">
        <f t="shared" ca="1" si="1117"/>
        <v>6548549.3700000001</v>
      </c>
      <c r="OM41" s="1319">
        <f t="shared" ca="1" si="1117"/>
        <v>6686825.3399999999</v>
      </c>
      <c r="ON41" s="1319">
        <f t="shared" ca="1" si="1117"/>
        <v>1373006.62</v>
      </c>
      <c r="OO41" s="1319">
        <f t="shared" ca="1" si="1117"/>
        <v>1373006.62</v>
      </c>
      <c r="PA41" s="1319">
        <f t="shared" ref="PA41:PK56" ca="1" si="1118">VLOOKUP(PA$1,INDIRECT(LU_MAT),$A41,FALSE)</f>
        <v>140999.443</v>
      </c>
      <c r="PB41" s="1319">
        <f t="shared" ca="1" si="1118"/>
        <v>150458.399</v>
      </c>
      <c r="PC41" s="1319">
        <f t="shared" ca="1" si="1118"/>
        <v>11419.2086</v>
      </c>
      <c r="PD41" s="1319">
        <f t="shared" ca="1" si="1118"/>
        <v>26830.853200000001</v>
      </c>
      <c r="PE41" s="1319">
        <f t="shared" ca="1" si="1118"/>
        <v>376640.16100000002</v>
      </c>
      <c r="PF41" s="1319">
        <f t="shared" ca="1" si="1118"/>
        <v>35306.827799999999</v>
      </c>
      <c r="PG41" s="1319">
        <f t="shared" ca="1" si="1118"/>
        <v>3577.80519</v>
      </c>
      <c r="PH41" s="1319">
        <f t="shared" ca="1" si="1118"/>
        <v>147136.25899999999</v>
      </c>
      <c r="PI41" s="1319">
        <f t="shared" ca="1" si="1118"/>
        <v>523776.42099999991</v>
      </c>
      <c r="PJ41" s="1319">
        <f t="shared" ca="1" si="1118"/>
        <v>145</v>
      </c>
      <c r="PK41" s="1319">
        <f t="shared" ca="1" si="1118"/>
        <v>155038.88399999999</v>
      </c>
      <c r="PW41" s="1319">
        <f t="shared" ref="PW41:PZ56" ca="1" si="1119">VLOOKUP(PW$1,INDIRECT(LU_MAT),$A41,FALSE)</f>
        <v>145</v>
      </c>
      <c r="PX41" s="1319">
        <f t="shared" ca="1" si="1119"/>
        <v>145</v>
      </c>
      <c r="PY41" s="1319">
        <f t="shared" ca="1" si="1119"/>
        <v>145</v>
      </c>
      <c r="PZ41" s="1319">
        <f t="shared" ca="1" si="1119"/>
        <v>145</v>
      </c>
    </row>
    <row r="42" spans="1:446" x14ac:dyDescent="0.25">
      <c r="A42" s="189">
        <v>3</v>
      </c>
      <c r="B42" s="282" t="s">
        <v>1253</v>
      </c>
      <c r="C42" s="1317" t="s">
        <v>1255</v>
      </c>
      <c r="D42" s="1317" t="s">
        <v>66</v>
      </c>
      <c r="J42" s="1319">
        <f t="shared" ca="1" si="1093"/>
        <v>-194.94873999999999</v>
      </c>
      <c r="K42" s="1319">
        <f t="shared" ref="K42:K48" ca="1" si="1120">VLOOKUP(K$1,INDIRECT(LU_MAT),$A42,FALSE)</f>
        <v>-194.94873999999999</v>
      </c>
      <c r="T42" s="1319">
        <f t="shared" ca="1" si="1094"/>
        <v>-194.94873999999999</v>
      </c>
      <c r="U42" s="1319">
        <f t="shared" ca="1" si="1094"/>
        <v>-524.34601099999998</v>
      </c>
      <c r="V42" s="1319">
        <f t="shared" ca="1" si="1094"/>
        <v>-139.747615</v>
      </c>
      <c r="W42" s="1319">
        <f t="shared" ca="1" si="1094"/>
        <v>-10.8038519</v>
      </c>
      <c r="X42" s="1319">
        <f t="shared" ca="1" si="1094"/>
        <v>-75.991934200000003</v>
      </c>
      <c r="Y42" s="1319">
        <f t="shared" ca="1" si="1094"/>
        <v>-942.39840100000015</v>
      </c>
      <c r="Z42" s="1319">
        <f t="shared" ca="1" si="1094"/>
        <v>-62.008616500000002</v>
      </c>
      <c r="AA42" s="1319">
        <f t="shared" ca="1" si="1094"/>
        <v>-880.18866800000001</v>
      </c>
      <c r="AB42" s="1319">
        <f t="shared" ca="1" si="1094"/>
        <v>-4.0847868399999996</v>
      </c>
      <c r="AC42" s="1319">
        <f t="shared" ca="1" si="1094"/>
        <v>-135.66282799999999</v>
      </c>
      <c r="AD42" s="1319">
        <f t="shared" ca="1" si="1094"/>
        <v>-4.0858639200000004</v>
      </c>
      <c r="AM42" s="1319">
        <f t="shared" ca="1" si="1095"/>
        <v>-532.99097099999994</v>
      </c>
      <c r="AN42" s="1319">
        <f t="shared" ca="1" si="1095"/>
        <v>-524.34601099999998</v>
      </c>
      <c r="AO42" s="1319">
        <f t="shared" ca="1" si="1096"/>
        <v>-880.18866800000001</v>
      </c>
      <c r="AP42" s="1319">
        <f t="shared" ca="1" si="1096"/>
        <v>-880.07946800000002</v>
      </c>
      <c r="AQ42" s="1319">
        <f t="shared" ca="1" si="1096"/>
        <v>-43.680701800000001</v>
      </c>
      <c r="AR42" s="1319">
        <f t="shared" ca="1" si="1096"/>
        <v>-49.753479300000002</v>
      </c>
      <c r="AS42" s="1319">
        <f t="shared" ca="1" si="1096"/>
        <v>-14.516941900000003</v>
      </c>
      <c r="AT42" s="1319">
        <f t="shared" ca="1" si="1095"/>
        <v>-42.387791200000002</v>
      </c>
      <c r="AU42" s="1319">
        <f t="shared" ca="1" si="1095"/>
        <v>-59.691350100000001</v>
      </c>
      <c r="AV42" s="1319">
        <f t="shared" ca="1" si="1095"/>
        <v>-836.15501500000005</v>
      </c>
      <c r="AW42" s="1319">
        <f t="shared" ca="1" si="1095"/>
        <v>-49.629264200000001</v>
      </c>
      <c r="AX42" s="1319">
        <f t="shared" ca="1" si="1095"/>
        <v>-123.83755600000002</v>
      </c>
      <c r="AY42" s="1319">
        <f t="shared" ca="1" si="1095"/>
        <v>-0.97687990700000016</v>
      </c>
      <c r="AZ42" s="1319">
        <f t="shared" ca="1" si="1095"/>
        <v>-568.74670400000002</v>
      </c>
      <c r="BA42" s="1319">
        <f t="shared" ca="1" si="1095"/>
        <v>-569.72358399999996</v>
      </c>
      <c r="BB42" s="1319">
        <f t="shared" ca="1" si="1095"/>
        <v>-1405.6793600000001</v>
      </c>
      <c r="BN42" s="1319">
        <f t="shared" ca="1" si="1097"/>
        <v>-147.183818</v>
      </c>
      <c r="BO42" s="1319">
        <f t="shared" ca="1" si="1097"/>
        <v>-143.93989199999999</v>
      </c>
      <c r="BP42" s="1319">
        <f t="shared" ca="1" si="1097"/>
        <v>-4.1772827799999996</v>
      </c>
      <c r="BQ42" s="1319">
        <f t="shared" ca="1" si="1097"/>
        <v>-0.536997167</v>
      </c>
      <c r="BR42" s="1319">
        <f t="shared" ca="1" si="1097"/>
        <v>-5.6333817000000001E-2</v>
      </c>
      <c r="CD42" s="1319">
        <f t="shared" ca="1" si="1098"/>
        <v>-1405.6793600000001</v>
      </c>
      <c r="CE42" s="1319">
        <f t="shared" ca="1" si="1098"/>
        <v>-1416.31816</v>
      </c>
      <c r="CF42" s="1319">
        <f t="shared" ca="1" si="1098"/>
        <v>-147.183818</v>
      </c>
      <c r="CG42" s="1319">
        <f t="shared" ca="1" si="1098"/>
        <v>-143.93989199999999</v>
      </c>
      <c r="CH42" s="1319">
        <f t="shared" ca="1" si="1098"/>
        <v>-1466.25468</v>
      </c>
      <c r="CI42" s="1319">
        <f t="shared" ca="1" si="1098"/>
        <v>-2.4164872499999999</v>
      </c>
      <c r="CJ42" s="1319">
        <f t="shared" ca="1" si="1098"/>
        <v>-0.24971856200000001</v>
      </c>
      <c r="CK42" s="1319">
        <f t="shared" ca="1" si="1098"/>
        <v>-1434.1942899999999</v>
      </c>
      <c r="CL42" s="1319">
        <f t="shared" ca="1" si="1098"/>
        <v>-40.688181999999998</v>
      </c>
      <c r="CM42" s="1319">
        <f t="shared" ca="1" si="1098"/>
        <v>-50.048173900000002</v>
      </c>
      <c r="CN42" s="1319">
        <f t="shared" ca="1" si="1098"/>
        <v>-1535.7954999999999</v>
      </c>
      <c r="CO42" s="1319">
        <f t="shared" ca="1" si="1098"/>
        <v>-101.701004</v>
      </c>
      <c r="DA42" s="1319">
        <f t="shared" ca="1" si="1099"/>
        <v>-2.69750976</v>
      </c>
      <c r="DB42" s="1319">
        <f t="shared" ca="1" si="1099"/>
        <v>-2.00247546E-2</v>
      </c>
      <c r="DC42" s="1319">
        <f t="shared" ca="1" si="1099"/>
        <v>-5.4101447499999998E-4</v>
      </c>
      <c r="DD42" s="1319">
        <f t="shared" ca="1" si="1099"/>
        <v>-3.6734259899999996E-3</v>
      </c>
      <c r="DE42" s="1319">
        <f t="shared" ca="1" si="1099"/>
        <v>-2.7657231000000002</v>
      </c>
      <c r="DF42" s="1319">
        <f t="shared" ca="1" si="1099"/>
        <v>-0.320044473</v>
      </c>
      <c r="DG42" s="1319">
        <f t="shared" ca="1" si="1099"/>
        <v>-2.0458972499999999</v>
      </c>
      <c r="DH42" s="1319">
        <f t="shared" ca="1" si="1099"/>
        <v>-2.0070621399999999</v>
      </c>
      <c r="DI42" s="1319">
        <f t="shared" ca="1" si="1099"/>
        <v>-1.91148775</v>
      </c>
      <c r="DJ42" s="1319">
        <f t="shared" ca="1" si="1099"/>
        <v>-9.5574387699999999E-2</v>
      </c>
      <c r="DV42" s="1319">
        <f t="shared" ca="1" si="1100"/>
        <v>-43.165667599999999</v>
      </c>
      <c r="DW42" s="1319">
        <f t="shared" ca="1" si="1100"/>
        <v>-5.6435249699999996</v>
      </c>
      <c r="DX42" s="1319">
        <f t="shared" ca="1" si="1100"/>
        <v>-53.950195200000003</v>
      </c>
      <c r="DY42" s="1319">
        <f t="shared" ca="1" si="1100"/>
        <v>-2.69750976</v>
      </c>
      <c r="DZ42" s="1319">
        <f t="shared" ca="1" si="1100"/>
        <v>-5.4101447499999998E-4</v>
      </c>
      <c r="EA42" s="1319">
        <f t="shared" ca="1" si="1100"/>
        <v>-2.7657231000000002</v>
      </c>
      <c r="EB42" s="1319">
        <f t="shared" ca="1" si="1100"/>
        <v>-51.252685399999997</v>
      </c>
      <c r="EC42" s="1319">
        <f t="shared" ca="1" si="1100"/>
        <v>-0.50958383500000004</v>
      </c>
      <c r="ED42" s="1319">
        <f t="shared" ca="1" si="1100"/>
        <v>-50.048173900000002</v>
      </c>
      <c r="EE42" s="1319">
        <f t="shared" ca="1" si="1100"/>
        <v>-7.2233814699999996</v>
      </c>
      <c r="EF42" s="1319">
        <f t="shared" ca="1" si="1100"/>
        <v>-0.112479896</v>
      </c>
      <c r="EG42" s="1319">
        <f t="shared" ca="1" si="1100"/>
        <v>-7.01624364E-2</v>
      </c>
      <c r="EH42" s="1319">
        <f t="shared" ca="1" si="1100"/>
        <v>-1.8159311300000001E-2</v>
      </c>
      <c r="EI42" s="1319">
        <f t="shared" ca="1" si="1100"/>
        <v>-0.39903873200000001</v>
      </c>
      <c r="EJ42" s="1319">
        <f t="shared" ca="1" si="1101"/>
        <v>-9.2975344300000005E-3</v>
      </c>
      <c r="EK42" s="1319">
        <f t="shared" ca="1" si="1100"/>
        <v>-1.91148775</v>
      </c>
      <c r="EW42" s="1319">
        <f t="shared" ca="1" si="1102"/>
        <v>-1535.7954999999999</v>
      </c>
      <c r="EX42" s="1319">
        <f t="shared" ca="1" si="1102"/>
        <v>-1506.37609</v>
      </c>
      <c r="EY42" s="1319">
        <f t="shared" ca="1" si="1102"/>
        <v>-1330.3383799999999</v>
      </c>
      <c r="EZ42" s="1319">
        <f t="shared" ca="1" si="1102"/>
        <v>-1359.75773</v>
      </c>
      <c r="FA42" s="1319">
        <f t="shared" ca="1" si="1102"/>
        <v>-1.26255812</v>
      </c>
      <c r="FB42" s="1319">
        <f t="shared" ca="1" si="1102"/>
        <v>-142.14659900000001</v>
      </c>
      <c r="FN42" s="1319">
        <f t="shared" ca="1" si="1103"/>
        <v>-4.1772827799999996</v>
      </c>
      <c r="FO42" s="1319">
        <f t="shared" ca="1" si="1103"/>
        <v>-40.688181999999998</v>
      </c>
      <c r="FP42" s="1319">
        <f t="shared" ca="1" si="1103"/>
        <v>-1.26255812</v>
      </c>
      <c r="FQ42" s="1319">
        <f t="shared" ca="1" si="1103"/>
        <v>-142.14659900000001</v>
      </c>
      <c r="FR42" s="1319">
        <f t="shared" ca="1" si="1103"/>
        <v>-39.143515200000003</v>
      </c>
      <c r="FS42" s="1319">
        <f t="shared" ca="1" si="1103"/>
        <v>-135.66282799999999</v>
      </c>
      <c r="FT42" s="1319">
        <f t="shared" ca="1" si="1103"/>
        <v>-15.116060900000001</v>
      </c>
      <c r="FU42" s="1319">
        <f t="shared" ca="1" si="1103"/>
        <v>-46.128022899999998</v>
      </c>
      <c r="FV42" s="1319">
        <f t="shared" ca="1" si="1103"/>
        <v>-101.423113</v>
      </c>
      <c r="FW42" s="1319">
        <f t="shared" ca="1" si="1103"/>
        <v>-45.846064900000002</v>
      </c>
      <c r="FX42" s="1319">
        <f t="shared" ca="1" si="1103"/>
        <v>-101.701004</v>
      </c>
      <c r="GJ42" s="1319">
        <f t="shared" ca="1" si="1104"/>
        <v>-39.143515200000003</v>
      </c>
      <c r="GK42" s="1319">
        <f t="shared" ca="1" si="1104"/>
        <v>-38.842986400000001</v>
      </c>
      <c r="GL42" s="1319">
        <f t="shared" ca="1" si="1104"/>
        <v>-12.779001600000001</v>
      </c>
      <c r="GM42" s="1319">
        <f t="shared" ca="1" si="1104"/>
        <v>-26.0639848</v>
      </c>
      <c r="GN42" s="1319">
        <f t="shared" ca="1" si="1104"/>
        <v>-31.466227000000003</v>
      </c>
      <c r="GO42" s="1319">
        <f t="shared" ca="1" si="1104"/>
        <v>-15.330411899999998</v>
      </c>
      <c r="GP42" s="1319">
        <f t="shared" ca="1" si="1104"/>
        <v>-26.278355099999999</v>
      </c>
      <c r="GQ42" s="1319">
        <f t="shared" ca="1" si="1104"/>
        <v>-15.116060900000001</v>
      </c>
      <c r="HC42" s="1319">
        <f t="shared" ca="1" si="1105"/>
        <v>-1359.75773</v>
      </c>
      <c r="HD42" s="1319">
        <f t="shared" ca="1" si="1105"/>
        <v>-1283.789</v>
      </c>
      <c r="HE42" s="1319">
        <f t="shared" ca="1" si="1105"/>
        <v>-0.596788019</v>
      </c>
      <c r="HF42" s="1319">
        <f t="shared" ca="1" si="1105"/>
        <v>-0.48020229800000003</v>
      </c>
      <c r="HG42" s="1319">
        <f t="shared" ca="1" si="1105"/>
        <v>-75.9268632</v>
      </c>
      <c r="HH42" s="1319">
        <f t="shared" ca="1" si="1105"/>
        <v>-1283.8577</v>
      </c>
      <c r="HT42" s="1319">
        <f t="shared" ca="1" si="1106"/>
        <v>-123.83755600000002</v>
      </c>
      <c r="HU42" s="1319">
        <f t="shared" ca="1" si="1106"/>
        <v>-1283.789</v>
      </c>
      <c r="HV42" s="1319">
        <f t="shared" ca="1" si="1106"/>
        <v>-1492.46172</v>
      </c>
      <c r="HW42" s="1319">
        <f t="shared" ca="1" si="1106"/>
        <v>-1498.80555</v>
      </c>
      <c r="HX42" s="1319">
        <f t="shared" ca="1" si="1106"/>
        <v>-1353.99053</v>
      </c>
      <c r="HY42" s="1319">
        <f t="shared" ca="1" si="1106"/>
        <v>-104.12535200000001</v>
      </c>
      <c r="HZ42" s="1319">
        <f t="shared" ca="1" si="1106"/>
        <v>-38.821829299999997</v>
      </c>
      <c r="IA42" s="1319">
        <f t="shared" ca="1" si="1106"/>
        <v>-3.6829531899999997E-2</v>
      </c>
      <c r="IB42" s="1319">
        <f t="shared" ca="1" si="1106"/>
        <v>-17.389780999999999</v>
      </c>
      <c r="IC42" s="1319">
        <f t="shared" ca="1" si="1106"/>
        <v>-558.87039600000003</v>
      </c>
      <c r="ID42" s="1319">
        <f t="shared" ca="1" si="1106"/>
        <v>-552.526567</v>
      </c>
      <c r="IE42" s="1319">
        <f t="shared" ca="1" si="1106"/>
        <v>-66.900939800000003</v>
      </c>
      <c r="IQ42" s="1319">
        <f t="shared" ca="1" si="1107"/>
        <v>-1353.99053</v>
      </c>
      <c r="IR42" s="1319">
        <f t="shared" ca="1" si="1107"/>
        <v>-104.12535200000001</v>
      </c>
      <c r="IS42" s="1319">
        <f t="shared" ca="1" si="1107"/>
        <v>-337.63841000000002</v>
      </c>
      <c r="IT42" s="1319">
        <f t="shared" ca="1" si="1107"/>
        <v>-441.55776600000002</v>
      </c>
      <c r="IU42" s="1319">
        <f t="shared" ca="1" si="1108"/>
        <v>-410.22246000000001</v>
      </c>
      <c r="IV42" s="1319">
        <f t="shared" ca="1" si="1107"/>
        <v>-9893.5943499999994</v>
      </c>
      <c r="IW42" s="1319">
        <f t="shared" ca="1" si="1107"/>
        <v>-8103.3218400000005</v>
      </c>
      <c r="IX42" s="1319">
        <f t="shared" ca="1" si="1109"/>
        <v>-22.201983899999998</v>
      </c>
      <c r="IY42" s="1319">
        <f t="shared" ca="1" si="1107"/>
        <v>-31.334807900000001</v>
      </c>
      <c r="IZ42" s="1319">
        <f t="shared" ca="1" si="1107"/>
        <v>-1452.2849699999999</v>
      </c>
      <c r="JA42" s="1319">
        <f t="shared" ca="1" si="1107"/>
        <v>-8441.0244399999992</v>
      </c>
      <c r="JB42" s="1319">
        <f t="shared" ca="1" si="1107"/>
        <v>-1425.7897700000001</v>
      </c>
      <c r="JC42" s="1319">
        <f t="shared" ca="1" si="1107"/>
        <v>-25.3073838</v>
      </c>
      <c r="JD42" s="1319">
        <f t="shared" ca="1" si="1107"/>
        <v>-1156.20092</v>
      </c>
      <c r="JE42" s="1319">
        <f t="shared" ca="1" si="1107"/>
        <v>-296.08048200000002</v>
      </c>
      <c r="JF42" s="1319">
        <f t="shared" ca="1" si="1107"/>
        <v>-14.013872299999999</v>
      </c>
      <c r="JG42" s="1319">
        <f t="shared" ca="1" si="1107"/>
        <v>-12.311196300000001</v>
      </c>
      <c r="JH42" s="1319">
        <f t="shared" ca="1" si="1107"/>
        <v>-3.6829531899999997E-2</v>
      </c>
      <c r="JT42" s="1319">
        <f t="shared" ca="1" si="1110"/>
        <v>-0.53694347499999995</v>
      </c>
      <c r="JU42" s="1319">
        <f t="shared" ca="1" si="1110"/>
        <v>-2.4162456400000001</v>
      </c>
      <c r="JV42" s="1319">
        <f t="shared" ca="1" si="1110"/>
        <v>-2.00247546E-2</v>
      </c>
      <c r="JW42" s="1319">
        <f t="shared" ca="1" si="1110"/>
        <v>-0.39903873200000001</v>
      </c>
      <c r="JX42" s="1319">
        <f t="shared" ca="1" si="1110"/>
        <v>-31.466227000000003</v>
      </c>
      <c r="JY42" s="1319">
        <f t="shared" ca="1" si="1110"/>
        <v>-0.24945980200000001</v>
      </c>
      <c r="JZ42" s="1319">
        <f t="shared" ca="1" si="1110"/>
        <v>-31.973386600000001</v>
      </c>
      <c r="KA42" s="1319">
        <f t="shared" ca="1" si="1110"/>
        <v>-4.0858639200000004</v>
      </c>
      <c r="KB42" s="1319">
        <f t="shared" ca="1" si="1110"/>
        <v>-30.419815</v>
      </c>
      <c r="KC42" s="1319">
        <f t="shared" ca="1" si="1110"/>
        <v>-3.3725479100000002</v>
      </c>
      <c r="KL42" s="1319">
        <f t="shared" ca="1" si="1111"/>
        <v>-0.97687990700000016</v>
      </c>
      <c r="KM42" s="1319">
        <f t="shared" ca="1" si="1111"/>
        <v>-5.6333817000000001E-2</v>
      </c>
      <c r="KN42" s="1319">
        <f t="shared" ca="1" si="1111"/>
        <v>-0.24971856200000001</v>
      </c>
      <c r="KO42" s="1319">
        <f t="shared" ca="1" si="1111"/>
        <v>-3.6734259899999996E-3</v>
      </c>
      <c r="KP42" s="1319">
        <f t="shared" ca="1" si="1111"/>
        <v>-7.01624364E-2</v>
      </c>
      <c r="KQ42" s="1319">
        <f t="shared" ca="1" si="1111"/>
        <v>-1.0837633099999999</v>
      </c>
      <c r="KR42" s="1319">
        <f t="shared" ca="1" si="1111"/>
        <v>-0.30605237899999999</v>
      </c>
      <c r="LA42" s="1319">
        <f t="shared" ca="1" si="1112"/>
        <v>-0.48020229800000003</v>
      </c>
      <c r="LB42" s="1319">
        <f t="shared" ca="1" si="1112"/>
        <v>-38.821829299999997</v>
      </c>
      <c r="LC42" s="1319">
        <f t="shared" ca="1" si="1112"/>
        <v>-57.043212099999998</v>
      </c>
      <c r="LD42" s="1319">
        <f t="shared" ca="1" si="1112"/>
        <v>-43.930918200000001</v>
      </c>
      <c r="LE42" s="1319">
        <f t="shared" ca="1" si="1112"/>
        <v>-17.863621299999998</v>
      </c>
      <c r="LF42" s="1319">
        <f t="shared" ca="1" si="1112"/>
        <v>-306.04311799999999</v>
      </c>
      <c r="LG42" s="1319">
        <f t="shared" ca="1" si="1112"/>
        <v>-319.15541000000002</v>
      </c>
      <c r="LH42" s="1319">
        <f t="shared" ca="1" si="1112"/>
        <v>-14.851019900000001</v>
      </c>
      <c r="LI42" s="1319">
        <f t="shared" ca="1" si="1112"/>
        <v>-320.16415799999999</v>
      </c>
      <c r="LJ42" s="1319">
        <f t="shared" ca="1" si="1112"/>
        <v>-13.528991700000001</v>
      </c>
      <c r="LK42" s="1319">
        <f t="shared" ca="1" si="1112"/>
        <v>-2.8432400900000001</v>
      </c>
      <c r="LW42" s="1319">
        <f t="shared" ca="1" si="1113"/>
        <v>-10.8435855</v>
      </c>
      <c r="LX42" s="1319">
        <f t="shared" ca="1" si="1114"/>
        <v>-76.271411599999993</v>
      </c>
      <c r="LY42" s="1319">
        <f t="shared" ca="1" si="1114"/>
        <v>-75.9268632</v>
      </c>
      <c r="LZ42" s="1319">
        <f t="shared" ca="1" si="1114"/>
        <v>-31.334807900000001</v>
      </c>
      <c r="MA42" s="1319">
        <f t="shared" ca="1" si="1114"/>
        <v>-107.26167100000001</v>
      </c>
      <c r="MB42" s="1319">
        <f t="shared" ca="1" si="1114"/>
        <v>-43.930918200000001</v>
      </c>
      <c r="MC42" s="1319">
        <f t="shared" ca="1" si="1114"/>
        <v>-306.04311799999999</v>
      </c>
      <c r="MD42" s="1319">
        <f t="shared" ca="1" si="1114"/>
        <v>-709.91885500000001</v>
      </c>
      <c r="ME42" s="1319">
        <f t="shared" ca="1" si="1114"/>
        <v>-93.5352563</v>
      </c>
      <c r="MF42" s="1319">
        <f t="shared" ca="1" si="1114"/>
        <v>-895.61671799999999</v>
      </c>
      <c r="MG42" s="1319">
        <f t="shared" ca="1" si="1114"/>
        <v>-880.16466700000001</v>
      </c>
      <c r="MH42" s="1319">
        <f t="shared" ca="1" si="1115"/>
        <v>-234.22453100000004</v>
      </c>
      <c r="MI42" s="1319">
        <f t="shared" ca="1" si="1115"/>
        <v>-0.32924836600000001</v>
      </c>
      <c r="MJ42" s="1319">
        <f t="shared" ca="1" si="1114"/>
        <v>-331.73664200000002</v>
      </c>
      <c r="MK42" s="1319">
        <f t="shared" ca="1" si="1114"/>
        <v>-382.47395699999998</v>
      </c>
      <c r="ML42" s="1319">
        <f t="shared" ca="1" si="1114"/>
        <v>-382.45667700000001</v>
      </c>
      <c r="MM42" s="1319">
        <f t="shared" ca="1" si="1114"/>
        <v>-17.389780999999999</v>
      </c>
      <c r="MN42" s="1319">
        <f t="shared" ca="1" si="1114"/>
        <v>-108.992986</v>
      </c>
      <c r="MO42" s="1319">
        <f t="shared" ca="1" si="1114"/>
        <v>-1.1094597400000002E-10</v>
      </c>
      <c r="NA42" s="1319">
        <f t="shared" ca="1" si="1116"/>
        <v>-62.008616500000002</v>
      </c>
      <c r="NB42" s="1319">
        <f t="shared" ca="1" si="1116"/>
        <v>-49.753479300000002</v>
      </c>
      <c r="NC42" s="1319">
        <f t="shared" ca="1" si="1116"/>
        <v>-14.516941900000003</v>
      </c>
      <c r="ND42" s="1319">
        <f t="shared" ca="1" si="1116"/>
        <v>-133.50773799999999</v>
      </c>
      <c r="NE42" s="1319">
        <f t="shared" ca="1" si="1116"/>
        <v>-764.783861</v>
      </c>
      <c r="NF42" s="1319">
        <f t="shared" ca="1" si="1116"/>
        <v>-896.09744999999998</v>
      </c>
      <c r="NG42" s="1319">
        <f t="shared" ca="1" si="1116"/>
        <v>-131.32166599999999</v>
      </c>
      <c r="NH42" s="1319">
        <f t="shared" ca="1" si="1116"/>
        <v>0</v>
      </c>
      <c r="NI42" s="1319">
        <f t="shared" ca="1" si="1116"/>
        <v>-896.09785299999999</v>
      </c>
      <c r="NJ42" s="1319">
        <f t="shared" ca="1" si="1116"/>
        <v>-895.61671799999999</v>
      </c>
      <c r="NK42" s="1319">
        <f t="shared" ca="1" si="1116"/>
        <v>-0.32924836600000001</v>
      </c>
      <c r="NL42" s="1319">
        <f t="shared" ca="1" si="1116"/>
        <v>-382.45667700000001</v>
      </c>
      <c r="NM42" s="1319">
        <f t="shared" ca="1" si="1116"/>
        <v>-17.389780999999999</v>
      </c>
      <c r="NN42" s="1319">
        <f t="shared" ca="1" si="1116"/>
        <v>-8.1949362200000007</v>
      </c>
      <c r="NO42" s="1319">
        <f t="shared" ca="1" si="1116"/>
        <v>-108.992986</v>
      </c>
      <c r="NP42" s="1319">
        <f t="shared" ca="1" si="1116"/>
        <v>-273.34121299999998</v>
      </c>
      <c r="NZ42" s="896"/>
      <c r="OH42" s="1319">
        <f t="shared" ca="1" si="1117"/>
        <v>-45119.786999999997</v>
      </c>
      <c r="OI42" s="1319">
        <f t="shared" ca="1" si="1117"/>
        <v>-586.06135900000004</v>
      </c>
      <c r="OJ42" s="1319">
        <f t="shared" ca="1" si="1117"/>
        <v>-66.895747900000003</v>
      </c>
      <c r="OK42" s="1319">
        <f t="shared" ca="1" si="1117"/>
        <v>-45022.398999999998</v>
      </c>
      <c r="OL42" s="1319">
        <f t="shared" ca="1" si="1117"/>
        <v>-411.18772100000001</v>
      </c>
      <c r="OM42" s="1319">
        <f t="shared" ca="1" si="1117"/>
        <v>-834.16211099999998</v>
      </c>
      <c r="ON42" s="1319">
        <f t="shared" ca="1" si="1117"/>
        <v>-5226.0979600000001</v>
      </c>
      <c r="OO42" s="1319">
        <f t="shared" ca="1" si="1117"/>
        <v>-5212.6536699999997</v>
      </c>
      <c r="PA42" s="1319">
        <f t="shared" ca="1" si="1118"/>
        <v>-532.974199</v>
      </c>
      <c r="PB42" s="1319">
        <f t="shared" ca="1" si="1118"/>
        <v>-568.72880599999996</v>
      </c>
      <c r="PC42" s="1319">
        <f t="shared" ca="1" si="1118"/>
        <v>-43.164309199999998</v>
      </c>
      <c r="PD42" s="1319">
        <f t="shared" ca="1" si="1118"/>
        <v>-101.419922</v>
      </c>
      <c r="PE42" s="1319">
        <f t="shared" ca="1" si="1118"/>
        <v>-1425.7897700000001</v>
      </c>
      <c r="PF42" s="1319">
        <f t="shared" ca="1" si="1118"/>
        <v>-133.45888400000001</v>
      </c>
      <c r="PG42" s="1319">
        <f t="shared" ca="1" si="1118"/>
        <v>-13.5240098</v>
      </c>
      <c r="PH42" s="1319">
        <f t="shared" ca="1" si="1118"/>
        <v>-552.526567</v>
      </c>
      <c r="PI42" s="1319">
        <f t="shared" ca="1" si="1118"/>
        <v>-1979.8611400000002</v>
      </c>
      <c r="PJ42" s="1319">
        <f t="shared" ca="1" si="1118"/>
        <v>-0.54984188700000003</v>
      </c>
      <c r="PK42" s="1319">
        <f t="shared" ca="1" si="1118"/>
        <v>-586.06135900000004</v>
      </c>
      <c r="PW42" s="1319">
        <f t="shared" ca="1" si="1119"/>
        <v>-0.54984188700000003</v>
      </c>
      <c r="PX42" s="1319">
        <f t="shared" ca="1" si="1119"/>
        <v>-0.45861656200000006</v>
      </c>
      <c r="PY42" s="1319">
        <f t="shared" ca="1" si="1119"/>
        <v>-0.54984188700000003</v>
      </c>
      <c r="PZ42" s="1319">
        <f t="shared" ca="1" si="1119"/>
        <v>-0.54984188700000003</v>
      </c>
    </row>
    <row r="43" spans="1:446" x14ac:dyDescent="0.25">
      <c r="A43" s="189">
        <v>4</v>
      </c>
      <c r="B43" s="189" t="s">
        <v>1256</v>
      </c>
      <c r="C43" s="1317" t="s">
        <v>1285</v>
      </c>
      <c r="D43" s="1317" t="s">
        <v>206</v>
      </c>
      <c r="J43" s="1319">
        <f t="shared" ca="1" si="1093"/>
        <v>20833.333299999998</v>
      </c>
      <c r="K43" s="1319">
        <f t="shared" ca="1" si="1120"/>
        <v>20833.333299999998</v>
      </c>
      <c r="T43" s="1319">
        <f t="shared" ca="1" si="1094"/>
        <v>20833.333299999998</v>
      </c>
      <c r="U43" s="1319">
        <f t="shared" ca="1" si="1094"/>
        <v>140999.443</v>
      </c>
      <c r="V43" s="1319">
        <f t="shared" ca="1" si="1094"/>
        <v>36791.681600000004</v>
      </c>
      <c r="W43" s="1319">
        <f t="shared" ca="1" si="1094"/>
        <v>3491.0177199999998</v>
      </c>
      <c r="X43" s="1319">
        <f t="shared" ca="1" si="1094"/>
        <v>24555.056100000002</v>
      </c>
      <c r="Y43" s="1319">
        <f t="shared" ca="1" si="1094"/>
        <v>224197.481</v>
      </c>
      <c r="Z43" s="1319">
        <f t="shared" ca="1" si="1094"/>
        <v>19547.879199999999</v>
      </c>
      <c r="AA43" s="1319">
        <f t="shared" ca="1" si="1094"/>
        <v>204649.60200000001</v>
      </c>
      <c r="AB43" s="1319">
        <f t="shared" ca="1" si="1094"/>
        <v>138.62007199999999</v>
      </c>
      <c r="AC43" s="1319">
        <f t="shared" ca="1" si="1094"/>
        <v>36653.061500000003</v>
      </c>
      <c r="AD43" s="1319">
        <f t="shared" ca="1" si="1094"/>
        <v>138.64284499999999</v>
      </c>
      <c r="AM43" s="1319">
        <f t="shared" ca="1" si="1095"/>
        <v>140999.443</v>
      </c>
      <c r="AN43" s="1319">
        <f t="shared" ca="1" si="1095"/>
        <v>140999.443</v>
      </c>
      <c r="AO43" s="1319">
        <f t="shared" ca="1" si="1096"/>
        <v>204649.60200000001</v>
      </c>
      <c r="AP43" s="1319">
        <f t="shared" ca="1" si="1096"/>
        <v>204649.60200000001</v>
      </c>
      <c r="AQ43" s="1319">
        <f t="shared" ca="1" si="1096"/>
        <v>13725.786099999999</v>
      </c>
      <c r="AR43" s="1319">
        <f t="shared" ca="1" si="1096"/>
        <v>15645.043900000001</v>
      </c>
      <c r="AS43" s="1319">
        <f t="shared" ca="1" si="1096"/>
        <v>3902.83536</v>
      </c>
      <c r="AT43" s="1319">
        <f t="shared" ca="1" si="1095"/>
        <v>13318.637699999999</v>
      </c>
      <c r="AU43" s="1319">
        <f t="shared" ca="1" si="1095"/>
        <v>16052.192299999999</v>
      </c>
      <c r="AV43" s="1319">
        <f t="shared" ca="1" si="1095"/>
        <v>190923.81599999999</v>
      </c>
      <c r="AW43" s="1319">
        <f t="shared" ca="1" si="1095"/>
        <v>13318.637699999999</v>
      </c>
      <c r="AX43" s="1319">
        <f t="shared" ca="1" si="1095"/>
        <v>33273.665300000001</v>
      </c>
      <c r="AY43" s="1319">
        <f t="shared" ca="1" si="1095"/>
        <v>0</v>
      </c>
      <c r="AZ43" s="1319">
        <f t="shared" ca="1" si="1095"/>
        <v>150458.399</v>
      </c>
      <c r="BA43" s="1319">
        <f t="shared" ca="1" si="1095"/>
        <v>150458.399</v>
      </c>
      <c r="BB43" s="1319">
        <f t="shared" ca="1" si="1095"/>
        <v>341382.23800000001</v>
      </c>
      <c r="BN43" s="1319">
        <f t="shared" ca="1" si="1097"/>
        <v>35180.425600000002</v>
      </c>
      <c r="BO43" s="1319">
        <f t="shared" ca="1" si="1097"/>
        <v>35280.318399999996</v>
      </c>
      <c r="BP43" s="1319">
        <f t="shared" ca="1" si="1097"/>
        <v>37.885368399999997</v>
      </c>
      <c r="BQ43" s="1319">
        <f t="shared" ca="1" si="1097"/>
        <v>105.91935599999999</v>
      </c>
      <c r="BR43" s="1319">
        <f t="shared" ca="1" si="1097"/>
        <v>0</v>
      </c>
      <c r="CD43" s="1319">
        <f t="shared" ca="1" si="1098"/>
        <v>341382.23800000001</v>
      </c>
      <c r="CE43" s="1319">
        <f t="shared" ca="1" si="1098"/>
        <v>341382.23800000001</v>
      </c>
      <c r="CF43" s="1319">
        <f t="shared" ca="1" si="1098"/>
        <v>35180.425600000002</v>
      </c>
      <c r="CG43" s="1319">
        <f t="shared" ca="1" si="1098"/>
        <v>35280.318399999996</v>
      </c>
      <c r="CH43" s="1319">
        <f t="shared" ca="1" si="1098"/>
        <v>354435.76799999998</v>
      </c>
      <c r="CI43" s="1319">
        <f t="shared" ca="1" si="1098"/>
        <v>476.63710400000002</v>
      </c>
      <c r="CJ43" s="1319">
        <f t="shared" ca="1" si="1098"/>
        <v>0</v>
      </c>
      <c r="CK43" s="1319">
        <f t="shared" ca="1" si="1098"/>
        <v>352101.45400000003</v>
      </c>
      <c r="CL43" s="1319">
        <f t="shared" ca="1" si="1098"/>
        <v>368.59690799999998</v>
      </c>
      <c r="CM43" s="1319">
        <f t="shared" ca="1" si="1098"/>
        <v>13053.5304</v>
      </c>
      <c r="CN43" s="1319">
        <f t="shared" ca="1" si="1098"/>
        <v>378839.27</v>
      </c>
      <c r="CO43" s="1319">
        <f t="shared" ca="1" si="1098"/>
        <v>26737.816500000001</v>
      </c>
      <c r="DA43" s="1319">
        <f t="shared" ca="1" si="1099"/>
        <v>664.81565899999998</v>
      </c>
      <c r="DB43" s="1319">
        <f t="shared" ca="1" si="1099"/>
        <v>3.9497584899999998</v>
      </c>
      <c r="DC43" s="1319">
        <f t="shared" ca="1" si="1099"/>
        <v>0</v>
      </c>
      <c r="DD43" s="1319">
        <f t="shared" ca="1" si="1099"/>
        <v>0</v>
      </c>
      <c r="DE43" s="1319">
        <f t="shared" ca="1" si="1099"/>
        <v>714.16866600000003</v>
      </c>
      <c r="DF43" s="1319">
        <f t="shared" ca="1" si="1099"/>
        <v>36.791611400000001</v>
      </c>
      <c r="DG43" s="1319">
        <f t="shared" ca="1" si="1099"/>
        <v>638.15416100000004</v>
      </c>
      <c r="DH43" s="1319">
        <f t="shared" ca="1" si="1099"/>
        <v>638.15416100000004</v>
      </c>
      <c r="DI43" s="1319">
        <f t="shared" ca="1" si="1099"/>
        <v>607.76586799999995</v>
      </c>
      <c r="DJ43" s="1319">
        <f t="shared" ca="1" si="1099"/>
        <v>30.388293399999998</v>
      </c>
      <c r="DV43" s="1319">
        <f t="shared" ca="1" si="1100"/>
        <v>11419.2086</v>
      </c>
      <c r="DW43" s="1319">
        <f t="shared" ca="1" si="1100"/>
        <v>426.69977</v>
      </c>
      <c r="DX43" s="1319">
        <f t="shared" ca="1" si="1100"/>
        <v>13296.313200000001</v>
      </c>
      <c r="DY43" s="1319">
        <f t="shared" ca="1" si="1100"/>
        <v>664.81565899999998</v>
      </c>
      <c r="DZ43" s="1319">
        <f t="shared" ca="1" si="1100"/>
        <v>0</v>
      </c>
      <c r="EA43" s="1319">
        <f t="shared" ca="1" si="1100"/>
        <v>714.16866600000003</v>
      </c>
      <c r="EB43" s="1319">
        <f t="shared" ca="1" si="1100"/>
        <v>12631.497499999999</v>
      </c>
      <c r="EC43" s="1319">
        <f t="shared" ca="1" si="1100"/>
        <v>78.707911800000005</v>
      </c>
      <c r="ED43" s="1319">
        <f t="shared" ca="1" si="1100"/>
        <v>13053.5304</v>
      </c>
      <c r="EE43" s="1319">
        <f t="shared" ca="1" si="1100"/>
        <v>736.75369599999999</v>
      </c>
      <c r="EF43" s="1319">
        <f t="shared" ca="1" si="1100"/>
        <v>0</v>
      </c>
      <c r="EG43" s="1319">
        <f t="shared" ca="1" si="1100"/>
        <v>0</v>
      </c>
      <c r="EH43" s="1319">
        <f t="shared" ca="1" si="1100"/>
        <v>0</v>
      </c>
      <c r="EI43" s="1319">
        <f t="shared" ca="1" si="1100"/>
        <v>78.707911800000005</v>
      </c>
      <c r="EJ43" s="1319">
        <f t="shared" ca="1" si="1101"/>
        <v>0</v>
      </c>
      <c r="EK43" s="1319">
        <f t="shared" ca="1" si="1100"/>
        <v>607.76586799999995</v>
      </c>
      <c r="EW43" s="1319">
        <f t="shared" ca="1" si="1102"/>
        <v>378839.27</v>
      </c>
      <c r="EX43" s="1319">
        <f t="shared" ca="1" si="1102"/>
        <v>378839.27</v>
      </c>
      <c r="EY43" s="1319">
        <f t="shared" ca="1" si="1102"/>
        <v>342053.04</v>
      </c>
      <c r="EZ43" s="1319">
        <f t="shared" ca="1" si="1102"/>
        <v>342053.04</v>
      </c>
      <c r="FA43" s="1319">
        <f t="shared" ca="1" si="1102"/>
        <v>22.657900999999999</v>
      </c>
      <c r="FB43" s="1319">
        <f t="shared" ca="1" si="1102"/>
        <v>36763.572099999998</v>
      </c>
      <c r="FN43" s="1319">
        <f t="shared" ca="1" si="1103"/>
        <v>37.885368399999997</v>
      </c>
      <c r="FO43" s="1319">
        <f t="shared" ca="1" si="1103"/>
        <v>368.59690799999998</v>
      </c>
      <c r="FP43" s="1319">
        <f t="shared" ca="1" si="1103"/>
        <v>22.657900999999999</v>
      </c>
      <c r="FQ43" s="1319">
        <f t="shared" ca="1" si="1103"/>
        <v>36763.572099999998</v>
      </c>
      <c r="FR43" s="1319">
        <f t="shared" ca="1" si="1103"/>
        <v>2160.8988100000001</v>
      </c>
      <c r="FS43" s="1319">
        <f t="shared" ca="1" si="1103"/>
        <v>36653.061500000003</v>
      </c>
      <c r="FT43" s="1319">
        <f t="shared" ca="1" si="1103"/>
        <v>2050.38805</v>
      </c>
      <c r="FU43" s="1319">
        <f t="shared" ca="1" si="1103"/>
        <v>429.14017699999999</v>
      </c>
      <c r="FV43" s="1319">
        <f t="shared" ca="1" si="1103"/>
        <v>26830.853200000001</v>
      </c>
      <c r="FW43" s="1319">
        <f t="shared" ca="1" si="1103"/>
        <v>522.17686000000003</v>
      </c>
      <c r="FX43" s="1319">
        <f t="shared" ca="1" si="1103"/>
        <v>26737.816500000001</v>
      </c>
      <c r="GJ43" s="1319">
        <f t="shared" ca="1" si="1104"/>
        <v>2160.8988100000001</v>
      </c>
      <c r="GK43" s="1319">
        <f t="shared" ca="1" si="1104"/>
        <v>2160.8988100000001</v>
      </c>
      <c r="GL43" s="1319">
        <f t="shared" ca="1" si="1104"/>
        <v>2050.3826600000002</v>
      </c>
      <c r="GM43" s="1319">
        <f t="shared" ca="1" si="1104"/>
        <v>110.51614600000001</v>
      </c>
      <c r="GN43" s="1319">
        <f t="shared" ca="1" si="1104"/>
        <v>110.51614600000001</v>
      </c>
      <c r="GO43" s="1319">
        <f t="shared" ca="1" si="1104"/>
        <v>2050.3826600000002</v>
      </c>
      <c r="GP43" s="1319">
        <f t="shared" ca="1" si="1104"/>
        <v>110.51614600000001</v>
      </c>
      <c r="GQ43" s="1319">
        <f t="shared" ca="1" si="1104"/>
        <v>2050.38805</v>
      </c>
      <c r="HC43" s="1319">
        <f t="shared" ca="1" si="1105"/>
        <v>342053.04</v>
      </c>
      <c r="HD43" s="1319">
        <f t="shared" ca="1" si="1105"/>
        <v>329317.86599999998</v>
      </c>
      <c r="HE43" s="1319">
        <f t="shared" ca="1" si="1105"/>
        <v>237.25898099999998</v>
      </c>
      <c r="HF43" s="1319">
        <f t="shared" ca="1" si="1105"/>
        <v>175.638385</v>
      </c>
      <c r="HG43" s="1319">
        <f t="shared" ca="1" si="1105"/>
        <v>12796.7947</v>
      </c>
      <c r="HH43" s="1319">
        <f t="shared" ca="1" si="1105"/>
        <v>329317.86599999998</v>
      </c>
      <c r="HT43" s="1319">
        <f t="shared" ca="1" si="1106"/>
        <v>33273.665300000001</v>
      </c>
      <c r="HU43" s="1319">
        <f t="shared" ca="1" si="1106"/>
        <v>329317.86599999998</v>
      </c>
      <c r="HV43" s="1319">
        <f t="shared" ca="1" si="1106"/>
        <v>385095.74200000003</v>
      </c>
      <c r="HW43" s="1319">
        <f t="shared" ca="1" si="1106"/>
        <v>385095.74200000003</v>
      </c>
      <c r="HX43" s="1319">
        <f t="shared" ca="1" si="1106"/>
        <v>356434.94300000003</v>
      </c>
      <c r="HY43" s="1319">
        <f t="shared" ca="1" si="1106"/>
        <v>27104.820199999998</v>
      </c>
      <c r="HZ43" s="1319">
        <f t="shared" ca="1" si="1106"/>
        <v>750.78291100000001</v>
      </c>
      <c r="IA43" s="1319">
        <f t="shared" ca="1" si="1106"/>
        <v>9.4649674000000008</v>
      </c>
      <c r="IB43" s="1319">
        <f t="shared" ca="1" si="1106"/>
        <v>4682.04054</v>
      </c>
      <c r="IC43" s="1319">
        <f t="shared" ca="1" si="1106"/>
        <v>147136.25899999999</v>
      </c>
      <c r="ID43" s="1319">
        <f t="shared" ca="1" si="1106"/>
        <v>147136.25899999999</v>
      </c>
      <c r="IE43" s="1319">
        <f t="shared" ca="1" si="1106"/>
        <v>17677.1695</v>
      </c>
      <c r="IQ43" s="1319">
        <f t="shared" ca="1" si="1107"/>
        <v>356434.94300000003</v>
      </c>
      <c r="IR43" s="1319">
        <f t="shared" ca="1" si="1107"/>
        <v>27104.820199999998</v>
      </c>
      <c r="IS43" s="1319">
        <f t="shared" ca="1" si="1107"/>
        <v>88471.546400000007</v>
      </c>
      <c r="IT43" s="1319">
        <f t="shared" ca="1" si="1107"/>
        <v>115576.36700000001</v>
      </c>
      <c r="IU43" s="1319">
        <f t="shared" ca="1" si="1108"/>
        <v>107867.02099999999</v>
      </c>
      <c r="IV43" s="1319">
        <f t="shared" ca="1" si="1107"/>
        <v>2593394.56</v>
      </c>
      <c r="IW43" s="1319">
        <f t="shared" ca="1" si="1107"/>
        <v>2123317.11</v>
      </c>
      <c r="IX43" s="1319">
        <f t="shared" ca="1" si="1109"/>
        <v>4342.2333600000002</v>
      </c>
      <c r="IY43" s="1319">
        <f t="shared" ca="1" si="1107"/>
        <v>7709.3452199999992</v>
      </c>
      <c r="IZ43" s="1319">
        <f t="shared" ca="1" si="1107"/>
        <v>381608.76699999999</v>
      </c>
      <c r="JA43" s="1319">
        <f t="shared" ca="1" si="1107"/>
        <v>2211788.66</v>
      </c>
      <c r="JB43" s="1319">
        <f t="shared" ca="1" si="1107"/>
        <v>376640.16100000002</v>
      </c>
      <c r="JC43" s="1319">
        <f t="shared" ca="1" si="1107"/>
        <v>4959.1407900000004</v>
      </c>
      <c r="JD43" s="1319">
        <f t="shared" ca="1" si="1107"/>
        <v>305287.01400000002</v>
      </c>
      <c r="JE43" s="1319">
        <f t="shared" ca="1" si="1107"/>
        <v>76321.753400000001</v>
      </c>
      <c r="JF43" s="1319">
        <f t="shared" ca="1" si="1107"/>
        <v>4371.1926000000003</v>
      </c>
      <c r="JG43" s="1319">
        <f t="shared" ca="1" si="1107"/>
        <v>2252.1473799999999</v>
      </c>
      <c r="JH43" s="1319">
        <f t="shared" ca="1" si="1107"/>
        <v>9.4649674000000008</v>
      </c>
      <c r="JT43" s="1319">
        <f t="shared" ca="1" si="1110"/>
        <v>105.91935599999999</v>
      </c>
      <c r="JU43" s="1319">
        <f t="shared" ca="1" si="1110"/>
        <v>476.63710400000002</v>
      </c>
      <c r="JV43" s="1319">
        <f t="shared" ca="1" si="1110"/>
        <v>3.9497584899999998</v>
      </c>
      <c r="JW43" s="1319">
        <f t="shared" ca="1" si="1110"/>
        <v>78.707911800000005</v>
      </c>
      <c r="JX43" s="1319">
        <f t="shared" ca="1" si="1110"/>
        <v>110.51614600000001</v>
      </c>
      <c r="JY43" s="1319">
        <f t="shared" ca="1" si="1110"/>
        <v>0</v>
      </c>
      <c r="JZ43" s="1319">
        <f t="shared" ca="1" si="1110"/>
        <v>110.51614600000001</v>
      </c>
      <c r="KA43" s="1319">
        <f t="shared" ca="1" si="1110"/>
        <v>138.64284499999999</v>
      </c>
      <c r="KB43" s="1319">
        <f t="shared" ca="1" si="1110"/>
        <v>8022.0755900000004</v>
      </c>
      <c r="KC43" s="1319">
        <f t="shared" ca="1" si="1110"/>
        <v>665.21413099999995</v>
      </c>
      <c r="KL43" s="1319">
        <f t="shared" ca="1" si="1111"/>
        <v>0</v>
      </c>
      <c r="KM43" s="1319">
        <f t="shared" ca="1" si="1111"/>
        <v>0</v>
      </c>
      <c r="KN43" s="1319">
        <f t="shared" ca="1" si="1111"/>
        <v>0</v>
      </c>
      <c r="KO43" s="1319">
        <f t="shared" ca="1" si="1111"/>
        <v>0</v>
      </c>
      <c r="KP43" s="1319">
        <f t="shared" ca="1" si="1111"/>
        <v>0</v>
      </c>
      <c r="KQ43" s="1319">
        <f t="shared" ca="1" si="1111"/>
        <v>0</v>
      </c>
      <c r="KR43" s="1319">
        <f t="shared" ca="1" si="1111"/>
        <v>0</v>
      </c>
      <c r="LA43" s="1319">
        <f t="shared" ca="1" si="1112"/>
        <v>175.638385</v>
      </c>
      <c r="LB43" s="1319">
        <f t="shared" ca="1" si="1112"/>
        <v>750.78291100000001</v>
      </c>
      <c r="LC43" s="1319">
        <f t="shared" ca="1" si="1112"/>
        <v>6498.42364</v>
      </c>
      <c r="LD43" s="1319">
        <f t="shared" ca="1" si="1112"/>
        <v>6498.42364</v>
      </c>
      <c r="LE43" s="1319">
        <f t="shared" ca="1" si="1112"/>
        <v>5572.00234</v>
      </c>
      <c r="LF43" s="1319">
        <f t="shared" ca="1" si="1112"/>
        <v>50699.8416</v>
      </c>
      <c r="LG43" s="1319">
        <f t="shared" ca="1" si="1112"/>
        <v>50699.8416</v>
      </c>
      <c r="LH43" s="1319">
        <f t="shared" ca="1" si="1112"/>
        <v>0</v>
      </c>
      <c r="LI43" s="1319">
        <f t="shared" ca="1" si="1112"/>
        <v>54451.631999999998</v>
      </c>
      <c r="LJ43" s="1319">
        <f t="shared" ca="1" si="1112"/>
        <v>3577.80519</v>
      </c>
      <c r="LK43" s="1319">
        <f t="shared" ca="1" si="1112"/>
        <v>0</v>
      </c>
      <c r="LW43" s="1319">
        <f t="shared" ca="1" si="1113"/>
        <v>3491.0177199999998</v>
      </c>
      <c r="LX43" s="1319">
        <f t="shared" ca="1" si="1114"/>
        <v>24555.056100000002</v>
      </c>
      <c r="LY43" s="1319">
        <f t="shared" ca="1" si="1114"/>
        <v>12796.7947</v>
      </c>
      <c r="LZ43" s="1319">
        <f t="shared" ca="1" si="1114"/>
        <v>7709.3452199999992</v>
      </c>
      <c r="MA43" s="1319">
        <f t="shared" ca="1" si="1114"/>
        <v>20506.139899999998</v>
      </c>
      <c r="MB43" s="1319">
        <f t="shared" ca="1" si="1114"/>
        <v>6498.42364</v>
      </c>
      <c r="MC43" s="1319">
        <f t="shared" ca="1" si="1114"/>
        <v>50699.8416</v>
      </c>
      <c r="MD43" s="1319">
        <f t="shared" ca="1" si="1114"/>
        <v>234812.967</v>
      </c>
      <c r="ME43" s="1319">
        <f t="shared" ca="1" si="1114"/>
        <v>30113.032100000004</v>
      </c>
      <c r="MF43" s="1319">
        <f t="shared" ca="1" si="1114"/>
        <v>242073.72100000002</v>
      </c>
      <c r="MG43" s="1319">
        <f t="shared" ca="1" si="1114"/>
        <v>242075.22399999999</v>
      </c>
      <c r="MH43" s="1319">
        <f t="shared" ca="1" si="1115"/>
        <v>75054.059099999999</v>
      </c>
      <c r="MI43" s="1319">
        <f t="shared" ca="1" si="1115"/>
        <v>105.503152</v>
      </c>
      <c r="MJ43" s="1319">
        <f t="shared" ca="1" si="1114"/>
        <v>101494.299</v>
      </c>
      <c r="MK43" s="1319">
        <f t="shared" ca="1" si="1114"/>
        <v>101494.299</v>
      </c>
      <c r="ML43" s="1319">
        <f t="shared" ca="1" si="1114"/>
        <v>101494.299</v>
      </c>
      <c r="MM43" s="1319">
        <f t="shared" ca="1" si="1114"/>
        <v>4682.04054</v>
      </c>
      <c r="MN43" s="1319">
        <f t="shared" ca="1" si="1114"/>
        <v>30113.032100000004</v>
      </c>
      <c r="MO43" s="1319">
        <f t="shared" ca="1" si="1114"/>
        <v>0</v>
      </c>
      <c r="NA43" s="1319">
        <f t="shared" ca="1" si="1116"/>
        <v>19547.879199999999</v>
      </c>
      <c r="NB43" s="1319">
        <f t="shared" ca="1" si="1116"/>
        <v>15645.043900000001</v>
      </c>
      <c r="NC43" s="1319">
        <f t="shared" ca="1" si="1116"/>
        <v>3902.83536</v>
      </c>
      <c r="ND43" s="1319">
        <f t="shared" ca="1" si="1116"/>
        <v>35306.827799999999</v>
      </c>
      <c r="NE43" s="1319">
        <f t="shared" ca="1" si="1116"/>
        <v>206661.39</v>
      </c>
      <c r="NF43" s="1319">
        <f t="shared" ca="1" si="1116"/>
        <v>241968.21799999999</v>
      </c>
      <c r="NG43" s="1319">
        <f t="shared" ca="1" si="1116"/>
        <v>35306.827799999999</v>
      </c>
      <c r="NH43" s="1319">
        <f t="shared" ca="1" si="1116"/>
        <v>0</v>
      </c>
      <c r="NI43" s="1319">
        <f t="shared" ca="1" si="1116"/>
        <v>242073.72100000002</v>
      </c>
      <c r="NJ43" s="1319">
        <f t="shared" ca="1" si="1116"/>
        <v>242073.72100000002</v>
      </c>
      <c r="NK43" s="1319">
        <f t="shared" ca="1" si="1116"/>
        <v>105.503152</v>
      </c>
      <c r="NL43" s="1319">
        <f t="shared" ca="1" si="1116"/>
        <v>101494.299</v>
      </c>
      <c r="NM43" s="1319">
        <f t="shared" ca="1" si="1116"/>
        <v>4682.04054</v>
      </c>
      <c r="NN43" s="1319">
        <f t="shared" ca="1" si="1116"/>
        <v>2580.6417799999999</v>
      </c>
      <c r="NO43" s="1319">
        <f t="shared" ca="1" si="1116"/>
        <v>30113.032100000004</v>
      </c>
      <c r="NP43" s="1319">
        <f t="shared" ca="1" si="1116"/>
        <v>75054.059099999999</v>
      </c>
      <c r="NZ43" s="896"/>
      <c r="OH43" s="1319">
        <f t="shared" ca="1" si="1117"/>
        <v>11922141.4</v>
      </c>
      <c r="OI43" s="1319">
        <f t="shared" ca="1" si="1117"/>
        <v>155038.88399999999</v>
      </c>
      <c r="OJ43" s="1319">
        <f t="shared" ca="1" si="1117"/>
        <v>17675.797600000002</v>
      </c>
      <c r="OK43" s="1319">
        <f t="shared" ca="1" si="1117"/>
        <v>11922141.4</v>
      </c>
      <c r="OL43" s="1319">
        <f t="shared" ca="1" si="1117"/>
        <v>128257.25</v>
      </c>
      <c r="OM43" s="1319">
        <f t="shared" ca="1" si="1117"/>
        <v>266533.55200000003</v>
      </c>
      <c r="ON43" s="1319">
        <f t="shared" ca="1" si="1117"/>
        <v>1373006.62</v>
      </c>
      <c r="OO43" s="1319">
        <f t="shared" ca="1" si="1117"/>
        <v>1373006.62</v>
      </c>
      <c r="PA43" s="1319">
        <f t="shared" ca="1" si="1118"/>
        <v>140999.443</v>
      </c>
      <c r="PB43" s="1319">
        <f t="shared" ca="1" si="1118"/>
        <v>150458.399</v>
      </c>
      <c r="PC43" s="1319">
        <f t="shared" ca="1" si="1118"/>
        <v>11419.2086</v>
      </c>
      <c r="PD43" s="1319">
        <f t="shared" ca="1" si="1118"/>
        <v>26830.853200000001</v>
      </c>
      <c r="PE43" s="1319">
        <f t="shared" ca="1" si="1118"/>
        <v>376640.16100000002</v>
      </c>
      <c r="PF43" s="1319">
        <f t="shared" ca="1" si="1118"/>
        <v>35306.827799999999</v>
      </c>
      <c r="PG43" s="1319">
        <f t="shared" ca="1" si="1118"/>
        <v>3577.80519</v>
      </c>
      <c r="PH43" s="1319">
        <f t="shared" ca="1" si="1118"/>
        <v>147136.25899999999</v>
      </c>
      <c r="PI43" s="1319">
        <f t="shared" ca="1" si="1118"/>
        <v>523776.42099999991</v>
      </c>
      <c r="PJ43" s="1319">
        <f t="shared" ca="1" si="1118"/>
        <v>145</v>
      </c>
      <c r="PK43" s="1319">
        <f t="shared" ca="1" si="1118"/>
        <v>155038.88399999999</v>
      </c>
      <c r="PW43" s="1319">
        <f t="shared" ca="1" si="1119"/>
        <v>145</v>
      </c>
      <c r="PX43" s="1319">
        <f t="shared" ca="1" si="1119"/>
        <v>145</v>
      </c>
      <c r="PY43" s="1319">
        <f t="shared" ca="1" si="1119"/>
        <v>145</v>
      </c>
      <c r="PZ43" s="1319">
        <f t="shared" ca="1" si="1119"/>
        <v>145</v>
      </c>
    </row>
    <row r="44" spans="1:446" x14ac:dyDescent="0.25">
      <c r="A44" s="189">
        <v>5</v>
      </c>
      <c r="B44" s="189" t="s">
        <v>1256</v>
      </c>
      <c r="C44" s="1317" t="s">
        <v>1284</v>
      </c>
      <c r="D44" s="1317" t="s">
        <v>206</v>
      </c>
      <c r="J44" s="1319">
        <f t="shared" ca="1" si="1093"/>
        <v>0</v>
      </c>
      <c r="K44" s="1319">
        <f t="shared" ca="1" si="1120"/>
        <v>0</v>
      </c>
      <c r="T44" s="1319">
        <f t="shared" ca="1" si="1094"/>
        <v>0</v>
      </c>
      <c r="U44" s="1319">
        <f t="shared" ca="1" si="1094"/>
        <v>0</v>
      </c>
      <c r="V44" s="1319">
        <f t="shared" ca="1" si="1094"/>
        <v>18.420235999999999</v>
      </c>
      <c r="W44" s="1319">
        <f t="shared" ca="1" si="1094"/>
        <v>0</v>
      </c>
      <c r="X44" s="1319">
        <f t="shared" ca="1" si="1094"/>
        <v>0</v>
      </c>
      <c r="Y44" s="1319">
        <f t="shared" ca="1" si="1094"/>
        <v>18.420235999999999</v>
      </c>
      <c r="Z44" s="1319">
        <f t="shared" ca="1" si="1094"/>
        <v>8.2510693699999997</v>
      </c>
      <c r="AA44" s="1319">
        <f t="shared" ca="1" si="1094"/>
        <v>10.1691666</v>
      </c>
      <c r="AB44" s="1319">
        <f t="shared" ca="1" si="1094"/>
        <v>0</v>
      </c>
      <c r="AC44" s="1319">
        <f t="shared" ca="1" si="1094"/>
        <v>18.420235999999999</v>
      </c>
      <c r="AD44" s="1319">
        <f t="shared" ca="1" si="1094"/>
        <v>0</v>
      </c>
      <c r="AM44" s="1319">
        <f t="shared" ca="1" si="1095"/>
        <v>0</v>
      </c>
      <c r="AN44" s="1319">
        <f t="shared" ca="1" si="1095"/>
        <v>0</v>
      </c>
      <c r="AO44" s="1319">
        <f t="shared" ca="1" si="1096"/>
        <v>10.1691666</v>
      </c>
      <c r="AP44" s="1319">
        <f t="shared" ca="1" si="1096"/>
        <v>10.1691666</v>
      </c>
      <c r="AQ44" s="1319">
        <f t="shared" ca="1" si="1096"/>
        <v>4.2912629300000003</v>
      </c>
      <c r="AR44" s="1319">
        <f t="shared" ca="1" si="1096"/>
        <v>8.0739946499999995</v>
      </c>
      <c r="AS44" s="1319">
        <f t="shared" ca="1" si="1096"/>
        <v>0.17707472299999999</v>
      </c>
      <c r="AT44" s="1319">
        <f t="shared" ca="1" si="1095"/>
        <v>11.1789858</v>
      </c>
      <c r="AU44" s="1319">
        <f t="shared" ca="1" si="1095"/>
        <v>1.1862717599999999</v>
      </c>
      <c r="AV44" s="1319">
        <f t="shared" ca="1" si="1095"/>
        <v>5.8779036800000002</v>
      </c>
      <c r="AW44" s="1319">
        <f t="shared" ca="1" si="1095"/>
        <v>11.1789858</v>
      </c>
      <c r="AX44" s="1319">
        <f t="shared" ca="1" si="1095"/>
        <v>12.5423323</v>
      </c>
      <c r="AY44" s="1319">
        <f t="shared" ca="1" si="1095"/>
        <v>0</v>
      </c>
      <c r="AZ44" s="1319">
        <f t="shared" ca="1" si="1095"/>
        <v>0</v>
      </c>
      <c r="BA44" s="1319">
        <f t="shared" ca="1" si="1095"/>
        <v>0</v>
      </c>
      <c r="BB44" s="1319">
        <f t="shared" ca="1" si="1095"/>
        <v>5.8779036800000002</v>
      </c>
      <c r="BN44" s="1319">
        <f t="shared" ca="1" si="1097"/>
        <v>0.58781905099999998</v>
      </c>
      <c r="BO44" s="1319">
        <f t="shared" ca="1" si="1097"/>
        <v>2009.36331</v>
      </c>
      <c r="BP44" s="1319">
        <f t="shared" ca="1" si="1097"/>
        <v>31.971114199999999</v>
      </c>
      <c r="BQ44" s="1319">
        <f t="shared" ca="1" si="1097"/>
        <v>0</v>
      </c>
      <c r="BR44" s="1319">
        <f t="shared" ca="1" si="1097"/>
        <v>0</v>
      </c>
      <c r="CD44" s="1319">
        <f t="shared" ca="1" si="1098"/>
        <v>5.8779036800000002</v>
      </c>
      <c r="CE44" s="1319">
        <f t="shared" ca="1" si="1098"/>
        <v>5.8779036800000002</v>
      </c>
      <c r="CF44" s="1319">
        <f t="shared" ca="1" si="1098"/>
        <v>0.58781905099999998</v>
      </c>
      <c r="CG44" s="1319">
        <f t="shared" ca="1" si="1098"/>
        <v>2009.36331</v>
      </c>
      <c r="CH44" s="1319">
        <f t="shared" ca="1" si="1098"/>
        <v>5.8779036800000002</v>
      </c>
      <c r="CI44" s="1319">
        <f t="shared" ca="1" si="1098"/>
        <v>0</v>
      </c>
      <c r="CJ44" s="1319">
        <f t="shared" ca="1" si="1098"/>
        <v>0</v>
      </c>
      <c r="CK44" s="1319">
        <f t="shared" ca="1" si="1098"/>
        <v>21516.992600000001</v>
      </c>
      <c r="CL44" s="1319">
        <f t="shared" ca="1" si="1098"/>
        <v>330.46824099999998</v>
      </c>
      <c r="CM44" s="1319">
        <f t="shared" ca="1" si="1098"/>
        <v>0</v>
      </c>
      <c r="CN44" s="1319">
        <f t="shared" ca="1" si="1098"/>
        <v>21940.651900000001</v>
      </c>
      <c r="CO44" s="1319">
        <f t="shared" ca="1" si="1098"/>
        <v>423.65937000000002</v>
      </c>
      <c r="DA44" s="1319">
        <f t="shared" ca="1" si="1099"/>
        <v>0</v>
      </c>
      <c r="DB44" s="1319">
        <f t="shared" ca="1" si="1099"/>
        <v>0</v>
      </c>
      <c r="DC44" s="1319">
        <f t="shared" ca="1" si="1099"/>
        <v>0</v>
      </c>
      <c r="DD44" s="1319">
        <f t="shared" ca="1" si="1099"/>
        <v>0</v>
      </c>
      <c r="DE44" s="1319">
        <f t="shared" ca="1" si="1099"/>
        <v>0</v>
      </c>
      <c r="DF44" s="1319">
        <f t="shared" ca="1" si="1099"/>
        <v>0</v>
      </c>
      <c r="DG44" s="1319">
        <f t="shared" ca="1" si="1099"/>
        <v>0</v>
      </c>
      <c r="DH44" s="1319">
        <f t="shared" ca="1" si="1099"/>
        <v>0</v>
      </c>
      <c r="DI44" s="1319">
        <f t="shared" ca="1" si="1099"/>
        <v>0</v>
      </c>
      <c r="DJ44" s="1319">
        <f t="shared" ca="1" si="1099"/>
        <v>0</v>
      </c>
      <c r="DV44" s="1319">
        <f t="shared" ca="1" si="1100"/>
        <v>0</v>
      </c>
      <c r="DW44" s="1319">
        <f t="shared" ca="1" si="1100"/>
        <v>0</v>
      </c>
      <c r="DX44" s="1319">
        <f t="shared" ca="1" si="1100"/>
        <v>0</v>
      </c>
      <c r="DY44" s="1319">
        <f t="shared" ca="1" si="1100"/>
        <v>0</v>
      </c>
      <c r="DZ44" s="1319">
        <f t="shared" ca="1" si="1100"/>
        <v>0</v>
      </c>
      <c r="EA44" s="1319">
        <f t="shared" ca="1" si="1100"/>
        <v>0</v>
      </c>
      <c r="EB44" s="1319">
        <f t="shared" ca="1" si="1100"/>
        <v>0</v>
      </c>
      <c r="EC44" s="1319">
        <f t="shared" ca="1" si="1100"/>
        <v>0</v>
      </c>
      <c r="ED44" s="1319">
        <f t="shared" ca="1" si="1100"/>
        <v>0</v>
      </c>
      <c r="EE44" s="1319">
        <f t="shared" ca="1" si="1100"/>
        <v>0</v>
      </c>
      <c r="EF44" s="1319">
        <f t="shared" ca="1" si="1100"/>
        <v>0</v>
      </c>
      <c r="EG44" s="1319">
        <f t="shared" ca="1" si="1100"/>
        <v>0</v>
      </c>
      <c r="EH44" s="1319">
        <f t="shared" ca="1" si="1100"/>
        <v>0</v>
      </c>
      <c r="EI44" s="1319">
        <f t="shared" ca="1" si="1100"/>
        <v>0</v>
      </c>
      <c r="EJ44" s="1319">
        <f t="shared" ca="1" si="1101"/>
        <v>0</v>
      </c>
      <c r="EK44" s="1319">
        <f t="shared" ca="1" si="1100"/>
        <v>0</v>
      </c>
      <c r="EW44" s="1319">
        <f t="shared" ca="1" si="1102"/>
        <v>21940.651900000001</v>
      </c>
      <c r="EX44" s="1319">
        <f t="shared" ca="1" si="1102"/>
        <v>21940.651900000001</v>
      </c>
      <c r="EY44" s="1319">
        <f t="shared" ca="1" si="1102"/>
        <v>184.28537299999999</v>
      </c>
      <c r="EZ44" s="1319">
        <f t="shared" ca="1" si="1102"/>
        <v>184.28537299999999</v>
      </c>
      <c r="FA44" s="1319">
        <f t="shared" ca="1" si="1102"/>
        <v>65.535978600000007</v>
      </c>
      <c r="FB44" s="1319">
        <f t="shared" ca="1" si="1102"/>
        <v>21690.830699999999</v>
      </c>
      <c r="FN44" s="1319">
        <f t="shared" ca="1" si="1103"/>
        <v>31.971114199999999</v>
      </c>
      <c r="FO44" s="1319">
        <f t="shared" ca="1" si="1103"/>
        <v>330.46824099999998</v>
      </c>
      <c r="FP44" s="1319">
        <f t="shared" ca="1" si="1103"/>
        <v>65.535978600000007</v>
      </c>
      <c r="FQ44" s="1319">
        <f t="shared" ca="1" si="1103"/>
        <v>21690.830699999999</v>
      </c>
      <c r="FR44" s="1319">
        <f t="shared" ca="1" si="1103"/>
        <v>26984.883300000001</v>
      </c>
      <c r="FS44" s="1319">
        <f t="shared" ca="1" si="1103"/>
        <v>18.420235999999999</v>
      </c>
      <c r="FT44" s="1319">
        <f t="shared" ca="1" si="1103"/>
        <v>5312.4732400000003</v>
      </c>
      <c r="FU44" s="1319">
        <f t="shared" ca="1" si="1103"/>
        <v>427.97533399999998</v>
      </c>
      <c r="FV44" s="1319">
        <f t="shared" ca="1" si="1103"/>
        <v>0</v>
      </c>
      <c r="FW44" s="1319">
        <f t="shared" ca="1" si="1103"/>
        <v>4.3159647200000002</v>
      </c>
      <c r="FX44" s="1319">
        <f t="shared" ca="1" si="1103"/>
        <v>423.65937000000002</v>
      </c>
      <c r="GJ44" s="1319">
        <f t="shared" ca="1" si="1104"/>
        <v>26984.883300000001</v>
      </c>
      <c r="GK44" s="1319">
        <f t="shared" ca="1" si="1104"/>
        <v>26984.883300000001</v>
      </c>
      <c r="GL44" s="1319">
        <f t="shared" ca="1" si="1104"/>
        <v>5312.4737999999998</v>
      </c>
      <c r="GM44" s="1319">
        <f t="shared" ca="1" si="1104"/>
        <v>21672.409500000002</v>
      </c>
      <c r="GN44" s="1319">
        <f t="shared" ca="1" si="1104"/>
        <v>21672.409500000002</v>
      </c>
      <c r="GO44" s="1319">
        <f t="shared" ca="1" si="1104"/>
        <v>5312.4737999999998</v>
      </c>
      <c r="GP44" s="1319">
        <f t="shared" ca="1" si="1104"/>
        <v>21672.409500000002</v>
      </c>
      <c r="GQ44" s="1319">
        <f t="shared" ca="1" si="1104"/>
        <v>5312.4732400000003</v>
      </c>
      <c r="HC44" s="1319">
        <f t="shared" ca="1" si="1105"/>
        <v>184.28537299999999</v>
      </c>
      <c r="HD44" s="1319">
        <f t="shared" ca="1" si="1105"/>
        <v>177.424138</v>
      </c>
      <c r="HE44" s="1319">
        <f t="shared" ca="1" si="1105"/>
        <v>0</v>
      </c>
      <c r="HF44" s="1319">
        <f t="shared" ca="1" si="1105"/>
        <v>1.17033893</v>
      </c>
      <c r="HG44" s="1319">
        <f t="shared" ca="1" si="1105"/>
        <v>5.6908961199999997</v>
      </c>
      <c r="HH44" s="1319">
        <f t="shared" ca="1" si="1105"/>
        <v>177.424138</v>
      </c>
      <c r="HT44" s="1319">
        <f t="shared" ca="1" si="1106"/>
        <v>12.5423323</v>
      </c>
      <c r="HU44" s="1319">
        <f t="shared" ca="1" si="1106"/>
        <v>177.424138</v>
      </c>
      <c r="HV44" s="1319">
        <f t="shared" ca="1" si="1106"/>
        <v>189.96647100000001</v>
      </c>
      <c r="HW44" s="1319">
        <f t="shared" ca="1" si="1106"/>
        <v>189.96647100000001</v>
      </c>
      <c r="HX44" s="1319">
        <f t="shared" ca="1" si="1106"/>
        <v>15.363669</v>
      </c>
      <c r="HY44" s="1319">
        <f t="shared" ca="1" si="1106"/>
        <v>1.1683183500000001</v>
      </c>
      <c r="HZ44" s="1319">
        <f t="shared" ca="1" si="1106"/>
        <v>0.56513829500000001</v>
      </c>
      <c r="IA44" s="1319">
        <f t="shared" ca="1" si="1106"/>
        <v>1.4325879699999999E-4</v>
      </c>
      <c r="IB44" s="1319">
        <f t="shared" ca="1" si="1106"/>
        <v>0</v>
      </c>
      <c r="IC44" s="1319">
        <f t="shared" ca="1" si="1106"/>
        <v>0</v>
      </c>
      <c r="ID44" s="1319">
        <f t="shared" ca="1" si="1106"/>
        <v>0</v>
      </c>
      <c r="IE44" s="1319">
        <f t="shared" ca="1" si="1106"/>
        <v>0</v>
      </c>
      <c r="IQ44" s="1319">
        <f t="shared" ca="1" si="1107"/>
        <v>15.363669</v>
      </c>
      <c r="IR44" s="1319">
        <f t="shared" ca="1" si="1107"/>
        <v>1.1683183500000001</v>
      </c>
      <c r="IS44" s="1319">
        <f t="shared" ca="1" si="1107"/>
        <v>2.2493200000000001E-2</v>
      </c>
      <c r="IT44" s="1319">
        <f t="shared" ca="1" si="1107"/>
        <v>1.1908115500000001</v>
      </c>
      <c r="IU44" s="1319">
        <f t="shared" ca="1" si="1108"/>
        <v>1.11138029</v>
      </c>
      <c r="IV44" s="1319">
        <f t="shared" ca="1" si="1107"/>
        <v>0.65935109599999997</v>
      </c>
      <c r="IW44" s="1319">
        <f t="shared" ca="1" si="1107"/>
        <v>0.53983680000000001</v>
      </c>
      <c r="IX44" s="1319">
        <f t="shared" ca="1" si="1109"/>
        <v>2.12443467E-2</v>
      </c>
      <c r="IY44" s="1319">
        <f t="shared" ca="1" si="1107"/>
        <v>7.9431267999999999E-2</v>
      </c>
      <c r="IZ44" s="1319">
        <f t="shared" ca="1" si="1107"/>
        <v>9.7021164100000001E-2</v>
      </c>
      <c r="JA44" s="1319">
        <f t="shared" ca="1" si="1107"/>
        <v>0.56233</v>
      </c>
      <c r="JB44" s="1319">
        <f t="shared" ca="1" si="1107"/>
        <v>0</v>
      </c>
      <c r="JC44" s="1319">
        <f t="shared" ca="1" si="1107"/>
        <v>9.6877905299999997E-2</v>
      </c>
      <c r="JD44" s="1319">
        <f t="shared" ca="1" si="1107"/>
        <v>0</v>
      </c>
      <c r="JE44" s="1319">
        <f t="shared" ca="1" si="1107"/>
        <v>9.7021164100000001E-2</v>
      </c>
      <c r="JF44" s="1319">
        <f t="shared" ca="1" si="1107"/>
        <v>0</v>
      </c>
      <c r="JG44" s="1319">
        <f t="shared" ca="1" si="1107"/>
        <v>0</v>
      </c>
      <c r="JH44" s="1319">
        <f t="shared" ca="1" si="1107"/>
        <v>1.4325879699999999E-4</v>
      </c>
      <c r="JT44" s="1319">
        <f t="shared" ca="1" si="1110"/>
        <v>0</v>
      </c>
      <c r="JU44" s="1319">
        <f t="shared" ca="1" si="1110"/>
        <v>0</v>
      </c>
      <c r="JV44" s="1319">
        <f t="shared" ca="1" si="1110"/>
        <v>0</v>
      </c>
      <c r="JW44" s="1319">
        <f t="shared" ca="1" si="1110"/>
        <v>0</v>
      </c>
      <c r="JX44" s="1319">
        <f t="shared" ca="1" si="1110"/>
        <v>21672.409500000002</v>
      </c>
      <c r="JY44" s="1319">
        <f t="shared" ca="1" si="1110"/>
        <v>0</v>
      </c>
      <c r="JZ44" s="1319">
        <f t="shared" ca="1" si="1110"/>
        <v>21672.409500000002</v>
      </c>
      <c r="KA44" s="1319">
        <f t="shared" ca="1" si="1110"/>
        <v>0</v>
      </c>
      <c r="KB44" s="1319">
        <f t="shared" ca="1" si="1110"/>
        <v>0</v>
      </c>
      <c r="KC44" s="1319">
        <f t="shared" ca="1" si="1110"/>
        <v>0</v>
      </c>
      <c r="KL44" s="1319">
        <f t="shared" ca="1" si="1111"/>
        <v>0</v>
      </c>
      <c r="KM44" s="1319">
        <f t="shared" ca="1" si="1111"/>
        <v>0</v>
      </c>
      <c r="KN44" s="1319">
        <f t="shared" ca="1" si="1111"/>
        <v>0</v>
      </c>
      <c r="KO44" s="1319">
        <f t="shared" ca="1" si="1111"/>
        <v>0</v>
      </c>
      <c r="KP44" s="1319">
        <f t="shared" ca="1" si="1111"/>
        <v>0</v>
      </c>
      <c r="KQ44" s="1319">
        <f t="shared" ca="1" si="1111"/>
        <v>0</v>
      </c>
      <c r="KR44" s="1319">
        <f t="shared" ca="1" si="1111"/>
        <v>0</v>
      </c>
      <c r="LA44" s="1319">
        <f t="shared" ca="1" si="1112"/>
        <v>1.17033893</v>
      </c>
      <c r="LB44" s="1319">
        <f t="shared" ca="1" si="1112"/>
        <v>0.56513829500000001</v>
      </c>
      <c r="LC44" s="1319">
        <f t="shared" ca="1" si="1112"/>
        <v>1.7354772199999999</v>
      </c>
      <c r="LD44" s="1319">
        <f t="shared" ca="1" si="1112"/>
        <v>1.7354772199999999</v>
      </c>
      <c r="LE44" s="1319">
        <f t="shared" ca="1" si="1112"/>
        <v>0</v>
      </c>
      <c r="LF44" s="1319">
        <f t="shared" ca="1" si="1112"/>
        <v>0</v>
      </c>
      <c r="LG44" s="1319">
        <f t="shared" ca="1" si="1112"/>
        <v>0</v>
      </c>
      <c r="LH44" s="1319">
        <f t="shared" ca="1" si="1112"/>
        <v>0</v>
      </c>
      <c r="LI44" s="1319">
        <f t="shared" ca="1" si="1112"/>
        <v>0</v>
      </c>
      <c r="LJ44" s="1319">
        <f t="shared" ca="1" si="1112"/>
        <v>0</v>
      </c>
      <c r="LK44" s="1319">
        <f t="shared" ca="1" si="1112"/>
        <v>0</v>
      </c>
      <c r="LW44" s="1319">
        <f t="shared" ca="1" si="1113"/>
        <v>0</v>
      </c>
      <c r="LX44" s="1319">
        <f t="shared" ca="1" si="1114"/>
        <v>0</v>
      </c>
      <c r="LY44" s="1319">
        <f t="shared" ca="1" si="1114"/>
        <v>5.6908961199999997</v>
      </c>
      <c r="LZ44" s="1319">
        <f t="shared" ca="1" si="1114"/>
        <v>7.9431267999999999E-2</v>
      </c>
      <c r="MA44" s="1319">
        <f t="shared" ca="1" si="1114"/>
        <v>5.7703273800000003</v>
      </c>
      <c r="MB44" s="1319">
        <f t="shared" ca="1" si="1114"/>
        <v>1.7354772199999999</v>
      </c>
      <c r="MC44" s="1319">
        <f t="shared" ca="1" si="1114"/>
        <v>0</v>
      </c>
      <c r="MD44" s="1319">
        <f t="shared" ca="1" si="1114"/>
        <v>0</v>
      </c>
      <c r="ME44" s="1319">
        <f t="shared" ca="1" si="1114"/>
        <v>0</v>
      </c>
      <c r="MF44" s="1319">
        <f t="shared" ca="1" si="1114"/>
        <v>0</v>
      </c>
      <c r="MG44" s="1319">
        <f t="shared" ca="1" si="1114"/>
        <v>0</v>
      </c>
      <c r="MH44" s="1319">
        <f t="shared" ca="1" si="1115"/>
        <v>0</v>
      </c>
      <c r="MI44" s="1319">
        <f t="shared" ca="1" si="1115"/>
        <v>0</v>
      </c>
      <c r="MJ44" s="1319">
        <f t="shared" ca="1" si="1114"/>
        <v>0</v>
      </c>
      <c r="MK44" s="1319">
        <f t="shared" ca="1" si="1114"/>
        <v>0</v>
      </c>
      <c r="ML44" s="1319">
        <f t="shared" ca="1" si="1114"/>
        <v>0</v>
      </c>
      <c r="MM44" s="1319">
        <f t="shared" ca="1" si="1114"/>
        <v>0</v>
      </c>
      <c r="MN44" s="1319">
        <f t="shared" ca="1" si="1114"/>
        <v>0</v>
      </c>
      <c r="MO44" s="1319">
        <f t="shared" ca="1" si="1114"/>
        <v>0</v>
      </c>
      <c r="NA44" s="1319">
        <f t="shared" ca="1" si="1116"/>
        <v>8.2510693699999997</v>
      </c>
      <c r="NB44" s="1319">
        <f t="shared" ca="1" si="1116"/>
        <v>8.0739946499999995</v>
      </c>
      <c r="NC44" s="1319">
        <f t="shared" ca="1" si="1116"/>
        <v>0.17707472299999999</v>
      </c>
      <c r="ND44" s="1319">
        <f t="shared" ca="1" si="1116"/>
        <v>0</v>
      </c>
      <c r="NE44" s="1319">
        <f t="shared" ca="1" si="1116"/>
        <v>0</v>
      </c>
      <c r="NF44" s="1319">
        <f t="shared" ca="1" si="1116"/>
        <v>0</v>
      </c>
      <c r="NG44" s="1319">
        <f t="shared" ca="1" si="1116"/>
        <v>0</v>
      </c>
      <c r="NH44" s="1319">
        <f t="shared" ca="1" si="1116"/>
        <v>0</v>
      </c>
      <c r="NI44" s="1319">
        <f t="shared" ca="1" si="1116"/>
        <v>0</v>
      </c>
      <c r="NJ44" s="1319">
        <f t="shared" ca="1" si="1116"/>
        <v>0</v>
      </c>
      <c r="NK44" s="1319">
        <f t="shared" ca="1" si="1116"/>
        <v>0</v>
      </c>
      <c r="NL44" s="1319">
        <f t="shared" ca="1" si="1116"/>
        <v>0</v>
      </c>
      <c r="NM44" s="1319">
        <f t="shared" ca="1" si="1116"/>
        <v>0</v>
      </c>
      <c r="NN44" s="1319">
        <f t="shared" ca="1" si="1116"/>
        <v>0</v>
      </c>
      <c r="NO44" s="1319">
        <f t="shared" ca="1" si="1116"/>
        <v>0</v>
      </c>
      <c r="NP44" s="1319">
        <f t="shared" ca="1" si="1116"/>
        <v>0</v>
      </c>
      <c r="OH44" s="1319">
        <f t="shared" ca="1" si="1117"/>
        <v>0</v>
      </c>
      <c r="OI44" s="1319">
        <f t="shared" ca="1" si="1117"/>
        <v>0</v>
      </c>
      <c r="OJ44" s="1319">
        <f t="shared" ca="1" si="1117"/>
        <v>0</v>
      </c>
      <c r="OK44" s="1319">
        <f t="shared" ca="1" si="1117"/>
        <v>0</v>
      </c>
      <c r="OL44" s="1319">
        <f t="shared" ca="1" si="1117"/>
        <v>0</v>
      </c>
      <c r="OM44" s="1319">
        <f t="shared" ca="1" si="1117"/>
        <v>0</v>
      </c>
      <c r="ON44" s="1319">
        <f t="shared" ca="1" si="1117"/>
        <v>0</v>
      </c>
      <c r="OO44" s="1319">
        <f t="shared" ca="1" si="1117"/>
        <v>0</v>
      </c>
      <c r="PA44" s="1319">
        <f t="shared" ca="1" si="1118"/>
        <v>0</v>
      </c>
      <c r="PB44" s="1319">
        <f t="shared" ca="1" si="1118"/>
        <v>0</v>
      </c>
      <c r="PC44" s="1319">
        <f t="shared" ca="1" si="1118"/>
        <v>0</v>
      </c>
      <c r="PD44" s="1319">
        <f t="shared" ca="1" si="1118"/>
        <v>0</v>
      </c>
      <c r="PE44" s="1319">
        <f t="shared" ca="1" si="1118"/>
        <v>0</v>
      </c>
      <c r="PF44" s="1319">
        <f t="shared" ca="1" si="1118"/>
        <v>0</v>
      </c>
      <c r="PG44" s="1319">
        <f t="shared" ca="1" si="1118"/>
        <v>0</v>
      </c>
      <c r="PH44" s="1319">
        <f t="shared" ca="1" si="1118"/>
        <v>0</v>
      </c>
      <c r="PI44" s="1319">
        <f t="shared" ca="1" si="1118"/>
        <v>0</v>
      </c>
      <c r="PJ44" s="1319">
        <f t="shared" ca="1" si="1118"/>
        <v>0</v>
      </c>
      <c r="PK44" s="1319">
        <f t="shared" ca="1" si="1118"/>
        <v>0</v>
      </c>
      <c r="PW44" s="1319">
        <f t="shared" ca="1" si="1119"/>
        <v>0</v>
      </c>
      <c r="PX44" s="1319">
        <f t="shared" ca="1" si="1119"/>
        <v>0</v>
      </c>
      <c r="PY44" s="1319">
        <f t="shared" ca="1" si="1119"/>
        <v>0</v>
      </c>
      <c r="PZ44" s="1319">
        <f t="shared" ca="1" si="1119"/>
        <v>0</v>
      </c>
    </row>
    <row r="45" spans="1:446" x14ac:dyDescent="0.25">
      <c r="A45" s="189">
        <v>6</v>
      </c>
      <c r="B45" s="189" t="s">
        <v>1256</v>
      </c>
      <c r="C45" s="1317" t="s">
        <v>1257</v>
      </c>
      <c r="D45" s="1317" t="s">
        <v>206</v>
      </c>
      <c r="J45" s="1319">
        <f t="shared" ca="1" si="1093"/>
        <v>0</v>
      </c>
      <c r="K45" s="1319">
        <f t="shared" ca="1" si="1120"/>
        <v>0</v>
      </c>
      <c r="T45" s="1319">
        <f t="shared" ca="1" si="1094"/>
        <v>0</v>
      </c>
      <c r="U45" s="1319">
        <f t="shared" ca="1" si="1094"/>
        <v>0</v>
      </c>
      <c r="V45" s="1319">
        <f t="shared" ca="1" si="1094"/>
        <v>3.9671217599999998E-6</v>
      </c>
      <c r="W45" s="1319">
        <f t="shared" ca="1" si="1094"/>
        <v>0</v>
      </c>
      <c r="X45" s="1319">
        <f t="shared" ca="1" si="1094"/>
        <v>0</v>
      </c>
      <c r="Y45" s="1319">
        <f t="shared" ca="1" si="1094"/>
        <v>3550.2460000000001</v>
      </c>
      <c r="Z45" s="1319">
        <f t="shared" ca="1" si="1094"/>
        <v>9.8258750000000005E-5</v>
      </c>
      <c r="AA45" s="1319">
        <f t="shared" ca="1" si="1094"/>
        <v>3550.2458999999999</v>
      </c>
      <c r="AB45" s="1319">
        <f t="shared" ca="1" si="1094"/>
        <v>0</v>
      </c>
      <c r="AC45" s="1319">
        <f t="shared" ca="1" si="1094"/>
        <v>3.9671217599999998E-6</v>
      </c>
      <c r="AD45" s="1319">
        <f t="shared" ca="1" si="1094"/>
        <v>0</v>
      </c>
      <c r="AM45" s="1319">
        <f t="shared" ca="1" si="1095"/>
        <v>0</v>
      </c>
      <c r="AN45" s="1319">
        <f t="shared" ca="1" si="1095"/>
        <v>0</v>
      </c>
      <c r="AO45" s="1319">
        <f t="shared" ca="1" si="1096"/>
        <v>3550.2458999999999</v>
      </c>
      <c r="AP45" s="1319">
        <f t="shared" ca="1" si="1096"/>
        <v>3550.2458999999999</v>
      </c>
      <c r="AQ45" s="1319">
        <f t="shared" ca="1" si="1096"/>
        <v>5.1192346900000003E-6</v>
      </c>
      <c r="AR45" s="1319">
        <f t="shared" ca="1" si="1096"/>
        <v>7.2228230100000003E-12</v>
      </c>
      <c r="AS45" s="1319">
        <f t="shared" ca="1" si="1096"/>
        <v>9.8258742799999996E-5</v>
      </c>
      <c r="AT45" s="1319">
        <f t="shared" ca="1" si="1095"/>
        <v>7.7349442800000005E-14</v>
      </c>
      <c r="AU45" s="1319">
        <f t="shared" ca="1" si="1095"/>
        <v>5.1192418300000004E-6</v>
      </c>
      <c r="AV45" s="1319">
        <f t="shared" ca="1" si="1095"/>
        <v>3550.2458900000001</v>
      </c>
      <c r="AW45" s="1319">
        <f t="shared" ca="1" si="1095"/>
        <v>7.7349442800000005E-14</v>
      </c>
      <c r="AX45" s="1319">
        <f t="shared" ca="1" si="1095"/>
        <v>1.03377985E-4</v>
      </c>
      <c r="AY45" s="1319">
        <f t="shared" ca="1" si="1095"/>
        <v>0</v>
      </c>
      <c r="AZ45" s="1319">
        <f t="shared" ca="1" si="1095"/>
        <v>0</v>
      </c>
      <c r="BA45" s="1319">
        <f t="shared" ca="1" si="1095"/>
        <v>0</v>
      </c>
      <c r="BB45" s="1319">
        <f t="shared" ca="1" si="1095"/>
        <v>3550.2458900000001</v>
      </c>
      <c r="BN45" s="1319">
        <f t="shared" ca="1" si="1097"/>
        <v>2968.8535299999999</v>
      </c>
      <c r="BO45" s="1319">
        <f t="shared" ca="1" si="1097"/>
        <v>148.442677</v>
      </c>
      <c r="BP45" s="1319">
        <f t="shared" ca="1" si="1097"/>
        <v>9.0657640299999991E-13</v>
      </c>
      <c r="BQ45" s="1319">
        <f t="shared" ca="1" si="1097"/>
        <v>0</v>
      </c>
      <c r="BR45" s="1319">
        <f t="shared" ca="1" si="1097"/>
        <v>0</v>
      </c>
      <c r="CD45" s="1319">
        <f t="shared" ca="1" si="1098"/>
        <v>3550.2458900000001</v>
      </c>
      <c r="CE45" s="1319">
        <f t="shared" ca="1" si="1098"/>
        <v>3550.2458900000001</v>
      </c>
      <c r="CF45" s="1319">
        <f t="shared" ca="1" si="1098"/>
        <v>2968.8535299999999</v>
      </c>
      <c r="CG45" s="1319">
        <f t="shared" ca="1" si="1098"/>
        <v>148.442677</v>
      </c>
      <c r="CH45" s="1319">
        <f t="shared" ca="1" si="1098"/>
        <v>3550.2458900000001</v>
      </c>
      <c r="CI45" s="1319">
        <f t="shared" ca="1" si="1098"/>
        <v>0</v>
      </c>
      <c r="CJ45" s="1319">
        <f t="shared" ca="1" si="1098"/>
        <v>0</v>
      </c>
      <c r="CK45" s="1319">
        <f t="shared" ca="1" si="1098"/>
        <v>521.24161500000002</v>
      </c>
      <c r="CL45" s="1319">
        <f t="shared" ca="1" si="1098"/>
        <v>3.0855791900000001E-12</v>
      </c>
      <c r="CM45" s="1319">
        <f t="shared" ca="1" si="1098"/>
        <v>0</v>
      </c>
      <c r="CN45" s="1319">
        <f t="shared" ca="1" si="1098"/>
        <v>521.24161500000002</v>
      </c>
      <c r="CO45" s="1319">
        <f t="shared" ca="1" si="1098"/>
        <v>0</v>
      </c>
      <c r="DA45" s="1319">
        <f t="shared" ca="1" si="1099"/>
        <v>120.898268</v>
      </c>
      <c r="DB45" s="1319">
        <f t="shared" ca="1" si="1099"/>
        <v>0</v>
      </c>
      <c r="DC45" s="1319">
        <f t="shared" ca="1" si="1099"/>
        <v>0</v>
      </c>
      <c r="DD45" s="1319">
        <f t="shared" ca="1" si="1099"/>
        <v>0</v>
      </c>
      <c r="DE45" s="1319">
        <f t="shared" ca="1" si="1099"/>
        <v>12.089826800000001</v>
      </c>
      <c r="DF45" s="1319">
        <f t="shared" ca="1" si="1099"/>
        <v>2.1789306400000002E-12</v>
      </c>
      <c r="DG45" s="1319">
        <f t="shared" ca="1" si="1099"/>
        <v>0</v>
      </c>
      <c r="DH45" s="1319">
        <f t="shared" ca="1" si="1099"/>
        <v>0</v>
      </c>
      <c r="DI45" s="1319">
        <f t="shared" ca="1" si="1099"/>
        <v>0</v>
      </c>
      <c r="DJ45" s="1319">
        <f t="shared" ca="1" si="1099"/>
        <v>0</v>
      </c>
      <c r="DV45" s="1319">
        <f t="shared" ca="1" si="1100"/>
        <v>0</v>
      </c>
      <c r="DW45" s="1319">
        <f t="shared" ca="1" si="1100"/>
        <v>2417.9653600000001</v>
      </c>
      <c r="DX45" s="1319">
        <f t="shared" ca="1" si="1100"/>
        <v>2417.9653600000001</v>
      </c>
      <c r="DY45" s="1319">
        <f t="shared" ca="1" si="1100"/>
        <v>120.898268</v>
      </c>
      <c r="DZ45" s="1319">
        <f t="shared" ca="1" si="1100"/>
        <v>0</v>
      </c>
      <c r="EA45" s="1319">
        <f t="shared" ca="1" si="1100"/>
        <v>12.089826800000001</v>
      </c>
      <c r="EB45" s="1319">
        <f t="shared" ca="1" si="1100"/>
        <v>2297.06709</v>
      </c>
      <c r="EC45" s="1319">
        <f t="shared" ca="1" si="1100"/>
        <v>0</v>
      </c>
      <c r="ED45" s="1319">
        <f t="shared" ca="1" si="1100"/>
        <v>0</v>
      </c>
      <c r="EE45" s="1319">
        <f t="shared" ca="1" si="1100"/>
        <v>0</v>
      </c>
      <c r="EF45" s="1319">
        <f t="shared" ca="1" si="1100"/>
        <v>0</v>
      </c>
      <c r="EG45" s="1319">
        <f t="shared" ca="1" si="1100"/>
        <v>0</v>
      </c>
      <c r="EH45" s="1319">
        <f t="shared" ca="1" si="1100"/>
        <v>0</v>
      </c>
      <c r="EI45" s="1319">
        <f t="shared" ca="1" si="1100"/>
        <v>0</v>
      </c>
      <c r="EJ45" s="1319">
        <f t="shared" ca="1" si="1101"/>
        <v>0</v>
      </c>
      <c r="EK45" s="1319">
        <f t="shared" ca="1" si="1100"/>
        <v>0</v>
      </c>
      <c r="EW45" s="1319">
        <f t="shared" ca="1" si="1102"/>
        <v>521.24161500000002</v>
      </c>
      <c r="EX45" s="1319">
        <f t="shared" ca="1" si="1102"/>
        <v>521.24161500000002</v>
      </c>
      <c r="EY45" s="1319">
        <f t="shared" ca="1" si="1102"/>
        <v>521.24161100000003</v>
      </c>
      <c r="EZ45" s="1319">
        <f t="shared" ca="1" si="1102"/>
        <v>521.24161100000003</v>
      </c>
      <c r="FA45" s="1319">
        <f t="shared" ca="1" si="1102"/>
        <v>2.3241626400000002E-19</v>
      </c>
      <c r="FB45" s="1319">
        <f t="shared" ca="1" si="1102"/>
        <v>3.9671217400000002E-6</v>
      </c>
      <c r="FN45" s="1319">
        <f t="shared" ca="1" si="1103"/>
        <v>9.0657640299999991E-13</v>
      </c>
      <c r="FO45" s="1319">
        <f t="shared" ca="1" si="1103"/>
        <v>3.0855791900000001E-12</v>
      </c>
      <c r="FP45" s="1319">
        <f t="shared" ca="1" si="1103"/>
        <v>2.3241626400000002E-19</v>
      </c>
      <c r="FQ45" s="1319">
        <f t="shared" ca="1" si="1103"/>
        <v>3.9671217400000002E-6</v>
      </c>
      <c r="FR45" s="1319">
        <f t="shared" ca="1" si="1103"/>
        <v>0</v>
      </c>
      <c r="FS45" s="1319">
        <f t="shared" ca="1" si="1103"/>
        <v>3.9671217599999998E-6</v>
      </c>
      <c r="FT45" s="1319">
        <f t="shared" ca="1" si="1103"/>
        <v>0</v>
      </c>
      <c r="FU45" s="1319">
        <f t="shared" ca="1" si="1103"/>
        <v>3.9921558300000001E-12</v>
      </c>
      <c r="FV45" s="1319">
        <f t="shared" ca="1" si="1103"/>
        <v>0</v>
      </c>
      <c r="FW45" s="1319">
        <f t="shared" ca="1" si="1103"/>
        <v>0</v>
      </c>
      <c r="FX45" s="1319">
        <f t="shared" ca="1" si="1103"/>
        <v>0</v>
      </c>
      <c r="GJ45" s="1319">
        <f t="shared" ca="1" si="1104"/>
        <v>0</v>
      </c>
      <c r="GK45" s="1319">
        <f t="shared" ca="1" si="1104"/>
        <v>0</v>
      </c>
      <c r="GL45" s="1319">
        <f t="shared" ca="1" si="1104"/>
        <v>0</v>
      </c>
      <c r="GM45" s="1319">
        <f t="shared" ca="1" si="1104"/>
        <v>0</v>
      </c>
      <c r="GN45" s="1319">
        <f t="shared" ca="1" si="1104"/>
        <v>0</v>
      </c>
      <c r="GO45" s="1319">
        <f t="shared" ca="1" si="1104"/>
        <v>0</v>
      </c>
      <c r="GP45" s="1319">
        <f t="shared" ca="1" si="1104"/>
        <v>0</v>
      </c>
      <c r="GQ45" s="1319">
        <f t="shared" ca="1" si="1104"/>
        <v>0</v>
      </c>
      <c r="HC45" s="1319">
        <f t="shared" ca="1" si="1105"/>
        <v>521.24161100000003</v>
      </c>
      <c r="HD45" s="1319">
        <f t="shared" ca="1" si="1105"/>
        <v>501.83496400000001</v>
      </c>
      <c r="HE45" s="1319">
        <f t="shared" ca="1" si="1105"/>
        <v>0</v>
      </c>
      <c r="HF45" s="1319">
        <f t="shared" ca="1" si="1105"/>
        <v>3.8042603699999999E-11</v>
      </c>
      <c r="HG45" s="1319">
        <f t="shared" ca="1" si="1105"/>
        <v>19.406647100000001</v>
      </c>
      <c r="HH45" s="1319">
        <f t="shared" ca="1" si="1105"/>
        <v>501.83496400000001</v>
      </c>
      <c r="HT45" s="1319">
        <f t="shared" ca="1" si="1106"/>
        <v>1.03377985E-4</v>
      </c>
      <c r="HU45" s="1319">
        <f t="shared" ca="1" si="1106"/>
        <v>501.83496400000001</v>
      </c>
      <c r="HV45" s="1319">
        <f t="shared" ca="1" si="1106"/>
        <v>501.83506700000004</v>
      </c>
      <c r="HW45" s="1319">
        <f t="shared" ca="1" si="1106"/>
        <v>501.83506700000004</v>
      </c>
      <c r="HX45" s="1319">
        <f t="shared" ca="1" si="1106"/>
        <v>41.973326800000002</v>
      </c>
      <c r="HY45" s="1319">
        <f t="shared" ca="1" si="1106"/>
        <v>3.1918292500000001</v>
      </c>
      <c r="HZ45" s="1319">
        <f t="shared" ca="1" si="1106"/>
        <v>9.8317209299999996E-13</v>
      </c>
      <c r="IA45" s="1319">
        <f t="shared" ca="1" si="1106"/>
        <v>1.59802285E-13</v>
      </c>
      <c r="IB45" s="1319">
        <f t="shared" ca="1" si="1106"/>
        <v>0</v>
      </c>
      <c r="IC45" s="1319">
        <f t="shared" ca="1" si="1106"/>
        <v>0</v>
      </c>
      <c r="ID45" s="1319">
        <f t="shared" ca="1" si="1106"/>
        <v>0</v>
      </c>
      <c r="IE45" s="1319">
        <f t="shared" ca="1" si="1106"/>
        <v>0</v>
      </c>
      <c r="IQ45" s="1319">
        <f t="shared" ca="1" si="1107"/>
        <v>41.973326800000002</v>
      </c>
      <c r="IR45" s="1319">
        <f t="shared" ca="1" si="1107"/>
        <v>3.1918292500000001</v>
      </c>
      <c r="IS45" s="1319">
        <f t="shared" ca="1" si="1107"/>
        <v>6.3500793700000002E-2</v>
      </c>
      <c r="IT45" s="1319">
        <f t="shared" ca="1" si="1107"/>
        <v>3.25533005</v>
      </c>
      <c r="IU45" s="1319">
        <f t="shared" ca="1" si="1108"/>
        <v>3.0381882199999999</v>
      </c>
      <c r="IV45" s="1319">
        <f t="shared" ca="1" si="1107"/>
        <v>1.8614213599999998</v>
      </c>
      <c r="IW45" s="1319">
        <f t="shared" ca="1" si="1107"/>
        <v>1.5240190499999999</v>
      </c>
      <c r="IX45" s="1319">
        <f t="shared" ca="1" si="1109"/>
        <v>7.00333528E-15</v>
      </c>
      <c r="IY45" s="1319">
        <f t="shared" ca="1" si="1107"/>
        <v>0.21714182500000001</v>
      </c>
      <c r="IZ45" s="1319">
        <f t="shared" ca="1" si="1107"/>
        <v>0.27390152000000001</v>
      </c>
      <c r="JA45" s="1319">
        <f t="shared" ca="1" si="1107"/>
        <v>1.5875198399999999</v>
      </c>
      <c r="JB45" s="1319">
        <f t="shared" ca="1" si="1107"/>
        <v>0</v>
      </c>
      <c r="JC45" s="1319">
        <f t="shared" ca="1" si="1107"/>
        <v>0.27390152000000001</v>
      </c>
      <c r="JD45" s="1319">
        <f t="shared" ca="1" si="1107"/>
        <v>0</v>
      </c>
      <c r="JE45" s="1319">
        <f t="shared" ca="1" si="1107"/>
        <v>0.27390152000000001</v>
      </c>
      <c r="JF45" s="1319">
        <f t="shared" ca="1" si="1107"/>
        <v>0</v>
      </c>
      <c r="JG45" s="1319">
        <f t="shared" ca="1" si="1107"/>
        <v>0</v>
      </c>
      <c r="JH45" s="1319">
        <f t="shared" ca="1" si="1107"/>
        <v>1.59802285E-13</v>
      </c>
      <c r="JT45" s="1319">
        <f t="shared" ca="1" si="1110"/>
        <v>0</v>
      </c>
      <c r="JU45" s="1319">
        <f t="shared" ca="1" si="1110"/>
        <v>0</v>
      </c>
      <c r="JV45" s="1319">
        <f t="shared" ca="1" si="1110"/>
        <v>0</v>
      </c>
      <c r="JW45" s="1319">
        <f t="shared" ca="1" si="1110"/>
        <v>0</v>
      </c>
      <c r="JX45" s="1319">
        <f t="shared" ca="1" si="1110"/>
        <v>0</v>
      </c>
      <c r="JY45" s="1319">
        <f t="shared" ca="1" si="1110"/>
        <v>0</v>
      </c>
      <c r="JZ45" s="1319">
        <f t="shared" ca="1" si="1110"/>
        <v>0</v>
      </c>
      <c r="KA45" s="1319">
        <f t="shared" ca="1" si="1110"/>
        <v>0</v>
      </c>
      <c r="KB45" s="1319">
        <f t="shared" ca="1" si="1110"/>
        <v>0</v>
      </c>
      <c r="KC45" s="1319">
        <f t="shared" ca="1" si="1110"/>
        <v>0</v>
      </c>
      <c r="KL45" s="1319">
        <f t="shared" ca="1" si="1111"/>
        <v>0</v>
      </c>
      <c r="KM45" s="1319">
        <f t="shared" ca="1" si="1111"/>
        <v>0</v>
      </c>
      <c r="KN45" s="1319">
        <f t="shared" ca="1" si="1111"/>
        <v>0</v>
      </c>
      <c r="KO45" s="1319">
        <f t="shared" ca="1" si="1111"/>
        <v>0</v>
      </c>
      <c r="KP45" s="1319">
        <f t="shared" ca="1" si="1111"/>
        <v>0</v>
      </c>
      <c r="KQ45" s="1319">
        <f t="shared" ca="1" si="1111"/>
        <v>0</v>
      </c>
      <c r="KR45" s="1319">
        <f t="shared" ca="1" si="1111"/>
        <v>0</v>
      </c>
      <c r="LA45" s="1319">
        <f t="shared" ca="1" si="1112"/>
        <v>3.8042603699999999E-11</v>
      </c>
      <c r="LB45" s="1319">
        <f t="shared" ca="1" si="1112"/>
        <v>9.8317209299999996E-13</v>
      </c>
      <c r="LC45" s="1319">
        <f t="shared" ca="1" si="1112"/>
        <v>3.9025775799999998E-11</v>
      </c>
      <c r="LD45" s="1319">
        <f t="shared" ca="1" si="1112"/>
        <v>3.9025775799999998E-11</v>
      </c>
      <c r="LE45" s="1319">
        <f t="shared" ca="1" si="1112"/>
        <v>0</v>
      </c>
      <c r="LF45" s="1319">
        <f t="shared" ca="1" si="1112"/>
        <v>0</v>
      </c>
      <c r="LG45" s="1319">
        <f t="shared" ca="1" si="1112"/>
        <v>0</v>
      </c>
      <c r="LH45" s="1319">
        <f t="shared" ca="1" si="1112"/>
        <v>0</v>
      </c>
      <c r="LI45" s="1319">
        <f t="shared" ca="1" si="1112"/>
        <v>0</v>
      </c>
      <c r="LJ45" s="1319">
        <f t="shared" ca="1" si="1112"/>
        <v>0</v>
      </c>
      <c r="LK45" s="1319">
        <f t="shared" ca="1" si="1112"/>
        <v>0</v>
      </c>
      <c r="LW45" s="1319">
        <f t="shared" ca="1" si="1113"/>
        <v>0</v>
      </c>
      <c r="LX45" s="1319">
        <f t="shared" ca="1" si="1114"/>
        <v>0</v>
      </c>
      <c r="LY45" s="1319">
        <f t="shared" ca="1" si="1114"/>
        <v>19.406647100000001</v>
      </c>
      <c r="LZ45" s="1319">
        <f t="shared" ca="1" si="1114"/>
        <v>0.21714182500000001</v>
      </c>
      <c r="MA45" s="1319">
        <f t="shared" ca="1" si="1114"/>
        <v>19.623788900000001</v>
      </c>
      <c r="MB45" s="1319">
        <f t="shared" ca="1" si="1114"/>
        <v>3.9025775799999998E-11</v>
      </c>
      <c r="MC45" s="1319">
        <f t="shared" ca="1" si="1114"/>
        <v>0</v>
      </c>
      <c r="MD45" s="1319">
        <f t="shared" ca="1" si="1114"/>
        <v>0</v>
      </c>
      <c r="ME45" s="1319">
        <f t="shared" ca="1" si="1114"/>
        <v>0</v>
      </c>
      <c r="MF45" s="1319">
        <f t="shared" ca="1" si="1114"/>
        <v>0</v>
      </c>
      <c r="MG45" s="1319">
        <f t="shared" ca="1" si="1114"/>
        <v>0</v>
      </c>
      <c r="MH45" s="1319">
        <f t="shared" ca="1" si="1115"/>
        <v>0</v>
      </c>
      <c r="MI45" s="1319">
        <f t="shared" ca="1" si="1115"/>
        <v>0</v>
      </c>
      <c r="MJ45" s="1319">
        <f t="shared" ca="1" si="1114"/>
        <v>0</v>
      </c>
      <c r="MK45" s="1319">
        <f t="shared" ca="1" si="1114"/>
        <v>0</v>
      </c>
      <c r="ML45" s="1319">
        <f t="shared" ca="1" si="1114"/>
        <v>0</v>
      </c>
      <c r="MM45" s="1319">
        <f t="shared" ca="1" si="1114"/>
        <v>0</v>
      </c>
      <c r="MN45" s="1319">
        <f t="shared" ca="1" si="1114"/>
        <v>0</v>
      </c>
      <c r="MO45" s="1319">
        <f t="shared" ca="1" si="1114"/>
        <v>0</v>
      </c>
      <c r="NA45" s="1319">
        <f t="shared" ca="1" si="1116"/>
        <v>9.8258750000000005E-5</v>
      </c>
      <c r="NB45" s="1319">
        <f t="shared" ca="1" si="1116"/>
        <v>7.2228230100000003E-12</v>
      </c>
      <c r="NC45" s="1319">
        <f t="shared" ca="1" si="1116"/>
        <v>9.8258742799999996E-5</v>
      </c>
      <c r="ND45" s="1319">
        <f t="shared" ca="1" si="1116"/>
        <v>0</v>
      </c>
      <c r="NE45" s="1319">
        <f t="shared" ca="1" si="1116"/>
        <v>0</v>
      </c>
      <c r="NF45" s="1319">
        <f t="shared" ca="1" si="1116"/>
        <v>0</v>
      </c>
      <c r="NG45" s="1319">
        <f t="shared" ca="1" si="1116"/>
        <v>0</v>
      </c>
      <c r="NH45" s="1319">
        <f t="shared" ca="1" si="1116"/>
        <v>0</v>
      </c>
      <c r="NI45" s="1319">
        <f t="shared" ca="1" si="1116"/>
        <v>0</v>
      </c>
      <c r="NJ45" s="1319">
        <f t="shared" ca="1" si="1116"/>
        <v>0</v>
      </c>
      <c r="NK45" s="1319">
        <f t="shared" ca="1" si="1116"/>
        <v>0</v>
      </c>
      <c r="NL45" s="1319">
        <f t="shared" ca="1" si="1116"/>
        <v>0</v>
      </c>
      <c r="NM45" s="1319">
        <f t="shared" ca="1" si="1116"/>
        <v>0</v>
      </c>
      <c r="NN45" s="1319">
        <f t="shared" ca="1" si="1116"/>
        <v>0</v>
      </c>
      <c r="NO45" s="1319">
        <f t="shared" ca="1" si="1116"/>
        <v>0</v>
      </c>
      <c r="NP45" s="1319">
        <f t="shared" ca="1" si="1116"/>
        <v>0</v>
      </c>
      <c r="OH45" s="1319">
        <f t="shared" ca="1" si="1117"/>
        <v>0</v>
      </c>
      <c r="OI45" s="1319">
        <f t="shared" ca="1" si="1117"/>
        <v>0</v>
      </c>
      <c r="OJ45" s="1319">
        <f t="shared" ca="1" si="1117"/>
        <v>0</v>
      </c>
      <c r="OK45" s="1319">
        <f t="shared" ca="1" si="1117"/>
        <v>0</v>
      </c>
      <c r="OL45" s="1319">
        <f t="shared" ca="1" si="1117"/>
        <v>0</v>
      </c>
      <c r="OM45" s="1319">
        <f t="shared" ca="1" si="1117"/>
        <v>0</v>
      </c>
      <c r="ON45" s="1319">
        <f t="shared" ca="1" si="1117"/>
        <v>0</v>
      </c>
      <c r="OO45" s="1319">
        <f t="shared" ca="1" si="1117"/>
        <v>0</v>
      </c>
      <c r="PA45" s="1319">
        <f t="shared" ca="1" si="1118"/>
        <v>0</v>
      </c>
      <c r="PB45" s="1319">
        <f t="shared" ca="1" si="1118"/>
        <v>0</v>
      </c>
      <c r="PC45" s="1319">
        <f t="shared" ca="1" si="1118"/>
        <v>0</v>
      </c>
      <c r="PD45" s="1319">
        <f t="shared" ca="1" si="1118"/>
        <v>0</v>
      </c>
      <c r="PE45" s="1319">
        <f t="shared" ca="1" si="1118"/>
        <v>0</v>
      </c>
      <c r="PF45" s="1319">
        <f t="shared" ca="1" si="1118"/>
        <v>0</v>
      </c>
      <c r="PG45" s="1319">
        <f t="shared" ca="1" si="1118"/>
        <v>0</v>
      </c>
      <c r="PH45" s="1319">
        <f t="shared" ca="1" si="1118"/>
        <v>0</v>
      </c>
      <c r="PI45" s="1319">
        <f t="shared" ca="1" si="1118"/>
        <v>0</v>
      </c>
      <c r="PJ45" s="1319">
        <f t="shared" ca="1" si="1118"/>
        <v>0</v>
      </c>
      <c r="PK45" s="1319">
        <f t="shared" ca="1" si="1118"/>
        <v>0</v>
      </c>
      <c r="PW45" s="1319">
        <f t="shared" ca="1" si="1119"/>
        <v>0</v>
      </c>
      <c r="PX45" s="1319">
        <f t="shared" ca="1" si="1119"/>
        <v>0</v>
      </c>
      <c r="PY45" s="1319">
        <f t="shared" ca="1" si="1119"/>
        <v>0</v>
      </c>
      <c r="PZ45" s="1319">
        <f t="shared" ca="1" si="1119"/>
        <v>0</v>
      </c>
    </row>
    <row r="46" spans="1:446" x14ac:dyDescent="0.25">
      <c r="A46" s="189">
        <v>7</v>
      </c>
      <c r="B46" s="189" t="s">
        <v>1256</v>
      </c>
      <c r="C46" s="1317" t="s">
        <v>1268</v>
      </c>
      <c r="D46" s="1317" t="s">
        <v>206</v>
      </c>
      <c r="J46" s="1319">
        <f t="shared" ca="1" si="1093"/>
        <v>0</v>
      </c>
      <c r="K46" s="1319">
        <f t="shared" ca="1" si="1120"/>
        <v>0</v>
      </c>
      <c r="T46" s="1319">
        <f t="shared" ca="1" si="1094"/>
        <v>0</v>
      </c>
      <c r="U46" s="1319">
        <f t="shared" ca="1" si="1094"/>
        <v>0</v>
      </c>
      <c r="V46" s="1319">
        <f t="shared" ca="1" si="1094"/>
        <v>8.7085431599999996E-6</v>
      </c>
      <c r="W46" s="1319">
        <f t="shared" ca="1" si="1094"/>
        <v>0</v>
      </c>
      <c r="X46" s="1319">
        <f t="shared" ca="1" si="1094"/>
        <v>0</v>
      </c>
      <c r="Y46" s="1319">
        <f t="shared" ca="1" si="1094"/>
        <v>1191.5222100000001</v>
      </c>
      <c r="Z46" s="1319">
        <f t="shared" ca="1" si="1094"/>
        <v>3.2977287600000001E-5</v>
      </c>
      <c r="AA46" s="1319">
        <f t="shared" ca="1" si="1094"/>
        <v>1191.5221799999999</v>
      </c>
      <c r="AB46" s="1319">
        <f t="shared" ca="1" si="1094"/>
        <v>0</v>
      </c>
      <c r="AC46" s="1319">
        <f t="shared" ca="1" si="1094"/>
        <v>8.7085431599999996E-6</v>
      </c>
      <c r="AD46" s="1319">
        <f t="shared" ca="1" si="1094"/>
        <v>0</v>
      </c>
      <c r="AM46" s="1319">
        <f t="shared" ca="1" si="1095"/>
        <v>0</v>
      </c>
      <c r="AN46" s="1319">
        <f t="shared" ca="1" si="1095"/>
        <v>0</v>
      </c>
      <c r="AO46" s="1319">
        <f t="shared" ca="1" si="1096"/>
        <v>1191.5221799999999</v>
      </c>
      <c r="AP46" s="1319">
        <f t="shared" ca="1" si="1096"/>
        <v>1191.5221799999999</v>
      </c>
      <c r="AQ46" s="1319">
        <f t="shared" ca="1" si="1096"/>
        <v>1.71810118E-6</v>
      </c>
      <c r="AR46" s="1319">
        <f t="shared" ca="1" si="1096"/>
        <v>2.4241007699999999E-12</v>
      </c>
      <c r="AS46" s="1319">
        <f t="shared" ca="1" si="1096"/>
        <v>3.2977285200000002E-5</v>
      </c>
      <c r="AT46" s="1319">
        <f t="shared" ca="1" si="1095"/>
        <v>2.59597728E-14</v>
      </c>
      <c r="AU46" s="1319">
        <f t="shared" ca="1" si="1095"/>
        <v>1.71810358E-6</v>
      </c>
      <c r="AV46" s="1319">
        <f t="shared" ca="1" si="1095"/>
        <v>1191.5221799999999</v>
      </c>
      <c r="AW46" s="1319">
        <f t="shared" ca="1" si="1095"/>
        <v>2.59597728E-14</v>
      </c>
      <c r="AX46" s="1319">
        <f t="shared" ca="1" si="1095"/>
        <v>3.46953888E-5</v>
      </c>
      <c r="AY46" s="1319">
        <f t="shared" ca="1" si="1095"/>
        <v>0</v>
      </c>
      <c r="AZ46" s="1319">
        <f t="shared" ca="1" si="1095"/>
        <v>0</v>
      </c>
      <c r="BA46" s="1319">
        <f t="shared" ca="1" si="1095"/>
        <v>0</v>
      </c>
      <c r="BB46" s="1319">
        <f t="shared" ca="1" si="1095"/>
        <v>1179.6069600000001</v>
      </c>
      <c r="BN46" s="1319">
        <f t="shared" ca="1" si="1097"/>
        <v>117.96069600000001</v>
      </c>
      <c r="BO46" s="1319">
        <f t="shared" ca="1" si="1097"/>
        <v>117.96069600000001</v>
      </c>
      <c r="BP46" s="1319">
        <f t="shared" ca="1" si="1097"/>
        <v>7.2041535199999995E-13</v>
      </c>
      <c r="BQ46" s="1319">
        <f t="shared" ca="1" si="1097"/>
        <v>0</v>
      </c>
      <c r="BR46" s="1319">
        <f t="shared" ca="1" si="1097"/>
        <v>0</v>
      </c>
      <c r="CD46" s="1319">
        <f t="shared" ca="1" si="1098"/>
        <v>1179.6069600000001</v>
      </c>
      <c r="CE46" s="1319">
        <f t="shared" ca="1" si="1098"/>
        <v>1179.6069600000001</v>
      </c>
      <c r="CF46" s="1319">
        <f t="shared" ca="1" si="1098"/>
        <v>117.96069600000001</v>
      </c>
      <c r="CG46" s="1319">
        <f t="shared" ca="1" si="1098"/>
        <v>117.96069600000001</v>
      </c>
      <c r="CH46" s="1319">
        <f t="shared" ca="1" si="1098"/>
        <v>1179.6069600000001</v>
      </c>
      <c r="CI46" s="1319">
        <f t="shared" ca="1" si="1098"/>
        <v>0</v>
      </c>
      <c r="CJ46" s="1319">
        <f t="shared" ca="1" si="1098"/>
        <v>0</v>
      </c>
      <c r="CK46" s="1319">
        <f t="shared" ca="1" si="1098"/>
        <v>1144.21875</v>
      </c>
      <c r="CL46" s="1319">
        <f t="shared" ca="1" si="1098"/>
        <v>6.7733992400000009E-12</v>
      </c>
      <c r="CM46" s="1319">
        <f t="shared" ca="1" si="1098"/>
        <v>0</v>
      </c>
      <c r="CN46" s="1319">
        <f t="shared" ca="1" si="1098"/>
        <v>1144.21875</v>
      </c>
      <c r="CO46" s="1319">
        <f t="shared" ca="1" si="1098"/>
        <v>0</v>
      </c>
      <c r="DA46" s="1319">
        <f t="shared" ca="1" si="1099"/>
        <v>0</v>
      </c>
      <c r="DB46" s="1319">
        <f t="shared" ca="1" si="1099"/>
        <v>0</v>
      </c>
      <c r="DC46" s="1319">
        <f t="shared" ca="1" si="1099"/>
        <v>0</v>
      </c>
      <c r="DD46" s="1319">
        <f t="shared" ca="1" si="1099"/>
        <v>0</v>
      </c>
      <c r="DE46" s="1319">
        <f t="shared" ca="1" si="1099"/>
        <v>0</v>
      </c>
      <c r="DF46" s="1319">
        <f t="shared" ca="1" si="1099"/>
        <v>0</v>
      </c>
      <c r="DG46" s="1319">
        <f t="shared" ca="1" si="1099"/>
        <v>0</v>
      </c>
      <c r="DH46" s="1319">
        <f t="shared" ca="1" si="1099"/>
        <v>0</v>
      </c>
      <c r="DI46" s="1319">
        <f t="shared" ca="1" si="1099"/>
        <v>0</v>
      </c>
      <c r="DJ46" s="1319">
        <f t="shared" ca="1" si="1099"/>
        <v>0</v>
      </c>
      <c r="DV46" s="1319">
        <f t="shared" ca="1" si="1100"/>
        <v>0</v>
      </c>
      <c r="DW46" s="1319">
        <f t="shared" ca="1" si="1100"/>
        <v>0</v>
      </c>
      <c r="DX46" s="1319">
        <f t="shared" ca="1" si="1100"/>
        <v>0</v>
      </c>
      <c r="DY46" s="1319">
        <f t="shared" ca="1" si="1100"/>
        <v>0</v>
      </c>
      <c r="DZ46" s="1319">
        <f t="shared" ca="1" si="1100"/>
        <v>0</v>
      </c>
      <c r="EA46" s="1319">
        <f t="shared" ca="1" si="1100"/>
        <v>0</v>
      </c>
      <c r="EB46" s="1319">
        <f t="shared" ca="1" si="1100"/>
        <v>0</v>
      </c>
      <c r="EC46" s="1319">
        <f t="shared" ca="1" si="1100"/>
        <v>0</v>
      </c>
      <c r="ED46" s="1319">
        <f t="shared" ca="1" si="1100"/>
        <v>0</v>
      </c>
      <c r="EE46" s="1319">
        <f t="shared" ca="1" si="1100"/>
        <v>0</v>
      </c>
      <c r="EF46" s="1319">
        <f t="shared" ca="1" si="1100"/>
        <v>0</v>
      </c>
      <c r="EG46" s="1319">
        <f t="shared" ca="1" si="1100"/>
        <v>0</v>
      </c>
      <c r="EH46" s="1319">
        <f t="shared" ca="1" si="1100"/>
        <v>0</v>
      </c>
      <c r="EI46" s="1319">
        <f t="shared" ca="1" si="1100"/>
        <v>0</v>
      </c>
      <c r="EJ46" s="1319">
        <f t="shared" ca="1" si="1101"/>
        <v>0</v>
      </c>
      <c r="EK46" s="1319">
        <f t="shared" ca="1" si="1100"/>
        <v>0</v>
      </c>
      <c r="EW46" s="1319">
        <f t="shared" ca="1" si="1102"/>
        <v>1144.21875</v>
      </c>
      <c r="EX46" s="1319">
        <f t="shared" ca="1" si="1102"/>
        <v>1144.21875</v>
      </c>
      <c r="EY46" s="1319">
        <f t="shared" ca="1" si="1102"/>
        <v>1144.21874</v>
      </c>
      <c r="EZ46" s="1319">
        <f t="shared" ca="1" si="1102"/>
        <v>1144.21874</v>
      </c>
      <c r="FA46" s="1319">
        <f t="shared" ca="1" si="1102"/>
        <v>5.1019534700000004E-19</v>
      </c>
      <c r="FB46" s="1319">
        <f t="shared" ca="1" si="1102"/>
        <v>8.7085431200000003E-6</v>
      </c>
      <c r="FN46" s="1319">
        <f t="shared" ca="1" si="1103"/>
        <v>7.2041535199999995E-13</v>
      </c>
      <c r="FO46" s="1319">
        <f t="shared" ca="1" si="1103"/>
        <v>6.7733992400000009E-12</v>
      </c>
      <c r="FP46" s="1319">
        <f t="shared" ca="1" si="1103"/>
        <v>5.1019534700000004E-19</v>
      </c>
      <c r="FQ46" s="1319">
        <f t="shared" ca="1" si="1103"/>
        <v>8.7085431200000003E-6</v>
      </c>
      <c r="FR46" s="1319">
        <f t="shared" ca="1" si="1103"/>
        <v>0</v>
      </c>
      <c r="FS46" s="1319">
        <f t="shared" ca="1" si="1103"/>
        <v>8.7085431599999996E-6</v>
      </c>
      <c r="FT46" s="1319">
        <f t="shared" ca="1" si="1103"/>
        <v>0</v>
      </c>
      <c r="FU46" s="1319">
        <f t="shared" ca="1" si="1103"/>
        <v>7.4938151000000001E-12</v>
      </c>
      <c r="FV46" s="1319">
        <f t="shared" ca="1" si="1103"/>
        <v>0</v>
      </c>
      <c r="FW46" s="1319">
        <f t="shared" ca="1" si="1103"/>
        <v>0</v>
      </c>
      <c r="FX46" s="1319">
        <f t="shared" ca="1" si="1103"/>
        <v>0</v>
      </c>
      <c r="GJ46" s="1319">
        <f t="shared" ca="1" si="1104"/>
        <v>0</v>
      </c>
      <c r="GK46" s="1319">
        <f t="shared" ca="1" si="1104"/>
        <v>0</v>
      </c>
      <c r="GL46" s="1319">
        <f t="shared" ca="1" si="1104"/>
        <v>0</v>
      </c>
      <c r="GM46" s="1319">
        <f t="shared" ca="1" si="1104"/>
        <v>0</v>
      </c>
      <c r="GN46" s="1319">
        <f t="shared" ca="1" si="1104"/>
        <v>0</v>
      </c>
      <c r="GO46" s="1319">
        <f t="shared" ca="1" si="1104"/>
        <v>0</v>
      </c>
      <c r="GP46" s="1319">
        <f t="shared" ca="1" si="1104"/>
        <v>0</v>
      </c>
      <c r="GQ46" s="1319">
        <f t="shared" ca="1" si="1104"/>
        <v>0</v>
      </c>
      <c r="HC46" s="1319">
        <f t="shared" ca="1" si="1105"/>
        <v>1144.21874</v>
      </c>
      <c r="HD46" s="1319">
        <f t="shared" ca="1" si="1105"/>
        <v>1101.6176700000001</v>
      </c>
      <c r="HE46" s="1319">
        <f t="shared" ca="1" si="1105"/>
        <v>0</v>
      </c>
      <c r="HF46" s="1319">
        <f t="shared" ca="1" si="1105"/>
        <v>8.3510332199999996E-11</v>
      </c>
      <c r="HG46" s="1319">
        <f t="shared" ca="1" si="1105"/>
        <v>42.601067899999997</v>
      </c>
      <c r="HH46" s="1319">
        <f t="shared" ca="1" si="1105"/>
        <v>1101.6176700000001</v>
      </c>
      <c r="HT46" s="1319">
        <f t="shared" ca="1" si="1106"/>
        <v>3.46953888E-5</v>
      </c>
      <c r="HU46" s="1319">
        <f t="shared" ca="1" si="1106"/>
        <v>1101.6176700000001</v>
      </c>
      <c r="HV46" s="1319">
        <f t="shared" ca="1" si="1106"/>
        <v>1101.61771</v>
      </c>
      <c r="HW46" s="1319">
        <f t="shared" ca="1" si="1106"/>
        <v>1101.61771</v>
      </c>
      <c r="HX46" s="1319">
        <f t="shared" ca="1" si="1106"/>
        <v>92.138957599999998</v>
      </c>
      <c r="HY46" s="1319">
        <f t="shared" ca="1" si="1106"/>
        <v>7.0066359499999997</v>
      </c>
      <c r="HZ46" s="1319">
        <f t="shared" ca="1" si="1106"/>
        <v>2.1582385499999999E-12</v>
      </c>
      <c r="IA46" s="1319">
        <f t="shared" ca="1" si="1106"/>
        <v>3.5079459099999998E-13</v>
      </c>
      <c r="IB46" s="1319">
        <f t="shared" ca="1" si="1106"/>
        <v>0</v>
      </c>
      <c r="IC46" s="1319">
        <f t="shared" ca="1" si="1106"/>
        <v>0</v>
      </c>
      <c r="ID46" s="1319">
        <f t="shared" ca="1" si="1106"/>
        <v>0</v>
      </c>
      <c r="IE46" s="1319">
        <f t="shared" ca="1" si="1106"/>
        <v>0</v>
      </c>
      <c r="IQ46" s="1319">
        <f t="shared" ca="1" si="1107"/>
        <v>92.138957599999998</v>
      </c>
      <c r="IR46" s="1319">
        <f t="shared" ca="1" si="1107"/>
        <v>7.0066359499999997</v>
      </c>
      <c r="IS46" s="1319">
        <f t="shared" ca="1" si="1107"/>
        <v>0.13939559700000001</v>
      </c>
      <c r="IT46" s="1319">
        <f t="shared" ca="1" si="1107"/>
        <v>7.1460315400000001</v>
      </c>
      <c r="IU46" s="1319">
        <f t="shared" ca="1" si="1108"/>
        <v>6.6693664100000003</v>
      </c>
      <c r="IV46" s="1319">
        <f t="shared" ca="1" si="1107"/>
        <v>4.0861527300000002</v>
      </c>
      <c r="IW46" s="1319">
        <f t="shared" ca="1" si="1107"/>
        <v>3.3454943199999998</v>
      </c>
      <c r="IX46" s="1319">
        <f t="shared" ca="1" si="1109"/>
        <v>1.5373573199999999E-14</v>
      </c>
      <c r="IY46" s="1319">
        <f t="shared" ca="1" si="1107"/>
        <v>0.47666513199999999</v>
      </c>
      <c r="IZ46" s="1319">
        <f t="shared" ca="1" si="1107"/>
        <v>0.60126281400000003</v>
      </c>
      <c r="JA46" s="1319">
        <f t="shared" ca="1" si="1107"/>
        <v>3.4848899200000001</v>
      </c>
      <c r="JB46" s="1319">
        <f t="shared" ca="1" si="1107"/>
        <v>0</v>
      </c>
      <c r="JC46" s="1319">
        <f t="shared" ca="1" si="1107"/>
        <v>0.60126281400000003</v>
      </c>
      <c r="JD46" s="1319">
        <f t="shared" ca="1" si="1107"/>
        <v>0</v>
      </c>
      <c r="JE46" s="1319">
        <f t="shared" ca="1" si="1107"/>
        <v>0.60126281400000003</v>
      </c>
      <c r="JF46" s="1319">
        <f t="shared" ca="1" si="1107"/>
        <v>0</v>
      </c>
      <c r="JG46" s="1319">
        <f t="shared" ca="1" si="1107"/>
        <v>0</v>
      </c>
      <c r="JH46" s="1319">
        <f t="shared" ca="1" si="1107"/>
        <v>3.5079459099999998E-13</v>
      </c>
      <c r="JT46" s="1319">
        <f t="shared" ca="1" si="1110"/>
        <v>0</v>
      </c>
      <c r="JU46" s="1319">
        <f t="shared" ca="1" si="1110"/>
        <v>0</v>
      </c>
      <c r="JV46" s="1319">
        <f t="shared" ca="1" si="1110"/>
        <v>0</v>
      </c>
      <c r="JW46" s="1319">
        <f t="shared" ca="1" si="1110"/>
        <v>0</v>
      </c>
      <c r="JX46" s="1319">
        <f t="shared" ca="1" si="1110"/>
        <v>0</v>
      </c>
      <c r="JY46" s="1319">
        <f t="shared" ca="1" si="1110"/>
        <v>0</v>
      </c>
      <c r="JZ46" s="1319">
        <f t="shared" ca="1" si="1110"/>
        <v>0</v>
      </c>
      <c r="KA46" s="1319">
        <f t="shared" ca="1" si="1110"/>
        <v>0</v>
      </c>
      <c r="KB46" s="1319">
        <f t="shared" ca="1" si="1110"/>
        <v>0</v>
      </c>
      <c r="KC46" s="1319">
        <f t="shared" ca="1" si="1110"/>
        <v>0</v>
      </c>
      <c r="KL46" s="1319">
        <f t="shared" ca="1" si="1111"/>
        <v>0</v>
      </c>
      <c r="KM46" s="1319">
        <f t="shared" ca="1" si="1111"/>
        <v>0</v>
      </c>
      <c r="KN46" s="1319">
        <f t="shared" ca="1" si="1111"/>
        <v>0</v>
      </c>
      <c r="KO46" s="1319">
        <f t="shared" ca="1" si="1111"/>
        <v>0</v>
      </c>
      <c r="KP46" s="1319">
        <f t="shared" ca="1" si="1111"/>
        <v>0</v>
      </c>
      <c r="KQ46" s="1319">
        <f t="shared" ca="1" si="1111"/>
        <v>0</v>
      </c>
      <c r="KR46" s="1319">
        <f t="shared" ca="1" si="1111"/>
        <v>0</v>
      </c>
      <c r="LA46" s="1319">
        <f t="shared" ca="1" si="1112"/>
        <v>8.3510332199999996E-11</v>
      </c>
      <c r="LB46" s="1319">
        <f t="shared" ca="1" si="1112"/>
        <v>2.1582385499999999E-12</v>
      </c>
      <c r="LC46" s="1319">
        <f t="shared" ca="1" si="1112"/>
        <v>8.5668570700000005E-11</v>
      </c>
      <c r="LD46" s="1319">
        <f t="shared" ca="1" si="1112"/>
        <v>8.5668570700000005E-11</v>
      </c>
      <c r="LE46" s="1319">
        <f t="shared" ca="1" si="1112"/>
        <v>0</v>
      </c>
      <c r="LF46" s="1319">
        <f t="shared" ca="1" si="1112"/>
        <v>0</v>
      </c>
      <c r="LG46" s="1319">
        <f t="shared" ca="1" si="1112"/>
        <v>0</v>
      </c>
      <c r="LH46" s="1319">
        <f t="shared" ca="1" si="1112"/>
        <v>0</v>
      </c>
      <c r="LI46" s="1319">
        <f t="shared" ca="1" si="1112"/>
        <v>0</v>
      </c>
      <c r="LJ46" s="1319">
        <f t="shared" ca="1" si="1112"/>
        <v>0</v>
      </c>
      <c r="LK46" s="1319">
        <f t="shared" ca="1" si="1112"/>
        <v>0</v>
      </c>
      <c r="LW46" s="1319">
        <f t="shared" ca="1" si="1113"/>
        <v>0</v>
      </c>
      <c r="LX46" s="1319">
        <f t="shared" ca="1" si="1114"/>
        <v>0</v>
      </c>
      <c r="LY46" s="1319">
        <f t="shared" ca="1" si="1114"/>
        <v>42.601067899999997</v>
      </c>
      <c r="LZ46" s="1319">
        <f t="shared" ca="1" si="1114"/>
        <v>0.47666513199999999</v>
      </c>
      <c r="MA46" s="1319">
        <f t="shared" ca="1" si="1114"/>
        <v>43.077733100000003</v>
      </c>
      <c r="MB46" s="1319">
        <f t="shared" ca="1" si="1114"/>
        <v>8.5668570700000005E-11</v>
      </c>
      <c r="MC46" s="1319">
        <f t="shared" ca="1" si="1114"/>
        <v>0</v>
      </c>
      <c r="MD46" s="1319">
        <f t="shared" ca="1" si="1114"/>
        <v>0</v>
      </c>
      <c r="ME46" s="1319">
        <f t="shared" ca="1" si="1114"/>
        <v>0</v>
      </c>
      <c r="MF46" s="1319">
        <f t="shared" ca="1" si="1114"/>
        <v>0</v>
      </c>
      <c r="MG46" s="1319">
        <f t="shared" ca="1" si="1114"/>
        <v>0</v>
      </c>
      <c r="MH46" s="1319">
        <f t="shared" ca="1" si="1115"/>
        <v>0</v>
      </c>
      <c r="MI46" s="1319">
        <f t="shared" ca="1" si="1115"/>
        <v>0</v>
      </c>
      <c r="MJ46" s="1319">
        <f t="shared" ca="1" si="1114"/>
        <v>0</v>
      </c>
      <c r="MK46" s="1319">
        <f t="shared" ca="1" si="1114"/>
        <v>0</v>
      </c>
      <c r="ML46" s="1319">
        <f t="shared" ca="1" si="1114"/>
        <v>0</v>
      </c>
      <c r="MM46" s="1319">
        <f t="shared" ca="1" si="1114"/>
        <v>0</v>
      </c>
      <c r="MN46" s="1319">
        <f t="shared" ca="1" si="1114"/>
        <v>0</v>
      </c>
      <c r="MO46" s="1319">
        <f t="shared" ca="1" si="1114"/>
        <v>0</v>
      </c>
      <c r="NA46" s="1319">
        <f t="shared" ca="1" si="1116"/>
        <v>3.2977287600000001E-5</v>
      </c>
      <c r="NB46" s="1319">
        <f t="shared" ca="1" si="1116"/>
        <v>2.4241007699999999E-12</v>
      </c>
      <c r="NC46" s="1319">
        <f t="shared" ca="1" si="1116"/>
        <v>3.2977285200000002E-5</v>
      </c>
      <c r="ND46" s="1319">
        <f t="shared" ca="1" si="1116"/>
        <v>0</v>
      </c>
      <c r="NE46" s="1319">
        <f t="shared" ca="1" si="1116"/>
        <v>0</v>
      </c>
      <c r="NF46" s="1319">
        <f t="shared" ca="1" si="1116"/>
        <v>0</v>
      </c>
      <c r="NG46" s="1319">
        <f t="shared" ca="1" si="1116"/>
        <v>0</v>
      </c>
      <c r="NH46" s="1319">
        <f t="shared" ca="1" si="1116"/>
        <v>0</v>
      </c>
      <c r="NI46" s="1319">
        <f t="shared" ca="1" si="1116"/>
        <v>0</v>
      </c>
      <c r="NJ46" s="1319">
        <f t="shared" ca="1" si="1116"/>
        <v>0</v>
      </c>
      <c r="NK46" s="1319">
        <f t="shared" ca="1" si="1116"/>
        <v>0</v>
      </c>
      <c r="NL46" s="1319">
        <f t="shared" ca="1" si="1116"/>
        <v>0</v>
      </c>
      <c r="NM46" s="1319">
        <f t="shared" ca="1" si="1116"/>
        <v>0</v>
      </c>
      <c r="NN46" s="1319">
        <f t="shared" ca="1" si="1116"/>
        <v>0</v>
      </c>
      <c r="NO46" s="1319">
        <f t="shared" ca="1" si="1116"/>
        <v>0</v>
      </c>
      <c r="NP46" s="1319">
        <f t="shared" ca="1" si="1116"/>
        <v>0</v>
      </c>
      <c r="OH46" s="1319">
        <f t="shared" ca="1" si="1117"/>
        <v>0</v>
      </c>
      <c r="OI46" s="1319">
        <f t="shared" ca="1" si="1117"/>
        <v>0</v>
      </c>
      <c r="OJ46" s="1319">
        <f t="shared" ca="1" si="1117"/>
        <v>0</v>
      </c>
      <c r="OK46" s="1319">
        <f t="shared" ca="1" si="1117"/>
        <v>0</v>
      </c>
      <c r="OL46" s="1319">
        <f t="shared" ca="1" si="1117"/>
        <v>0</v>
      </c>
      <c r="OM46" s="1319">
        <f t="shared" ca="1" si="1117"/>
        <v>0</v>
      </c>
      <c r="ON46" s="1319">
        <f t="shared" ca="1" si="1117"/>
        <v>0</v>
      </c>
      <c r="OO46" s="1319">
        <f t="shared" ca="1" si="1117"/>
        <v>0</v>
      </c>
      <c r="PA46" s="1319">
        <f t="shared" ca="1" si="1118"/>
        <v>0</v>
      </c>
      <c r="PB46" s="1319">
        <f t="shared" ca="1" si="1118"/>
        <v>0</v>
      </c>
      <c r="PC46" s="1319">
        <f t="shared" ca="1" si="1118"/>
        <v>0</v>
      </c>
      <c r="PD46" s="1319">
        <f t="shared" ca="1" si="1118"/>
        <v>0</v>
      </c>
      <c r="PE46" s="1319">
        <f t="shared" ca="1" si="1118"/>
        <v>0</v>
      </c>
      <c r="PF46" s="1319">
        <f t="shared" ca="1" si="1118"/>
        <v>0</v>
      </c>
      <c r="PG46" s="1319">
        <f t="shared" ca="1" si="1118"/>
        <v>0</v>
      </c>
      <c r="PH46" s="1319">
        <f t="shared" ca="1" si="1118"/>
        <v>0</v>
      </c>
      <c r="PI46" s="1319">
        <f t="shared" ca="1" si="1118"/>
        <v>0</v>
      </c>
      <c r="PJ46" s="1319">
        <f t="shared" ca="1" si="1118"/>
        <v>0</v>
      </c>
      <c r="PK46" s="1319">
        <f t="shared" ca="1" si="1118"/>
        <v>0</v>
      </c>
      <c r="PW46" s="1319">
        <f t="shared" ca="1" si="1119"/>
        <v>0</v>
      </c>
      <c r="PX46" s="1319">
        <f t="shared" ca="1" si="1119"/>
        <v>0</v>
      </c>
      <c r="PY46" s="1319">
        <f t="shared" ca="1" si="1119"/>
        <v>0</v>
      </c>
      <c r="PZ46" s="1319">
        <f t="shared" ca="1" si="1119"/>
        <v>0</v>
      </c>
    </row>
    <row r="47" spans="1:446" x14ac:dyDescent="0.25">
      <c r="A47" s="189">
        <v>8</v>
      </c>
      <c r="B47" s="189" t="s">
        <v>1256</v>
      </c>
      <c r="C47" s="1317" t="s">
        <v>1269</v>
      </c>
      <c r="D47" s="1317" t="s">
        <v>206</v>
      </c>
      <c r="J47" s="1319">
        <f t="shared" ca="1" si="1093"/>
        <v>0</v>
      </c>
      <c r="K47" s="1319">
        <f t="shared" ca="1" si="1120"/>
        <v>0</v>
      </c>
      <c r="T47" s="1319">
        <f t="shared" ca="1" si="1094"/>
        <v>0</v>
      </c>
      <c r="U47" s="1319">
        <f t="shared" ca="1" si="1094"/>
        <v>0</v>
      </c>
      <c r="V47" s="1319">
        <f t="shared" ca="1" si="1094"/>
        <v>3.65393419E-6</v>
      </c>
      <c r="W47" s="1319">
        <f t="shared" ca="1" si="1094"/>
        <v>0</v>
      </c>
      <c r="X47" s="1319">
        <f t="shared" ca="1" si="1094"/>
        <v>0</v>
      </c>
      <c r="Y47" s="1319">
        <f t="shared" ca="1" si="1094"/>
        <v>499.93939</v>
      </c>
      <c r="Z47" s="1319">
        <f t="shared" ca="1" si="1094"/>
        <v>1.3836624199999999E-5</v>
      </c>
      <c r="AA47" s="1319">
        <f t="shared" ca="1" si="1094"/>
        <v>499.93937699999998</v>
      </c>
      <c r="AB47" s="1319">
        <f t="shared" ca="1" si="1094"/>
        <v>0</v>
      </c>
      <c r="AC47" s="1319">
        <f t="shared" ca="1" si="1094"/>
        <v>3.65393419E-6</v>
      </c>
      <c r="AD47" s="1319">
        <f t="shared" ca="1" si="1094"/>
        <v>0</v>
      </c>
      <c r="AM47" s="1319">
        <f t="shared" ca="1" si="1095"/>
        <v>0</v>
      </c>
      <c r="AN47" s="1319">
        <f t="shared" ca="1" si="1095"/>
        <v>0</v>
      </c>
      <c r="AO47" s="1319">
        <f t="shared" ca="1" si="1096"/>
        <v>499.93937699999998</v>
      </c>
      <c r="AP47" s="1319">
        <f t="shared" ca="1" si="1096"/>
        <v>499.93937699999998</v>
      </c>
      <c r="AQ47" s="1319">
        <f t="shared" ca="1" si="1096"/>
        <v>7.2088161499999996E-7</v>
      </c>
      <c r="AR47" s="1319">
        <f t="shared" ca="1" si="1096"/>
        <v>1.0171052199999999E-12</v>
      </c>
      <c r="AS47" s="1319">
        <f t="shared" ca="1" si="1096"/>
        <v>1.38366232E-5</v>
      </c>
      <c r="AT47" s="1319">
        <f t="shared" ca="1" si="1095"/>
        <v>1.0892212400000001E-14</v>
      </c>
      <c r="AU47" s="1319">
        <f t="shared" ca="1" si="1095"/>
        <v>7.2088262200000002E-7</v>
      </c>
      <c r="AV47" s="1319">
        <f t="shared" ca="1" si="1095"/>
        <v>499.93937600000004</v>
      </c>
      <c r="AW47" s="1319">
        <f t="shared" ca="1" si="1095"/>
        <v>1.0892212400000001E-14</v>
      </c>
      <c r="AX47" s="1319">
        <f t="shared" ca="1" si="1095"/>
        <v>1.4557505800000002E-5</v>
      </c>
      <c r="AY47" s="1319">
        <f t="shared" ca="1" si="1095"/>
        <v>0</v>
      </c>
      <c r="AZ47" s="1319">
        <f t="shared" ca="1" si="1095"/>
        <v>0</v>
      </c>
      <c r="BA47" s="1319">
        <f t="shared" ca="1" si="1095"/>
        <v>0</v>
      </c>
      <c r="BB47" s="1319">
        <f t="shared" ca="1" si="1095"/>
        <v>494.93998199999999</v>
      </c>
      <c r="BN47" s="1319">
        <f t="shared" ca="1" si="1097"/>
        <v>49.4939982</v>
      </c>
      <c r="BO47" s="1319">
        <f t="shared" ca="1" si="1097"/>
        <v>49.4939982</v>
      </c>
      <c r="BP47" s="1319">
        <f t="shared" ca="1" si="1097"/>
        <v>3.02272176E-13</v>
      </c>
      <c r="BQ47" s="1319">
        <f t="shared" ca="1" si="1097"/>
        <v>0</v>
      </c>
      <c r="BR47" s="1319">
        <f t="shared" ca="1" si="1097"/>
        <v>0</v>
      </c>
      <c r="CD47" s="1319">
        <f t="shared" ca="1" si="1098"/>
        <v>494.93998199999999</v>
      </c>
      <c r="CE47" s="1319">
        <f t="shared" ca="1" si="1098"/>
        <v>494.93998199999999</v>
      </c>
      <c r="CF47" s="1319">
        <f t="shared" ca="1" si="1098"/>
        <v>49.4939982</v>
      </c>
      <c r="CG47" s="1319">
        <f t="shared" ca="1" si="1098"/>
        <v>49.4939982</v>
      </c>
      <c r="CH47" s="1319">
        <f t="shared" ca="1" si="1098"/>
        <v>494.93998199999999</v>
      </c>
      <c r="CI47" s="1319">
        <f t="shared" ca="1" si="1098"/>
        <v>0</v>
      </c>
      <c r="CJ47" s="1319">
        <f t="shared" ca="1" si="1098"/>
        <v>0</v>
      </c>
      <c r="CK47" s="1319">
        <f t="shared" ca="1" si="1098"/>
        <v>480.09178300000008</v>
      </c>
      <c r="CL47" s="1319">
        <f t="shared" ca="1" si="1098"/>
        <v>2.8419857E-12</v>
      </c>
      <c r="CM47" s="1319">
        <f t="shared" ca="1" si="1098"/>
        <v>0</v>
      </c>
      <c r="CN47" s="1319">
        <f t="shared" ca="1" si="1098"/>
        <v>480.09178300000008</v>
      </c>
      <c r="CO47" s="1319">
        <f t="shared" ca="1" si="1098"/>
        <v>0</v>
      </c>
      <c r="DA47" s="1319">
        <f t="shared" ca="1" si="1099"/>
        <v>0</v>
      </c>
      <c r="DB47" s="1319">
        <f t="shared" ca="1" si="1099"/>
        <v>0</v>
      </c>
      <c r="DC47" s="1319">
        <f t="shared" ca="1" si="1099"/>
        <v>0</v>
      </c>
      <c r="DD47" s="1319">
        <f t="shared" ca="1" si="1099"/>
        <v>0</v>
      </c>
      <c r="DE47" s="1319">
        <f t="shared" ca="1" si="1099"/>
        <v>0</v>
      </c>
      <c r="DF47" s="1319">
        <f t="shared" ca="1" si="1099"/>
        <v>0</v>
      </c>
      <c r="DG47" s="1319">
        <f t="shared" ca="1" si="1099"/>
        <v>0</v>
      </c>
      <c r="DH47" s="1319">
        <f t="shared" ca="1" si="1099"/>
        <v>0</v>
      </c>
      <c r="DI47" s="1319">
        <f t="shared" ca="1" si="1099"/>
        <v>0</v>
      </c>
      <c r="DJ47" s="1319">
        <f t="shared" ca="1" si="1099"/>
        <v>0</v>
      </c>
      <c r="DV47" s="1319">
        <f t="shared" ca="1" si="1100"/>
        <v>0</v>
      </c>
      <c r="DW47" s="1319">
        <f t="shared" ca="1" si="1100"/>
        <v>0</v>
      </c>
      <c r="DX47" s="1319">
        <f t="shared" ca="1" si="1100"/>
        <v>0</v>
      </c>
      <c r="DY47" s="1319">
        <f t="shared" ca="1" si="1100"/>
        <v>0</v>
      </c>
      <c r="DZ47" s="1319">
        <f t="shared" ca="1" si="1100"/>
        <v>0</v>
      </c>
      <c r="EA47" s="1319">
        <f t="shared" ca="1" si="1100"/>
        <v>0</v>
      </c>
      <c r="EB47" s="1319">
        <f t="shared" ca="1" si="1100"/>
        <v>0</v>
      </c>
      <c r="EC47" s="1319">
        <f t="shared" ca="1" si="1100"/>
        <v>0</v>
      </c>
      <c r="ED47" s="1319">
        <f t="shared" ca="1" si="1100"/>
        <v>0</v>
      </c>
      <c r="EE47" s="1319">
        <f t="shared" ca="1" si="1100"/>
        <v>0</v>
      </c>
      <c r="EF47" s="1319">
        <f t="shared" ca="1" si="1100"/>
        <v>0</v>
      </c>
      <c r="EG47" s="1319">
        <f t="shared" ca="1" si="1100"/>
        <v>0</v>
      </c>
      <c r="EH47" s="1319">
        <f t="shared" ca="1" si="1100"/>
        <v>0</v>
      </c>
      <c r="EI47" s="1319">
        <f t="shared" ca="1" si="1100"/>
        <v>0</v>
      </c>
      <c r="EJ47" s="1319">
        <f t="shared" ca="1" si="1101"/>
        <v>0</v>
      </c>
      <c r="EK47" s="1319">
        <f t="shared" ca="1" si="1100"/>
        <v>0</v>
      </c>
      <c r="EW47" s="1319">
        <f t="shared" ca="1" si="1102"/>
        <v>480.09178300000008</v>
      </c>
      <c r="EX47" s="1319">
        <f t="shared" ca="1" si="1102"/>
        <v>480.09178300000008</v>
      </c>
      <c r="EY47" s="1319">
        <f t="shared" ca="1" si="1102"/>
        <v>480.09177899999997</v>
      </c>
      <c r="EZ47" s="1319">
        <f t="shared" ca="1" si="1102"/>
        <v>480.09177899999997</v>
      </c>
      <c r="FA47" s="1319">
        <f t="shared" ca="1" si="1102"/>
        <v>2.1406797800000003E-19</v>
      </c>
      <c r="FB47" s="1319">
        <f t="shared" ca="1" si="1102"/>
        <v>3.6539341700000004E-6</v>
      </c>
      <c r="FN47" s="1319">
        <f t="shared" ca="1" si="1103"/>
        <v>3.02272176E-13</v>
      </c>
      <c r="FO47" s="1319">
        <f t="shared" ca="1" si="1103"/>
        <v>2.8419857E-12</v>
      </c>
      <c r="FP47" s="1319">
        <f t="shared" ca="1" si="1103"/>
        <v>2.1406797800000003E-19</v>
      </c>
      <c r="FQ47" s="1319">
        <f t="shared" ca="1" si="1103"/>
        <v>3.6539341700000004E-6</v>
      </c>
      <c r="FR47" s="1319">
        <f t="shared" ca="1" si="1103"/>
        <v>0</v>
      </c>
      <c r="FS47" s="1319">
        <f t="shared" ca="1" si="1103"/>
        <v>3.65393419E-6</v>
      </c>
      <c r="FT47" s="1319">
        <f t="shared" ca="1" si="1103"/>
        <v>0</v>
      </c>
      <c r="FU47" s="1319">
        <f t="shared" ca="1" si="1103"/>
        <v>3.1442580899999998E-12</v>
      </c>
      <c r="FV47" s="1319">
        <f t="shared" ca="1" si="1103"/>
        <v>0</v>
      </c>
      <c r="FW47" s="1319">
        <f t="shared" ca="1" si="1103"/>
        <v>0</v>
      </c>
      <c r="FX47" s="1319">
        <f t="shared" ca="1" si="1103"/>
        <v>0</v>
      </c>
      <c r="GJ47" s="1319">
        <f t="shared" ca="1" si="1104"/>
        <v>0</v>
      </c>
      <c r="GK47" s="1319">
        <f t="shared" ca="1" si="1104"/>
        <v>0</v>
      </c>
      <c r="GL47" s="1319">
        <f t="shared" ca="1" si="1104"/>
        <v>0</v>
      </c>
      <c r="GM47" s="1319">
        <f t="shared" ca="1" si="1104"/>
        <v>0</v>
      </c>
      <c r="GN47" s="1319">
        <f t="shared" ca="1" si="1104"/>
        <v>0</v>
      </c>
      <c r="GO47" s="1319">
        <f t="shared" ca="1" si="1104"/>
        <v>0</v>
      </c>
      <c r="GP47" s="1319">
        <f t="shared" ca="1" si="1104"/>
        <v>0</v>
      </c>
      <c r="GQ47" s="1319">
        <f t="shared" ca="1" si="1104"/>
        <v>0</v>
      </c>
      <c r="HC47" s="1319">
        <f t="shared" ca="1" si="1105"/>
        <v>480.09177899999997</v>
      </c>
      <c r="HD47" s="1319">
        <f t="shared" ca="1" si="1105"/>
        <v>462.21720500000004</v>
      </c>
      <c r="HE47" s="1319">
        <f t="shared" ca="1" si="1105"/>
        <v>0</v>
      </c>
      <c r="HF47" s="1319">
        <f t="shared" ca="1" si="1105"/>
        <v>3.5039300199999999E-11</v>
      </c>
      <c r="HG47" s="1319">
        <f t="shared" ca="1" si="1105"/>
        <v>17.874573999999999</v>
      </c>
      <c r="HH47" s="1319">
        <f t="shared" ca="1" si="1105"/>
        <v>462.21720500000004</v>
      </c>
      <c r="HT47" s="1319">
        <f t="shared" ca="1" si="1106"/>
        <v>1.4557505800000002E-5</v>
      </c>
      <c r="HU47" s="1319">
        <f t="shared" ca="1" si="1106"/>
        <v>462.21720500000004</v>
      </c>
      <c r="HV47" s="1319">
        <f t="shared" ca="1" si="1106"/>
        <v>462.21722000000005</v>
      </c>
      <c r="HW47" s="1319">
        <f t="shared" ca="1" si="1106"/>
        <v>462.21722000000005</v>
      </c>
      <c r="HX47" s="1319">
        <f t="shared" ca="1" si="1106"/>
        <v>38.659702500000002</v>
      </c>
      <c r="HY47" s="1319">
        <f t="shared" ca="1" si="1106"/>
        <v>2.9398472500000001</v>
      </c>
      <c r="HZ47" s="1319">
        <f t="shared" ca="1" si="1106"/>
        <v>9.0555463499999994E-13</v>
      </c>
      <c r="IA47" s="1319">
        <f t="shared" ca="1" si="1106"/>
        <v>1.4718654200000001E-13</v>
      </c>
      <c r="IB47" s="1319">
        <f t="shared" ca="1" si="1106"/>
        <v>0</v>
      </c>
      <c r="IC47" s="1319">
        <f t="shared" ca="1" si="1106"/>
        <v>0</v>
      </c>
      <c r="ID47" s="1319">
        <f t="shared" ca="1" si="1106"/>
        <v>0</v>
      </c>
      <c r="IE47" s="1319">
        <f t="shared" ca="1" si="1106"/>
        <v>0</v>
      </c>
      <c r="IQ47" s="1319">
        <f t="shared" ca="1" si="1107"/>
        <v>38.659702500000002</v>
      </c>
      <c r="IR47" s="1319">
        <f t="shared" ca="1" si="1107"/>
        <v>2.9398472500000001</v>
      </c>
      <c r="IS47" s="1319">
        <f t="shared" ca="1" si="1107"/>
        <v>5.8487663000000002E-2</v>
      </c>
      <c r="IT47" s="1319">
        <f t="shared" ca="1" si="1107"/>
        <v>2.9983349100000001</v>
      </c>
      <c r="IU47" s="1319">
        <f t="shared" ca="1" si="1108"/>
        <v>2.7983355599999999</v>
      </c>
      <c r="IV47" s="1319">
        <f t="shared" ca="1" si="1107"/>
        <v>1.7144696800000001</v>
      </c>
      <c r="IW47" s="1319">
        <f t="shared" ca="1" si="1107"/>
        <v>1.4037039099999999</v>
      </c>
      <c r="IX47" s="1319">
        <f t="shared" ca="1" si="1109"/>
        <v>6.4504502999999989E-15</v>
      </c>
      <c r="IY47" s="1319">
        <f t="shared" ca="1" si="1107"/>
        <v>0.19999935599999999</v>
      </c>
      <c r="IZ47" s="1319">
        <f t="shared" ca="1" si="1107"/>
        <v>0.252278104</v>
      </c>
      <c r="JA47" s="1319">
        <f t="shared" ca="1" si="1107"/>
        <v>1.46219158</v>
      </c>
      <c r="JB47" s="1319">
        <f t="shared" ca="1" si="1107"/>
        <v>0</v>
      </c>
      <c r="JC47" s="1319">
        <f t="shared" ca="1" si="1107"/>
        <v>0.252278104</v>
      </c>
      <c r="JD47" s="1319">
        <f t="shared" ca="1" si="1107"/>
        <v>0</v>
      </c>
      <c r="JE47" s="1319">
        <f t="shared" ca="1" si="1107"/>
        <v>0.252278104</v>
      </c>
      <c r="JF47" s="1319">
        <f t="shared" ca="1" si="1107"/>
        <v>0</v>
      </c>
      <c r="JG47" s="1319">
        <f t="shared" ca="1" si="1107"/>
        <v>0</v>
      </c>
      <c r="JH47" s="1319">
        <f t="shared" ca="1" si="1107"/>
        <v>1.4718654200000001E-13</v>
      </c>
      <c r="JT47" s="1319">
        <f t="shared" ca="1" si="1110"/>
        <v>0</v>
      </c>
      <c r="JU47" s="1319">
        <f t="shared" ca="1" si="1110"/>
        <v>0</v>
      </c>
      <c r="JV47" s="1319">
        <f t="shared" ca="1" si="1110"/>
        <v>0</v>
      </c>
      <c r="JW47" s="1319">
        <f t="shared" ca="1" si="1110"/>
        <v>0</v>
      </c>
      <c r="JX47" s="1319">
        <f t="shared" ca="1" si="1110"/>
        <v>0</v>
      </c>
      <c r="JY47" s="1319">
        <f t="shared" ca="1" si="1110"/>
        <v>0</v>
      </c>
      <c r="JZ47" s="1319">
        <f t="shared" ca="1" si="1110"/>
        <v>0</v>
      </c>
      <c r="KA47" s="1319">
        <f t="shared" ca="1" si="1110"/>
        <v>0</v>
      </c>
      <c r="KB47" s="1319">
        <f t="shared" ca="1" si="1110"/>
        <v>0</v>
      </c>
      <c r="KC47" s="1319">
        <f t="shared" ca="1" si="1110"/>
        <v>0</v>
      </c>
      <c r="KL47" s="1319">
        <f t="shared" ca="1" si="1111"/>
        <v>0</v>
      </c>
      <c r="KM47" s="1319">
        <f t="shared" ca="1" si="1111"/>
        <v>0</v>
      </c>
      <c r="KN47" s="1319">
        <f t="shared" ca="1" si="1111"/>
        <v>0</v>
      </c>
      <c r="KO47" s="1319">
        <f t="shared" ca="1" si="1111"/>
        <v>0</v>
      </c>
      <c r="KP47" s="1319">
        <f t="shared" ca="1" si="1111"/>
        <v>0</v>
      </c>
      <c r="KQ47" s="1319">
        <f t="shared" ca="1" si="1111"/>
        <v>0</v>
      </c>
      <c r="KR47" s="1319">
        <f t="shared" ca="1" si="1111"/>
        <v>0</v>
      </c>
      <c r="LA47" s="1319">
        <f t="shared" ca="1" si="1112"/>
        <v>3.5039300199999999E-11</v>
      </c>
      <c r="LB47" s="1319">
        <f t="shared" ca="1" si="1112"/>
        <v>9.0555463499999994E-13</v>
      </c>
      <c r="LC47" s="1319">
        <f t="shared" ca="1" si="1112"/>
        <v>3.5944854900000002E-11</v>
      </c>
      <c r="LD47" s="1319">
        <f t="shared" ca="1" si="1112"/>
        <v>3.5944854900000002E-11</v>
      </c>
      <c r="LE47" s="1319">
        <f t="shared" ca="1" si="1112"/>
        <v>0</v>
      </c>
      <c r="LF47" s="1319">
        <f t="shared" ca="1" si="1112"/>
        <v>0</v>
      </c>
      <c r="LG47" s="1319">
        <f t="shared" ca="1" si="1112"/>
        <v>0</v>
      </c>
      <c r="LH47" s="1319">
        <f t="shared" ca="1" si="1112"/>
        <v>0</v>
      </c>
      <c r="LI47" s="1319">
        <f t="shared" ca="1" si="1112"/>
        <v>0</v>
      </c>
      <c r="LJ47" s="1319">
        <f t="shared" ca="1" si="1112"/>
        <v>0</v>
      </c>
      <c r="LK47" s="1319">
        <f t="shared" ca="1" si="1112"/>
        <v>0</v>
      </c>
      <c r="LW47" s="1319">
        <f t="shared" ca="1" si="1113"/>
        <v>0</v>
      </c>
      <c r="LX47" s="1319">
        <f t="shared" ca="1" si="1114"/>
        <v>0</v>
      </c>
      <c r="LY47" s="1319">
        <f t="shared" ca="1" si="1114"/>
        <v>17.874573999999999</v>
      </c>
      <c r="LZ47" s="1319">
        <f t="shared" ca="1" si="1114"/>
        <v>0.19999935599999999</v>
      </c>
      <c r="MA47" s="1319">
        <f t="shared" ca="1" si="1114"/>
        <v>18.074573300000001</v>
      </c>
      <c r="MB47" s="1319">
        <f t="shared" ca="1" si="1114"/>
        <v>3.5944854900000002E-11</v>
      </c>
      <c r="MC47" s="1319">
        <f t="shared" ca="1" si="1114"/>
        <v>0</v>
      </c>
      <c r="MD47" s="1319">
        <f t="shared" ca="1" si="1114"/>
        <v>0</v>
      </c>
      <c r="ME47" s="1319">
        <f t="shared" ca="1" si="1114"/>
        <v>0</v>
      </c>
      <c r="MF47" s="1319">
        <f t="shared" ca="1" si="1114"/>
        <v>0</v>
      </c>
      <c r="MG47" s="1319">
        <f t="shared" ca="1" si="1114"/>
        <v>0</v>
      </c>
      <c r="MH47" s="1319">
        <f t="shared" ca="1" si="1115"/>
        <v>0</v>
      </c>
      <c r="MI47" s="1319">
        <f t="shared" ca="1" si="1115"/>
        <v>0</v>
      </c>
      <c r="MJ47" s="1319">
        <f t="shared" ca="1" si="1114"/>
        <v>0</v>
      </c>
      <c r="MK47" s="1319">
        <f t="shared" ca="1" si="1114"/>
        <v>0</v>
      </c>
      <c r="ML47" s="1319">
        <f t="shared" ca="1" si="1114"/>
        <v>0</v>
      </c>
      <c r="MM47" s="1319">
        <f t="shared" ca="1" si="1114"/>
        <v>0</v>
      </c>
      <c r="MN47" s="1319">
        <f t="shared" ca="1" si="1114"/>
        <v>0</v>
      </c>
      <c r="MO47" s="1319">
        <f t="shared" ca="1" si="1114"/>
        <v>0</v>
      </c>
      <c r="NA47" s="1319">
        <f t="shared" ca="1" si="1116"/>
        <v>1.3836624199999999E-5</v>
      </c>
      <c r="NB47" s="1319">
        <f t="shared" ca="1" si="1116"/>
        <v>1.0171052199999999E-12</v>
      </c>
      <c r="NC47" s="1319">
        <f t="shared" ca="1" si="1116"/>
        <v>1.38366232E-5</v>
      </c>
      <c r="ND47" s="1319">
        <f t="shared" ca="1" si="1116"/>
        <v>0</v>
      </c>
      <c r="NE47" s="1319">
        <f t="shared" ca="1" si="1116"/>
        <v>0</v>
      </c>
      <c r="NF47" s="1319">
        <f t="shared" ca="1" si="1116"/>
        <v>0</v>
      </c>
      <c r="NG47" s="1319">
        <f t="shared" ca="1" si="1116"/>
        <v>0</v>
      </c>
      <c r="NH47" s="1319">
        <f t="shared" ca="1" si="1116"/>
        <v>0</v>
      </c>
      <c r="NI47" s="1319">
        <f t="shared" ca="1" si="1116"/>
        <v>0</v>
      </c>
      <c r="NJ47" s="1319">
        <f t="shared" ca="1" si="1116"/>
        <v>0</v>
      </c>
      <c r="NK47" s="1319">
        <f t="shared" ca="1" si="1116"/>
        <v>0</v>
      </c>
      <c r="NL47" s="1319">
        <f t="shared" ca="1" si="1116"/>
        <v>0</v>
      </c>
      <c r="NM47" s="1319">
        <f t="shared" ca="1" si="1116"/>
        <v>0</v>
      </c>
      <c r="NN47" s="1319">
        <f t="shared" ca="1" si="1116"/>
        <v>0</v>
      </c>
      <c r="NO47" s="1319">
        <f t="shared" ca="1" si="1116"/>
        <v>0</v>
      </c>
      <c r="NP47" s="1319">
        <f t="shared" ca="1" si="1116"/>
        <v>0</v>
      </c>
      <c r="OH47" s="1319">
        <f t="shared" ca="1" si="1117"/>
        <v>0</v>
      </c>
      <c r="OI47" s="1319">
        <f t="shared" ca="1" si="1117"/>
        <v>0</v>
      </c>
      <c r="OJ47" s="1319">
        <f t="shared" ca="1" si="1117"/>
        <v>0</v>
      </c>
      <c r="OK47" s="1319">
        <f t="shared" ca="1" si="1117"/>
        <v>0</v>
      </c>
      <c r="OL47" s="1319">
        <f t="shared" ca="1" si="1117"/>
        <v>0</v>
      </c>
      <c r="OM47" s="1319">
        <f t="shared" ca="1" si="1117"/>
        <v>0</v>
      </c>
      <c r="ON47" s="1319">
        <f t="shared" ca="1" si="1117"/>
        <v>0</v>
      </c>
      <c r="OO47" s="1319">
        <f t="shared" ca="1" si="1117"/>
        <v>0</v>
      </c>
      <c r="PA47" s="1319">
        <f t="shared" ca="1" si="1118"/>
        <v>0</v>
      </c>
      <c r="PB47" s="1319">
        <f t="shared" ca="1" si="1118"/>
        <v>0</v>
      </c>
      <c r="PC47" s="1319">
        <f t="shared" ca="1" si="1118"/>
        <v>0</v>
      </c>
      <c r="PD47" s="1319">
        <f t="shared" ca="1" si="1118"/>
        <v>0</v>
      </c>
      <c r="PE47" s="1319">
        <f t="shared" ca="1" si="1118"/>
        <v>0</v>
      </c>
      <c r="PF47" s="1319">
        <f t="shared" ca="1" si="1118"/>
        <v>0</v>
      </c>
      <c r="PG47" s="1319">
        <f t="shared" ca="1" si="1118"/>
        <v>0</v>
      </c>
      <c r="PH47" s="1319">
        <f t="shared" ca="1" si="1118"/>
        <v>0</v>
      </c>
      <c r="PI47" s="1319">
        <f t="shared" ca="1" si="1118"/>
        <v>0</v>
      </c>
      <c r="PJ47" s="1319">
        <f t="shared" ca="1" si="1118"/>
        <v>0</v>
      </c>
      <c r="PK47" s="1319">
        <f t="shared" ca="1" si="1118"/>
        <v>0</v>
      </c>
      <c r="PW47" s="1319">
        <f t="shared" ca="1" si="1119"/>
        <v>0</v>
      </c>
      <c r="PX47" s="1319">
        <f t="shared" ca="1" si="1119"/>
        <v>0</v>
      </c>
      <c r="PY47" s="1319">
        <f t="shared" ca="1" si="1119"/>
        <v>0</v>
      </c>
      <c r="PZ47" s="1319">
        <f t="shared" ca="1" si="1119"/>
        <v>0</v>
      </c>
    </row>
    <row r="48" spans="1:446" x14ac:dyDescent="0.25">
      <c r="A48" s="189">
        <v>9</v>
      </c>
      <c r="B48" s="189" t="s">
        <v>1256</v>
      </c>
      <c r="C48" s="1317" t="s">
        <v>1259</v>
      </c>
      <c r="D48" s="1317" t="s">
        <v>206</v>
      </c>
      <c r="J48" s="1319">
        <f t="shared" ca="1" si="1093"/>
        <v>0</v>
      </c>
      <c r="K48" s="1319">
        <f t="shared" ca="1" si="1120"/>
        <v>0</v>
      </c>
      <c r="T48" s="1319">
        <f t="shared" ca="1" si="1094"/>
        <v>0</v>
      </c>
      <c r="U48" s="1319">
        <f t="shared" ca="1" si="1094"/>
        <v>0</v>
      </c>
      <c r="V48" s="1319">
        <f t="shared" ca="1" si="1094"/>
        <v>1.7947588900000001E-4</v>
      </c>
      <c r="W48" s="1319">
        <f t="shared" ca="1" si="1094"/>
        <v>0</v>
      </c>
      <c r="X48" s="1319">
        <f t="shared" ca="1" si="1094"/>
        <v>0</v>
      </c>
      <c r="Y48" s="1319">
        <f t="shared" ca="1" si="1094"/>
        <v>16642.746500000001</v>
      </c>
      <c r="Z48" s="1319">
        <f t="shared" ca="1" si="1094"/>
        <v>6.9501912800000003E-3</v>
      </c>
      <c r="AA48" s="1319">
        <f t="shared" ca="1" si="1094"/>
        <v>16642.739600000001</v>
      </c>
      <c r="AB48" s="1319">
        <f t="shared" ca="1" si="1094"/>
        <v>0</v>
      </c>
      <c r="AC48" s="1319">
        <f t="shared" ca="1" si="1094"/>
        <v>1.7947588900000001E-4</v>
      </c>
      <c r="AD48" s="1319">
        <f t="shared" ca="1" si="1094"/>
        <v>0</v>
      </c>
      <c r="AM48" s="1319">
        <f t="shared" ca="1" si="1095"/>
        <v>0</v>
      </c>
      <c r="AN48" s="1319">
        <f t="shared" ca="1" si="1095"/>
        <v>0</v>
      </c>
      <c r="AO48" s="1319">
        <f t="shared" ca="1" si="1096"/>
        <v>16642.739600000001</v>
      </c>
      <c r="AP48" s="1319">
        <f t="shared" ca="1" si="1096"/>
        <v>16642.739600000001</v>
      </c>
      <c r="AQ48" s="1319">
        <f t="shared" ca="1" si="1096"/>
        <v>7.8143008900000003E-4</v>
      </c>
      <c r="AR48" s="1319">
        <f t="shared" ca="1" si="1096"/>
        <v>1.73602544E-8</v>
      </c>
      <c r="AS48" s="1319">
        <f t="shared" ca="1" si="1096"/>
        <v>6.9501739200000011E-3</v>
      </c>
      <c r="AT48" s="1319">
        <f t="shared" ca="1" si="1095"/>
        <v>4.0165069899999997E-10</v>
      </c>
      <c r="AU48" s="1319">
        <f t="shared" ca="1" si="1095"/>
        <v>7.8144704800000003E-4</v>
      </c>
      <c r="AV48" s="1319">
        <f t="shared" ca="1" si="1095"/>
        <v>16642.738799999999</v>
      </c>
      <c r="AW48" s="1319">
        <f t="shared" ca="1" si="1095"/>
        <v>4.0165069899999997E-10</v>
      </c>
      <c r="AX48" s="1319">
        <f t="shared" ca="1" si="1095"/>
        <v>7.7316213700000013E-3</v>
      </c>
      <c r="AY48" s="1319">
        <f t="shared" ca="1" si="1095"/>
        <v>0</v>
      </c>
      <c r="AZ48" s="1319">
        <f t="shared" ca="1" si="1095"/>
        <v>0</v>
      </c>
      <c r="BA48" s="1319">
        <f t="shared" ca="1" si="1095"/>
        <v>0</v>
      </c>
      <c r="BB48" s="1319">
        <f t="shared" ca="1" si="1095"/>
        <v>16476.311399999999</v>
      </c>
      <c r="BN48" s="1319">
        <f t="shared" ca="1" si="1097"/>
        <v>1647.63114</v>
      </c>
      <c r="BO48" s="1319">
        <f t="shared" ca="1" si="1097"/>
        <v>168.05837600000001</v>
      </c>
      <c r="BP48" s="1319">
        <f t="shared" ca="1" si="1097"/>
        <v>1.8806263099999999E-10</v>
      </c>
      <c r="BQ48" s="1319">
        <f t="shared" ca="1" si="1097"/>
        <v>0</v>
      </c>
      <c r="BR48" s="1319">
        <f t="shared" ca="1" si="1097"/>
        <v>0</v>
      </c>
      <c r="CD48" s="1319">
        <f t="shared" ca="1" si="1098"/>
        <v>16476.311399999999</v>
      </c>
      <c r="CE48" s="1319">
        <f t="shared" ca="1" si="1098"/>
        <v>16476.311399999999</v>
      </c>
      <c r="CF48" s="1319">
        <f t="shared" ca="1" si="1098"/>
        <v>1647.63114</v>
      </c>
      <c r="CG48" s="1319">
        <f t="shared" ca="1" si="1098"/>
        <v>168.05837600000001</v>
      </c>
      <c r="CH48" s="1319">
        <f t="shared" ca="1" si="1098"/>
        <v>16476.311399999999</v>
      </c>
      <c r="CI48" s="1319">
        <f t="shared" ca="1" si="1098"/>
        <v>0</v>
      </c>
      <c r="CJ48" s="1319">
        <f t="shared" ca="1" si="1098"/>
        <v>0</v>
      </c>
      <c r="CK48" s="1319">
        <f t="shared" ca="1" si="1098"/>
        <v>1061.9190599999999</v>
      </c>
      <c r="CL48" s="1319">
        <f t="shared" ca="1" si="1098"/>
        <v>1.1518229899999999E-9</v>
      </c>
      <c r="CM48" s="1319">
        <f t="shared" ca="1" si="1098"/>
        <v>0</v>
      </c>
      <c r="CN48" s="1319">
        <f t="shared" ca="1" si="1098"/>
        <v>1061.9190599999999</v>
      </c>
      <c r="CO48" s="1319">
        <f t="shared" ca="1" si="1098"/>
        <v>1.33988674E-9</v>
      </c>
      <c r="DA48" s="1319">
        <f t="shared" ca="1" si="1099"/>
        <v>0</v>
      </c>
      <c r="DB48" s="1319">
        <f t="shared" ca="1" si="1099"/>
        <v>0</v>
      </c>
      <c r="DC48" s="1319">
        <f t="shared" ca="1" si="1099"/>
        <v>0</v>
      </c>
      <c r="DD48" s="1319">
        <f t="shared" ca="1" si="1099"/>
        <v>0</v>
      </c>
      <c r="DE48" s="1319">
        <f t="shared" ca="1" si="1099"/>
        <v>0</v>
      </c>
      <c r="DF48" s="1319">
        <f t="shared" ca="1" si="1099"/>
        <v>0</v>
      </c>
      <c r="DG48" s="1319">
        <f t="shared" ca="1" si="1099"/>
        <v>0</v>
      </c>
      <c r="DH48" s="1319">
        <f t="shared" ca="1" si="1099"/>
        <v>0</v>
      </c>
      <c r="DI48" s="1319">
        <f t="shared" ca="1" si="1099"/>
        <v>0</v>
      </c>
      <c r="DJ48" s="1319">
        <f t="shared" ca="1" si="1099"/>
        <v>0</v>
      </c>
      <c r="DV48" s="1319">
        <f t="shared" ca="1" si="1100"/>
        <v>0</v>
      </c>
      <c r="DW48" s="1319">
        <f t="shared" ca="1" si="1100"/>
        <v>0</v>
      </c>
      <c r="DX48" s="1319">
        <f t="shared" ca="1" si="1100"/>
        <v>0</v>
      </c>
      <c r="DY48" s="1319">
        <f t="shared" ca="1" si="1100"/>
        <v>0</v>
      </c>
      <c r="DZ48" s="1319">
        <f t="shared" ca="1" si="1100"/>
        <v>0</v>
      </c>
      <c r="EA48" s="1319">
        <f t="shared" ca="1" si="1100"/>
        <v>0</v>
      </c>
      <c r="EB48" s="1319">
        <f t="shared" ca="1" si="1100"/>
        <v>0</v>
      </c>
      <c r="EC48" s="1319">
        <f t="shared" ca="1" si="1100"/>
        <v>0</v>
      </c>
      <c r="ED48" s="1319">
        <f t="shared" ca="1" si="1100"/>
        <v>0</v>
      </c>
      <c r="EE48" s="1319">
        <f t="shared" ca="1" si="1100"/>
        <v>0</v>
      </c>
      <c r="EF48" s="1319">
        <f t="shared" ca="1" si="1100"/>
        <v>0</v>
      </c>
      <c r="EG48" s="1319">
        <f t="shared" ca="1" si="1100"/>
        <v>0</v>
      </c>
      <c r="EH48" s="1319">
        <f t="shared" ca="1" si="1100"/>
        <v>0</v>
      </c>
      <c r="EI48" s="1319">
        <f t="shared" ca="1" si="1100"/>
        <v>0</v>
      </c>
      <c r="EJ48" s="1319">
        <f t="shared" ca="1" si="1101"/>
        <v>0</v>
      </c>
      <c r="EK48" s="1319">
        <f t="shared" ca="1" si="1100"/>
        <v>0</v>
      </c>
      <c r="EW48" s="1319">
        <f t="shared" ca="1" si="1102"/>
        <v>1061.9190599999999</v>
      </c>
      <c r="EX48" s="1319">
        <f t="shared" ca="1" si="1102"/>
        <v>1061.9190599999999</v>
      </c>
      <c r="EY48" s="1319">
        <f t="shared" ca="1" si="1102"/>
        <v>1061.9188799999999</v>
      </c>
      <c r="EZ48" s="1319">
        <f t="shared" ca="1" si="1102"/>
        <v>1061.9188799999999</v>
      </c>
      <c r="FA48" s="1319">
        <f t="shared" ca="1" si="1102"/>
        <v>1.12147717E-15</v>
      </c>
      <c r="FB48" s="1319">
        <f t="shared" ca="1" si="1102"/>
        <v>1.7947588799999999E-4</v>
      </c>
      <c r="FN48" s="1319">
        <f t="shared" ca="1" si="1103"/>
        <v>1.8806263099999999E-10</v>
      </c>
      <c r="FO48" s="1319">
        <f t="shared" ca="1" si="1103"/>
        <v>1.1518229899999999E-9</v>
      </c>
      <c r="FP48" s="1319">
        <f t="shared" ca="1" si="1103"/>
        <v>1.12147717E-15</v>
      </c>
      <c r="FQ48" s="1319">
        <f t="shared" ca="1" si="1103"/>
        <v>1.7947588799999999E-4</v>
      </c>
      <c r="FR48" s="1319">
        <f t="shared" ca="1" si="1103"/>
        <v>0</v>
      </c>
      <c r="FS48" s="1319">
        <f t="shared" ca="1" si="1103"/>
        <v>1.7947588900000001E-4</v>
      </c>
      <c r="FT48" s="1319">
        <f t="shared" ca="1" si="1103"/>
        <v>0</v>
      </c>
      <c r="FU48" s="1319">
        <f t="shared" ca="1" si="1103"/>
        <v>1.33988674E-9</v>
      </c>
      <c r="FV48" s="1319">
        <f t="shared" ca="1" si="1103"/>
        <v>0</v>
      </c>
      <c r="FW48" s="1319">
        <f t="shared" ca="1" si="1103"/>
        <v>0</v>
      </c>
      <c r="FX48" s="1319">
        <f t="shared" ca="1" si="1103"/>
        <v>1.33988674E-9</v>
      </c>
      <c r="GJ48" s="1319">
        <f t="shared" ca="1" si="1104"/>
        <v>0</v>
      </c>
      <c r="GK48" s="1319">
        <f t="shared" ca="1" si="1104"/>
        <v>0</v>
      </c>
      <c r="GL48" s="1319">
        <f t="shared" ca="1" si="1104"/>
        <v>0</v>
      </c>
      <c r="GM48" s="1319">
        <f t="shared" ca="1" si="1104"/>
        <v>0</v>
      </c>
      <c r="GN48" s="1319">
        <f t="shared" ca="1" si="1104"/>
        <v>0</v>
      </c>
      <c r="GO48" s="1319">
        <f t="shared" ca="1" si="1104"/>
        <v>0</v>
      </c>
      <c r="GP48" s="1319">
        <f t="shared" ca="1" si="1104"/>
        <v>0</v>
      </c>
      <c r="GQ48" s="1319">
        <f t="shared" ca="1" si="1104"/>
        <v>0</v>
      </c>
      <c r="HC48" s="1319">
        <f t="shared" ca="1" si="1105"/>
        <v>1061.9188799999999</v>
      </c>
      <c r="HD48" s="1319">
        <f t="shared" ca="1" si="1105"/>
        <v>1022.3819700000001</v>
      </c>
      <c r="HE48" s="1319">
        <f t="shared" ca="1" si="1105"/>
        <v>0</v>
      </c>
      <c r="HF48" s="1319">
        <f t="shared" ca="1" si="1105"/>
        <v>8.2960939100000003E-9</v>
      </c>
      <c r="HG48" s="1319">
        <f t="shared" ca="1" si="1105"/>
        <v>39.536914400000001</v>
      </c>
      <c r="HH48" s="1319">
        <f t="shared" ca="1" si="1105"/>
        <v>1022.3819700000001</v>
      </c>
      <c r="HT48" s="1319">
        <f t="shared" ca="1" si="1106"/>
        <v>7.7316213700000013E-3</v>
      </c>
      <c r="HU48" s="1319">
        <f t="shared" ca="1" si="1106"/>
        <v>1022.3819700000001</v>
      </c>
      <c r="HV48" s="1319">
        <f t="shared" ca="1" si="1106"/>
        <v>1022.3896999999999</v>
      </c>
      <c r="HW48" s="1319">
        <f t="shared" ca="1" si="1106"/>
        <v>1022.3896999999999</v>
      </c>
      <c r="HX48" s="1319">
        <f t="shared" ca="1" si="1106"/>
        <v>85.512352100000001</v>
      </c>
      <c r="HY48" s="1319">
        <f t="shared" ca="1" si="1106"/>
        <v>6.5027208400000003</v>
      </c>
      <c r="HZ48" s="1319">
        <f t="shared" ca="1" si="1106"/>
        <v>3.0265161200000001E-10</v>
      </c>
      <c r="IA48" s="1319">
        <f t="shared" ca="1" si="1106"/>
        <v>1.5644451000000001E-11</v>
      </c>
      <c r="IB48" s="1319">
        <f t="shared" ca="1" si="1106"/>
        <v>0</v>
      </c>
      <c r="IC48" s="1319">
        <f t="shared" ca="1" si="1106"/>
        <v>0</v>
      </c>
      <c r="ID48" s="1319">
        <f t="shared" ca="1" si="1106"/>
        <v>0</v>
      </c>
      <c r="IE48" s="1319">
        <f t="shared" ca="1" si="1106"/>
        <v>0</v>
      </c>
      <c r="IQ48" s="1319">
        <f t="shared" ca="1" si="1107"/>
        <v>85.512352100000001</v>
      </c>
      <c r="IR48" s="1319">
        <f t="shared" ca="1" si="1107"/>
        <v>6.5027208400000003</v>
      </c>
      <c r="IS48" s="1319">
        <f t="shared" ca="1" si="1107"/>
        <v>0.12937030799999999</v>
      </c>
      <c r="IT48" s="1319">
        <f t="shared" ca="1" si="1107"/>
        <v>6.6320911499999999</v>
      </c>
      <c r="IU48" s="1319">
        <f t="shared" ca="1" si="1108"/>
        <v>6.18970763</v>
      </c>
      <c r="IV48" s="1319">
        <f t="shared" ca="1" si="1107"/>
        <v>3.7922778899999998</v>
      </c>
      <c r="IW48" s="1319">
        <f t="shared" ca="1" si="1107"/>
        <v>3.1048874</v>
      </c>
      <c r="IX48" s="1319">
        <f t="shared" ca="1" si="1109"/>
        <v>3.0705914500000002E-12</v>
      </c>
      <c r="IY48" s="1319">
        <f t="shared" ca="1" si="1107"/>
        <v>0.44238352199999997</v>
      </c>
      <c r="IZ48" s="1319">
        <f t="shared" ca="1" si="1107"/>
        <v>0.55802017699999995</v>
      </c>
      <c r="JA48" s="1319">
        <f t="shared" ca="1" si="1107"/>
        <v>3.2342577100000001</v>
      </c>
      <c r="JB48" s="1319">
        <f t="shared" ca="1" si="1107"/>
        <v>0</v>
      </c>
      <c r="JC48" s="1319">
        <f t="shared" ca="1" si="1107"/>
        <v>0.55802017699999995</v>
      </c>
      <c r="JD48" s="1319">
        <f t="shared" ca="1" si="1107"/>
        <v>0</v>
      </c>
      <c r="JE48" s="1319">
        <f t="shared" ca="1" si="1107"/>
        <v>0.55802017699999995</v>
      </c>
      <c r="JF48" s="1319">
        <f t="shared" ca="1" si="1107"/>
        <v>0</v>
      </c>
      <c r="JG48" s="1319">
        <f t="shared" ca="1" si="1107"/>
        <v>0</v>
      </c>
      <c r="JH48" s="1319">
        <f t="shared" ca="1" si="1107"/>
        <v>1.5644451000000001E-11</v>
      </c>
      <c r="JT48" s="1319">
        <f t="shared" ca="1" si="1110"/>
        <v>0</v>
      </c>
      <c r="JU48" s="1319">
        <f t="shared" ca="1" si="1110"/>
        <v>0</v>
      </c>
      <c r="JV48" s="1319">
        <f t="shared" ca="1" si="1110"/>
        <v>0</v>
      </c>
      <c r="JW48" s="1319">
        <f t="shared" ca="1" si="1110"/>
        <v>0</v>
      </c>
      <c r="JX48" s="1319">
        <f t="shared" ca="1" si="1110"/>
        <v>0</v>
      </c>
      <c r="JY48" s="1319">
        <f t="shared" ca="1" si="1110"/>
        <v>0</v>
      </c>
      <c r="JZ48" s="1319">
        <f t="shared" ca="1" si="1110"/>
        <v>0</v>
      </c>
      <c r="KA48" s="1319">
        <f t="shared" ca="1" si="1110"/>
        <v>0</v>
      </c>
      <c r="KB48" s="1319">
        <f t="shared" ca="1" si="1110"/>
        <v>0</v>
      </c>
      <c r="KC48" s="1319">
        <f t="shared" ca="1" si="1110"/>
        <v>0</v>
      </c>
      <c r="KL48" s="1319">
        <f t="shared" ca="1" si="1111"/>
        <v>0</v>
      </c>
      <c r="KM48" s="1319">
        <f t="shared" ca="1" si="1111"/>
        <v>0</v>
      </c>
      <c r="KN48" s="1319">
        <f t="shared" ca="1" si="1111"/>
        <v>0</v>
      </c>
      <c r="KO48" s="1319">
        <f t="shared" ca="1" si="1111"/>
        <v>0</v>
      </c>
      <c r="KP48" s="1319">
        <f t="shared" ca="1" si="1111"/>
        <v>0</v>
      </c>
      <c r="KQ48" s="1319">
        <f t="shared" ca="1" si="1111"/>
        <v>0</v>
      </c>
      <c r="KR48" s="1319">
        <f t="shared" ca="1" si="1111"/>
        <v>0</v>
      </c>
      <c r="LA48" s="1319">
        <f t="shared" ca="1" si="1112"/>
        <v>8.2960939100000003E-9</v>
      </c>
      <c r="LB48" s="1319">
        <f t="shared" ca="1" si="1112"/>
        <v>3.0265161200000001E-10</v>
      </c>
      <c r="LC48" s="1319">
        <f t="shared" ca="1" si="1112"/>
        <v>8.5987455199999994E-9</v>
      </c>
      <c r="LD48" s="1319">
        <f t="shared" ca="1" si="1112"/>
        <v>8.5987455199999994E-9</v>
      </c>
      <c r="LE48" s="1319">
        <f t="shared" ca="1" si="1112"/>
        <v>0</v>
      </c>
      <c r="LF48" s="1319">
        <f t="shared" ca="1" si="1112"/>
        <v>0</v>
      </c>
      <c r="LG48" s="1319">
        <f t="shared" ca="1" si="1112"/>
        <v>0</v>
      </c>
      <c r="LH48" s="1319">
        <f t="shared" ca="1" si="1112"/>
        <v>0</v>
      </c>
      <c r="LI48" s="1319">
        <f t="shared" ca="1" si="1112"/>
        <v>0</v>
      </c>
      <c r="LJ48" s="1319">
        <f t="shared" ca="1" si="1112"/>
        <v>0</v>
      </c>
      <c r="LK48" s="1319">
        <f t="shared" ca="1" si="1112"/>
        <v>0</v>
      </c>
      <c r="LW48" s="1319">
        <f t="shared" ca="1" si="1113"/>
        <v>0</v>
      </c>
      <c r="LX48" s="1319">
        <f t="shared" ca="1" si="1114"/>
        <v>0</v>
      </c>
      <c r="LY48" s="1319">
        <f t="shared" ca="1" si="1114"/>
        <v>39.536914400000001</v>
      </c>
      <c r="LZ48" s="1319">
        <f t="shared" ca="1" si="1114"/>
        <v>0.44238352199999997</v>
      </c>
      <c r="MA48" s="1319">
        <f t="shared" ca="1" si="1114"/>
        <v>39.979298</v>
      </c>
      <c r="MB48" s="1319">
        <f t="shared" ca="1" si="1114"/>
        <v>8.5987455199999994E-9</v>
      </c>
      <c r="MC48" s="1319">
        <f t="shared" ca="1" si="1114"/>
        <v>0</v>
      </c>
      <c r="MD48" s="1319">
        <f t="shared" ca="1" si="1114"/>
        <v>0</v>
      </c>
      <c r="ME48" s="1319">
        <f t="shared" ca="1" si="1114"/>
        <v>0</v>
      </c>
      <c r="MF48" s="1319">
        <f t="shared" ca="1" si="1114"/>
        <v>0</v>
      </c>
      <c r="MG48" s="1319">
        <f t="shared" ca="1" si="1114"/>
        <v>0</v>
      </c>
      <c r="MH48" s="1319">
        <f t="shared" ca="1" si="1115"/>
        <v>0</v>
      </c>
      <c r="MI48" s="1319">
        <f t="shared" ca="1" si="1115"/>
        <v>0</v>
      </c>
      <c r="MJ48" s="1319">
        <f t="shared" ca="1" si="1114"/>
        <v>0</v>
      </c>
      <c r="MK48" s="1319">
        <f t="shared" ca="1" si="1114"/>
        <v>0</v>
      </c>
      <c r="ML48" s="1319">
        <f t="shared" ca="1" si="1114"/>
        <v>0</v>
      </c>
      <c r="MM48" s="1319">
        <f t="shared" ca="1" si="1114"/>
        <v>0</v>
      </c>
      <c r="MN48" s="1319">
        <f t="shared" ca="1" si="1114"/>
        <v>0</v>
      </c>
      <c r="MO48" s="1319">
        <f t="shared" ca="1" si="1114"/>
        <v>0</v>
      </c>
      <c r="NA48" s="1319">
        <f t="shared" ca="1" si="1116"/>
        <v>6.9501912800000003E-3</v>
      </c>
      <c r="NB48" s="1319">
        <f t="shared" ca="1" si="1116"/>
        <v>1.73602544E-8</v>
      </c>
      <c r="NC48" s="1319">
        <f t="shared" ca="1" si="1116"/>
        <v>6.9501739200000011E-3</v>
      </c>
      <c r="ND48" s="1319">
        <f t="shared" ca="1" si="1116"/>
        <v>0</v>
      </c>
      <c r="NE48" s="1319">
        <f t="shared" ca="1" si="1116"/>
        <v>0</v>
      </c>
      <c r="NF48" s="1319">
        <f t="shared" ca="1" si="1116"/>
        <v>0</v>
      </c>
      <c r="NG48" s="1319">
        <f t="shared" ca="1" si="1116"/>
        <v>0</v>
      </c>
      <c r="NH48" s="1319">
        <f t="shared" ca="1" si="1116"/>
        <v>0</v>
      </c>
      <c r="NI48" s="1319">
        <f t="shared" ca="1" si="1116"/>
        <v>0</v>
      </c>
      <c r="NJ48" s="1319">
        <f t="shared" ca="1" si="1116"/>
        <v>0</v>
      </c>
      <c r="NK48" s="1319">
        <f t="shared" ca="1" si="1116"/>
        <v>0</v>
      </c>
      <c r="NL48" s="1319">
        <f t="shared" ca="1" si="1116"/>
        <v>0</v>
      </c>
      <c r="NM48" s="1319">
        <f t="shared" ca="1" si="1116"/>
        <v>0</v>
      </c>
      <c r="NN48" s="1319">
        <f t="shared" ca="1" si="1116"/>
        <v>0</v>
      </c>
      <c r="NO48" s="1319">
        <f t="shared" ca="1" si="1116"/>
        <v>0</v>
      </c>
      <c r="NP48" s="1319">
        <f t="shared" ca="1" si="1116"/>
        <v>0</v>
      </c>
      <c r="OH48" s="1319">
        <f t="shared" ca="1" si="1117"/>
        <v>0</v>
      </c>
      <c r="OI48" s="1319">
        <f t="shared" ca="1" si="1117"/>
        <v>0</v>
      </c>
      <c r="OJ48" s="1319">
        <f t="shared" ca="1" si="1117"/>
        <v>0</v>
      </c>
      <c r="OK48" s="1319">
        <f t="shared" ca="1" si="1117"/>
        <v>0</v>
      </c>
      <c r="OL48" s="1319">
        <f t="shared" ca="1" si="1117"/>
        <v>0</v>
      </c>
      <c r="OM48" s="1319">
        <f t="shared" ca="1" si="1117"/>
        <v>0</v>
      </c>
      <c r="ON48" s="1319">
        <f t="shared" ca="1" si="1117"/>
        <v>0</v>
      </c>
      <c r="OO48" s="1319">
        <f t="shared" ca="1" si="1117"/>
        <v>0</v>
      </c>
      <c r="PA48" s="1319">
        <f t="shared" ca="1" si="1118"/>
        <v>0</v>
      </c>
      <c r="PB48" s="1319">
        <f t="shared" ca="1" si="1118"/>
        <v>0</v>
      </c>
      <c r="PC48" s="1319">
        <f t="shared" ca="1" si="1118"/>
        <v>0</v>
      </c>
      <c r="PD48" s="1319">
        <f t="shared" ca="1" si="1118"/>
        <v>0</v>
      </c>
      <c r="PE48" s="1319">
        <f t="shared" ca="1" si="1118"/>
        <v>0</v>
      </c>
      <c r="PF48" s="1319">
        <f t="shared" ca="1" si="1118"/>
        <v>0</v>
      </c>
      <c r="PG48" s="1319">
        <f t="shared" ca="1" si="1118"/>
        <v>0</v>
      </c>
      <c r="PH48" s="1319">
        <f t="shared" ca="1" si="1118"/>
        <v>0</v>
      </c>
      <c r="PI48" s="1319">
        <f t="shared" ca="1" si="1118"/>
        <v>0</v>
      </c>
      <c r="PJ48" s="1319">
        <f t="shared" ca="1" si="1118"/>
        <v>0</v>
      </c>
      <c r="PK48" s="1319">
        <f t="shared" ca="1" si="1118"/>
        <v>0</v>
      </c>
      <c r="PW48" s="1319">
        <f t="shared" ca="1" si="1119"/>
        <v>0</v>
      </c>
      <c r="PX48" s="1319">
        <f t="shared" ca="1" si="1119"/>
        <v>0</v>
      </c>
      <c r="PY48" s="1319">
        <f t="shared" ca="1" si="1119"/>
        <v>0</v>
      </c>
      <c r="PZ48" s="1319">
        <f t="shared" ca="1" si="1119"/>
        <v>0</v>
      </c>
    </row>
    <row r="49" spans="1:442" x14ac:dyDescent="0.25">
      <c r="A49" s="189">
        <v>10</v>
      </c>
      <c r="B49" s="189" t="s">
        <v>1256</v>
      </c>
      <c r="C49" s="1317" t="s">
        <v>1267</v>
      </c>
      <c r="D49" s="1317" t="s">
        <v>206</v>
      </c>
      <c r="J49" s="1319">
        <f t="shared" ca="1" si="1093"/>
        <v>0</v>
      </c>
      <c r="K49" s="1319">
        <f t="shared" ref="K49:K54" ca="1" si="1121">VLOOKUP(K$1,INDIRECT(LU_MAT),$A49,FALSE)</f>
        <v>0</v>
      </c>
      <c r="T49" s="1319">
        <f t="shared" ca="1" si="1094"/>
        <v>0</v>
      </c>
      <c r="U49" s="1319">
        <f t="shared" ca="1" si="1094"/>
        <v>0</v>
      </c>
      <c r="V49" s="1319">
        <f t="shared" ca="1" si="1094"/>
        <v>3.7192566700000002E-5</v>
      </c>
      <c r="W49" s="1319">
        <f t="shared" ca="1" si="1094"/>
        <v>0</v>
      </c>
      <c r="X49" s="1319">
        <f t="shared" ca="1" si="1094"/>
        <v>0</v>
      </c>
      <c r="Y49" s="1319">
        <f t="shared" ca="1" si="1094"/>
        <v>2028.14833</v>
      </c>
      <c r="Z49" s="1319">
        <f t="shared" ca="1" si="1094"/>
        <v>8.4697672199999998E-4</v>
      </c>
      <c r="AA49" s="1319">
        <f t="shared" ca="1" si="1094"/>
        <v>2028.1474899999998</v>
      </c>
      <c r="AB49" s="1319">
        <f t="shared" ca="1" si="1094"/>
        <v>0</v>
      </c>
      <c r="AC49" s="1319">
        <f t="shared" ca="1" si="1094"/>
        <v>3.7192566700000002E-5</v>
      </c>
      <c r="AD49" s="1319">
        <f t="shared" ca="1" si="1094"/>
        <v>0</v>
      </c>
      <c r="AM49" s="1319">
        <f t="shared" ca="1" si="1095"/>
        <v>0</v>
      </c>
      <c r="AN49" s="1319">
        <f t="shared" ca="1" si="1095"/>
        <v>0</v>
      </c>
      <c r="AO49" s="1319">
        <f t="shared" ca="1" si="1096"/>
        <v>2028.1474899999998</v>
      </c>
      <c r="AP49" s="1319">
        <f t="shared" ca="1" si="1096"/>
        <v>2028.1474899999998</v>
      </c>
      <c r="AQ49" s="1319">
        <f t="shared" ca="1" si="1096"/>
        <v>9.5228040299999994E-5</v>
      </c>
      <c r="AR49" s="1319">
        <f t="shared" ca="1" si="1096"/>
        <v>2.11558657E-9</v>
      </c>
      <c r="AS49" s="1319">
        <f t="shared" ca="1" si="1096"/>
        <v>8.4697460599999998E-4</v>
      </c>
      <c r="AT49" s="1319">
        <f t="shared" ca="1" si="1095"/>
        <v>4.8946680500000003E-11</v>
      </c>
      <c r="AU49" s="1319">
        <f t="shared" ca="1" si="1095"/>
        <v>9.5230106899999996E-5</v>
      </c>
      <c r="AV49" s="1319">
        <f t="shared" ca="1" si="1095"/>
        <v>2028.1473900000001</v>
      </c>
      <c r="AW49" s="1319">
        <f t="shared" ca="1" si="1095"/>
        <v>4.8946680500000003E-11</v>
      </c>
      <c r="AX49" s="1319">
        <f t="shared" ca="1" si="1095"/>
        <v>9.4220476199999986E-4</v>
      </c>
      <c r="AY49" s="1319">
        <f t="shared" ca="1" si="1095"/>
        <v>0</v>
      </c>
      <c r="AZ49" s="1319">
        <f t="shared" ca="1" si="1095"/>
        <v>0</v>
      </c>
      <c r="BA49" s="1319">
        <f t="shared" ca="1" si="1095"/>
        <v>0</v>
      </c>
      <c r="BB49" s="1319">
        <f t="shared" ca="1" si="1095"/>
        <v>2007.8659200000002</v>
      </c>
      <c r="BN49" s="1319">
        <f t="shared" ca="1" si="1097"/>
        <v>200.78659200000001</v>
      </c>
      <c r="BO49" s="1319">
        <f t="shared" ca="1" si="1097"/>
        <v>200.58580499999999</v>
      </c>
      <c r="BP49" s="1319">
        <f t="shared" ca="1" si="1097"/>
        <v>2.2446185199999998E-10</v>
      </c>
      <c r="BQ49" s="1319">
        <f t="shared" ca="1" si="1097"/>
        <v>0</v>
      </c>
      <c r="BR49" s="1319">
        <f t="shared" ca="1" si="1097"/>
        <v>0</v>
      </c>
      <c r="CD49" s="1319">
        <f t="shared" ca="1" si="1098"/>
        <v>2007.8659200000002</v>
      </c>
      <c r="CE49" s="1319">
        <f t="shared" ca="1" si="1098"/>
        <v>2007.8659200000002</v>
      </c>
      <c r="CF49" s="1319">
        <f t="shared" ca="1" si="1098"/>
        <v>200.78659200000001</v>
      </c>
      <c r="CG49" s="1319">
        <f t="shared" ca="1" si="1098"/>
        <v>200.58580499999999</v>
      </c>
      <c r="CH49" s="1319">
        <f t="shared" ca="1" si="1098"/>
        <v>2007.8659200000002</v>
      </c>
      <c r="CI49" s="1319">
        <f t="shared" ca="1" si="1098"/>
        <v>0</v>
      </c>
      <c r="CJ49" s="1319">
        <f t="shared" ca="1" si="1098"/>
        <v>0</v>
      </c>
      <c r="CK49" s="1319">
        <f t="shared" ca="1" si="1098"/>
        <v>220.06017499999999</v>
      </c>
      <c r="CL49" s="1319">
        <f t="shared" ca="1" si="1098"/>
        <v>2.3869085500000001E-10</v>
      </c>
      <c r="CM49" s="1319">
        <f t="shared" ca="1" si="1098"/>
        <v>0</v>
      </c>
      <c r="CN49" s="1319">
        <f t="shared" ca="1" si="1098"/>
        <v>220.06017499999999</v>
      </c>
      <c r="CO49" s="1319">
        <f t="shared" ca="1" si="1098"/>
        <v>4.6315293900000007E-10</v>
      </c>
      <c r="DA49" s="1319">
        <f t="shared" ca="1" si="1099"/>
        <v>0</v>
      </c>
      <c r="DB49" s="1319">
        <f t="shared" ca="1" si="1099"/>
        <v>0</v>
      </c>
      <c r="DC49" s="1319">
        <f t="shared" ca="1" si="1099"/>
        <v>0</v>
      </c>
      <c r="DD49" s="1319">
        <f t="shared" ca="1" si="1099"/>
        <v>0</v>
      </c>
      <c r="DE49" s="1319">
        <f t="shared" ca="1" si="1099"/>
        <v>0</v>
      </c>
      <c r="DF49" s="1319">
        <f t="shared" ca="1" si="1099"/>
        <v>0</v>
      </c>
      <c r="DG49" s="1319">
        <f t="shared" ca="1" si="1099"/>
        <v>0</v>
      </c>
      <c r="DH49" s="1319">
        <f t="shared" ca="1" si="1099"/>
        <v>0</v>
      </c>
      <c r="DI49" s="1319">
        <f t="shared" ca="1" si="1099"/>
        <v>0</v>
      </c>
      <c r="DJ49" s="1319">
        <f t="shared" ca="1" si="1099"/>
        <v>0</v>
      </c>
      <c r="DV49" s="1319">
        <f t="shared" ca="1" si="1100"/>
        <v>0</v>
      </c>
      <c r="DW49" s="1319">
        <f t="shared" ca="1" si="1100"/>
        <v>0</v>
      </c>
      <c r="DX49" s="1319">
        <f t="shared" ca="1" si="1100"/>
        <v>0</v>
      </c>
      <c r="DY49" s="1319">
        <f t="shared" ca="1" si="1100"/>
        <v>0</v>
      </c>
      <c r="DZ49" s="1319">
        <f t="shared" ca="1" si="1100"/>
        <v>0</v>
      </c>
      <c r="EA49" s="1319">
        <f t="shared" ca="1" si="1100"/>
        <v>0</v>
      </c>
      <c r="EB49" s="1319">
        <f t="shared" ca="1" si="1100"/>
        <v>0</v>
      </c>
      <c r="EC49" s="1319">
        <f t="shared" ca="1" si="1100"/>
        <v>0</v>
      </c>
      <c r="ED49" s="1319">
        <f t="shared" ca="1" si="1100"/>
        <v>0</v>
      </c>
      <c r="EE49" s="1319">
        <f t="shared" ca="1" si="1100"/>
        <v>0</v>
      </c>
      <c r="EF49" s="1319">
        <f t="shared" ca="1" si="1100"/>
        <v>0</v>
      </c>
      <c r="EG49" s="1319">
        <f t="shared" ca="1" si="1100"/>
        <v>0</v>
      </c>
      <c r="EH49" s="1319">
        <f t="shared" ca="1" si="1100"/>
        <v>0</v>
      </c>
      <c r="EI49" s="1319">
        <f t="shared" ca="1" si="1100"/>
        <v>0</v>
      </c>
      <c r="EJ49" s="1319">
        <f t="shared" ca="1" si="1101"/>
        <v>0</v>
      </c>
      <c r="EK49" s="1319">
        <f t="shared" ca="1" si="1100"/>
        <v>0</v>
      </c>
      <c r="EW49" s="1319">
        <f t="shared" ca="1" si="1102"/>
        <v>220.06017499999999</v>
      </c>
      <c r="EX49" s="1319">
        <f t="shared" ca="1" si="1102"/>
        <v>220.06017499999999</v>
      </c>
      <c r="EY49" s="1319">
        <f t="shared" ca="1" si="1102"/>
        <v>220.06013799999999</v>
      </c>
      <c r="EZ49" s="1319">
        <f t="shared" ca="1" si="1102"/>
        <v>220.06013799999999</v>
      </c>
      <c r="FA49" s="1319">
        <f t="shared" ca="1" si="1102"/>
        <v>2.3240232800000002E-16</v>
      </c>
      <c r="FB49" s="1319">
        <f t="shared" ca="1" si="1102"/>
        <v>3.7192566499999999E-5</v>
      </c>
      <c r="FN49" s="1319">
        <f t="shared" ca="1" si="1103"/>
        <v>2.2446185199999998E-10</v>
      </c>
      <c r="FO49" s="1319">
        <f t="shared" ca="1" si="1103"/>
        <v>2.3869085500000001E-10</v>
      </c>
      <c r="FP49" s="1319">
        <f t="shared" ca="1" si="1103"/>
        <v>2.3240232800000002E-16</v>
      </c>
      <c r="FQ49" s="1319">
        <f t="shared" ca="1" si="1103"/>
        <v>3.7192566499999999E-5</v>
      </c>
      <c r="FR49" s="1319">
        <f t="shared" ca="1" si="1103"/>
        <v>0</v>
      </c>
      <c r="FS49" s="1319">
        <f t="shared" ca="1" si="1103"/>
        <v>3.7192566700000002E-5</v>
      </c>
      <c r="FT49" s="1319">
        <f t="shared" ca="1" si="1103"/>
        <v>0</v>
      </c>
      <c r="FU49" s="1319">
        <f t="shared" ca="1" si="1103"/>
        <v>4.6315293900000007E-10</v>
      </c>
      <c r="FV49" s="1319">
        <f t="shared" ca="1" si="1103"/>
        <v>0</v>
      </c>
      <c r="FW49" s="1319">
        <f t="shared" ca="1" si="1103"/>
        <v>0</v>
      </c>
      <c r="FX49" s="1319">
        <f t="shared" ca="1" si="1103"/>
        <v>4.6315293900000007E-10</v>
      </c>
      <c r="GJ49" s="1319">
        <f t="shared" ca="1" si="1104"/>
        <v>0</v>
      </c>
      <c r="GK49" s="1319">
        <f t="shared" ca="1" si="1104"/>
        <v>0</v>
      </c>
      <c r="GL49" s="1319">
        <f t="shared" ca="1" si="1104"/>
        <v>0</v>
      </c>
      <c r="GM49" s="1319">
        <f t="shared" ca="1" si="1104"/>
        <v>0</v>
      </c>
      <c r="GN49" s="1319">
        <f t="shared" ca="1" si="1104"/>
        <v>0</v>
      </c>
      <c r="GO49" s="1319">
        <f t="shared" ca="1" si="1104"/>
        <v>0</v>
      </c>
      <c r="GP49" s="1319">
        <f t="shared" ca="1" si="1104"/>
        <v>0</v>
      </c>
      <c r="GQ49" s="1319">
        <f t="shared" ca="1" si="1104"/>
        <v>0</v>
      </c>
      <c r="HC49" s="1319">
        <f t="shared" ca="1" si="1105"/>
        <v>220.06013799999999</v>
      </c>
      <c r="HD49" s="1319">
        <f t="shared" ca="1" si="1105"/>
        <v>211.866952</v>
      </c>
      <c r="HE49" s="1319">
        <f t="shared" ca="1" si="1105"/>
        <v>0</v>
      </c>
      <c r="HF49" s="1319">
        <f t="shared" ca="1" si="1105"/>
        <v>1.7191892899999999E-9</v>
      </c>
      <c r="HG49" s="1319">
        <f t="shared" ca="1" si="1105"/>
        <v>8.1931859300000003</v>
      </c>
      <c r="HH49" s="1319">
        <f t="shared" ca="1" si="1105"/>
        <v>211.866952</v>
      </c>
      <c r="HT49" s="1319">
        <f t="shared" ca="1" si="1106"/>
        <v>9.4220476199999986E-4</v>
      </c>
      <c r="HU49" s="1319">
        <f t="shared" ca="1" si="1106"/>
        <v>211.866952</v>
      </c>
      <c r="HV49" s="1319">
        <f t="shared" ca="1" si="1106"/>
        <v>211.86789400000001</v>
      </c>
      <c r="HW49" s="1319">
        <f t="shared" ca="1" si="1106"/>
        <v>211.86789400000001</v>
      </c>
      <c r="HX49" s="1319">
        <f t="shared" ca="1" si="1106"/>
        <v>17.720563899999998</v>
      </c>
      <c r="HY49" s="1319">
        <f t="shared" ca="1" si="1106"/>
        <v>1.34754661</v>
      </c>
      <c r="HZ49" s="1319">
        <f t="shared" ca="1" si="1106"/>
        <v>6.2717924299999998E-11</v>
      </c>
      <c r="IA49" s="1319">
        <f t="shared" ca="1" si="1106"/>
        <v>3.2419701400000006E-12</v>
      </c>
      <c r="IB49" s="1319">
        <f t="shared" ca="1" si="1106"/>
        <v>0</v>
      </c>
      <c r="IC49" s="1319">
        <f t="shared" ca="1" si="1106"/>
        <v>0</v>
      </c>
      <c r="ID49" s="1319">
        <f t="shared" ca="1" si="1106"/>
        <v>0</v>
      </c>
      <c r="IE49" s="1319">
        <f t="shared" ca="1" si="1106"/>
        <v>0</v>
      </c>
      <c r="IQ49" s="1319">
        <f t="shared" ca="1" si="1107"/>
        <v>17.720563899999998</v>
      </c>
      <c r="IR49" s="1319">
        <f t="shared" ca="1" si="1107"/>
        <v>1.34754661</v>
      </c>
      <c r="IS49" s="1319">
        <f t="shared" ca="1" si="1107"/>
        <v>2.68091656E-2</v>
      </c>
      <c r="IT49" s="1319">
        <f t="shared" ca="1" si="1107"/>
        <v>1.37435577</v>
      </c>
      <c r="IU49" s="1319">
        <f t="shared" ca="1" si="1108"/>
        <v>1.28268147</v>
      </c>
      <c r="IV49" s="1319">
        <f t="shared" ca="1" si="1107"/>
        <v>0.78586661199999996</v>
      </c>
      <c r="IW49" s="1319">
        <f t="shared" ca="1" si="1107"/>
        <v>0.64341997500000003</v>
      </c>
      <c r="IX49" s="1319">
        <f t="shared" ca="1" si="1109"/>
        <v>6.3631288900000005E-13</v>
      </c>
      <c r="IY49" s="1319">
        <f t="shared" ca="1" si="1107"/>
        <v>9.16743052E-2</v>
      </c>
      <c r="IZ49" s="1319">
        <f t="shared" ca="1" si="1107"/>
        <v>0.11563747200000002</v>
      </c>
      <c r="JA49" s="1319">
        <f t="shared" ca="1" si="1107"/>
        <v>0.67022914099999997</v>
      </c>
      <c r="JB49" s="1319">
        <f t="shared" ca="1" si="1107"/>
        <v>0</v>
      </c>
      <c r="JC49" s="1319">
        <f t="shared" ca="1" si="1107"/>
        <v>0.11563747200000002</v>
      </c>
      <c r="JD49" s="1319">
        <f t="shared" ca="1" si="1107"/>
        <v>0</v>
      </c>
      <c r="JE49" s="1319">
        <f t="shared" ca="1" si="1107"/>
        <v>0.11563747200000002</v>
      </c>
      <c r="JF49" s="1319">
        <f t="shared" ca="1" si="1107"/>
        <v>0</v>
      </c>
      <c r="JG49" s="1319">
        <f t="shared" ca="1" si="1107"/>
        <v>0</v>
      </c>
      <c r="JH49" s="1319">
        <f t="shared" ca="1" si="1107"/>
        <v>3.2419701400000006E-12</v>
      </c>
      <c r="JT49" s="1319">
        <f t="shared" ca="1" si="1110"/>
        <v>0</v>
      </c>
      <c r="JU49" s="1319">
        <f t="shared" ca="1" si="1110"/>
        <v>0</v>
      </c>
      <c r="JV49" s="1319">
        <f t="shared" ca="1" si="1110"/>
        <v>0</v>
      </c>
      <c r="JW49" s="1319">
        <f t="shared" ca="1" si="1110"/>
        <v>0</v>
      </c>
      <c r="JX49" s="1319">
        <f t="shared" ca="1" si="1110"/>
        <v>0</v>
      </c>
      <c r="JY49" s="1319">
        <f t="shared" ca="1" si="1110"/>
        <v>0</v>
      </c>
      <c r="JZ49" s="1319">
        <f t="shared" ca="1" si="1110"/>
        <v>0</v>
      </c>
      <c r="KA49" s="1319">
        <f t="shared" ca="1" si="1110"/>
        <v>0</v>
      </c>
      <c r="KB49" s="1319">
        <f t="shared" ca="1" si="1110"/>
        <v>0</v>
      </c>
      <c r="KC49" s="1319">
        <f t="shared" ca="1" si="1110"/>
        <v>0</v>
      </c>
      <c r="KL49" s="1319">
        <f t="shared" ca="1" si="1111"/>
        <v>0</v>
      </c>
      <c r="KM49" s="1319">
        <f t="shared" ca="1" si="1111"/>
        <v>0</v>
      </c>
      <c r="KN49" s="1319">
        <f t="shared" ca="1" si="1111"/>
        <v>0</v>
      </c>
      <c r="KO49" s="1319">
        <f t="shared" ca="1" si="1111"/>
        <v>0</v>
      </c>
      <c r="KP49" s="1319">
        <f t="shared" ca="1" si="1111"/>
        <v>0</v>
      </c>
      <c r="KQ49" s="1319">
        <f t="shared" ca="1" si="1111"/>
        <v>0</v>
      </c>
      <c r="KR49" s="1319">
        <f t="shared" ca="1" si="1111"/>
        <v>0</v>
      </c>
      <c r="LA49" s="1319">
        <f t="shared" ca="1" si="1112"/>
        <v>1.7191892899999999E-9</v>
      </c>
      <c r="LB49" s="1319">
        <f t="shared" ca="1" si="1112"/>
        <v>6.2717924299999998E-11</v>
      </c>
      <c r="LC49" s="1319">
        <f t="shared" ca="1" si="1112"/>
        <v>1.7819072100000001E-9</v>
      </c>
      <c r="LD49" s="1319">
        <f t="shared" ca="1" si="1112"/>
        <v>1.7819072100000001E-9</v>
      </c>
      <c r="LE49" s="1319">
        <f t="shared" ca="1" si="1112"/>
        <v>0</v>
      </c>
      <c r="LF49" s="1319">
        <f t="shared" ca="1" si="1112"/>
        <v>0</v>
      </c>
      <c r="LG49" s="1319">
        <f t="shared" ca="1" si="1112"/>
        <v>0</v>
      </c>
      <c r="LH49" s="1319">
        <f t="shared" ca="1" si="1112"/>
        <v>0</v>
      </c>
      <c r="LI49" s="1319">
        <f t="shared" ca="1" si="1112"/>
        <v>0</v>
      </c>
      <c r="LJ49" s="1319">
        <f t="shared" ca="1" si="1112"/>
        <v>0</v>
      </c>
      <c r="LK49" s="1319">
        <f t="shared" ca="1" si="1112"/>
        <v>0</v>
      </c>
      <c r="LW49" s="1319">
        <f t="shared" ca="1" si="1113"/>
        <v>0</v>
      </c>
      <c r="LX49" s="1319">
        <f t="shared" ca="1" si="1114"/>
        <v>0</v>
      </c>
      <c r="LY49" s="1319">
        <f t="shared" ca="1" si="1114"/>
        <v>8.1931859300000003</v>
      </c>
      <c r="LZ49" s="1319">
        <f t="shared" ca="1" si="1114"/>
        <v>9.16743052E-2</v>
      </c>
      <c r="MA49" s="1319">
        <f t="shared" ca="1" si="1114"/>
        <v>8.2848602400000004</v>
      </c>
      <c r="MB49" s="1319">
        <f t="shared" ca="1" si="1114"/>
        <v>1.7819072100000001E-9</v>
      </c>
      <c r="MC49" s="1319">
        <f t="shared" ca="1" si="1114"/>
        <v>0</v>
      </c>
      <c r="MD49" s="1319">
        <f t="shared" ca="1" si="1114"/>
        <v>0</v>
      </c>
      <c r="ME49" s="1319">
        <f t="shared" ca="1" si="1114"/>
        <v>0</v>
      </c>
      <c r="MF49" s="1319">
        <f t="shared" ca="1" si="1114"/>
        <v>0</v>
      </c>
      <c r="MG49" s="1319">
        <f t="shared" ca="1" si="1114"/>
        <v>0</v>
      </c>
      <c r="MH49" s="1319">
        <f t="shared" ca="1" si="1115"/>
        <v>0</v>
      </c>
      <c r="MI49" s="1319">
        <f t="shared" ca="1" si="1115"/>
        <v>0</v>
      </c>
      <c r="MJ49" s="1319">
        <f t="shared" ca="1" si="1114"/>
        <v>0</v>
      </c>
      <c r="MK49" s="1319">
        <f t="shared" ca="1" si="1114"/>
        <v>0</v>
      </c>
      <c r="ML49" s="1319">
        <f t="shared" ca="1" si="1114"/>
        <v>0</v>
      </c>
      <c r="MM49" s="1319">
        <f t="shared" ca="1" si="1114"/>
        <v>0</v>
      </c>
      <c r="MN49" s="1319">
        <f t="shared" ca="1" si="1114"/>
        <v>0</v>
      </c>
      <c r="MO49" s="1319">
        <f t="shared" ca="1" si="1114"/>
        <v>0</v>
      </c>
      <c r="NA49" s="1319">
        <f t="shared" ca="1" si="1116"/>
        <v>8.4697672199999998E-4</v>
      </c>
      <c r="NB49" s="1319">
        <f t="shared" ca="1" si="1116"/>
        <v>2.11558657E-9</v>
      </c>
      <c r="NC49" s="1319">
        <f t="shared" ca="1" si="1116"/>
        <v>8.4697460599999998E-4</v>
      </c>
      <c r="ND49" s="1319">
        <f t="shared" ca="1" si="1116"/>
        <v>0</v>
      </c>
      <c r="NE49" s="1319">
        <f t="shared" ca="1" si="1116"/>
        <v>0</v>
      </c>
      <c r="NF49" s="1319">
        <f t="shared" ca="1" si="1116"/>
        <v>0</v>
      </c>
      <c r="NG49" s="1319">
        <f t="shared" ca="1" si="1116"/>
        <v>0</v>
      </c>
      <c r="NH49" s="1319">
        <f t="shared" ca="1" si="1116"/>
        <v>0</v>
      </c>
      <c r="NI49" s="1319">
        <f t="shared" ca="1" si="1116"/>
        <v>0</v>
      </c>
      <c r="NJ49" s="1319">
        <f t="shared" ca="1" si="1116"/>
        <v>0</v>
      </c>
      <c r="NK49" s="1319">
        <f t="shared" ca="1" si="1116"/>
        <v>0</v>
      </c>
      <c r="NL49" s="1319">
        <f t="shared" ca="1" si="1116"/>
        <v>0</v>
      </c>
      <c r="NM49" s="1319">
        <f t="shared" ca="1" si="1116"/>
        <v>0</v>
      </c>
      <c r="NN49" s="1319">
        <f t="shared" ca="1" si="1116"/>
        <v>0</v>
      </c>
      <c r="NO49" s="1319">
        <f t="shared" ca="1" si="1116"/>
        <v>0</v>
      </c>
      <c r="NP49" s="1319">
        <f t="shared" ca="1" si="1116"/>
        <v>0</v>
      </c>
      <c r="OH49" s="1319">
        <f t="shared" ca="1" si="1117"/>
        <v>0</v>
      </c>
      <c r="OI49" s="1319">
        <f t="shared" ca="1" si="1117"/>
        <v>0</v>
      </c>
      <c r="OJ49" s="1319">
        <f t="shared" ca="1" si="1117"/>
        <v>0</v>
      </c>
      <c r="OK49" s="1319">
        <f t="shared" ca="1" si="1117"/>
        <v>0</v>
      </c>
      <c r="OL49" s="1319">
        <f t="shared" ca="1" si="1117"/>
        <v>0</v>
      </c>
      <c r="OM49" s="1319">
        <f t="shared" ca="1" si="1117"/>
        <v>0</v>
      </c>
      <c r="ON49" s="1319">
        <f t="shared" ca="1" si="1117"/>
        <v>0</v>
      </c>
      <c r="OO49" s="1319">
        <f t="shared" ca="1" si="1117"/>
        <v>0</v>
      </c>
      <c r="PA49" s="1319">
        <f t="shared" ca="1" si="1118"/>
        <v>0</v>
      </c>
      <c r="PB49" s="1319">
        <f t="shared" ca="1" si="1118"/>
        <v>0</v>
      </c>
      <c r="PC49" s="1319">
        <f t="shared" ca="1" si="1118"/>
        <v>0</v>
      </c>
      <c r="PD49" s="1319">
        <f t="shared" ca="1" si="1118"/>
        <v>0</v>
      </c>
      <c r="PE49" s="1319">
        <f t="shared" ca="1" si="1118"/>
        <v>0</v>
      </c>
      <c r="PF49" s="1319">
        <f t="shared" ca="1" si="1118"/>
        <v>0</v>
      </c>
      <c r="PG49" s="1319">
        <f t="shared" ca="1" si="1118"/>
        <v>0</v>
      </c>
      <c r="PH49" s="1319">
        <f t="shared" ca="1" si="1118"/>
        <v>0</v>
      </c>
      <c r="PI49" s="1319">
        <f t="shared" ca="1" si="1118"/>
        <v>0</v>
      </c>
      <c r="PJ49" s="1319">
        <f t="shared" ca="1" si="1118"/>
        <v>0</v>
      </c>
      <c r="PK49" s="1319">
        <f t="shared" ca="1" si="1118"/>
        <v>0</v>
      </c>
      <c r="PW49" s="1319">
        <f t="shared" ca="1" si="1119"/>
        <v>0</v>
      </c>
      <c r="PX49" s="1319">
        <f t="shared" ca="1" si="1119"/>
        <v>0</v>
      </c>
      <c r="PY49" s="1319">
        <f t="shared" ca="1" si="1119"/>
        <v>0</v>
      </c>
      <c r="PZ49" s="1319">
        <f t="shared" ca="1" si="1119"/>
        <v>0</v>
      </c>
    </row>
    <row r="50" spans="1:442" x14ac:dyDescent="0.25">
      <c r="A50" s="189">
        <v>11</v>
      </c>
      <c r="B50" s="189" t="s">
        <v>1256</v>
      </c>
      <c r="C50" s="1317" t="s">
        <v>1274</v>
      </c>
      <c r="D50" s="1317" t="s">
        <v>206</v>
      </c>
      <c r="J50" s="1319">
        <f t="shared" ca="1" si="1093"/>
        <v>0</v>
      </c>
      <c r="K50" s="1319">
        <f t="shared" ca="1" si="1121"/>
        <v>0</v>
      </c>
      <c r="T50" s="1319">
        <f t="shared" ca="1" si="1094"/>
        <v>0</v>
      </c>
      <c r="U50" s="1319">
        <f t="shared" ca="1" si="1094"/>
        <v>0</v>
      </c>
      <c r="V50" s="1319">
        <f t="shared" ca="1" si="1094"/>
        <v>1.47120573E-4</v>
      </c>
      <c r="W50" s="1319">
        <f t="shared" ca="1" si="1094"/>
        <v>0</v>
      </c>
      <c r="X50" s="1319">
        <f t="shared" ca="1" si="1094"/>
        <v>0</v>
      </c>
      <c r="Y50" s="1319">
        <f t="shared" ca="1" si="1094"/>
        <v>1.47120573E-4</v>
      </c>
      <c r="Z50" s="1319">
        <f t="shared" ca="1" si="1094"/>
        <v>9.8745549999999998E-11</v>
      </c>
      <c r="AA50" s="1319">
        <f t="shared" ca="1" si="1094"/>
        <v>1.4712047399999999E-4</v>
      </c>
      <c r="AB50" s="1319">
        <f t="shared" ca="1" si="1094"/>
        <v>0</v>
      </c>
      <c r="AC50" s="1319">
        <f t="shared" ca="1" si="1094"/>
        <v>1.47120573E-4</v>
      </c>
      <c r="AD50" s="1319">
        <f t="shared" ca="1" si="1094"/>
        <v>0</v>
      </c>
      <c r="AM50" s="1319">
        <f t="shared" ca="1" si="1095"/>
        <v>0</v>
      </c>
      <c r="AN50" s="1319">
        <f t="shared" ca="1" si="1095"/>
        <v>0</v>
      </c>
      <c r="AO50" s="1319">
        <f t="shared" ca="1" si="1096"/>
        <v>1.4712047399999999E-4</v>
      </c>
      <c r="AP50" s="1319">
        <f t="shared" ca="1" si="1096"/>
        <v>1.4712047399999999E-4</v>
      </c>
      <c r="AQ50" s="1319">
        <f t="shared" ca="1" si="1096"/>
        <v>2.85821841E-11</v>
      </c>
      <c r="AR50" s="1319">
        <f t="shared" ca="1" si="1096"/>
        <v>0</v>
      </c>
      <c r="AS50" s="1319">
        <f t="shared" ca="1" si="1096"/>
        <v>0</v>
      </c>
      <c r="AT50" s="1319">
        <f t="shared" ca="1" si="1095"/>
        <v>0</v>
      </c>
      <c r="AU50" s="1319">
        <f t="shared" ca="1" si="1095"/>
        <v>0</v>
      </c>
      <c r="AV50" s="1319">
        <f t="shared" ca="1" si="1095"/>
        <v>1.4712044599999999E-4</v>
      </c>
      <c r="AW50" s="1319">
        <f t="shared" ca="1" si="1095"/>
        <v>0</v>
      </c>
      <c r="AX50" s="1319">
        <f t="shared" ca="1" si="1095"/>
        <v>0</v>
      </c>
      <c r="AY50" s="1319">
        <f t="shared" ca="1" si="1095"/>
        <v>0</v>
      </c>
      <c r="AZ50" s="1319">
        <f t="shared" ca="1" si="1095"/>
        <v>0</v>
      </c>
      <c r="BA50" s="1319">
        <f t="shared" ca="1" si="1095"/>
        <v>0</v>
      </c>
      <c r="BB50" s="1319">
        <f t="shared" ca="1" si="1095"/>
        <v>1.4712044599999999E-4</v>
      </c>
      <c r="BN50" s="1319">
        <f t="shared" ca="1" si="1097"/>
        <v>33.108547000000002</v>
      </c>
      <c r="BO50" s="1319">
        <f t="shared" ca="1" si="1097"/>
        <v>33.108547000000002</v>
      </c>
      <c r="BP50" s="1319">
        <f t="shared" ca="1" si="1097"/>
        <v>5.3730335100000001E-9</v>
      </c>
      <c r="BQ50" s="1319">
        <f t="shared" ca="1" si="1097"/>
        <v>0</v>
      </c>
      <c r="BR50" s="1319">
        <f t="shared" ca="1" si="1097"/>
        <v>0</v>
      </c>
      <c r="CD50" s="1319">
        <f t="shared" ca="1" si="1098"/>
        <v>1.4712044599999999E-4</v>
      </c>
      <c r="CE50" s="1319">
        <f t="shared" ca="1" si="1098"/>
        <v>1.4712044599999999E-4</v>
      </c>
      <c r="CF50" s="1319">
        <f t="shared" ca="1" si="1098"/>
        <v>33.108547000000002</v>
      </c>
      <c r="CG50" s="1319">
        <f t="shared" ca="1" si="1098"/>
        <v>33.108547000000002</v>
      </c>
      <c r="CH50" s="1319">
        <f t="shared" ca="1" si="1098"/>
        <v>1.4712044599999999E-4</v>
      </c>
      <c r="CI50" s="1319">
        <f t="shared" ca="1" si="1098"/>
        <v>0</v>
      </c>
      <c r="CJ50" s="1319">
        <f t="shared" ca="1" si="1098"/>
        <v>0</v>
      </c>
      <c r="CK50" s="1319">
        <f t="shared" ca="1" si="1098"/>
        <v>331.08546999999999</v>
      </c>
      <c r="CL50" s="1319">
        <f t="shared" ca="1" si="1098"/>
        <v>5.2080066499999997E-8</v>
      </c>
      <c r="CM50" s="1319">
        <f t="shared" ca="1" si="1098"/>
        <v>0</v>
      </c>
      <c r="CN50" s="1319">
        <f t="shared" ca="1" si="1098"/>
        <v>331.08546999999999</v>
      </c>
      <c r="CO50" s="1319">
        <f t="shared" ca="1" si="1098"/>
        <v>5.7453129300000008E-8</v>
      </c>
      <c r="DA50" s="1319">
        <f t="shared" ca="1" si="1099"/>
        <v>0</v>
      </c>
      <c r="DB50" s="1319">
        <f t="shared" ca="1" si="1099"/>
        <v>0</v>
      </c>
      <c r="DC50" s="1319">
        <f t="shared" ca="1" si="1099"/>
        <v>0</v>
      </c>
      <c r="DD50" s="1319">
        <f t="shared" ca="1" si="1099"/>
        <v>0</v>
      </c>
      <c r="DE50" s="1319">
        <f t="shared" ca="1" si="1099"/>
        <v>0</v>
      </c>
      <c r="DF50" s="1319">
        <f t="shared" ca="1" si="1099"/>
        <v>0</v>
      </c>
      <c r="DG50" s="1319">
        <f t="shared" ca="1" si="1099"/>
        <v>0</v>
      </c>
      <c r="DH50" s="1319">
        <f t="shared" ca="1" si="1099"/>
        <v>0</v>
      </c>
      <c r="DI50" s="1319">
        <f t="shared" ca="1" si="1099"/>
        <v>0</v>
      </c>
      <c r="DJ50" s="1319">
        <f t="shared" ca="1" si="1099"/>
        <v>0</v>
      </c>
      <c r="DV50" s="1319">
        <f t="shared" ca="1" si="1100"/>
        <v>0</v>
      </c>
      <c r="DW50" s="1319">
        <f t="shared" ca="1" si="1100"/>
        <v>0</v>
      </c>
      <c r="DX50" s="1319">
        <f t="shared" ca="1" si="1100"/>
        <v>0</v>
      </c>
      <c r="DY50" s="1319">
        <f t="shared" ca="1" si="1100"/>
        <v>0</v>
      </c>
      <c r="DZ50" s="1319">
        <f t="shared" ca="1" si="1100"/>
        <v>0</v>
      </c>
      <c r="EA50" s="1319">
        <f t="shared" ca="1" si="1100"/>
        <v>0</v>
      </c>
      <c r="EB50" s="1319">
        <f t="shared" ca="1" si="1100"/>
        <v>0</v>
      </c>
      <c r="EC50" s="1319">
        <f t="shared" ca="1" si="1100"/>
        <v>0</v>
      </c>
      <c r="ED50" s="1319">
        <f t="shared" ca="1" si="1100"/>
        <v>0</v>
      </c>
      <c r="EE50" s="1319">
        <f t="shared" ca="1" si="1100"/>
        <v>0</v>
      </c>
      <c r="EF50" s="1319">
        <f t="shared" ca="1" si="1100"/>
        <v>0</v>
      </c>
      <c r="EG50" s="1319">
        <f t="shared" ca="1" si="1100"/>
        <v>0</v>
      </c>
      <c r="EH50" s="1319">
        <f t="shared" ca="1" si="1100"/>
        <v>0</v>
      </c>
      <c r="EI50" s="1319">
        <f t="shared" ca="1" si="1100"/>
        <v>0</v>
      </c>
      <c r="EJ50" s="1319">
        <f t="shared" ca="1" si="1101"/>
        <v>0</v>
      </c>
      <c r="EK50" s="1319">
        <f t="shared" ca="1" si="1100"/>
        <v>0</v>
      </c>
      <c r="EW50" s="1319">
        <f t="shared" ca="1" si="1102"/>
        <v>331.08546999999999</v>
      </c>
      <c r="EX50" s="1319">
        <f t="shared" ca="1" si="1102"/>
        <v>331.08546999999999</v>
      </c>
      <c r="EY50" s="1319">
        <f t="shared" ca="1" si="1102"/>
        <v>331.08532300000002</v>
      </c>
      <c r="EZ50" s="1319">
        <f t="shared" ca="1" si="1102"/>
        <v>331.08532300000002</v>
      </c>
      <c r="FA50" s="1319">
        <f t="shared" ca="1" si="1102"/>
        <v>2.93649277E-14</v>
      </c>
      <c r="FB50" s="1319">
        <f t="shared" ca="1" si="1102"/>
        <v>1.4712057200000001E-4</v>
      </c>
      <c r="FN50" s="1319">
        <f t="shared" ca="1" si="1103"/>
        <v>5.3730335100000001E-9</v>
      </c>
      <c r="FO50" s="1319">
        <f t="shared" ca="1" si="1103"/>
        <v>5.2080066499999997E-8</v>
      </c>
      <c r="FP50" s="1319">
        <f t="shared" ca="1" si="1103"/>
        <v>2.93649277E-14</v>
      </c>
      <c r="FQ50" s="1319">
        <f t="shared" ca="1" si="1103"/>
        <v>1.4712057200000001E-4</v>
      </c>
      <c r="FR50" s="1319">
        <f t="shared" ca="1" si="1103"/>
        <v>0</v>
      </c>
      <c r="FS50" s="1319">
        <f t="shared" ca="1" si="1103"/>
        <v>1.47120573E-4</v>
      </c>
      <c r="FT50" s="1319">
        <f t="shared" ca="1" si="1103"/>
        <v>0</v>
      </c>
      <c r="FU50" s="1319">
        <f t="shared" ca="1" si="1103"/>
        <v>5.7453129300000008E-8</v>
      </c>
      <c r="FV50" s="1319">
        <f t="shared" ca="1" si="1103"/>
        <v>0</v>
      </c>
      <c r="FW50" s="1319">
        <f t="shared" ca="1" si="1103"/>
        <v>0</v>
      </c>
      <c r="FX50" s="1319">
        <f t="shared" ca="1" si="1103"/>
        <v>5.7453129300000008E-8</v>
      </c>
      <c r="GJ50" s="1319">
        <f t="shared" ca="1" si="1104"/>
        <v>0</v>
      </c>
      <c r="GK50" s="1319">
        <f t="shared" ca="1" si="1104"/>
        <v>0</v>
      </c>
      <c r="GL50" s="1319">
        <f t="shared" ca="1" si="1104"/>
        <v>0</v>
      </c>
      <c r="GM50" s="1319">
        <f t="shared" ca="1" si="1104"/>
        <v>0</v>
      </c>
      <c r="GN50" s="1319">
        <f t="shared" ca="1" si="1104"/>
        <v>0</v>
      </c>
      <c r="GO50" s="1319">
        <f t="shared" ca="1" si="1104"/>
        <v>0</v>
      </c>
      <c r="GP50" s="1319">
        <f t="shared" ca="1" si="1104"/>
        <v>0</v>
      </c>
      <c r="GQ50" s="1319">
        <f t="shared" ca="1" si="1104"/>
        <v>0</v>
      </c>
      <c r="HC50" s="1319">
        <f t="shared" ca="1" si="1105"/>
        <v>331.08532300000002</v>
      </c>
      <c r="HD50" s="1319">
        <f t="shared" ca="1" si="1105"/>
        <v>318.75849399999998</v>
      </c>
      <c r="HE50" s="1319">
        <f t="shared" ca="1" si="1105"/>
        <v>0</v>
      </c>
      <c r="HF50" s="1319">
        <f t="shared" ca="1" si="1105"/>
        <v>1.00277823E-7</v>
      </c>
      <c r="HG50" s="1319">
        <f t="shared" ca="1" si="1105"/>
        <v>12.3268285</v>
      </c>
      <c r="HH50" s="1319">
        <f t="shared" ca="1" si="1105"/>
        <v>318.75849399999998</v>
      </c>
      <c r="HT50" s="1319">
        <f t="shared" ca="1" si="1106"/>
        <v>0</v>
      </c>
      <c r="HU50" s="1319">
        <f t="shared" ca="1" si="1106"/>
        <v>318.75849399999998</v>
      </c>
      <c r="HV50" s="1319">
        <f t="shared" ca="1" si="1106"/>
        <v>318.75849399999998</v>
      </c>
      <c r="HW50" s="1319">
        <f t="shared" ca="1" si="1106"/>
        <v>318.75849399999998</v>
      </c>
      <c r="HX50" s="1319">
        <f t="shared" ca="1" si="1106"/>
        <v>26.660859899999998</v>
      </c>
      <c r="HY50" s="1319">
        <f t="shared" ca="1" si="1106"/>
        <v>2.0274045200000002</v>
      </c>
      <c r="HZ50" s="1319">
        <f t="shared" ca="1" si="1106"/>
        <v>1.06593838E-8</v>
      </c>
      <c r="IA50" s="1319">
        <f t="shared" ca="1" si="1106"/>
        <v>3.7704521000000002E-11</v>
      </c>
      <c r="IB50" s="1319">
        <f t="shared" ca="1" si="1106"/>
        <v>0</v>
      </c>
      <c r="IC50" s="1319">
        <f t="shared" ca="1" si="1106"/>
        <v>0</v>
      </c>
      <c r="ID50" s="1319">
        <f t="shared" ca="1" si="1106"/>
        <v>0</v>
      </c>
      <c r="IE50" s="1319">
        <f t="shared" ca="1" si="1106"/>
        <v>0</v>
      </c>
      <c r="IQ50" s="1319">
        <f t="shared" ca="1" si="1107"/>
        <v>26.660859899999998</v>
      </c>
      <c r="IR50" s="1319">
        <f t="shared" ca="1" si="1107"/>
        <v>2.0274045200000002</v>
      </c>
      <c r="IS50" s="1319">
        <f t="shared" ca="1" si="1107"/>
        <v>4.0334800599999998E-2</v>
      </c>
      <c r="IT50" s="1319">
        <f t="shared" ca="1" si="1107"/>
        <v>2.0677393199999998</v>
      </c>
      <c r="IU50" s="1319">
        <f t="shared" ca="1" si="1108"/>
        <v>1.9298139299999999</v>
      </c>
      <c r="IV50" s="1319">
        <f t="shared" ca="1" si="1107"/>
        <v>1.18234836</v>
      </c>
      <c r="IW50" s="1319">
        <f t="shared" ca="1" si="1107"/>
        <v>0.96803521400000003</v>
      </c>
      <c r="IX50" s="1319">
        <f t="shared" ca="1" si="1109"/>
        <v>2.2927568700000001E-10</v>
      </c>
      <c r="IY50" s="1319">
        <f t="shared" ca="1" si="1107"/>
        <v>0.13792539700000001</v>
      </c>
      <c r="IZ50" s="1319">
        <f t="shared" ca="1" si="1107"/>
        <v>0.173978348</v>
      </c>
      <c r="JA50" s="1319">
        <f t="shared" ca="1" si="1107"/>
        <v>1.0083700099999999</v>
      </c>
      <c r="JB50" s="1319">
        <f t="shared" ca="1" si="1107"/>
        <v>0</v>
      </c>
      <c r="JC50" s="1319">
        <f t="shared" ca="1" si="1107"/>
        <v>0.173978348</v>
      </c>
      <c r="JD50" s="1319">
        <f t="shared" ca="1" si="1107"/>
        <v>0</v>
      </c>
      <c r="JE50" s="1319">
        <f t="shared" ca="1" si="1107"/>
        <v>0.173978348</v>
      </c>
      <c r="JF50" s="1319">
        <f t="shared" ca="1" si="1107"/>
        <v>0</v>
      </c>
      <c r="JG50" s="1319">
        <f t="shared" ca="1" si="1107"/>
        <v>0</v>
      </c>
      <c r="JH50" s="1319">
        <f t="shared" ca="1" si="1107"/>
        <v>3.7704521000000002E-11</v>
      </c>
      <c r="JT50" s="1319">
        <f t="shared" ca="1" si="1110"/>
        <v>0</v>
      </c>
      <c r="JU50" s="1319">
        <f t="shared" ca="1" si="1110"/>
        <v>0</v>
      </c>
      <c r="JV50" s="1319">
        <f t="shared" ca="1" si="1110"/>
        <v>0</v>
      </c>
      <c r="JW50" s="1319">
        <f t="shared" ca="1" si="1110"/>
        <v>0</v>
      </c>
      <c r="JX50" s="1319">
        <f t="shared" ca="1" si="1110"/>
        <v>0</v>
      </c>
      <c r="JY50" s="1319">
        <f t="shared" ca="1" si="1110"/>
        <v>0</v>
      </c>
      <c r="JZ50" s="1319">
        <f t="shared" ca="1" si="1110"/>
        <v>0</v>
      </c>
      <c r="KA50" s="1319">
        <f t="shared" ca="1" si="1110"/>
        <v>0</v>
      </c>
      <c r="KB50" s="1319">
        <f t="shared" ca="1" si="1110"/>
        <v>0</v>
      </c>
      <c r="KC50" s="1319">
        <f t="shared" ca="1" si="1110"/>
        <v>0</v>
      </c>
      <c r="KL50" s="1319">
        <f t="shared" ca="1" si="1111"/>
        <v>0</v>
      </c>
      <c r="KM50" s="1319">
        <f t="shared" ca="1" si="1111"/>
        <v>0</v>
      </c>
      <c r="KN50" s="1319">
        <f t="shared" ca="1" si="1111"/>
        <v>0</v>
      </c>
      <c r="KO50" s="1319">
        <f t="shared" ca="1" si="1111"/>
        <v>0</v>
      </c>
      <c r="KP50" s="1319">
        <f t="shared" ca="1" si="1111"/>
        <v>0</v>
      </c>
      <c r="KQ50" s="1319">
        <f t="shared" ca="1" si="1111"/>
        <v>0</v>
      </c>
      <c r="KR50" s="1319">
        <f t="shared" ca="1" si="1111"/>
        <v>0</v>
      </c>
      <c r="LA50" s="1319">
        <f t="shared" ca="1" si="1112"/>
        <v>1.00277823E-7</v>
      </c>
      <c r="LB50" s="1319">
        <f t="shared" ca="1" si="1112"/>
        <v>1.06593838E-8</v>
      </c>
      <c r="LC50" s="1319">
        <f t="shared" ca="1" si="1112"/>
        <v>1.1093720700000001E-7</v>
      </c>
      <c r="LD50" s="1319">
        <f t="shared" ca="1" si="1112"/>
        <v>1.1093720700000001E-7</v>
      </c>
      <c r="LE50" s="1319">
        <f t="shared" ca="1" si="1112"/>
        <v>0</v>
      </c>
      <c r="LF50" s="1319">
        <f t="shared" ca="1" si="1112"/>
        <v>0</v>
      </c>
      <c r="LG50" s="1319">
        <f t="shared" ca="1" si="1112"/>
        <v>0</v>
      </c>
      <c r="LH50" s="1319">
        <f t="shared" ca="1" si="1112"/>
        <v>0</v>
      </c>
      <c r="LI50" s="1319">
        <f t="shared" ca="1" si="1112"/>
        <v>0</v>
      </c>
      <c r="LJ50" s="1319">
        <f t="shared" ca="1" si="1112"/>
        <v>0</v>
      </c>
      <c r="LK50" s="1319">
        <f t="shared" ca="1" si="1112"/>
        <v>0</v>
      </c>
      <c r="LW50" s="1319">
        <f t="shared" ca="1" si="1113"/>
        <v>0</v>
      </c>
      <c r="LX50" s="1319">
        <f t="shared" ca="1" si="1114"/>
        <v>0</v>
      </c>
      <c r="LY50" s="1319">
        <f t="shared" ca="1" si="1114"/>
        <v>12.3268285</v>
      </c>
      <c r="LZ50" s="1319">
        <f t="shared" ca="1" si="1114"/>
        <v>0.13792539700000001</v>
      </c>
      <c r="MA50" s="1319">
        <f t="shared" ca="1" si="1114"/>
        <v>12.4647539</v>
      </c>
      <c r="MB50" s="1319">
        <f t="shared" ca="1" si="1114"/>
        <v>1.1093720700000001E-7</v>
      </c>
      <c r="MC50" s="1319">
        <f t="shared" ca="1" si="1114"/>
        <v>0</v>
      </c>
      <c r="MD50" s="1319">
        <f t="shared" ca="1" si="1114"/>
        <v>0</v>
      </c>
      <c r="ME50" s="1319">
        <f t="shared" ca="1" si="1114"/>
        <v>0</v>
      </c>
      <c r="MF50" s="1319">
        <f t="shared" ca="1" si="1114"/>
        <v>0</v>
      </c>
      <c r="MG50" s="1319">
        <f t="shared" ca="1" si="1114"/>
        <v>0</v>
      </c>
      <c r="MH50" s="1319">
        <f t="shared" ca="1" si="1115"/>
        <v>0</v>
      </c>
      <c r="MI50" s="1319">
        <f t="shared" ca="1" si="1115"/>
        <v>0</v>
      </c>
      <c r="MJ50" s="1319">
        <f t="shared" ca="1" si="1114"/>
        <v>0</v>
      </c>
      <c r="MK50" s="1319">
        <f t="shared" ca="1" si="1114"/>
        <v>0</v>
      </c>
      <c r="ML50" s="1319">
        <f t="shared" ca="1" si="1114"/>
        <v>0</v>
      </c>
      <c r="MM50" s="1319">
        <f t="shared" ca="1" si="1114"/>
        <v>0</v>
      </c>
      <c r="MN50" s="1319">
        <f t="shared" ca="1" si="1114"/>
        <v>0</v>
      </c>
      <c r="MO50" s="1319">
        <f t="shared" ca="1" si="1114"/>
        <v>0</v>
      </c>
      <c r="NA50" s="1319">
        <f t="shared" ca="1" si="1116"/>
        <v>9.8745549999999998E-11</v>
      </c>
      <c r="NB50" s="1319">
        <f t="shared" ca="1" si="1116"/>
        <v>0</v>
      </c>
      <c r="NC50" s="1319">
        <f t="shared" ca="1" si="1116"/>
        <v>0</v>
      </c>
      <c r="ND50" s="1319">
        <f t="shared" ca="1" si="1116"/>
        <v>0</v>
      </c>
      <c r="NE50" s="1319">
        <f t="shared" ca="1" si="1116"/>
        <v>0</v>
      </c>
      <c r="NF50" s="1319">
        <f t="shared" ca="1" si="1116"/>
        <v>0</v>
      </c>
      <c r="NG50" s="1319">
        <f t="shared" ca="1" si="1116"/>
        <v>0</v>
      </c>
      <c r="NH50" s="1319">
        <f t="shared" ca="1" si="1116"/>
        <v>0</v>
      </c>
      <c r="NI50" s="1319">
        <f t="shared" ca="1" si="1116"/>
        <v>0</v>
      </c>
      <c r="NJ50" s="1319">
        <f t="shared" ca="1" si="1116"/>
        <v>0</v>
      </c>
      <c r="NK50" s="1319">
        <f t="shared" ca="1" si="1116"/>
        <v>0</v>
      </c>
      <c r="NL50" s="1319">
        <f t="shared" ca="1" si="1116"/>
        <v>0</v>
      </c>
      <c r="NM50" s="1319">
        <f t="shared" ca="1" si="1116"/>
        <v>0</v>
      </c>
      <c r="NN50" s="1319">
        <f t="shared" ca="1" si="1116"/>
        <v>0</v>
      </c>
      <c r="NO50" s="1319">
        <f t="shared" ca="1" si="1116"/>
        <v>0</v>
      </c>
      <c r="NP50" s="1319">
        <f t="shared" ca="1" si="1116"/>
        <v>0</v>
      </c>
      <c r="OH50" s="1319">
        <f t="shared" ca="1" si="1117"/>
        <v>0</v>
      </c>
      <c r="OI50" s="1319">
        <f t="shared" ca="1" si="1117"/>
        <v>0</v>
      </c>
      <c r="OJ50" s="1319">
        <f t="shared" ca="1" si="1117"/>
        <v>0</v>
      </c>
      <c r="OK50" s="1319">
        <f t="shared" ca="1" si="1117"/>
        <v>0</v>
      </c>
      <c r="OL50" s="1319">
        <f t="shared" ca="1" si="1117"/>
        <v>0</v>
      </c>
      <c r="OM50" s="1319">
        <f t="shared" ca="1" si="1117"/>
        <v>0</v>
      </c>
      <c r="ON50" s="1319">
        <f t="shared" ca="1" si="1117"/>
        <v>0</v>
      </c>
      <c r="OO50" s="1319">
        <f t="shared" ca="1" si="1117"/>
        <v>0</v>
      </c>
      <c r="PA50" s="1319">
        <f t="shared" ca="1" si="1118"/>
        <v>0</v>
      </c>
      <c r="PB50" s="1319">
        <f t="shared" ca="1" si="1118"/>
        <v>0</v>
      </c>
      <c r="PC50" s="1319">
        <f t="shared" ca="1" si="1118"/>
        <v>0</v>
      </c>
      <c r="PD50" s="1319">
        <f t="shared" ca="1" si="1118"/>
        <v>0</v>
      </c>
      <c r="PE50" s="1319">
        <f t="shared" ca="1" si="1118"/>
        <v>0</v>
      </c>
      <c r="PF50" s="1319">
        <f t="shared" ca="1" si="1118"/>
        <v>0</v>
      </c>
      <c r="PG50" s="1319">
        <f t="shared" ca="1" si="1118"/>
        <v>0</v>
      </c>
      <c r="PH50" s="1319">
        <f t="shared" ca="1" si="1118"/>
        <v>0</v>
      </c>
      <c r="PI50" s="1319">
        <f t="shared" ca="1" si="1118"/>
        <v>0</v>
      </c>
      <c r="PJ50" s="1319">
        <f t="shared" ca="1" si="1118"/>
        <v>0</v>
      </c>
      <c r="PK50" s="1319">
        <f t="shared" ca="1" si="1118"/>
        <v>0</v>
      </c>
      <c r="PW50" s="1319">
        <f t="shared" ca="1" si="1119"/>
        <v>0</v>
      </c>
      <c r="PX50" s="1319">
        <f t="shared" ca="1" si="1119"/>
        <v>0</v>
      </c>
      <c r="PY50" s="1319">
        <f t="shared" ca="1" si="1119"/>
        <v>0</v>
      </c>
      <c r="PZ50" s="1319">
        <f t="shared" ca="1" si="1119"/>
        <v>0</v>
      </c>
    </row>
    <row r="51" spans="1:442" x14ac:dyDescent="0.25">
      <c r="A51" s="189">
        <v>12</v>
      </c>
      <c r="B51" s="189" t="s">
        <v>1256</v>
      </c>
      <c r="C51" s="1317" t="s">
        <v>2305</v>
      </c>
      <c r="D51" s="1317" t="s">
        <v>206</v>
      </c>
      <c r="J51" s="1319">
        <f t="shared" ca="1" si="1093"/>
        <v>641.66666699999996</v>
      </c>
      <c r="K51" s="1319">
        <f t="shared" ca="1" si="1121"/>
        <v>641.66666699999996</v>
      </c>
      <c r="T51" s="1319">
        <f t="shared" ca="1" si="1094"/>
        <v>641.66666699999996</v>
      </c>
      <c r="U51" s="1319">
        <f t="shared" ca="1" si="1094"/>
        <v>0</v>
      </c>
      <c r="V51" s="1319">
        <f t="shared" ca="1" si="1094"/>
        <v>0</v>
      </c>
      <c r="W51" s="1319">
        <f t="shared" ca="1" si="1094"/>
        <v>0</v>
      </c>
      <c r="X51" s="1319">
        <f t="shared" ca="1" si="1094"/>
        <v>0</v>
      </c>
      <c r="Y51" s="1319">
        <f t="shared" ca="1" si="1094"/>
        <v>0</v>
      </c>
      <c r="Z51" s="1319">
        <f t="shared" ca="1" si="1094"/>
        <v>0</v>
      </c>
      <c r="AA51" s="1319">
        <f t="shared" ca="1" si="1094"/>
        <v>0</v>
      </c>
      <c r="AB51" s="1319">
        <f t="shared" ca="1" si="1094"/>
        <v>0</v>
      </c>
      <c r="AC51" s="1319">
        <f t="shared" ca="1" si="1094"/>
        <v>0</v>
      </c>
      <c r="AD51" s="1319">
        <f t="shared" ca="1" si="1094"/>
        <v>0</v>
      </c>
      <c r="AM51" s="1319">
        <f t="shared" ca="1" si="1095"/>
        <v>0</v>
      </c>
      <c r="AN51" s="1319">
        <f t="shared" ca="1" si="1095"/>
        <v>0</v>
      </c>
      <c r="AO51" s="1319">
        <f t="shared" ca="1" si="1096"/>
        <v>0</v>
      </c>
      <c r="AP51" s="1319">
        <f t="shared" ca="1" si="1096"/>
        <v>0</v>
      </c>
      <c r="AQ51" s="1319">
        <f t="shared" ca="1" si="1096"/>
        <v>0</v>
      </c>
      <c r="AR51" s="1319">
        <f t="shared" ca="1" si="1096"/>
        <v>0</v>
      </c>
      <c r="AS51" s="1319">
        <f t="shared" ca="1" si="1096"/>
        <v>0</v>
      </c>
      <c r="AT51" s="1319">
        <f t="shared" ca="1" si="1095"/>
        <v>0</v>
      </c>
      <c r="AU51" s="1319">
        <f t="shared" ca="1" si="1095"/>
        <v>0</v>
      </c>
      <c r="AV51" s="1319">
        <f t="shared" ca="1" si="1095"/>
        <v>0</v>
      </c>
      <c r="AW51" s="1319">
        <f t="shared" ca="1" si="1095"/>
        <v>0</v>
      </c>
      <c r="AX51" s="1319">
        <f t="shared" ca="1" si="1095"/>
        <v>0</v>
      </c>
      <c r="AY51" s="1319">
        <f t="shared" ca="1" si="1095"/>
        <v>0</v>
      </c>
      <c r="AZ51" s="1319">
        <f t="shared" ca="1" si="1095"/>
        <v>0</v>
      </c>
      <c r="BA51" s="1319">
        <f t="shared" ca="1" si="1095"/>
        <v>0</v>
      </c>
      <c r="BB51" s="1319">
        <f t="shared" ca="1" si="1095"/>
        <v>0</v>
      </c>
      <c r="BN51" s="1319">
        <f t="shared" ca="1" si="1097"/>
        <v>0</v>
      </c>
      <c r="BO51" s="1319">
        <f t="shared" ca="1" si="1097"/>
        <v>0</v>
      </c>
      <c r="BP51" s="1319">
        <f t="shared" ca="1" si="1097"/>
        <v>0</v>
      </c>
      <c r="BQ51" s="1319">
        <f t="shared" ca="1" si="1097"/>
        <v>0</v>
      </c>
      <c r="BR51" s="1319">
        <f t="shared" ca="1" si="1097"/>
        <v>0</v>
      </c>
      <c r="CD51" s="1319">
        <f t="shared" ca="1" si="1098"/>
        <v>0</v>
      </c>
      <c r="CE51" s="1319">
        <f t="shared" ca="1" si="1098"/>
        <v>0</v>
      </c>
      <c r="CF51" s="1319">
        <f t="shared" ca="1" si="1098"/>
        <v>0</v>
      </c>
      <c r="CG51" s="1319">
        <f t="shared" ca="1" si="1098"/>
        <v>0</v>
      </c>
      <c r="CH51" s="1319">
        <f t="shared" ca="1" si="1098"/>
        <v>0</v>
      </c>
      <c r="CI51" s="1319">
        <f t="shared" ca="1" si="1098"/>
        <v>0</v>
      </c>
      <c r="CJ51" s="1319">
        <f t="shared" ca="1" si="1098"/>
        <v>0</v>
      </c>
      <c r="CK51" s="1319">
        <f t="shared" ca="1" si="1098"/>
        <v>0</v>
      </c>
      <c r="CL51" s="1319">
        <f t="shared" ca="1" si="1098"/>
        <v>0</v>
      </c>
      <c r="CM51" s="1319">
        <f t="shared" ca="1" si="1098"/>
        <v>0</v>
      </c>
      <c r="CN51" s="1319">
        <f t="shared" ca="1" si="1098"/>
        <v>0</v>
      </c>
      <c r="CO51" s="1319">
        <f t="shared" ca="1" si="1098"/>
        <v>0</v>
      </c>
      <c r="DA51" s="1319">
        <f t="shared" ca="1" si="1099"/>
        <v>0</v>
      </c>
      <c r="DB51" s="1319">
        <f t="shared" ca="1" si="1099"/>
        <v>0</v>
      </c>
      <c r="DC51" s="1319">
        <f t="shared" ca="1" si="1099"/>
        <v>0</v>
      </c>
      <c r="DD51" s="1319">
        <f t="shared" ca="1" si="1099"/>
        <v>0</v>
      </c>
      <c r="DE51" s="1319">
        <f t="shared" ca="1" si="1099"/>
        <v>0</v>
      </c>
      <c r="DF51" s="1319">
        <f t="shared" ca="1" si="1099"/>
        <v>0</v>
      </c>
      <c r="DG51" s="1319">
        <f t="shared" ca="1" si="1099"/>
        <v>0</v>
      </c>
      <c r="DH51" s="1319">
        <f t="shared" ca="1" si="1099"/>
        <v>0</v>
      </c>
      <c r="DI51" s="1319">
        <f t="shared" ca="1" si="1099"/>
        <v>0</v>
      </c>
      <c r="DJ51" s="1319">
        <f t="shared" ca="1" si="1099"/>
        <v>0</v>
      </c>
      <c r="DV51" s="1319">
        <f t="shared" ca="1" si="1100"/>
        <v>0</v>
      </c>
      <c r="DW51" s="1319">
        <f t="shared" ca="1" si="1100"/>
        <v>0</v>
      </c>
      <c r="DX51" s="1319">
        <f t="shared" ca="1" si="1100"/>
        <v>0</v>
      </c>
      <c r="DY51" s="1319">
        <f t="shared" ca="1" si="1100"/>
        <v>0</v>
      </c>
      <c r="DZ51" s="1319">
        <f t="shared" ca="1" si="1100"/>
        <v>0</v>
      </c>
      <c r="EA51" s="1319">
        <f t="shared" ca="1" si="1100"/>
        <v>0</v>
      </c>
      <c r="EB51" s="1319">
        <f t="shared" ca="1" si="1100"/>
        <v>0</v>
      </c>
      <c r="EC51" s="1319">
        <f t="shared" ca="1" si="1100"/>
        <v>0</v>
      </c>
      <c r="ED51" s="1319">
        <f t="shared" ca="1" si="1100"/>
        <v>0</v>
      </c>
      <c r="EE51" s="1319">
        <f t="shared" ca="1" si="1100"/>
        <v>0</v>
      </c>
      <c r="EF51" s="1319">
        <f t="shared" ca="1" si="1100"/>
        <v>0</v>
      </c>
      <c r="EG51" s="1319">
        <f t="shared" ca="1" si="1100"/>
        <v>0</v>
      </c>
      <c r="EH51" s="1319">
        <f t="shared" ca="1" si="1100"/>
        <v>0</v>
      </c>
      <c r="EI51" s="1319">
        <f t="shared" ca="1" si="1100"/>
        <v>0</v>
      </c>
      <c r="EJ51" s="1319">
        <f t="shared" ca="1" si="1101"/>
        <v>0</v>
      </c>
      <c r="EK51" s="1319">
        <f t="shared" ca="1" si="1100"/>
        <v>0</v>
      </c>
      <c r="EW51" s="1319">
        <f t="shared" ca="1" si="1102"/>
        <v>0</v>
      </c>
      <c r="EX51" s="1319">
        <f t="shared" ca="1" si="1102"/>
        <v>0</v>
      </c>
      <c r="EY51" s="1319">
        <f t="shared" ca="1" si="1102"/>
        <v>0</v>
      </c>
      <c r="EZ51" s="1319">
        <f t="shared" ca="1" si="1102"/>
        <v>0</v>
      </c>
      <c r="FA51" s="1319">
        <f t="shared" ca="1" si="1102"/>
        <v>0</v>
      </c>
      <c r="FB51" s="1319">
        <f t="shared" ca="1" si="1102"/>
        <v>0</v>
      </c>
      <c r="FN51" s="1319">
        <f t="shared" ca="1" si="1103"/>
        <v>0</v>
      </c>
      <c r="FO51" s="1319">
        <f t="shared" ca="1" si="1103"/>
        <v>0</v>
      </c>
      <c r="FP51" s="1319">
        <f t="shared" ca="1" si="1103"/>
        <v>0</v>
      </c>
      <c r="FQ51" s="1319">
        <f t="shared" ca="1" si="1103"/>
        <v>0</v>
      </c>
      <c r="FR51" s="1319">
        <f t="shared" ca="1" si="1103"/>
        <v>0</v>
      </c>
      <c r="FS51" s="1319">
        <f t="shared" ca="1" si="1103"/>
        <v>0</v>
      </c>
      <c r="FT51" s="1319">
        <f t="shared" ca="1" si="1103"/>
        <v>0</v>
      </c>
      <c r="FU51" s="1319">
        <f t="shared" ca="1" si="1103"/>
        <v>0</v>
      </c>
      <c r="FV51" s="1319">
        <f t="shared" ca="1" si="1103"/>
        <v>0</v>
      </c>
      <c r="FW51" s="1319">
        <f t="shared" ca="1" si="1103"/>
        <v>0</v>
      </c>
      <c r="FX51" s="1319">
        <f t="shared" ca="1" si="1103"/>
        <v>0</v>
      </c>
      <c r="GJ51" s="1319">
        <f t="shared" ca="1" si="1104"/>
        <v>0</v>
      </c>
      <c r="GK51" s="1319">
        <f t="shared" ca="1" si="1104"/>
        <v>0</v>
      </c>
      <c r="GL51" s="1319">
        <f t="shared" ca="1" si="1104"/>
        <v>0</v>
      </c>
      <c r="GM51" s="1319">
        <f t="shared" ca="1" si="1104"/>
        <v>0</v>
      </c>
      <c r="GN51" s="1319">
        <f t="shared" ca="1" si="1104"/>
        <v>0</v>
      </c>
      <c r="GO51" s="1319">
        <f t="shared" ca="1" si="1104"/>
        <v>0</v>
      </c>
      <c r="GP51" s="1319">
        <f t="shared" ca="1" si="1104"/>
        <v>0</v>
      </c>
      <c r="GQ51" s="1319">
        <f t="shared" ca="1" si="1104"/>
        <v>0</v>
      </c>
      <c r="HC51" s="1319">
        <f t="shared" ca="1" si="1105"/>
        <v>0</v>
      </c>
      <c r="HD51" s="1319">
        <f t="shared" ca="1" si="1105"/>
        <v>0</v>
      </c>
      <c r="HE51" s="1319">
        <f t="shared" ca="1" si="1105"/>
        <v>0</v>
      </c>
      <c r="HF51" s="1319">
        <f t="shared" ca="1" si="1105"/>
        <v>0</v>
      </c>
      <c r="HG51" s="1319">
        <f t="shared" ca="1" si="1105"/>
        <v>0</v>
      </c>
      <c r="HH51" s="1319">
        <f t="shared" ca="1" si="1105"/>
        <v>0</v>
      </c>
      <c r="HT51" s="1319">
        <f t="shared" ca="1" si="1106"/>
        <v>0</v>
      </c>
      <c r="HU51" s="1319">
        <f t="shared" ca="1" si="1106"/>
        <v>0</v>
      </c>
      <c r="HV51" s="1319">
        <f t="shared" ca="1" si="1106"/>
        <v>0</v>
      </c>
      <c r="HW51" s="1319">
        <f t="shared" ca="1" si="1106"/>
        <v>0</v>
      </c>
      <c r="HX51" s="1319">
        <f t="shared" ca="1" si="1106"/>
        <v>0</v>
      </c>
      <c r="HY51" s="1319">
        <f t="shared" ca="1" si="1106"/>
        <v>0</v>
      </c>
      <c r="HZ51" s="1319">
        <f t="shared" ca="1" si="1106"/>
        <v>0</v>
      </c>
      <c r="IA51" s="1319">
        <f t="shared" ca="1" si="1106"/>
        <v>0</v>
      </c>
      <c r="IB51" s="1319">
        <f t="shared" ca="1" si="1106"/>
        <v>0</v>
      </c>
      <c r="IC51" s="1319">
        <f t="shared" ca="1" si="1106"/>
        <v>0</v>
      </c>
      <c r="ID51" s="1319">
        <f t="shared" ca="1" si="1106"/>
        <v>0</v>
      </c>
      <c r="IE51" s="1319">
        <f t="shared" ca="1" si="1106"/>
        <v>0</v>
      </c>
      <c r="IQ51" s="1319">
        <f t="shared" ca="1" si="1107"/>
        <v>0</v>
      </c>
      <c r="IR51" s="1319">
        <f t="shared" ca="1" si="1107"/>
        <v>0</v>
      </c>
      <c r="IS51" s="1319">
        <f t="shared" ca="1" si="1107"/>
        <v>0</v>
      </c>
      <c r="IT51" s="1319">
        <f t="shared" ca="1" si="1107"/>
        <v>0</v>
      </c>
      <c r="IU51" s="1319">
        <f t="shared" ca="1" si="1108"/>
        <v>0</v>
      </c>
      <c r="IV51" s="1319">
        <f t="shared" ca="1" si="1107"/>
        <v>0</v>
      </c>
      <c r="IW51" s="1319">
        <f t="shared" ca="1" si="1107"/>
        <v>0</v>
      </c>
      <c r="IX51" s="1319">
        <f t="shared" ca="1" si="1109"/>
        <v>0</v>
      </c>
      <c r="IY51" s="1319">
        <f t="shared" ca="1" si="1107"/>
        <v>0</v>
      </c>
      <c r="IZ51" s="1319">
        <f t="shared" ca="1" si="1107"/>
        <v>0</v>
      </c>
      <c r="JA51" s="1319">
        <f t="shared" ca="1" si="1107"/>
        <v>0</v>
      </c>
      <c r="JB51" s="1319">
        <f t="shared" ca="1" si="1107"/>
        <v>0</v>
      </c>
      <c r="JC51" s="1319">
        <f t="shared" ca="1" si="1107"/>
        <v>0</v>
      </c>
      <c r="JD51" s="1319">
        <f t="shared" ca="1" si="1107"/>
        <v>0</v>
      </c>
      <c r="JE51" s="1319">
        <f t="shared" ca="1" si="1107"/>
        <v>0</v>
      </c>
      <c r="JF51" s="1319">
        <f t="shared" ca="1" si="1107"/>
        <v>0</v>
      </c>
      <c r="JG51" s="1319">
        <f t="shared" ca="1" si="1107"/>
        <v>0</v>
      </c>
      <c r="JH51" s="1319">
        <f t="shared" ca="1" si="1107"/>
        <v>0</v>
      </c>
      <c r="JT51" s="1319">
        <f t="shared" ca="1" si="1110"/>
        <v>0</v>
      </c>
      <c r="JU51" s="1319">
        <f t="shared" ca="1" si="1110"/>
        <v>0</v>
      </c>
      <c r="JV51" s="1319">
        <f t="shared" ca="1" si="1110"/>
        <v>0</v>
      </c>
      <c r="JW51" s="1319">
        <f t="shared" ca="1" si="1110"/>
        <v>0</v>
      </c>
      <c r="JX51" s="1319">
        <f t="shared" ca="1" si="1110"/>
        <v>0</v>
      </c>
      <c r="JY51" s="1319">
        <f t="shared" ca="1" si="1110"/>
        <v>0</v>
      </c>
      <c r="JZ51" s="1319">
        <f t="shared" ca="1" si="1110"/>
        <v>0</v>
      </c>
      <c r="KA51" s="1319">
        <f t="shared" ca="1" si="1110"/>
        <v>0</v>
      </c>
      <c r="KB51" s="1319">
        <f t="shared" ca="1" si="1110"/>
        <v>0</v>
      </c>
      <c r="KC51" s="1319">
        <f t="shared" ca="1" si="1110"/>
        <v>0</v>
      </c>
      <c r="KL51" s="1319">
        <f t="shared" ca="1" si="1111"/>
        <v>0</v>
      </c>
      <c r="KM51" s="1319">
        <f t="shared" ca="1" si="1111"/>
        <v>0</v>
      </c>
      <c r="KN51" s="1319">
        <f t="shared" ca="1" si="1111"/>
        <v>0</v>
      </c>
      <c r="KO51" s="1319">
        <f t="shared" ca="1" si="1111"/>
        <v>0</v>
      </c>
      <c r="KP51" s="1319">
        <f t="shared" ca="1" si="1111"/>
        <v>0</v>
      </c>
      <c r="KQ51" s="1319">
        <f t="shared" ca="1" si="1111"/>
        <v>0</v>
      </c>
      <c r="KR51" s="1319">
        <f t="shared" ca="1" si="1111"/>
        <v>0</v>
      </c>
      <c r="LA51" s="1319">
        <f t="shared" ca="1" si="1112"/>
        <v>0</v>
      </c>
      <c r="LB51" s="1319">
        <f t="shared" ca="1" si="1112"/>
        <v>0</v>
      </c>
      <c r="LC51" s="1319">
        <f t="shared" ca="1" si="1112"/>
        <v>0</v>
      </c>
      <c r="LD51" s="1319">
        <f t="shared" ca="1" si="1112"/>
        <v>0</v>
      </c>
      <c r="LE51" s="1319">
        <f t="shared" ca="1" si="1112"/>
        <v>0</v>
      </c>
      <c r="LF51" s="1319">
        <f t="shared" ca="1" si="1112"/>
        <v>0</v>
      </c>
      <c r="LG51" s="1319">
        <f t="shared" ca="1" si="1112"/>
        <v>0</v>
      </c>
      <c r="LH51" s="1319">
        <f t="shared" ca="1" si="1112"/>
        <v>0</v>
      </c>
      <c r="LI51" s="1319">
        <f t="shared" ca="1" si="1112"/>
        <v>0</v>
      </c>
      <c r="LJ51" s="1319">
        <f t="shared" ca="1" si="1112"/>
        <v>0</v>
      </c>
      <c r="LK51" s="1319">
        <f t="shared" ca="1" si="1112"/>
        <v>0</v>
      </c>
      <c r="LW51" s="1319">
        <f t="shared" ca="1" si="1113"/>
        <v>0</v>
      </c>
      <c r="LX51" s="1319">
        <f t="shared" ca="1" si="1114"/>
        <v>0</v>
      </c>
      <c r="LY51" s="1319">
        <f t="shared" ca="1" si="1114"/>
        <v>0</v>
      </c>
      <c r="LZ51" s="1319">
        <f t="shared" ca="1" si="1114"/>
        <v>0</v>
      </c>
      <c r="MA51" s="1319">
        <f t="shared" ca="1" si="1114"/>
        <v>0</v>
      </c>
      <c r="MB51" s="1319">
        <f t="shared" ca="1" si="1114"/>
        <v>0</v>
      </c>
      <c r="MC51" s="1319">
        <f t="shared" ca="1" si="1114"/>
        <v>0</v>
      </c>
      <c r="MD51" s="1319">
        <f t="shared" ca="1" si="1114"/>
        <v>0</v>
      </c>
      <c r="ME51" s="1319">
        <f t="shared" ca="1" si="1114"/>
        <v>0</v>
      </c>
      <c r="MF51" s="1319">
        <f t="shared" ca="1" si="1114"/>
        <v>0</v>
      </c>
      <c r="MG51" s="1319">
        <f t="shared" ca="1" si="1114"/>
        <v>0</v>
      </c>
      <c r="MH51" s="1319">
        <f t="shared" ca="1" si="1115"/>
        <v>0</v>
      </c>
      <c r="MI51" s="1319">
        <f t="shared" ca="1" si="1115"/>
        <v>0</v>
      </c>
      <c r="MJ51" s="1319">
        <f t="shared" ca="1" si="1114"/>
        <v>0</v>
      </c>
      <c r="MK51" s="1319">
        <f t="shared" ca="1" si="1114"/>
        <v>0</v>
      </c>
      <c r="ML51" s="1319">
        <f t="shared" ca="1" si="1114"/>
        <v>0</v>
      </c>
      <c r="MM51" s="1319">
        <f t="shared" ca="1" si="1114"/>
        <v>0</v>
      </c>
      <c r="MN51" s="1319">
        <f t="shared" ca="1" si="1114"/>
        <v>0</v>
      </c>
      <c r="MO51" s="1319">
        <f t="shared" ca="1" si="1114"/>
        <v>0</v>
      </c>
      <c r="NA51" s="1319">
        <f t="shared" ca="1" si="1116"/>
        <v>0</v>
      </c>
      <c r="NB51" s="1319">
        <f t="shared" ca="1" si="1116"/>
        <v>0</v>
      </c>
      <c r="NC51" s="1319">
        <f t="shared" ca="1" si="1116"/>
        <v>0</v>
      </c>
      <c r="ND51" s="1319">
        <f t="shared" ca="1" si="1116"/>
        <v>0</v>
      </c>
      <c r="NE51" s="1319">
        <f t="shared" ca="1" si="1116"/>
        <v>0</v>
      </c>
      <c r="NF51" s="1319">
        <f t="shared" ca="1" si="1116"/>
        <v>0</v>
      </c>
      <c r="NG51" s="1319">
        <f t="shared" ca="1" si="1116"/>
        <v>0</v>
      </c>
      <c r="NH51" s="1319">
        <f t="shared" ca="1" si="1116"/>
        <v>0</v>
      </c>
      <c r="NI51" s="1319">
        <f t="shared" ca="1" si="1116"/>
        <v>0</v>
      </c>
      <c r="NJ51" s="1319">
        <f t="shared" ca="1" si="1116"/>
        <v>0</v>
      </c>
      <c r="NK51" s="1319">
        <f t="shared" ca="1" si="1116"/>
        <v>0</v>
      </c>
      <c r="NL51" s="1319">
        <f t="shared" ca="1" si="1116"/>
        <v>0</v>
      </c>
      <c r="NM51" s="1319">
        <f t="shared" ca="1" si="1116"/>
        <v>0</v>
      </c>
      <c r="NN51" s="1319">
        <f t="shared" ca="1" si="1116"/>
        <v>0</v>
      </c>
      <c r="NO51" s="1319">
        <f t="shared" ca="1" si="1116"/>
        <v>0</v>
      </c>
      <c r="NP51" s="1319">
        <f t="shared" ca="1" si="1116"/>
        <v>0</v>
      </c>
      <c r="OH51" s="1319">
        <f t="shared" ca="1" si="1117"/>
        <v>0</v>
      </c>
      <c r="OI51" s="1319">
        <f t="shared" ca="1" si="1117"/>
        <v>0</v>
      </c>
      <c r="OJ51" s="1319">
        <f t="shared" ca="1" si="1117"/>
        <v>0</v>
      </c>
      <c r="OK51" s="1319">
        <f t="shared" ca="1" si="1117"/>
        <v>0</v>
      </c>
      <c r="OL51" s="1319">
        <f t="shared" ca="1" si="1117"/>
        <v>0</v>
      </c>
      <c r="OM51" s="1319">
        <f t="shared" ca="1" si="1117"/>
        <v>0</v>
      </c>
      <c r="ON51" s="1319">
        <f t="shared" ca="1" si="1117"/>
        <v>0</v>
      </c>
      <c r="OO51" s="1319">
        <f t="shared" ca="1" si="1117"/>
        <v>0</v>
      </c>
      <c r="PA51" s="1319">
        <f t="shared" ca="1" si="1118"/>
        <v>0</v>
      </c>
      <c r="PB51" s="1319">
        <f t="shared" ca="1" si="1118"/>
        <v>0</v>
      </c>
      <c r="PC51" s="1319">
        <f t="shared" ca="1" si="1118"/>
        <v>0</v>
      </c>
      <c r="PD51" s="1319">
        <f t="shared" ca="1" si="1118"/>
        <v>0</v>
      </c>
      <c r="PE51" s="1319">
        <f t="shared" ca="1" si="1118"/>
        <v>0</v>
      </c>
      <c r="PF51" s="1319">
        <f t="shared" ca="1" si="1118"/>
        <v>0</v>
      </c>
      <c r="PG51" s="1319">
        <f t="shared" ca="1" si="1118"/>
        <v>0</v>
      </c>
      <c r="PH51" s="1319">
        <f t="shared" ca="1" si="1118"/>
        <v>0</v>
      </c>
      <c r="PI51" s="1319">
        <f t="shared" ca="1" si="1118"/>
        <v>0</v>
      </c>
      <c r="PJ51" s="1319">
        <f t="shared" ca="1" si="1118"/>
        <v>0</v>
      </c>
      <c r="PK51" s="1319">
        <f t="shared" ca="1" si="1118"/>
        <v>0</v>
      </c>
      <c r="PW51" s="1319">
        <f t="shared" ca="1" si="1119"/>
        <v>0</v>
      </c>
      <c r="PX51" s="1319">
        <f t="shared" ca="1" si="1119"/>
        <v>0</v>
      </c>
      <c r="PY51" s="1319">
        <f t="shared" ca="1" si="1119"/>
        <v>0</v>
      </c>
      <c r="PZ51" s="1319">
        <f t="shared" ca="1" si="1119"/>
        <v>0</v>
      </c>
    </row>
    <row r="52" spans="1:442" x14ac:dyDescent="0.25">
      <c r="A52" s="189">
        <v>13</v>
      </c>
      <c r="B52" s="189" t="s">
        <v>1256</v>
      </c>
      <c r="C52" s="1317" t="s">
        <v>1273</v>
      </c>
      <c r="D52" s="1317" t="s">
        <v>206</v>
      </c>
      <c r="J52" s="1319">
        <f t="shared" ca="1" si="1093"/>
        <v>0</v>
      </c>
      <c r="K52" s="1319">
        <f t="shared" ca="1" si="1121"/>
        <v>0</v>
      </c>
      <c r="T52" s="1319">
        <f t="shared" ca="1" si="1094"/>
        <v>0</v>
      </c>
      <c r="U52" s="1319">
        <f t="shared" ca="1" si="1094"/>
        <v>0</v>
      </c>
      <c r="V52" s="1319">
        <f t="shared" ca="1" si="1094"/>
        <v>8.6242951099999992E-6</v>
      </c>
      <c r="W52" s="1319">
        <f t="shared" ca="1" si="1094"/>
        <v>0</v>
      </c>
      <c r="X52" s="1319">
        <f t="shared" ca="1" si="1094"/>
        <v>0</v>
      </c>
      <c r="Y52" s="1319">
        <f t="shared" ca="1" si="1094"/>
        <v>87.614649799999995</v>
      </c>
      <c r="Z52" s="1319">
        <f t="shared" ca="1" si="1094"/>
        <v>2.35390292E-6</v>
      </c>
      <c r="AA52" s="1319">
        <f t="shared" ca="1" si="1094"/>
        <v>87.614647500000004</v>
      </c>
      <c r="AB52" s="1319">
        <f t="shared" ca="1" si="1094"/>
        <v>0</v>
      </c>
      <c r="AC52" s="1319">
        <f t="shared" ca="1" si="1094"/>
        <v>8.6242951099999992E-6</v>
      </c>
      <c r="AD52" s="1319">
        <f t="shared" ca="1" si="1094"/>
        <v>0</v>
      </c>
      <c r="AM52" s="1319">
        <f t="shared" ca="1" si="1095"/>
        <v>0</v>
      </c>
      <c r="AN52" s="1319">
        <f t="shared" ca="1" si="1095"/>
        <v>0</v>
      </c>
      <c r="AO52" s="1319">
        <f t="shared" ca="1" si="1096"/>
        <v>87.614647500000004</v>
      </c>
      <c r="AP52" s="1319">
        <f t="shared" ca="1" si="1096"/>
        <v>87.614647500000004</v>
      </c>
      <c r="AQ52" s="1319">
        <f t="shared" ca="1" si="1096"/>
        <v>1.2406961199999999E-7</v>
      </c>
      <c r="AR52" s="1319">
        <f t="shared" ca="1" si="1096"/>
        <v>1.73031146E-13</v>
      </c>
      <c r="AS52" s="1319">
        <f t="shared" ca="1" si="1096"/>
        <v>2.3539027399999998E-6</v>
      </c>
      <c r="AT52" s="1319">
        <f t="shared" ca="1" si="1095"/>
        <v>1.8746386499999999E-15</v>
      </c>
      <c r="AU52" s="1319">
        <f t="shared" ca="1" si="1095"/>
        <v>1.2406978300000001E-7</v>
      </c>
      <c r="AV52" s="1319">
        <f t="shared" ca="1" si="1095"/>
        <v>87.614647399999996</v>
      </c>
      <c r="AW52" s="1319">
        <f t="shared" ca="1" si="1095"/>
        <v>1.8746386499999999E-15</v>
      </c>
      <c r="AX52" s="1319">
        <f t="shared" ca="1" si="1095"/>
        <v>2.4779725299999999E-6</v>
      </c>
      <c r="AY52" s="1319">
        <f t="shared" ca="1" si="1095"/>
        <v>0</v>
      </c>
      <c r="AZ52" s="1319">
        <f t="shared" ca="1" si="1095"/>
        <v>0</v>
      </c>
      <c r="BA52" s="1319">
        <f t="shared" ca="1" si="1095"/>
        <v>0</v>
      </c>
      <c r="BB52" s="1319">
        <f t="shared" ca="1" si="1095"/>
        <v>87.614647399999996</v>
      </c>
      <c r="BN52" s="1319">
        <f t="shared" ca="1" si="1097"/>
        <v>113.314937</v>
      </c>
      <c r="BO52" s="1319">
        <f t="shared" ca="1" si="1097"/>
        <v>113.314937</v>
      </c>
      <c r="BP52" s="1319">
        <f t="shared" ca="1" si="1097"/>
        <v>6.9204254399999999E-13</v>
      </c>
      <c r="BQ52" s="1319">
        <f t="shared" ca="1" si="1097"/>
        <v>0</v>
      </c>
      <c r="BR52" s="1319">
        <f t="shared" ca="1" si="1097"/>
        <v>0</v>
      </c>
      <c r="CD52" s="1319">
        <f t="shared" ca="1" si="1098"/>
        <v>87.614647399999996</v>
      </c>
      <c r="CE52" s="1319">
        <f t="shared" ca="1" si="1098"/>
        <v>87.614647399999996</v>
      </c>
      <c r="CF52" s="1319">
        <f t="shared" ca="1" si="1098"/>
        <v>113.314937</v>
      </c>
      <c r="CG52" s="1319">
        <f t="shared" ca="1" si="1098"/>
        <v>113.314937</v>
      </c>
      <c r="CH52" s="1319">
        <f t="shared" ca="1" si="1098"/>
        <v>87.614647399999996</v>
      </c>
      <c r="CI52" s="1319">
        <f t="shared" ca="1" si="1098"/>
        <v>0</v>
      </c>
      <c r="CJ52" s="1319">
        <f t="shared" ca="1" si="1098"/>
        <v>0</v>
      </c>
      <c r="CK52" s="1319">
        <f t="shared" ca="1" si="1098"/>
        <v>1133.1493700000001</v>
      </c>
      <c r="CL52" s="1319">
        <f t="shared" ca="1" si="1098"/>
        <v>6.7078721299999996E-12</v>
      </c>
      <c r="CM52" s="1319">
        <f t="shared" ca="1" si="1098"/>
        <v>0</v>
      </c>
      <c r="CN52" s="1319">
        <f t="shared" ca="1" si="1098"/>
        <v>1133.1493700000001</v>
      </c>
      <c r="CO52" s="1319">
        <f t="shared" ca="1" si="1098"/>
        <v>0</v>
      </c>
      <c r="DA52" s="1319">
        <f t="shared" ca="1" si="1099"/>
        <v>0</v>
      </c>
      <c r="DB52" s="1319">
        <f t="shared" ca="1" si="1099"/>
        <v>0</v>
      </c>
      <c r="DC52" s="1319">
        <f t="shared" ca="1" si="1099"/>
        <v>0</v>
      </c>
      <c r="DD52" s="1319">
        <f t="shared" ca="1" si="1099"/>
        <v>0</v>
      </c>
      <c r="DE52" s="1319">
        <f t="shared" ca="1" si="1099"/>
        <v>0</v>
      </c>
      <c r="DF52" s="1319">
        <f t="shared" ca="1" si="1099"/>
        <v>0</v>
      </c>
      <c r="DG52" s="1319">
        <f t="shared" ca="1" si="1099"/>
        <v>0</v>
      </c>
      <c r="DH52" s="1319">
        <f t="shared" ca="1" si="1099"/>
        <v>0</v>
      </c>
      <c r="DI52" s="1319">
        <f t="shared" ca="1" si="1099"/>
        <v>0</v>
      </c>
      <c r="DJ52" s="1319">
        <f t="shared" ca="1" si="1099"/>
        <v>0</v>
      </c>
      <c r="DV52" s="1319">
        <f t="shared" ca="1" si="1100"/>
        <v>0</v>
      </c>
      <c r="DW52" s="1319">
        <f t="shared" ca="1" si="1100"/>
        <v>0</v>
      </c>
      <c r="DX52" s="1319">
        <f t="shared" ca="1" si="1100"/>
        <v>0</v>
      </c>
      <c r="DY52" s="1319">
        <f t="shared" ca="1" si="1100"/>
        <v>0</v>
      </c>
      <c r="DZ52" s="1319">
        <f t="shared" ca="1" si="1100"/>
        <v>0</v>
      </c>
      <c r="EA52" s="1319">
        <f t="shared" ca="1" si="1100"/>
        <v>0</v>
      </c>
      <c r="EB52" s="1319">
        <f t="shared" ca="1" si="1100"/>
        <v>0</v>
      </c>
      <c r="EC52" s="1319">
        <f t="shared" ca="1" si="1100"/>
        <v>0</v>
      </c>
      <c r="ED52" s="1319">
        <f t="shared" ca="1" si="1100"/>
        <v>0</v>
      </c>
      <c r="EE52" s="1319">
        <f t="shared" ca="1" si="1100"/>
        <v>0</v>
      </c>
      <c r="EF52" s="1319">
        <f t="shared" ca="1" si="1100"/>
        <v>0</v>
      </c>
      <c r="EG52" s="1319">
        <f t="shared" ca="1" si="1100"/>
        <v>0</v>
      </c>
      <c r="EH52" s="1319">
        <f t="shared" ca="1" si="1100"/>
        <v>0</v>
      </c>
      <c r="EI52" s="1319">
        <f t="shared" ca="1" si="1100"/>
        <v>0</v>
      </c>
      <c r="EJ52" s="1319">
        <f t="shared" ca="1" si="1101"/>
        <v>0</v>
      </c>
      <c r="EK52" s="1319">
        <f t="shared" ca="1" si="1100"/>
        <v>0</v>
      </c>
      <c r="EW52" s="1319">
        <f t="shared" ca="1" si="1102"/>
        <v>1133.1493700000001</v>
      </c>
      <c r="EX52" s="1319">
        <f t="shared" ca="1" si="1102"/>
        <v>1133.1493700000001</v>
      </c>
      <c r="EY52" s="1319">
        <f t="shared" ca="1" si="1102"/>
        <v>1133.1493599999999</v>
      </c>
      <c r="EZ52" s="1319">
        <f t="shared" ca="1" si="1102"/>
        <v>1133.1493599999999</v>
      </c>
      <c r="FA52" s="1319">
        <f t="shared" ca="1" si="1102"/>
        <v>5.0525962300000003E-19</v>
      </c>
      <c r="FB52" s="1319">
        <f t="shared" ca="1" si="1102"/>
        <v>8.6242950699999999E-6</v>
      </c>
      <c r="FN52" s="1319">
        <f t="shared" ca="1" si="1103"/>
        <v>6.9204254399999999E-13</v>
      </c>
      <c r="FO52" s="1319">
        <f t="shared" ca="1" si="1103"/>
        <v>6.7078721299999996E-12</v>
      </c>
      <c r="FP52" s="1319">
        <f t="shared" ca="1" si="1103"/>
        <v>5.0525962300000003E-19</v>
      </c>
      <c r="FQ52" s="1319">
        <f t="shared" ca="1" si="1103"/>
        <v>8.6242950699999999E-6</v>
      </c>
      <c r="FR52" s="1319">
        <f t="shared" ca="1" si="1103"/>
        <v>0</v>
      </c>
      <c r="FS52" s="1319">
        <f t="shared" ca="1" si="1103"/>
        <v>8.6242951099999992E-6</v>
      </c>
      <c r="FT52" s="1319">
        <f t="shared" ca="1" si="1103"/>
        <v>0</v>
      </c>
      <c r="FU52" s="1319">
        <f t="shared" ca="1" si="1103"/>
        <v>7.3999151800000001E-12</v>
      </c>
      <c r="FV52" s="1319">
        <f t="shared" ca="1" si="1103"/>
        <v>0</v>
      </c>
      <c r="FW52" s="1319">
        <f t="shared" ca="1" si="1103"/>
        <v>0</v>
      </c>
      <c r="FX52" s="1319">
        <f t="shared" ca="1" si="1103"/>
        <v>0</v>
      </c>
      <c r="GJ52" s="1319">
        <f t="shared" ca="1" si="1104"/>
        <v>0</v>
      </c>
      <c r="GK52" s="1319">
        <f t="shared" ca="1" si="1104"/>
        <v>0</v>
      </c>
      <c r="GL52" s="1319">
        <f t="shared" ca="1" si="1104"/>
        <v>0</v>
      </c>
      <c r="GM52" s="1319">
        <f t="shared" ca="1" si="1104"/>
        <v>0</v>
      </c>
      <c r="GN52" s="1319">
        <f t="shared" ca="1" si="1104"/>
        <v>0</v>
      </c>
      <c r="GO52" s="1319">
        <f t="shared" ca="1" si="1104"/>
        <v>0</v>
      </c>
      <c r="GP52" s="1319">
        <f t="shared" ca="1" si="1104"/>
        <v>0</v>
      </c>
      <c r="GQ52" s="1319">
        <f t="shared" ca="1" si="1104"/>
        <v>0</v>
      </c>
      <c r="HC52" s="1319">
        <f t="shared" ca="1" si="1105"/>
        <v>1133.1493599999999</v>
      </c>
      <c r="HD52" s="1319">
        <f t="shared" ca="1" si="1105"/>
        <v>1090.9604200000001</v>
      </c>
      <c r="HE52" s="1319">
        <f t="shared" ca="1" si="1105"/>
        <v>0</v>
      </c>
      <c r="HF52" s="1319">
        <f t="shared" ca="1" si="1105"/>
        <v>8.4100119200000003E-11</v>
      </c>
      <c r="HG52" s="1319">
        <f t="shared" ca="1" si="1105"/>
        <v>42.1889374</v>
      </c>
      <c r="HH52" s="1319">
        <f t="shared" ca="1" si="1105"/>
        <v>1090.9604200000001</v>
      </c>
      <c r="HT52" s="1319">
        <f t="shared" ca="1" si="1106"/>
        <v>2.4779725299999999E-6</v>
      </c>
      <c r="HU52" s="1319">
        <f t="shared" ca="1" si="1106"/>
        <v>1090.9604200000001</v>
      </c>
      <c r="HV52" s="1319">
        <f t="shared" ca="1" si="1106"/>
        <v>1090.9604200000001</v>
      </c>
      <c r="HW52" s="1319">
        <f t="shared" ca="1" si="1106"/>
        <v>1090.9604200000001</v>
      </c>
      <c r="HX52" s="1319">
        <f t="shared" ca="1" si="1106"/>
        <v>91.247585700000002</v>
      </c>
      <c r="HY52" s="1319">
        <f t="shared" ca="1" si="1106"/>
        <v>6.93885226</v>
      </c>
      <c r="HZ52" s="1319">
        <f t="shared" ca="1" si="1106"/>
        <v>2.13735929E-12</v>
      </c>
      <c r="IA52" s="1319">
        <f t="shared" ca="1" si="1106"/>
        <v>3.4740092999999999E-13</v>
      </c>
      <c r="IB52" s="1319">
        <f t="shared" ca="1" si="1106"/>
        <v>0</v>
      </c>
      <c r="IC52" s="1319">
        <f t="shared" ca="1" si="1106"/>
        <v>0</v>
      </c>
      <c r="ID52" s="1319">
        <f t="shared" ca="1" si="1106"/>
        <v>0</v>
      </c>
      <c r="IE52" s="1319">
        <f t="shared" ca="1" si="1106"/>
        <v>0</v>
      </c>
      <c r="IQ52" s="1319">
        <f t="shared" ca="1" si="1107"/>
        <v>91.247585700000002</v>
      </c>
      <c r="IR52" s="1319">
        <f t="shared" ca="1" si="1107"/>
        <v>6.93885226</v>
      </c>
      <c r="IS52" s="1319">
        <f t="shared" ca="1" si="1107"/>
        <v>0.138047054</v>
      </c>
      <c r="IT52" s="1319">
        <f t="shared" ca="1" si="1107"/>
        <v>7.0768993099999999</v>
      </c>
      <c r="IU52" s="1319">
        <f t="shared" ca="1" si="1108"/>
        <v>6.6048455400000003</v>
      </c>
      <c r="IV52" s="1319">
        <f t="shared" ca="1" si="1107"/>
        <v>4.0466224200000003</v>
      </c>
      <c r="IW52" s="1319">
        <f t="shared" ca="1" si="1107"/>
        <v>3.3131292999999999</v>
      </c>
      <c r="IX52" s="1319">
        <f t="shared" ca="1" si="1109"/>
        <v>1.5224845999999999E-14</v>
      </c>
      <c r="IY52" s="1319">
        <f t="shared" ca="1" si="1107"/>
        <v>0.47205377199999998</v>
      </c>
      <c r="IZ52" s="1319">
        <f t="shared" ca="1" si="1107"/>
        <v>0.59544606899999997</v>
      </c>
      <c r="JA52" s="1319">
        <f t="shared" ca="1" si="1107"/>
        <v>3.4511763499999999</v>
      </c>
      <c r="JB52" s="1319">
        <f t="shared" ca="1" si="1107"/>
        <v>0</v>
      </c>
      <c r="JC52" s="1319">
        <f t="shared" ca="1" si="1107"/>
        <v>0.59544606899999997</v>
      </c>
      <c r="JD52" s="1319">
        <f t="shared" ca="1" si="1107"/>
        <v>0</v>
      </c>
      <c r="JE52" s="1319">
        <f t="shared" ca="1" si="1107"/>
        <v>0.59544606899999997</v>
      </c>
      <c r="JF52" s="1319">
        <f t="shared" ca="1" si="1107"/>
        <v>0</v>
      </c>
      <c r="JG52" s="1319">
        <f t="shared" ca="1" si="1107"/>
        <v>0</v>
      </c>
      <c r="JH52" s="1319">
        <f t="shared" ca="1" si="1107"/>
        <v>3.4740092999999999E-13</v>
      </c>
      <c r="JT52" s="1319">
        <f t="shared" ca="1" si="1110"/>
        <v>0</v>
      </c>
      <c r="JU52" s="1319">
        <f t="shared" ca="1" si="1110"/>
        <v>0</v>
      </c>
      <c r="JV52" s="1319">
        <f t="shared" ca="1" si="1110"/>
        <v>0</v>
      </c>
      <c r="JW52" s="1319">
        <f t="shared" ca="1" si="1110"/>
        <v>0</v>
      </c>
      <c r="JX52" s="1319">
        <f t="shared" ca="1" si="1110"/>
        <v>0</v>
      </c>
      <c r="JY52" s="1319">
        <f t="shared" ca="1" si="1110"/>
        <v>0</v>
      </c>
      <c r="JZ52" s="1319">
        <f t="shared" ca="1" si="1110"/>
        <v>0</v>
      </c>
      <c r="KA52" s="1319">
        <f t="shared" ca="1" si="1110"/>
        <v>0</v>
      </c>
      <c r="KB52" s="1319">
        <f t="shared" ca="1" si="1110"/>
        <v>0</v>
      </c>
      <c r="KC52" s="1319">
        <f t="shared" ca="1" si="1110"/>
        <v>0</v>
      </c>
      <c r="KL52" s="1319">
        <f t="shared" ca="1" si="1111"/>
        <v>0</v>
      </c>
      <c r="KM52" s="1319">
        <f t="shared" ca="1" si="1111"/>
        <v>0</v>
      </c>
      <c r="KN52" s="1319">
        <f t="shared" ca="1" si="1111"/>
        <v>0</v>
      </c>
      <c r="KO52" s="1319">
        <f t="shared" ca="1" si="1111"/>
        <v>0</v>
      </c>
      <c r="KP52" s="1319">
        <f t="shared" ca="1" si="1111"/>
        <v>0</v>
      </c>
      <c r="KQ52" s="1319">
        <f t="shared" ca="1" si="1111"/>
        <v>0</v>
      </c>
      <c r="KR52" s="1319">
        <f t="shared" ca="1" si="1111"/>
        <v>0</v>
      </c>
      <c r="LA52" s="1319">
        <f t="shared" ca="1" si="1112"/>
        <v>8.4100119200000003E-11</v>
      </c>
      <c r="LB52" s="1319">
        <f t="shared" ca="1" si="1112"/>
        <v>2.13735929E-12</v>
      </c>
      <c r="LC52" s="1319">
        <f t="shared" ca="1" si="1112"/>
        <v>8.6237478500000006E-11</v>
      </c>
      <c r="LD52" s="1319">
        <f t="shared" ca="1" si="1112"/>
        <v>8.6237478500000006E-11</v>
      </c>
      <c r="LE52" s="1319">
        <f t="shared" ca="1" si="1112"/>
        <v>0</v>
      </c>
      <c r="LF52" s="1319">
        <f t="shared" ca="1" si="1112"/>
        <v>0</v>
      </c>
      <c r="LG52" s="1319">
        <f t="shared" ca="1" si="1112"/>
        <v>0</v>
      </c>
      <c r="LH52" s="1319">
        <f t="shared" ca="1" si="1112"/>
        <v>0</v>
      </c>
      <c r="LI52" s="1319">
        <f t="shared" ca="1" si="1112"/>
        <v>0</v>
      </c>
      <c r="LJ52" s="1319">
        <f t="shared" ca="1" si="1112"/>
        <v>0</v>
      </c>
      <c r="LK52" s="1319">
        <f t="shared" ca="1" si="1112"/>
        <v>0</v>
      </c>
      <c r="LW52" s="1319">
        <f t="shared" ca="1" si="1113"/>
        <v>0</v>
      </c>
      <c r="LX52" s="1319">
        <f t="shared" ca="1" si="1114"/>
        <v>0</v>
      </c>
      <c r="LY52" s="1319">
        <f t="shared" ca="1" si="1114"/>
        <v>42.1889374</v>
      </c>
      <c r="LZ52" s="1319">
        <f t="shared" ca="1" si="1114"/>
        <v>0.47205377199999998</v>
      </c>
      <c r="MA52" s="1319">
        <f t="shared" ca="1" si="1114"/>
        <v>42.660991099999997</v>
      </c>
      <c r="MB52" s="1319">
        <f t="shared" ca="1" si="1114"/>
        <v>8.6237478500000006E-11</v>
      </c>
      <c r="MC52" s="1319">
        <f t="shared" ca="1" si="1114"/>
        <v>0</v>
      </c>
      <c r="MD52" s="1319">
        <f t="shared" ca="1" si="1114"/>
        <v>0</v>
      </c>
      <c r="ME52" s="1319">
        <f t="shared" ca="1" si="1114"/>
        <v>0</v>
      </c>
      <c r="MF52" s="1319">
        <f t="shared" ca="1" si="1114"/>
        <v>0</v>
      </c>
      <c r="MG52" s="1319">
        <f t="shared" ca="1" si="1114"/>
        <v>0</v>
      </c>
      <c r="MH52" s="1319">
        <f t="shared" ca="1" si="1115"/>
        <v>0</v>
      </c>
      <c r="MI52" s="1319">
        <f t="shared" ca="1" si="1115"/>
        <v>0</v>
      </c>
      <c r="MJ52" s="1319">
        <f t="shared" ca="1" si="1114"/>
        <v>0</v>
      </c>
      <c r="MK52" s="1319">
        <f t="shared" ca="1" si="1114"/>
        <v>0</v>
      </c>
      <c r="ML52" s="1319">
        <f t="shared" ca="1" si="1114"/>
        <v>0</v>
      </c>
      <c r="MM52" s="1319">
        <f t="shared" ca="1" si="1114"/>
        <v>0</v>
      </c>
      <c r="MN52" s="1319">
        <f t="shared" ca="1" si="1114"/>
        <v>0</v>
      </c>
      <c r="MO52" s="1319">
        <f t="shared" ca="1" si="1114"/>
        <v>0</v>
      </c>
      <c r="NA52" s="1319">
        <f t="shared" ca="1" si="1116"/>
        <v>2.35390292E-6</v>
      </c>
      <c r="NB52" s="1319">
        <f t="shared" ca="1" si="1116"/>
        <v>1.73031146E-13</v>
      </c>
      <c r="NC52" s="1319">
        <f t="shared" ca="1" si="1116"/>
        <v>2.3539027399999998E-6</v>
      </c>
      <c r="ND52" s="1319">
        <f t="shared" ca="1" si="1116"/>
        <v>0</v>
      </c>
      <c r="NE52" s="1319">
        <f t="shared" ca="1" si="1116"/>
        <v>0</v>
      </c>
      <c r="NF52" s="1319">
        <f t="shared" ca="1" si="1116"/>
        <v>0</v>
      </c>
      <c r="NG52" s="1319">
        <f t="shared" ca="1" si="1116"/>
        <v>0</v>
      </c>
      <c r="NH52" s="1319">
        <f t="shared" ca="1" si="1116"/>
        <v>0</v>
      </c>
      <c r="NI52" s="1319">
        <f t="shared" ca="1" si="1116"/>
        <v>0</v>
      </c>
      <c r="NJ52" s="1319">
        <f t="shared" ca="1" si="1116"/>
        <v>0</v>
      </c>
      <c r="NK52" s="1319">
        <f t="shared" ca="1" si="1116"/>
        <v>0</v>
      </c>
      <c r="NL52" s="1319">
        <f t="shared" ca="1" si="1116"/>
        <v>0</v>
      </c>
      <c r="NM52" s="1319">
        <f t="shared" ca="1" si="1116"/>
        <v>0</v>
      </c>
      <c r="NN52" s="1319">
        <f t="shared" ca="1" si="1116"/>
        <v>0</v>
      </c>
      <c r="NO52" s="1319">
        <f t="shared" ca="1" si="1116"/>
        <v>0</v>
      </c>
      <c r="NP52" s="1319">
        <f t="shared" ca="1" si="1116"/>
        <v>0</v>
      </c>
      <c r="OH52" s="1319">
        <f t="shared" ca="1" si="1117"/>
        <v>0</v>
      </c>
      <c r="OI52" s="1319">
        <f t="shared" ca="1" si="1117"/>
        <v>0</v>
      </c>
      <c r="OJ52" s="1319">
        <f t="shared" ca="1" si="1117"/>
        <v>0</v>
      </c>
      <c r="OK52" s="1319">
        <f t="shared" ca="1" si="1117"/>
        <v>0</v>
      </c>
      <c r="OL52" s="1319">
        <f t="shared" ca="1" si="1117"/>
        <v>0</v>
      </c>
      <c r="OM52" s="1319">
        <f t="shared" ca="1" si="1117"/>
        <v>0</v>
      </c>
      <c r="ON52" s="1319">
        <f t="shared" ca="1" si="1117"/>
        <v>0</v>
      </c>
      <c r="OO52" s="1319">
        <f t="shared" ca="1" si="1117"/>
        <v>0</v>
      </c>
      <c r="PA52" s="1319">
        <f t="shared" ca="1" si="1118"/>
        <v>0</v>
      </c>
      <c r="PB52" s="1319">
        <f t="shared" ca="1" si="1118"/>
        <v>0</v>
      </c>
      <c r="PC52" s="1319">
        <f t="shared" ca="1" si="1118"/>
        <v>0</v>
      </c>
      <c r="PD52" s="1319">
        <f t="shared" ca="1" si="1118"/>
        <v>0</v>
      </c>
      <c r="PE52" s="1319">
        <f t="shared" ca="1" si="1118"/>
        <v>0</v>
      </c>
      <c r="PF52" s="1319">
        <f t="shared" ca="1" si="1118"/>
        <v>0</v>
      </c>
      <c r="PG52" s="1319">
        <f t="shared" ca="1" si="1118"/>
        <v>0</v>
      </c>
      <c r="PH52" s="1319">
        <f t="shared" ca="1" si="1118"/>
        <v>0</v>
      </c>
      <c r="PI52" s="1319">
        <f t="shared" ca="1" si="1118"/>
        <v>0</v>
      </c>
      <c r="PJ52" s="1319">
        <f t="shared" ca="1" si="1118"/>
        <v>0</v>
      </c>
      <c r="PK52" s="1319">
        <f t="shared" ca="1" si="1118"/>
        <v>0</v>
      </c>
      <c r="PW52" s="1319">
        <f t="shared" ca="1" si="1119"/>
        <v>0</v>
      </c>
      <c r="PX52" s="1319">
        <f t="shared" ca="1" si="1119"/>
        <v>0</v>
      </c>
      <c r="PY52" s="1319">
        <f t="shared" ca="1" si="1119"/>
        <v>0</v>
      </c>
      <c r="PZ52" s="1319">
        <f t="shared" ca="1" si="1119"/>
        <v>0</v>
      </c>
    </row>
    <row r="53" spans="1:442" x14ac:dyDescent="0.25">
      <c r="A53" s="189">
        <v>14</v>
      </c>
      <c r="B53" s="189" t="s">
        <v>1256</v>
      </c>
      <c r="C53" s="1317" t="s">
        <v>1278</v>
      </c>
      <c r="D53" s="1317" t="s">
        <v>206</v>
      </c>
      <c r="J53" s="1319">
        <f t="shared" ca="1" si="1093"/>
        <v>0</v>
      </c>
      <c r="K53" s="1319">
        <f t="shared" ca="1" si="1121"/>
        <v>0</v>
      </c>
      <c r="T53" s="1319">
        <f t="shared" ca="1" si="1094"/>
        <v>0</v>
      </c>
      <c r="U53" s="1319">
        <f t="shared" ca="1" si="1094"/>
        <v>0</v>
      </c>
      <c r="V53" s="1319">
        <f t="shared" ca="1" si="1094"/>
        <v>2.1764621999999999E-7</v>
      </c>
      <c r="W53" s="1319">
        <f t="shared" ca="1" si="1094"/>
        <v>0</v>
      </c>
      <c r="X53" s="1319">
        <f t="shared" ca="1" si="1094"/>
        <v>0</v>
      </c>
      <c r="Y53" s="1319">
        <f t="shared" ca="1" si="1094"/>
        <v>28.596619199999999</v>
      </c>
      <c r="Z53" s="1319">
        <f t="shared" ca="1" si="1094"/>
        <v>7.6829235200000001E-7</v>
      </c>
      <c r="AA53" s="1319">
        <f t="shared" ca="1" si="1094"/>
        <v>28.596618400000004</v>
      </c>
      <c r="AB53" s="1319">
        <f t="shared" ca="1" si="1094"/>
        <v>0</v>
      </c>
      <c r="AC53" s="1319">
        <f t="shared" ca="1" si="1094"/>
        <v>2.1764621999999999E-7</v>
      </c>
      <c r="AD53" s="1319">
        <f t="shared" ca="1" si="1094"/>
        <v>0</v>
      </c>
      <c r="AM53" s="1319">
        <f t="shared" ca="1" si="1095"/>
        <v>0</v>
      </c>
      <c r="AN53" s="1319">
        <f t="shared" ca="1" si="1095"/>
        <v>0</v>
      </c>
      <c r="AO53" s="1319">
        <f t="shared" ca="1" si="1096"/>
        <v>28.596618400000004</v>
      </c>
      <c r="AP53" s="1319">
        <f t="shared" ca="1" si="1096"/>
        <v>28.596618400000004</v>
      </c>
      <c r="AQ53" s="1319">
        <f t="shared" ca="1" si="1096"/>
        <v>4.0495185000000002E-8</v>
      </c>
      <c r="AR53" s="1319">
        <f t="shared" ca="1" si="1096"/>
        <v>5.6475781300000002E-14</v>
      </c>
      <c r="AS53" s="1319">
        <f t="shared" ca="1" si="1096"/>
        <v>7.6829229500000002E-7</v>
      </c>
      <c r="AT53" s="1319">
        <f t="shared" ca="1" si="1095"/>
        <v>6.1186488599999997E-16</v>
      </c>
      <c r="AU53" s="1319">
        <f t="shared" ca="1" si="1095"/>
        <v>4.0495240899999999E-8</v>
      </c>
      <c r="AV53" s="1319">
        <f t="shared" ca="1" si="1095"/>
        <v>28.596618400000004</v>
      </c>
      <c r="AW53" s="1319">
        <f t="shared" ca="1" si="1095"/>
        <v>6.1186488599999997E-16</v>
      </c>
      <c r="AX53" s="1319">
        <f t="shared" ca="1" si="1095"/>
        <v>8.0878753699999999E-7</v>
      </c>
      <c r="AY53" s="1319">
        <f t="shared" ca="1" si="1095"/>
        <v>0</v>
      </c>
      <c r="AZ53" s="1319">
        <f t="shared" ca="1" si="1095"/>
        <v>0</v>
      </c>
      <c r="BA53" s="1319">
        <f t="shared" ca="1" si="1095"/>
        <v>0</v>
      </c>
      <c r="BB53" s="1319">
        <f t="shared" ca="1" si="1095"/>
        <v>28.596618400000004</v>
      </c>
      <c r="BN53" s="1319">
        <f t="shared" ca="1" si="1097"/>
        <v>2.8596618399999998</v>
      </c>
      <c r="BO53" s="1319">
        <f t="shared" ca="1" si="1097"/>
        <v>2.8596618399999998</v>
      </c>
      <c r="BP53" s="1319">
        <f t="shared" ca="1" si="1097"/>
        <v>1.7464667200000001E-14</v>
      </c>
      <c r="BQ53" s="1319">
        <f t="shared" ca="1" si="1097"/>
        <v>0</v>
      </c>
      <c r="BR53" s="1319">
        <f t="shared" ca="1" si="1097"/>
        <v>0</v>
      </c>
      <c r="CD53" s="1319">
        <f t="shared" ca="1" si="1098"/>
        <v>28.596618400000004</v>
      </c>
      <c r="CE53" s="1319">
        <f t="shared" ca="1" si="1098"/>
        <v>28.596618400000004</v>
      </c>
      <c r="CF53" s="1319">
        <f t="shared" ca="1" si="1098"/>
        <v>2.8596618399999998</v>
      </c>
      <c r="CG53" s="1319">
        <f t="shared" ca="1" si="1098"/>
        <v>2.8596618399999998</v>
      </c>
      <c r="CH53" s="1319">
        <f t="shared" ca="1" si="1098"/>
        <v>28.596618400000004</v>
      </c>
      <c r="CI53" s="1319">
        <f t="shared" ca="1" si="1098"/>
        <v>0</v>
      </c>
      <c r="CJ53" s="1319">
        <f t="shared" ca="1" si="1098"/>
        <v>0</v>
      </c>
      <c r="CK53" s="1319">
        <f t="shared" ca="1" si="1098"/>
        <v>28.596618400000004</v>
      </c>
      <c r="CL53" s="1319">
        <f t="shared" ca="1" si="1098"/>
        <v>1.6928259000000001E-13</v>
      </c>
      <c r="CM53" s="1319">
        <f t="shared" ca="1" si="1098"/>
        <v>0</v>
      </c>
      <c r="CN53" s="1319">
        <f t="shared" ca="1" si="1098"/>
        <v>28.596618400000004</v>
      </c>
      <c r="CO53" s="1319">
        <f t="shared" ca="1" si="1098"/>
        <v>0</v>
      </c>
      <c r="DA53" s="1319">
        <f t="shared" ca="1" si="1099"/>
        <v>0</v>
      </c>
      <c r="DB53" s="1319">
        <f t="shared" ca="1" si="1099"/>
        <v>0</v>
      </c>
      <c r="DC53" s="1319">
        <f t="shared" ca="1" si="1099"/>
        <v>0</v>
      </c>
      <c r="DD53" s="1319">
        <f t="shared" ca="1" si="1099"/>
        <v>0</v>
      </c>
      <c r="DE53" s="1319">
        <f t="shared" ca="1" si="1099"/>
        <v>0</v>
      </c>
      <c r="DF53" s="1319">
        <f t="shared" ca="1" si="1099"/>
        <v>0</v>
      </c>
      <c r="DG53" s="1319">
        <f t="shared" ca="1" si="1099"/>
        <v>0</v>
      </c>
      <c r="DH53" s="1319">
        <f t="shared" ca="1" si="1099"/>
        <v>0</v>
      </c>
      <c r="DI53" s="1319">
        <f t="shared" ca="1" si="1099"/>
        <v>0</v>
      </c>
      <c r="DJ53" s="1319">
        <f t="shared" ca="1" si="1099"/>
        <v>0</v>
      </c>
      <c r="DV53" s="1319">
        <f t="shared" ca="1" si="1100"/>
        <v>0</v>
      </c>
      <c r="DW53" s="1319">
        <f t="shared" ca="1" si="1100"/>
        <v>0</v>
      </c>
      <c r="DX53" s="1319">
        <f t="shared" ca="1" si="1100"/>
        <v>0</v>
      </c>
      <c r="DY53" s="1319">
        <f t="shared" ca="1" si="1100"/>
        <v>0</v>
      </c>
      <c r="DZ53" s="1319">
        <f t="shared" ca="1" si="1100"/>
        <v>0</v>
      </c>
      <c r="EA53" s="1319">
        <f t="shared" ca="1" si="1100"/>
        <v>0</v>
      </c>
      <c r="EB53" s="1319">
        <f t="shared" ca="1" si="1100"/>
        <v>0</v>
      </c>
      <c r="EC53" s="1319">
        <f t="shared" ca="1" si="1100"/>
        <v>0</v>
      </c>
      <c r="ED53" s="1319">
        <f t="shared" ca="1" si="1100"/>
        <v>0</v>
      </c>
      <c r="EE53" s="1319">
        <f t="shared" ca="1" si="1100"/>
        <v>0</v>
      </c>
      <c r="EF53" s="1319">
        <f t="shared" ca="1" si="1100"/>
        <v>0</v>
      </c>
      <c r="EG53" s="1319">
        <f t="shared" ca="1" si="1100"/>
        <v>0</v>
      </c>
      <c r="EH53" s="1319">
        <f t="shared" ca="1" si="1100"/>
        <v>0</v>
      </c>
      <c r="EI53" s="1319">
        <f t="shared" ca="1" si="1100"/>
        <v>0</v>
      </c>
      <c r="EJ53" s="1319">
        <f t="shared" ca="1" si="1101"/>
        <v>0</v>
      </c>
      <c r="EK53" s="1319">
        <f t="shared" ca="1" si="1100"/>
        <v>0</v>
      </c>
      <c r="EW53" s="1319">
        <f t="shared" ca="1" si="1102"/>
        <v>28.596618400000004</v>
      </c>
      <c r="EX53" s="1319">
        <f t="shared" ca="1" si="1102"/>
        <v>28.596618400000004</v>
      </c>
      <c r="EY53" s="1319">
        <f t="shared" ca="1" si="1102"/>
        <v>28.596618200000002</v>
      </c>
      <c r="EZ53" s="1319">
        <f t="shared" ca="1" si="1102"/>
        <v>28.596618200000002</v>
      </c>
      <c r="FA53" s="1319">
        <f t="shared" ca="1" si="1102"/>
        <v>1.2750937400000001E-20</v>
      </c>
      <c r="FB53" s="1319">
        <f t="shared" ca="1" si="1102"/>
        <v>2.1764621899999999E-7</v>
      </c>
      <c r="FN53" s="1319">
        <f t="shared" ca="1" si="1103"/>
        <v>1.7464667200000001E-14</v>
      </c>
      <c r="FO53" s="1319">
        <f t="shared" ca="1" si="1103"/>
        <v>1.6928259000000001E-13</v>
      </c>
      <c r="FP53" s="1319">
        <f t="shared" ca="1" si="1103"/>
        <v>1.2750937400000001E-20</v>
      </c>
      <c r="FQ53" s="1319">
        <f t="shared" ca="1" si="1103"/>
        <v>2.1764621899999999E-7</v>
      </c>
      <c r="FR53" s="1319">
        <f t="shared" ca="1" si="1103"/>
        <v>0</v>
      </c>
      <c r="FS53" s="1319">
        <f t="shared" ca="1" si="1103"/>
        <v>2.1764621999999999E-7</v>
      </c>
      <c r="FT53" s="1319">
        <f t="shared" ca="1" si="1103"/>
        <v>0</v>
      </c>
      <c r="FU53" s="1319">
        <f t="shared" ca="1" si="1103"/>
        <v>1.8674727000000001E-13</v>
      </c>
      <c r="FV53" s="1319">
        <f t="shared" ca="1" si="1103"/>
        <v>0</v>
      </c>
      <c r="FW53" s="1319">
        <f t="shared" ca="1" si="1103"/>
        <v>0</v>
      </c>
      <c r="FX53" s="1319">
        <f t="shared" ca="1" si="1103"/>
        <v>0</v>
      </c>
      <c r="GJ53" s="1319">
        <f t="shared" ca="1" si="1104"/>
        <v>0</v>
      </c>
      <c r="GK53" s="1319">
        <f t="shared" ca="1" si="1104"/>
        <v>0</v>
      </c>
      <c r="GL53" s="1319">
        <f t="shared" ca="1" si="1104"/>
        <v>0</v>
      </c>
      <c r="GM53" s="1319">
        <f t="shared" ca="1" si="1104"/>
        <v>0</v>
      </c>
      <c r="GN53" s="1319">
        <f t="shared" ca="1" si="1104"/>
        <v>0</v>
      </c>
      <c r="GO53" s="1319">
        <f t="shared" ca="1" si="1104"/>
        <v>0</v>
      </c>
      <c r="GP53" s="1319">
        <f t="shared" ca="1" si="1104"/>
        <v>0</v>
      </c>
      <c r="GQ53" s="1319">
        <f t="shared" ca="1" si="1104"/>
        <v>0</v>
      </c>
      <c r="HC53" s="1319">
        <f t="shared" ca="1" si="1105"/>
        <v>28.596618200000002</v>
      </c>
      <c r="HD53" s="1319">
        <f t="shared" ca="1" si="1105"/>
        <v>27.531921000000001</v>
      </c>
      <c r="HE53" s="1319">
        <f t="shared" ca="1" si="1105"/>
        <v>0</v>
      </c>
      <c r="HF53" s="1319">
        <f t="shared" ca="1" si="1105"/>
        <v>2.1223848199999998E-12</v>
      </c>
      <c r="HG53" s="1319">
        <f t="shared" ca="1" si="1105"/>
        <v>1.06469719</v>
      </c>
      <c r="HH53" s="1319">
        <f t="shared" ca="1" si="1105"/>
        <v>27.531921000000001</v>
      </c>
      <c r="HT53" s="1319">
        <f t="shared" ca="1" si="1106"/>
        <v>8.0878753699999999E-7</v>
      </c>
      <c r="HU53" s="1319">
        <f t="shared" ca="1" si="1106"/>
        <v>27.531921000000001</v>
      </c>
      <c r="HV53" s="1319">
        <f t="shared" ca="1" si="1106"/>
        <v>27.531921799999999</v>
      </c>
      <c r="HW53" s="1319">
        <f t="shared" ca="1" si="1106"/>
        <v>27.531921799999999</v>
      </c>
      <c r="HX53" s="1319">
        <f t="shared" ca="1" si="1106"/>
        <v>2.30276126</v>
      </c>
      <c r="HY53" s="1319">
        <f t="shared" ca="1" si="1106"/>
        <v>0.17511170300000001</v>
      </c>
      <c r="HZ53" s="1319">
        <f t="shared" ca="1" si="1106"/>
        <v>5.3939270000000001E-14</v>
      </c>
      <c r="IA53" s="1319">
        <f t="shared" ca="1" si="1106"/>
        <v>8.7671514300000002E-15</v>
      </c>
      <c r="IB53" s="1319">
        <f t="shared" ca="1" si="1106"/>
        <v>0</v>
      </c>
      <c r="IC53" s="1319">
        <f t="shared" ca="1" si="1106"/>
        <v>0</v>
      </c>
      <c r="ID53" s="1319">
        <f t="shared" ca="1" si="1106"/>
        <v>0</v>
      </c>
      <c r="IE53" s="1319">
        <f t="shared" ca="1" si="1106"/>
        <v>0</v>
      </c>
      <c r="IQ53" s="1319">
        <f t="shared" ca="1" si="1107"/>
        <v>2.30276126</v>
      </c>
      <c r="IR53" s="1319">
        <f t="shared" ca="1" si="1107"/>
        <v>0.17511170300000001</v>
      </c>
      <c r="IS53" s="1319">
        <f t="shared" ca="1" si="1107"/>
        <v>3.4838117200000004E-3</v>
      </c>
      <c r="IT53" s="1319">
        <f t="shared" ca="1" si="1107"/>
        <v>0.17859551500000001</v>
      </c>
      <c r="IU53" s="1319">
        <f t="shared" ca="1" si="1108"/>
        <v>0.166682574</v>
      </c>
      <c r="IV53" s="1319">
        <f t="shared" ca="1" si="1107"/>
        <v>0.102122213</v>
      </c>
      <c r="IW53" s="1319">
        <f t="shared" ca="1" si="1107"/>
        <v>8.3611481200000004E-2</v>
      </c>
      <c r="IX53" s="1319">
        <f t="shared" ca="1" si="1109"/>
        <v>3.8422041799999999E-16</v>
      </c>
      <c r="IY53" s="1319">
        <f t="shared" ca="1" si="1107"/>
        <v>1.19129414E-2</v>
      </c>
      <c r="IZ53" s="1319">
        <f t="shared" ca="1" si="1107"/>
        <v>1.5026919699999999E-2</v>
      </c>
      <c r="JA53" s="1319">
        <f t="shared" ca="1" si="1107"/>
        <v>8.7095292899999996E-2</v>
      </c>
      <c r="JB53" s="1319">
        <f t="shared" ca="1" si="1107"/>
        <v>0</v>
      </c>
      <c r="JC53" s="1319">
        <f t="shared" ca="1" si="1107"/>
        <v>1.5026919699999999E-2</v>
      </c>
      <c r="JD53" s="1319">
        <f t="shared" ca="1" si="1107"/>
        <v>0</v>
      </c>
      <c r="JE53" s="1319">
        <f t="shared" ca="1" si="1107"/>
        <v>1.5026919699999999E-2</v>
      </c>
      <c r="JF53" s="1319">
        <f t="shared" ca="1" si="1107"/>
        <v>0</v>
      </c>
      <c r="JG53" s="1319">
        <f t="shared" ca="1" si="1107"/>
        <v>0</v>
      </c>
      <c r="JH53" s="1319">
        <f t="shared" ca="1" si="1107"/>
        <v>8.7671514300000002E-15</v>
      </c>
      <c r="JT53" s="1319">
        <f t="shared" ca="1" si="1110"/>
        <v>0</v>
      </c>
      <c r="JU53" s="1319">
        <f t="shared" ca="1" si="1110"/>
        <v>0</v>
      </c>
      <c r="JV53" s="1319">
        <f t="shared" ca="1" si="1110"/>
        <v>0</v>
      </c>
      <c r="JW53" s="1319">
        <f t="shared" ca="1" si="1110"/>
        <v>0</v>
      </c>
      <c r="JX53" s="1319">
        <f t="shared" ca="1" si="1110"/>
        <v>0</v>
      </c>
      <c r="JY53" s="1319">
        <f t="shared" ca="1" si="1110"/>
        <v>0</v>
      </c>
      <c r="JZ53" s="1319">
        <f t="shared" ca="1" si="1110"/>
        <v>0</v>
      </c>
      <c r="KA53" s="1319">
        <f t="shared" ca="1" si="1110"/>
        <v>0</v>
      </c>
      <c r="KB53" s="1319">
        <f t="shared" ca="1" si="1110"/>
        <v>0</v>
      </c>
      <c r="KC53" s="1319">
        <f t="shared" ca="1" si="1110"/>
        <v>0</v>
      </c>
      <c r="KL53" s="1319">
        <f t="shared" ca="1" si="1111"/>
        <v>0</v>
      </c>
      <c r="KM53" s="1319">
        <f t="shared" ca="1" si="1111"/>
        <v>0</v>
      </c>
      <c r="KN53" s="1319">
        <f t="shared" ca="1" si="1111"/>
        <v>0</v>
      </c>
      <c r="KO53" s="1319">
        <f t="shared" ca="1" si="1111"/>
        <v>0</v>
      </c>
      <c r="KP53" s="1319">
        <f t="shared" ca="1" si="1111"/>
        <v>0</v>
      </c>
      <c r="KQ53" s="1319">
        <f t="shared" ca="1" si="1111"/>
        <v>0</v>
      </c>
      <c r="KR53" s="1319">
        <f t="shared" ca="1" si="1111"/>
        <v>0</v>
      </c>
      <c r="LA53" s="1319">
        <f t="shared" ca="1" si="1112"/>
        <v>2.1223848199999998E-12</v>
      </c>
      <c r="LB53" s="1319">
        <f t="shared" ca="1" si="1112"/>
        <v>5.3939270000000001E-14</v>
      </c>
      <c r="LC53" s="1319">
        <f t="shared" ca="1" si="1112"/>
        <v>2.17632409E-12</v>
      </c>
      <c r="LD53" s="1319">
        <f t="shared" ca="1" si="1112"/>
        <v>2.17632409E-12</v>
      </c>
      <c r="LE53" s="1319">
        <f t="shared" ca="1" si="1112"/>
        <v>0</v>
      </c>
      <c r="LF53" s="1319">
        <f t="shared" ca="1" si="1112"/>
        <v>0</v>
      </c>
      <c r="LG53" s="1319">
        <f t="shared" ca="1" si="1112"/>
        <v>0</v>
      </c>
      <c r="LH53" s="1319">
        <f t="shared" ca="1" si="1112"/>
        <v>0</v>
      </c>
      <c r="LI53" s="1319">
        <f t="shared" ca="1" si="1112"/>
        <v>0</v>
      </c>
      <c r="LJ53" s="1319">
        <f t="shared" ca="1" si="1112"/>
        <v>0</v>
      </c>
      <c r="LK53" s="1319">
        <f t="shared" ca="1" si="1112"/>
        <v>0</v>
      </c>
      <c r="LW53" s="1319">
        <f t="shared" ca="1" si="1113"/>
        <v>0</v>
      </c>
      <c r="LX53" s="1319">
        <f t="shared" ca="1" si="1114"/>
        <v>0</v>
      </c>
      <c r="LY53" s="1319">
        <f t="shared" ca="1" si="1114"/>
        <v>1.06469719</v>
      </c>
      <c r="LZ53" s="1319">
        <f t="shared" ca="1" si="1114"/>
        <v>1.19129414E-2</v>
      </c>
      <c r="MA53" s="1319">
        <f t="shared" ca="1" si="1114"/>
        <v>1.0766101299999999</v>
      </c>
      <c r="MB53" s="1319">
        <f t="shared" ca="1" si="1114"/>
        <v>2.17632409E-12</v>
      </c>
      <c r="MC53" s="1319">
        <f t="shared" ca="1" si="1114"/>
        <v>0</v>
      </c>
      <c r="MD53" s="1319">
        <f t="shared" ca="1" si="1114"/>
        <v>0</v>
      </c>
      <c r="ME53" s="1319">
        <f t="shared" ca="1" si="1114"/>
        <v>0</v>
      </c>
      <c r="MF53" s="1319">
        <f t="shared" ca="1" si="1114"/>
        <v>0</v>
      </c>
      <c r="MG53" s="1319">
        <f t="shared" ca="1" si="1114"/>
        <v>0</v>
      </c>
      <c r="MH53" s="1319">
        <f t="shared" ca="1" si="1115"/>
        <v>0</v>
      </c>
      <c r="MI53" s="1319">
        <f t="shared" ca="1" si="1115"/>
        <v>0</v>
      </c>
      <c r="MJ53" s="1319">
        <f t="shared" ca="1" si="1114"/>
        <v>0</v>
      </c>
      <c r="MK53" s="1319">
        <f t="shared" ca="1" si="1114"/>
        <v>0</v>
      </c>
      <c r="ML53" s="1319">
        <f t="shared" ca="1" si="1114"/>
        <v>0</v>
      </c>
      <c r="MM53" s="1319">
        <f t="shared" ca="1" si="1114"/>
        <v>0</v>
      </c>
      <c r="MN53" s="1319">
        <f t="shared" ca="1" si="1114"/>
        <v>0</v>
      </c>
      <c r="MO53" s="1319">
        <f t="shared" ca="1" si="1114"/>
        <v>0</v>
      </c>
      <c r="NA53" s="1319">
        <f t="shared" ca="1" si="1116"/>
        <v>7.6829235200000001E-7</v>
      </c>
      <c r="NB53" s="1319">
        <f t="shared" ca="1" si="1116"/>
        <v>5.6475781300000002E-14</v>
      </c>
      <c r="NC53" s="1319">
        <f t="shared" ca="1" si="1116"/>
        <v>7.6829229500000002E-7</v>
      </c>
      <c r="ND53" s="1319">
        <f t="shared" ca="1" si="1116"/>
        <v>0</v>
      </c>
      <c r="NE53" s="1319">
        <f t="shared" ca="1" si="1116"/>
        <v>0</v>
      </c>
      <c r="NF53" s="1319">
        <f t="shared" ca="1" si="1116"/>
        <v>0</v>
      </c>
      <c r="NG53" s="1319">
        <f t="shared" ca="1" si="1116"/>
        <v>0</v>
      </c>
      <c r="NH53" s="1319">
        <f t="shared" ca="1" si="1116"/>
        <v>0</v>
      </c>
      <c r="NI53" s="1319">
        <f t="shared" ca="1" si="1116"/>
        <v>0</v>
      </c>
      <c r="NJ53" s="1319">
        <f t="shared" ca="1" si="1116"/>
        <v>0</v>
      </c>
      <c r="NK53" s="1319">
        <f t="shared" ca="1" si="1116"/>
        <v>0</v>
      </c>
      <c r="NL53" s="1319">
        <f t="shared" ca="1" si="1116"/>
        <v>0</v>
      </c>
      <c r="NM53" s="1319">
        <f t="shared" ca="1" si="1116"/>
        <v>0</v>
      </c>
      <c r="NN53" s="1319">
        <f t="shared" ca="1" si="1116"/>
        <v>0</v>
      </c>
      <c r="NO53" s="1319">
        <f t="shared" ca="1" si="1116"/>
        <v>0</v>
      </c>
      <c r="NP53" s="1319">
        <f t="shared" ca="1" si="1116"/>
        <v>0</v>
      </c>
      <c r="OH53" s="1319">
        <f t="shared" ca="1" si="1117"/>
        <v>0</v>
      </c>
      <c r="OI53" s="1319">
        <f t="shared" ca="1" si="1117"/>
        <v>0</v>
      </c>
      <c r="OJ53" s="1319">
        <f t="shared" ca="1" si="1117"/>
        <v>0</v>
      </c>
      <c r="OK53" s="1319">
        <f t="shared" ca="1" si="1117"/>
        <v>0</v>
      </c>
      <c r="OL53" s="1319">
        <f t="shared" ca="1" si="1117"/>
        <v>0</v>
      </c>
      <c r="OM53" s="1319">
        <f t="shared" ca="1" si="1117"/>
        <v>0</v>
      </c>
      <c r="ON53" s="1319">
        <f t="shared" ca="1" si="1117"/>
        <v>0</v>
      </c>
      <c r="OO53" s="1319">
        <f t="shared" ca="1" si="1117"/>
        <v>0</v>
      </c>
      <c r="PA53" s="1319">
        <f t="shared" ca="1" si="1118"/>
        <v>0</v>
      </c>
      <c r="PB53" s="1319">
        <f t="shared" ca="1" si="1118"/>
        <v>0</v>
      </c>
      <c r="PC53" s="1319">
        <f t="shared" ca="1" si="1118"/>
        <v>0</v>
      </c>
      <c r="PD53" s="1319">
        <f t="shared" ca="1" si="1118"/>
        <v>0</v>
      </c>
      <c r="PE53" s="1319">
        <f t="shared" ca="1" si="1118"/>
        <v>0</v>
      </c>
      <c r="PF53" s="1319">
        <f t="shared" ca="1" si="1118"/>
        <v>0</v>
      </c>
      <c r="PG53" s="1319">
        <f t="shared" ca="1" si="1118"/>
        <v>0</v>
      </c>
      <c r="PH53" s="1319">
        <f t="shared" ca="1" si="1118"/>
        <v>0</v>
      </c>
      <c r="PI53" s="1319">
        <f t="shared" ca="1" si="1118"/>
        <v>0</v>
      </c>
      <c r="PJ53" s="1319">
        <f t="shared" ca="1" si="1118"/>
        <v>0</v>
      </c>
      <c r="PK53" s="1319">
        <f t="shared" ca="1" si="1118"/>
        <v>0</v>
      </c>
      <c r="PW53" s="1319">
        <f t="shared" ca="1" si="1119"/>
        <v>0</v>
      </c>
      <c r="PX53" s="1319">
        <f t="shared" ca="1" si="1119"/>
        <v>0</v>
      </c>
      <c r="PY53" s="1319">
        <f t="shared" ca="1" si="1119"/>
        <v>0</v>
      </c>
      <c r="PZ53" s="1319">
        <f t="shared" ca="1" si="1119"/>
        <v>0</v>
      </c>
    </row>
    <row r="54" spans="1:442" x14ac:dyDescent="0.25">
      <c r="A54" s="189">
        <v>15</v>
      </c>
      <c r="B54" s="189" t="s">
        <v>1256</v>
      </c>
      <c r="C54" s="1317" t="s">
        <v>1277</v>
      </c>
      <c r="D54" s="1317" t="s">
        <v>206</v>
      </c>
      <c r="J54" s="1319">
        <f t="shared" ca="1" si="1093"/>
        <v>0</v>
      </c>
      <c r="K54" s="1319">
        <f t="shared" ca="1" si="1121"/>
        <v>0</v>
      </c>
      <c r="T54" s="1319">
        <f t="shared" ca="1" si="1094"/>
        <v>0</v>
      </c>
      <c r="U54" s="1319">
        <f t="shared" ca="1" si="1094"/>
        <v>0</v>
      </c>
      <c r="V54" s="1319">
        <f t="shared" ca="1" si="1094"/>
        <v>9.1320092300000001E-8</v>
      </c>
      <c r="W54" s="1319">
        <f t="shared" ca="1" si="1094"/>
        <v>0</v>
      </c>
      <c r="X54" s="1319">
        <f t="shared" ca="1" si="1094"/>
        <v>0</v>
      </c>
      <c r="Y54" s="1319">
        <f t="shared" ca="1" si="1094"/>
        <v>11.9985815</v>
      </c>
      <c r="Z54" s="1319">
        <f t="shared" ca="1" si="1094"/>
        <v>3.22360427E-7</v>
      </c>
      <c r="AA54" s="1319">
        <f t="shared" ca="1" si="1094"/>
        <v>11.9985812</v>
      </c>
      <c r="AB54" s="1319">
        <f t="shared" ca="1" si="1094"/>
        <v>0</v>
      </c>
      <c r="AC54" s="1319">
        <f t="shared" ca="1" si="1094"/>
        <v>9.1320092300000001E-8</v>
      </c>
      <c r="AD54" s="1319">
        <f t="shared" ca="1" si="1094"/>
        <v>0</v>
      </c>
      <c r="AM54" s="1319">
        <f t="shared" ca="1" si="1095"/>
        <v>0</v>
      </c>
      <c r="AN54" s="1319">
        <f t="shared" ca="1" si="1095"/>
        <v>0</v>
      </c>
      <c r="AO54" s="1319">
        <f t="shared" ca="1" si="1096"/>
        <v>11.9985812</v>
      </c>
      <c r="AP54" s="1319">
        <f t="shared" ca="1" si="1096"/>
        <v>11.9985812</v>
      </c>
      <c r="AQ54" s="1319">
        <f t="shared" ca="1" si="1096"/>
        <v>1.69909867E-8</v>
      </c>
      <c r="AR54" s="1319">
        <f t="shared" ca="1" si="1096"/>
        <v>2.3696132000000002E-14</v>
      </c>
      <c r="AS54" s="1319">
        <f t="shared" ca="1" si="1096"/>
        <v>3.2236040400000002E-7</v>
      </c>
      <c r="AT54" s="1319">
        <f t="shared" ca="1" si="1095"/>
        <v>2.5672652500000002E-16</v>
      </c>
      <c r="AU54" s="1319">
        <f t="shared" ca="1" si="1095"/>
        <v>1.69910102E-8</v>
      </c>
      <c r="AV54" s="1319">
        <f t="shared" ca="1" si="1095"/>
        <v>11.998581100000001</v>
      </c>
      <c r="AW54" s="1319">
        <f t="shared" ca="1" si="1095"/>
        <v>2.5672652500000002E-16</v>
      </c>
      <c r="AX54" s="1319">
        <f t="shared" ca="1" si="1095"/>
        <v>3.3935141400000003E-7</v>
      </c>
      <c r="AY54" s="1319">
        <f t="shared" ca="1" si="1095"/>
        <v>0</v>
      </c>
      <c r="AZ54" s="1319">
        <f t="shared" ca="1" si="1095"/>
        <v>0</v>
      </c>
      <c r="BA54" s="1319">
        <f t="shared" ca="1" si="1095"/>
        <v>0</v>
      </c>
      <c r="BB54" s="1319">
        <f t="shared" ca="1" si="1095"/>
        <v>11.998581100000001</v>
      </c>
      <c r="BN54" s="1319">
        <f t="shared" ca="1" si="1097"/>
        <v>1.1998581100000001</v>
      </c>
      <c r="BO54" s="1319">
        <f t="shared" ca="1" si="1097"/>
        <v>1.1998581100000001</v>
      </c>
      <c r="BP54" s="1319">
        <f t="shared" ca="1" si="1097"/>
        <v>7.3278323899999994E-15</v>
      </c>
      <c r="BQ54" s="1319">
        <f t="shared" ca="1" si="1097"/>
        <v>0</v>
      </c>
      <c r="BR54" s="1319">
        <f t="shared" ca="1" si="1097"/>
        <v>0</v>
      </c>
      <c r="CD54" s="1319">
        <f t="shared" ca="1" si="1098"/>
        <v>11.998581100000001</v>
      </c>
      <c r="CE54" s="1319">
        <f t="shared" ca="1" si="1098"/>
        <v>11.998581100000001</v>
      </c>
      <c r="CF54" s="1319">
        <f t="shared" ca="1" si="1098"/>
        <v>1.1998581100000001</v>
      </c>
      <c r="CG54" s="1319">
        <f t="shared" ca="1" si="1098"/>
        <v>1.1998581100000001</v>
      </c>
      <c r="CH54" s="1319">
        <f t="shared" ca="1" si="1098"/>
        <v>11.998581100000001</v>
      </c>
      <c r="CI54" s="1319">
        <f t="shared" ca="1" si="1098"/>
        <v>0</v>
      </c>
      <c r="CJ54" s="1319">
        <f t="shared" ca="1" si="1098"/>
        <v>0</v>
      </c>
      <c r="CK54" s="1319">
        <f t="shared" ca="1" si="1098"/>
        <v>11.998581100000001</v>
      </c>
      <c r="CL54" s="1319">
        <f t="shared" ca="1" si="1098"/>
        <v>7.10276602E-14</v>
      </c>
      <c r="CM54" s="1319">
        <f t="shared" ca="1" si="1098"/>
        <v>0</v>
      </c>
      <c r="CN54" s="1319">
        <f t="shared" ca="1" si="1098"/>
        <v>11.998581100000001</v>
      </c>
      <c r="CO54" s="1319">
        <f t="shared" ca="1" si="1098"/>
        <v>0</v>
      </c>
      <c r="DA54" s="1319">
        <f t="shared" ca="1" si="1099"/>
        <v>0</v>
      </c>
      <c r="DB54" s="1319">
        <f t="shared" ca="1" si="1099"/>
        <v>0</v>
      </c>
      <c r="DC54" s="1319">
        <f t="shared" ca="1" si="1099"/>
        <v>0</v>
      </c>
      <c r="DD54" s="1319">
        <f t="shared" ca="1" si="1099"/>
        <v>0</v>
      </c>
      <c r="DE54" s="1319">
        <f t="shared" ca="1" si="1099"/>
        <v>0</v>
      </c>
      <c r="DF54" s="1319">
        <f t="shared" ca="1" si="1099"/>
        <v>0</v>
      </c>
      <c r="DG54" s="1319">
        <f t="shared" ca="1" si="1099"/>
        <v>0</v>
      </c>
      <c r="DH54" s="1319">
        <f t="shared" ca="1" si="1099"/>
        <v>0</v>
      </c>
      <c r="DI54" s="1319">
        <f t="shared" ca="1" si="1099"/>
        <v>0</v>
      </c>
      <c r="DJ54" s="1319">
        <f t="shared" ca="1" si="1099"/>
        <v>0</v>
      </c>
      <c r="DV54" s="1319">
        <f t="shared" ca="1" si="1100"/>
        <v>0</v>
      </c>
      <c r="DW54" s="1319">
        <f t="shared" ca="1" si="1100"/>
        <v>0</v>
      </c>
      <c r="DX54" s="1319">
        <f t="shared" ca="1" si="1100"/>
        <v>0</v>
      </c>
      <c r="DY54" s="1319">
        <f t="shared" ca="1" si="1100"/>
        <v>0</v>
      </c>
      <c r="DZ54" s="1319">
        <f t="shared" ca="1" si="1100"/>
        <v>0</v>
      </c>
      <c r="EA54" s="1319">
        <f t="shared" ca="1" si="1100"/>
        <v>0</v>
      </c>
      <c r="EB54" s="1319">
        <f t="shared" ca="1" si="1100"/>
        <v>0</v>
      </c>
      <c r="EC54" s="1319">
        <f t="shared" ca="1" si="1100"/>
        <v>0</v>
      </c>
      <c r="ED54" s="1319">
        <f t="shared" ca="1" si="1100"/>
        <v>0</v>
      </c>
      <c r="EE54" s="1319">
        <f t="shared" ca="1" si="1100"/>
        <v>0</v>
      </c>
      <c r="EF54" s="1319">
        <f t="shared" ca="1" si="1100"/>
        <v>0</v>
      </c>
      <c r="EG54" s="1319">
        <f t="shared" ca="1" si="1100"/>
        <v>0</v>
      </c>
      <c r="EH54" s="1319">
        <f t="shared" ca="1" si="1100"/>
        <v>0</v>
      </c>
      <c r="EI54" s="1319">
        <f t="shared" ca="1" si="1100"/>
        <v>0</v>
      </c>
      <c r="EJ54" s="1319">
        <f t="shared" ca="1" si="1101"/>
        <v>0</v>
      </c>
      <c r="EK54" s="1319">
        <f t="shared" ca="1" si="1100"/>
        <v>0</v>
      </c>
      <c r="EW54" s="1319">
        <f t="shared" ca="1" si="1102"/>
        <v>11.998581100000001</v>
      </c>
      <c r="EX54" s="1319">
        <f t="shared" ca="1" si="1102"/>
        <v>11.998581100000001</v>
      </c>
      <c r="EY54" s="1319">
        <f t="shared" ca="1" si="1102"/>
        <v>11.998581100000001</v>
      </c>
      <c r="EZ54" s="1319">
        <f t="shared" ca="1" si="1102"/>
        <v>11.998581100000001</v>
      </c>
      <c r="FA54" s="1319">
        <f t="shared" ca="1" si="1102"/>
        <v>5.3500436700000001E-21</v>
      </c>
      <c r="FB54" s="1319">
        <f t="shared" ca="1" si="1102"/>
        <v>9.1320091899999994E-8</v>
      </c>
      <c r="FN54" s="1319">
        <f t="shared" ca="1" si="1103"/>
        <v>7.3278323899999994E-15</v>
      </c>
      <c r="FO54" s="1319">
        <f t="shared" ca="1" si="1103"/>
        <v>7.10276602E-14</v>
      </c>
      <c r="FP54" s="1319">
        <f t="shared" ca="1" si="1103"/>
        <v>5.3500436700000001E-21</v>
      </c>
      <c r="FQ54" s="1319">
        <f t="shared" ca="1" si="1103"/>
        <v>9.1320091899999994E-8</v>
      </c>
      <c r="FR54" s="1319">
        <f t="shared" ca="1" si="1103"/>
        <v>0</v>
      </c>
      <c r="FS54" s="1319">
        <f t="shared" ca="1" si="1103"/>
        <v>9.1320092300000001E-8</v>
      </c>
      <c r="FT54" s="1319">
        <f t="shared" ca="1" si="1103"/>
        <v>0</v>
      </c>
      <c r="FU54" s="1319">
        <f t="shared" ca="1" si="1103"/>
        <v>7.83554979E-14</v>
      </c>
      <c r="FV54" s="1319">
        <f t="shared" ca="1" si="1103"/>
        <v>0</v>
      </c>
      <c r="FW54" s="1319">
        <f t="shared" ca="1" si="1103"/>
        <v>0</v>
      </c>
      <c r="FX54" s="1319">
        <f t="shared" ca="1" si="1103"/>
        <v>0</v>
      </c>
      <c r="GJ54" s="1319">
        <f t="shared" ca="1" si="1104"/>
        <v>0</v>
      </c>
      <c r="GK54" s="1319">
        <f t="shared" ca="1" si="1104"/>
        <v>0</v>
      </c>
      <c r="GL54" s="1319">
        <f t="shared" ca="1" si="1104"/>
        <v>0</v>
      </c>
      <c r="GM54" s="1319">
        <f t="shared" ca="1" si="1104"/>
        <v>0</v>
      </c>
      <c r="GN54" s="1319">
        <f t="shared" ca="1" si="1104"/>
        <v>0</v>
      </c>
      <c r="GO54" s="1319">
        <f t="shared" ca="1" si="1104"/>
        <v>0</v>
      </c>
      <c r="GP54" s="1319">
        <f t="shared" ca="1" si="1104"/>
        <v>0</v>
      </c>
      <c r="GQ54" s="1319">
        <f t="shared" ca="1" si="1104"/>
        <v>0</v>
      </c>
      <c r="HC54" s="1319">
        <f t="shared" ca="1" si="1105"/>
        <v>11.998581100000001</v>
      </c>
      <c r="HD54" s="1319">
        <f t="shared" ca="1" si="1105"/>
        <v>11.551855</v>
      </c>
      <c r="HE54" s="1319">
        <f t="shared" ca="1" si="1105"/>
        <v>0</v>
      </c>
      <c r="HF54" s="1319">
        <f t="shared" ca="1" si="1105"/>
        <v>8.90511114E-13</v>
      </c>
      <c r="HG54" s="1319">
        <f t="shared" ca="1" si="1105"/>
        <v>0.44672609200000002</v>
      </c>
      <c r="HH54" s="1319">
        <f t="shared" ca="1" si="1105"/>
        <v>11.551855</v>
      </c>
      <c r="HT54" s="1319">
        <f t="shared" ca="1" si="1106"/>
        <v>3.3935141400000003E-7</v>
      </c>
      <c r="HU54" s="1319">
        <f t="shared" ca="1" si="1106"/>
        <v>11.551855</v>
      </c>
      <c r="HV54" s="1319">
        <f t="shared" ca="1" si="1106"/>
        <v>11.5518553</v>
      </c>
      <c r="HW54" s="1319">
        <f t="shared" ca="1" si="1106"/>
        <v>11.5518553</v>
      </c>
      <c r="HX54" s="1319">
        <f t="shared" ca="1" si="1106"/>
        <v>0.96619353500000005</v>
      </c>
      <c r="HY54" s="1319">
        <f t="shared" ca="1" si="1106"/>
        <v>7.3473441900000006E-2</v>
      </c>
      <c r="HZ54" s="1319">
        <f t="shared" ca="1" si="1106"/>
        <v>2.26318615E-14</v>
      </c>
      <c r="IA54" s="1319">
        <f t="shared" ca="1" si="1106"/>
        <v>3.6785250800000003E-15</v>
      </c>
      <c r="IB54" s="1319">
        <f t="shared" ca="1" si="1106"/>
        <v>0</v>
      </c>
      <c r="IC54" s="1319">
        <f t="shared" ca="1" si="1106"/>
        <v>0</v>
      </c>
      <c r="ID54" s="1319">
        <f t="shared" ca="1" si="1106"/>
        <v>0</v>
      </c>
      <c r="IE54" s="1319">
        <f t="shared" ca="1" si="1106"/>
        <v>0</v>
      </c>
      <c r="IQ54" s="1319">
        <f t="shared" ca="1" si="1107"/>
        <v>0.96619353500000005</v>
      </c>
      <c r="IR54" s="1319">
        <f t="shared" ca="1" si="1107"/>
        <v>7.3473441900000006E-2</v>
      </c>
      <c r="IS54" s="1319">
        <f t="shared" ca="1" si="1107"/>
        <v>1.46173918E-3</v>
      </c>
      <c r="IT54" s="1319">
        <f t="shared" ca="1" si="1107"/>
        <v>7.4935181099999998E-2</v>
      </c>
      <c r="IU54" s="1319">
        <f t="shared" ca="1" si="1108"/>
        <v>6.9936744199999998E-2</v>
      </c>
      <c r="IV54" s="1319">
        <f t="shared" ca="1" si="1107"/>
        <v>4.2848480799999998E-2</v>
      </c>
      <c r="IW54" s="1319">
        <f t="shared" ca="1" si="1107"/>
        <v>3.5081740299999997E-2</v>
      </c>
      <c r="IX54" s="1319">
        <f t="shared" ca="1" si="1109"/>
        <v>1.6121136399999999E-16</v>
      </c>
      <c r="IY54" s="1319">
        <f t="shared" ca="1" si="1107"/>
        <v>4.9984369399999999E-3</v>
      </c>
      <c r="IZ54" s="1319">
        <f t="shared" ca="1" si="1107"/>
        <v>6.3050012500000001E-3</v>
      </c>
      <c r="JA54" s="1319">
        <f t="shared" ca="1" si="1107"/>
        <v>3.6543479500000003E-2</v>
      </c>
      <c r="JB54" s="1319">
        <f t="shared" ca="1" si="1107"/>
        <v>0</v>
      </c>
      <c r="JC54" s="1319">
        <f t="shared" ca="1" si="1107"/>
        <v>6.3050012500000001E-3</v>
      </c>
      <c r="JD54" s="1319">
        <f t="shared" ca="1" si="1107"/>
        <v>0</v>
      </c>
      <c r="JE54" s="1319">
        <f t="shared" ca="1" si="1107"/>
        <v>6.3050012500000001E-3</v>
      </c>
      <c r="JF54" s="1319">
        <f t="shared" ca="1" si="1107"/>
        <v>0</v>
      </c>
      <c r="JG54" s="1319">
        <f t="shared" ca="1" si="1107"/>
        <v>0</v>
      </c>
      <c r="JH54" s="1319">
        <f t="shared" ca="1" si="1107"/>
        <v>3.6785250800000003E-15</v>
      </c>
      <c r="JT54" s="1319">
        <f t="shared" ca="1" si="1110"/>
        <v>0</v>
      </c>
      <c r="JU54" s="1319">
        <f t="shared" ca="1" si="1110"/>
        <v>0</v>
      </c>
      <c r="JV54" s="1319">
        <f t="shared" ca="1" si="1110"/>
        <v>0</v>
      </c>
      <c r="JW54" s="1319">
        <f t="shared" ca="1" si="1110"/>
        <v>0</v>
      </c>
      <c r="JX54" s="1319">
        <f t="shared" ca="1" si="1110"/>
        <v>0</v>
      </c>
      <c r="JY54" s="1319">
        <f t="shared" ca="1" si="1110"/>
        <v>0</v>
      </c>
      <c r="JZ54" s="1319">
        <f t="shared" ca="1" si="1110"/>
        <v>0</v>
      </c>
      <c r="KA54" s="1319">
        <f t="shared" ca="1" si="1110"/>
        <v>0</v>
      </c>
      <c r="KB54" s="1319">
        <f t="shared" ca="1" si="1110"/>
        <v>0</v>
      </c>
      <c r="KC54" s="1319">
        <f t="shared" ca="1" si="1110"/>
        <v>0</v>
      </c>
      <c r="KL54" s="1319">
        <f t="shared" ca="1" si="1111"/>
        <v>0</v>
      </c>
      <c r="KM54" s="1319">
        <f t="shared" ca="1" si="1111"/>
        <v>0</v>
      </c>
      <c r="KN54" s="1319">
        <f t="shared" ca="1" si="1111"/>
        <v>0</v>
      </c>
      <c r="KO54" s="1319">
        <f t="shared" ca="1" si="1111"/>
        <v>0</v>
      </c>
      <c r="KP54" s="1319">
        <f t="shared" ca="1" si="1111"/>
        <v>0</v>
      </c>
      <c r="KQ54" s="1319">
        <f t="shared" ca="1" si="1111"/>
        <v>0</v>
      </c>
      <c r="KR54" s="1319">
        <f t="shared" ca="1" si="1111"/>
        <v>0</v>
      </c>
      <c r="LA54" s="1319">
        <f t="shared" ca="1" si="1112"/>
        <v>8.90511114E-13</v>
      </c>
      <c r="LB54" s="1319">
        <f t="shared" ca="1" si="1112"/>
        <v>2.26318615E-14</v>
      </c>
      <c r="LC54" s="1319">
        <f t="shared" ca="1" si="1112"/>
        <v>9.1314297599999995E-13</v>
      </c>
      <c r="LD54" s="1319">
        <f t="shared" ca="1" si="1112"/>
        <v>9.1314297599999995E-13</v>
      </c>
      <c r="LE54" s="1319">
        <f t="shared" ca="1" si="1112"/>
        <v>0</v>
      </c>
      <c r="LF54" s="1319">
        <f t="shared" ca="1" si="1112"/>
        <v>0</v>
      </c>
      <c r="LG54" s="1319">
        <f t="shared" ca="1" si="1112"/>
        <v>0</v>
      </c>
      <c r="LH54" s="1319">
        <f t="shared" ca="1" si="1112"/>
        <v>0</v>
      </c>
      <c r="LI54" s="1319">
        <f t="shared" ca="1" si="1112"/>
        <v>0</v>
      </c>
      <c r="LJ54" s="1319">
        <f t="shared" ca="1" si="1112"/>
        <v>0</v>
      </c>
      <c r="LK54" s="1319">
        <f t="shared" ca="1" si="1112"/>
        <v>0</v>
      </c>
      <c r="LW54" s="1319">
        <f t="shared" ca="1" si="1113"/>
        <v>0</v>
      </c>
      <c r="LX54" s="1319">
        <f t="shared" ca="1" si="1114"/>
        <v>0</v>
      </c>
      <c r="LY54" s="1319">
        <f t="shared" ca="1" si="1114"/>
        <v>0.44672609200000002</v>
      </c>
      <c r="LZ54" s="1319">
        <f t="shared" ca="1" si="1114"/>
        <v>4.9984369399999999E-3</v>
      </c>
      <c r="MA54" s="1319">
        <f t="shared" ca="1" si="1114"/>
        <v>0.45172452899999999</v>
      </c>
      <c r="MB54" s="1319">
        <f t="shared" ca="1" si="1114"/>
        <v>9.1314297599999995E-13</v>
      </c>
      <c r="MC54" s="1319">
        <f t="shared" ca="1" si="1114"/>
        <v>0</v>
      </c>
      <c r="MD54" s="1319">
        <f t="shared" ca="1" si="1114"/>
        <v>0</v>
      </c>
      <c r="ME54" s="1319">
        <f t="shared" ca="1" si="1114"/>
        <v>0</v>
      </c>
      <c r="MF54" s="1319">
        <f t="shared" ca="1" si="1114"/>
        <v>0</v>
      </c>
      <c r="MG54" s="1319">
        <f t="shared" ca="1" si="1114"/>
        <v>0</v>
      </c>
      <c r="MH54" s="1319">
        <f t="shared" ca="1" si="1115"/>
        <v>0</v>
      </c>
      <c r="MI54" s="1319">
        <f t="shared" ca="1" si="1115"/>
        <v>0</v>
      </c>
      <c r="MJ54" s="1319">
        <f t="shared" ca="1" si="1114"/>
        <v>0</v>
      </c>
      <c r="MK54" s="1319">
        <f t="shared" ca="1" si="1114"/>
        <v>0</v>
      </c>
      <c r="ML54" s="1319">
        <f t="shared" ca="1" si="1114"/>
        <v>0</v>
      </c>
      <c r="MM54" s="1319">
        <f t="shared" ca="1" si="1114"/>
        <v>0</v>
      </c>
      <c r="MN54" s="1319">
        <f t="shared" ca="1" si="1114"/>
        <v>0</v>
      </c>
      <c r="MO54" s="1319">
        <f t="shared" ca="1" si="1114"/>
        <v>0</v>
      </c>
      <c r="NA54" s="1319">
        <f t="shared" ca="1" si="1116"/>
        <v>3.22360427E-7</v>
      </c>
      <c r="NB54" s="1319">
        <f t="shared" ca="1" si="1116"/>
        <v>2.3696132000000002E-14</v>
      </c>
      <c r="NC54" s="1319">
        <f t="shared" ca="1" si="1116"/>
        <v>3.2236040400000002E-7</v>
      </c>
      <c r="ND54" s="1319">
        <f t="shared" ca="1" si="1116"/>
        <v>0</v>
      </c>
      <c r="NE54" s="1319">
        <f t="shared" ca="1" si="1116"/>
        <v>0</v>
      </c>
      <c r="NF54" s="1319">
        <f t="shared" ca="1" si="1116"/>
        <v>0</v>
      </c>
      <c r="NG54" s="1319">
        <f t="shared" ca="1" si="1116"/>
        <v>0</v>
      </c>
      <c r="NH54" s="1319">
        <f t="shared" ca="1" si="1116"/>
        <v>0</v>
      </c>
      <c r="NI54" s="1319">
        <f t="shared" ca="1" si="1116"/>
        <v>0</v>
      </c>
      <c r="NJ54" s="1319">
        <f t="shared" ca="1" si="1116"/>
        <v>0</v>
      </c>
      <c r="NK54" s="1319">
        <f t="shared" ca="1" si="1116"/>
        <v>0</v>
      </c>
      <c r="NL54" s="1319">
        <f t="shared" ca="1" si="1116"/>
        <v>0</v>
      </c>
      <c r="NM54" s="1319">
        <f t="shared" ca="1" si="1116"/>
        <v>0</v>
      </c>
      <c r="NN54" s="1319">
        <f t="shared" ca="1" si="1116"/>
        <v>0</v>
      </c>
      <c r="NO54" s="1319">
        <f t="shared" ca="1" si="1116"/>
        <v>0</v>
      </c>
      <c r="NP54" s="1319">
        <f t="shared" ca="1" si="1116"/>
        <v>0</v>
      </c>
      <c r="OH54" s="1319">
        <f t="shared" ca="1" si="1117"/>
        <v>0</v>
      </c>
      <c r="OI54" s="1319">
        <f t="shared" ca="1" si="1117"/>
        <v>0</v>
      </c>
      <c r="OJ54" s="1319">
        <f t="shared" ca="1" si="1117"/>
        <v>0</v>
      </c>
      <c r="OK54" s="1319">
        <f t="shared" ca="1" si="1117"/>
        <v>0</v>
      </c>
      <c r="OL54" s="1319">
        <f t="shared" ca="1" si="1117"/>
        <v>0</v>
      </c>
      <c r="OM54" s="1319">
        <f t="shared" ca="1" si="1117"/>
        <v>0</v>
      </c>
      <c r="ON54" s="1319">
        <f t="shared" ca="1" si="1117"/>
        <v>0</v>
      </c>
      <c r="OO54" s="1319">
        <f t="shared" ca="1" si="1117"/>
        <v>0</v>
      </c>
      <c r="PA54" s="1319">
        <f t="shared" ca="1" si="1118"/>
        <v>0</v>
      </c>
      <c r="PB54" s="1319">
        <f t="shared" ca="1" si="1118"/>
        <v>0</v>
      </c>
      <c r="PC54" s="1319">
        <f t="shared" ca="1" si="1118"/>
        <v>0</v>
      </c>
      <c r="PD54" s="1319">
        <f t="shared" ca="1" si="1118"/>
        <v>0</v>
      </c>
      <c r="PE54" s="1319">
        <f t="shared" ca="1" si="1118"/>
        <v>0</v>
      </c>
      <c r="PF54" s="1319">
        <f t="shared" ca="1" si="1118"/>
        <v>0</v>
      </c>
      <c r="PG54" s="1319">
        <f t="shared" ca="1" si="1118"/>
        <v>0</v>
      </c>
      <c r="PH54" s="1319">
        <f t="shared" ca="1" si="1118"/>
        <v>0</v>
      </c>
      <c r="PI54" s="1319">
        <f t="shared" ca="1" si="1118"/>
        <v>0</v>
      </c>
      <c r="PJ54" s="1319">
        <f t="shared" ca="1" si="1118"/>
        <v>0</v>
      </c>
      <c r="PK54" s="1319">
        <f t="shared" ca="1" si="1118"/>
        <v>0</v>
      </c>
      <c r="PW54" s="1319">
        <f t="shared" ca="1" si="1119"/>
        <v>0</v>
      </c>
      <c r="PX54" s="1319">
        <f t="shared" ca="1" si="1119"/>
        <v>0</v>
      </c>
      <c r="PY54" s="1319">
        <f t="shared" ca="1" si="1119"/>
        <v>0</v>
      </c>
      <c r="PZ54" s="1319">
        <f t="shared" ca="1" si="1119"/>
        <v>0</v>
      </c>
    </row>
    <row r="55" spans="1:442" x14ac:dyDescent="0.25">
      <c r="A55" s="189">
        <v>16</v>
      </c>
      <c r="B55" s="189" t="s">
        <v>1256</v>
      </c>
      <c r="C55" s="1317" t="s">
        <v>1275</v>
      </c>
      <c r="D55" s="1317" t="s">
        <v>206</v>
      </c>
      <c r="J55" s="1319">
        <f t="shared" ca="1" si="1093"/>
        <v>0</v>
      </c>
      <c r="K55" s="1319">
        <f t="shared" ref="K55:K61" ca="1" si="1122">VLOOKUP(K$1,INDIRECT(LU_MAT),$A55,FALSE)</f>
        <v>0</v>
      </c>
      <c r="T55" s="1319">
        <f t="shared" ca="1" si="1094"/>
        <v>0</v>
      </c>
      <c r="U55" s="1319">
        <f t="shared" ca="1" si="1094"/>
        <v>0</v>
      </c>
      <c r="V55" s="1319">
        <f t="shared" ca="1" si="1094"/>
        <v>6.6007391399999996E-5</v>
      </c>
      <c r="W55" s="1319">
        <f t="shared" ca="1" si="1094"/>
        <v>0</v>
      </c>
      <c r="X55" s="1319">
        <f t="shared" ca="1" si="1094"/>
        <v>0</v>
      </c>
      <c r="Y55" s="1319">
        <f t="shared" ca="1" si="1094"/>
        <v>390.551289</v>
      </c>
      <c r="Z55" s="1319">
        <f t="shared" ca="1" si="1094"/>
        <v>1.6309844999999999E-4</v>
      </c>
      <c r="AA55" s="1319">
        <f t="shared" ca="1" si="1094"/>
        <v>390.55112600000001</v>
      </c>
      <c r="AB55" s="1319">
        <f t="shared" ca="1" si="1094"/>
        <v>0</v>
      </c>
      <c r="AC55" s="1319">
        <f t="shared" ca="1" si="1094"/>
        <v>6.6007391399999996E-5</v>
      </c>
      <c r="AD55" s="1319">
        <f t="shared" ca="1" si="1094"/>
        <v>0</v>
      </c>
      <c r="AM55" s="1319">
        <f t="shared" ca="1" si="1095"/>
        <v>0</v>
      </c>
      <c r="AN55" s="1319">
        <f t="shared" ca="1" si="1095"/>
        <v>0</v>
      </c>
      <c r="AO55" s="1319">
        <f t="shared" ca="1" si="1096"/>
        <v>390.55112600000001</v>
      </c>
      <c r="AP55" s="1319">
        <f t="shared" ca="1" si="1096"/>
        <v>390.55112600000001</v>
      </c>
      <c r="AQ55" s="1319">
        <f t="shared" ca="1" si="1096"/>
        <v>1.8337630099999999E-5</v>
      </c>
      <c r="AR55" s="1319">
        <f t="shared" ca="1" si="1096"/>
        <v>4.07388872E-10</v>
      </c>
      <c r="AS55" s="1319">
        <f t="shared" ca="1" si="1096"/>
        <v>1.6309804299999999E-4</v>
      </c>
      <c r="AT55" s="1319">
        <f t="shared" ca="1" si="1095"/>
        <v>9.4254393700000001E-12</v>
      </c>
      <c r="AU55" s="1319">
        <f t="shared" ca="1" si="1095"/>
        <v>1.8338028E-5</v>
      </c>
      <c r="AV55" s="1319">
        <f t="shared" ca="1" si="1095"/>
        <v>390.551108</v>
      </c>
      <c r="AW55" s="1319">
        <f t="shared" ca="1" si="1095"/>
        <v>9.4254393700000001E-12</v>
      </c>
      <c r="AX55" s="1319">
        <f t="shared" ca="1" si="1095"/>
        <v>1.8143607999999999E-4</v>
      </c>
      <c r="AY55" s="1319">
        <f t="shared" ca="1" si="1095"/>
        <v>0</v>
      </c>
      <c r="AZ55" s="1319">
        <f t="shared" ca="1" si="1095"/>
        <v>0</v>
      </c>
      <c r="BA55" s="1319">
        <f t="shared" ca="1" si="1095"/>
        <v>0</v>
      </c>
      <c r="BB55" s="1319">
        <f t="shared" ca="1" si="1095"/>
        <v>390.551108</v>
      </c>
      <c r="BN55" s="1319">
        <f t="shared" ca="1" si="1097"/>
        <v>39.055110800000001</v>
      </c>
      <c r="BO55" s="1319">
        <f t="shared" ca="1" si="1097"/>
        <v>39.055110800000001</v>
      </c>
      <c r="BP55" s="1319">
        <f t="shared" ca="1" si="1097"/>
        <v>4.3703902500000002E-11</v>
      </c>
      <c r="BQ55" s="1319">
        <f t="shared" ca="1" si="1097"/>
        <v>0</v>
      </c>
      <c r="BR55" s="1319">
        <f t="shared" ca="1" si="1097"/>
        <v>0</v>
      </c>
      <c r="CD55" s="1319">
        <f t="shared" ca="1" si="1098"/>
        <v>390.551108</v>
      </c>
      <c r="CE55" s="1319">
        <f t="shared" ca="1" si="1098"/>
        <v>390.551108</v>
      </c>
      <c r="CF55" s="1319">
        <f t="shared" ca="1" si="1098"/>
        <v>39.055110800000001</v>
      </c>
      <c r="CG55" s="1319">
        <f t="shared" ca="1" si="1098"/>
        <v>39.055110800000001</v>
      </c>
      <c r="CH55" s="1319">
        <f t="shared" ca="1" si="1098"/>
        <v>390.551108</v>
      </c>
      <c r="CI55" s="1319">
        <f t="shared" ca="1" si="1098"/>
        <v>0</v>
      </c>
      <c r="CJ55" s="1319">
        <f t="shared" ca="1" si="1098"/>
        <v>0</v>
      </c>
      <c r="CK55" s="1319">
        <f t="shared" ca="1" si="1098"/>
        <v>390.551108</v>
      </c>
      <c r="CL55" s="1319">
        <f t="shared" ca="1" si="1098"/>
        <v>4.2361584799999996E-10</v>
      </c>
      <c r="CM55" s="1319">
        <f t="shared" ca="1" si="1098"/>
        <v>0</v>
      </c>
      <c r="CN55" s="1319">
        <f t="shared" ca="1" si="1098"/>
        <v>390.551108</v>
      </c>
      <c r="CO55" s="1319">
        <f t="shared" ca="1" si="1098"/>
        <v>4.6732016300000002E-10</v>
      </c>
      <c r="DA55" s="1319">
        <f t="shared" ca="1" si="1099"/>
        <v>0</v>
      </c>
      <c r="DB55" s="1319">
        <f t="shared" ca="1" si="1099"/>
        <v>0</v>
      </c>
      <c r="DC55" s="1319">
        <f t="shared" ca="1" si="1099"/>
        <v>0</v>
      </c>
      <c r="DD55" s="1319">
        <f t="shared" ca="1" si="1099"/>
        <v>0</v>
      </c>
      <c r="DE55" s="1319">
        <f t="shared" ca="1" si="1099"/>
        <v>0</v>
      </c>
      <c r="DF55" s="1319">
        <f t="shared" ca="1" si="1099"/>
        <v>0</v>
      </c>
      <c r="DG55" s="1319">
        <f t="shared" ca="1" si="1099"/>
        <v>0</v>
      </c>
      <c r="DH55" s="1319">
        <f t="shared" ca="1" si="1099"/>
        <v>0</v>
      </c>
      <c r="DI55" s="1319">
        <f t="shared" ca="1" si="1099"/>
        <v>0</v>
      </c>
      <c r="DJ55" s="1319">
        <f t="shared" ca="1" si="1099"/>
        <v>0</v>
      </c>
      <c r="DV55" s="1319">
        <f t="shared" ca="1" si="1100"/>
        <v>0</v>
      </c>
      <c r="DW55" s="1319">
        <f t="shared" ca="1" si="1100"/>
        <v>0</v>
      </c>
      <c r="DX55" s="1319">
        <f t="shared" ca="1" si="1100"/>
        <v>0</v>
      </c>
      <c r="DY55" s="1319">
        <f t="shared" ca="1" si="1100"/>
        <v>0</v>
      </c>
      <c r="DZ55" s="1319">
        <f t="shared" ca="1" si="1100"/>
        <v>0</v>
      </c>
      <c r="EA55" s="1319">
        <f t="shared" ca="1" si="1100"/>
        <v>0</v>
      </c>
      <c r="EB55" s="1319">
        <f t="shared" ca="1" si="1100"/>
        <v>0</v>
      </c>
      <c r="EC55" s="1319">
        <f t="shared" ca="1" si="1100"/>
        <v>0</v>
      </c>
      <c r="ED55" s="1319">
        <f t="shared" ca="1" si="1100"/>
        <v>0</v>
      </c>
      <c r="EE55" s="1319">
        <f t="shared" ca="1" si="1100"/>
        <v>0</v>
      </c>
      <c r="EF55" s="1319">
        <f t="shared" ca="1" si="1100"/>
        <v>0</v>
      </c>
      <c r="EG55" s="1319">
        <f t="shared" ca="1" si="1100"/>
        <v>0</v>
      </c>
      <c r="EH55" s="1319">
        <f t="shared" ca="1" si="1100"/>
        <v>0</v>
      </c>
      <c r="EI55" s="1319">
        <f t="shared" ca="1" si="1100"/>
        <v>0</v>
      </c>
      <c r="EJ55" s="1319">
        <f t="shared" ca="1" si="1101"/>
        <v>0</v>
      </c>
      <c r="EK55" s="1319">
        <f t="shared" ca="1" si="1100"/>
        <v>0</v>
      </c>
      <c r="EW55" s="1319">
        <f t="shared" ca="1" si="1102"/>
        <v>390.551108</v>
      </c>
      <c r="EX55" s="1319">
        <f t="shared" ca="1" si="1102"/>
        <v>390.551108</v>
      </c>
      <c r="EY55" s="1319">
        <f t="shared" ca="1" si="1102"/>
        <v>390.551042</v>
      </c>
      <c r="EZ55" s="1319">
        <f t="shared" ca="1" si="1102"/>
        <v>390.551042</v>
      </c>
      <c r="FA55" s="1319">
        <f t="shared" ca="1" si="1102"/>
        <v>4.1245530599999998E-16</v>
      </c>
      <c r="FB55" s="1319">
        <f t="shared" ca="1" si="1102"/>
        <v>6.6007391099999995E-5</v>
      </c>
      <c r="FN55" s="1319">
        <f t="shared" ca="1" si="1103"/>
        <v>4.3703902500000002E-11</v>
      </c>
      <c r="FO55" s="1319">
        <f t="shared" ca="1" si="1103"/>
        <v>4.2361584799999996E-10</v>
      </c>
      <c r="FP55" s="1319">
        <f t="shared" ca="1" si="1103"/>
        <v>4.1245530599999998E-16</v>
      </c>
      <c r="FQ55" s="1319">
        <f t="shared" ca="1" si="1103"/>
        <v>6.6007391099999995E-5</v>
      </c>
      <c r="FR55" s="1319">
        <f t="shared" ca="1" si="1103"/>
        <v>0</v>
      </c>
      <c r="FS55" s="1319">
        <f t="shared" ca="1" si="1103"/>
        <v>6.6007391399999996E-5</v>
      </c>
      <c r="FT55" s="1319">
        <f t="shared" ca="1" si="1103"/>
        <v>0</v>
      </c>
      <c r="FU55" s="1319">
        <f t="shared" ca="1" si="1103"/>
        <v>4.6732016300000002E-10</v>
      </c>
      <c r="FV55" s="1319">
        <f t="shared" ca="1" si="1103"/>
        <v>0</v>
      </c>
      <c r="FW55" s="1319">
        <f t="shared" ca="1" si="1103"/>
        <v>0</v>
      </c>
      <c r="FX55" s="1319">
        <f t="shared" ca="1" si="1103"/>
        <v>4.6732016300000002E-10</v>
      </c>
      <c r="GJ55" s="1319">
        <f t="shared" ca="1" si="1104"/>
        <v>0</v>
      </c>
      <c r="GK55" s="1319">
        <f t="shared" ca="1" si="1104"/>
        <v>0</v>
      </c>
      <c r="GL55" s="1319">
        <f t="shared" ca="1" si="1104"/>
        <v>0</v>
      </c>
      <c r="GM55" s="1319">
        <f t="shared" ca="1" si="1104"/>
        <v>0</v>
      </c>
      <c r="GN55" s="1319">
        <f t="shared" ca="1" si="1104"/>
        <v>0</v>
      </c>
      <c r="GO55" s="1319">
        <f t="shared" ca="1" si="1104"/>
        <v>0</v>
      </c>
      <c r="GP55" s="1319">
        <f t="shared" ca="1" si="1104"/>
        <v>0</v>
      </c>
      <c r="GQ55" s="1319">
        <f t="shared" ca="1" si="1104"/>
        <v>0</v>
      </c>
      <c r="HC55" s="1319">
        <f t="shared" ca="1" si="1105"/>
        <v>390.551042</v>
      </c>
      <c r="HD55" s="1319">
        <f t="shared" ca="1" si="1105"/>
        <v>376.01020999999997</v>
      </c>
      <c r="HE55" s="1319">
        <f t="shared" ca="1" si="1105"/>
        <v>0</v>
      </c>
      <c r="HF55" s="1319">
        <f t="shared" ca="1" si="1105"/>
        <v>3.05112582E-9</v>
      </c>
      <c r="HG55" s="1319">
        <f t="shared" ca="1" si="1105"/>
        <v>14.5408311</v>
      </c>
      <c r="HH55" s="1319">
        <f t="shared" ca="1" si="1105"/>
        <v>376.01020999999997</v>
      </c>
      <c r="HT55" s="1319">
        <f t="shared" ca="1" si="1106"/>
        <v>1.8143607999999999E-4</v>
      </c>
      <c r="HU55" s="1319">
        <f t="shared" ca="1" si="1106"/>
        <v>376.01020999999997</v>
      </c>
      <c r="HV55" s="1319">
        <f t="shared" ca="1" si="1106"/>
        <v>376.01039200000002</v>
      </c>
      <c r="HW55" s="1319">
        <f t="shared" ca="1" si="1106"/>
        <v>376.01039200000002</v>
      </c>
      <c r="HX55" s="1319">
        <f t="shared" ca="1" si="1106"/>
        <v>31.449390599999997</v>
      </c>
      <c r="HY55" s="1319">
        <f t="shared" ca="1" si="1106"/>
        <v>2.3915446500000002</v>
      </c>
      <c r="HZ55" s="1319">
        <f t="shared" ca="1" si="1106"/>
        <v>1.11307999E-10</v>
      </c>
      <c r="IA55" s="1319">
        <f t="shared" ca="1" si="1106"/>
        <v>5.7536535599999999E-12</v>
      </c>
      <c r="IB55" s="1319">
        <f t="shared" ca="1" si="1106"/>
        <v>0</v>
      </c>
      <c r="IC55" s="1319">
        <f t="shared" ca="1" si="1106"/>
        <v>0</v>
      </c>
      <c r="ID55" s="1319">
        <f t="shared" ca="1" si="1106"/>
        <v>0</v>
      </c>
      <c r="IE55" s="1319">
        <f t="shared" ca="1" si="1106"/>
        <v>0</v>
      </c>
      <c r="IQ55" s="1319">
        <f t="shared" ca="1" si="1107"/>
        <v>31.449390599999997</v>
      </c>
      <c r="IR55" s="1319">
        <f t="shared" ca="1" si="1107"/>
        <v>2.3915446500000002</v>
      </c>
      <c r="IS55" s="1319">
        <f t="shared" ca="1" si="1107"/>
        <v>4.7579294199999997E-2</v>
      </c>
      <c r="IT55" s="1319">
        <f t="shared" ca="1" si="1107"/>
        <v>2.43912394</v>
      </c>
      <c r="IU55" s="1319">
        <f t="shared" ca="1" si="1108"/>
        <v>2.2764259</v>
      </c>
      <c r="IV55" s="1319">
        <f t="shared" ca="1" si="1107"/>
        <v>1.39470878</v>
      </c>
      <c r="IW55" s="1319">
        <f t="shared" ca="1" si="1107"/>
        <v>1.14190306</v>
      </c>
      <c r="IX55" s="1319">
        <f t="shared" ca="1" si="1109"/>
        <v>1.1292898300000001E-12</v>
      </c>
      <c r="IY55" s="1319">
        <f t="shared" ca="1" si="1107"/>
        <v>0.16269804099999999</v>
      </c>
      <c r="IZ55" s="1319">
        <f t="shared" ca="1" si="1107"/>
        <v>0.20522642699999999</v>
      </c>
      <c r="JA55" s="1319">
        <f t="shared" ca="1" si="1107"/>
        <v>1.18948236</v>
      </c>
      <c r="JB55" s="1319">
        <f t="shared" ca="1" si="1107"/>
        <v>0</v>
      </c>
      <c r="JC55" s="1319">
        <f t="shared" ca="1" si="1107"/>
        <v>0.20522642699999999</v>
      </c>
      <c r="JD55" s="1319">
        <f t="shared" ca="1" si="1107"/>
        <v>0</v>
      </c>
      <c r="JE55" s="1319">
        <f t="shared" ca="1" si="1107"/>
        <v>0.20522642699999999</v>
      </c>
      <c r="JF55" s="1319">
        <f t="shared" ca="1" si="1107"/>
        <v>0</v>
      </c>
      <c r="JG55" s="1319">
        <f t="shared" ca="1" si="1107"/>
        <v>0</v>
      </c>
      <c r="JH55" s="1319">
        <f t="shared" ca="1" si="1107"/>
        <v>5.7536535599999999E-12</v>
      </c>
      <c r="JT55" s="1319">
        <f t="shared" ca="1" si="1110"/>
        <v>0</v>
      </c>
      <c r="JU55" s="1319">
        <f t="shared" ca="1" si="1110"/>
        <v>0</v>
      </c>
      <c r="JV55" s="1319">
        <f t="shared" ca="1" si="1110"/>
        <v>0</v>
      </c>
      <c r="JW55" s="1319">
        <f t="shared" ca="1" si="1110"/>
        <v>0</v>
      </c>
      <c r="JX55" s="1319">
        <f t="shared" ca="1" si="1110"/>
        <v>0</v>
      </c>
      <c r="JY55" s="1319">
        <f t="shared" ca="1" si="1110"/>
        <v>0</v>
      </c>
      <c r="JZ55" s="1319">
        <f t="shared" ca="1" si="1110"/>
        <v>0</v>
      </c>
      <c r="KA55" s="1319">
        <f t="shared" ca="1" si="1110"/>
        <v>0</v>
      </c>
      <c r="KB55" s="1319">
        <f t="shared" ca="1" si="1110"/>
        <v>0</v>
      </c>
      <c r="KC55" s="1319">
        <f t="shared" ca="1" si="1110"/>
        <v>0</v>
      </c>
      <c r="KL55" s="1319">
        <f t="shared" ca="1" si="1111"/>
        <v>0</v>
      </c>
      <c r="KM55" s="1319">
        <f t="shared" ca="1" si="1111"/>
        <v>0</v>
      </c>
      <c r="KN55" s="1319">
        <f t="shared" ca="1" si="1111"/>
        <v>0</v>
      </c>
      <c r="KO55" s="1319">
        <f t="shared" ca="1" si="1111"/>
        <v>0</v>
      </c>
      <c r="KP55" s="1319">
        <f t="shared" ca="1" si="1111"/>
        <v>0</v>
      </c>
      <c r="KQ55" s="1319">
        <f t="shared" ca="1" si="1111"/>
        <v>0</v>
      </c>
      <c r="KR55" s="1319">
        <f t="shared" ca="1" si="1111"/>
        <v>0</v>
      </c>
      <c r="LA55" s="1319">
        <f t="shared" ca="1" si="1112"/>
        <v>3.05112582E-9</v>
      </c>
      <c r="LB55" s="1319">
        <f t="shared" ca="1" si="1112"/>
        <v>1.11307999E-10</v>
      </c>
      <c r="LC55" s="1319">
        <f t="shared" ca="1" si="1112"/>
        <v>3.16243381E-9</v>
      </c>
      <c r="LD55" s="1319">
        <f t="shared" ca="1" si="1112"/>
        <v>3.16243381E-9</v>
      </c>
      <c r="LE55" s="1319">
        <f t="shared" ca="1" si="1112"/>
        <v>0</v>
      </c>
      <c r="LF55" s="1319">
        <f t="shared" ca="1" si="1112"/>
        <v>0</v>
      </c>
      <c r="LG55" s="1319">
        <f t="shared" ca="1" si="1112"/>
        <v>0</v>
      </c>
      <c r="LH55" s="1319">
        <f t="shared" ca="1" si="1112"/>
        <v>0</v>
      </c>
      <c r="LI55" s="1319">
        <f t="shared" ca="1" si="1112"/>
        <v>0</v>
      </c>
      <c r="LJ55" s="1319">
        <f t="shared" ca="1" si="1112"/>
        <v>0</v>
      </c>
      <c r="LK55" s="1319">
        <f t="shared" ca="1" si="1112"/>
        <v>0</v>
      </c>
      <c r="LW55" s="1319">
        <f t="shared" ca="1" si="1113"/>
        <v>0</v>
      </c>
      <c r="LX55" s="1319">
        <f t="shared" ca="1" si="1114"/>
        <v>0</v>
      </c>
      <c r="LY55" s="1319">
        <f t="shared" ca="1" si="1114"/>
        <v>14.5408311</v>
      </c>
      <c r="LZ55" s="1319">
        <f t="shared" ca="1" si="1114"/>
        <v>0.16269804099999999</v>
      </c>
      <c r="MA55" s="1319">
        <f t="shared" ca="1" si="1114"/>
        <v>14.703529100000001</v>
      </c>
      <c r="MB55" s="1319">
        <f t="shared" ca="1" si="1114"/>
        <v>3.16243381E-9</v>
      </c>
      <c r="MC55" s="1319">
        <f t="shared" ca="1" si="1114"/>
        <v>0</v>
      </c>
      <c r="MD55" s="1319">
        <f t="shared" ca="1" si="1114"/>
        <v>0</v>
      </c>
      <c r="ME55" s="1319">
        <f t="shared" ca="1" si="1114"/>
        <v>0</v>
      </c>
      <c r="MF55" s="1319">
        <f t="shared" ca="1" si="1114"/>
        <v>0</v>
      </c>
      <c r="MG55" s="1319">
        <f t="shared" ca="1" si="1114"/>
        <v>0</v>
      </c>
      <c r="MH55" s="1319">
        <f t="shared" ca="1" si="1115"/>
        <v>0</v>
      </c>
      <c r="MI55" s="1319">
        <f t="shared" ca="1" si="1115"/>
        <v>0</v>
      </c>
      <c r="MJ55" s="1319">
        <f t="shared" ca="1" si="1114"/>
        <v>0</v>
      </c>
      <c r="MK55" s="1319">
        <f t="shared" ca="1" si="1114"/>
        <v>0</v>
      </c>
      <c r="ML55" s="1319">
        <f t="shared" ca="1" si="1114"/>
        <v>0</v>
      </c>
      <c r="MM55" s="1319">
        <f t="shared" ca="1" si="1114"/>
        <v>0</v>
      </c>
      <c r="MN55" s="1319">
        <f t="shared" ca="1" si="1114"/>
        <v>0</v>
      </c>
      <c r="MO55" s="1319">
        <f t="shared" ca="1" si="1114"/>
        <v>0</v>
      </c>
      <c r="NA55" s="1319">
        <f t="shared" ca="1" si="1116"/>
        <v>1.6309844999999999E-4</v>
      </c>
      <c r="NB55" s="1319">
        <f t="shared" ca="1" si="1116"/>
        <v>4.07388872E-10</v>
      </c>
      <c r="NC55" s="1319">
        <f t="shared" ca="1" si="1116"/>
        <v>1.6309804299999999E-4</v>
      </c>
      <c r="ND55" s="1319">
        <f t="shared" ca="1" si="1116"/>
        <v>0</v>
      </c>
      <c r="NE55" s="1319">
        <f t="shared" ca="1" si="1116"/>
        <v>0</v>
      </c>
      <c r="NF55" s="1319">
        <f t="shared" ca="1" si="1116"/>
        <v>0</v>
      </c>
      <c r="NG55" s="1319">
        <f t="shared" ca="1" si="1116"/>
        <v>0</v>
      </c>
      <c r="NH55" s="1319">
        <f t="shared" ca="1" si="1116"/>
        <v>0</v>
      </c>
      <c r="NI55" s="1319">
        <f t="shared" ca="1" si="1116"/>
        <v>0</v>
      </c>
      <c r="NJ55" s="1319">
        <f t="shared" ca="1" si="1116"/>
        <v>0</v>
      </c>
      <c r="NK55" s="1319">
        <f t="shared" ca="1" si="1116"/>
        <v>0</v>
      </c>
      <c r="NL55" s="1319">
        <f t="shared" ca="1" si="1116"/>
        <v>0</v>
      </c>
      <c r="NM55" s="1319">
        <f t="shared" ca="1" si="1116"/>
        <v>0</v>
      </c>
      <c r="NN55" s="1319">
        <f t="shared" ca="1" si="1116"/>
        <v>0</v>
      </c>
      <c r="NO55" s="1319">
        <f t="shared" ca="1" si="1116"/>
        <v>0</v>
      </c>
      <c r="NP55" s="1319">
        <f t="shared" ca="1" si="1116"/>
        <v>0</v>
      </c>
      <c r="OH55" s="1319">
        <f t="shared" ca="1" si="1117"/>
        <v>0</v>
      </c>
      <c r="OI55" s="1319">
        <f t="shared" ca="1" si="1117"/>
        <v>0</v>
      </c>
      <c r="OJ55" s="1319">
        <f t="shared" ca="1" si="1117"/>
        <v>0</v>
      </c>
      <c r="OK55" s="1319">
        <f t="shared" ca="1" si="1117"/>
        <v>0</v>
      </c>
      <c r="OL55" s="1319">
        <f t="shared" ca="1" si="1117"/>
        <v>0</v>
      </c>
      <c r="OM55" s="1319">
        <f t="shared" ca="1" si="1117"/>
        <v>0</v>
      </c>
      <c r="ON55" s="1319">
        <f t="shared" ca="1" si="1117"/>
        <v>0</v>
      </c>
      <c r="OO55" s="1319">
        <f t="shared" ca="1" si="1117"/>
        <v>0</v>
      </c>
      <c r="PA55" s="1319">
        <f t="shared" ca="1" si="1118"/>
        <v>0</v>
      </c>
      <c r="PB55" s="1319">
        <f t="shared" ca="1" si="1118"/>
        <v>0</v>
      </c>
      <c r="PC55" s="1319">
        <f t="shared" ca="1" si="1118"/>
        <v>0</v>
      </c>
      <c r="PD55" s="1319">
        <f t="shared" ca="1" si="1118"/>
        <v>0</v>
      </c>
      <c r="PE55" s="1319">
        <f t="shared" ca="1" si="1118"/>
        <v>0</v>
      </c>
      <c r="PF55" s="1319">
        <f t="shared" ca="1" si="1118"/>
        <v>0</v>
      </c>
      <c r="PG55" s="1319">
        <f t="shared" ca="1" si="1118"/>
        <v>0</v>
      </c>
      <c r="PH55" s="1319">
        <f t="shared" ca="1" si="1118"/>
        <v>0</v>
      </c>
      <c r="PI55" s="1319">
        <f t="shared" ca="1" si="1118"/>
        <v>0</v>
      </c>
      <c r="PJ55" s="1319">
        <f t="shared" ca="1" si="1118"/>
        <v>0</v>
      </c>
      <c r="PK55" s="1319">
        <f t="shared" ca="1" si="1118"/>
        <v>0</v>
      </c>
      <c r="PW55" s="1319">
        <f t="shared" ca="1" si="1119"/>
        <v>0</v>
      </c>
      <c r="PX55" s="1319">
        <f t="shared" ca="1" si="1119"/>
        <v>0</v>
      </c>
      <c r="PY55" s="1319">
        <f t="shared" ca="1" si="1119"/>
        <v>0</v>
      </c>
      <c r="PZ55" s="1319">
        <f t="shared" ca="1" si="1119"/>
        <v>0</v>
      </c>
    </row>
    <row r="56" spans="1:442" x14ac:dyDescent="0.25">
      <c r="A56" s="189">
        <v>17</v>
      </c>
      <c r="B56" s="189" t="s">
        <v>1256</v>
      </c>
      <c r="C56" s="1317" t="s">
        <v>1279</v>
      </c>
      <c r="D56" s="1317" t="s">
        <v>206</v>
      </c>
      <c r="J56" s="1319">
        <f t="shared" ca="1" si="1093"/>
        <v>0</v>
      </c>
      <c r="K56" s="1319">
        <f t="shared" ca="1" si="1122"/>
        <v>0</v>
      </c>
      <c r="T56" s="1319">
        <f t="shared" ca="1" si="1094"/>
        <v>0</v>
      </c>
      <c r="U56" s="1319">
        <f t="shared" ca="1" si="1094"/>
        <v>0</v>
      </c>
      <c r="V56" s="1319">
        <f t="shared" ca="1" si="1094"/>
        <v>8.0439114899999993E-6</v>
      </c>
      <c r="W56" s="1319">
        <f t="shared" ca="1" si="1094"/>
        <v>0</v>
      </c>
      <c r="X56" s="1319">
        <f t="shared" ca="1" si="1094"/>
        <v>0</v>
      </c>
      <c r="Y56" s="1319">
        <f t="shared" ca="1" si="1094"/>
        <v>47.594063900000002</v>
      </c>
      <c r="Z56" s="1319">
        <f t="shared" ca="1" si="1094"/>
        <v>1.9875796799999999E-5</v>
      </c>
      <c r="AA56" s="1319">
        <f t="shared" ca="1" si="1094"/>
        <v>47.594043999999997</v>
      </c>
      <c r="AB56" s="1319">
        <f t="shared" ca="1" si="1094"/>
        <v>0</v>
      </c>
      <c r="AC56" s="1319">
        <f t="shared" ca="1" si="1094"/>
        <v>8.0439114899999993E-6</v>
      </c>
      <c r="AD56" s="1319">
        <f t="shared" ref="U56:AD71" ca="1" si="1123">VLOOKUP(AD$1,INDIRECT(LU_MAT),$A56,FALSE)</f>
        <v>0</v>
      </c>
      <c r="AM56" s="1319">
        <f t="shared" ca="1" si="1095"/>
        <v>0</v>
      </c>
      <c r="AN56" s="1319">
        <f t="shared" ca="1" si="1095"/>
        <v>0</v>
      </c>
      <c r="AO56" s="1319">
        <f t="shared" ca="1" si="1096"/>
        <v>47.594043999999997</v>
      </c>
      <c r="AP56" s="1319">
        <f t="shared" ca="1" si="1096"/>
        <v>47.594043999999997</v>
      </c>
      <c r="AQ56" s="1319">
        <f t="shared" ca="1" si="1096"/>
        <v>2.2346932699999999E-6</v>
      </c>
      <c r="AR56" s="1319">
        <f t="shared" ca="1" si="1096"/>
        <v>4.9645955699999999E-11</v>
      </c>
      <c r="AS56" s="1319">
        <f t="shared" ca="1" si="1096"/>
        <v>1.9875747199999999E-5</v>
      </c>
      <c r="AT56" s="1319">
        <f t="shared" ca="1" si="1095"/>
        <v>1.1486198499999999E-12</v>
      </c>
      <c r="AU56" s="1319">
        <f t="shared" ca="1" si="1095"/>
        <v>2.2347417700000001E-6</v>
      </c>
      <c r="AV56" s="1319">
        <f t="shared" ca="1" si="1095"/>
        <v>47.594041799999999</v>
      </c>
      <c r="AW56" s="1319">
        <f t="shared" ca="1" si="1095"/>
        <v>1.1486198499999999E-12</v>
      </c>
      <c r="AX56" s="1319">
        <f t="shared" ca="1" si="1095"/>
        <v>2.2110490099999999E-5</v>
      </c>
      <c r="AY56" s="1319">
        <f t="shared" ca="1" si="1095"/>
        <v>0</v>
      </c>
      <c r="AZ56" s="1319">
        <f t="shared" ca="1" si="1095"/>
        <v>0</v>
      </c>
      <c r="BA56" s="1319">
        <f t="shared" ca="1" si="1095"/>
        <v>0</v>
      </c>
      <c r="BB56" s="1319">
        <f t="shared" ca="1" si="1095"/>
        <v>47.594041799999999</v>
      </c>
      <c r="BN56" s="1319">
        <f t="shared" ca="1" si="1097"/>
        <v>4.7594041799999998</v>
      </c>
      <c r="BO56" s="1319">
        <f t="shared" ca="1" si="1097"/>
        <v>4.7594041799999998</v>
      </c>
      <c r="BP56" s="1319">
        <f t="shared" ca="1" si="1097"/>
        <v>5.3259236E-12</v>
      </c>
      <c r="BQ56" s="1319">
        <f t="shared" ca="1" si="1097"/>
        <v>0</v>
      </c>
      <c r="BR56" s="1319">
        <f t="shared" ca="1" si="1097"/>
        <v>0</v>
      </c>
      <c r="CD56" s="1319">
        <f t="shared" ca="1" si="1098"/>
        <v>47.594041799999999</v>
      </c>
      <c r="CE56" s="1319">
        <f t="shared" ca="1" si="1098"/>
        <v>47.594041799999999</v>
      </c>
      <c r="CF56" s="1319">
        <f t="shared" ca="1" si="1098"/>
        <v>4.7594041799999998</v>
      </c>
      <c r="CG56" s="1319">
        <f t="shared" ca="1" si="1098"/>
        <v>4.7594041799999998</v>
      </c>
      <c r="CH56" s="1319">
        <f t="shared" ca="1" si="1098"/>
        <v>47.594041799999999</v>
      </c>
      <c r="CI56" s="1319">
        <f t="shared" ca="1" si="1098"/>
        <v>0</v>
      </c>
      <c r="CJ56" s="1319">
        <f t="shared" ca="1" si="1098"/>
        <v>0</v>
      </c>
      <c r="CK56" s="1319">
        <f t="shared" ca="1" si="1098"/>
        <v>47.594041799999999</v>
      </c>
      <c r="CL56" s="1319">
        <f t="shared" ca="1" si="1098"/>
        <v>5.1623436700000008E-11</v>
      </c>
      <c r="CM56" s="1319">
        <f t="shared" ca="1" si="1098"/>
        <v>0</v>
      </c>
      <c r="CN56" s="1319">
        <f t="shared" ca="1" si="1098"/>
        <v>47.594041799999999</v>
      </c>
      <c r="CO56" s="1319">
        <f t="shared" ca="1" si="1098"/>
        <v>0</v>
      </c>
      <c r="DA56" s="1319">
        <f t="shared" ca="1" si="1099"/>
        <v>0</v>
      </c>
      <c r="DB56" s="1319">
        <f t="shared" ca="1" si="1099"/>
        <v>0</v>
      </c>
      <c r="DC56" s="1319">
        <f t="shared" ca="1" si="1099"/>
        <v>0</v>
      </c>
      <c r="DD56" s="1319">
        <f t="shared" ca="1" si="1099"/>
        <v>0</v>
      </c>
      <c r="DE56" s="1319">
        <f t="shared" ca="1" si="1099"/>
        <v>0</v>
      </c>
      <c r="DF56" s="1319">
        <f t="shared" ca="1" si="1099"/>
        <v>0</v>
      </c>
      <c r="DG56" s="1319">
        <f t="shared" ca="1" si="1099"/>
        <v>0</v>
      </c>
      <c r="DH56" s="1319">
        <f t="shared" ca="1" si="1099"/>
        <v>0</v>
      </c>
      <c r="DI56" s="1319">
        <f t="shared" ca="1" si="1099"/>
        <v>0</v>
      </c>
      <c r="DJ56" s="1319">
        <f t="shared" ca="1" si="1099"/>
        <v>0</v>
      </c>
      <c r="DV56" s="1319">
        <f t="shared" ca="1" si="1100"/>
        <v>0</v>
      </c>
      <c r="DW56" s="1319">
        <f t="shared" ca="1" si="1100"/>
        <v>0</v>
      </c>
      <c r="DX56" s="1319">
        <f t="shared" ca="1" si="1100"/>
        <v>0</v>
      </c>
      <c r="DY56" s="1319">
        <f t="shared" ca="1" si="1100"/>
        <v>0</v>
      </c>
      <c r="DZ56" s="1319">
        <f t="shared" ca="1" si="1100"/>
        <v>0</v>
      </c>
      <c r="EA56" s="1319">
        <f t="shared" ca="1" si="1100"/>
        <v>0</v>
      </c>
      <c r="EB56" s="1319">
        <f t="shared" ca="1" si="1100"/>
        <v>0</v>
      </c>
      <c r="EC56" s="1319">
        <f t="shared" ca="1" si="1100"/>
        <v>0</v>
      </c>
      <c r="ED56" s="1319">
        <f t="shared" ca="1" si="1100"/>
        <v>0</v>
      </c>
      <c r="EE56" s="1319">
        <f t="shared" ca="1" si="1100"/>
        <v>0</v>
      </c>
      <c r="EF56" s="1319">
        <f t="shared" ca="1" si="1100"/>
        <v>0</v>
      </c>
      <c r="EG56" s="1319">
        <f t="shared" ca="1" si="1100"/>
        <v>0</v>
      </c>
      <c r="EH56" s="1319">
        <f t="shared" ca="1" si="1100"/>
        <v>0</v>
      </c>
      <c r="EI56" s="1319">
        <f t="shared" ca="1" si="1100"/>
        <v>0</v>
      </c>
      <c r="EJ56" s="1319">
        <f t="shared" ca="1" si="1101"/>
        <v>0</v>
      </c>
      <c r="EK56" s="1319">
        <f t="shared" ref="EK56" ca="1" si="1124">VLOOKUP(EK$1,INDIRECT(LU_MAT),$A56,FALSE)</f>
        <v>0</v>
      </c>
      <c r="EW56" s="1319">
        <f t="shared" ca="1" si="1102"/>
        <v>47.594041799999999</v>
      </c>
      <c r="EX56" s="1319">
        <f t="shared" ca="1" si="1102"/>
        <v>47.594041799999999</v>
      </c>
      <c r="EY56" s="1319">
        <f t="shared" ca="1" si="1102"/>
        <v>47.594033699999997</v>
      </c>
      <c r="EZ56" s="1319">
        <f t="shared" ca="1" si="1102"/>
        <v>47.594033699999997</v>
      </c>
      <c r="FA56" s="1319">
        <f t="shared" ca="1" si="1102"/>
        <v>5.0263370600000005E-17</v>
      </c>
      <c r="FB56" s="1319">
        <f t="shared" ca="1" si="1102"/>
        <v>8.04391145E-6</v>
      </c>
      <c r="FN56" s="1319">
        <f t="shared" ca="1" si="1103"/>
        <v>5.3259236E-12</v>
      </c>
      <c r="FO56" s="1319">
        <f t="shared" ca="1" si="1103"/>
        <v>5.1623436700000008E-11</v>
      </c>
      <c r="FP56" s="1319">
        <f t="shared" ca="1" si="1103"/>
        <v>5.0263370600000005E-17</v>
      </c>
      <c r="FQ56" s="1319">
        <f t="shared" ca="1" si="1103"/>
        <v>8.04391145E-6</v>
      </c>
      <c r="FR56" s="1319">
        <f t="shared" ca="1" si="1103"/>
        <v>0</v>
      </c>
      <c r="FS56" s="1319">
        <f t="shared" ca="1" si="1103"/>
        <v>8.0439114899999993E-6</v>
      </c>
      <c r="FT56" s="1319">
        <f t="shared" ca="1" si="1103"/>
        <v>0</v>
      </c>
      <c r="FU56" s="1319">
        <f t="shared" ca="1" si="1103"/>
        <v>5.6949410599999997E-11</v>
      </c>
      <c r="FV56" s="1319">
        <f t="shared" ca="1" si="1103"/>
        <v>0</v>
      </c>
      <c r="FW56" s="1319">
        <f t="shared" ca="1" si="1103"/>
        <v>0</v>
      </c>
      <c r="FX56" s="1319">
        <f t="shared" ca="1" si="1103"/>
        <v>0</v>
      </c>
      <c r="GJ56" s="1319">
        <f t="shared" ca="1" si="1104"/>
        <v>0</v>
      </c>
      <c r="GK56" s="1319">
        <f t="shared" ca="1" si="1104"/>
        <v>0</v>
      </c>
      <c r="GL56" s="1319">
        <f t="shared" ca="1" si="1104"/>
        <v>0</v>
      </c>
      <c r="GM56" s="1319">
        <f t="shared" ca="1" si="1104"/>
        <v>0</v>
      </c>
      <c r="GN56" s="1319">
        <f t="shared" ca="1" si="1104"/>
        <v>0</v>
      </c>
      <c r="GO56" s="1319">
        <f t="shared" ca="1" si="1104"/>
        <v>0</v>
      </c>
      <c r="GP56" s="1319">
        <f t="shared" ca="1" si="1104"/>
        <v>0</v>
      </c>
      <c r="GQ56" s="1319">
        <f t="shared" ca="1" si="1104"/>
        <v>0</v>
      </c>
      <c r="HC56" s="1319">
        <f t="shared" ca="1" si="1105"/>
        <v>47.594033699999997</v>
      </c>
      <c r="HD56" s="1319">
        <f t="shared" ca="1" si="1105"/>
        <v>45.822032800000002</v>
      </c>
      <c r="HE56" s="1319">
        <f t="shared" ca="1" si="1105"/>
        <v>0</v>
      </c>
      <c r="HF56" s="1319">
        <f t="shared" ca="1" si="1105"/>
        <v>3.7182178400000001E-10</v>
      </c>
      <c r="HG56" s="1319">
        <f t="shared" ca="1" si="1105"/>
        <v>1.7720009199999998</v>
      </c>
      <c r="HH56" s="1319">
        <f t="shared" ca="1" si="1105"/>
        <v>45.822032800000002</v>
      </c>
      <c r="HT56" s="1319">
        <f t="shared" ca="1" si="1106"/>
        <v>2.2110490099999999E-5</v>
      </c>
      <c r="HU56" s="1319">
        <f t="shared" ca="1" si="1106"/>
        <v>45.822032800000002</v>
      </c>
      <c r="HV56" s="1319">
        <f t="shared" ca="1" si="1106"/>
        <v>45.822054899999998</v>
      </c>
      <c r="HW56" s="1319">
        <f t="shared" ca="1" si="1106"/>
        <v>45.822054899999998</v>
      </c>
      <c r="HX56" s="1319">
        <f t="shared" ca="1" si="1106"/>
        <v>3.8325422299999996</v>
      </c>
      <c r="HY56" s="1319">
        <f t="shared" ca="1" si="1106"/>
        <v>0.29144271700000002</v>
      </c>
      <c r="HZ56" s="1319">
        <f t="shared" ca="1" si="1106"/>
        <v>1.8515809199999999E-11</v>
      </c>
      <c r="IA56" s="1319">
        <f t="shared" ca="1" si="1106"/>
        <v>5.6525556499999998E-12</v>
      </c>
      <c r="IB56" s="1319">
        <f t="shared" ca="1" si="1106"/>
        <v>0</v>
      </c>
      <c r="IC56" s="1319">
        <f t="shared" ca="1" si="1106"/>
        <v>0</v>
      </c>
      <c r="ID56" s="1319">
        <f t="shared" ca="1" si="1106"/>
        <v>0</v>
      </c>
      <c r="IE56" s="1319">
        <f t="shared" ca="1" si="1106"/>
        <v>0</v>
      </c>
      <c r="IQ56" s="1319">
        <f t="shared" ca="1" si="1107"/>
        <v>3.8325422299999996</v>
      </c>
      <c r="IR56" s="1319">
        <f t="shared" ca="1" si="1107"/>
        <v>0.29144271700000002</v>
      </c>
      <c r="IS56" s="1319">
        <f t="shared" ca="1" si="1107"/>
        <v>4.6743274600000002E-2</v>
      </c>
      <c r="IT56" s="1319">
        <f t="shared" ca="1" si="1107"/>
        <v>0.33818599100000002</v>
      </c>
      <c r="IU56" s="1319">
        <f t="shared" ca="1" si="1108"/>
        <v>0.31562781099999998</v>
      </c>
      <c r="IV56" s="1319">
        <f t="shared" ca="1" si="1107"/>
        <v>1.37020224</v>
      </c>
      <c r="IW56" s="1319">
        <f t="shared" ca="1" si="1107"/>
        <v>1.1218385900000001</v>
      </c>
      <c r="IX56" s="1319">
        <f t="shared" ca="1" si="1109"/>
        <v>1.1094469900000001E-12</v>
      </c>
      <c r="IY56" s="1319">
        <f t="shared" ca="1" si="1107"/>
        <v>2.2558180600000002E-2</v>
      </c>
      <c r="IZ56" s="1319">
        <f t="shared" ca="1" si="1107"/>
        <v>0.20162037699999999</v>
      </c>
      <c r="JA56" s="1319">
        <f t="shared" ca="1" si="1107"/>
        <v>1.1685818699999999</v>
      </c>
      <c r="JB56" s="1319">
        <f t="shared" ca="1" si="1107"/>
        <v>0</v>
      </c>
      <c r="JC56" s="1319">
        <f t="shared" ca="1" si="1107"/>
        <v>0.20162037699999999</v>
      </c>
      <c r="JD56" s="1319">
        <f t="shared" ca="1" si="1107"/>
        <v>0</v>
      </c>
      <c r="JE56" s="1319">
        <f t="shared" ca="1" si="1107"/>
        <v>0.20162037699999999</v>
      </c>
      <c r="JF56" s="1319">
        <f t="shared" ca="1" si="1107"/>
        <v>0</v>
      </c>
      <c r="JG56" s="1319">
        <f t="shared" ca="1" si="1107"/>
        <v>0</v>
      </c>
      <c r="JH56" s="1319">
        <f t="shared" ref="JH56" ca="1" si="1125">VLOOKUP(JH$1,INDIRECT(LU_MAT),$A56,FALSE)</f>
        <v>5.6525556499999998E-12</v>
      </c>
      <c r="JT56" s="1319">
        <f t="shared" ca="1" si="1110"/>
        <v>0</v>
      </c>
      <c r="JU56" s="1319">
        <f t="shared" ca="1" si="1110"/>
        <v>0</v>
      </c>
      <c r="JV56" s="1319">
        <f t="shared" ca="1" si="1110"/>
        <v>0</v>
      </c>
      <c r="JW56" s="1319">
        <f t="shared" ca="1" si="1110"/>
        <v>0</v>
      </c>
      <c r="JX56" s="1319">
        <f t="shared" ca="1" si="1110"/>
        <v>0</v>
      </c>
      <c r="JY56" s="1319">
        <f t="shared" ca="1" si="1110"/>
        <v>0</v>
      </c>
      <c r="JZ56" s="1319">
        <f t="shared" ca="1" si="1110"/>
        <v>0</v>
      </c>
      <c r="KA56" s="1319">
        <f t="shared" ca="1" si="1110"/>
        <v>0</v>
      </c>
      <c r="KB56" s="1319">
        <f t="shared" ca="1" si="1110"/>
        <v>0</v>
      </c>
      <c r="KC56" s="1319">
        <f t="shared" ca="1" si="1110"/>
        <v>0</v>
      </c>
      <c r="KL56" s="1319">
        <f t="shared" ca="1" si="1111"/>
        <v>0</v>
      </c>
      <c r="KM56" s="1319">
        <f t="shared" ca="1" si="1111"/>
        <v>0</v>
      </c>
      <c r="KN56" s="1319">
        <f t="shared" ca="1" si="1111"/>
        <v>0</v>
      </c>
      <c r="KO56" s="1319">
        <f t="shared" ca="1" si="1111"/>
        <v>0</v>
      </c>
      <c r="KP56" s="1319">
        <f t="shared" ca="1" si="1111"/>
        <v>0</v>
      </c>
      <c r="KQ56" s="1319">
        <f t="shared" ca="1" si="1111"/>
        <v>0</v>
      </c>
      <c r="KR56" s="1319">
        <f t="shared" ca="1" si="1111"/>
        <v>0</v>
      </c>
      <c r="LA56" s="1319">
        <f t="shared" ca="1" si="1112"/>
        <v>3.7182178400000001E-10</v>
      </c>
      <c r="LB56" s="1319">
        <f t="shared" ca="1" si="1112"/>
        <v>1.8515809199999999E-11</v>
      </c>
      <c r="LC56" s="1319">
        <f t="shared" ca="1" si="1112"/>
        <v>3.9033759300000002E-10</v>
      </c>
      <c r="LD56" s="1319">
        <f t="shared" ca="1" si="1112"/>
        <v>3.9033759300000002E-10</v>
      </c>
      <c r="LE56" s="1319">
        <f t="shared" ca="1" si="1112"/>
        <v>0</v>
      </c>
      <c r="LF56" s="1319">
        <f t="shared" ca="1" si="1112"/>
        <v>0</v>
      </c>
      <c r="LG56" s="1319">
        <f t="shared" ca="1" si="1112"/>
        <v>0</v>
      </c>
      <c r="LH56" s="1319">
        <f t="shared" ca="1" si="1112"/>
        <v>0</v>
      </c>
      <c r="LI56" s="1319">
        <f t="shared" ca="1" si="1112"/>
        <v>0</v>
      </c>
      <c r="LJ56" s="1319">
        <f t="shared" ca="1" si="1112"/>
        <v>0</v>
      </c>
      <c r="LK56" s="1319">
        <f t="shared" ca="1" si="1112"/>
        <v>0</v>
      </c>
      <c r="LW56" s="1319">
        <f t="shared" ca="1" si="1113"/>
        <v>0</v>
      </c>
      <c r="LX56" s="1319">
        <f t="shared" ca="1" si="1114"/>
        <v>0</v>
      </c>
      <c r="LY56" s="1319">
        <f t="shared" ca="1" si="1114"/>
        <v>1.7720009199999998</v>
      </c>
      <c r="LZ56" s="1319">
        <f t="shared" ca="1" si="1114"/>
        <v>2.2558180600000002E-2</v>
      </c>
      <c r="MA56" s="1319">
        <f t="shared" ca="1" si="1114"/>
        <v>1.7945591000000001</v>
      </c>
      <c r="MB56" s="1319">
        <f t="shared" ca="1" si="1114"/>
        <v>3.9033759300000002E-10</v>
      </c>
      <c r="MC56" s="1319">
        <f t="shared" ca="1" si="1114"/>
        <v>0</v>
      </c>
      <c r="MD56" s="1319">
        <f t="shared" ca="1" si="1114"/>
        <v>0</v>
      </c>
      <c r="ME56" s="1319">
        <f t="shared" ca="1" si="1114"/>
        <v>0</v>
      </c>
      <c r="MF56" s="1319">
        <f t="shared" ca="1" si="1114"/>
        <v>0</v>
      </c>
      <c r="MG56" s="1319">
        <f t="shared" ca="1" si="1114"/>
        <v>0</v>
      </c>
      <c r="MH56" s="1319">
        <f t="shared" ca="1" si="1115"/>
        <v>0</v>
      </c>
      <c r="MI56" s="1319">
        <f t="shared" ca="1" si="1115"/>
        <v>0</v>
      </c>
      <c r="MJ56" s="1319">
        <f t="shared" ca="1" si="1114"/>
        <v>0</v>
      </c>
      <c r="MK56" s="1319">
        <f t="shared" ca="1" si="1114"/>
        <v>0</v>
      </c>
      <c r="ML56" s="1319">
        <f t="shared" ca="1" si="1114"/>
        <v>0</v>
      </c>
      <c r="MM56" s="1319">
        <f t="shared" ca="1" si="1114"/>
        <v>0</v>
      </c>
      <c r="MN56" s="1319">
        <f t="shared" ca="1" si="1114"/>
        <v>0</v>
      </c>
      <c r="MO56" s="1319">
        <f t="shared" ref="MO56" ca="1" si="1126">VLOOKUP(MO$1,INDIRECT(LU_MAT),$A56,FALSE)</f>
        <v>0</v>
      </c>
      <c r="NA56" s="1319">
        <f t="shared" ca="1" si="1116"/>
        <v>1.9875796799999999E-5</v>
      </c>
      <c r="NB56" s="1319">
        <f t="shared" ca="1" si="1116"/>
        <v>4.9645955699999999E-11</v>
      </c>
      <c r="NC56" s="1319">
        <f t="shared" ca="1" si="1116"/>
        <v>1.9875747199999999E-5</v>
      </c>
      <c r="ND56" s="1319">
        <f t="shared" ca="1" si="1116"/>
        <v>0</v>
      </c>
      <c r="NE56" s="1319">
        <f t="shared" ca="1" si="1116"/>
        <v>0</v>
      </c>
      <c r="NF56" s="1319">
        <f t="shared" ca="1" si="1116"/>
        <v>0</v>
      </c>
      <c r="NG56" s="1319">
        <f t="shared" ca="1" si="1116"/>
        <v>0</v>
      </c>
      <c r="NH56" s="1319">
        <f t="shared" ca="1" si="1116"/>
        <v>0</v>
      </c>
      <c r="NI56" s="1319">
        <f t="shared" ca="1" si="1116"/>
        <v>0</v>
      </c>
      <c r="NJ56" s="1319">
        <f t="shared" ca="1" si="1116"/>
        <v>0</v>
      </c>
      <c r="NK56" s="1319">
        <f t="shared" ca="1" si="1116"/>
        <v>0</v>
      </c>
      <c r="NL56" s="1319">
        <f t="shared" ca="1" si="1116"/>
        <v>0</v>
      </c>
      <c r="NM56" s="1319">
        <f t="shared" ca="1" si="1116"/>
        <v>0</v>
      </c>
      <c r="NN56" s="1319">
        <f t="shared" ca="1" si="1116"/>
        <v>0</v>
      </c>
      <c r="NO56" s="1319">
        <f t="shared" ca="1" si="1116"/>
        <v>0</v>
      </c>
      <c r="NP56" s="1319">
        <f t="shared" ref="NP56" ca="1" si="1127">VLOOKUP(NP$1,INDIRECT(LU_MAT),$A56,FALSE)</f>
        <v>0</v>
      </c>
      <c r="OH56" s="1319">
        <f t="shared" ca="1" si="1117"/>
        <v>0</v>
      </c>
      <c r="OI56" s="1319">
        <f t="shared" ca="1" si="1117"/>
        <v>0</v>
      </c>
      <c r="OJ56" s="1319">
        <f t="shared" ca="1" si="1117"/>
        <v>0</v>
      </c>
      <c r="OK56" s="1319">
        <f t="shared" ca="1" si="1117"/>
        <v>0</v>
      </c>
      <c r="OL56" s="1319">
        <f t="shared" ca="1" si="1117"/>
        <v>0</v>
      </c>
      <c r="OM56" s="1319">
        <f t="shared" ca="1" si="1117"/>
        <v>0</v>
      </c>
      <c r="ON56" s="1319">
        <f t="shared" ca="1" si="1117"/>
        <v>0</v>
      </c>
      <c r="OO56" s="1319">
        <f t="shared" ca="1" si="1117"/>
        <v>0</v>
      </c>
      <c r="PA56" s="1319">
        <f t="shared" ca="1" si="1118"/>
        <v>0</v>
      </c>
      <c r="PB56" s="1319">
        <f t="shared" ca="1" si="1118"/>
        <v>0</v>
      </c>
      <c r="PC56" s="1319">
        <f t="shared" ca="1" si="1118"/>
        <v>0</v>
      </c>
      <c r="PD56" s="1319">
        <f t="shared" ca="1" si="1118"/>
        <v>0</v>
      </c>
      <c r="PE56" s="1319">
        <f t="shared" ca="1" si="1118"/>
        <v>0</v>
      </c>
      <c r="PF56" s="1319">
        <f t="shared" ca="1" si="1118"/>
        <v>0</v>
      </c>
      <c r="PG56" s="1319">
        <f t="shared" ca="1" si="1118"/>
        <v>0</v>
      </c>
      <c r="PH56" s="1319">
        <f t="shared" ca="1" si="1118"/>
        <v>0</v>
      </c>
      <c r="PI56" s="1319">
        <f t="shared" ca="1" si="1118"/>
        <v>0</v>
      </c>
      <c r="PJ56" s="1319">
        <f t="shared" ca="1" si="1118"/>
        <v>0</v>
      </c>
      <c r="PK56" s="1319">
        <f t="shared" ca="1" si="1118"/>
        <v>0</v>
      </c>
      <c r="PW56" s="1319">
        <f t="shared" ca="1" si="1119"/>
        <v>0</v>
      </c>
      <c r="PX56" s="1319">
        <f t="shared" ca="1" si="1119"/>
        <v>0</v>
      </c>
      <c r="PY56" s="1319">
        <f t="shared" ca="1" si="1119"/>
        <v>0</v>
      </c>
      <c r="PZ56" s="1319">
        <f t="shared" ca="1" si="1119"/>
        <v>0</v>
      </c>
    </row>
    <row r="57" spans="1:442" x14ac:dyDescent="0.25">
      <c r="A57" s="189">
        <v>18</v>
      </c>
      <c r="B57" s="189" t="s">
        <v>1256</v>
      </c>
      <c r="C57" s="1317" t="s">
        <v>1281</v>
      </c>
      <c r="D57" s="1317" t="s">
        <v>206</v>
      </c>
      <c r="J57" s="1319">
        <f t="shared" ca="1" si="1093"/>
        <v>12208.3333</v>
      </c>
      <c r="K57" s="1319">
        <f t="shared" ca="1" si="1122"/>
        <v>12208.3333</v>
      </c>
      <c r="T57" s="1319">
        <f t="shared" ca="1" si="1094"/>
        <v>12208.3333</v>
      </c>
      <c r="U57" s="1319">
        <f t="shared" ca="1" si="1123"/>
        <v>0</v>
      </c>
      <c r="V57" s="1319">
        <f t="shared" ca="1" si="1123"/>
        <v>9.2916494799999994E-5</v>
      </c>
      <c r="W57" s="1319">
        <f t="shared" ca="1" si="1123"/>
        <v>0</v>
      </c>
      <c r="X57" s="1319">
        <f t="shared" ca="1" si="1123"/>
        <v>0</v>
      </c>
      <c r="Y57" s="1319">
        <f t="shared" ca="1" si="1123"/>
        <v>12208.3334</v>
      </c>
      <c r="Z57" s="1319">
        <f t="shared" ca="1" si="1123"/>
        <v>3.3788520100000002E-4</v>
      </c>
      <c r="AA57" s="1319">
        <f t="shared" ca="1" si="1123"/>
        <v>12208.3331</v>
      </c>
      <c r="AB57" s="1319">
        <f t="shared" ca="1" si="1123"/>
        <v>0</v>
      </c>
      <c r="AC57" s="1319">
        <f t="shared" ca="1" si="1123"/>
        <v>9.2916494799999994E-5</v>
      </c>
      <c r="AD57" s="1319">
        <f t="shared" ca="1" si="1123"/>
        <v>0</v>
      </c>
      <c r="AM57" s="1319">
        <f t="shared" ca="1" si="1095"/>
        <v>0</v>
      </c>
      <c r="AN57" s="1319">
        <f t="shared" ca="1" si="1095"/>
        <v>0</v>
      </c>
      <c r="AO57" s="1319">
        <f t="shared" ref="AO57:AS64" ca="1" si="1128">VLOOKUP(AO$1,INDIRECT(LU_MAT),$A57,FALSE)</f>
        <v>12208.3331</v>
      </c>
      <c r="AP57" s="1319">
        <f t="shared" ca="1" si="1128"/>
        <v>12208.3331</v>
      </c>
      <c r="AQ57" s="1319">
        <f t="shared" ca="1" si="1128"/>
        <v>1.7603660100000001E-5</v>
      </c>
      <c r="AR57" s="1319">
        <f t="shared" ca="1" si="1128"/>
        <v>2.4837330000000002E-11</v>
      </c>
      <c r="AS57" s="1319">
        <f t="shared" ca="1" si="1128"/>
        <v>3.3788517600000001E-4</v>
      </c>
      <c r="AT57" s="1319">
        <f t="shared" ca="1" si="1095"/>
        <v>2.6598376299999998E-13</v>
      </c>
      <c r="AU57" s="1319">
        <f t="shared" ca="1" si="1095"/>
        <v>1.76036847E-5</v>
      </c>
      <c r="AV57" s="1319">
        <f t="shared" ca="1" si="1095"/>
        <v>12208.3331</v>
      </c>
      <c r="AW57" s="1319">
        <f t="shared" ca="1" si="1095"/>
        <v>2.6598376299999998E-13</v>
      </c>
      <c r="AX57" s="1319">
        <f t="shared" ca="1" si="1095"/>
        <v>3.5548886100000002E-4</v>
      </c>
      <c r="AY57" s="1319">
        <f t="shared" ca="1" si="1095"/>
        <v>0</v>
      </c>
      <c r="AZ57" s="1319">
        <f t="shared" ca="1" si="1095"/>
        <v>0</v>
      </c>
      <c r="BA57" s="1319">
        <f t="shared" ca="1" si="1095"/>
        <v>0</v>
      </c>
      <c r="BB57" s="1319">
        <f t="shared" ca="1" si="1095"/>
        <v>12208.3331</v>
      </c>
      <c r="BN57" s="1319">
        <f t="shared" ref="BN57:BR72" ca="1" si="1129">VLOOKUP(BN$1,INDIRECT(LU_MAT),$A57,FALSE)</f>
        <v>1220.83331</v>
      </c>
      <c r="BO57" s="1319">
        <f t="shared" ca="1" si="1129"/>
        <v>1220.83331</v>
      </c>
      <c r="BP57" s="1319">
        <f t="shared" ca="1" si="1129"/>
        <v>7.4559331100000004E-12</v>
      </c>
      <c r="BQ57" s="1319">
        <f t="shared" ca="1" si="1129"/>
        <v>0</v>
      </c>
      <c r="BR57" s="1319">
        <f t="shared" ca="1" si="1129"/>
        <v>0</v>
      </c>
      <c r="CD57" s="1319">
        <f t="shared" ref="CD57:CO72" ca="1" si="1130">VLOOKUP(CD$1,INDIRECT(LU_MAT),$A57,FALSE)</f>
        <v>12208.3331</v>
      </c>
      <c r="CE57" s="1319">
        <f t="shared" ca="1" si="1130"/>
        <v>12208.3331</v>
      </c>
      <c r="CF57" s="1319">
        <f t="shared" ca="1" si="1130"/>
        <v>1220.83331</v>
      </c>
      <c r="CG57" s="1319">
        <f t="shared" ca="1" si="1130"/>
        <v>1220.83331</v>
      </c>
      <c r="CH57" s="1319">
        <f t="shared" ca="1" si="1130"/>
        <v>12208.3331</v>
      </c>
      <c r="CI57" s="1319">
        <f t="shared" ca="1" si="1130"/>
        <v>0</v>
      </c>
      <c r="CJ57" s="1319">
        <f t="shared" ca="1" si="1130"/>
        <v>0</v>
      </c>
      <c r="CK57" s="1319">
        <f t="shared" ca="1" si="1130"/>
        <v>12208.3331</v>
      </c>
      <c r="CL57" s="1319">
        <f t="shared" ca="1" si="1130"/>
        <v>7.22693227E-11</v>
      </c>
      <c r="CM57" s="1319">
        <f t="shared" ca="1" si="1130"/>
        <v>0</v>
      </c>
      <c r="CN57" s="1319">
        <f t="shared" ca="1" si="1130"/>
        <v>12208.3331</v>
      </c>
      <c r="CO57" s="1319">
        <f t="shared" ca="1" si="1130"/>
        <v>0</v>
      </c>
      <c r="DA57" s="1319">
        <f t="shared" ref="DA57:DJ72" ca="1" si="1131">VLOOKUP(DA$1,INDIRECT(LU_MAT),$A57,FALSE)</f>
        <v>0</v>
      </c>
      <c r="DB57" s="1319">
        <f t="shared" ca="1" si="1131"/>
        <v>0</v>
      </c>
      <c r="DC57" s="1319">
        <f t="shared" ca="1" si="1131"/>
        <v>0</v>
      </c>
      <c r="DD57" s="1319">
        <f t="shared" ca="1" si="1131"/>
        <v>0</v>
      </c>
      <c r="DE57" s="1319">
        <f t="shared" ca="1" si="1131"/>
        <v>0</v>
      </c>
      <c r="DF57" s="1319">
        <f t="shared" ca="1" si="1131"/>
        <v>0</v>
      </c>
      <c r="DG57" s="1319">
        <f t="shared" ca="1" si="1131"/>
        <v>0</v>
      </c>
      <c r="DH57" s="1319">
        <f t="shared" ca="1" si="1131"/>
        <v>0</v>
      </c>
      <c r="DI57" s="1319">
        <f t="shared" ca="1" si="1131"/>
        <v>0</v>
      </c>
      <c r="DJ57" s="1319">
        <f t="shared" ca="1" si="1131"/>
        <v>0</v>
      </c>
      <c r="DV57" s="1319">
        <f t="shared" ref="DV57:EK72" ca="1" si="1132">VLOOKUP(DV$1,INDIRECT(LU_MAT),$A57,FALSE)</f>
        <v>0</v>
      </c>
      <c r="DW57" s="1319">
        <f t="shared" ca="1" si="1132"/>
        <v>0</v>
      </c>
      <c r="DX57" s="1319">
        <f t="shared" ca="1" si="1132"/>
        <v>0</v>
      </c>
      <c r="DY57" s="1319">
        <f t="shared" ca="1" si="1132"/>
        <v>0</v>
      </c>
      <c r="DZ57" s="1319">
        <f t="shared" ca="1" si="1132"/>
        <v>0</v>
      </c>
      <c r="EA57" s="1319">
        <f t="shared" ca="1" si="1132"/>
        <v>0</v>
      </c>
      <c r="EB57" s="1319">
        <f t="shared" ca="1" si="1132"/>
        <v>0</v>
      </c>
      <c r="EC57" s="1319">
        <f t="shared" ca="1" si="1132"/>
        <v>0</v>
      </c>
      <c r="ED57" s="1319">
        <f t="shared" ca="1" si="1132"/>
        <v>0</v>
      </c>
      <c r="EE57" s="1319">
        <f t="shared" ca="1" si="1132"/>
        <v>0</v>
      </c>
      <c r="EF57" s="1319">
        <f t="shared" ca="1" si="1132"/>
        <v>0</v>
      </c>
      <c r="EG57" s="1319">
        <f t="shared" ca="1" si="1132"/>
        <v>0</v>
      </c>
      <c r="EH57" s="1319">
        <f t="shared" ca="1" si="1132"/>
        <v>0</v>
      </c>
      <c r="EI57" s="1319">
        <f t="shared" ca="1" si="1132"/>
        <v>0</v>
      </c>
      <c r="EJ57" s="1319">
        <f t="shared" ca="1" si="1101"/>
        <v>0</v>
      </c>
      <c r="EK57" s="1319">
        <f t="shared" ca="1" si="1132"/>
        <v>0</v>
      </c>
      <c r="EW57" s="1319">
        <f t="shared" ref="EW57:FB72" ca="1" si="1133">VLOOKUP(EW$1,INDIRECT(LU_MAT),$A57,FALSE)</f>
        <v>12208.3331</v>
      </c>
      <c r="EX57" s="1319">
        <f t="shared" ca="1" si="1133"/>
        <v>12208.3331</v>
      </c>
      <c r="EY57" s="1319">
        <f t="shared" ca="1" si="1133"/>
        <v>12208.333000000001</v>
      </c>
      <c r="EZ57" s="1319">
        <f t="shared" ca="1" si="1133"/>
        <v>12208.333000000001</v>
      </c>
      <c r="FA57" s="1319">
        <f t="shared" ca="1" si="1133"/>
        <v>5.4435698899999998E-18</v>
      </c>
      <c r="FB57" s="1319">
        <f t="shared" ca="1" si="1133"/>
        <v>9.2916494400000001E-5</v>
      </c>
      <c r="FN57" s="1319">
        <f t="shared" ref="FN57:FX72" ca="1" si="1134">VLOOKUP(FN$1,INDIRECT(LU_MAT),$A57,FALSE)</f>
        <v>7.4559331100000004E-12</v>
      </c>
      <c r="FO57" s="1319">
        <f t="shared" ca="1" si="1134"/>
        <v>7.22693227E-11</v>
      </c>
      <c r="FP57" s="1319">
        <f t="shared" ca="1" si="1134"/>
        <v>5.4435698899999998E-18</v>
      </c>
      <c r="FQ57" s="1319">
        <f t="shared" ca="1" si="1134"/>
        <v>9.2916494400000001E-5</v>
      </c>
      <c r="FR57" s="1319">
        <f t="shared" ca="1" si="1134"/>
        <v>0</v>
      </c>
      <c r="FS57" s="1319">
        <f t="shared" ca="1" si="1134"/>
        <v>9.2916494799999994E-5</v>
      </c>
      <c r="FT57" s="1319">
        <f t="shared" ca="1" si="1134"/>
        <v>0</v>
      </c>
      <c r="FU57" s="1319">
        <f t="shared" ca="1" si="1134"/>
        <v>7.9725261299999994E-11</v>
      </c>
      <c r="FV57" s="1319">
        <f t="shared" ca="1" si="1134"/>
        <v>0</v>
      </c>
      <c r="FW57" s="1319">
        <f t="shared" ca="1" si="1134"/>
        <v>0</v>
      </c>
      <c r="FX57" s="1319">
        <f t="shared" ca="1" si="1134"/>
        <v>0</v>
      </c>
      <c r="GJ57" s="1319">
        <f t="shared" ref="GJ57:GQ72" ca="1" si="1135">VLOOKUP(GJ$1,INDIRECT(LU_MAT),$A57,FALSE)</f>
        <v>0</v>
      </c>
      <c r="GK57" s="1319">
        <f t="shared" ca="1" si="1135"/>
        <v>0</v>
      </c>
      <c r="GL57" s="1319">
        <f t="shared" ca="1" si="1135"/>
        <v>0</v>
      </c>
      <c r="GM57" s="1319">
        <f t="shared" ca="1" si="1135"/>
        <v>0</v>
      </c>
      <c r="GN57" s="1319">
        <f t="shared" ca="1" si="1135"/>
        <v>0</v>
      </c>
      <c r="GO57" s="1319">
        <f t="shared" ca="1" si="1135"/>
        <v>0</v>
      </c>
      <c r="GP57" s="1319">
        <f t="shared" ca="1" si="1135"/>
        <v>0</v>
      </c>
      <c r="GQ57" s="1319">
        <f t="shared" ca="1" si="1135"/>
        <v>0</v>
      </c>
      <c r="HC57" s="1319">
        <f t="shared" ref="HC57:HH72" ca="1" si="1136">VLOOKUP(HC$1,INDIRECT(LU_MAT),$A57,FALSE)</f>
        <v>12208.333000000001</v>
      </c>
      <c r="HD57" s="1319">
        <f t="shared" ca="1" si="1136"/>
        <v>11753.797500000001</v>
      </c>
      <c r="HE57" s="1319">
        <f t="shared" ca="1" si="1136"/>
        <v>0</v>
      </c>
      <c r="HF57" s="1319">
        <f t="shared" ca="1" si="1136"/>
        <v>8.9102014100000014E-10</v>
      </c>
      <c r="HG57" s="1319">
        <f t="shared" ca="1" si="1136"/>
        <v>454.53548699999999</v>
      </c>
      <c r="HH57" s="1319">
        <f t="shared" ca="1" si="1136"/>
        <v>11753.797500000001</v>
      </c>
      <c r="HT57" s="1319">
        <f t="shared" ref="HT57:IE72" ca="1" si="1137">VLOOKUP(HT$1,INDIRECT(LU_MAT),$A57,FALSE)</f>
        <v>3.5548886100000002E-4</v>
      </c>
      <c r="HU57" s="1319">
        <f t="shared" ca="1" si="1137"/>
        <v>11753.797500000001</v>
      </c>
      <c r="HV57" s="1319">
        <f t="shared" ca="1" si="1137"/>
        <v>11753.7978</v>
      </c>
      <c r="HW57" s="1319">
        <f t="shared" ca="1" si="1137"/>
        <v>11753.7978</v>
      </c>
      <c r="HX57" s="1319">
        <f t="shared" ca="1" si="1137"/>
        <v>983.08394599999997</v>
      </c>
      <c r="HY57" s="1319">
        <f t="shared" ca="1" si="1137"/>
        <v>74.757860199999996</v>
      </c>
      <c r="HZ57" s="1319">
        <f t="shared" ca="1" si="1137"/>
        <v>2.3027498E-11</v>
      </c>
      <c r="IA57" s="1319">
        <f t="shared" ca="1" si="1137"/>
        <v>3.7428308299999996E-12</v>
      </c>
      <c r="IB57" s="1319">
        <f t="shared" ca="1" si="1137"/>
        <v>0</v>
      </c>
      <c r="IC57" s="1319">
        <f t="shared" ca="1" si="1137"/>
        <v>0</v>
      </c>
      <c r="ID57" s="1319">
        <f t="shared" ca="1" si="1137"/>
        <v>0</v>
      </c>
      <c r="IE57" s="1319">
        <f t="shared" ca="1" si="1137"/>
        <v>0</v>
      </c>
      <c r="IQ57" s="1319">
        <f t="shared" ref="IQ57:JH72" ca="1" si="1138">VLOOKUP(IQ$1,INDIRECT(LU_MAT),$A57,FALSE)</f>
        <v>983.08394599999997</v>
      </c>
      <c r="IR57" s="1319">
        <f t="shared" ca="1" si="1138"/>
        <v>74.757860199999996</v>
      </c>
      <c r="IS57" s="1319">
        <f t="shared" ca="1" si="1138"/>
        <v>1.4872924199999999</v>
      </c>
      <c r="IT57" s="1319">
        <f t="shared" ca="1" si="1138"/>
        <v>76.245152599999997</v>
      </c>
      <c r="IU57" s="1319">
        <f t="shared" ca="1" si="1108"/>
        <v>71.159335999999996</v>
      </c>
      <c r="IV57" s="1319">
        <f t="shared" ca="1" si="1138"/>
        <v>43.597532000000001</v>
      </c>
      <c r="IW57" s="1319">
        <f t="shared" ca="1" si="1138"/>
        <v>35.695018099999999</v>
      </c>
      <c r="IX57" s="1319">
        <f t="shared" ca="1" si="1109"/>
        <v>1.6402956400000001E-13</v>
      </c>
      <c r="IY57" s="1319">
        <f t="shared" ca="1" si="1138"/>
        <v>5.0858165900000003</v>
      </c>
      <c r="IZ57" s="1319">
        <f t="shared" ca="1" si="1138"/>
        <v>6.4152214699999996</v>
      </c>
      <c r="JA57" s="1319">
        <f t="shared" ca="1" si="1138"/>
        <v>37.1823105</v>
      </c>
      <c r="JB57" s="1319">
        <f t="shared" ca="1" si="1138"/>
        <v>0</v>
      </c>
      <c r="JC57" s="1319">
        <f t="shared" ca="1" si="1138"/>
        <v>6.4152214699999996</v>
      </c>
      <c r="JD57" s="1319">
        <f t="shared" ca="1" si="1138"/>
        <v>0</v>
      </c>
      <c r="JE57" s="1319">
        <f t="shared" ca="1" si="1138"/>
        <v>6.4152214699999996</v>
      </c>
      <c r="JF57" s="1319">
        <f t="shared" ca="1" si="1138"/>
        <v>0</v>
      </c>
      <c r="JG57" s="1319">
        <f t="shared" ca="1" si="1138"/>
        <v>0</v>
      </c>
      <c r="JH57" s="1319">
        <f t="shared" ca="1" si="1138"/>
        <v>3.7428308299999996E-12</v>
      </c>
      <c r="JT57" s="1319">
        <f t="shared" ref="JT57:KC72" ca="1" si="1139">VLOOKUP(JT$1,INDIRECT(LU_MAT),$A57,FALSE)</f>
        <v>0</v>
      </c>
      <c r="JU57" s="1319">
        <f t="shared" ca="1" si="1139"/>
        <v>0</v>
      </c>
      <c r="JV57" s="1319">
        <f t="shared" ca="1" si="1139"/>
        <v>0</v>
      </c>
      <c r="JW57" s="1319">
        <f t="shared" ca="1" si="1139"/>
        <v>0</v>
      </c>
      <c r="JX57" s="1319">
        <f t="shared" ca="1" si="1139"/>
        <v>0</v>
      </c>
      <c r="JY57" s="1319">
        <f t="shared" ca="1" si="1139"/>
        <v>0</v>
      </c>
      <c r="JZ57" s="1319">
        <f t="shared" ca="1" si="1139"/>
        <v>0</v>
      </c>
      <c r="KA57" s="1319">
        <f t="shared" ca="1" si="1139"/>
        <v>0</v>
      </c>
      <c r="KB57" s="1319">
        <f t="shared" ca="1" si="1139"/>
        <v>0</v>
      </c>
      <c r="KC57" s="1319">
        <f t="shared" ca="1" si="1139"/>
        <v>0</v>
      </c>
      <c r="KL57" s="1319">
        <f t="shared" ref="KL57:KR72" ca="1" si="1140">VLOOKUP(KL$1,INDIRECT(LU_MAT),$A57,FALSE)</f>
        <v>0</v>
      </c>
      <c r="KM57" s="1319">
        <f t="shared" ca="1" si="1140"/>
        <v>0</v>
      </c>
      <c r="KN57" s="1319">
        <f t="shared" ca="1" si="1140"/>
        <v>0</v>
      </c>
      <c r="KO57" s="1319">
        <f t="shared" ca="1" si="1140"/>
        <v>0</v>
      </c>
      <c r="KP57" s="1319">
        <f t="shared" ca="1" si="1140"/>
        <v>0</v>
      </c>
      <c r="KQ57" s="1319">
        <f t="shared" ca="1" si="1140"/>
        <v>0</v>
      </c>
      <c r="KR57" s="1319">
        <f t="shared" ca="1" si="1140"/>
        <v>0</v>
      </c>
      <c r="LA57" s="1319">
        <f t="shared" ref="LA57:LK72" ca="1" si="1141">VLOOKUP(LA$1,INDIRECT(LU_MAT),$A57,FALSE)</f>
        <v>8.9102014100000014E-10</v>
      </c>
      <c r="LB57" s="1319">
        <f t="shared" ca="1" si="1141"/>
        <v>2.3027498E-11</v>
      </c>
      <c r="LC57" s="1319">
        <f t="shared" ca="1" si="1141"/>
        <v>9.1404763899999995E-10</v>
      </c>
      <c r="LD57" s="1319">
        <f t="shared" ca="1" si="1141"/>
        <v>9.1404763899999995E-10</v>
      </c>
      <c r="LE57" s="1319">
        <f t="shared" ca="1" si="1141"/>
        <v>0</v>
      </c>
      <c r="LF57" s="1319">
        <f t="shared" ca="1" si="1141"/>
        <v>0</v>
      </c>
      <c r="LG57" s="1319">
        <f t="shared" ca="1" si="1141"/>
        <v>0</v>
      </c>
      <c r="LH57" s="1319">
        <f t="shared" ca="1" si="1141"/>
        <v>0</v>
      </c>
      <c r="LI57" s="1319">
        <f t="shared" ca="1" si="1141"/>
        <v>0</v>
      </c>
      <c r="LJ57" s="1319">
        <f t="shared" ca="1" si="1141"/>
        <v>0</v>
      </c>
      <c r="LK57" s="1319">
        <f t="shared" ca="1" si="1141"/>
        <v>0</v>
      </c>
      <c r="LW57" s="1319">
        <f t="shared" ca="1" si="1113"/>
        <v>0</v>
      </c>
      <c r="LX57" s="1319">
        <f t="shared" ref="LX57:MO72" ca="1" si="1142">VLOOKUP(LX$1,INDIRECT(LU_MAT),$A57,FALSE)</f>
        <v>0</v>
      </c>
      <c r="LY57" s="1319">
        <f t="shared" ca="1" si="1142"/>
        <v>454.53548699999999</v>
      </c>
      <c r="LZ57" s="1319">
        <f t="shared" ca="1" si="1142"/>
        <v>5.0858165900000003</v>
      </c>
      <c r="MA57" s="1319">
        <f t="shared" ca="1" si="1142"/>
        <v>459.62130400000001</v>
      </c>
      <c r="MB57" s="1319">
        <f t="shared" ca="1" si="1142"/>
        <v>9.1404763899999995E-10</v>
      </c>
      <c r="MC57" s="1319">
        <f t="shared" ca="1" si="1142"/>
        <v>0</v>
      </c>
      <c r="MD57" s="1319">
        <f t="shared" ca="1" si="1142"/>
        <v>0</v>
      </c>
      <c r="ME57" s="1319">
        <f t="shared" ca="1" si="1142"/>
        <v>0</v>
      </c>
      <c r="MF57" s="1319">
        <f t="shared" ca="1" si="1142"/>
        <v>0</v>
      </c>
      <c r="MG57" s="1319">
        <f t="shared" ca="1" si="1142"/>
        <v>0</v>
      </c>
      <c r="MH57" s="1319">
        <f t="shared" ref="MH57:MI72" ca="1" si="1143">VLOOKUP(MH$1,INDIRECT(LU_MAT),$A57,FALSE)</f>
        <v>0</v>
      </c>
      <c r="MI57" s="1319">
        <f t="shared" ca="1" si="1143"/>
        <v>0</v>
      </c>
      <c r="MJ57" s="1319">
        <f t="shared" ca="1" si="1142"/>
        <v>0</v>
      </c>
      <c r="MK57" s="1319">
        <f t="shared" ca="1" si="1142"/>
        <v>0</v>
      </c>
      <c r="ML57" s="1319">
        <f t="shared" ca="1" si="1142"/>
        <v>0</v>
      </c>
      <c r="MM57" s="1319">
        <f t="shared" ca="1" si="1142"/>
        <v>0</v>
      </c>
      <c r="MN57" s="1319">
        <f t="shared" ca="1" si="1142"/>
        <v>0</v>
      </c>
      <c r="MO57" s="1319">
        <f t="shared" ca="1" si="1142"/>
        <v>0</v>
      </c>
      <c r="NA57" s="1319">
        <f t="shared" ref="NA57:NP72" ca="1" si="1144">VLOOKUP(NA$1,INDIRECT(LU_MAT),$A57,FALSE)</f>
        <v>3.3788520100000002E-4</v>
      </c>
      <c r="NB57" s="1319">
        <f t="shared" ca="1" si="1144"/>
        <v>2.4837330000000002E-11</v>
      </c>
      <c r="NC57" s="1319">
        <f t="shared" ca="1" si="1144"/>
        <v>3.3788517600000001E-4</v>
      </c>
      <c r="ND57" s="1319">
        <f t="shared" ca="1" si="1144"/>
        <v>0</v>
      </c>
      <c r="NE57" s="1319">
        <f t="shared" ca="1" si="1144"/>
        <v>0</v>
      </c>
      <c r="NF57" s="1319">
        <f t="shared" ca="1" si="1144"/>
        <v>0</v>
      </c>
      <c r="NG57" s="1319">
        <f t="shared" ca="1" si="1144"/>
        <v>0</v>
      </c>
      <c r="NH57" s="1319">
        <f t="shared" ca="1" si="1144"/>
        <v>0</v>
      </c>
      <c r="NI57" s="1319">
        <f t="shared" ca="1" si="1144"/>
        <v>0</v>
      </c>
      <c r="NJ57" s="1319">
        <f t="shared" ca="1" si="1144"/>
        <v>0</v>
      </c>
      <c r="NK57" s="1319">
        <f t="shared" ca="1" si="1144"/>
        <v>0</v>
      </c>
      <c r="NL57" s="1319">
        <f t="shared" ca="1" si="1144"/>
        <v>0</v>
      </c>
      <c r="NM57" s="1319">
        <f t="shared" ca="1" si="1144"/>
        <v>0</v>
      </c>
      <c r="NN57" s="1319">
        <f t="shared" ca="1" si="1144"/>
        <v>0</v>
      </c>
      <c r="NO57" s="1319">
        <f t="shared" ca="1" si="1144"/>
        <v>0</v>
      </c>
      <c r="NP57" s="1319">
        <f t="shared" ca="1" si="1144"/>
        <v>0</v>
      </c>
      <c r="OH57" s="1319">
        <f t="shared" ref="OH57:OO72" ca="1" si="1145">VLOOKUP(OH$1,INDIRECT(LU_MAT),$A57,FALSE)</f>
        <v>0</v>
      </c>
      <c r="OI57" s="1319">
        <f t="shared" ca="1" si="1145"/>
        <v>0</v>
      </c>
      <c r="OJ57" s="1319">
        <f t="shared" ca="1" si="1145"/>
        <v>0</v>
      </c>
      <c r="OK57" s="1319">
        <f t="shared" ca="1" si="1145"/>
        <v>0</v>
      </c>
      <c r="OL57" s="1319">
        <f t="shared" ca="1" si="1145"/>
        <v>0</v>
      </c>
      <c r="OM57" s="1319">
        <f t="shared" ca="1" si="1145"/>
        <v>0</v>
      </c>
      <c r="ON57" s="1319">
        <f t="shared" ca="1" si="1145"/>
        <v>0</v>
      </c>
      <c r="OO57" s="1319">
        <f t="shared" ca="1" si="1145"/>
        <v>0</v>
      </c>
      <c r="PA57" s="1319">
        <f t="shared" ref="PA57:PK72" ca="1" si="1146">VLOOKUP(PA$1,INDIRECT(LU_MAT),$A57,FALSE)</f>
        <v>0</v>
      </c>
      <c r="PB57" s="1319">
        <f t="shared" ca="1" si="1146"/>
        <v>0</v>
      </c>
      <c r="PC57" s="1319">
        <f t="shared" ca="1" si="1146"/>
        <v>0</v>
      </c>
      <c r="PD57" s="1319">
        <f t="shared" ca="1" si="1146"/>
        <v>0</v>
      </c>
      <c r="PE57" s="1319">
        <f t="shared" ca="1" si="1146"/>
        <v>0</v>
      </c>
      <c r="PF57" s="1319">
        <f t="shared" ca="1" si="1146"/>
        <v>0</v>
      </c>
      <c r="PG57" s="1319">
        <f t="shared" ca="1" si="1146"/>
        <v>0</v>
      </c>
      <c r="PH57" s="1319">
        <f t="shared" ca="1" si="1146"/>
        <v>0</v>
      </c>
      <c r="PI57" s="1319">
        <f t="shared" ca="1" si="1146"/>
        <v>0</v>
      </c>
      <c r="PJ57" s="1319">
        <f t="shared" ca="1" si="1146"/>
        <v>0</v>
      </c>
      <c r="PK57" s="1319">
        <f t="shared" ca="1" si="1146"/>
        <v>0</v>
      </c>
      <c r="PW57" s="1319">
        <f t="shared" ref="PW57:PZ72" ca="1" si="1147">VLOOKUP(PW$1,INDIRECT(LU_MAT),$A57,FALSE)</f>
        <v>0</v>
      </c>
      <c r="PX57" s="1319">
        <f t="shared" ca="1" si="1147"/>
        <v>0</v>
      </c>
      <c r="PY57" s="1319">
        <f t="shared" ca="1" si="1147"/>
        <v>0</v>
      </c>
      <c r="PZ57" s="1319">
        <f t="shared" ca="1" si="1147"/>
        <v>0</v>
      </c>
    </row>
    <row r="58" spans="1:442" x14ac:dyDescent="0.25">
      <c r="A58" s="189">
        <v>19</v>
      </c>
      <c r="B58" s="189" t="s">
        <v>1256</v>
      </c>
      <c r="C58" s="1317" t="s">
        <v>1265</v>
      </c>
      <c r="D58" s="1317" t="s">
        <v>206</v>
      </c>
      <c r="J58" s="1319">
        <f t="shared" ca="1" si="1093"/>
        <v>0</v>
      </c>
      <c r="K58" s="1319">
        <f t="shared" ca="1" si="1122"/>
        <v>0</v>
      </c>
      <c r="T58" s="1319">
        <f t="shared" ca="1" si="1094"/>
        <v>0</v>
      </c>
      <c r="U58" s="1319">
        <f t="shared" ca="1" si="1123"/>
        <v>0</v>
      </c>
      <c r="V58" s="1319">
        <f t="shared" ca="1" si="1123"/>
        <v>4.20489925E-2</v>
      </c>
      <c r="W58" s="1319">
        <f t="shared" ca="1" si="1123"/>
        <v>0</v>
      </c>
      <c r="X58" s="1319">
        <f t="shared" ca="1" si="1123"/>
        <v>0</v>
      </c>
      <c r="Y58" s="1319">
        <f t="shared" ca="1" si="1123"/>
        <v>656.63108599999998</v>
      </c>
      <c r="Z58" s="1319">
        <f t="shared" ca="1" si="1123"/>
        <v>7.0016331599999995E-2</v>
      </c>
      <c r="AA58" s="1319">
        <f t="shared" ca="1" si="1123"/>
        <v>656.56106999999997</v>
      </c>
      <c r="AB58" s="1319">
        <f t="shared" ca="1" si="1123"/>
        <v>0</v>
      </c>
      <c r="AC58" s="1319">
        <f t="shared" ca="1" si="1123"/>
        <v>4.20489925E-2</v>
      </c>
      <c r="AD58" s="1319">
        <f t="shared" ca="1" si="1123"/>
        <v>0</v>
      </c>
      <c r="AM58" s="1319">
        <f t="shared" ca="1" si="1095"/>
        <v>0</v>
      </c>
      <c r="AN58" s="1319">
        <f t="shared" ca="1" si="1095"/>
        <v>0</v>
      </c>
      <c r="AO58" s="1319">
        <f t="shared" ca="1" si="1128"/>
        <v>656.56106999999997</v>
      </c>
      <c r="AP58" s="1319">
        <f t="shared" ca="1" si="1128"/>
        <v>656.56106999999997</v>
      </c>
      <c r="AQ58" s="1319">
        <f t="shared" ca="1" si="1128"/>
        <v>2.1408137300000001E-2</v>
      </c>
      <c r="AR58" s="1319">
        <f t="shared" ca="1" si="1128"/>
        <v>1.2136360799999999E-4</v>
      </c>
      <c r="AS58" s="1319">
        <f t="shared" ca="1" si="1128"/>
        <v>6.9894968000000002E-2</v>
      </c>
      <c r="AT58" s="1319">
        <f t="shared" ca="1" si="1095"/>
        <v>7.7023948899999992E-6</v>
      </c>
      <c r="AU58" s="1319">
        <f t="shared" ca="1" si="1095"/>
        <v>2.1521798500000001E-2</v>
      </c>
      <c r="AV58" s="1319">
        <f t="shared" ca="1" si="1095"/>
        <v>656.53966200000002</v>
      </c>
      <c r="AW58" s="1319">
        <f t="shared" ca="1" si="1095"/>
        <v>7.7023948899999992E-6</v>
      </c>
      <c r="AX58" s="1319">
        <f t="shared" ca="1" si="1095"/>
        <v>9.14244689E-2</v>
      </c>
      <c r="AY58" s="1319">
        <f t="shared" ca="1" si="1095"/>
        <v>0</v>
      </c>
      <c r="AZ58" s="1319">
        <f t="shared" ca="1" si="1095"/>
        <v>0</v>
      </c>
      <c r="BA58" s="1319">
        <f t="shared" ca="1" si="1095"/>
        <v>0</v>
      </c>
      <c r="BB58" s="1319">
        <f t="shared" ca="1" si="1095"/>
        <v>656.53966200000002</v>
      </c>
      <c r="BN58" s="1319">
        <f t="shared" ca="1" si="1129"/>
        <v>65.653966199999999</v>
      </c>
      <c r="BO58" s="1319">
        <f t="shared" ca="1" si="1129"/>
        <v>65.653964400000007</v>
      </c>
      <c r="BP58" s="1319">
        <f t="shared" ca="1" si="1129"/>
        <v>1.8139455899999999E-6</v>
      </c>
      <c r="BQ58" s="1319">
        <f t="shared" ca="1" si="1129"/>
        <v>0</v>
      </c>
      <c r="BR58" s="1319">
        <f t="shared" ca="1" si="1129"/>
        <v>0</v>
      </c>
      <c r="CD58" s="1319">
        <f t="shared" ca="1" si="1130"/>
        <v>656.53966200000002</v>
      </c>
      <c r="CE58" s="1319">
        <f t="shared" ca="1" si="1130"/>
        <v>656.53966200000002</v>
      </c>
      <c r="CF58" s="1319">
        <f t="shared" ca="1" si="1130"/>
        <v>65.653966199999999</v>
      </c>
      <c r="CG58" s="1319">
        <f t="shared" ca="1" si="1130"/>
        <v>65.653964400000007</v>
      </c>
      <c r="CH58" s="1319">
        <f t="shared" ca="1" si="1130"/>
        <v>656.53966200000002</v>
      </c>
      <c r="CI58" s="1319">
        <f t="shared" ca="1" si="1130"/>
        <v>0</v>
      </c>
      <c r="CJ58" s="1319">
        <f t="shared" ca="1" si="1130"/>
        <v>0</v>
      </c>
      <c r="CK58" s="1319">
        <f t="shared" ca="1" si="1130"/>
        <v>656.53964199999996</v>
      </c>
      <c r="CL58" s="1319">
        <f t="shared" ca="1" si="1130"/>
        <v>1.7582322300000001E-5</v>
      </c>
      <c r="CM58" s="1319">
        <f t="shared" ca="1" si="1130"/>
        <v>0</v>
      </c>
      <c r="CN58" s="1319">
        <f t="shared" ca="1" si="1130"/>
        <v>656.53966200000002</v>
      </c>
      <c r="CO58" s="1319">
        <f t="shared" ca="1" si="1130"/>
        <v>1.9397659099999998E-5</v>
      </c>
      <c r="DA58" s="1319">
        <f t="shared" ca="1" si="1131"/>
        <v>0</v>
      </c>
      <c r="DB58" s="1319">
        <f t="shared" ca="1" si="1131"/>
        <v>0</v>
      </c>
      <c r="DC58" s="1319">
        <f t="shared" ca="1" si="1131"/>
        <v>0</v>
      </c>
      <c r="DD58" s="1319">
        <f t="shared" ca="1" si="1131"/>
        <v>0</v>
      </c>
      <c r="DE58" s="1319">
        <f t="shared" ca="1" si="1131"/>
        <v>0</v>
      </c>
      <c r="DF58" s="1319">
        <f t="shared" ca="1" si="1131"/>
        <v>0</v>
      </c>
      <c r="DG58" s="1319">
        <f t="shared" ca="1" si="1131"/>
        <v>0</v>
      </c>
      <c r="DH58" s="1319">
        <f t="shared" ca="1" si="1131"/>
        <v>0</v>
      </c>
      <c r="DI58" s="1319">
        <f t="shared" ca="1" si="1131"/>
        <v>0</v>
      </c>
      <c r="DJ58" s="1319">
        <f t="shared" ca="1" si="1131"/>
        <v>0</v>
      </c>
      <c r="DV58" s="1319">
        <f t="shared" ca="1" si="1132"/>
        <v>0</v>
      </c>
      <c r="DW58" s="1319">
        <f t="shared" ca="1" si="1132"/>
        <v>0</v>
      </c>
      <c r="DX58" s="1319">
        <f t="shared" ca="1" si="1132"/>
        <v>0</v>
      </c>
      <c r="DY58" s="1319">
        <f t="shared" ca="1" si="1132"/>
        <v>0</v>
      </c>
      <c r="DZ58" s="1319">
        <f t="shared" ca="1" si="1132"/>
        <v>0</v>
      </c>
      <c r="EA58" s="1319">
        <f t="shared" ca="1" si="1132"/>
        <v>0</v>
      </c>
      <c r="EB58" s="1319">
        <f t="shared" ca="1" si="1132"/>
        <v>0</v>
      </c>
      <c r="EC58" s="1319">
        <f t="shared" ca="1" si="1132"/>
        <v>0</v>
      </c>
      <c r="ED58" s="1319">
        <f t="shared" ca="1" si="1132"/>
        <v>0</v>
      </c>
      <c r="EE58" s="1319">
        <f t="shared" ca="1" si="1132"/>
        <v>0</v>
      </c>
      <c r="EF58" s="1319">
        <f t="shared" ca="1" si="1132"/>
        <v>0</v>
      </c>
      <c r="EG58" s="1319">
        <f t="shared" ca="1" si="1132"/>
        <v>0</v>
      </c>
      <c r="EH58" s="1319">
        <f t="shared" ca="1" si="1132"/>
        <v>0</v>
      </c>
      <c r="EI58" s="1319">
        <f t="shared" ca="1" si="1132"/>
        <v>0</v>
      </c>
      <c r="EJ58" s="1319">
        <f t="shared" ca="1" si="1101"/>
        <v>0</v>
      </c>
      <c r="EK58" s="1319">
        <f t="shared" ca="1" si="1132"/>
        <v>0</v>
      </c>
      <c r="EW58" s="1319">
        <f t="shared" ca="1" si="1133"/>
        <v>656.53966200000002</v>
      </c>
      <c r="EX58" s="1319">
        <f t="shared" ca="1" si="1133"/>
        <v>656.53966200000002</v>
      </c>
      <c r="EY58" s="1319">
        <f t="shared" ca="1" si="1133"/>
        <v>656.497613</v>
      </c>
      <c r="EZ58" s="1319">
        <f t="shared" ca="1" si="1133"/>
        <v>656.497613</v>
      </c>
      <c r="FA58" s="1319">
        <f t="shared" ca="1" si="1133"/>
        <v>1.39118024E-9</v>
      </c>
      <c r="FB58" s="1319">
        <f t="shared" ca="1" si="1133"/>
        <v>4.2048992299999997E-2</v>
      </c>
      <c r="FN58" s="1319">
        <f t="shared" ca="1" si="1134"/>
        <v>1.8139455899999999E-6</v>
      </c>
      <c r="FO58" s="1319">
        <f t="shared" ca="1" si="1134"/>
        <v>1.7582322300000001E-5</v>
      </c>
      <c r="FP58" s="1319">
        <f t="shared" ca="1" si="1134"/>
        <v>1.39118024E-9</v>
      </c>
      <c r="FQ58" s="1319">
        <f t="shared" ca="1" si="1134"/>
        <v>4.2048992299999997E-2</v>
      </c>
      <c r="FR58" s="1319">
        <f t="shared" ca="1" si="1134"/>
        <v>0</v>
      </c>
      <c r="FS58" s="1319">
        <f t="shared" ca="1" si="1134"/>
        <v>4.20489925E-2</v>
      </c>
      <c r="FT58" s="1319">
        <f t="shared" ca="1" si="1134"/>
        <v>0</v>
      </c>
      <c r="FU58" s="1319">
        <f t="shared" ca="1" si="1134"/>
        <v>1.9397659099999998E-5</v>
      </c>
      <c r="FV58" s="1319">
        <f t="shared" ca="1" si="1134"/>
        <v>0</v>
      </c>
      <c r="FW58" s="1319">
        <f t="shared" ca="1" si="1134"/>
        <v>2.8126139100000001E-30</v>
      </c>
      <c r="FX58" s="1319">
        <f t="shared" ca="1" si="1134"/>
        <v>1.9397659099999998E-5</v>
      </c>
      <c r="GJ58" s="1319">
        <f t="shared" ca="1" si="1135"/>
        <v>0</v>
      </c>
      <c r="GK58" s="1319">
        <f t="shared" ca="1" si="1135"/>
        <v>0</v>
      </c>
      <c r="GL58" s="1319">
        <f t="shared" ca="1" si="1135"/>
        <v>0</v>
      </c>
      <c r="GM58" s="1319">
        <f t="shared" ca="1" si="1135"/>
        <v>0</v>
      </c>
      <c r="GN58" s="1319">
        <f t="shared" ca="1" si="1135"/>
        <v>0</v>
      </c>
      <c r="GO58" s="1319">
        <f t="shared" ca="1" si="1135"/>
        <v>0</v>
      </c>
      <c r="GP58" s="1319">
        <f t="shared" ca="1" si="1135"/>
        <v>0</v>
      </c>
      <c r="GQ58" s="1319">
        <f t="shared" ca="1" si="1135"/>
        <v>0</v>
      </c>
      <c r="HC58" s="1319">
        <f t="shared" ca="1" si="1136"/>
        <v>656.497613</v>
      </c>
      <c r="HD58" s="1319">
        <f t="shared" ca="1" si="1136"/>
        <v>632.05517199999997</v>
      </c>
      <c r="HE58" s="1319">
        <f t="shared" ca="1" si="1136"/>
        <v>0</v>
      </c>
      <c r="HF58" s="1319">
        <f t="shared" ca="1" si="1136"/>
        <v>2.9190697100000002E-5</v>
      </c>
      <c r="HG58" s="1319">
        <f t="shared" ca="1" si="1136"/>
        <v>24.442412099999999</v>
      </c>
      <c r="HH58" s="1319">
        <f t="shared" ca="1" si="1136"/>
        <v>632.05517199999997</v>
      </c>
      <c r="HT58" s="1319">
        <f t="shared" ca="1" si="1137"/>
        <v>9.14244689E-2</v>
      </c>
      <c r="HU58" s="1319">
        <f t="shared" ca="1" si="1137"/>
        <v>632.05517199999997</v>
      </c>
      <c r="HV58" s="1319">
        <f t="shared" ca="1" si="1137"/>
        <v>632.14659600000005</v>
      </c>
      <c r="HW58" s="1319">
        <f t="shared" ca="1" si="1137"/>
        <v>632.14659600000005</v>
      </c>
      <c r="HX58" s="1319">
        <f t="shared" ca="1" si="1137"/>
        <v>52.8725387</v>
      </c>
      <c r="HY58" s="1319">
        <f t="shared" ca="1" si="1137"/>
        <v>4.0206514100000001</v>
      </c>
      <c r="HZ58" s="1319">
        <f t="shared" ca="1" si="1137"/>
        <v>5.4563352399999997E-6</v>
      </c>
      <c r="IA58" s="1319">
        <f t="shared" ca="1" si="1137"/>
        <v>1.88915923E-6</v>
      </c>
      <c r="IB58" s="1319">
        <f t="shared" ca="1" si="1137"/>
        <v>0</v>
      </c>
      <c r="IC58" s="1319">
        <f t="shared" ca="1" si="1137"/>
        <v>0</v>
      </c>
      <c r="ID58" s="1319">
        <f t="shared" ca="1" si="1137"/>
        <v>0</v>
      </c>
      <c r="IE58" s="1319">
        <f t="shared" ca="1" si="1137"/>
        <v>0</v>
      </c>
      <c r="IQ58" s="1319">
        <f t="shared" ca="1" si="1138"/>
        <v>52.8725387</v>
      </c>
      <c r="IR58" s="1319">
        <f t="shared" ca="1" si="1138"/>
        <v>4.0206514100000001</v>
      </c>
      <c r="IS58" s="1319">
        <f t="shared" ca="1" si="1138"/>
        <v>12.9279039</v>
      </c>
      <c r="IT58" s="1319">
        <f t="shared" ca="1" si="1138"/>
        <v>16.948555299999999</v>
      </c>
      <c r="IU58" s="1319">
        <f t="shared" ca="1" si="1108"/>
        <v>15.818027800000001</v>
      </c>
      <c r="IV58" s="1319">
        <f t="shared" ca="1" si="1138"/>
        <v>378.96024699999998</v>
      </c>
      <c r="IW58" s="1319">
        <f t="shared" ca="1" si="1138"/>
        <v>310.26969300000002</v>
      </c>
      <c r="IX58" s="1319">
        <f t="shared" ca="1" si="1109"/>
        <v>1.26759314E-5</v>
      </c>
      <c r="IY58" s="1319">
        <f t="shared" ca="1" si="1138"/>
        <v>1.13052752</v>
      </c>
      <c r="IZ58" s="1319">
        <f t="shared" ca="1" si="1138"/>
        <v>55.7626499</v>
      </c>
      <c r="JA58" s="1319">
        <f t="shared" ca="1" si="1138"/>
        <v>323.19759699999997</v>
      </c>
      <c r="JB58" s="1319">
        <f t="shared" ca="1" si="1138"/>
        <v>0</v>
      </c>
      <c r="JC58" s="1319">
        <f t="shared" ca="1" si="1138"/>
        <v>55.762647999999999</v>
      </c>
      <c r="JD58" s="1319">
        <f t="shared" ca="1" si="1138"/>
        <v>0</v>
      </c>
      <c r="JE58" s="1319">
        <f t="shared" ca="1" si="1138"/>
        <v>55.7626499</v>
      </c>
      <c r="JF58" s="1319">
        <f t="shared" ca="1" si="1138"/>
        <v>0</v>
      </c>
      <c r="JG58" s="1319">
        <f t="shared" ca="1" si="1138"/>
        <v>0</v>
      </c>
      <c r="JH58" s="1319">
        <f t="shared" ca="1" si="1138"/>
        <v>1.88915923E-6</v>
      </c>
      <c r="JT58" s="1319">
        <f t="shared" ca="1" si="1139"/>
        <v>0</v>
      </c>
      <c r="JU58" s="1319">
        <f t="shared" ca="1" si="1139"/>
        <v>0</v>
      </c>
      <c r="JV58" s="1319">
        <f t="shared" ca="1" si="1139"/>
        <v>0</v>
      </c>
      <c r="JW58" s="1319">
        <f t="shared" ca="1" si="1139"/>
        <v>0</v>
      </c>
      <c r="JX58" s="1319">
        <f t="shared" ca="1" si="1139"/>
        <v>0</v>
      </c>
      <c r="JY58" s="1319">
        <f t="shared" ca="1" si="1139"/>
        <v>0</v>
      </c>
      <c r="JZ58" s="1319">
        <f t="shared" ca="1" si="1139"/>
        <v>0</v>
      </c>
      <c r="KA58" s="1319">
        <f t="shared" ca="1" si="1139"/>
        <v>0</v>
      </c>
      <c r="KB58" s="1319">
        <f t="shared" ca="1" si="1139"/>
        <v>0</v>
      </c>
      <c r="KC58" s="1319">
        <f t="shared" ca="1" si="1139"/>
        <v>0</v>
      </c>
      <c r="KL58" s="1319">
        <f t="shared" ca="1" si="1140"/>
        <v>0</v>
      </c>
      <c r="KM58" s="1319">
        <f t="shared" ca="1" si="1140"/>
        <v>0</v>
      </c>
      <c r="KN58" s="1319">
        <f t="shared" ca="1" si="1140"/>
        <v>0</v>
      </c>
      <c r="KO58" s="1319">
        <f t="shared" ca="1" si="1140"/>
        <v>0</v>
      </c>
      <c r="KP58" s="1319">
        <f t="shared" ca="1" si="1140"/>
        <v>0</v>
      </c>
      <c r="KQ58" s="1319">
        <f t="shared" ca="1" si="1140"/>
        <v>0</v>
      </c>
      <c r="KR58" s="1319">
        <f t="shared" ca="1" si="1140"/>
        <v>0</v>
      </c>
      <c r="LA58" s="1319">
        <f t="shared" ca="1" si="1141"/>
        <v>2.9190697100000002E-5</v>
      </c>
      <c r="LB58" s="1319">
        <f t="shared" ca="1" si="1141"/>
        <v>5.4563352399999997E-6</v>
      </c>
      <c r="LC58" s="1319">
        <f t="shared" ca="1" si="1141"/>
        <v>3.4647032400000003E-5</v>
      </c>
      <c r="LD58" s="1319">
        <f t="shared" ca="1" si="1141"/>
        <v>3.4647032400000003E-5</v>
      </c>
      <c r="LE58" s="1319">
        <f t="shared" ca="1" si="1141"/>
        <v>0</v>
      </c>
      <c r="LF58" s="1319">
        <f t="shared" ca="1" si="1141"/>
        <v>0</v>
      </c>
      <c r="LG58" s="1319">
        <f t="shared" ca="1" si="1141"/>
        <v>0</v>
      </c>
      <c r="LH58" s="1319">
        <f t="shared" ca="1" si="1141"/>
        <v>0</v>
      </c>
      <c r="LI58" s="1319">
        <f t="shared" ca="1" si="1141"/>
        <v>0</v>
      </c>
      <c r="LJ58" s="1319">
        <f t="shared" ca="1" si="1141"/>
        <v>0</v>
      </c>
      <c r="LK58" s="1319">
        <f t="shared" ca="1" si="1141"/>
        <v>0</v>
      </c>
      <c r="LW58" s="1319">
        <f t="shared" ca="1" si="1113"/>
        <v>0</v>
      </c>
      <c r="LX58" s="1319">
        <f t="shared" ca="1" si="1142"/>
        <v>0</v>
      </c>
      <c r="LY58" s="1319">
        <f t="shared" ca="1" si="1142"/>
        <v>24.442412099999999</v>
      </c>
      <c r="LZ58" s="1319">
        <f t="shared" ca="1" si="1142"/>
        <v>1.13052752</v>
      </c>
      <c r="MA58" s="1319">
        <f t="shared" ca="1" si="1142"/>
        <v>25.572939600000002</v>
      </c>
      <c r="MB58" s="1319">
        <f t="shared" ca="1" si="1142"/>
        <v>3.4647032400000003E-5</v>
      </c>
      <c r="MC58" s="1319">
        <f t="shared" ca="1" si="1142"/>
        <v>0</v>
      </c>
      <c r="MD58" s="1319">
        <f t="shared" ca="1" si="1142"/>
        <v>0</v>
      </c>
      <c r="ME58" s="1319">
        <f t="shared" ca="1" si="1142"/>
        <v>0</v>
      </c>
      <c r="MF58" s="1319">
        <f t="shared" ca="1" si="1142"/>
        <v>0</v>
      </c>
      <c r="MG58" s="1319">
        <f t="shared" ca="1" si="1142"/>
        <v>0</v>
      </c>
      <c r="MH58" s="1319">
        <f t="shared" ca="1" si="1143"/>
        <v>0</v>
      </c>
      <c r="MI58" s="1319">
        <f t="shared" ca="1" si="1143"/>
        <v>0</v>
      </c>
      <c r="MJ58" s="1319">
        <f t="shared" ca="1" si="1142"/>
        <v>0</v>
      </c>
      <c r="MK58" s="1319">
        <f t="shared" ca="1" si="1142"/>
        <v>0</v>
      </c>
      <c r="ML58" s="1319">
        <f t="shared" ca="1" si="1142"/>
        <v>0</v>
      </c>
      <c r="MM58" s="1319">
        <f t="shared" ca="1" si="1142"/>
        <v>0</v>
      </c>
      <c r="MN58" s="1319">
        <f t="shared" ca="1" si="1142"/>
        <v>0</v>
      </c>
      <c r="MO58" s="1319">
        <f t="shared" ca="1" si="1142"/>
        <v>0</v>
      </c>
      <c r="NA58" s="1319">
        <f t="shared" ca="1" si="1144"/>
        <v>7.0016331599999995E-2</v>
      </c>
      <c r="NB58" s="1319">
        <f t="shared" ca="1" si="1144"/>
        <v>1.2136360799999999E-4</v>
      </c>
      <c r="NC58" s="1319">
        <f t="shared" ca="1" si="1144"/>
        <v>6.9894968000000002E-2</v>
      </c>
      <c r="ND58" s="1319">
        <f t="shared" ca="1" si="1144"/>
        <v>0</v>
      </c>
      <c r="NE58" s="1319">
        <f t="shared" ca="1" si="1144"/>
        <v>0</v>
      </c>
      <c r="NF58" s="1319">
        <f t="shared" ca="1" si="1144"/>
        <v>0</v>
      </c>
      <c r="NG58" s="1319">
        <f t="shared" ca="1" si="1144"/>
        <v>0</v>
      </c>
      <c r="NH58" s="1319">
        <f t="shared" ca="1" si="1144"/>
        <v>0</v>
      </c>
      <c r="NI58" s="1319">
        <f t="shared" ca="1" si="1144"/>
        <v>0</v>
      </c>
      <c r="NJ58" s="1319">
        <f t="shared" ca="1" si="1144"/>
        <v>0</v>
      </c>
      <c r="NK58" s="1319">
        <f t="shared" ca="1" si="1144"/>
        <v>0</v>
      </c>
      <c r="NL58" s="1319">
        <f t="shared" ca="1" si="1144"/>
        <v>0</v>
      </c>
      <c r="NM58" s="1319">
        <f t="shared" ca="1" si="1144"/>
        <v>0</v>
      </c>
      <c r="NN58" s="1319">
        <f t="shared" ca="1" si="1144"/>
        <v>0</v>
      </c>
      <c r="NO58" s="1319">
        <f t="shared" ca="1" si="1144"/>
        <v>0</v>
      </c>
      <c r="NP58" s="1319">
        <f t="shared" ca="1" si="1144"/>
        <v>0</v>
      </c>
      <c r="OH58" s="1319">
        <f t="shared" ca="1" si="1145"/>
        <v>0</v>
      </c>
      <c r="OI58" s="1319">
        <f t="shared" ca="1" si="1145"/>
        <v>0</v>
      </c>
      <c r="OJ58" s="1319">
        <f t="shared" ca="1" si="1145"/>
        <v>0</v>
      </c>
      <c r="OK58" s="1319">
        <f t="shared" ca="1" si="1145"/>
        <v>0</v>
      </c>
      <c r="OL58" s="1319">
        <f t="shared" ca="1" si="1145"/>
        <v>0</v>
      </c>
      <c r="OM58" s="1319">
        <f t="shared" ca="1" si="1145"/>
        <v>0</v>
      </c>
      <c r="ON58" s="1319">
        <f t="shared" ca="1" si="1145"/>
        <v>0</v>
      </c>
      <c r="OO58" s="1319">
        <f t="shared" ca="1" si="1145"/>
        <v>0</v>
      </c>
      <c r="PA58" s="1319">
        <f t="shared" ca="1" si="1146"/>
        <v>0</v>
      </c>
      <c r="PB58" s="1319">
        <f t="shared" ca="1" si="1146"/>
        <v>0</v>
      </c>
      <c r="PC58" s="1319">
        <f t="shared" ca="1" si="1146"/>
        <v>0</v>
      </c>
      <c r="PD58" s="1319">
        <f t="shared" ca="1" si="1146"/>
        <v>0</v>
      </c>
      <c r="PE58" s="1319">
        <f t="shared" ca="1" si="1146"/>
        <v>0</v>
      </c>
      <c r="PF58" s="1319">
        <f t="shared" ca="1" si="1146"/>
        <v>0</v>
      </c>
      <c r="PG58" s="1319">
        <f t="shared" ca="1" si="1146"/>
        <v>0</v>
      </c>
      <c r="PH58" s="1319">
        <f t="shared" ca="1" si="1146"/>
        <v>0</v>
      </c>
      <c r="PI58" s="1319">
        <f t="shared" ca="1" si="1146"/>
        <v>0</v>
      </c>
      <c r="PJ58" s="1319">
        <f t="shared" ca="1" si="1146"/>
        <v>0</v>
      </c>
      <c r="PK58" s="1319">
        <f t="shared" ca="1" si="1146"/>
        <v>0</v>
      </c>
      <c r="PW58" s="1319">
        <f t="shared" ca="1" si="1147"/>
        <v>0</v>
      </c>
      <c r="PX58" s="1319">
        <f t="shared" ca="1" si="1147"/>
        <v>0</v>
      </c>
      <c r="PY58" s="1319">
        <f t="shared" ca="1" si="1147"/>
        <v>0</v>
      </c>
      <c r="PZ58" s="1319">
        <f t="shared" ca="1" si="1147"/>
        <v>0</v>
      </c>
    </row>
    <row r="59" spans="1:442" x14ac:dyDescent="0.25">
      <c r="A59" s="189">
        <v>20</v>
      </c>
      <c r="B59" s="189" t="s">
        <v>1256</v>
      </c>
      <c r="C59" s="1317" t="s">
        <v>1266</v>
      </c>
      <c r="D59" s="1317" t="s">
        <v>206</v>
      </c>
      <c r="J59" s="1319">
        <f t="shared" ca="1" si="1093"/>
        <v>0</v>
      </c>
      <c r="K59" s="1319">
        <f t="shared" ca="1" si="1122"/>
        <v>0</v>
      </c>
      <c r="T59" s="1319">
        <f t="shared" ca="1" si="1094"/>
        <v>0</v>
      </c>
      <c r="U59" s="1319">
        <f t="shared" ca="1" si="1123"/>
        <v>0</v>
      </c>
      <c r="V59" s="1319">
        <f t="shared" ca="1" si="1123"/>
        <v>0.53867153800000001</v>
      </c>
      <c r="W59" s="1319">
        <f t="shared" ca="1" si="1123"/>
        <v>0</v>
      </c>
      <c r="X59" s="1319">
        <f t="shared" ca="1" si="1123"/>
        <v>0</v>
      </c>
      <c r="Y59" s="1319">
        <f t="shared" ca="1" si="1123"/>
        <v>370.32564500000001</v>
      </c>
      <c r="Z59" s="1319">
        <f t="shared" ca="1" si="1123"/>
        <v>0.72564463300000004</v>
      </c>
      <c r="AA59" s="1319">
        <f t="shared" ca="1" si="1123"/>
        <v>369.60000100000002</v>
      </c>
      <c r="AB59" s="1319">
        <f t="shared" ca="1" si="1123"/>
        <v>0</v>
      </c>
      <c r="AC59" s="1319">
        <f t="shared" ca="1" si="1123"/>
        <v>0.53867153800000001</v>
      </c>
      <c r="AD59" s="1319">
        <f t="shared" ca="1" si="1123"/>
        <v>0</v>
      </c>
      <c r="AM59" s="1319">
        <f t="shared" ca="1" si="1095"/>
        <v>0</v>
      </c>
      <c r="AN59" s="1319">
        <f t="shared" ca="1" si="1095"/>
        <v>0</v>
      </c>
      <c r="AO59" s="1319">
        <f t="shared" ca="1" si="1128"/>
        <v>369.60000100000002</v>
      </c>
      <c r="AP59" s="1319">
        <f t="shared" ca="1" si="1128"/>
        <v>369.60000100000002</v>
      </c>
      <c r="AQ59" s="1319">
        <f t="shared" ca="1" si="1128"/>
        <v>0.32744488399999999</v>
      </c>
      <c r="AR59" s="1319">
        <f t="shared" ca="1" si="1128"/>
        <v>4.6532143499999998E-2</v>
      </c>
      <c r="AS59" s="1319">
        <f t="shared" ca="1" si="1128"/>
        <v>0.67911248899999999</v>
      </c>
      <c r="AT59" s="1319">
        <f t="shared" ca="1" si="1095"/>
        <v>5.21420357E-3</v>
      </c>
      <c r="AU59" s="1319">
        <f t="shared" ca="1" si="1095"/>
        <v>0.36876282399999999</v>
      </c>
      <c r="AV59" s="1319">
        <f t="shared" ca="1" si="1095"/>
        <v>369.27255600000001</v>
      </c>
      <c r="AW59" s="1319">
        <f t="shared" ca="1" si="1095"/>
        <v>5.21420357E-3</v>
      </c>
      <c r="AX59" s="1319">
        <f t="shared" ca="1" si="1095"/>
        <v>1.0530895199999999</v>
      </c>
      <c r="AY59" s="1319">
        <f t="shared" ca="1" si="1095"/>
        <v>0</v>
      </c>
      <c r="AZ59" s="1319">
        <f t="shared" ca="1" si="1095"/>
        <v>0</v>
      </c>
      <c r="BA59" s="1319">
        <f t="shared" ca="1" si="1095"/>
        <v>0</v>
      </c>
      <c r="BB59" s="1319">
        <f t="shared" ca="1" si="1095"/>
        <v>369.27255600000001</v>
      </c>
      <c r="BN59" s="1319">
        <f t="shared" ca="1" si="1129"/>
        <v>36.927255600000002</v>
      </c>
      <c r="BO59" s="1319">
        <f t="shared" ca="1" si="1129"/>
        <v>36.927139799999999</v>
      </c>
      <c r="BP59" s="1319">
        <f t="shared" ca="1" si="1129"/>
        <v>1.1580466700000001E-4</v>
      </c>
      <c r="BQ59" s="1319">
        <f t="shared" ca="1" si="1129"/>
        <v>0</v>
      </c>
      <c r="BR59" s="1319">
        <f t="shared" ca="1" si="1129"/>
        <v>0</v>
      </c>
      <c r="CD59" s="1319">
        <f t="shared" ca="1" si="1130"/>
        <v>369.27255600000001</v>
      </c>
      <c r="CE59" s="1319">
        <f t="shared" ca="1" si="1130"/>
        <v>369.27255600000001</v>
      </c>
      <c r="CF59" s="1319">
        <f t="shared" ca="1" si="1130"/>
        <v>36.927255600000002</v>
      </c>
      <c r="CG59" s="1319">
        <f t="shared" ca="1" si="1130"/>
        <v>36.927139799999999</v>
      </c>
      <c r="CH59" s="1319">
        <f t="shared" ca="1" si="1130"/>
        <v>369.27255600000001</v>
      </c>
      <c r="CI59" s="1319">
        <f t="shared" ca="1" si="1130"/>
        <v>0</v>
      </c>
      <c r="CJ59" s="1319">
        <f t="shared" ca="1" si="1130"/>
        <v>0</v>
      </c>
      <c r="CK59" s="1319">
        <f t="shared" ca="1" si="1130"/>
        <v>369.27132699999999</v>
      </c>
      <c r="CL59" s="1319">
        <f t="shared" ca="1" si="1130"/>
        <v>1.1128416299999999E-3</v>
      </c>
      <c r="CM59" s="1319">
        <f t="shared" ca="1" si="1130"/>
        <v>0</v>
      </c>
      <c r="CN59" s="1319">
        <f t="shared" ca="1" si="1130"/>
        <v>369.27255600000001</v>
      </c>
      <c r="CO59" s="1319">
        <f t="shared" ca="1" si="1130"/>
        <v>1.22907121E-3</v>
      </c>
      <c r="DA59" s="1319">
        <f t="shared" ca="1" si="1131"/>
        <v>0</v>
      </c>
      <c r="DB59" s="1319">
        <f t="shared" ca="1" si="1131"/>
        <v>0</v>
      </c>
      <c r="DC59" s="1319">
        <f t="shared" ca="1" si="1131"/>
        <v>0</v>
      </c>
      <c r="DD59" s="1319">
        <f t="shared" ca="1" si="1131"/>
        <v>0</v>
      </c>
      <c r="DE59" s="1319">
        <f t="shared" ca="1" si="1131"/>
        <v>0</v>
      </c>
      <c r="DF59" s="1319">
        <f t="shared" ca="1" si="1131"/>
        <v>0</v>
      </c>
      <c r="DG59" s="1319">
        <f t="shared" ca="1" si="1131"/>
        <v>0</v>
      </c>
      <c r="DH59" s="1319">
        <f t="shared" ca="1" si="1131"/>
        <v>0</v>
      </c>
      <c r="DI59" s="1319">
        <f t="shared" ca="1" si="1131"/>
        <v>0</v>
      </c>
      <c r="DJ59" s="1319">
        <f t="shared" ca="1" si="1131"/>
        <v>0</v>
      </c>
      <c r="DV59" s="1319">
        <f t="shared" ca="1" si="1132"/>
        <v>0</v>
      </c>
      <c r="DW59" s="1319">
        <f t="shared" ca="1" si="1132"/>
        <v>0</v>
      </c>
      <c r="DX59" s="1319">
        <f t="shared" ca="1" si="1132"/>
        <v>0</v>
      </c>
      <c r="DY59" s="1319">
        <f t="shared" ca="1" si="1132"/>
        <v>0</v>
      </c>
      <c r="DZ59" s="1319">
        <f t="shared" ca="1" si="1132"/>
        <v>0</v>
      </c>
      <c r="EA59" s="1319">
        <f t="shared" ca="1" si="1132"/>
        <v>0</v>
      </c>
      <c r="EB59" s="1319">
        <f t="shared" ca="1" si="1132"/>
        <v>0</v>
      </c>
      <c r="EC59" s="1319">
        <f t="shared" ca="1" si="1132"/>
        <v>0</v>
      </c>
      <c r="ED59" s="1319">
        <f t="shared" ca="1" si="1132"/>
        <v>0</v>
      </c>
      <c r="EE59" s="1319">
        <f t="shared" ca="1" si="1132"/>
        <v>0</v>
      </c>
      <c r="EF59" s="1319">
        <f t="shared" ca="1" si="1132"/>
        <v>0</v>
      </c>
      <c r="EG59" s="1319">
        <f t="shared" ca="1" si="1132"/>
        <v>0</v>
      </c>
      <c r="EH59" s="1319">
        <f t="shared" ca="1" si="1132"/>
        <v>0</v>
      </c>
      <c r="EI59" s="1319">
        <f t="shared" ca="1" si="1132"/>
        <v>0</v>
      </c>
      <c r="EJ59" s="1319">
        <f t="shared" ca="1" si="1101"/>
        <v>0</v>
      </c>
      <c r="EK59" s="1319">
        <f t="shared" ca="1" si="1132"/>
        <v>0</v>
      </c>
      <c r="EW59" s="1319">
        <f t="shared" ca="1" si="1133"/>
        <v>369.27255600000001</v>
      </c>
      <c r="EX59" s="1319">
        <f t="shared" ca="1" si="1133"/>
        <v>369.27255600000001</v>
      </c>
      <c r="EY59" s="1319">
        <f t="shared" ca="1" si="1133"/>
        <v>368.73388499999999</v>
      </c>
      <c r="EZ59" s="1319">
        <f t="shared" ca="1" si="1133"/>
        <v>368.73388499999999</v>
      </c>
      <c r="FA59" s="1319">
        <f t="shared" ca="1" si="1133"/>
        <v>4.2490957400000005E-7</v>
      </c>
      <c r="FB59" s="1319">
        <f t="shared" ca="1" si="1133"/>
        <v>0.53867153499999998</v>
      </c>
      <c r="FN59" s="1319">
        <f t="shared" ca="1" si="1134"/>
        <v>1.1580466700000001E-4</v>
      </c>
      <c r="FO59" s="1319">
        <f t="shared" ca="1" si="1134"/>
        <v>1.1128416299999999E-3</v>
      </c>
      <c r="FP59" s="1319">
        <f t="shared" ca="1" si="1134"/>
        <v>4.2490957400000005E-7</v>
      </c>
      <c r="FQ59" s="1319">
        <f t="shared" ca="1" si="1134"/>
        <v>0.53867153499999998</v>
      </c>
      <c r="FR59" s="1319">
        <f t="shared" ca="1" si="1134"/>
        <v>0</v>
      </c>
      <c r="FS59" s="1319">
        <f t="shared" ca="1" si="1134"/>
        <v>0.53867153800000001</v>
      </c>
      <c r="FT59" s="1319">
        <f t="shared" ca="1" si="1134"/>
        <v>0</v>
      </c>
      <c r="FU59" s="1319">
        <f t="shared" ca="1" si="1134"/>
        <v>1.22907121E-3</v>
      </c>
      <c r="FV59" s="1319">
        <f t="shared" ca="1" si="1134"/>
        <v>0</v>
      </c>
      <c r="FW59" s="1319">
        <f t="shared" ca="1" si="1134"/>
        <v>1.5036613E-19</v>
      </c>
      <c r="FX59" s="1319">
        <f t="shared" ca="1" si="1134"/>
        <v>1.22907121E-3</v>
      </c>
      <c r="GJ59" s="1319">
        <f t="shared" ca="1" si="1135"/>
        <v>0</v>
      </c>
      <c r="GK59" s="1319">
        <f t="shared" ca="1" si="1135"/>
        <v>0</v>
      </c>
      <c r="GL59" s="1319">
        <f t="shared" ca="1" si="1135"/>
        <v>0</v>
      </c>
      <c r="GM59" s="1319">
        <f t="shared" ca="1" si="1135"/>
        <v>0</v>
      </c>
      <c r="GN59" s="1319">
        <f t="shared" ca="1" si="1135"/>
        <v>0</v>
      </c>
      <c r="GO59" s="1319">
        <f t="shared" ca="1" si="1135"/>
        <v>0</v>
      </c>
      <c r="GP59" s="1319">
        <f t="shared" ca="1" si="1135"/>
        <v>0</v>
      </c>
      <c r="GQ59" s="1319">
        <f t="shared" ca="1" si="1135"/>
        <v>0</v>
      </c>
      <c r="HC59" s="1319">
        <f t="shared" ca="1" si="1136"/>
        <v>368.73388499999999</v>
      </c>
      <c r="HD59" s="1319">
        <f t="shared" ca="1" si="1136"/>
        <v>355.00534099999999</v>
      </c>
      <c r="HE59" s="1319">
        <f t="shared" ca="1" si="1136"/>
        <v>0</v>
      </c>
      <c r="HF59" s="1319">
        <f t="shared" ca="1" si="1136"/>
        <v>1.3830152399999999E-3</v>
      </c>
      <c r="HG59" s="1319">
        <f t="shared" ca="1" si="1136"/>
        <v>13.727160899999999</v>
      </c>
      <c r="HH59" s="1319">
        <f t="shared" ca="1" si="1136"/>
        <v>355.00534099999999</v>
      </c>
      <c r="HT59" s="1319">
        <f t="shared" ca="1" si="1137"/>
        <v>1.0530895199999999</v>
      </c>
      <c r="HU59" s="1319">
        <f t="shared" ca="1" si="1137"/>
        <v>355.00534099999999</v>
      </c>
      <c r="HV59" s="1319">
        <f t="shared" ca="1" si="1137"/>
        <v>356.05842999999999</v>
      </c>
      <c r="HW59" s="1319">
        <f t="shared" ca="1" si="1137"/>
        <v>356.05842999999999</v>
      </c>
      <c r="HX59" s="1319">
        <f t="shared" ca="1" si="1137"/>
        <v>29.780318000000001</v>
      </c>
      <c r="HY59" s="1319">
        <f t="shared" ca="1" si="1137"/>
        <v>2.2646213099999999</v>
      </c>
      <c r="HZ59" s="1319">
        <f t="shared" ca="1" si="1137"/>
        <v>3.19678121E-4</v>
      </c>
      <c r="IA59" s="1319">
        <f t="shared" ca="1" si="1137"/>
        <v>2.75094958E-7</v>
      </c>
      <c r="IB59" s="1319">
        <f t="shared" ca="1" si="1137"/>
        <v>0</v>
      </c>
      <c r="IC59" s="1319">
        <f t="shared" ca="1" si="1137"/>
        <v>0</v>
      </c>
      <c r="ID59" s="1319">
        <f t="shared" ca="1" si="1137"/>
        <v>0</v>
      </c>
      <c r="IE59" s="1319">
        <f t="shared" ca="1" si="1137"/>
        <v>0</v>
      </c>
      <c r="IQ59" s="1319">
        <f t="shared" ca="1" si="1138"/>
        <v>29.780318000000001</v>
      </c>
      <c r="IR59" s="1319">
        <f t="shared" ca="1" si="1138"/>
        <v>2.2646213099999999</v>
      </c>
      <c r="IS59" s="1319">
        <f t="shared" ca="1" si="1138"/>
        <v>4.5053845100000003E-2</v>
      </c>
      <c r="IT59" s="1319">
        <f t="shared" ca="1" si="1138"/>
        <v>2.3096751499999999</v>
      </c>
      <c r="IU59" s="1319">
        <f t="shared" ca="1" si="1108"/>
        <v>2.15561179</v>
      </c>
      <c r="IV59" s="1319">
        <f t="shared" ca="1" si="1138"/>
        <v>1.32067939</v>
      </c>
      <c r="IW59" s="1319">
        <f t="shared" ca="1" si="1138"/>
        <v>1.08129228</v>
      </c>
      <c r="IX59" s="1319">
        <f t="shared" ca="1" si="1109"/>
        <v>9.4901516999999999E-6</v>
      </c>
      <c r="IY59" s="1319">
        <f t="shared" ca="1" si="1138"/>
        <v>0.15406335700000001</v>
      </c>
      <c r="IZ59" s="1319">
        <f t="shared" ca="1" si="1138"/>
        <v>0.194333266</v>
      </c>
      <c r="JA59" s="1319">
        <f t="shared" ca="1" si="1138"/>
        <v>1.1263461299999999</v>
      </c>
      <c r="JB59" s="1319">
        <f t="shared" ca="1" si="1138"/>
        <v>0</v>
      </c>
      <c r="JC59" s="1319">
        <f t="shared" ca="1" si="1138"/>
        <v>0.19433299100000001</v>
      </c>
      <c r="JD59" s="1319">
        <f t="shared" ca="1" si="1138"/>
        <v>0</v>
      </c>
      <c r="JE59" s="1319">
        <f t="shared" ca="1" si="1138"/>
        <v>0.194333266</v>
      </c>
      <c r="JF59" s="1319">
        <f t="shared" ca="1" si="1138"/>
        <v>0</v>
      </c>
      <c r="JG59" s="1319">
        <f t="shared" ca="1" si="1138"/>
        <v>0</v>
      </c>
      <c r="JH59" s="1319">
        <f t="shared" ca="1" si="1138"/>
        <v>2.75094958E-7</v>
      </c>
      <c r="JT59" s="1319">
        <f t="shared" ca="1" si="1139"/>
        <v>0</v>
      </c>
      <c r="JU59" s="1319">
        <f t="shared" ca="1" si="1139"/>
        <v>0</v>
      </c>
      <c r="JV59" s="1319">
        <f t="shared" ca="1" si="1139"/>
        <v>0</v>
      </c>
      <c r="JW59" s="1319">
        <f t="shared" ca="1" si="1139"/>
        <v>0</v>
      </c>
      <c r="JX59" s="1319">
        <f t="shared" ca="1" si="1139"/>
        <v>0</v>
      </c>
      <c r="JY59" s="1319">
        <f t="shared" ca="1" si="1139"/>
        <v>0</v>
      </c>
      <c r="JZ59" s="1319">
        <f t="shared" ca="1" si="1139"/>
        <v>0</v>
      </c>
      <c r="KA59" s="1319">
        <f t="shared" ca="1" si="1139"/>
        <v>0</v>
      </c>
      <c r="KB59" s="1319">
        <f t="shared" ca="1" si="1139"/>
        <v>0</v>
      </c>
      <c r="KC59" s="1319">
        <f t="shared" ca="1" si="1139"/>
        <v>0</v>
      </c>
      <c r="KL59" s="1319">
        <f t="shared" ca="1" si="1140"/>
        <v>0</v>
      </c>
      <c r="KM59" s="1319">
        <f t="shared" ca="1" si="1140"/>
        <v>0</v>
      </c>
      <c r="KN59" s="1319">
        <f t="shared" ca="1" si="1140"/>
        <v>0</v>
      </c>
      <c r="KO59" s="1319">
        <f t="shared" ca="1" si="1140"/>
        <v>0</v>
      </c>
      <c r="KP59" s="1319">
        <f t="shared" ca="1" si="1140"/>
        <v>0</v>
      </c>
      <c r="KQ59" s="1319">
        <f t="shared" ca="1" si="1140"/>
        <v>0</v>
      </c>
      <c r="KR59" s="1319">
        <f t="shared" ca="1" si="1140"/>
        <v>0</v>
      </c>
      <c r="LA59" s="1319">
        <f t="shared" ca="1" si="1141"/>
        <v>1.3830152399999999E-3</v>
      </c>
      <c r="LB59" s="1319">
        <f t="shared" ca="1" si="1141"/>
        <v>3.19678121E-4</v>
      </c>
      <c r="LC59" s="1319">
        <f t="shared" ca="1" si="1141"/>
        <v>1.70269336E-3</v>
      </c>
      <c r="LD59" s="1319">
        <f t="shared" ca="1" si="1141"/>
        <v>1.70269336E-3</v>
      </c>
      <c r="LE59" s="1319">
        <f t="shared" ca="1" si="1141"/>
        <v>0</v>
      </c>
      <c r="LF59" s="1319">
        <f t="shared" ca="1" si="1141"/>
        <v>0</v>
      </c>
      <c r="LG59" s="1319">
        <f t="shared" ca="1" si="1141"/>
        <v>0</v>
      </c>
      <c r="LH59" s="1319">
        <f t="shared" ca="1" si="1141"/>
        <v>0</v>
      </c>
      <c r="LI59" s="1319">
        <f t="shared" ca="1" si="1141"/>
        <v>0</v>
      </c>
      <c r="LJ59" s="1319">
        <f t="shared" ca="1" si="1141"/>
        <v>0</v>
      </c>
      <c r="LK59" s="1319">
        <f t="shared" ca="1" si="1141"/>
        <v>0</v>
      </c>
      <c r="LW59" s="1319">
        <f t="shared" ca="1" si="1113"/>
        <v>0</v>
      </c>
      <c r="LX59" s="1319">
        <f t="shared" ca="1" si="1142"/>
        <v>0</v>
      </c>
      <c r="LY59" s="1319">
        <f t="shared" ca="1" si="1142"/>
        <v>13.727160899999999</v>
      </c>
      <c r="LZ59" s="1319">
        <f t="shared" ca="1" si="1142"/>
        <v>0.15406335700000001</v>
      </c>
      <c r="MA59" s="1319">
        <f t="shared" ca="1" si="1142"/>
        <v>13.8812243</v>
      </c>
      <c r="MB59" s="1319">
        <f t="shared" ca="1" si="1142"/>
        <v>1.70269336E-3</v>
      </c>
      <c r="MC59" s="1319">
        <f t="shared" ca="1" si="1142"/>
        <v>0</v>
      </c>
      <c r="MD59" s="1319">
        <f t="shared" ca="1" si="1142"/>
        <v>0</v>
      </c>
      <c r="ME59" s="1319">
        <f t="shared" ca="1" si="1142"/>
        <v>0</v>
      </c>
      <c r="MF59" s="1319">
        <f t="shared" ca="1" si="1142"/>
        <v>0</v>
      </c>
      <c r="MG59" s="1319">
        <f t="shared" ca="1" si="1142"/>
        <v>0</v>
      </c>
      <c r="MH59" s="1319">
        <f t="shared" ca="1" si="1143"/>
        <v>0</v>
      </c>
      <c r="MI59" s="1319">
        <f t="shared" ca="1" si="1143"/>
        <v>0</v>
      </c>
      <c r="MJ59" s="1319">
        <f t="shared" ca="1" si="1142"/>
        <v>0</v>
      </c>
      <c r="MK59" s="1319">
        <f t="shared" ca="1" si="1142"/>
        <v>0</v>
      </c>
      <c r="ML59" s="1319">
        <f t="shared" ca="1" si="1142"/>
        <v>0</v>
      </c>
      <c r="MM59" s="1319">
        <f t="shared" ca="1" si="1142"/>
        <v>0</v>
      </c>
      <c r="MN59" s="1319">
        <f t="shared" ca="1" si="1142"/>
        <v>0</v>
      </c>
      <c r="MO59" s="1319">
        <f t="shared" ca="1" si="1142"/>
        <v>0</v>
      </c>
      <c r="NA59" s="1319">
        <f t="shared" ca="1" si="1144"/>
        <v>0.72564463300000004</v>
      </c>
      <c r="NB59" s="1319">
        <f t="shared" ca="1" si="1144"/>
        <v>4.6532143499999998E-2</v>
      </c>
      <c r="NC59" s="1319">
        <f t="shared" ca="1" si="1144"/>
        <v>0.67911248899999999</v>
      </c>
      <c r="ND59" s="1319">
        <f t="shared" ca="1" si="1144"/>
        <v>0</v>
      </c>
      <c r="NE59" s="1319">
        <f t="shared" ca="1" si="1144"/>
        <v>0</v>
      </c>
      <c r="NF59" s="1319">
        <f t="shared" ca="1" si="1144"/>
        <v>0</v>
      </c>
      <c r="NG59" s="1319">
        <f t="shared" ca="1" si="1144"/>
        <v>0</v>
      </c>
      <c r="NH59" s="1319">
        <f t="shared" ca="1" si="1144"/>
        <v>0</v>
      </c>
      <c r="NI59" s="1319">
        <f t="shared" ca="1" si="1144"/>
        <v>0</v>
      </c>
      <c r="NJ59" s="1319">
        <f t="shared" ca="1" si="1144"/>
        <v>0</v>
      </c>
      <c r="NK59" s="1319">
        <f t="shared" ca="1" si="1144"/>
        <v>0</v>
      </c>
      <c r="NL59" s="1319">
        <f t="shared" ca="1" si="1144"/>
        <v>0</v>
      </c>
      <c r="NM59" s="1319">
        <f t="shared" ca="1" si="1144"/>
        <v>0</v>
      </c>
      <c r="NN59" s="1319">
        <f t="shared" ca="1" si="1144"/>
        <v>0</v>
      </c>
      <c r="NO59" s="1319">
        <f t="shared" ca="1" si="1144"/>
        <v>0</v>
      </c>
      <c r="NP59" s="1319">
        <f t="shared" ca="1" si="1144"/>
        <v>0</v>
      </c>
      <c r="OH59" s="1319">
        <f t="shared" ca="1" si="1145"/>
        <v>0</v>
      </c>
      <c r="OI59" s="1319">
        <f t="shared" ca="1" si="1145"/>
        <v>0</v>
      </c>
      <c r="OJ59" s="1319">
        <f t="shared" ca="1" si="1145"/>
        <v>0</v>
      </c>
      <c r="OK59" s="1319">
        <f t="shared" ca="1" si="1145"/>
        <v>0</v>
      </c>
      <c r="OL59" s="1319">
        <f t="shared" ca="1" si="1145"/>
        <v>0</v>
      </c>
      <c r="OM59" s="1319">
        <f t="shared" ca="1" si="1145"/>
        <v>0</v>
      </c>
      <c r="ON59" s="1319">
        <f t="shared" ca="1" si="1145"/>
        <v>0</v>
      </c>
      <c r="OO59" s="1319">
        <f t="shared" ca="1" si="1145"/>
        <v>0</v>
      </c>
      <c r="PA59" s="1319">
        <f t="shared" ca="1" si="1146"/>
        <v>0</v>
      </c>
      <c r="PB59" s="1319">
        <f t="shared" ca="1" si="1146"/>
        <v>0</v>
      </c>
      <c r="PC59" s="1319">
        <f t="shared" ca="1" si="1146"/>
        <v>0</v>
      </c>
      <c r="PD59" s="1319">
        <f t="shared" ca="1" si="1146"/>
        <v>0</v>
      </c>
      <c r="PE59" s="1319">
        <f t="shared" ca="1" si="1146"/>
        <v>0</v>
      </c>
      <c r="PF59" s="1319">
        <f t="shared" ca="1" si="1146"/>
        <v>0</v>
      </c>
      <c r="PG59" s="1319">
        <f t="shared" ca="1" si="1146"/>
        <v>0</v>
      </c>
      <c r="PH59" s="1319">
        <f t="shared" ca="1" si="1146"/>
        <v>0</v>
      </c>
      <c r="PI59" s="1319">
        <f t="shared" ca="1" si="1146"/>
        <v>0</v>
      </c>
      <c r="PJ59" s="1319">
        <f t="shared" ca="1" si="1146"/>
        <v>0</v>
      </c>
      <c r="PK59" s="1319">
        <f t="shared" ca="1" si="1146"/>
        <v>0</v>
      </c>
      <c r="PW59" s="1319">
        <f t="shared" ca="1" si="1147"/>
        <v>0</v>
      </c>
      <c r="PX59" s="1319">
        <f t="shared" ca="1" si="1147"/>
        <v>0</v>
      </c>
      <c r="PY59" s="1319">
        <f t="shared" ca="1" si="1147"/>
        <v>0</v>
      </c>
      <c r="PZ59" s="1319">
        <f t="shared" ca="1" si="1147"/>
        <v>0</v>
      </c>
    </row>
    <row r="60" spans="1:442" x14ac:dyDescent="0.25">
      <c r="A60" s="189">
        <v>21</v>
      </c>
      <c r="B60" s="189" t="s">
        <v>1256</v>
      </c>
      <c r="C60" s="1317" t="s">
        <v>1286</v>
      </c>
      <c r="D60" s="1317" t="s">
        <v>206</v>
      </c>
      <c r="J60" s="1319">
        <f t="shared" ca="1" si="1093"/>
        <v>0</v>
      </c>
      <c r="K60" s="1319">
        <f t="shared" ca="1" si="1122"/>
        <v>0</v>
      </c>
      <c r="T60" s="1319">
        <f t="shared" ca="1" si="1094"/>
        <v>0</v>
      </c>
      <c r="U60" s="1319">
        <f t="shared" ca="1" si="1123"/>
        <v>0</v>
      </c>
      <c r="V60" s="1319">
        <f t="shared" ca="1" si="1123"/>
        <v>171.972779</v>
      </c>
      <c r="W60" s="1319">
        <f t="shared" ca="1" si="1123"/>
        <v>0</v>
      </c>
      <c r="X60" s="1319">
        <f t="shared" ca="1" si="1123"/>
        <v>0</v>
      </c>
      <c r="Y60" s="1319">
        <f t="shared" ca="1" si="1123"/>
        <v>663.86414600000001</v>
      </c>
      <c r="Z60" s="1319">
        <f t="shared" ca="1" si="1123"/>
        <v>204.25187199999999</v>
      </c>
      <c r="AA60" s="1319">
        <f t="shared" ca="1" si="1123"/>
        <v>459.61227399999996</v>
      </c>
      <c r="AB60" s="1319">
        <f t="shared" ca="1" si="1123"/>
        <v>0</v>
      </c>
      <c r="AC60" s="1319">
        <f t="shared" ca="1" si="1123"/>
        <v>171.972779</v>
      </c>
      <c r="AD60" s="1319">
        <f t="shared" ca="1" si="1123"/>
        <v>0</v>
      </c>
      <c r="AM60" s="1319">
        <f t="shared" ca="1" si="1095"/>
        <v>0</v>
      </c>
      <c r="AN60" s="1319">
        <f t="shared" ca="1" si="1095"/>
        <v>0</v>
      </c>
      <c r="AO60" s="1319">
        <f t="shared" ca="1" si="1128"/>
        <v>459.61227399999996</v>
      </c>
      <c r="AP60" s="1319">
        <f t="shared" ca="1" si="1128"/>
        <v>459.61227399999996</v>
      </c>
      <c r="AQ60" s="1319">
        <f t="shared" ca="1" si="1128"/>
        <v>123.52410400000001</v>
      </c>
      <c r="AR60" s="1319">
        <f t="shared" ca="1" si="1128"/>
        <v>197.18059700000001</v>
      </c>
      <c r="AS60" s="1319">
        <f t="shared" ca="1" si="1128"/>
        <v>7.0712751099999993</v>
      </c>
      <c r="AT60" s="1319">
        <f t="shared" ca="1" si="1095"/>
        <v>273.27157399999999</v>
      </c>
      <c r="AU60" s="1319">
        <f t="shared" ca="1" si="1095"/>
        <v>47.433127599999999</v>
      </c>
      <c r="AV60" s="1319">
        <f t="shared" ca="1" si="1095"/>
        <v>336.08816999999999</v>
      </c>
      <c r="AW60" s="1319">
        <f t="shared" ca="1" si="1095"/>
        <v>273.27157399999999</v>
      </c>
      <c r="AX60" s="1319">
        <f t="shared" ca="1" si="1095"/>
        <v>327.77597600000001</v>
      </c>
      <c r="AY60" s="1319">
        <f t="shared" ca="1" si="1095"/>
        <v>0</v>
      </c>
      <c r="AZ60" s="1319">
        <f t="shared" ca="1" si="1095"/>
        <v>0</v>
      </c>
      <c r="BA60" s="1319">
        <f t="shared" ca="1" si="1095"/>
        <v>0</v>
      </c>
      <c r="BB60" s="1319">
        <f t="shared" ca="1" si="1095"/>
        <v>336.08816999999999</v>
      </c>
      <c r="BN60" s="1319">
        <f t="shared" ca="1" si="1129"/>
        <v>33.608820899999998</v>
      </c>
      <c r="BO60" s="1319">
        <f t="shared" ca="1" si="1129"/>
        <v>33.3668026</v>
      </c>
      <c r="BP60" s="1319">
        <f t="shared" ca="1" si="1129"/>
        <v>0.24201836400000001</v>
      </c>
      <c r="BQ60" s="1319">
        <f t="shared" ca="1" si="1129"/>
        <v>0</v>
      </c>
      <c r="BR60" s="1319">
        <f t="shared" ca="1" si="1129"/>
        <v>0</v>
      </c>
      <c r="CD60" s="1319">
        <f t="shared" ca="1" si="1130"/>
        <v>336.08816999999999</v>
      </c>
      <c r="CE60" s="1319">
        <f t="shared" ca="1" si="1130"/>
        <v>336.08816999999999</v>
      </c>
      <c r="CF60" s="1319">
        <f t="shared" ca="1" si="1130"/>
        <v>33.608820899999998</v>
      </c>
      <c r="CG60" s="1319">
        <f t="shared" ca="1" si="1130"/>
        <v>33.3668026</v>
      </c>
      <c r="CH60" s="1319">
        <f t="shared" ca="1" si="1130"/>
        <v>336.08816999999999</v>
      </c>
      <c r="CI60" s="1319">
        <f t="shared" ca="1" si="1130"/>
        <v>0</v>
      </c>
      <c r="CJ60" s="1319">
        <f t="shared" ca="1" si="1130"/>
        <v>0</v>
      </c>
      <c r="CK60" s="1319">
        <f t="shared" ca="1" si="1130"/>
        <v>333.52382999999998</v>
      </c>
      <c r="CL60" s="1319">
        <f t="shared" ca="1" si="1130"/>
        <v>2.3223612</v>
      </c>
      <c r="CM60" s="1319">
        <f t="shared" ca="1" si="1130"/>
        <v>0</v>
      </c>
      <c r="CN60" s="1319">
        <f t="shared" ca="1" si="1130"/>
        <v>336.23084699999998</v>
      </c>
      <c r="CO60" s="1319">
        <f t="shared" ca="1" si="1130"/>
        <v>2.7070171599999999</v>
      </c>
      <c r="DA60" s="1319">
        <f t="shared" ca="1" si="1131"/>
        <v>0</v>
      </c>
      <c r="DB60" s="1319">
        <f t="shared" ca="1" si="1131"/>
        <v>0</v>
      </c>
      <c r="DC60" s="1319">
        <f t="shared" ca="1" si="1131"/>
        <v>0</v>
      </c>
      <c r="DD60" s="1319">
        <f t="shared" ca="1" si="1131"/>
        <v>0</v>
      </c>
      <c r="DE60" s="1319">
        <f t="shared" ca="1" si="1131"/>
        <v>0</v>
      </c>
      <c r="DF60" s="1319">
        <f t="shared" ca="1" si="1131"/>
        <v>0</v>
      </c>
      <c r="DG60" s="1319">
        <f t="shared" ca="1" si="1131"/>
        <v>0</v>
      </c>
      <c r="DH60" s="1319">
        <f t="shared" ca="1" si="1131"/>
        <v>0</v>
      </c>
      <c r="DI60" s="1319">
        <f t="shared" ca="1" si="1131"/>
        <v>0</v>
      </c>
      <c r="DJ60" s="1319">
        <f t="shared" ca="1" si="1131"/>
        <v>0</v>
      </c>
      <c r="DV60" s="1319">
        <f t="shared" ca="1" si="1132"/>
        <v>0</v>
      </c>
      <c r="DW60" s="1319">
        <f t="shared" ca="1" si="1132"/>
        <v>0</v>
      </c>
      <c r="DX60" s="1319">
        <f t="shared" ca="1" si="1132"/>
        <v>0</v>
      </c>
      <c r="DY60" s="1319">
        <f t="shared" ca="1" si="1132"/>
        <v>0</v>
      </c>
      <c r="DZ60" s="1319">
        <f t="shared" ca="1" si="1132"/>
        <v>0</v>
      </c>
      <c r="EA60" s="1319">
        <f t="shared" ca="1" si="1132"/>
        <v>0</v>
      </c>
      <c r="EB60" s="1319">
        <f t="shared" ca="1" si="1132"/>
        <v>0</v>
      </c>
      <c r="EC60" s="1319">
        <f t="shared" ca="1" si="1132"/>
        <v>0</v>
      </c>
      <c r="ED60" s="1319">
        <f t="shared" ca="1" si="1132"/>
        <v>0</v>
      </c>
      <c r="EE60" s="1319">
        <f t="shared" ca="1" si="1132"/>
        <v>0</v>
      </c>
      <c r="EF60" s="1319">
        <f t="shared" ca="1" si="1132"/>
        <v>0</v>
      </c>
      <c r="EG60" s="1319">
        <f t="shared" ca="1" si="1132"/>
        <v>0</v>
      </c>
      <c r="EH60" s="1319">
        <f t="shared" ca="1" si="1132"/>
        <v>0</v>
      </c>
      <c r="EI60" s="1319">
        <f t="shared" ca="1" si="1132"/>
        <v>0</v>
      </c>
      <c r="EJ60" s="1319">
        <f t="shared" ca="1" si="1101"/>
        <v>0</v>
      </c>
      <c r="EK60" s="1319">
        <f t="shared" ca="1" si="1132"/>
        <v>0</v>
      </c>
      <c r="EW60" s="1319">
        <f t="shared" ca="1" si="1133"/>
        <v>336.23084699999998</v>
      </c>
      <c r="EX60" s="1319">
        <f t="shared" ca="1" si="1133"/>
        <v>336.23084699999998</v>
      </c>
      <c r="EY60" s="1319">
        <f t="shared" ca="1" si="1133"/>
        <v>164.10960800000001</v>
      </c>
      <c r="EZ60" s="1319">
        <f t="shared" ca="1" si="1133"/>
        <v>164.10960800000001</v>
      </c>
      <c r="FA60" s="1319">
        <f t="shared" ca="1" si="1133"/>
        <v>0.14841078199999999</v>
      </c>
      <c r="FB60" s="1319">
        <f t="shared" ca="1" si="1133"/>
        <v>171.97282799999999</v>
      </c>
      <c r="FN60" s="1319">
        <f t="shared" ca="1" si="1134"/>
        <v>0.24201836400000001</v>
      </c>
      <c r="FO60" s="1319">
        <f t="shared" ca="1" si="1134"/>
        <v>2.3223612</v>
      </c>
      <c r="FP60" s="1319">
        <f t="shared" ca="1" si="1134"/>
        <v>0.14841078199999999</v>
      </c>
      <c r="FQ60" s="1319">
        <f t="shared" ca="1" si="1134"/>
        <v>171.97282799999999</v>
      </c>
      <c r="FR60" s="1319">
        <f t="shared" ca="1" si="1134"/>
        <v>4.9639969599999997E-5</v>
      </c>
      <c r="FS60" s="1319">
        <f t="shared" ca="1" si="1134"/>
        <v>171.972779</v>
      </c>
      <c r="FT60" s="1319">
        <f t="shared" ca="1" si="1134"/>
        <v>0</v>
      </c>
      <c r="FU60" s="1319">
        <f t="shared" ca="1" si="1134"/>
        <v>2.7127903500000001</v>
      </c>
      <c r="FV60" s="1319">
        <f t="shared" ca="1" si="1134"/>
        <v>0</v>
      </c>
      <c r="FW60" s="1319">
        <f t="shared" ca="1" si="1134"/>
        <v>5.7731878899999999E-3</v>
      </c>
      <c r="FX60" s="1319">
        <f t="shared" ca="1" si="1134"/>
        <v>2.7070171599999999</v>
      </c>
      <c r="GJ60" s="1319">
        <f t="shared" ca="1" si="1135"/>
        <v>4.9639969599999997E-5</v>
      </c>
      <c r="GK60" s="1319">
        <f t="shared" ca="1" si="1135"/>
        <v>4.9639969599999997E-5</v>
      </c>
      <c r="GL60" s="1319">
        <f t="shared" ca="1" si="1135"/>
        <v>0</v>
      </c>
      <c r="GM60" s="1319">
        <f t="shared" ca="1" si="1135"/>
        <v>4.9639969599999997E-5</v>
      </c>
      <c r="GN60" s="1319">
        <f t="shared" ca="1" si="1135"/>
        <v>4.9639969599999997E-5</v>
      </c>
      <c r="GO60" s="1319">
        <f t="shared" ca="1" si="1135"/>
        <v>0</v>
      </c>
      <c r="GP60" s="1319">
        <f t="shared" ca="1" si="1135"/>
        <v>4.9639969599999997E-5</v>
      </c>
      <c r="GQ60" s="1319">
        <f t="shared" ca="1" si="1135"/>
        <v>0</v>
      </c>
      <c r="HC60" s="1319">
        <f t="shared" ca="1" si="1136"/>
        <v>164.10960800000001</v>
      </c>
      <c r="HD60" s="1319">
        <f t="shared" ca="1" si="1136"/>
        <v>157.999549</v>
      </c>
      <c r="HE60" s="1319">
        <f t="shared" ca="1" si="1136"/>
        <v>0</v>
      </c>
      <c r="HF60" s="1319">
        <f t="shared" ca="1" si="1136"/>
        <v>0.65468875000000004</v>
      </c>
      <c r="HG60" s="1319">
        <f t="shared" ca="1" si="1136"/>
        <v>5.4553707400000002</v>
      </c>
      <c r="HH60" s="1319">
        <f t="shared" ca="1" si="1136"/>
        <v>157.999549</v>
      </c>
      <c r="HT60" s="1319">
        <f t="shared" ca="1" si="1137"/>
        <v>327.77597600000001</v>
      </c>
      <c r="HU60" s="1319">
        <f t="shared" ca="1" si="1137"/>
        <v>157.999549</v>
      </c>
      <c r="HV60" s="1319">
        <f t="shared" ca="1" si="1137"/>
        <v>485.77552500000007</v>
      </c>
      <c r="HW60" s="1319">
        <f t="shared" ca="1" si="1137"/>
        <v>485.77552500000007</v>
      </c>
      <c r="HX60" s="1319">
        <f t="shared" ca="1" si="1137"/>
        <v>39.783814300000003</v>
      </c>
      <c r="HY60" s="1319">
        <f t="shared" ca="1" si="1137"/>
        <v>3.02532947</v>
      </c>
      <c r="HZ60" s="1319">
        <f t="shared" ca="1" si="1137"/>
        <v>0.91085412600000004</v>
      </c>
      <c r="IA60" s="1319">
        <f t="shared" ca="1" si="1137"/>
        <v>2.0068159799999999E-4</v>
      </c>
      <c r="IB60" s="1319">
        <f t="shared" ca="1" si="1137"/>
        <v>0</v>
      </c>
      <c r="IC60" s="1319">
        <f t="shared" ca="1" si="1137"/>
        <v>0</v>
      </c>
      <c r="ID60" s="1319">
        <f t="shared" ca="1" si="1137"/>
        <v>0</v>
      </c>
      <c r="IE60" s="1319">
        <f t="shared" ca="1" si="1137"/>
        <v>0</v>
      </c>
      <c r="IQ60" s="1319">
        <f t="shared" ca="1" si="1138"/>
        <v>39.783814300000003</v>
      </c>
      <c r="IR60" s="1319">
        <f t="shared" ca="1" si="1138"/>
        <v>3.02532947</v>
      </c>
      <c r="IS60" s="1319">
        <f t="shared" ca="1" si="1138"/>
        <v>5.8924365499999999E-2</v>
      </c>
      <c r="IT60" s="1319">
        <f t="shared" ca="1" si="1138"/>
        <v>3.0842538300000002</v>
      </c>
      <c r="IU60" s="1319">
        <f t="shared" ca="1" si="1108"/>
        <v>2.8785233899999998</v>
      </c>
      <c r="IV60" s="1319">
        <f t="shared" ca="1" si="1138"/>
        <v>1.7272707700000001</v>
      </c>
      <c r="IW60" s="1319">
        <f t="shared" ca="1" si="1138"/>
        <v>1.4141847700000001</v>
      </c>
      <c r="IX60" s="1319">
        <f t="shared" ca="1" si="1109"/>
        <v>3.5790132299999999E-2</v>
      </c>
      <c r="IY60" s="1319">
        <f t="shared" ca="1" si="1138"/>
        <v>0.20573044700000001</v>
      </c>
      <c r="IZ60" s="1319">
        <f t="shared" ca="1" si="1138"/>
        <v>0.25416173800000003</v>
      </c>
      <c r="JA60" s="1319">
        <f t="shared" ca="1" si="1138"/>
        <v>1.47310914</v>
      </c>
      <c r="JB60" s="1319">
        <f t="shared" ca="1" si="1138"/>
        <v>0</v>
      </c>
      <c r="JC60" s="1319">
        <f t="shared" ca="1" si="1138"/>
        <v>0.25396105699999999</v>
      </c>
      <c r="JD60" s="1319">
        <f t="shared" ca="1" si="1138"/>
        <v>0</v>
      </c>
      <c r="JE60" s="1319">
        <f t="shared" ca="1" si="1138"/>
        <v>0.25416173800000003</v>
      </c>
      <c r="JF60" s="1319">
        <f t="shared" ca="1" si="1138"/>
        <v>0</v>
      </c>
      <c r="JG60" s="1319">
        <f t="shared" ca="1" si="1138"/>
        <v>0</v>
      </c>
      <c r="JH60" s="1319">
        <f t="shared" ca="1" si="1138"/>
        <v>2.0068159799999999E-4</v>
      </c>
      <c r="JT60" s="1319">
        <f t="shared" ca="1" si="1139"/>
        <v>0</v>
      </c>
      <c r="JU60" s="1319">
        <f t="shared" ca="1" si="1139"/>
        <v>0</v>
      </c>
      <c r="JV60" s="1319">
        <f t="shared" ca="1" si="1139"/>
        <v>0</v>
      </c>
      <c r="JW60" s="1319">
        <f t="shared" ca="1" si="1139"/>
        <v>0</v>
      </c>
      <c r="JX60" s="1319">
        <f t="shared" ca="1" si="1139"/>
        <v>4.9639969599999997E-5</v>
      </c>
      <c r="JY60" s="1319">
        <f t="shared" ca="1" si="1139"/>
        <v>0</v>
      </c>
      <c r="JZ60" s="1319">
        <f t="shared" ca="1" si="1139"/>
        <v>4.9639969599999997E-5</v>
      </c>
      <c r="KA60" s="1319">
        <f t="shared" ca="1" si="1139"/>
        <v>0</v>
      </c>
      <c r="KB60" s="1319">
        <f t="shared" ca="1" si="1139"/>
        <v>0</v>
      </c>
      <c r="KC60" s="1319">
        <f t="shared" ca="1" si="1139"/>
        <v>0</v>
      </c>
      <c r="KL60" s="1319">
        <f t="shared" ca="1" si="1140"/>
        <v>0</v>
      </c>
      <c r="KM60" s="1319">
        <f t="shared" ca="1" si="1140"/>
        <v>0</v>
      </c>
      <c r="KN60" s="1319">
        <f t="shared" ca="1" si="1140"/>
        <v>0</v>
      </c>
      <c r="KO60" s="1319">
        <f t="shared" ca="1" si="1140"/>
        <v>0</v>
      </c>
      <c r="KP60" s="1319">
        <f t="shared" ca="1" si="1140"/>
        <v>0</v>
      </c>
      <c r="KQ60" s="1319">
        <f t="shared" ca="1" si="1140"/>
        <v>0</v>
      </c>
      <c r="KR60" s="1319">
        <f t="shared" ca="1" si="1140"/>
        <v>0</v>
      </c>
      <c r="LA60" s="1319">
        <f t="shared" ca="1" si="1141"/>
        <v>0.65468875000000004</v>
      </c>
      <c r="LB60" s="1319">
        <f t="shared" ca="1" si="1141"/>
        <v>0.91085412600000004</v>
      </c>
      <c r="LC60" s="1319">
        <f t="shared" ca="1" si="1141"/>
        <v>1.56554288</v>
      </c>
      <c r="LD60" s="1319">
        <f t="shared" ca="1" si="1141"/>
        <v>1.56554288</v>
      </c>
      <c r="LE60" s="1319">
        <f t="shared" ca="1" si="1141"/>
        <v>0</v>
      </c>
      <c r="LF60" s="1319">
        <f t="shared" ca="1" si="1141"/>
        <v>0</v>
      </c>
      <c r="LG60" s="1319">
        <f t="shared" ca="1" si="1141"/>
        <v>0</v>
      </c>
      <c r="LH60" s="1319">
        <f t="shared" ca="1" si="1141"/>
        <v>0</v>
      </c>
      <c r="LI60" s="1319">
        <f t="shared" ca="1" si="1141"/>
        <v>0</v>
      </c>
      <c r="LJ60" s="1319">
        <f t="shared" ca="1" si="1141"/>
        <v>0</v>
      </c>
      <c r="LK60" s="1319">
        <f t="shared" ca="1" si="1141"/>
        <v>0</v>
      </c>
      <c r="LW60" s="1319">
        <f t="shared" ca="1" si="1113"/>
        <v>0</v>
      </c>
      <c r="LX60" s="1319">
        <f t="shared" ca="1" si="1142"/>
        <v>0</v>
      </c>
      <c r="LY60" s="1319">
        <f t="shared" ca="1" si="1142"/>
        <v>5.4553707400000002</v>
      </c>
      <c r="LZ60" s="1319">
        <f t="shared" ca="1" si="1142"/>
        <v>0.20573044700000001</v>
      </c>
      <c r="MA60" s="1319">
        <f t="shared" ca="1" si="1142"/>
        <v>5.6611011800000002</v>
      </c>
      <c r="MB60" s="1319">
        <f t="shared" ca="1" si="1142"/>
        <v>1.56554288</v>
      </c>
      <c r="MC60" s="1319">
        <f t="shared" ca="1" si="1142"/>
        <v>0</v>
      </c>
      <c r="MD60" s="1319">
        <f t="shared" ca="1" si="1142"/>
        <v>0</v>
      </c>
      <c r="ME60" s="1319">
        <f t="shared" ca="1" si="1142"/>
        <v>0</v>
      </c>
      <c r="MF60" s="1319">
        <f t="shared" ca="1" si="1142"/>
        <v>0</v>
      </c>
      <c r="MG60" s="1319">
        <f t="shared" ca="1" si="1142"/>
        <v>0</v>
      </c>
      <c r="MH60" s="1319">
        <f t="shared" ca="1" si="1143"/>
        <v>0</v>
      </c>
      <c r="MI60" s="1319">
        <f t="shared" ca="1" si="1143"/>
        <v>0</v>
      </c>
      <c r="MJ60" s="1319">
        <f t="shared" ca="1" si="1142"/>
        <v>0</v>
      </c>
      <c r="MK60" s="1319">
        <f t="shared" ca="1" si="1142"/>
        <v>0</v>
      </c>
      <c r="ML60" s="1319">
        <f t="shared" ca="1" si="1142"/>
        <v>0</v>
      </c>
      <c r="MM60" s="1319">
        <f t="shared" ca="1" si="1142"/>
        <v>0</v>
      </c>
      <c r="MN60" s="1319">
        <f t="shared" ca="1" si="1142"/>
        <v>0</v>
      </c>
      <c r="MO60" s="1319">
        <f t="shared" ca="1" si="1142"/>
        <v>0</v>
      </c>
      <c r="NA60" s="1319">
        <f t="shared" ca="1" si="1144"/>
        <v>204.25187199999999</v>
      </c>
      <c r="NB60" s="1319">
        <f t="shared" ca="1" si="1144"/>
        <v>197.18059700000001</v>
      </c>
      <c r="NC60" s="1319">
        <f t="shared" ca="1" si="1144"/>
        <v>7.0712751099999993</v>
      </c>
      <c r="ND60" s="1319">
        <f t="shared" ca="1" si="1144"/>
        <v>0</v>
      </c>
      <c r="NE60" s="1319">
        <f t="shared" ca="1" si="1144"/>
        <v>0</v>
      </c>
      <c r="NF60" s="1319">
        <f t="shared" ca="1" si="1144"/>
        <v>0</v>
      </c>
      <c r="NG60" s="1319">
        <f t="shared" ca="1" si="1144"/>
        <v>0</v>
      </c>
      <c r="NH60" s="1319">
        <f t="shared" ca="1" si="1144"/>
        <v>0</v>
      </c>
      <c r="NI60" s="1319">
        <f t="shared" ca="1" si="1144"/>
        <v>0</v>
      </c>
      <c r="NJ60" s="1319">
        <f t="shared" ca="1" si="1144"/>
        <v>0</v>
      </c>
      <c r="NK60" s="1319">
        <f t="shared" ca="1" si="1144"/>
        <v>0</v>
      </c>
      <c r="NL60" s="1319">
        <f t="shared" ca="1" si="1144"/>
        <v>0</v>
      </c>
      <c r="NM60" s="1319">
        <f t="shared" ca="1" si="1144"/>
        <v>0</v>
      </c>
      <c r="NN60" s="1319">
        <f t="shared" ca="1" si="1144"/>
        <v>0</v>
      </c>
      <c r="NO60" s="1319">
        <f t="shared" ca="1" si="1144"/>
        <v>0</v>
      </c>
      <c r="NP60" s="1319">
        <f t="shared" ca="1" si="1144"/>
        <v>0</v>
      </c>
      <c r="OH60" s="1319">
        <f t="shared" ca="1" si="1145"/>
        <v>0</v>
      </c>
      <c r="OI60" s="1319">
        <f t="shared" ca="1" si="1145"/>
        <v>0</v>
      </c>
      <c r="OJ60" s="1319">
        <f t="shared" ca="1" si="1145"/>
        <v>0</v>
      </c>
      <c r="OK60" s="1319">
        <f t="shared" ca="1" si="1145"/>
        <v>0</v>
      </c>
      <c r="OL60" s="1319">
        <f t="shared" ca="1" si="1145"/>
        <v>0</v>
      </c>
      <c r="OM60" s="1319">
        <f t="shared" ca="1" si="1145"/>
        <v>0</v>
      </c>
      <c r="ON60" s="1319">
        <f t="shared" ca="1" si="1145"/>
        <v>0</v>
      </c>
      <c r="OO60" s="1319">
        <f t="shared" ca="1" si="1145"/>
        <v>0</v>
      </c>
      <c r="PA60" s="1319">
        <f t="shared" ca="1" si="1146"/>
        <v>0</v>
      </c>
      <c r="PB60" s="1319">
        <f t="shared" ca="1" si="1146"/>
        <v>0</v>
      </c>
      <c r="PC60" s="1319">
        <f t="shared" ca="1" si="1146"/>
        <v>0</v>
      </c>
      <c r="PD60" s="1319">
        <f t="shared" ca="1" si="1146"/>
        <v>0</v>
      </c>
      <c r="PE60" s="1319">
        <f t="shared" ca="1" si="1146"/>
        <v>0</v>
      </c>
      <c r="PF60" s="1319">
        <f t="shared" ca="1" si="1146"/>
        <v>0</v>
      </c>
      <c r="PG60" s="1319">
        <f t="shared" ca="1" si="1146"/>
        <v>0</v>
      </c>
      <c r="PH60" s="1319">
        <f t="shared" ca="1" si="1146"/>
        <v>0</v>
      </c>
      <c r="PI60" s="1319">
        <f t="shared" ca="1" si="1146"/>
        <v>0</v>
      </c>
      <c r="PJ60" s="1319">
        <f t="shared" ca="1" si="1146"/>
        <v>0</v>
      </c>
      <c r="PK60" s="1319">
        <f t="shared" ca="1" si="1146"/>
        <v>0</v>
      </c>
      <c r="PW60" s="1319">
        <f t="shared" ca="1" si="1147"/>
        <v>0</v>
      </c>
      <c r="PX60" s="1319">
        <f t="shared" ca="1" si="1147"/>
        <v>0</v>
      </c>
      <c r="PY60" s="1319">
        <f t="shared" ca="1" si="1147"/>
        <v>0</v>
      </c>
      <c r="PZ60" s="1319">
        <f t="shared" ca="1" si="1147"/>
        <v>0</v>
      </c>
    </row>
    <row r="61" spans="1:442" x14ac:dyDescent="0.25">
      <c r="A61" s="189">
        <v>22</v>
      </c>
      <c r="B61" s="189" t="s">
        <v>1256</v>
      </c>
      <c r="C61" s="1317" t="s">
        <v>1296</v>
      </c>
      <c r="D61" s="1317" t="s">
        <v>206</v>
      </c>
      <c r="J61" s="1319">
        <f t="shared" ca="1" si="1093"/>
        <v>0</v>
      </c>
      <c r="K61" s="1319">
        <f t="shared" ca="1" si="1122"/>
        <v>0</v>
      </c>
      <c r="T61" s="1319">
        <f t="shared" ca="1" si="1094"/>
        <v>0</v>
      </c>
      <c r="U61" s="1319">
        <f t="shared" ca="1" si="1123"/>
        <v>0</v>
      </c>
      <c r="V61" s="1319">
        <f t="shared" ca="1" si="1123"/>
        <v>0</v>
      </c>
      <c r="W61" s="1319">
        <f t="shared" ca="1" si="1123"/>
        <v>0</v>
      </c>
      <c r="X61" s="1319">
        <f t="shared" ca="1" si="1123"/>
        <v>0</v>
      </c>
      <c r="Y61" s="1319">
        <f t="shared" ca="1" si="1123"/>
        <v>1508.1550199999999</v>
      </c>
      <c r="Z61" s="1319">
        <f t="shared" ca="1" si="1123"/>
        <v>35.5507323</v>
      </c>
      <c r="AA61" s="1319">
        <f t="shared" ca="1" si="1123"/>
        <v>1472.60429</v>
      </c>
      <c r="AB61" s="1319">
        <f t="shared" ca="1" si="1123"/>
        <v>0</v>
      </c>
      <c r="AC61" s="1319">
        <f t="shared" ca="1" si="1123"/>
        <v>0</v>
      </c>
      <c r="AD61" s="1319">
        <f t="shared" ca="1" si="1123"/>
        <v>0</v>
      </c>
      <c r="AM61" s="1319">
        <f t="shared" ca="1" si="1095"/>
        <v>0</v>
      </c>
      <c r="AN61" s="1319">
        <f t="shared" ca="1" si="1095"/>
        <v>0</v>
      </c>
      <c r="AO61" s="1319">
        <f t="shared" ca="1" si="1128"/>
        <v>1472.60429</v>
      </c>
      <c r="AP61" s="1319">
        <f t="shared" ca="1" si="1128"/>
        <v>1472.60429</v>
      </c>
      <c r="AQ61" s="1319">
        <f t="shared" ca="1" si="1128"/>
        <v>22.78435</v>
      </c>
      <c r="AR61" s="1319">
        <f t="shared" ca="1" si="1128"/>
        <v>24.534647499999998</v>
      </c>
      <c r="AS61" s="1319">
        <f t="shared" ca="1" si="1128"/>
        <v>11.0160848</v>
      </c>
      <c r="AT61" s="1319">
        <f t="shared" ca="1" si="1095"/>
        <v>14.902437400000002</v>
      </c>
      <c r="AU61" s="1319">
        <f t="shared" ca="1" si="1095"/>
        <v>32.416559999999997</v>
      </c>
      <c r="AV61" s="1319">
        <f t="shared" ca="1" si="1095"/>
        <v>1449.8199400000001</v>
      </c>
      <c r="AW61" s="1319">
        <f t="shared" ca="1" si="1095"/>
        <v>14.902437400000002</v>
      </c>
      <c r="AX61" s="1319">
        <f t="shared" ca="1" si="1095"/>
        <v>58.335082300000003</v>
      </c>
      <c r="AY61" s="1319">
        <f t="shared" ca="1" si="1095"/>
        <v>0</v>
      </c>
      <c r="AZ61" s="1319">
        <f t="shared" ca="1" si="1095"/>
        <v>0</v>
      </c>
      <c r="BA61" s="1319">
        <f t="shared" ca="1" si="1095"/>
        <v>0</v>
      </c>
      <c r="BB61" s="1319">
        <f t="shared" ca="1" si="1095"/>
        <v>0</v>
      </c>
      <c r="BN61" s="1319">
        <f t="shared" ca="1" si="1129"/>
        <v>0</v>
      </c>
      <c r="BO61" s="1319">
        <f t="shared" ca="1" si="1129"/>
        <v>0</v>
      </c>
      <c r="BP61" s="1319">
        <f t="shared" ca="1" si="1129"/>
        <v>0</v>
      </c>
      <c r="BQ61" s="1319">
        <f t="shared" ca="1" si="1129"/>
        <v>0</v>
      </c>
      <c r="BR61" s="1319">
        <f t="shared" ca="1" si="1129"/>
        <v>0</v>
      </c>
      <c r="CD61" s="1319">
        <f t="shared" ca="1" si="1130"/>
        <v>0</v>
      </c>
      <c r="CE61" s="1319">
        <f t="shared" ca="1" si="1130"/>
        <v>0</v>
      </c>
      <c r="CF61" s="1319">
        <f t="shared" ca="1" si="1130"/>
        <v>0</v>
      </c>
      <c r="CG61" s="1319">
        <f t="shared" ca="1" si="1130"/>
        <v>0</v>
      </c>
      <c r="CH61" s="1319">
        <f t="shared" ca="1" si="1130"/>
        <v>0</v>
      </c>
      <c r="CI61" s="1319">
        <f t="shared" ca="1" si="1130"/>
        <v>0</v>
      </c>
      <c r="CJ61" s="1319">
        <f t="shared" ca="1" si="1130"/>
        <v>0</v>
      </c>
      <c r="CK61" s="1319">
        <f t="shared" ca="1" si="1130"/>
        <v>0</v>
      </c>
      <c r="CL61" s="1319">
        <f t="shared" ca="1" si="1130"/>
        <v>0</v>
      </c>
      <c r="CM61" s="1319">
        <f t="shared" ca="1" si="1130"/>
        <v>0</v>
      </c>
      <c r="CN61" s="1319">
        <f t="shared" ca="1" si="1130"/>
        <v>0</v>
      </c>
      <c r="CO61" s="1319">
        <f t="shared" ca="1" si="1130"/>
        <v>0</v>
      </c>
      <c r="DA61" s="1319">
        <f t="shared" ca="1" si="1131"/>
        <v>0</v>
      </c>
      <c r="DB61" s="1319">
        <f t="shared" ca="1" si="1131"/>
        <v>0</v>
      </c>
      <c r="DC61" s="1319">
        <f t="shared" ca="1" si="1131"/>
        <v>0</v>
      </c>
      <c r="DD61" s="1319">
        <f t="shared" ca="1" si="1131"/>
        <v>0</v>
      </c>
      <c r="DE61" s="1319">
        <f t="shared" ca="1" si="1131"/>
        <v>0</v>
      </c>
      <c r="DF61" s="1319">
        <f t="shared" ca="1" si="1131"/>
        <v>0</v>
      </c>
      <c r="DG61" s="1319">
        <f t="shared" ca="1" si="1131"/>
        <v>0</v>
      </c>
      <c r="DH61" s="1319">
        <f t="shared" ca="1" si="1131"/>
        <v>0</v>
      </c>
      <c r="DI61" s="1319">
        <f t="shared" ca="1" si="1131"/>
        <v>0</v>
      </c>
      <c r="DJ61" s="1319">
        <f t="shared" ca="1" si="1131"/>
        <v>0</v>
      </c>
      <c r="DV61" s="1319">
        <f t="shared" ca="1" si="1132"/>
        <v>0</v>
      </c>
      <c r="DW61" s="1319">
        <f t="shared" ca="1" si="1132"/>
        <v>0</v>
      </c>
      <c r="DX61" s="1319">
        <f t="shared" ca="1" si="1132"/>
        <v>0</v>
      </c>
      <c r="DY61" s="1319">
        <f t="shared" ca="1" si="1132"/>
        <v>0</v>
      </c>
      <c r="DZ61" s="1319">
        <f t="shared" ca="1" si="1132"/>
        <v>0</v>
      </c>
      <c r="EA61" s="1319">
        <f t="shared" ca="1" si="1132"/>
        <v>0</v>
      </c>
      <c r="EB61" s="1319">
        <f t="shared" ca="1" si="1132"/>
        <v>0</v>
      </c>
      <c r="EC61" s="1319">
        <f t="shared" ca="1" si="1132"/>
        <v>0</v>
      </c>
      <c r="ED61" s="1319">
        <f t="shared" ca="1" si="1132"/>
        <v>0</v>
      </c>
      <c r="EE61" s="1319">
        <f t="shared" ca="1" si="1132"/>
        <v>0</v>
      </c>
      <c r="EF61" s="1319">
        <f t="shared" ca="1" si="1132"/>
        <v>0</v>
      </c>
      <c r="EG61" s="1319">
        <f t="shared" ca="1" si="1132"/>
        <v>0</v>
      </c>
      <c r="EH61" s="1319">
        <f t="shared" ca="1" si="1132"/>
        <v>0</v>
      </c>
      <c r="EI61" s="1319">
        <f t="shared" ca="1" si="1132"/>
        <v>0</v>
      </c>
      <c r="EJ61" s="1319">
        <f t="shared" ca="1" si="1101"/>
        <v>0</v>
      </c>
      <c r="EK61" s="1319">
        <f t="shared" ca="1" si="1132"/>
        <v>0</v>
      </c>
      <c r="EW61" s="1319">
        <f t="shared" ca="1" si="1133"/>
        <v>0</v>
      </c>
      <c r="EX61" s="1319">
        <f t="shared" ca="1" si="1133"/>
        <v>0</v>
      </c>
      <c r="EY61" s="1319">
        <f t="shared" ca="1" si="1133"/>
        <v>0</v>
      </c>
      <c r="EZ61" s="1319">
        <f t="shared" ca="1" si="1133"/>
        <v>0</v>
      </c>
      <c r="FA61" s="1319">
        <f t="shared" ca="1" si="1133"/>
        <v>0</v>
      </c>
      <c r="FB61" s="1319">
        <f t="shared" ca="1" si="1133"/>
        <v>0</v>
      </c>
      <c r="FN61" s="1319">
        <f t="shared" ca="1" si="1134"/>
        <v>0</v>
      </c>
      <c r="FO61" s="1319">
        <f t="shared" ca="1" si="1134"/>
        <v>0</v>
      </c>
      <c r="FP61" s="1319">
        <f t="shared" ca="1" si="1134"/>
        <v>0</v>
      </c>
      <c r="FQ61" s="1319">
        <f t="shared" ca="1" si="1134"/>
        <v>0</v>
      </c>
      <c r="FR61" s="1319">
        <f t="shared" ca="1" si="1134"/>
        <v>0</v>
      </c>
      <c r="FS61" s="1319">
        <f t="shared" ca="1" si="1134"/>
        <v>0</v>
      </c>
      <c r="FT61" s="1319">
        <f t="shared" ca="1" si="1134"/>
        <v>0</v>
      </c>
      <c r="FU61" s="1319">
        <f t="shared" ca="1" si="1134"/>
        <v>0</v>
      </c>
      <c r="FV61" s="1319">
        <f t="shared" ca="1" si="1134"/>
        <v>0</v>
      </c>
      <c r="FW61" s="1319">
        <f t="shared" ca="1" si="1134"/>
        <v>0</v>
      </c>
      <c r="FX61" s="1319">
        <f t="shared" ca="1" si="1134"/>
        <v>0</v>
      </c>
      <c r="GJ61" s="1319">
        <f t="shared" ca="1" si="1135"/>
        <v>0</v>
      </c>
      <c r="GK61" s="1319">
        <f t="shared" ca="1" si="1135"/>
        <v>0</v>
      </c>
      <c r="GL61" s="1319">
        <f t="shared" ca="1" si="1135"/>
        <v>0</v>
      </c>
      <c r="GM61" s="1319">
        <f t="shared" ca="1" si="1135"/>
        <v>0</v>
      </c>
      <c r="GN61" s="1319">
        <f t="shared" ca="1" si="1135"/>
        <v>0</v>
      </c>
      <c r="GO61" s="1319">
        <f t="shared" ca="1" si="1135"/>
        <v>0</v>
      </c>
      <c r="GP61" s="1319">
        <f t="shared" ca="1" si="1135"/>
        <v>0</v>
      </c>
      <c r="GQ61" s="1319">
        <f t="shared" ca="1" si="1135"/>
        <v>0</v>
      </c>
      <c r="HC61" s="1319">
        <f t="shared" ca="1" si="1136"/>
        <v>0</v>
      </c>
      <c r="HD61" s="1319">
        <f t="shared" ca="1" si="1136"/>
        <v>0</v>
      </c>
      <c r="HE61" s="1319">
        <f t="shared" ca="1" si="1136"/>
        <v>0</v>
      </c>
      <c r="HF61" s="1319">
        <f t="shared" ca="1" si="1136"/>
        <v>0</v>
      </c>
      <c r="HG61" s="1319">
        <f t="shared" ca="1" si="1136"/>
        <v>0</v>
      </c>
      <c r="HH61" s="1319">
        <f t="shared" ca="1" si="1136"/>
        <v>0</v>
      </c>
      <c r="HT61" s="1319">
        <f t="shared" ca="1" si="1137"/>
        <v>58.335082300000003</v>
      </c>
      <c r="HU61" s="1319">
        <f t="shared" ca="1" si="1137"/>
        <v>0</v>
      </c>
      <c r="HV61" s="1319">
        <f t="shared" ca="1" si="1137"/>
        <v>58.335082300000003</v>
      </c>
      <c r="HW61" s="1319">
        <f t="shared" ca="1" si="1137"/>
        <v>58.335082300000003</v>
      </c>
      <c r="HX61" s="1319">
        <f t="shared" ca="1" si="1137"/>
        <v>4.8731134999999997</v>
      </c>
      <c r="HY61" s="1319">
        <f t="shared" ca="1" si="1137"/>
        <v>0.37057215599999999</v>
      </c>
      <c r="HZ61" s="1319">
        <f t="shared" ca="1" si="1137"/>
        <v>6.4739933800000002E-3</v>
      </c>
      <c r="IA61" s="1319">
        <f t="shared" ca="1" si="1137"/>
        <v>2.24847298E-6</v>
      </c>
      <c r="IB61" s="1319">
        <f t="shared" ca="1" si="1137"/>
        <v>0</v>
      </c>
      <c r="IC61" s="1319">
        <f t="shared" ca="1" si="1137"/>
        <v>0</v>
      </c>
      <c r="ID61" s="1319">
        <f t="shared" ca="1" si="1137"/>
        <v>0</v>
      </c>
      <c r="IE61" s="1319">
        <f t="shared" ca="1" si="1137"/>
        <v>0</v>
      </c>
      <c r="IQ61" s="1319">
        <f t="shared" ca="1" si="1138"/>
        <v>4.8731134999999997</v>
      </c>
      <c r="IR61" s="1319">
        <f t="shared" ca="1" si="1138"/>
        <v>0.37057215599999999</v>
      </c>
      <c r="IS61" s="1319">
        <f t="shared" ca="1" si="1138"/>
        <v>7.3640877099999998E-3</v>
      </c>
      <c r="IT61" s="1319">
        <f t="shared" ca="1" si="1138"/>
        <v>0.37793624399999998</v>
      </c>
      <c r="IU61" s="1319">
        <f t="shared" ca="1" si="1108"/>
        <v>0.35272658400000001</v>
      </c>
      <c r="IV61" s="1319">
        <f t="shared" ca="1" si="1138"/>
        <v>0.21586612299999999</v>
      </c>
      <c r="IW61" s="1319">
        <f t="shared" ca="1" si="1138"/>
        <v>0.17673810500000001</v>
      </c>
      <c r="IX61" s="1319">
        <f t="shared" ca="1" si="1109"/>
        <v>2.3700485599999999E-4</v>
      </c>
      <c r="IY61" s="1319">
        <f t="shared" ca="1" si="1138"/>
        <v>2.5209660599999999E-2</v>
      </c>
      <c r="IZ61" s="1319">
        <f t="shared" ca="1" si="1138"/>
        <v>3.1763930699999998E-2</v>
      </c>
      <c r="JA61" s="1319">
        <f t="shared" ca="1" si="1138"/>
        <v>0.184102193</v>
      </c>
      <c r="JB61" s="1319">
        <f t="shared" ca="1" si="1138"/>
        <v>0</v>
      </c>
      <c r="JC61" s="1319">
        <f t="shared" ca="1" si="1138"/>
        <v>3.1761682200000002E-2</v>
      </c>
      <c r="JD61" s="1319">
        <f t="shared" ca="1" si="1138"/>
        <v>0</v>
      </c>
      <c r="JE61" s="1319">
        <f t="shared" ca="1" si="1138"/>
        <v>3.1763930699999998E-2</v>
      </c>
      <c r="JF61" s="1319">
        <f t="shared" ca="1" si="1138"/>
        <v>0</v>
      </c>
      <c r="JG61" s="1319">
        <f t="shared" ca="1" si="1138"/>
        <v>0</v>
      </c>
      <c r="JH61" s="1319">
        <f t="shared" ca="1" si="1138"/>
        <v>2.24847298E-6</v>
      </c>
      <c r="JT61" s="1319">
        <f t="shared" ca="1" si="1139"/>
        <v>0</v>
      </c>
      <c r="JU61" s="1319">
        <f t="shared" ca="1" si="1139"/>
        <v>0</v>
      </c>
      <c r="JV61" s="1319">
        <f t="shared" ca="1" si="1139"/>
        <v>0</v>
      </c>
      <c r="JW61" s="1319">
        <f t="shared" ca="1" si="1139"/>
        <v>0</v>
      </c>
      <c r="JX61" s="1319">
        <f t="shared" ca="1" si="1139"/>
        <v>0</v>
      </c>
      <c r="JY61" s="1319">
        <f t="shared" ca="1" si="1139"/>
        <v>0</v>
      </c>
      <c r="JZ61" s="1319">
        <f t="shared" ca="1" si="1139"/>
        <v>0</v>
      </c>
      <c r="KA61" s="1319">
        <f t="shared" ca="1" si="1139"/>
        <v>0</v>
      </c>
      <c r="KB61" s="1319">
        <f t="shared" ca="1" si="1139"/>
        <v>0</v>
      </c>
      <c r="KC61" s="1319">
        <f t="shared" ca="1" si="1139"/>
        <v>0</v>
      </c>
      <c r="KL61" s="1319">
        <f t="shared" ca="1" si="1140"/>
        <v>0</v>
      </c>
      <c r="KM61" s="1319">
        <f t="shared" ca="1" si="1140"/>
        <v>0</v>
      </c>
      <c r="KN61" s="1319">
        <f t="shared" ca="1" si="1140"/>
        <v>0</v>
      </c>
      <c r="KO61" s="1319">
        <f t="shared" ca="1" si="1140"/>
        <v>0</v>
      </c>
      <c r="KP61" s="1319">
        <f t="shared" ca="1" si="1140"/>
        <v>0</v>
      </c>
      <c r="KQ61" s="1319">
        <f t="shared" ca="1" si="1140"/>
        <v>0</v>
      </c>
      <c r="KR61" s="1319">
        <f t="shared" ca="1" si="1140"/>
        <v>0</v>
      </c>
      <c r="LA61" s="1319">
        <f t="shared" ca="1" si="1141"/>
        <v>0</v>
      </c>
      <c r="LB61" s="1319">
        <f t="shared" ca="1" si="1141"/>
        <v>6.4739933800000002E-3</v>
      </c>
      <c r="LC61" s="1319">
        <f t="shared" ca="1" si="1141"/>
        <v>6.4739933800000002E-3</v>
      </c>
      <c r="LD61" s="1319">
        <f t="shared" ca="1" si="1141"/>
        <v>6.4739933800000002E-3</v>
      </c>
      <c r="LE61" s="1319">
        <f t="shared" ca="1" si="1141"/>
        <v>0</v>
      </c>
      <c r="LF61" s="1319">
        <f t="shared" ca="1" si="1141"/>
        <v>0</v>
      </c>
      <c r="LG61" s="1319">
        <f t="shared" ca="1" si="1141"/>
        <v>0</v>
      </c>
      <c r="LH61" s="1319">
        <f t="shared" ca="1" si="1141"/>
        <v>0</v>
      </c>
      <c r="LI61" s="1319">
        <f t="shared" ca="1" si="1141"/>
        <v>0</v>
      </c>
      <c r="LJ61" s="1319">
        <f t="shared" ca="1" si="1141"/>
        <v>0</v>
      </c>
      <c r="LK61" s="1319">
        <f t="shared" ca="1" si="1141"/>
        <v>0</v>
      </c>
      <c r="LW61" s="1319">
        <f t="shared" ca="1" si="1113"/>
        <v>0</v>
      </c>
      <c r="LX61" s="1319">
        <f t="shared" ca="1" si="1142"/>
        <v>0</v>
      </c>
      <c r="LY61" s="1319">
        <f t="shared" ca="1" si="1142"/>
        <v>0</v>
      </c>
      <c r="LZ61" s="1319">
        <f t="shared" ca="1" si="1142"/>
        <v>2.5209660599999999E-2</v>
      </c>
      <c r="MA61" s="1319">
        <f t="shared" ca="1" si="1142"/>
        <v>2.5209660599999999E-2</v>
      </c>
      <c r="MB61" s="1319">
        <f t="shared" ca="1" si="1142"/>
        <v>6.4739933800000002E-3</v>
      </c>
      <c r="MC61" s="1319">
        <f t="shared" ca="1" si="1142"/>
        <v>0</v>
      </c>
      <c r="MD61" s="1319">
        <f t="shared" ca="1" si="1142"/>
        <v>0</v>
      </c>
      <c r="ME61" s="1319">
        <f t="shared" ca="1" si="1142"/>
        <v>0</v>
      </c>
      <c r="MF61" s="1319">
        <f t="shared" ca="1" si="1142"/>
        <v>0</v>
      </c>
      <c r="MG61" s="1319">
        <f t="shared" ca="1" si="1142"/>
        <v>0</v>
      </c>
      <c r="MH61" s="1319">
        <f t="shared" ca="1" si="1143"/>
        <v>0</v>
      </c>
      <c r="MI61" s="1319">
        <f t="shared" ca="1" si="1143"/>
        <v>0</v>
      </c>
      <c r="MJ61" s="1319">
        <f t="shared" ca="1" si="1142"/>
        <v>0</v>
      </c>
      <c r="MK61" s="1319">
        <f t="shared" ca="1" si="1142"/>
        <v>0</v>
      </c>
      <c r="ML61" s="1319">
        <f t="shared" ca="1" si="1142"/>
        <v>0</v>
      </c>
      <c r="MM61" s="1319">
        <f t="shared" ca="1" si="1142"/>
        <v>0</v>
      </c>
      <c r="MN61" s="1319">
        <f t="shared" ca="1" si="1142"/>
        <v>0</v>
      </c>
      <c r="MO61" s="1319">
        <f t="shared" ca="1" si="1142"/>
        <v>0</v>
      </c>
      <c r="NA61" s="1319">
        <f t="shared" ca="1" si="1144"/>
        <v>35.5507323</v>
      </c>
      <c r="NB61" s="1319">
        <f t="shared" ca="1" si="1144"/>
        <v>24.534647499999998</v>
      </c>
      <c r="NC61" s="1319">
        <f t="shared" ca="1" si="1144"/>
        <v>11.0160848</v>
      </c>
      <c r="ND61" s="1319">
        <f t="shared" ca="1" si="1144"/>
        <v>0</v>
      </c>
      <c r="NE61" s="1319">
        <f t="shared" ca="1" si="1144"/>
        <v>0</v>
      </c>
      <c r="NF61" s="1319">
        <f t="shared" ca="1" si="1144"/>
        <v>0</v>
      </c>
      <c r="NG61" s="1319">
        <f t="shared" ca="1" si="1144"/>
        <v>0</v>
      </c>
      <c r="NH61" s="1319">
        <f t="shared" ca="1" si="1144"/>
        <v>0</v>
      </c>
      <c r="NI61" s="1319">
        <f t="shared" ca="1" si="1144"/>
        <v>0</v>
      </c>
      <c r="NJ61" s="1319">
        <f t="shared" ca="1" si="1144"/>
        <v>0</v>
      </c>
      <c r="NK61" s="1319">
        <f t="shared" ca="1" si="1144"/>
        <v>0</v>
      </c>
      <c r="NL61" s="1319">
        <f t="shared" ca="1" si="1144"/>
        <v>0</v>
      </c>
      <c r="NM61" s="1319">
        <f t="shared" ca="1" si="1144"/>
        <v>0</v>
      </c>
      <c r="NN61" s="1319">
        <f t="shared" ca="1" si="1144"/>
        <v>0</v>
      </c>
      <c r="NO61" s="1319">
        <f t="shared" ca="1" si="1144"/>
        <v>0</v>
      </c>
      <c r="NP61" s="1319">
        <f t="shared" ca="1" si="1144"/>
        <v>0</v>
      </c>
      <c r="OH61" s="1319">
        <f t="shared" ca="1" si="1145"/>
        <v>0</v>
      </c>
      <c r="OI61" s="1319">
        <f t="shared" ca="1" si="1145"/>
        <v>0</v>
      </c>
      <c r="OJ61" s="1319">
        <f t="shared" ca="1" si="1145"/>
        <v>0</v>
      </c>
      <c r="OK61" s="1319">
        <f t="shared" ca="1" si="1145"/>
        <v>0</v>
      </c>
      <c r="OL61" s="1319">
        <f t="shared" ca="1" si="1145"/>
        <v>0</v>
      </c>
      <c r="OM61" s="1319">
        <f t="shared" ca="1" si="1145"/>
        <v>0</v>
      </c>
      <c r="ON61" s="1319">
        <f t="shared" ca="1" si="1145"/>
        <v>0</v>
      </c>
      <c r="OO61" s="1319">
        <f t="shared" ca="1" si="1145"/>
        <v>0</v>
      </c>
      <c r="PA61" s="1319">
        <f t="shared" ca="1" si="1146"/>
        <v>0</v>
      </c>
      <c r="PB61" s="1319">
        <f t="shared" ca="1" si="1146"/>
        <v>0</v>
      </c>
      <c r="PC61" s="1319">
        <f t="shared" ca="1" si="1146"/>
        <v>0</v>
      </c>
      <c r="PD61" s="1319">
        <f t="shared" ca="1" si="1146"/>
        <v>0</v>
      </c>
      <c r="PE61" s="1319">
        <f t="shared" ca="1" si="1146"/>
        <v>0</v>
      </c>
      <c r="PF61" s="1319">
        <f t="shared" ca="1" si="1146"/>
        <v>0</v>
      </c>
      <c r="PG61" s="1319">
        <f t="shared" ca="1" si="1146"/>
        <v>0</v>
      </c>
      <c r="PH61" s="1319">
        <f t="shared" ca="1" si="1146"/>
        <v>0</v>
      </c>
      <c r="PI61" s="1319">
        <f t="shared" ca="1" si="1146"/>
        <v>0</v>
      </c>
      <c r="PJ61" s="1319">
        <f t="shared" ca="1" si="1146"/>
        <v>0</v>
      </c>
      <c r="PK61" s="1319">
        <f t="shared" ca="1" si="1146"/>
        <v>0</v>
      </c>
      <c r="PW61" s="1319">
        <f t="shared" ca="1" si="1147"/>
        <v>0</v>
      </c>
      <c r="PX61" s="1319">
        <f t="shared" ca="1" si="1147"/>
        <v>0</v>
      </c>
      <c r="PY61" s="1319">
        <f t="shared" ca="1" si="1147"/>
        <v>0</v>
      </c>
      <c r="PZ61" s="1319">
        <f t="shared" ca="1" si="1147"/>
        <v>0</v>
      </c>
    </row>
    <row r="62" spans="1:442" x14ac:dyDescent="0.25">
      <c r="A62" s="189">
        <v>23</v>
      </c>
      <c r="B62" s="189" t="s">
        <v>1256</v>
      </c>
      <c r="C62" s="1317" t="s">
        <v>1295</v>
      </c>
      <c r="D62" s="1317" t="s">
        <v>206</v>
      </c>
      <c r="J62" s="1319">
        <f t="shared" ca="1" si="1093"/>
        <v>0</v>
      </c>
      <c r="K62" s="1319">
        <f t="shared" ref="K62:K68" ca="1" si="1148">VLOOKUP(K$1,INDIRECT(LU_MAT),$A62,FALSE)</f>
        <v>0</v>
      </c>
      <c r="T62" s="1319">
        <f t="shared" ca="1" si="1094"/>
        <v>0</v>
      </c>
      <c r="U62" s="1319">
        <f t="shared" ca="1" si="1123"/>
        <v>0</v>
      </c>
      <c r="V62" s="1319">
        <f t="shared" ca="1" si="1123"/>
        <v>1.0522920899999999</v>
      </c>
      <c r="W62" s="1319">
        <f t="shared" ca="1" si="1123"/>
        <v>0</v>
      </c>
      <c r="X62" s="1319">
        <f t="shared" ca="1" si="1123"/>
        <v>0</v>
      </c>
      <c r="Y62" s="1319">
        <f t="shared" ca="1" si="1123"/>
        <v>1.0522920899999999</v>
      </c>
      <c r="Z62" s="1319">
        <f t="shared" ca="1" si="1123"/>
        <v>1.01296658E-3</v>
      </c>
      <c r="AA62" s="1319">
        <f t="shared" ca="1" si="1123"/>
        <v>1.05127912</v>
      </c>
      <c r="AB62" s="1319">
        <f t="shared" ca="1" si="1123"/>
        <v>0</v>
      </c>
      <c r="AC62" s="1319">
        <f t="shared" ca="1" si="1123"/>
        <v>1.0522920899999999</v>
      </c>
      <c r="AD62" s="1319">
        <f t="shared" ca="1" si="1123"/>
        <v>0</v>
      </c>
      <c r="AM62" s="1319">
        <f t="shared" ca="1" si="1095"/>
        <v>0</v>
      </c>
      <c r="AN62" s="1319">
        <f t="shared" ca="1" si="1095"/>
        <v>0</v>
      </c>
      <c r="AO62" s="1319">
        <f t="shared" ca="1" si="1128"/>
        <v>1.05127912</v>
      </c>
      <c r="AP62" s="1319">
        <f t="shared" ca="1" si="1128"/>
        <v>1.05127912</v>
      </c>
      <c r="AQ62" s="1319">
        <f t="shared" ca="1" si="1128"/>
        <v>3.3368077299999999E-4</v>
      </c>
      <c r="AR62" s="1319">
        <f t="shared" ca="1" si="1128"/>
        <v>1.72111538E-5</v>
      </c>
      <c r="AS62" s="1319">
        <f t="shared" ca="1" si="1128"/>
        <v>9.9575542299999991E-4</v>
      </c>
      <c r="AT62" s="1319">
        <f t="shared" ca="1" si="1095"/>
        <v>1.2457031E-6</v>
      </c>
      <c r="AU62" s="1319">
        <f t="shared" ca="1" si="1095"/>
        <v>3.4964622399999998E-4</v>
      </c>
      <c r="AV62" s="1319">
        <f t="shared" ca="1" si="1095"/>
        <v>1.05094544</v>
      </c>
      <c r="AW62" s="1319">
        <f t="shared" ca="1" si="1095"/>
        <v>1.2457031E-6</v>
      </c>
      <c r="AX62" s="1319">
        <f t="shared" ca="1" si="1095"/>
        <v>1.34664735E-3</v>
      </c>
      <c r="AY62" s="1319">
        <f t="shared" ca="1" si="1095"/>
        <v>0</v>
      </c>
      <c r="AZ62" s="1319">
        <f t="shared" ca="1" si="1095"/>
        <v>0</v>
      </c>
      <c r="BA62" s="1319">
        <f t="shared" ca="1" si="1095"/>
        <v>0</v>
      </c>
      <c r="BB62" s="1319">
        <f t="shared" ca="1" si="1095"/>
        <v>1.05094544</v>
      </c>
      <c r="BN62" s="1319">
        <f t="shared" ca="1" si="1129"/>
        <v>4.1762662099999996</v>
      </c>
      <c r="BO62" s="1319">
        <f t="shared" ca="1" si="1129"/>
        <v>56.345488799999998</v>
      </c>
      <c r="BP62" s="1319">
        <f t="shared" ca="1" si="1129"/>
        <v>1.26131334E-5</v>
      </c>
      <c r="BQ62" s="1319">
        <f t="shared" ca="1" si="1129"/>
        <v>52.169235200000003</v>
      </c>
      <c r="BR62" s="1319">
        <f t="shared" ca="1" si="1129"/>
        <v>0</v>
      </c>
      <c r="CD62" s="1319">
        <f t="shared" ca="1" si="1130"/>
        <v>1.05094544</v>
      </c>
      <c r="CE62" s="1319">
        <f t="shared" ca="1" si="1130"/>
        <v>1.05094544</v>
      </c>
      <c r="CF62" s="1319">
        <f t="shared" ca="1" si="1130"/>
        <v>4.1762662099999996</v>
      </c>
      <c r="CG62" s="1319">
        <f t="shared" ca="1" si="1130"/>
        <v>56.345488799999998</v>
      </c>
      <c r="CH62" s="1319">
        <f t="shared" ca="1" si="1130"/>
        <v>41.762609300000001</v>
      </c>
      <c r="CI62" s="1319">
        <f t="shared" ca="1" si="1130"/>
        <v>234.76155900000003</v>
      </c>
      <c r="CJ62" s="1319">
        <f t="shared" ca="1" si="1130"/>
        <v>0</v>
      </c>
      <c r="CK62" s="1319">
        <f t="shared" ca="1" si="1130"/>
        <v>1695.1053300000001</v>
      </c>
      <c r="CL62" s="1319">
        <f t="shared" ca="1" si="1130"/>
        <v>3.6780066200000001E-4</v>
      </c>
      <c r="CM62" s="1319">
        <f t="shared" ca="1" si="1130"/>
        <v>40.711663899999998</v>
      </c>
      <c r="CN62" s="1319">
        <f t="shared" ca="1" si="1130"/>
        <v>1695.10571</v>
      </c>
      <c r="CO62" s="1319">
        <f t="shared" ca="1" si="1130"/>
        <v>3.8075802599999998E-4</v>
      </c>
      <c r="DA62" s="1319">
        <f t="shared" ca="1" si="1131"/>
        <v>0.226176243</v>
      </c>
      <c r="DB62" s="1319">
        <f t="shared" ca="1" si="1131"/>
        <v>1.94540344</v>
      </c>
      <c r="DC62" s="1319">
        <f t="shared" ca="1" si="1131"/>
        <v>0</v>
      </c>
      <c r="DD62" s="1319">
        <f t="shared" ca="1" si="1131"/>
        <v>0</v>
      </c>
      <c r="DE62" s="1319">
        <f t="shared" ca="1" si="1131"/>
        <v>2.1715595699999999</v>
      </c>
      <c r="DF62" s="1319">
        <f t="shared" ca="1" si="1131"/>
        <v>2.0115053800000001E-5</v>
      </c>
      <c r="DG62" s="1319">
        <f t="shared" ca="1" si="1131"/>
        <v>0</v>
      </c>
      <c r="DH62" s="1319">
        <f t="shared" ca="1" si="1131"/>
        <v>0</v>
      </c>
      <c r="DI62" s="1319">
        <f t="shared" ca="1" si="1131"/>
        <v>0</v>
      </c>
      <c r="DJ62" s="1319">
        <f t="shared" ca="1" si="1131"/>
        <v>0</v>
      </c>
      <c r="DV62" s="1319">
        <f t="shared" ca="1" si="1132"/>
        <v>0</v>
      </c>
      <c r="DW62" s="1319">
        <f t="shared" ca="1" si="1132"/>
        <v>0</v>
      </c>
      <c r="DX62" s="1319">
        <f t="shared" ca="1" si="1132"/>
        <v>4.5235248600000002</v>
      </c>
      <c r="DY62" s="1319">
        <f t="shared" ca="1" si="1132"/>
        <v>0.226176243</v>
      </c>
      <c r="DZ62" s="1319">
        <f t="shared" ca="1" si="1132"/>
        <v>0</v>
      </c>
      <c r="EA62" s="1319">
        <f t="shared" ca="1" si="1132"/>
        <v>2.1715595699999999</v>
      </c>
      <c r="EB62" s="1319">
        <f t="shared" ca="1" si="1132"/>
        <v>4.2973486200000002</v>
      </c>
      <c r="EC62" s="1319">
        <f t="shared" ca="1" si="1132"/>
        <v>38.766583400000002</v>
      </c>
      <c r="ED62" s="1319">
        <f t="shared" ca="1" si="1132"/>
        <v>40.711663899999998</v>
      </c>
      <c r="EE62" s="1319">
        <f t="shared" ca="1" si="1132"/>
        <v>4.1273354199999998E-4</v>
      </c>
      <c r="EF62" s="1319">
        <f t="shared" ca="1" si="1132"/>
        <v>0</v>
      </c>
      <c r="EG62" s="1319">
        <f t="shared" ca="1" si="1132"/>
        <v>0</v>
      </c>
      <c r="EH62" s="1319">
        <f t="shared" ca="1" si="1132"/>
        <v>0</v>
      </c>
      <c r="EI62" s="1319">
        <f t="shared" ca="1" si="1132"/>
        <v>38.766583400000002</v>
      </c>
      <c r="EJ62" s="1319">
        <f t="shared" ca="1" si="1101"/>
        <v>0</v>
      </c>
      <c r="EK62" s="1319">
        <f t="shared" ca="1" si="1132"/>
        <v>0</v>
      </c>
      <c r="EW62" s="1319">
        <f t="shared" ca="1" si="1133"/>
        <v>1695.10571</v>
      </c>
      <c r="EX62" s="1319">
        <f t="shared" ca="1" si="1133"/>
        <v>1695.10571</v>
      </c>
      <c r="EY62" s="1319">
        <f t="shared" ca="1" si="1133"/>
        <v>1694.05342</v>
      </c>
      <c r="EZ62" s="1319">
        <f t="shared" ca="1" si="1133"/>
        <v>1694.05342</v>
      </c>
      <c r="FA62" s="1319">
        <f t="shared" ca="1" si="1133"/>
        <v>3.4423079499999998E-7</v>
      </c>
      <c r="FB62" s="1319">
        <f t="shared" ca="1" si="1133"/>
        <v>1.05229208</v>
      </c>
      <c r="FN62" s="1319">
        <f t="shared" ca="1" si="1134"/>
        <v>1.26131334E-5</v>
      </c>
      <c r="FO62" s="1319">
        <f t="shared" ca="1" si="1134"/>
        <v>3.6780066200000001E-4</v>
      </c>
      <c r="FP62" s="1319">
        <f t="shared" ca="1" si="1134"/>
        <v>3.4423079499999998E-7</v>
      </c>
      <c r="FQ62" s="1319">
        <f t="shared" ca="1" si="1134"/>
        <v>1.05229208</v>
      </c>
      <c r="FR62" s="1319">
        <f t="shared" ca="1" si="1134"/>
        <v>0</v>
      </c>
      <c r="FS62" s="1319">
        <f t="shared" ca="1" si="1134"/>
        <v>1.0522920899999999</v>
      </c>
      <c r="FT62" s="1319">
        <f t="shared" ca="1" si="1134"/>
        <v>0</v>
      </c>
      <c r="FU62" s="1319">
        <f t="shared" ca="1" si="1134"/>
        <v>3.8075802599999998E-4</v>
      </c>
      <c r="FV62" s="1319">
        <f t="shared" ca="1" si="1134"/>
        <v>0</v>
      </c>
      <c r="FW62" s="1319">
        <f t="shared" ca="1" si="1134"/>
        <v>2.5939540900000001E-25</v>
      </c>
      <c r="FX62" s="1319">
        <f t="shared" ca="1" si="1134"/>
        <v>3.8075802599999998E-4</v>
      </c>
      <c r="GJ62" s="1319">
        <f t="shared" ca="1" si="1135"/>
        <v>0</v>
      </c>
      <c r="GK62" s="1319">
        <f t="shared" ca="1" si="1135"/>
        <v>0</v>
      </c>
      <c r="GL62" s="1319">
        <f t="shared" ca="1" si="1135"/>
        <v>0</v>
      </c>
      <c r="GM62" s="1319">
        <f t="shared" ca="1" si="1135"/>
        <v>0</v>
      </c>
      <c r="GN62" s="1319">
        <f t="shared" ca="1" si="1135"/>
        <v>0</v>
      </c>
      <c r="GO62" s="1319">
        <f t="shared" ca="1" si="1135"/>
        <v>0</v>
      </c>
      <c r="GP62" s="1319">
        <f t="shared" ca="1" si="1135"/>
        <v>0</v>
      </c>
      <c r="GQ62" s="1319">
        <f t="shared" ca="1" si="1135"/>
        <v>0</v>
      </c>
      <c r="HC62" s="1319">
        <f t="shared" ca="1" si="1136"/>
        <v>1694.05342</v>
      </c>
      <c r="HD62" s="1319">
        <f t="shared" ca="1" si="1136"/>
        <v>1630.9811400000001</v>
      </c>
      <c r="HE62" s="1319">
        <f t="shared" ca="1" si="1136"/>
        <v>0</v>
      </c>
      <c r="HF62" s="1319">
        <f t="shared" ca="1" si="1136"/>
        <v>7.0237648400000002E-4</v>
      </c>
      <c r="HG62" s="1319">
        <f t="shared" ca="1" si="1136"/>
        <v>63.071577700000006</v>
      </c>
      <c r="HH62" s="1319">
        <f t="shared" ca="1" si="1136"/>
        <v>1630.9811400000001</v>
      </c>
      <c r="HT62" s="1319">
        <f t="shared" ca="1" si="1137"/>
        <v>1.34664735E-3</v>
      </c>
      <c r="HU62" s="1319">
        <f t="shared" ca="1" si="1137"/>
        <v>1630.9811400000001</v>
      </c>
      <c r="HV62" s="1319">
        <f t="shared" ca="1" si="1137"/>
        <v>1630.9824900000001</v>
      </c>
      <c r="HW62" s="1319">
        <f t="shared" ca="1" si="1137"/>
        <v>1630.9824900000001</v>
      </c>
      <c r="HX62" s="1319">
        <f t="shared" ca="1" si="1137"/>
        <v>136.41479000000001</v>
      </c>
      <c r="HY62" s="1319">
        <f t="shared" ca="1" si="1137"/>
        <v>10.373557399999999</v>
      </c>
      <c r="HZ62" s="1319">
        <f t="shared" ca="1" si="1137"/>
        <v>7.7093178400000002E-5</v>
      </c>
      <c r="IA62" s="1319">
        <f t="shared" ca="1" si="1137"/>
        <v>3.0413247099999997E-7</v>
      </c>
      <c r="IB62" s="1319">
        <f t="shared" ca="1" si="1137"/>
        <v>0</v>
      </c>
      <c r="IC62" s="1319">
        <f t="shared" ca="1" si="1137"/>
        <v>0</v>
      </c>
      <c r="ID62" s="1319">
        <f t="shared" ca="1" si="1137"/>
        <v>0</v>
      </c>
      <c r="IE62" s="1319">
        <f t="shared" ca="1" si="1137"/>
        <v>0</v>
      </c>
      <c r="IQ62" s="1319">
        <f t="shared" ca="1" si="1138"/>
        <v>136.41479000000001</v>
      </c>
      <c r="IR62" s="1319">
        <f t="shared" ca="1" si="1138"/>
        <v>10.373557399999999</v>
      </c>
      <c r="IS62" s="1319">
        <f t="shared" ca="1" si="1138"/>
        <v>0.20637976099999999</v>
      </c>
      <c r="IT62" s="1319">
        <f t="shared" ca="1" si="1138"/>
        <v>10.5799372</v>
      </c>
      <c r="IU62" s="1319">
        <f t="shared" ca="1" si="1108"/>
        <v>9.8742186099999998</v>
      </c>
      <c r="IV62" s="1319">
        <f t="shared" ca="1" si="1138"/>
        <v>6.0496833800000003</v>
      </c>
      <c r="IW62" s="1319">
        <f t="shared" ca="1" si="1138"/>
        <v>4.9531142700000004</v>
      </c>
      <c r="IX62" s="1319">
        <f t="shared" ca="1" si="1109"/>
        <v>1.51254265E-6</v>
      </c>
      <c r="IY62" s="1319">
        <f t="shared" ca="1" si="1138"/>
        <v>0.70571856899999996</v>
      </c>
      <c r="IZ62" s="1319">
        <f t="shared" ca="1" si="1138"/>
        <v>0.89018935099999996</v>
      </c>
      <c r="JA62" s="1319">
        <f t="shared" ca="1" si="1138"/>
        <v>5.1594940300000003</v>
      </c>
      <c r="JB62" s="1319">
        <f t="shared" ca="1" si="1138"/>
        <v>0</v>
      </c>
      <c r="JC62" s="1319">
        <f t="shared" ca="1" si="1138"/>
        <v>0.89018904700000001</v>
      </c>
      <c r="JD62" s="1319">
        <f t="shared" ca="1" si="1138"/>
        <v>0</v>
      </c>
      <c r="JE62" s="1319">
        <f t="shared" ca="1" si="1138"/>
        <v>0.89018935099999996</v>
      </c>
      <c r="JF62" s="1319">
        <f t="shared" ca="1" si="1138"/>
        <v>0</v>
      </c>
      <c r="JG62" s="1319">
        <f t="shared" ca="1" si="1138"/>
        <v>0</v>
      </c>
      <c r="JH62" s="1319">
        <f t="shared" ca="1" si="1138"/>
        <v>3.0413247099999997E-7</v>
      </c>
      <c r="JT62" s="1319">
        <f t="shared" ca="1" si="1139"/>
        <v>52.169235200000003</v>
      </c>
      <c r="JU62" s="1319">
        <f t="shared" ca="1" si="1139"/>
        <v>234.76155900000003</v>
      </c>
      <c r="JV62" s="1319">
        <f t="shared" ca="1" si="1139"/>
        <v>1.94540344</v>
      </c>
      <c r="JW62" s="1319">
        <f t="shared" ca="1" si="1139"/>
        <v>38.766583400000002</v>
      </c>
      <c r="JX62" s="1319">
        <f t="shared" ca="1" si="1139"/>
        <v>0</v>
      </c>
      <c r="JY62" s="1319">
        <f t="shared" ca="1" si="1139"/>
        <v>0</v>
      </c>
      <c r="JZ62" s="1319">
        <f t="shared" ca="1" si="1139"/>
        <v>0</v>
      </c>
      <c r="KA62" s="1319">
        <f t="shared" ca="1" si="1139"/>
        <v>0</v>
      </c>
      <c r="KB62" s="1319">
        <f t="shared" ca="1" si="1139"/>
        <v>0</v>
      </c>
      <c r="KC62" s="1319">
        <f t="shared" ca="1" si="1139"/>
        <v>327.64278100000001</v>
      </c>
      <c r="KL62" s="1319">
        <f t="shared" ca="1" si="1140"/>
        <v>0</v>
      </c>
      <c r="KM62" s="1319">
        <f t="shared" ca="1" si="1140"/>
        <v>0</v>
      </c>
      <c r="KN62" s="1319">
        <f t="shared" ca="1" si="1140"/>
        <v>0</v>
      </c>
      <c r="KO62" s="1319">
        <f t="shared" ca="1" si="1140"/>
        <v>0</v>
      </c>
      <c r="KP62" s="1319">
        <f t="shared" ca="1" si="1140"/>
        <v>0</v>
      </c>
      <c r="KQ62" s="1319">
        <f t="shared" ca="1" si="1140"/>
        <v>0</v>
      </c>
      <c r="KR62" s="1319">
        <f t="shared" ca="1" si="1140"/>
        <v>0</v>
      </c>
      <c r="LA62" s="1319">
        <f t="shared" ca="1" si="1141"/>
        <v>7.0237648400000002E-4</v>
      </c>
      <c r="LB62" s="1319">
        <f t="shared" ca="1" si="1141"/>
        <v>7.7093178400000002E-5</v>
      </c>
      <c r="LC62" s="1319">
        <f t="shared" ca="1" si="1141"/>
        <v>7.7946966200000004E-4</v>
      </c>
      <c r="LD62" s="1319">
        <f t="shared" ca="1" si="1141"/>
        <v>7.7946966200000004E-4</v>
      </c>
      <c r="LE62" s="1319">
        <f t="shared" ca="1" si="1141"/>
        <v>0</v>
      </c>
      <c r="LF62" s="1319">
        <f t="shared" ca="1" si="1141"/>
        <v>0</v>
      </c>
      <c r="LG62" s="1319">
        <f t="shared" ca="1" si="1141"/>
        <v>0</v>
      </c>
      <c r="LH62" s="1319">
        <f t="shared" ca="1" si="1141"/>
        <v>0</v>
      </c>
      <c r="LI62" s="1319">
        <f t="shared" ca="1" si="1141"/>
        <v>0</v>
      </c>
      <c r="LJ62" s="1319">
        <f t="shared" ca="1" si="1141"/>
        <v>0</v>
      </c>
      <c r="LK62" s="1319">
        <f t="shared" ca="1" si="1141"/>
        <v>0</v>
      </c>
      <c r="LW62" s="1319">
        <f t="shared" ca="1" si="1113"/>
        <v>0</v>
      </c>
      <c r="LX62" s="1319">
        <f t="shared" ca="1" si="1142"/>
        <v>0</v>
      </c>
      <c r="LY62" s="1319">
        <f t="shared" ca="1" si="1142"/>
        <v>63.071577700000006</v>
      </c>
      <c r="LZ62" s="1319">
        <f t="shared" ca="1" si="1142"/>
        <v>0.70571856899999996</v>
      </c>
      <c r="MA62" s="1319">
        <f t="shared" ca="1" si="1142"/>
        <v>63.777296200000009</v>
      </c>
      <c r="MB62" s="1319">
        <f t="shared" ca="1" si="1142"/>
        <v>7.7946966200000004E-4</v>
      </c>
      <c r="MC62" s="1319">
        <f t="shared" ca="1" si="1142"/>
        <v>0</v>
      </c>
      <c r="MD62" s="1319">
        <f t="shared" ca="1" si="1142"/>
        <v>0</v>
      </c>
      <c r="ME62" s="1319">
        <f t="shared" ca="1" si="1142"/>
        <v>0</v>
      </c>
      <c r="MF62" s="1319">
        <f t="shared" ca="1" si="1142"/>
        <v>0</v>
      </c>
      <c r="MG62" s="1319">
        <f t="shared" ca="1" si="1142"/>
        <v>0</v>
      </c>
      <c r="MH62" s="1319">
        <f t="shared" ca="1" si="1143"/>
        <v>0</v>
      </c>
      <c r="MI62" s="1319">
        <f t="shared" ca="1" si="1143"/>
        <v>0</v>
      </c>
      <c r="MJ62" s="1319">
        <f t="shared" ca="1" si="1142"/>
        <v>0</v>
      </c>
      <c r="MK62" s="1319">
        <f t="shared" ca="1" si="1142"/>
        <v>0</v>
      </c>
      <c r="ML62" s="1319">
        <f t="shared" ca="1" si="1142"/>
        <v>0</v>
      </c>
      <c r="MM62" s="1319">
        <f t="shared" ca="1" si="1142"/>
        <v>0</v>
      </c>
      <c r="MN62" s="1319">
        <f t="shared" ca="1" si="1142"/>
        <v>0</v>
      </c>
      <c r="MO62" s="1319">
        <f t="shared" ca="1" si="1142"/>
        <v>0</v>
      </c>
      <c r="NA62" s="1319">
        <f t="shared" ca="1" si="1144"/>
        <v>1.01296658E-3</v>
      </c>
      <c r="NB62" s="1319">
        <f t="shared" ca="1" si="1144"/>
        <v>1.72111538E-5</v>
      </c>
      <c r="NC62" s="1319">
        <f t="shared" ca="1" si="1144"/>
        <v>9.9575542299999991E-4</v>
      </c>
      <c r="ND62" s="1319">
        <f t="shared" ca="1" si="1144"/>
        <v>0</v>
      </c>
      <c r="NE62" s="1319">
        <f t="shared" ca="1" si="1144"/>
        <v>0</v>
      </c>
      <c r="NF62" s="1319">
        <f t="shared" ca="1" si="1144"/>
        <v>0</v>
      </c>
      <c r="NG62" s="1319">
        <f t="shared" ca="1" si="1144"/>
        <v>0</v>
      </c>
      <c r="NH62" s="1319">
        <f t="shared" ca="1" si="1144"/>
        <v>0</v>
      </c>
      <c r="NI62" s="1319">
        <f t="shared" ca="1" si="1144"/>
        <v>0</v>
      </c>
      <c r="NJ62" s="1319">
        <f t="shared" ca="1" si="1144"/>
        <v>0</v>
      </c>
      <c r="NK62" s="1319">
        <f t="shared" ca="1" si="1144"/>
        <v>0</v>
      </c>
      <c r="NL62" s="1319">
        <f t="shared" ca="1" si="1144"/>
        <v>0</v>
      </c>
      <c r="NM62" s="1319">
        <f t="shared" ca="1" si="1144"/>
        <v>0</v>
      </c>
      <c r="NN62" s="1319">
        <f t="shared" ca="1" si="1144"/>
        <v>0</v>
      </c>
      <c r="NO62" s="1319">
        <f t="shared" ca="1" si="1144"/>
        <v>0</v>
      </c>
      <c r="NP62" s="1319">
        <f t="shared" ca="1" si="1144"/>
        <v>0</v>
      </c>
      <c r="OH62" s="1319">
        <f t="shared" ca="1" si="1145"/>
        <v>0</v>
      </c>
      <c r="OI62" s="1319">
        <f t="shared" ca="1" si="1145"/>
        <v>0</v>
      </c>
      <c r="OJ62" s="1319">
        <f t="shared" ca="1" si="1145"/>
        <v>0</v>
      </c>
      <c r="OK62" s="1319">
        <f t="shared" ca="1" si="1145"/>
        <v>0</v>
      </c>
      <c r="OL62" s="1319">
        <f t="shared" ca="1" si="1145"/>
        <v>0</v>
      </c>
      <c r="OM62" s="1319">
        <f t="shared" ca="1" si="1145"/>
        <v>0</v>
      </c>
      <c r="ON62" s="1319">
        <f t="shared" ca="1" si="1145"/>
        <v>0</v>
      </c>
      <c r="OO62" s="1319">
        <f t="shared" ca="1" si="1145"/>
        <v>0</v>
      </c>
      <c r="PA62" s="1319">
        <f t="shared" ca="1" si="1146"/>
        <v>0</v>
      </c>
      <c r="PB62" s="1319">
        <f t="shared" ca="1" si="1146"/>
        <v>0</v>
      </c>
      <c r="PC62" s="1319">
        <f t="shared" ca="1" si="1146"/>
        <v>0</v>
      </c>
      <c r="PD62" s="1319">
        <f t="shared" ca="1" si="1146"/>
        <v>0</v>
      </c>
      <c r="PE62" s="1319">
        <f t="shared" ca="1" si="1146"/>
        <v>0</v>
      </c>
      <c r="PF62" s="1319">
        <f t="shared" ca="1" si="1146"/>
        <v>0</v>
      </c>
      <c r="PG62" s="1319">
        <f t="shared" ca="1" si="1146"/>
        <v>0</v>
      </c>
      <c r="PH62" s="1319">
        <f t="shared" ca="1" si="1146"/>
        <v>0</v>
      </c>
      <c r="PI62" s="1319">
        <f t="shared" ca="1" si="1146"/>
        <v>0</v>
      </c>
      <c r="PJ62" s="1319">
        <f t="shared" ca="1" si="1146"/>
        <v>0</v>
      </c>
      <c r="PK62" s="1319">
        <f t="shared" ca="1" si="1146"/>
        <v>0</v>
      </c>
      <c r="PW62" s="1319">
        <f t="shared" ca="1" si="1147"/>
        <v>0</v>
      </c>
      <c r="PX62" s="1319">
        <f t="shared" ca="1" si="1147"/>
        <v>0</v>
      </c>
      <c r="PY62" s="1319">
        <f t="shared" ca="1" si="1147"/>
        <v>0</v>
      </c>
      <c r="PZ62" s="1319">
        <f t="shared" ca="1" si="1147"/>
        <v>0</v>
      </c>
    </row>
    <row r="63" spans="1:442" x14ac:dyDescent="0.25">
      <c r="A63" s="189">
        <v>24</v>
      </c>
      <c r="B63" s="189" t="s">
        <v>1256</v>
      </c>
      <c r="C63" s="1317" t="s">
        <v>1280</v>
      </c>
      <c r="D63" s="1317" t="s">
        <v>206</v>
      </c>
      <c r="J63" s="1319">
        <f t="shared" ca="1" si="1093"/>
        <v>0</v>
      </c>
      <c r="K63" s="1319">
        <f t="shared" ca="1" si="1148"/>
        <v>0</v>
      </c>
      <c r="T63" s="1319">
        <f t="shared" ca="1" si="1094"/>
        <v>0</v>
      </c>
      <c r="U63" s="1319">
        <f t="shared" ca="1" si="1123"/>
        <v>0</v>
      </c>
      <c r="V63" s="1319">
        <f t="shared" ca="1" si="1123"/>
        <v>4.82411889E-5</v>
      </c>
      <c r="W63" s="1319">
        <f t="shared" ca="1" si="1123"/>
        <v>0</v>
      </c>
      <c r="X63" s="1319">
        <f t="shared" ca="1" si="1123"/>
        <v>0</v>
      </c>
      <c r="Y63" s="1319">
        <f t="shared" ca="1" si="1123"/>
        <v>4.82411889E-5</v>
      </c>
      <c r="Z63" s="1319">
        <f t="shared" ca="1" si="1123"/>
        <v>8.3523747499999998E-12</v>
      </c>
      <c r="AA63" s="1319">
        <f t="shared" ca="1" si="1123"/>
        <v>4.8241180499999998E-5</v>
      </c>
      <c r="AB63" s="1319">
        <f t="shared" ca="1" si="1123"/>
        <v>0</v>
      </c>
      <c r="AC63" s="1319">
        <f t="shared" ca="1" si="1123"/>
        <v>4.82411889E-5</v>
      </c>
      <c r="AD63" s="1319">
        <f t="shared" ca="1" si="1123"/>
        <v>0</v>
      </c>
      <c r="AM63" s="1319">
        <f t="shared" ca="1" si="1095"/>
        <v>0</v>
      </c>
      <c r="AN63" s="1319">
        <f t="shared" ca="1" si="1095"/>
        <v>0</v>
      </c>
      <c r="AO63" s="1319">
        <f t="shared" ca="1" si="1128"/>
        <v>4.8241180499999998E-5</v>
      </c>
      <c r="AP63" s="1319">
        <f t="shared" ca="1" si="1128"/>
        <v>4.8241180499999998E-5</v>
      </c>
      <c r="AQ63" s="1319">
        <f t="shared" ca="1" si="1128"/>
        <v>7.6370381300000003E-13</v>
      </c>
      <c r="AR63" s="1319">
        <f t="shared" ca="1" si="1128"/>
        <v>0</v>
      </c>
      <c r="AS63" s="1319">
        <f t="shared" ca="1" si="1128"/>
        <v>0</v>
      </c>
      <c r="AT63" s="1319">
        <f t="shared" ca="1" si="1095"/>
        <v>0</v>
      </c>
      <c r="AU63" s="1319">
        <f t="shared" ca="1" si="1095"/>
        <v>0</v>
      </c>
      <c r="AV63" s="1319">
        <f t="shared" ca="1" si="1095"/>
        <v>4.8241179799999997E-5</v>
      </c>
      <c r="AW63" s="1319">
        <f t="shared" ca="1" si="1095"/>
        <v>0</v>
      </c>
      <c r="AX63" s="1319">
        <f t="shared" ca="1" si="1095"/>
        <v>0</v>
      </c>
      <c r="AY63" s="1319">
        <f t="shared" ca="1" si="1095"/>
        <v>0</v>
      </c>
      <c r="AZ63" s="1319">
        <f t="shared" ca="1" si="1095"/>
        <v>0</v>
      </c>
      <c r="BA63" s="1319">
        <f t="shared" ca="1" si="1095"/>
        <v>0</v>
      </c>
      <c r="BB63" s="1319">
        <f t="shared" ca="1" si="1095"/>
        <v>4.8241179799999997E-5</v>
      </c>
      <c r="BN63" s="1319">
        <f t="shared" ca="1" si="1129"/>
        <v>4.8241145300000001E-6</v>
      </c>
      <c r="BO63" s="1319">
        <f t="shared" ca="1" si="1129"/>
        <v>76.808716500000003</v>
      </c>
      <c r="BP63" s="1319">
        <f t="shared" ca="1" si="1129"/>
        <v>9.3290445599999994E-11</v>
      </c>
      <c r="BQ63" s="1319">
        <f t="shared" ca="1" si="1129"/>
        <v>0</v>
      </c>
      <c r="BR63" s="1319">
        <f t="shared" ca="1" si="1129"/>
        <v>0</v>
      </c>
      <c r="CD63" s="1319">
        <f t="shared" ca="1" si="1130"/>
        <v>4.8241179799999997E-5</v>
      </c>
      <c r="CE63" s="1319">
        <f t="shared" ca="1" si="1130"/>
        <v>4.8241179799999997E-5</v>
      </c>
      <c r="CF63" s="1319">
        <f t="shared" ca="1" si="1130"/>
        <v>4.8241145300000001E-6</v>
      </c>
      <c r="CG63" s="1319">
        <f t="shared" ca="1" si="1130"/>
        <v>76.808716500000003</v>
      </c>
      <c r="CH63" s="1319">
        <f t="shared" ca="1" si="1130"/>
        <v>4.8241179799999997E-5</v>
      </c>
      <c r="CI63" s="1319">
        <f t="shared" ca="1" si="1130"/>
        <v>0</v>
      </c>
      <c r="CJ63" s="1319">
        <f t="shared" ca="1" si="1130"/>
        <v>0</v>
      </c>
      <c r="CK63" s="1319">
        <f t="shared" ca="1" si="1130"/>
        <v>754.94826699999999</v>
      </c>
      <c r="CL63" s="1319">
        <f t="shared" ca="1" si="1130"/>
        <v>8.8878319099999999E-10</v>
      </c>
      <c r="CM63" s="1319">
        <f t="shared" ca="1" si="1130"/>
        <v>0</v>
      </c>
      <c r="CN63" s="1319">
        <f t="shared" ca="1" si="1130"/>
        <v>754.94826699999999</v>
      </c>
      <c r="CO63" s="1319">
        <f t="shared" ca="1" si="1130"/>
        <v>9.8207374799999997E-10</v>
      </c>
      <c r="DA63" s="1319">
        <f t="shared" ca="1" si="1131"/>
        <v>0</v>
      </c>
      <c r="DB63" s="1319">
        <f t="shared" ca="1" si="1131"/>
        <v>0</v>
      </c>
      <c r="DC63" s="1319">
        <f t="shared" ca="1" si="1131"/>
        <v>0</v>
      </c>
      <c r="DD63" s="1319">
        <f t="shared" ca="1" si="1131"/>
        <v>0</v>
      </c>
      <c r="DE63" s="1319">
        <f t="shared" ca="1" si="1131"/>
        <v>0</v>
      </c>
      <c r="DF63" s="1319">
        <f t="shared" ca="1" si="1131"/>
        <v>0</v>
      </c>
      <c r="DG63" s="1319">
        <f t="shared" ca="1" si="1131"/>
        <v>0</v>
      </c>
      <c r="DH63" s="1319">
        <f t="shared" ca="1" si="1131"/>
        <v>0</v>
      </c>
      <c r="DI63" s="1319">
        <f t="shared" ca="1" si="1131"/>
        <v>0</v>
      </c>
      <c r="DJ63" s="1319">
        <f t="shared" ca="1" si="1131"/>
        <v>0</v>
      </c>
      <c r="DV63" s="1319">
        <f t="shared" ca="1" si="1132"/>
        <v>0</v>
      </c>
      <c r="DW63" s="1319">
        <f t="shared" ca="1" si="1132"/>
        <v>0</v>
      </c>
      <c r="DX63" s="1319">
        <f t="shared" ca="1" si="1132"/>
        <v>0</v>
      </c>
      <c r="DY63" s="1319">
        <f t="shared" ca="1" si="1132"/>
        <v>0</v>
      </c>
      <c r="DZ63" s="1319">
        <f t="shared" ca="1" si="1132"/>
        <v>0</v>
      </c>
      <c r="EA63" s="1319">
        <f t="shared" ca="1" si="1132"/>
        <v>0</v>
      </c>
      <c r="EB63" s="1319">
        <f t="shared" ca="1" si="1132"/>
        <v>0</v>
      </c>
      <c r="EC63" s="1319">
        <f t="shared" ca="1" si="1132"/>
        <v>0</v>
      </c>
      <c r="ED63" s="1319">
        <f t="shared" ca="1" si="1132"/>
        <v>0</v>
      </c>
      <c r="EE63" s="1319">
        <f t="shared" ca="1" si="1132"/>
        <v>0</v>
      </c>
      <c r="EF63" s="1319">
        <f t="shared" ca="1" si="1132"/>
        <v>0</v>
      </c>
      <c r="EG63" s="1319">
        <f t="shared" ca="1" si="1132"/>
        <v>0</v>
      </c>
      <c r="EH63" s="1319">
        <f t="shared" ca="1" si="1132"/>
        <v>0</v>
      </c>
      <c r="EI63" s="1319">
        <f t="shared" ca="1" si="1132"/>
        <v>0</v>
      </c>
      <c r="EJ63" s="1319">
        <f t="shared" ca="1" si="1101"/>
        <v>0</v>
      </c>
      <c r="EK63" s="1319">
        <f t="shared" ca="1" si="1132"/>
        <v>0</v>
      </c>
      <c r="EW63" s="1319">
        <f t="shared" ca="1" si="1133"/>
        <v>754.94826699999999</v>
      </c>
      <c r="EX63" s="1319">
        <f t="shared" ca="1" si="1133"/>
        <v>754.94826699999999</v>
      </c>
      <c r="EY63" s="1319">
        <f t="shared" ca="1" si="1133"/>
        <v>754.94821899999999</v>
      </c>
      <c r="EZ63" s="1319">
        <f t="shared" ca="1" si="1133"/>
        <v>754.94821899999999</v>
      </c>
      <c r="FA63" s="1319">
        <f t="shared" ca="1" si="1133"/>
        <v>1.11055577E-16</v>
      </c>
      <c r="FB63" s="1319">
        <f t="shared" ca="1" si="1133"/>
        <v>4.8241188599999998E-5</v>
      </c>
      <c r="FN63" s="1319">
        <f t="shared" ca="1" si="1134"/>
        <v>9.3290445599999994E-11</v>
      </c>
      <c r="FO63" s="1319">
        <f t="shared" ca="1" si="1134"/>
        <v>8.8878319099999999E-10</v>
      </c>
      <c r="FP63" s="1319">
        <f t="shared" ca="1" si="1134"/>
        <v>1.11055577E-16</v>
      </c>
      <c r="FQ63" s="1319">
        <f t="shared" ca="1" si="1134"/>
        <v>4.8241188599999998E-5</v>
      </c>
      <c r="FR63" s="1319">
        <f t="shared" ca="1" si="1134"/>
        <v>0</v>
      </c>
      <c r="FS63" s="1319">
        <f t="shared" ca="1" si="1134"/>
        <v>4.82411889E-5</v>
      </c>
      <c r="FT63" s="1319">
        <f t="shared" ca="1" si="1134"/>
        <v>0</v>
      </c>
      <c r="FU63" s="1319">
        <f t="shared" ca="1" si="1134"/>
        <v>9.8207374799999997E-10</v>
      </c>
      <c r="FV63" s="1319">
        <f t="shared" ca="1" si="1134"/>
        <v>0</v>
      </c>
      <c r="FW63" s="1319">
        <f t="shared" ca="1" si="1134"/>
        <v>0</v>
      </c>
      <c r="FX63" s="1319">
        <f t="shared" ca="1" si="1134"/>
        <v>9.8207374799999997E-10</v>
      </c>
      <c r="GJ63" s="1319">
        <f t="shared" ca="1" si="1135"/>
        <v>0</v>
      </c>
      <c r="GK63" s="1319">
        <f t="shared" ca="1" si="1135"/>
        <v>0</v>
      </c>
      <c r="GL63" s="1319">
        <f t="shared" ca="1" si="1135"/>
        <v>0</v>
      </c>
      <c r="GM63" s="1319">
        <f t="shared" ca="1" si="1135"/>
        <v>0</v>
      </c>
      <c r="GN63" s="1319">
        <f t="shared" ca="1" si="1135"/>
        <v>0</v>
      </c>
      <c r="GO63" s="1319">
        <f t="shared" ca="1" si="1135"/>
        <v>0</v>
      </c>
      <c r="GP63" s="1319">
        <f t="shared" ca="1" si="1135"/>
        <v>0</v>
      </c>
      <c r="GQ63" s="1319">
        <f t="shared" ca="1" si="1135"/>
        <v>0</v>
      </c>
      <c r="HC63" s="1319">
        <f t="shared" ca="1" si="1136"/>
        <v>754.94821899999999</v>
      </c>
      <c r="HD63" s="1319">
        <f t="shared" ca="1" si="1136"/>
        <v>726.84030600000006</v>
      </c>
      <c r="HE63" s="1319">
        <f t="shared" ca="1" si="1136"/>
        <v>0</v>
      </c>
      <c r="HF63" s="1319">
        <f t="shared" ca="1" si="1136"/>
        <v>2.54165134E-9</v>
      </c>
      <c r="HG63" s="1319">
        <f t="shared" ca="1" si="1136"/>
        <v>28.107912599999999</v>
      </c>
      <c r="HH63" s="1319">
        <f t="shared" ca="1" si="1136"/>
        <v>726.84030600000006</v>
      </c>
      <c r="HT63" s="1319">
        <f t="shared" ca="1" si="1137"/>
        <v>0</v>
      </c>
      <c r="HU63" s="1319">
        <f t="shared" ca="1" si="1137"/>
        <v>726.84030600000006</v>
      </c>
      <c r="HV63" s="1319">
        <f t="shared" ca="1" si="1137"/>
        <v>726.84030600000006</v>
      </c>
      <c r="HW63" s="1319">
        <f t="shared" ca="1" si="1137"/>
        <v>726.84030600000006</v>
      </c>
      <c r="HX63" s="1319">
        <f t="shared" ca="1" si="1137"/>
        <v>60.792694100000006</v>
      </c>
      <c r="HY63" s="1319">
        <f t="shared" ca="1" si="1137"/>
        <v>4.6229335200000001</v>
      </c>
      <c r="HZ63" s="1319">
        <f t="shared" ca="1" si="1137"/>
        <v>1.9307955299999999E-10</v>
      </c>
      <c r="IA63" s="1319">
        <f t="shared" ca="1" si="1137"/>
        <v>3.3922139800000003E-12</v>
      </c>
      <c r="IB63" s="1319">
        <f t="shared" ca="1" si="1137"/>
        <v>0</v>
      </c>
      <c r="IC63" s="1319">
        <f t="shared" ca="1" si="1137"/>
        <v>0</v>
      </c>
      <c r="ID63" s="1319">
        <f t="shared" ca="1" si="1137"/>
        <v>0</v>
      </c>
      <c r="IE63" s="1319">
        <f t="shared" ca="1" si="1137"/>
        <v>0</v>
      </c>
      <c r="IQ63" s="1319">
        <f t="shared" ca="1" si="1138"/>
        <v>60.792694100000006</v>
      </c>
      <c r="IR63" s="1319">
        <f t="shared" ca="1" si="1138"/>
        <v>4.6229335200000001</v>
      </c>
      <c r="IS63" s="1319">
        <f t="shared" ca="1" si="1138"/>
        <v>9.1972321900000001E-2</v>
      </c>
      <c r="IT63" s="1319">
        <f t="shared" ca="1" si="1138"/>
        <v>4.7149058400000001</v>
      </c>
      <c r="IU63" s="1319">
        <f t="shared" ca="1" si="1108"/>
        <v>4.4004052400000004</v>
      </c>
      <c r="IV63" s="1319">
        <f t="shared" ca="1" si="1138"/>
        <v>2.6960174000000001</v>
      </c>
      <c r="IW63" s="1319">
        <f t="shared" ca="1" si="1138"/>
        <v>2.2073357300000001</v>
      </c>
      <c r="IX63" s="1319">
        <f t="shared" ca="1" si="1109"/>
        <v>3.5984318899999998E-12</v>
      </c>
      <c r="IY63" s="1319">
        <f t="shared" ca="1" si="1138"/>
        <v>0.31450060099999999</v>
      </c>
      <c r="IZ63" s="1319">
        <f t="shared" ca="1" si="1138"/>
        <v>0.39670935299999999</v>
      </c>
      <c r="JA63" s="1319">
        <f t="shared" ca="1" si="1138"/>
        <v>2.29930805</v>
      </c>
      <c r="JB63" s="1319">
        <f t="shared" ca="1" si="1138"/>
        <v>0</v>
      </c>
      <c r="JC63" s="1319">
        <f t="shared" ca="1" si="1138"/>
        <v>0.39670935299999999</v>
      </c>
      <c r="JD63" s="1319">
        <f t="shared" ca="1" si="1138"/>
        <v>0</v>
      </c>
      <c r="JE63" s="1319">
        <f t="shared" ca="1" si="1138"/>
        <v>0.39670935299999999</v>
      </c>
      <c r="JF63" s="1319">
        <f t="shared" ca="1" si="1138"/>
        <v>0</v>
      </c>
      <c r="JG63" s="1319">
        <f t="shared" ca="1" si="1138"/>
        <v>0</v>
      </c>
      <c r="JH63" s="1319">
        <f t="shared" ca="1" si="1138"/>
        <v>3.3922139800000003E-12</v>
      </c>
      <c r="JT63" s="1319">
        <f t="shared" ca="1" si="1139"/>
        <v>0</v>
      </c>
      <c r="JU63" s="1319">
        <f t="shared" ca="1" si="1139"/>
        <v>0</v>
      </c>
      <c r="JV63" s="1319">
        <f t="shared" ca="1" si="1139"/>
        <v>0</v>
      </c>
      <c r="JW63" s="1319">
        <f t="shared" ca="1" si="1139"/>
        <v>0</v>
      </c>
      <c r="JX63" s="1319">
        <f t="shared" ca="1" si="1139"/>
        <v>0</v>
      </c>
      <c r="JY63" s="1319">
        <f t="shared" ca="1" si="1139"/>
        <v>0</v>
      </c>
      <c r="JZ63" s="1319">
        <f t="shared" ca="1" si="1139"/>
        <v>0</v>
      </c>
      <c r="KA63" s="1319">
        <f t="shared" ca="1" si="1139"/>
        <v>0</v>
      </c>
      <c r="KB63" s="1319">
        <f t="shared" ca="1" si="1139"/>
        <v>0</v>
      </c>
      <c r="KC63" s="1319">
        <f t="shared" ca="1" si="1139"/>
        <v>0</v>
      </c>
      <c r="KL63" s="1319">
        <f t="shared" ca="1" si="1140"/>
        <v>0</v>
      </c>
      <c r="KM63" s="1319">
        <f t="shared" ca="1" si="1140"/>
        <v>0</v>
      </c>
      <c r="KN63" s="1319">
        <f t="shared" ca="1" si="1140"/>
        <v>0</v>
      </c>
      <c r="KO63" s="1319">
        <f t="shared" ca="1" si="1140"/>
        <v>0</v>
      </c>
      <c r="KP63" s="1319">
        <f t="shared" ca="1" si="1140"/>
        <v>0</v>
      </c>
      <c r="KQ63" s="1319">
        <f t="shared" ca="1" si="1140"/>
        <v>0</v>
      </c>
      <c r="KR63" s="1319">
        <f t="shared" ca="1" si="1140"/>
        <v>0</v>
      </c>
      <c r="LA63" s="1319">
        <f t="shared" ca="1" si="1141"/>
        <v>2.54165134E-9</v>
      </c>
      <c r="LB63" s="1319">
        <f t="shared" ca="1" si="1141"/>
        <v>1.9307955299999999E-10</v>
      </c>
      <c r="LC63" s="1319">
        <f t="shared" ca="1" si="1141"/>
        <v>2.7347308900000002E-9</v>
      </c>
      <c r="LD63" s="1319">
        <f t="shared" ca="1" si="1141"/>
        <v>2.7347308900000002E-9</v>
      </c>
      <c r="LE63" s="1319">
        <f t="shared" ca="1" si="1141"/>
        <v>0</v>
      </c>
      <c r="LF63" s="1319">
        <f t="shared" ca="1" si="1141"/>
        <v>0</v>
      </c>
      <c r="LG63" s="1319">
        <f t="shared" ca="1" si="1141"/>
        <v>0</v>
      </c>
      <c r="LH63" s="1319">
        <f t="shared" ca="1" si="1141"/>
        <v>0</v>
      </c>
      <c r="LI63" s="1319">
        <f t="shared" ca="1" si="1141"/>
        <v>0</v>
      </c>
      <c r="LJ63" s="1319">
        <f t="shared" ca="1" si="1141"/>
        <v>0</v>
      </c>
      <c r="LK63" s="1319">
        <f t="shared" ca="1" si="1141"/>
        <v>0</v>
      </c>
      <c r="LW63" s="1319">
        <f t="shared" ca="1" si="1113"/>
        <v>0</v>
      </c>
      <c r="LX63" s="1319">
        <f t="shared" ca="1" si="1142"/>
        <v>0</v>
      </c>
      <c r="LY63" s="1319">
        <f t="shared" ca="1" si="1142"/>
        <v>28.107912599999999</v>
      </c>
      <c r="LZ63" s="1319">
        <f t="shared" ca="1" si="1142"/>
        <v>0.31450060099999999</v>
      </c>
      <c r="MA63" s="1319">
        <f t="shared" ca="1" si="1142"/>
        <v>28.422413200000001</v>
      </c>
      <c r="MB63" s="1319">
        <f t="shared" ca="1" si="1142"/>
        <v>2.7347308900000002E-9</v>
      </c>
      <c r="MC63" s="1319">
        <f t="shared" ca="1" si="1142"/>
        <v>0</v>
      </c>
      <c r="MD63" s="1319">
        <f t="shared" ca="1" si="1142"/>
        <v>0</v>
      </c>
      <c r="ME63" s="1319">
        <f t="shared" ca="1" si="1142"/>
        <v>0</v>
      </c>
      <c r="MF63" s="1319">
        <f t="shared" ca="1" si="1142"/>
        <v>0</v>
      </c>
      <c r="MG63" s="1319">
        <f t="shared" ca="1" si="1142"/>
        <v>0</v>
      </c>
      <c r="MH63" s="1319">
        <f t="shared" ca="1" si="1143"/>
        <v>0</v>
      </c>
      <c r="MI63" s="1319">
        <f t="shared" ca="1" si="1143"/>
        <v>0</v>
      </c>
      <c r="MJ63" s="1319">
        <f t="shared" ca="1" si="1142"/>
        <v>0</v>
      </c>
      <c r="MK63" s="1319">
        <f t="shared" ca="1" si="1142"/>
        <v>0</v>
      </c>
      <c r="ML63" s="1319">
        <f t="shared" ca="1" si="1142"/>
        <v>0</v>
      </c>
      <c r="MM63" s="1319">
        <f t="shared" ca="1" si="1142"/>
        <v>0</v>
      </c>
      <c r="MN63" s="1319">
        <f t="shared" ca="1" si="1142"/>
        <v>0</v>
      </c>
      <c r="MO63" s="1319">
        <f t="shared" ca="1" si="1142"/>
        <v>0</v>
      </c>
      <c r="NA63" s="1319">
        <f t="shared" ca="1" si="1144"/>
        <v>8.3523747499999998E-12</v>
      </c>
      <c r="NB63" s="1319">
        <f t="shared" ca="1" si="1144"/>
        <v>0</v>
      </c>
      <c r="NC63" s="1319">
        <f t="shared" ca="1" si="1144"/>
        <v>0</v>
      </c>
      <c r="ND63" s="1319">
        <f t="shared" ca="1" si="1144"/>
        <v>0</v>
      </c>
      <c r="NE63" s="1319">
        <f t="shared" ca="1" si="1144"/>
        <v>0</v>
      </c>
      <c r="NF63" s="1319">
        <f t="shared" ca="1" si="1144"/>
        <v>0</v>
      </c>
      <c r="NG63" s="1319">
        <f t="shared" ca="1" si="1144"/>
        <v>0</v>
      </c>
      <c r="NH63" s="1319">
        <f t="shared" ca="1" si="1144"/>
        <v>0</v>
      </c>
      <c r="NI63" s="1319">
        <f t="shared" ca="1" si="1144"/>
        <v>0</v>
      </c>
      <c r="NJ63" s="1319">
        <f t="shared" ca="1" si="1144"/>
        <v>0</v>
      </c>
      <c r="NK63" s="1319">
        <f t="shared" ca="1" si="1144"/>
        <v>0</v>
      </c>
      <c r="NL63" s="1319">
        <f t="shared" ca="1" si="1144"/>
        <v>0</v>
      </c>
      <c r="NM63" s="1319">
        <f t="shared" ca="1" si="1144"/>
        <v>0</v>
      </c>
      <c r="NN63" s="1319">
        <f t="shared" ca="1" si="1144"/>
        <v>0</v>
      </c>
      <c r="NO63" s="1319">
        <f t="shared" ca="1" si="1144"/>
        <v>0</v>
      </c>
      <c r="NP63" s="1319">
        <f t="shared" ca="1" si="1144"/>
        <v>0</v>
      </c>
      <c r="OH63" s="1319">
        <f t="shared" ca="1" si="1145"/>
        <v>0</v>
      </c>
      <c r="OI63" s="1319">
        <f t="shared" ca="1" si="1145"/>
        <v>0</v>
      </c>
      <c r="OJ63" s="1319">
        <f t="shared" ca="1" si="1145"/>
        <v>0</v>
      </c>
      <c r="OK63" s="1319">
        <f t="shared" ca="1" si="1145"/>
        <v>0</v>
      </c>
      <c r="OL63" s="1319">
        <f t="shared" ca="1" si="1145"/>
        <v>0</v>
      </c>
      <c r="OM63" s="1319">
        <f t="shared" ca="1" si="1145"/>
        <v>0</v>
      </c>
      <c r="ON63" s="1319">
        <f t="shared" ca="1" si="1145"/>
        <v>0</v>
      </c>
      <c r="OO63" s="1319">
        <f t="shared" ca="1" si="1145"/>
        <v>0</v>
      </c>
      <c r="PA63" s="1319">
        <f t="shared" ca="1" si="1146"/>
        <v>0</v>
      </c>
      <c r="PB63" s="1319">
        <f t="shared" ca="1" si="1146"/>
        <v>0</v>
      </c>
      <c r="PC63" s="1319">
        <f t="shared" ca="1" si="1146"/>
        <v>0</v>
      </c>
      <c r="PD63" s="1319">
        <f t="shared" ca="1" si="1146"/>
        <v>0</v>
      </c>
      <c r="PE63" s="1319">
        <f t="shared" ca="1" si="1146"/>
        <v>0</v>
      </c>
      <c r="PF63" s="1319">
        <f t="shared" ca="1" si="1146"/>
        <v>0</v>
      </c>
      <c r="PG63" s="1319">
        <f t="shared" ca="1" si="1146"/>
        <v>0</v>
      </c>
      <c r="PH63" s="1319">
        <f t="shared" ca="1" si="1146"/>
        <v>0</v>
      </c>
      <c r="PI63" s="1319">
        <f t="shared" ca="1" si="1146"/>
        <v>0</v>
      </c>
      <c r="PJ63" s="1319">
        <f t="shared" ca="1" si="1146"/>
        <v>0</v>
      </c>
      <c r="PK63" s="1319">
        <f t="shared" ca="1" si="1146"/>
        <v>0</v>
      </c>
      <c r="PW63" s="1319">
        <f t="shared" ca="1" si="1147"/>
        <v>0</v>
      </c>
      <c r="PX63" s="1319">
        <f t="shared" ca="1" si="1147"/>
        <v>0</v>
      </c>
      <c r="PY63" s="1319">
        <f t="shared" ca="1" si="1147"/>
        <v>0</v>
      </c>
      <c r="PZ63" s="1319">
        <f t="shared" ca="1" si="1147"/>
        <v>0</v>
      </c>
    </row>
    <row r="64" spans="1:442" x14ac:dyDescent="0.25">
      <c r="A64" s="189">
        <v>25</v>
      </c>
      <c r="B64" s="189" t="s">
        <v>1256</v>
      </c>
      <c r="C64" s="1317" t="s">
        <v>1299</v>
      </c>
      <c r="D64" s="1317" t="s">
        <v>206</v>
      </c>
      <c r="J64" s="1319">
        <f t="shared" ca="1" si="1093"/>
        <v>0</v>
      </c>
      <c r="K64" s="1319">
        <f t="shared" ca="1" si="1148"/>
        <v>0</v>
      </c>
      <c r="T64" s="1319">
        <f t="shared" ca="1" si="1094"/>
        <v>0</v>
      </c>
      <c r="U64" s="1319">
        <f t="shared" ca="1" si="1123"/>
        <v>0</v>
      </c>
      <c r="V64" s="1319">
        <f t="shared" ca="1" si="1123"/>
        <v>3.0722650799999999E-3</v>
      </c>
      <c r="W64" s="1319">
        <f t="shared" ca="1" si="1123"/>
        <v>0</v>
      </c>
      <c r="X64" s="1319">
        <f t="shared" ca="1" si="1123"/>
        <v>0</v>
      </c>
      <c r="Y64" s="1319">
        <f t="shared" ca="1" si="1123"/>
        <v>3.0722650799999999E-3</v>
      </c>
      <c r="Z64" s="1319">
        <f t="shared" ca="1" si="1123"/>
        <v>8.6222536000000002E-8</v>
      </c>
      <c r="AA64" s="1319">
        <f t="shared" ca="1" si="1123"/>
        <v>3.0721788500000001E-3</v>
      </c>
      <c r="AB64" s="1319">
        <f t="shared" ca="1" si="1123"/>
        <v>0</v>
      </c>
      <c r="AC64" s="1319">
        <f t="shared" ca="1" si="1123"/>
        <v>3.0722650799999999E-3</v>
      </c>
      <c r="AD64" s="1319">
        <f t="shared" ca="1" si="1123"/>
        <v>0</v>
      </c>
      <c r="AM64" s="1319">
        <f t="shared" ca="1" si="1095"/>
        <v>0</v>
      </c>
      <c r="AN64" s="1319">
        <f t="shared" ca="1" si="1095"/>
        <v>0</v>
      </c>
      <c r="AO64" s="1319">
        <f t="shared" ca="1" si="1128"/>
        <v>3.0721788500000001E-3</v>
      </c>
      <c r="AP64" s="1319">
        <f t="shared" ca="1" si="1128"/>
        <v>3.0721788500000001E-3</v>
      </c>
      <c r="AQ64" s="1319">
        <f t="shared" ca="1" si="1128"/>
        <v>2.6143419199999999E-8</v>
      </c>
      <c r="AR64" s="1319">
        <f t="shared" ca="1" si="1128"/>
        <v>3.8311751599999998E-11</v>
      </c>
      <c r="AS64" s="1319">
        <f t="shared" ca="1" si="1128"/>
        <v>8.6184224199999995E-8</v>
      </c>
      <c r="AT64" s="1319">
        <f t="shared" ref="AN64:BB79" ca="1" si="1149">VLOOKUP(AT$1,INDIRECT(LU_MAT),$A64,FALSE)</f>
        <v>2.3985297400000001E-12</v>
      </c>
      <c r="AU64" s="1319">
        <f t="shared" ca="1" si="1149"/>
        <v>2.6179332399999999E-8</v>
      </c>
      <c r="AV64" s="1319">
        <f t="shared" ca="1" si="1149"/>
        <v>3.0721527100000001E-3</v>
      </c>
      <c r="AW64" s="1319">
        <f t="shared" ca="1" si="1149"/>
        <v>2.3985297400000001E-12</v>
      </c>
      <c r="AX64" s="1319">
        <f t="shared" ca="1" si="1149"/>
        <v>1.12365955E-7</v>
      </c>
      <c r="AY64" s="1319">
        <f t="shared" ca="1" si="1149"/>
        <v>0</v>
      </c>
      <c r="AZ64" s="1319">
        <f t="shared" ca="1" si="1149"/>
        <v>0</v>
      </c>
      <c r="BA64" s="1319">
        <f t="shared" ca="1" si="1149"/>
        <v>0</v>
      </c>
      <c r="BB64" s="1319">
        <f t="shared" ca="1" si="1149"/>
        <v>3.0721527100000001E-3</v>
      </c>
      <c r="BN64" s="1319">
        <f t="shared" ca="1" si="1129"/>
        <v>3.07215002E-4</v>
      </c>
      <c r="BO64" s="1319">
        <f t="shared" ca="1" si="1129"/>
        <v>17.194992599999999</v>
      </c>
      <c r="BP64" s="1319">
        <f t="shared" ca="1" si="1129"/>
        <v>1.1359147399999999E-7</v>
      </c>
      <c r="BQ64" s="1319">
        <f t="shared" ca="1" si="1129"/>
        <v>0</v>
      </c>
      <c r="BR64" s="1319">
        <f t="shared" ca="1" si="1129"/>
        <v>0</v>
      </c>
      <c r="CD64" s="1319">
        <f t="shared" ca="1" si="1130"/>
        <v>3.0721527100000001E-3</v>
      </c>
      <c r="CE64" s="1319">
        <f t="shared" ca="1" si="1130"/>
        <v>3.0721527100000001E-3</v>
      </c>
      <c r="CF64" s="1319">
        <f t="shared" ca="1" si="1130"/>
        <v>3.07215002E-4</v>
      </c>
      <c r="CG64" s="1319">
        <f t="shared" ca="1" si="1130"/>
        <v>17.194992599999999</v>
      </c>
      <c r="CH64" s="1319">
        <f t="shared" ca="1" si="1130"/>
        <v>3.0721527100000001E-3</v>
      </c>
      <c r="CI64" s="1319">
        <f t="shared" ca="1" si="1130"/>
        <v>0</v>
      </c>
      <c r="CJ64" s="1319">
        <f t="shared" ca="1" si="1130"/>
        <v>0</v>
      </c>
      <c r="CK64" s="1319">
        <f t="shared" ca="1" si="1130"/>
        <v>174.36925299999999</v>
      </c>
      <c r="CL64" s="1319">
        <f t="shared" ca="1" si="1130"/>
        <v>1.12148698E-6</v>
      </c>
      <c r="CM64" s="1319">
        <f t="shared" ca="1" si="1130"/>
        <v>0</v>
      </c>
      <c r="CN64" s="1319">
        <f t="shared" ca="1" si="1130"/>
        <v>174.36925400000001</v>
      </c>
      <c r="CO64" s="1319">
        <f t="shared" ca="1" si="1130"/>
        <v>1.2351166500000001E-6</v>
      </c>
      <c r="DA64" s="1319">
        <f t="shared" ca="1" si="1131"/>
        <v>0</v>
      </c>
      <c r="DB64" s="1319">
        <f t="shared" ca="1" si="1131"/>
        <v>0</v>
      </c>
      <c r="DC64" s="1319">
        <f t="shared" ca="1" si="1131"/>
        <v>0</v>
      </c>
      <c r="DD64" s="1319">
        <f t="shared" ca="1" si="1131"/>
        <v>0</v>
      </c>
      <c r="DE64" s="1319">
        <f t="shared" ca="1" si="1131"/>
        <v>0</v>
      </c>
      <c r="DF64" s="1319">
        <f t="shared" ca="1" si="1131"/>
        <v>0</v>
      </c>
      <c r="DG64" s="1319">
        <f t="shared" ca="1" si="1131"/>
        <v>0</v>
      </c>
      <c r="DH64" s="1319">
        <f t="shared" ca="1" si="1131"/>
        <v>0</v>
      </c>
      <c r="DI64" s="1319">
        <f t="shared" ca="1" si="1131"/>
        <v>0</v>
      </c>
      <c r="DJ64" s="1319">
        <f t="shared" ca="1" si="1131"/>
        <v>0</v>
      </c>
      <c r="DV64" s="1319">
        <f t="shared" ca="1" si="1132"/>
        <v>0</v>
      </c>
      <c r="DW64" s="1319">
        <f t="shared" ca="1" si="1132"/>
        <v>0</v>
      </c>
      <c r="DX64" s="1319">
        <f t="shared" ca="1" si="1132"/>
        <v>0</v>
      </c>
      <c r="DY64" s="1319">
        <f t="shared" ca="1" si="1132"/>
        <v>0</v>
      </c>
      <c r="DZ64" s="1319">
        <f t="shared" ca="1" si="1132"/>
        <v>0</v>
      </c>
      <c r="EA64" s="1319">
        <f t="shared" ca="1" si="1132"/>
        <v>0</v>
      </c>
      <c r="EB64" s="1319">
        <f t="shared" ca="1" si="1132"/>
        <v>0</v>
      </c>
      <c r="EC64" s="1319">
        <f t="shared" ca="1" si="1132"/>
        <v>0</v>
      </c>
      <c r="ED64" s="1319">
        <f t="shared" ca="1" si="1132"/>
        <v>0</v>
      </c>
      <c r="EE64" s="1319">
        <f t="shared" ca="1" si="1132"/>
        <v>0</v>
      </c>
      <c r="EF64" s="1319">
        <f t="shared" ca="1" si="1132"/>
        <v>0</v>
      </c>
      <c r="EG64" s="1319">
        <f t="shared" ca="1" si="1132"/>
        <v>0</v>
      </c>
      <c r="EH64" s="1319">
        <f t="shared" ca="1" si="1132"/>
        <v>0</v>
      </c>
      <c r="EI64" s="1319">
        <f t="shared" ca="1" si="1132"/>
        <v>0</v>
      </c>
      <c r="EJ64" s="1319">
        <f t="shared" ca="1" si="1101"/>
        <v>0</v>
      </c>
      <c r="EK64" s="1319">
        <f t="shared" ca="1" si="1132"/>
        <v>0</v>
      </c>
      <c r="EW64" s="1319">
        <f t="shared" ca="1" si="1133"/>
        <v>174.36925400000001</v>
      </c>
      <c r="EX64" s="1319">
        <f t="shared" ca="1" si="1133"/>
        <v>174.36925400000001</v>
      </c>
      <c r="EY64" s="1319">
        <f t="shared" ca="1" si="1133"/>
        <v>174.36618200000001</v>
      </c>
      <c r="EZ64" s="1319">
        <f t="shared" ca="1" si="1133"/>
        <v>174.36618200000001</v>
      </c>
      <c r="FA64" s="1319">
        <f t="shared" ca="1" si="1133"/>
        <v>3.8196698699999999E-11</v>
      </c>
      <c r="FB64" s="1319">
        <f t="shared" ca="1" si="1133"/>
        <v>3.07226506E-3</v>
      </c>
      <c r="FN64" s="1319">
        <f t="shared" ca="1" si="1134"/>
        <v>1.1359147399999999E-7</v>
      </c>
      <c r="FO64" s="1319">
        <f t="shared" ca="1" si="1134"/>
        <v>1.12148698E-6</v>
      </c>
      <c r="FP64" s="1319">
        <f t="shared" ca="1" si="1134"/>
        <v>3.8196698699999999E-11</v>
      </c>
      <c r="FQ64" s="1319">
        <f t="shared" ca="1" si="1134"/>
        <v>3.07226506E-3</v>
      </c>
      <c r="FR64" s="1319">
        <f t="shared" ca="1" si="1134"/>
        <v>0</v>
      </c>
      <c r="FS64" s="1319">
        <f t="shared" ca="1" si="1134"/>
        <v>3.0722650799999999E-3</v>
      </c>
      <c r="FT64" s="1319">
        <f t="shared" ca="1" si="1134"/>
        <v>0</v>
      </c>
      <c r="FU64" s="1319">
        <f t="shared" ca="1" si="1134"/>
        <v>1.2351166500000001E-6</v>
      </c>
      <c r="FV64" s="1319">
        <f t="shared" ca="1" si="1134"/>
        <v>0</v>
      </c>
      <c r="FW64" s="1319">
        <f t="shared" ca="1" si="1134"/>
        <v>4.7456199200000002E-34</v>
      </c>
      <c r="FX64" s="1319">
        <f t="shared" ca="1" si="1134"/>
        <v>1.2351166500000001E-6</v>
      </c>
      <c r="GJ64" s="1319">
        <f t="shared" ca="1" si="1135"/>
        <v>0</v>
      </c>
      <c r="GK64" s="1319">
        <f t="shared" ca="1" si="1135"/>
        <v>0</v>
      </c>
      <c r="GL64" s="1319">
        <f t="shared" ca="1" si="1135"/>
        <v>0</v>
      </c>
      <c r="GM64" s="1319">
        <f t="shared" ca="1" si="1135"/>
        <v>0</v>
      </c>
      <c r="GN64" s="1319">
        <f t="shared" ca="1" si="1135"/>
        <v>0</v>
      </c>
      <c r="GO64" s="1319">
        <f t="shared" ca="1" si="1135"/>
        <v>0</v>
      </c>
      <c r="GP64" s="1319">
        <f t="shared" ca="1" si="1135"/>
        <v>0</v>
      </c>
      <c r="GQ64" s="1319">
        <f t="shared" ca="1" si="1135"/>
        <v>0</v>
      </c>
      <c r="HC64" s="1319">
        <f t="shared" ca="1" si="1136"/>
        <v>174.36618200000001</v>
      </c>
      <c r="HD64" s="1319">
        <f t="shared" ca="1" si="1136"/>
        <v>167.87425400000001</v>
      </c>
      <c r="HE64" s="1319">
        <f t="shared" ca="1" si="1136"/>
        <v>0</v>
      </c>
      <c r="HF64" s="1319">
        <f t="shared" ca="1" si="1136"/>
        <v>1.8881181800000001E-6</v>
      </c>
      <c r="HG64" s="1319">
        <f t="shared" ca="1" si="1136"/>
        <v>6.4919260200000002</v>
      </c>
      <c r="HH64" s="1319">
        <f t="shared" ca="1" si="1136"/>
        <v>167.87425400000001</v>
      </c>
      <c r="HT64" s="1319">
        <f t="shared" ca="1" si="1137"/>
        <v>1.12365955E-7</v>
      </c>
      <c r="HU64" s="1319">
        <f t="shared" ca="1" si="1137"/>
        <v>167.87425400000001</v>
      </c>
      <c r="HV64" s="1319">
        <f t="shared" ca="1" si="1137"/>
        <v>167.87425400000001</v>
      </c>
      <c r="HW64" s="1319">
        <f t="shared" ca="1" si="1137"/>
        <v>167.87425400000001</v>
      </c>
      <c r="HX64" s="1319">
        <f t="shared" ca="1" si="1137"/>
        <v>14.0409495</v>
      </c>
      <c r="HY64" s="1319">
        <f t="shared" ca="1" si="1137"/>
        <v>1.0677331699999999</v>
      </c>
      <c r="HZ64" s="1319">
        <f t="shared" ca="1" si="1137"/>
        <v>2.1548929E-7</v>
      </c>
      <c r="IA64" s="1319">
        <f t="shared" ca="1" si="1137"/>
        <v>7.9888198899999996E-10</v>
      </c>
      <c r="IB64" s="1319">
        <f t="shared" ca="1" si="1137"/>
        <v>0</v>
      </c>
      <c r="IC64" s="1319">
        <f t="shared" ca="1" si="1137"/>
        <v>0</v>
      </c>
      <c r="ID64" s="1319">
        <f t="shared" ca="1" si="1137"/>
        <v>0</v>
      </c>
      <c r="IE64" s="1319">
        <f t="shared" ca="1" si="1137"/>
        <v>0</v>
      </c>
      <c r="IQ64" s="1319">
        <f t="shared" ca="1" si="1138"/>
        <v>14.0409495</v>
      </c>
      <c r="IR64" s="1319">
        <f t="shared" ca="1" si="1138"/>
        <v>1.0677331699999999</v>
      </c>
      <c r="IS64" s="1319">
        <f t="shared" ca="1" si="1138"/>
        <v>2.1242334099999999E-2</v>
      </c>
      <c r="IT64" s="1319">
        <f t="shared" ca="1" si="1138"/>
        <v>1.08897551</v>
      </c>
      <c r="IU64" s="1319">
        <f t="shared" ca="1" si="1108"/>
        <v>1.0163370599999999</v>
      </c>
      <c r="IV64" s="1319">
        <f t="shared" ca="1" si="1138"/>
        <v>0.62268409800000002</v>
      </c>
      <c r="IW64" s="1319">
        <f t="shared" ca="1" si="1138"/>
        <v>0.50981601799999998</v>
      </c>
      <c r="IX64" s="1319">
        <f t="shared" ca="1" si="1109"/>
        <v>4.4377368500000003E-9</v>
      </c>
      <c r="IY64" s="1319">
        <f t="shared" ca="1" si="1138"/>
        <v>7.2638449800000005E-2</v>
      </c>
      <c r="IZ64" s="1319">
        <f t="shared" ca="1" si="1138"/>
        <v>9.1625746100000002E-2</v>
      </c>
      <c r="JA64" s="1319">
        <f t="shared" ca="1" si="1138"/>
        <v>0.53105835199999996</v>
      </c>
      <c r="JB64" s="1319">
        <f t="shared" ca="1" si="1138"/>
        <v>0</v>
      </c>
      <c r="JC64" s="1319">
        <f t="shared" ca="1" si="1138"/>
        <v>9.1625745300000005E-2</v>
      </c>
      <c r="JD64" s="1319">
        <f t="shared" ca="1" si="1138"/>
        <v>0</v>
      </c>
      <c r="JE64" s="1319">
        <f t="shared" ca="1" si="1138"/>
        <v>9.1625746100000002E-2</v>
      </c>
      <c r="JF64" s="1319">
        <f t="shared" ca="1" si="1138"/>
        <v>0</v>
      </c>
      <c r="JG64" s="1319">
        <f t="shared" ca="1" si="1138"/>
        <v>0</v>
      </c>
      <c r="JH64" s="1319">
        <f t="shared" ca="1" si="1138"/>
        <v>7.9888198899999996E-10</v>
      </c>
      <c r="JT64" s="1319">
        <f t="shared" ca="1" si="1139"/>
        <v>0</v>
      </c>
      <c r="JU64" s="1319">
        <f t="shared" ca="1" si="1139"/>
        <v>0</v>
      </c>
      <c r="JV64" s="1319">
        <f t="shared" ca="1" si="1139"/>
        <v>0</v>
      </c>
      <c r="JW64" s="1319">
        <f t="shared" ca="1" si="1139"/>
        <v>0</v>
      </c>
      <c r="JX64" s="1319">
        <f t="shared" ca="1" si="1139"/>
        <v>0</v>
      </c>
      <c r="JY64" s="1319">
        <f t="shared" ca="1" si="1139"/>
        <v>0</v>
      </c>
      <c r="JZ64" s="1319">
        <f t="shared" ca="1" si="1139"/>
        <v>0</v>
      </c>
      <c r="KA64" s="1319">
        <f t="shared" ca="1" si="1139"/>
        <v>0</v>
      </c>
      <c r="KB64" s="1319">
        <f t="shared" ca="1" si="1139"/>
        <v>0</v>
      </c>
      <c r="KC64" s="1319">
        <f t="shared" ca="1" si="1139"/>
        <v>0</v>
      </c>
      <c r="KL64" s="1319">
        <f t="shared" ca="1" si="1140"/>
        <v>0</v>
      </c>
      <c r="KM64" s="1319">
        <f t="shared" ca="1" si="1140"/>
        <v>0</v>
      </c>
      <c r="KN64" s="1319">
        <f t="shared" ca="1" si="1140"/>
        <v>0</v>
      </c>
      <c r="KO64" s="1319">
        <f t="shared" ca="1" si="1140"/>
        <v>0</v>
      </c>
      <c r="KP64" s="1319">
        <f t="shared" ca="1" si="1140"/>
        <v>0</v>
      </c>
      <c r="KQ64" s="1319">
        <f t="shared" ca="1" si="1140"/>
        <v>0</v>
      </c>
      <c r="KR64" s="1319">
        <f t="shared" ca="1" si="1140"/>
        <v>0</v>
      </c>
      <c r="LA64" s="1319">
        <f t="shared" ca="1" si="1141"/>
        <v>1.8881181800000001E-6</v>
      </c>
      <c r="LB64" s="1319">
        <f t="shared" ca="1" si="1141"/>
        <v>2.1548929E-7</v>
      </c>
      <c r="LC64" s="1319">
        <f t="shared" ca="1" si="1141"/>
        <v>2.1036074699999999E-6</v>
      </c>
      <c r="LD64" s="1319">
        <f t="shared" ca="1" si="1141"/>
        <v>2.1036074699999999E-6</v>
      </c>
      <c r="LE64" s="1319">
        <f t="shared" ca="1" si="1141"/>
        <v>0</v>
      </c>
      <c r="LF64" s="1319">
        <f t="shared" ca="1" si="1141"/>
        <v>0</v>
      </c>
      <c r="LG64" s="1319">
        <f t="shared" ca="1" si="1141"/>
        <v>0</v>
      </c>
      <c r="LH64" s="1319">
        <f t="shared" ca="1" si="1141"/>
        <v>0</v>
      </c>
      <c r="LI64" s="1319">
        <f t="shared" ca="1" si="1141"/>
        <v>0</v>
      </c>
      <c r="LJ64" s="1319">
        <f t="shared" ca="1" si="1141"/>
        <v>0</v>
      </c>
      <c r="LK64" s="1319">
        <f t="shared" ca="1" si="1141"/>
        <v>0</v>
      </c>
      <c r="LW64" s="1319">
        <f t="shared" ca="1" si="1113"/>
        <v>0</v>
      </c>
      <c r="LX64" s="1319">
        <f t="shared" ca="1" si="1142"/>
        <v>0</v>
      </c>
      <c r="LY64" s="1319">
        <f t="shared" ca="1" si="1142"/>
        <v>6.4919260200000002</v>
      </c>
      <c r="LZ64" s="1319">
        <f t="shared" ca="1" si="1142"/>
        <v>7.2638449800000005E-2</v>
      </c>
      <c r="MA64" s="1319">
        <f t="shared" ca="1" si="1142"/>
        <v>6.5645644699999997</v>
      </c>
      <c r="MB64" s="1319">
        <f t="shared" ca="1" si="1142"/>
        <v>2.1036074699999999E-6</v>
      </c>
      <c r="MC64" s="1319">
        <f t="shared" ca="1" si="1142"/>
        <v>0</v>
      </c>
      <c r="MD64" s="1319">
        <f t="shared" ca="1" si="1142"/>
        <v>0</v>
      </c>
      <c r="ME64" s="1319">
        <f t="shared" ca="1" si="1142"/>
        <v>0</v>
      </c>
      <c r="MF64" s="1319">
        <f t="shared" ca="1" si="1142"/>
        <v>0</v>
      </c>
      <c r="MG64" s="1319">
        <f t="shared" ca="1" si="1142"/>
        <v>0</v>
      </c>
      <c r="MH64" s="1319">
        <f t="shared" ca="1" si="1143"/>
        <v>0</v>
      </c>
      <c r="MI64" s="1319">
        <f t="shared" ca="1" si="1143"/>
        <v>0</v>
      </c>
      <c r="MJ64" s="1319">
        <f t="shared" ca="1" si="1142"/>
        <v>0</v>
      </c>
      <c r="MK64" s="1319">
        <f t="shared" ca="1" si="1142"/>
        <v>0</v>
      </c>
      <c r="ML64" s="1319">
        <f t="shared" ca="1" si="1142"/>
        <v>0</v>
      </c>
      <c r="MM64" s="1319">
        <f t="shared" ca="1" si="1142"/>
        <v>0</v>
      </c>
      <c r="MN64" s="1319">
        <f t="shared" ca="1" si="1142"/>
        <v>0</v>
      </c>
      <c r="MO64" s="1319">
        <f t="shared" ca="1" si="1142"/>
        <v>0</v>
      </c>
      <c r="NA64" s="1319">
        <f t="shared" ca="1" si="1144"/>
        <v>8.6222536000000002E-8</v>
      </c>
      <c r="NB64" s="1319">
        <f t="shared" ca="1" si="1144"/>
        <v>3.8311751599999998E-11</v>
      </c>
      <c r="NC64" s="1319">
        <f t="shared" ca="1" si="1144"/>
        <v>8.6184224199999995E-8</v>
      </c>
      <c r="ND64" s="1319">
        <f t="shared" ca="1" si="1144"/>
        <v>0</v>
      </c>
      <c r="NE64" s="1319">
        <f t="shared" ca="1" si="1144"/>
        <v>0</v>
      </c>
      <c r="NF64" s="1319">
        <f t="shared" ca="1" si="1144"/>
        <v>0</v>
      </c>
      <c r="NG64" s="1319">
        <f t="shared" ca="1" si="1144"/>
        <v>0</v>
      </c>
      <c r="NH64" s="1319">
        <f t="shared" ca="1" si="1144"/>
        <v>0</v>
      </c>
      <c r="NI64" s="1319">
        <f t="shared" ca="1" si="1144"/>
        <v>0</v>
      </c>
      <c r="NJ64" s="1319">
        <f t="shared" ca="1" si="1144"/>
        <v>0</v>
      </c>
      <c r="NK64" s="1319">
        <f t="shared" ca="1" si="1144"/>
        <v>0</v>
      </c>
      <c r="NL64" s="1319">
        <f t="shared" ca="1" si="1144"/>
        <v>0</v>
      </c>
      <c r="NM64" s="1319">
        <f t="shared" ca="1" si="1144"/>
        <v>0</v>
      </c>
      <c r="NN64" s="1319">
        <f t="shared" ca="1" si="1144"/>
        <v>0</v>
      </c>
      <c r="NO64" s="1319">
        <f t="shared" ca="1" si="1144"/>
        <v>0</v>
      </c>
      <c r="NP64" s="1319">
        <f t="shared" ca="1" si="1144"/>
        <v>0</v>
      </c>
      <c r="OH64" s="1319">
        <f t="shared" ca="1" si="1145"/>
        <v>0</v>
      </c>
      <c r="OI64" s="1319">
        <f t="shared" ca="1" si="1145"/>
        <v>0</v>
      </c>
      <c r="OJ64" s="1319">
        <f t="shared" ca="1" si="1145"/>
        <v>0</v>
      </c>
      <c r="OK64" s="1319">
        <f t="shared" ca="1" si="1145"/>
        <v>0</v>
      </c>
      <c r="OL64" s="1319">
        <f t="shared" ca="1" si="1145"/>
        <v>0</v>
      </c>
      <c r="OM64" s="1319">
        <f t="shared" ca="1" si="1145"/>
        <v>0</v>
      </c>
      <c r="ON64" s="1319">
        <f t="shared" ca="1" si="1145"/>
        <v>0</v>
      </c>
      <c r="OO64" s="1319">
        <f t="shared" ca="1" si="1145"/>
        <v>0</v>
      </c>
      <c r="PA64" s="1319">
        <f t="shared" ca="1" si="1146"/>
        <v>0</v>
      </c>
      <c r="PB64" s="1319">
        <f t="shared" ca="1" si="1146"/>
        <v>0</v>
      </c>
      <c r="PC64" s="1319">
        <f t="shared" ca="1" si="1146"/>
        <v>0</v>
      </c>
      <c r="PD64" s="1319">
        <f t="shared" ca="1" si="1146"/>
        <v>0</v>
      </c>
      <c r="PE64" s="1319">
        <f t="shared" ca="1" si="1146"/>
        <v>0</v>
      </c>
      <c r="PF64" s="1319">
        <f t="shared" ca="1" si="1146"/>
        <v>0</v>
      </c>
      <c r="PG64" s="1319">
        <f t="shared" ca="1" si="1146"/>
        <v>0</v>
      </c>
      <c r="PH64" s="1319">
        <f t="shared" ca="1" si="1146"/>
        <v>0</v>
      </c>
      <c r="PI64" s="1319">
        <f t="shared" ca="1" si="1146"/>
        <v>0</v>
      </c>
      <c r="PJ64" s="1319">
        <f t="shared" ca="1" si="1146"/>
        <v>0</v>
      </c>
      <c r="PK64" s="1319">
        <f t="shared" ca="1" si="1146"/>
        <v>0</v>
      </c>
      <c r="PW64" s="1319">
        <f t="shared" ca="1" si="1147"/>
        <v>0</v>
      </c>
      <c r="PX64" s="1319">
        <f t="shared" ca="1" si="1147"/>
        <v>0</v>
      </c>
      <c r="PY64" s="1319">
        <f t="shared" ca="1" si="1147"/>
        <v>0</v>
      </c>
      <c r="PZ64" s="1319">
        <f t="shared" ca="1" si="1147"/>
        <v>0</v>
      </c>
    </row>
    <row r="65" spans="1:442" x14ac:dyDescent="0.25">
      <c r="A65" s="189">
        <v>26</v>
      </c>
      <c r="B65" s="189" t="s">
        <v>1256</v>
      </c>
      <c r="C65" s="1317" t="s">
        <v>1300</v>
      </c>
      <c r="D65" s="1317" t="s">
        <v>206</v>
      </c>
      <c r="J65" s="1319">
        <f t="shared" ca="1" si="1093"/>
        <v>0</v>
      </c>
      <c r="K65" s="1319">
        <f t="shared" ca="1" si="1148"/>
        <v>0</v>
      </c>
      <c r="T65" s="1319">
        <f t="shared" ca="1" si="1094"/>
        <v>0</v>
      </c>
      <c r="U65" s="1319">
        <f t="shared" ca="1" si="1123"/>
        <v>0</v>
      </c>
      <c r="V65" s="1319">
        <f t="shared" ca="1" si="1123"/>
        <v>3.00849162E-3</v>
      </c>
      <c r="W65" s="1319">
        <f t="shared" ca="1" si="1123"/>
        <v>0</v>
      </c>
      <c r="X65" s="1319">
        <f t="shared" ca="1" si="1123"/>
        <v>0</v>
      </c>
      <c r="Y65" s="1319">
        <f t="shared" ca="1" si="1123"/>
        <v>3.00849162E-3</v>
      </c>
      <c r="Z65" s="1319">
        <f t="shared" ca="1" si="1123"/>
        <v>3.5836605400000002E-8</v>
      </c>
      <c r="AA65" s="1319">
        <f t="shared" ca="1" si="1123"/>
        <v>3.0084557800000001E-3</v>
      </c>
      <c r="AB65" s="1319">
        <f t="shared" ca="1" si="1123"/>
        <v>0</v>
      </c>
      <c r="AC65" s="1319">
        <f t="shared" ca="1" si="1123"/>
        <v>3.00849162E-3</v>
      </c>
      <c r="AD65" s="1319">
        <f t="shared" ca="1" si="1123"/>
        <v>0</v>
      </c>
      <c r="AM65" s="1319">
        <f t="shared" ref="AM65:BB95" ca="1" si="1150">VLOOKUP(AM$1,INDIRECT(LU_MAT),$A65,FALSE)</f>
        <v>0</v>
      </c>
      <c r="AN65" s="1319">
        <f t="shared" ca="1" si="1149"/>
        <v>0</v>
      </c>
      <c r="AO65" s="1319">
        <f t="shared" ca="1" si="1149"/>
        <v>3.0084557800000001E-3</v>
      </c>
      <c r="AP65" s="1319">
        <f t="shared" ca="1" si="1149"/>
        <v>3.0084557800000001E-3</v>
      </c>
      <c r="AQ65" s="1319">
        <f t="shared" ca="1" si="1149"/>
        <v>8.70019415E-9</v>
      </c>
      <c r="AR65" s="1319">
        <f t="shared" ca="1" si="1149"/>
        <v>5.5838758900000002E-12</v>
      </c>
      <c r="AS65" s="1319">
        <f t="shared" ca="1" si="1149"/>
        <v>3.5831021499999997E-8</v>
      </c>
      <c r="AT65" s="1319">
        <f t="shared" ca="1" si="1149"/>
        <v>2.7953137699999999E-13</v>
      </c>
      <c r="AU65" s="1319">
        <f t="shared" ca="1" si="1149"/>
        <v>8.7054984999999993E-9</v>
      </c>
      <c r="AV65" s="1319">
        <f t="shared" ca="1" si="1149"/>
        <v>3.0084470800000001E-3</v>
      </c>
      <c r="AW65" s="1319">
        <f t="shared" ca="1" si="1149"/>
        <v>2.7953137699999999E-13</v>
      </c>
      <c r="AX65" s="1319">
        <f t="shared" ca="1" si="1149"/>
        <v>4.4536799599999999E-8</v>
      </c>
      <c r="AY65" s="1319">
        <f t="shared" ca="1" si="1149"/>
        <v>0</v>
      </c>
      <c r="AZ65" s="1319">
        <f t="shared" ca="1" si="1149"/>
        <v>0</v>
      </c>
      <c r="BA65" s="1319">
        <f t="shared" ca="1" si="1149"/>
        <v>0</v>
      </c>
      <c r="BB65" s="1319">
        <f t="shared" ca="1" si="1149"/>
        <v>3.0084470800000001E-3</v>
      </c>
      <c r="BN65" s="1319">
        <f t="shared" ca="1" si="1129"/>
        <v>3.00844484E-4</v>
      </c>
      <c r="BO65" s="1319">
        <f t="shared" ca="1" si="1129"/>
        <v>42.792209800000002</v>
      </c>
      <c r="BP65" s="1319">
        <f t="shared" ca="1" si="1129"/>
        <v>6.1422545200000001E-8</v>
      </c>
      <c r="BQ65" s="1319">
        <f t="shared" ca="1" si="1129"/>
        <v>0</v>
      </c>
      <c r="BR65" s="1319">
        <f t="shared" ca="1" si="1129"/>
        <v>0</v>
      </c>
      <c r="CD65" s="1319">
        <f t="shared" ca="1" si="1130"/>
        <v>3.0084470800000001E-3</v>
      </c>
      <c r="CE65" s="1319">
        <f t="shared" ca="1" si="1130"/>
        <v>3.0084470800000001E-3</v>
      </c>
      <c r="CF65" s="1319">
        <f t="shared" ca="1" si="1130"/>
        <v>3.00844484E-4</v>
      </c>
      <c r="CG65" s="1319">
        <f t="shared" ca="1" si="1130"/>
        <v>42.792209800000002</v>
      </c>
      <c r="CH65" s="1319">
        <f t="shared" ca="1" si="1130"/>
        <v>3.0084470800000001E-3</v>
      </c>
      <c r="CI65" s="1319">
        <f t="shared" ca="1" si="1130"/>
        <v>0</v>
      </c>
      <c r="CJ65" s="1319">
        <f t="shared" ca="1" si="1130"/>
        <v>0</v>
      </c>
      <c r="CK65" s="1319">
        <f t="shared" ca="1" si="1130"/>
        <v>457.71920699999998</v>
      </c>
      <c r="CL65" s="1319">
        <f t="shared" ca="1" si="1130"/>
        <v>6.3681635900000003E-7</v>
      </c>
      <c r="CM65" s="1319">
        <f t="shared" ca="1" si="1130"/>
        <v>0</v>
      </c>
      <c r="CN65" s="1319">
        <f t="shared" ca="1" si="1130"/>
        <v>457.71920699999998</v>
      </c>
      <c r="CO65" s="1319">
        <f t="shared" ca="1" si="1130"/>
        <v>6.982452E-7</v>
      </c>
      <c r="DA65" s="1319">
        <f t="shared" ca="1" si="1131"/>
        <v>0</v>
      </c>
      <c r="DB65" s="1319">
        <f t="shared" ca="1" si="1131"/>
        <v>0</v>
      </c>
      <c r="DC65" s="1319">
        <f t="shared" ca="1" si="1131"/>
        <v>0</v>
      </c>
      <c r="DD65" s="1319">
        <f t="shared" ca="1" si="1131"/>
        <v>0</v>
      </c>
      <c r="DE65" s="1319">
        <f t="shared" ca="1" si="1131"/>
        <v>0</v>
      </c>
      <c r="DF65" s="1319">
        <f t="shared" ca="1" si="1131"/>
        <v>0</v>
      </c>
      <c r="DG65" s="1319">
        <f t="shared" ca="1" si="1131"/>
        <v>0</v>
      </c>
      <c r="DH65" s="1319">
        <f t="shared" ca="1" si="1131"/>
        <v>0</v>
      </c>
      <c r="DI65" s="1319">
        <f t="shared" ca="1" si="1131"/>
        <v>0</v>
      </c>
      <c r="DJ65" s="1319">
        <f t="shared" ca="1" si="1131"/>
        <v>0</v>
      </c>
      <c r="DV65" s="1319">
        <f t="shared" ca="1" si="1132"/>
        <v>0</v>
      </c>
      <c r="DW65" s="1319">
        <f t="shared" ca="1" si="1132"/>
        <v>0</v>
      </c>
      <c r="DX65" s="1319">
        <f t="shared" ca="1" si="1132"/>
        <v>0</v>
      </c>
      <c r="DY65" s="1319">
        <f t="shared" ca="1" si="1132"/>
        <v>0</v>
      </c>
      <c r="DZ65" s="1319">
        <f t="shared" ca="1" si="1132"/>
        <v>0</v>
      </c>
      <c r="EA65" s="1319">
        <f t="shared" ca="1" si="1132"/>
        <v>0</v>
      </c>
      <c r="EB65" s="1319">
        <f t="shared" ca="1" si="1132"/>
        <v>0</v>
      </c>
      <c r="EC65" s="1319">
        <f t="shared" ca="1" si="1132"/>
        <v>0</v>
      </c>
      <c r="ED65" s="1319">
        <f t="shared" ca="1" si="1132"/>
        <v>0</v>
      </c>
      <c r="EE65" s="1319">
        <f t="shared" ca="1" si="1132"/>
        <v>0</v>
      </c>
      <c r="EF65" s="1319">
        <f t="shared" ca="1" si="1132"/>
        <v>0</v>
      </c>
      <c r="EG65" s="1319">
        <f t="shared" ca="1" si="1132"/>
        <v>0</v>
      </c>
      <c r="EH65" s="1319">
        <f t="shared" ca="1" si="1132"/>
        <v>0</v>
      </c>
      <c r="EI65" s="1319">
        <f t="shared" ca="1" si="1132"/>
        <v>0</v>
      </c>
      <c r="EJ65" s="1319">
        <f t="shared" ca="1" si="1101"/>
        <v>0</v>
      </c>
      <c r="EK65" s="1319">
        <f t="shared" ca="1" si="1132"/>
        <v>0</v>
      </c>
      <c r="EW65" s="1319">
        <f t="shared" ca="1" si="1133"/>
        <v>457.71920699999998</v>
      </c>
      <c r="EX65" s="1319">
        <f t="shared" ca="1" si="1133"/>
        <v>457.71920699999998</v>
      </c>
      <c r="EY65" s="1319">
        <f t="shared" ca="1" si="1133"/>
        <v>457.71619900000007</v>
      </c>
      <c r="EZ65" s="1319">
        <f t="shared" ca="1" si="1133"/>
        <v>457.71619900000007</v>
      </c>
      <c r="FA65" s="1319">
        <f t="shared" ca="1" si="1133"/>
        <v>6.2953282499999998E-12</v>
      </c>
      <c r="FB65" s="1319">
        <f t="shared" ca="1" si="1133"/>
        <v>3.0084916000000001E-3</v>
      </c>
      <c r="FN65" s="1319">
        <f t="shared" ca="1" si="1134"/>
        <v>6.1422545200000001E-8</v>
      </c>
      <c r="FO65" s="1319">
        <f t="shared" ca="1" si="1134"/>
        <v>6.3681635900000003E-7</v>
      </c>
      <c r="FP65" s="1319">
        <f t="shared" ca="1" si="1134"/>
        <v>6.2953282499999998E-12</v>
      </c>
      <c r="FQ65" s="1319">
        <f t="shared" ca="1" si="1134"/>
        <v>3.0084916000000001E-3</v>
      </c>
      <c r="FR65" s="1319">
        <f t="shared" ca="1" si="1134"/>
        <v>0</v>
      </c>
      <c r="FS65" s="1319">
        <f t="shared" ca="1" si="1134"/>
        <v>3.00849162E-3</v>
      </c>
      <c r="FT65" s="1319">
        <f t="shared" ca="1" si="1134"/>
        <v>0</v>
      </c>
      <c r="FU65" s="1319">
        <f t="shared" ca="1" si="1134"/>
        <v>6.982452E-7</v>
      </c>
      <c r="FV65" s="1319">
        <f t="shared" ca="1" si="1134"/>
        <v>0</v>
      </c>
      <c r="FW65" s="1319">
        <f t="shared" ca="1" si="1134"/>
        <v>0</v>
      </c>
      <c r="FX65" s="1319">
        <f t="shared" ca="1" si="1134"/>
        <v>6.982452E-7</v>
      </c>
      <c r="GJ65" s="1319">
        <f t="shared" ca="1" si="1135"/>
        <v>0</v>
      </c>
      <c r="GK65" s="1319">
        <f t="shared" ca="1" si="1135"/>
        <v>0</v>
      </c>
      <c r="GL65" s="1319">
        <f t="shared" ca="1" si="1135"/>
        <v>0</v>
      </c>
      <c r="GM65" s="1319">
        <f t="shared" ca="1" si="1135"/>
        <v>0</v>
      </c>
      <c r="GN65" s="1319">
        <f t="shared" ca="1" si="1135"/>
        <v>0</v>
      </c>
      <c r="GO65" s="1319">
        <f t="shared" ca="1" si="1135"/>
        <v>0</v>
      </c>
      <c r="GP65" s="1319">
        <f t="shared" ca="1" si="1135"/>
        <v>0</v>
      </c>
      <c r="GQ65" s="1319">
        <f t="shared" ca="1" si="1135"/>
        <v>0</v>
      </c>
      <c r="HC65" s="1319">
        <f t="shared" ca="1" si="1136"/>
        <v>457.71619900000007</v>
      </c>
      <c r="HD65" s="1319">
        <f t="shared" ca="1" si="1136"/>
        <v>440.67470300000002</v>
      </c>
      <c r="HE65" s="1319">
        <f t="shared" ca="1" si="1136"/>
        <v>0</v>
      </c>
      <c r="HF65" s="1319">
        <f t="shared" ca="1" si="1136"/>
        <v>1.30032075E-6</v>
      </c>
      <c r="HG65" s="1319">
        <f t="shared" ca="1" si="1136"/>
        <v>17.041494499999999</v>
      </c>
      <c r="HH65" s="1319">
        <f t="shared" ca="1" si="1136"/>
        <v>440.67470300000002</v>
      </c>
      <c r="HT65" s="1319">
        <f t="shared" ca="1" si="1137"/>
        <v>4.4536799599999999E-8</v>
      </c>
      <c r="HU65" s="1319">
        <f t="shared" ca="1" si="1137"/>
        <v>440.67470300000002</v>
      </c>
      <c r="HV65" s="1319">
        <f t="shared" ca="1" si="1137"/>
        <v>440.67470300000002</v>
      </c>
      <c r="HW65" s="1319">
        <f t="shared" ca="1" si="1137"/>
        <v>440.67470300000002</v>
      </c>
      <c r="HX65" s="1319">
        <f t="shared" ca="1" si="1137"/>
        <v>36.857893099999998</v>
      </c>
      <c r="HY65" s="1319">
        <f t="shared" ca="1" si="1137"/>
        <v>2.8028300399999999</v>
      </c>
      <c r="HZ65" s="1319">
        <f t="shared" ca="1" si="1137"/>
        <v>1.3350376900000001E-7</v>
      </c>
      <c r="IA65" s="1319">
        <f t="shared" ca="1" si="1137"/>
        <v>6.6000491999999999E-10</v>
      </c>
      <c r="IB65" s="1319">
        <f t="shared" ca="1" si="1137"/>
        <v>0</v>
      </c>
      <c r="IC65" s="1319">
        <f t="shared" ca="1" si="1137"/>
        <v>0</v>
      </c>
      <c r="ID65" s="1319">
        <f t="shared" ca="1" si="1137"/>
        <v>0</v>
      </c>
      <c r="IE65" s="1319">
        <f t="shared" ca="1" si="1137"/>
        <v>0</v>
      </c>
      <c r="IQ65" s="1319">
        <f t="shared" ca="1" si="1138"/>
        <v>36.857893099999998</v>
      </c>
      <c r="IR65" s="1319">
        <f t="shared" ca="1" si="1138"/>
        <v>2.8028300399999999</v>
      </c>
      <c r="IS65" s="1319">
        <f t="shared" ca="1" si="1138"/>
        <v>5.5761733499999994E-2</v>
      </c>
      <c r="IT65" s="1319">
        <f t="shared" ca="1" si="1138"/>
        <v>2.8585917799999998</v>
      </c>
      <c r="IU65" s="1319">
        <f t="shared" ca="1" si="1108"/>
        <v>2.6679137700000002</v>
      </c>
      <c r="IV65" s="1319">
        <f t="shared" ca="1" si="1138"/>
        <v>1.63456354</v>
      </c>
      <c r="IW65" s="1319">
        <f t="shared" ca="1" si="1138"/>
        <v>1.3382816</v>
      </c>
      <c r="IX65" s="1319">
        <f t="shared" ca="1" si="1109"/>
        <v>2.6517002999999999E-9</v>
      </c>
      <c r="IY65" s="1319">
        <f t="shared" ca="1" si="1138"/>
        <v>0.19067800300000001</v>
      </c>
      <c r="IZ65" s="1319">
        <f t="shared" ca="1" si="1138"/>
        <v>0.24052019899999996</v>
      </c>
      <c r="JA65" s="1319">
        <f t="shared" ca="1" si="1138"/>
        <v>1.3940433400000001</v>
      </c>
      <c r="JB65" s="1319">
        <f t="shared" ca="1" si="1138"/>
        <v>0</v>
      </c>
      <c r="JC65" s="1319">
        <f t="shared" ca="1" si="1138"/>
        <v>0.24052019899999996</v>
      </c>
      <c r="JD65" s="1319">
        <f t="shared" ca="1" si="1138"/>
        <v>0</v>
      </c>
      <c r="JE65" s="1319">
        <f t="shared" ca="1" si="1138"/>
        <v>0.24052019899999996</v>
      </c>
      <c r="JF65" s="1319">
        <f t="shared" ca="1" si="1138"/>
        <v>0</v>
      </c>
      <c r="JG65" s="1319">
        <f t="shared" ca="1" si="1138"/>
        <v>0</v>
      </c>
      <c r="JH65" s="1319">
        <f t="shared" ca="1" si="1138"/>
        <v>6.6000491999999999E-10</v>
      </c>
      <c r="JT65" s="1319">
        <f t="shared" ca="1" si="1139"/>
        <v>0</v>
      </c>
      <c r="JU65" s="1319">
        <f t="shared" ca="1" si="1139"/>
        <v>0</v>
      </c>
      <c r="JV65" s="1319">
        <f t="shared" ca="1" si="1139"/>
        <v>0</v>
      </c>
      <c r="JW65" s="1319">
        <f t="shared" ca="1" si="1139"/>
        <v>0</v>
      </c>
      <c r="JX65" s="1319">
        <f t="shared" ca="1" si="1139"/>
        <v>0</v>
      </c>
      <c r="JY65" s="1319">
        <f t="shared" ca="1" si="1139"/>
        <v>0</v>
      </c>
      <c r="JZ65" s="1319">
        <f t="shared" ca="1" si="1139"/>
        <v>0</v>
      </c>
      <c r="KA65" s="1319">
        <f t="shared" ca="1" si="1139"/>
        <v>0</v>
      </c>
      <c r="KB65" s="1319">
        <f t="shared" ca="1" si="1139"/>
        <v>0</v>
      </c>
      <c r="KC65" s="1319">
        <f t="shared" ca="1" si="1139"/>
        <v>0</v>
      </c>
      <c r="KL65" s="1319">
        <f t="shared" ca="1" si="1140"/>
        <v>0</v>
      </c>
      <c r="KM65" s="1319">
        <f t="shared" ca="1" si="1140"/>
        <v>0</v>
      </c>
      <c r="KN65" s="1319">
        <f t="shared" ca="1" si="1140"/>
        <v>0</v>
      </c>
      <c r="KO65" s="1319">
        <f t="shared" ca="1" si="1140"/>
        <v>0</v>
      </c>
      <c r="KP65" s="1319">
        <f t="shared" ca="1" si="1140"/>
        <v>0</v>
      </c>
      <c r="KQ65" s="1319">
        <f t="shared" ca="1" si="1140"/>
        <v>0</v>
      </c>
      <c r="KR65" s="1319">
        <f t="shared" ca="1" si="1140"/>
        <v>0</v>
      </c>
      <c r="LA65" s="1319">
        <f t="shared" ca="1" si="1141"/>
        <v>1.30032075E-6</v>
      </c>
      <c r="LB65" s="1319">
        <f t="shared" ca="1" si="1141"/>
        <v>1.3350376900000001E-7</v>
      </c>
      <c r="LC65" s="1319">
        <f t="shared" ca="1" si="1141"/>
        <v>1.4338245199999999E-6</v>
      </c>
      <c r="LD65" s="1319">
        <f t="shared" ca="1" si="1141"/>
        <v>1.4338245199999999E-6</v>
      </c>
      <c r="LE65" s="1319">
        <f t="shared" ca="1" si="1141"/>
        <v>0</v>
      </c>
      <c r="LF65" s="1319">
        <f t="shared" ca="1" si="1141"/>
        <v>0</v>
      </c>
      <c r="LG65" s="1319">
        <f t="shared" ca="1" si="1141"/>
        <v>0</v>
      </c>
      <c r="LH65" s="1319">
        <f t="shared" ca="1" si="1141"/>
        <v>0</v>
      </c>
      <c r="LI65" s="1319">
        <f t="shared" ca="1" si="1141"/>
        <v>0</v>
      </c>
      <c r="LJ65" s="1319">
        <f t="shared" ca="1" si="1141"/>
        <v>0</v>
      </c>
      <c r="LK65" s="1319">
        <f t="shared" ca="1" si="1141"/>
        <v>0</v>
      </c>
      <c r="LW65" s="1319">
        <f t="shared" ca="1" si="1113"/>
        <v>0</v>
      </c>
      <c r="LX65" s="1319">
        <f t="shared" ca="1" si="1142"/>
        <v>0</v>
      </c>
      <c r="LY65" s="1319">
        <f t="shared" ca="1" si="1142"/>
        <v>17.041494499999999</v>
      </c>
      <c r="LZ65" s="1319">
        <f t="shared" ca="1" si="1142"/>
        <v>0.19067800300000001</v>
      </c>
      <c r="MA65" s="1319">
        <f t="shared" ca="1" si="1142"/>
        <v>17.232172500000001</v>
      </c>
      <c r="MB65" s="1319">
        <f t="shared" ca="1" si="1142"/>
        <v>1.4338245199999999E-6</v>
      </c>
      <c r="MC65" s="1319">
        <f t="shared" ca="1" si="1142"/>
        <v>0</v>
      </c>
      <c r="MD65" s="1319">
        <f t="shared" ca="1" si="1142"/>
        <v>0</v>
      </c>
      <c r="ME65" s="1319">
        <f t="shared" ca="1" si="1142"/>
        <v>0</v>
      </c>
      <c r="MF65" s="1319">
        <f t="shared" ca="1" si="1142"/>
        <v>0</v>
      </c>
      <c r="MG65" s="1319">
        <f t="shared" ca="1" si="1142"/>
        <v>0</v>
      </c>
      <c r="MH65" s="1319">
        <f t="shared" ca="1" si="1143"/>
        <v>0</v>
      </c>
      <c r="MI65" s="1319">
        <f t="shared" ca="1" si="1143"/>
        <v>0</v>
      </c>
      <c r="MJ65" s="1319">
        <f t="shared" ca="1" si="1142"/>
        <v>0</v>
      </c>
      <c r="MK65" s="1319">
        <f t="shared" ca="1" si="1142"/>
        <v>0</v>
      </c>
      <c r="ML65" s="1319">
        <f t="shared" ca="1" si="1142"/>
        <v>0</v>
      </c>
      <c r="MM65" s="1319">
        <f t="shared" ca="1" si="1142"/>
        <v>0</v>
      </c>
      <c r="MN65" s="1319">
        <f t="shared" ca="1" si="1142"/>
        <v>0</v>
      </c>
      <c r="MO65" s="1319">
        <f t="shared" ca="1" si="1142"/>
        <v>0</v>
      </c>
      <c r="NA65" s="1319">
        <f t="shared" ca="1" si="1144"/>
        <v>3.5836605400000002E-8</v>
      </c>
      <c r="NB65" s="1319">
        <f t="shared" ca="1" si="1144"/>
        <v>5.5838758900000002E-12</v>
      </c>
      <c r="NC65" s="1319">
        <f t="shared" ca="1" si="1144"/>
        <v>3.5831021499999997E-8</v>
      </c>
      <c r="ND65" s="1319">
        <f t="shared" ca="1" si="1144"/>
        <v>0</v>
      </c>
      <c r="NE65" s="1319">
        <f t="shared" ca="1" si="1144"/>
        <v>0</v>
      </c>
      <c r="NF65" s="1319">
        <f t="shared" ca="1" si="1144"/>
        <v>0</v>
      </c>
      <c r="NG65" s="1319">
        <f t="shared" ca="1" si="1144"/>
        <v>0</v>
      </c>
      <c r="NH65" s="1319">
        <f t="shared" ca="1" si="1144"/>
        <v>0</v>
      </c>
      <c r="NI65" s="1319">
        <f t="shared" ca="1" si="1144"/>
        <v>0</v>
      </c>
      <c r="NJ65" s="1319">
        <f t="shared" ca="1" si="1144"/>
        <v>0</v>
      </c>
      <c r="NK65" s="1319">
        <f t="shared" ca="1" si="1144"/>
        <v>0</v>
      </c>
      <c r="NL65" s="1319">
        <f t="shared" ca="1" si="1144"/>
        <v>0</v>
      </c>
      <c r="NM65" s="1319">
        <f t="shared" ca="1" si="1144"/>
        <v>0</v>
      </c>
      <c r="NN65" s="1319">
        <f t="shared" ca="1" si="1144"/>
        <v>0</v>
      </c>
      <c r="NO65" s="1319">
        <f t="shared" ca="1" si="1144"/>
        <v>0</v>
      </c>
      <c r="NP65" s="1319">
        <f t="shared" ca="1" si="1144"/>
        <v>0</v>
      </c>
      <c r="OH65" s="1319">
        <f t="shared" ca="1" si="1145"/>
        <v>0</v>
      </c>
      <c r="OI65" s="1319">
        <f t="shared" ca="1" si="1145"/>
        <v>0</v>
      </c>
      <c r="OJ65" s="1319">
        <f t="shared" ca="1" si="1145"/>
        <v>0</v>
      </c>
      <c r="OK65" s="1319">
        <f t="shared" ca="1" si="1145"/>
        <v>0</v>
      </c>
      <c r="OL65" s="1319">
        <f t="shared" ca="1" si="1145"/>
        <v>0</v>
      </c>
      <c r="OM65" s="1319">
        <f t="shared" ca="1" si="1145"/>
        <v>0</v>
      </c>
      <c r="ON65" s="1319">
        <f t="shared" ca="1" si="1145"/>
        <v>0</v>
      </c>
      <c r="OO65" s="1319">
        <f t="shared" ca="1" si="1145"/>
        <v>0</v>
      </c>
      <c r="PA65" s="1319">
        <f t="shared" ca="1" si="1146"/>
        <v>0</v>
      </c>
      <c r="PB65" s="1319">
        <f t="shared" ca="1" si="1146"/>
        <v>0</v>
      </c>
      <c r="PC65" s="1319">
        <f t="shared" ca="1" si="1146"/>
        <v>0</v>
      </c>
      <c r="PD65" s="1319">
        <f t="shared" ca="1" si="1146"/>
        <v>0</v>
      </c>
      <c r="PE65" s="1319">
        <f t="shared" ca="1" si="1146"/>
        <v>0</v>
      </c>
      <c r="PF65" s="1319">
        <f t="shared" ca="1" si="1146"/>
        <v>0</v>
      </c>
      <c r="PG65" s="1319">
        <f t="shared" ca="1" si="1146"/>
        <v>0</v>
      </c>
      <c r="PH65" s="1319">
        <f t="shared" ca="1" si="1146"/>
        <v>0</v>
      </c>
      <c r="PI65" s="1319">
        <f t="shared" ca="1" si="1146"/>
        <v>0</v>
      </c>
      <c r="PJ65" s="1319">
        <f t="shared" ca="1" si="1146"/>
        <v>0</v>
      </c>
      <c r="PK65" s="1319">
        <f t="shared" ca="1" si="1146"/>
        <v>0</v>
      </c>
      <c r="PW65" s="1319">
        <f t="shared" ca="1" si="1147"/>
        <v>0</v>
      </c>
      <c r="PX65" s="1319">
        <f t="shared" ca="1" si="1147"/>
        <v>0</v>
      </c>
      <c r="PY65" s="1319">
        <f t="shared" ca="1" si="1147"/>
        <v>0</v>
      </c>
      <c r="PZ65" s="1319">
        <f t="shared" ca="1" si="1147"/>
        <v>0</v>
      </c>
    </row>
    <row r="66" spans="1:442" x14ac:dyDescent="0.25">
      <c r="A66" s="189">
        <v>27</v>
      </c>
      <c r="B66" s="189" t="s">
        <v>1256</v>
      </c>
      <c r="C66" s="1317" t="s">
        <v>1294</v>
      </c>
      <c r="D66" s="1317" t="s">
        <v>206</v>
      </c>
      <c r="J66" s="1319">
        <f t="shared" ca="1" si="1093"/>
        <v>0</v>
      </c>
      <c r="K66" s="1319">
        <f t="shared" ca="1" si="1148"/>
        <v>0</v>
      </c>
      <c r="T66" s="1319">
        <f t="shared" ca="1" si="1094"/>
        <v>0</v>
      </c>
      <c r="U66" s="1319">
        <f t="shared" ca="1" si="1123"/>
        <v>0</v>
      </c>
      <c r="V66" s="1319">
        <f t="shared" ca="1" si="1123"/>
        <v>1.9941296999999998E-8</v>
      </c>
      <c r="W66" s="1319">
        <f t="shared" ca="1" si="1123"/>
        <v>0</v>
      </c>
      <c r="X66" s="1319">
        <f t="shared" ca="1" si="1123"/>
        <v>0</v>
      </c>
      <c r="Y66" s="1319">
        <f t="shared" ca="1" si="1123"/>
        <v>1.9941296999999998E-8</v>
      </c>
      <c r="Z66" s="1319">
        <f t="shared" ca="1" si="1123"/>
        <v>7.4045465700000007E-9</v>
      </c>
      <c r="AA66" s="1319">
        <f t="shared" ca="1" si="1123"/>
        <v>1.25367504E-8</v>
      </c>
      <c r="AB66" s="1319">
        <f t="shared" ca="1" si="1123"/>
        <v>0</v>
      </c>
      <c r="AC66" s="1319">
        <f t="shared" ca="1" si="1123"/>
        <v>1.9941296999999998E-8</v>
      </c>
      <c r="AD66" s="1319">
        <f t="shared" ca="1" si="1123"/>
        <v>0</v>
      </c>
      <c r="AM66" s="1319">
        <f t="shared" ca="1" si="1150"/>
        <v>0</v>
      </c>
      <c r="AN66" s="1319">
        <f t="shared" ca="1" si="1149"/>
        <v>0</v>
      </c>
      <c r="AO66" s="1319">
        <f t="shared" ca="1" si="1149"/>
        <v>1.25367504E-8</v>
      </c>
      <c r="AP66" s="1319">
        <f t="shared" ca="1" si="1149"/>
        <v>1.25367504E-8</v>
      </c>
      <c r="AQ66" s="1319">
        <f t="shared" ca="1" si="1149"/>
        <v>5.3050979400000001E-9</v>
      </c>
      <c r="AR66" s="1319">
        <f t="shared" ca="1" si="1149"/>
        <v>7.2765281000000005E-9</v>
      </c>
      <c r="AS66" s="1319">
        <f t="shared" ca="1" si="1149"/>
        <v>1.28018469E-10</v>
      </c>
      <c r="AT66" s="1319">
        <f t="shared" ca="1" si="1149"/>
        <v>1.1594029E-8</v>
      </c>
      <c r="AU66" s="1319">
        <f t="shared" ca="1" si="1149"/>
        <v>9.8759705800000003E-10</v>
      </c>
      <c r="AV66" s="1319">
        <f t="shared" ca="1" si="1149"/>
        <v>7.2316524700000004E-9</v>
      </c>
      <c r="AW66" s="1319">
        <f t="shared" ca="1" si="1149"/>
        <v>1.1594029E-8</v>
      </c>
      <c r="AX66" s="1319">
        <f t="shared" ca="1" si="1149"/>
        <v>1.27096445E-8</v>
      </c>
      <c r="AY66" s="1319">
        <f t="shared" ca="1" si="1149"/>
        <v>1050.8174799999999</v>
      </c>
      <c r="AZ66" s="1319">
        <f t="shared" ca="1" si="1149"/>
        <v>0</v>
      </c>
      <c r="BA66" s="1319">
        <f t="shared" ca="1" si="1149"/>
        <v>1050.8174799999999</v>
      </c>
      <c r="BB66" s="1319">
        <f t="shared" ca="1" si="1149"/>
        <v>0</v>
      </c>
      <c r="BN66" s="1319">
        <f t="shared" ca="1" si="1129"/>
        <v>2.0126485999999999E-2</v>
      </c>
      <c r="BO66" s="1319">
        <f t="shared" ca="1" si="1129"/>
        <v>1.97207106E-2</v>
      </c>
      <c r="BP66" s="1319">
        <f t="shared" ca="1" si="1129"/>
        <v>4.0577540000000001E-4</v>
      </c>
      <c r="BQ66" s="1319">
        <f t="shared" ca="1" si="1129"/>
        <v>0</v>
      </c>
      <c r="BR66" s="1319">
        <f t="shared" ca="1" si="1129"/>
        <v>0</v>
      </c>
      <c r="CD66" s="1319">
        <f t="shared" ca="1" si="1130"/>
        <v>0</v>
      </c>
      <c r="CE66" s="1319">
        <f t="shared" ca="1" si="1130"/>
        <v>0</v>
      </c>
      <c r="CF66" s="1319">
        <f t="shared" ca="1" si="1130"/>
        <v>2.0126485999999999E-2</v>
      </c>
      <c r="CG66" s="1319">
        <f t="shared" ca="1" si="1130"/>
        <v>1.97207106E-2</v>
      </c>
      <c r="CH66" s="1319">
        <f t="shared" ca="1" si="1130"/>
        <v>0.20126190999999999</v>
      </c>
      <c r="CI66" s="1319">
        <f t="shared" ca="1" si="1130"/>
        <v>0</v>
      </c>
      <c r="CJ66" s="1319">
        <f t="shared" ca="1" si="1130"/>
        <v>0</v>
      </c>
      <c r="CK66" s="1319">
        <f t="shared" ca="1" si="1130"/>
        <v>0.19692146299999999</v>
      </c>
      <c r="CL66" s="1319">
        <f t="shared" ca="1" si="1130"/>
        <v>3.9376215100000002E-3</v>
      </c>
      <c r="CM66" s="1319">
        <f t="shared" ca="1" si="1130"/>
        <v>0.20126190999999999</v>
      </c>
      <c r="CN66" s="1319">
        <f t="shared" ca="1" si="1130"/>
        <v>0.20290461600000001</v>
      </c>
      <c r="CO66" s="1319">
        <f t="shared" ca="1" si="1130"/>
        <v>5.98315316E-3</v>
      </c>
      <c r="DA66" s="1319">
        <f t="shared" ca="1" si="1131"/>
        <v>1.1181381100000001E-3</v>
      </c>
      <c r="DB66" s="1319">
        <f t="shared" ca="1" si="1131"/>
        <v>0</v>
      </c>
      <c r="DC66" s="1319">
        <f t="shared" ca="1" si="1131"/>
        <v>0</v>
      </c>
      <c r="DD66" s="1319">
        <f t="shared" ca="1" si="1131"/>
        <v>5.7200563799999999</v>
      </c>
      <c r="DE66" s="1319">
        <f t="shared" ca="1" si="1131"/>
        <v>0.29852735400000002</v>
      </c>
      <c r="DF66" s="1319">
        <f t="shared" ca="1" si="1131"/>
        <v>0.27973933000000001</v>
      </c>
      <c r="DG66" s="1319">
        <f t="shared" ca="1" si="1131"/>
        <v>0</v>
      </c>
      <c r="DH66" s="1319">
        <f t="shared" ca="1" si="1131"/>
        <v>0</v>
      </c>
      <c r="DI66" s="1319">
        <f t="shared" ca="1" si="1131"/>
        <v>0</v>
      </c>
      <c r="DJ66" s="1319">
        <f t="shared" ca="1" si="1131"/>
        <v>0</v>
      </c>
      <c r="DV66" s="1319">
        <f t="shared" ca="1" si="1132"/>
        <v>0</v>
      </c>
      <c r="DW66" s="1319">
        <f t="shared" ca="1" si="1132"/>
        <v>0</v>
      </c>
      <c r="DX66" s="1319">
        <f t="shared" ca="1" si="1132"/>
        <v>2.2362762200000001E-2</v>
      </c>
      <c r="DY66" s="1319">
        <f t="shared" ca="1" si="1132"/>
        <v>1.1181381100000001E-3</v>
      </c>
      <c r="DZ66" s="1319">
        <f t="shared" ca="1" si="1132"/>
        <v>0</v>
      </c>
      <c r="EA66" s="1319">
        <f t="shared" ca="1" si="1132"/>
        <v>0.29852735400000002</v>
      </c>
      <c r="EB66" s="1319">
        <f t="shared" ca="1" si="1132"/>
        <v>2.1244624100000001E-2</v>
      </c>
      <c r="EC66" s="1319">
        <f t="shared" ca="1" si="1132"/>
        <v>0</v>
      </c>
      <c r="ED66" s="1319">
        <f t="shared" ca="1" si="1132"/>
        <v>0.20126190999999999</v>
      </c>
      <c r="EE66" s="1319">
        <f t="shared" ca="1" si="1132"/>
        <v>0.20529176399999999</v>
      </c>
      <c r="EF66" s="1319">
        <f t="shared" ca="1" si="1132"/>
        <v>0</v>
      </c>
      <c r="EG66" s="1319">
        <f t="shared" ca="1" si="1132"/>
        <v>109.253077</v>
      </c>
      <c r="EH66" s="1319">
        <f t="shared" ca="1" si="1132"/>
        <v>0</v>
      </c>
      <c r="EI66" s="1319">
        <f t="shared" ca="1" si="1132"/>
        <v>0</v>
      </c>
      <c r="EJ66" s="1319">
        <f t="shared" ca="1" si="1101"/>
        <v>0</v>
      </c>
      <c r="EK66" s="1319">
        <f t="shared" ca="1" si="1132"/>
        <v>0</v>
      </c>
      <c r="EW66" s="1319">
        <f t="shared" ca="1" si="1133"/>
        <v>0.20290461600000001</v>
      </c>
      <c r="EX66" s="1319">
        <f t="shared" ca="1" si="1133"/>
        <v>0.20290461600000001</v>
      </c>
      <c r="EY66" s="1319">
        <f t="shared" ca="1" si="1133"/>
        <v>7.4305893199999996E-4</v>
      </c>
      <c r="EZ66" s="1319">
        <f t="shared" ca="1" si="1133"/>
        <v>7.4305893199999996E-4</v>
      </c>
      <c r="FA66" s="1319">
        <f t="shared" ca="1" si="1133"/>
        <v>1.73593692E-3</v>
      </c>
      <c r="FB66" s="1319">
        <f t="shared" ca="1" si="1133"/>
        <v>0.20042564199999999</v>
      </c>
      <c r="FN66" s="1319">
        <f t="shared" ca="1" si="1134"/>
        <v>4.0577540000000001E-4</v>
      </c>
      <c r="FO66" s="1319">
        <f t="shared" ca="1" si="1134"/>
        <v>3.9376215100000002E-3</v>
      </c>
      <c r="FP66" s="1319">
        <f t="shared" ca="1" si="1134"/>
        <v>1.73593692E-3</v>
      </c>
      <c r="FQ66" s="1319">
        <f t="shared" ca="1" si="1134"/>
        <v>0.20042564199999999</v>
      </c>
      <c r="FR66" s="1319">
        <f t="shared" ca="1" si="1134"/>
        <v>0.200425619</v>
      </c>
      <c r="FS66" s="1319">
        <f t="shared" ca="1" si="1134"/>
        <v>1.9941296999999998E-8</v>
      </c>
      <c r="FT66" s="1319">
        <f t="shared" ca="1" si="1134"/>
        <v>0</v>
      </c>
      <c r="FU66" s="1319">
        <f t="shared" ca="1" si="1134"/>
        <v>6.0793338300000003E-3</v>
      </c>
      <c r="FV66" s="1319">
        <f t="shared" ca="1" si="1134"/>
        <v>0</v>
      </c>
      <c r="FW66" s="1319">
        <f t="shared" ca="1" si="1134"/>
        <v>9.61806706E-5</v>
      </c>
      <c r="FX66" s="1319">
        <f t="shared" ca="1" si="1134"/>
        <v>5.98315316E-3</v>
      </c>
      <c r="GJ66" s="1319">
        <f t="shared" ca="1" si="1135"/>
        <v>0.200425619</v>
      </c>
      <c r="GK66" s="1319">
        <f t="shared" ca="1" si="1135"/>
        <v>0.200425619</v>
      </c>
      <c r="GL66" s="1319">
        <f t="shared" ca="1" si="1135"/>
        <v>0</v>
      </c>
      <c r="GM66" s="1319">
        <f t="shared" ca="1" si="1135"/>
        <v>0.200425619</v>
      </c>
      <c r="GN66" s="1319">
        <f t="shared" ca="1" si="1135"/>
        <v>0.200425619</v>
      </c>
      <c r="GO66" s="1319">
        <f t="shared" ca="1" si="1135"/>
        <v>0</v>
      </c>
      <c r="GP66" s="1319">
        <f t="shared" ca="1" si="1135"/>
        <v>0.200425619</v>
      </c>
      <c r="GQ66" s="1319">
        <f t="shared" ca="1" si="1135"/>
        <v>0</v>
      </c>
      <c r="HC66" s="1319">
        <f t="shared" ca="1" si="1136"/>
        <v>7.4305893199999996E-4</v>
      </c>
      <c r="HD66" s="1319">
        <f t="shared" ca="1" si="1136"/>
        <v>7.1539367600000005E-4</v>
      </c>
      <c r="HE66" s="1319">
        <f t="shared" ca="1" si="1136"/>
        <v>0</v>
      </c>
      <c r="HF66" s="1319">
        <f t="shared" ca="1" si="1136"/>
        <v>5.6050504500000004E-6</v>
      </c>
      <c r="HG66" s="1319">
        <f t="shared" ca="1" si="1136"/>
        <v>2.2060205300000001E-5</v>
      </c>
      <c r="HH66" s="1319">
        <f t="shared" ca="1" si="1136"/>
        <v>7.1539367600000005E-4</v>
      </c>
      <c r="HT66" s="1319">
        <f t="shared" ca="1" si="1137"/>
        <v>1.27096445E-8</v>
      </c>
      <c r="HU66" s="1319">
        <f t="shared" ca="1" si="1137"/>
        <v>7.1539367600000005E-4</v>
      </c>
      <c r="HV66" s="1319">
        <f t="shared" ca="1" si="1137"/>
        <v>7.15406386E-4</v>
      </c>
      <c r="HW66" s="1319">
        <f t="shared" ca="1" si="1137"/>
        <v>7.15406386E-4</v>
      </c>
      <c r="HX66" s="1319">
        <f t="shared" ca="1" si="1137"/>
        <v>633.39173700000003</v>
      </c>
      <c r="HY66" s="1319">
        <f t="shared" ca="1" si="1137"/>
        <v>48.165785900000003</v>
      </c>
      <c r="HZ66" s="1319">
        <f t="shared" ca="1" si="1137"/>
        <v>27.157800200000001</v>
      </c>
      <c r="IA66" s="1319">
        <f t="shared" ca="1" si="1137"/>
        <v>5.9922193400000004E-3</v>
      </c>
      <c r="IB66" s="1319">
        <f t="shared" ca="1" si="1137"/>
        <v>0</v>
      </c>
      <c r="IC66" s="1319">
        <f t="shared" ca="1" si="1137"/>
        <v>0</v>
      </c>
      <c r="ID66" s="1319">
        <f t="shared" ca="1" si="1137"/>
        <v>0</v>
      </c>
      <c r="IE66" s="1319">
        <f t="shared" ca="1" si="1137"/>
        <v>0</v>
      </c>
      <c r="IQ66" s="1319">
        <f t="shared" ca="1" si="1138"/>
        <v>633.39173700000003</v>
      </c>
      <c r="IR66" s="1319">
        <f t="shared" ca="1" si="1138"/>
        <v>48.165785900000003</v>
      </c>
      <c r="IS66" s="1319">
        <f t="shared" ca="1" si="1138"/>
        <v>0.64919614299999995</v>
      </c>
      <c r="IT66" s="1319">
        <f t="shared" ca="1" si="1138"/>
        <v>48.814982100000002</v>
      </c>
      <c r="IU66" s="1319">
        <f t="shared" ca="1" si="1108"/>
        <v>45.558853200000001</v>
      </c>
      <c r="IV66" s="1319">
        <f t="shared" ca="1" si="1138"/>
        <v>19.0301154</v>
      </c>
      <c r="IW66" s="1319">
        <f t="shared" ca="1" si="1138"/>
        <v>15.580707400000001</v>
      </c>
      <c r="IX66" s="1319">
        <f t="shared" ca="1" si="1109"/>
        <v>0.53893106499999999</v>
      </c>
      <c r="IY66" s="1319">
        <f t="shared" ca="1" si="1138"/>
        <v>3.2561289100000002</v>
      </c>
      <c r="IZ66" s="1319">
        <f t="shared" ca="1" si="1138"/>
        <v>2.8002136700000002</v>
      </c>
      <c r="JA66" s="1319">
        <f t="shared" ca="1" si="1138"/>
        <v>16.2299036</v>
      </c>
      <c r="JB66" s="1319">
        <f t="shared" ca="1" si="1138"/>
        <v>0</v>
      </c>
      <c r="JC66" s="1319">
        <f t="shared" ca="1" si="1138"/>
        <v>2.7942214500000002</v>
      </c>
      <c r="JD66" s="1319">
        <f t="shared" ca="1" si="1138"/>
        <v>0</v>
      </c>
      <c r="JE66" s="1319">
        <f t="shared" ca="1" si="1138"/>
        <v>2.8002136700000002</v>
      </c>
      <c r="JF66" s="1319">
        <f t="shared" ca="1" si="1138"/>
        <v>0</v>
      </c>
      <c r="JG66" s="1319">
        <f t="shared" ca="1" si="1138"/>
        <v>0</v>
      </c>
      <c r="JH66" s="1319">
        <f t="shared" ca="1" si="1138"/>
        <v>5.9922193400000004E-3</v>
      </c>
      <c r="JT66" s="1319">
        <f t="shared" ca="1" si="1139"/>
        <v>0</v>
      </c>
      <c r="JU66" s="1319">
        <f t="shared" ca="1" si="1139"/>
        <v>0</v>
      </c>
      <c r="JV66" s="1319">
        <f t="shared" ca="1" si="1139"/>
        <v>0</v>
      </c>
      <c r="JW66" s="1319">
        <f t="shared" ca="1" si="1139"/>
        <v>0</v>
      </c>
      <c r="JX66" s="1319">
        <f t="shared" ca="1" si="1139"/>
        <v>0.200425619</v>
      </c>
      <c r="JY66" s="1319">
        <f t="shared" ca="1" si="1139"/>
        <v>0</v>
      </c>
      <c r="JZ66" s="1319">
        <f t="shared" ca="1" si="1139"/>
        <v>0.200425619</v>
      </c>
      <c r="KA66" s="1319">
        <f t="shared" ca="1" si="1139"/>
        <v>0</v>
      </c>
      <c r="KB66" s="1319">
        <f t="shared" ca="1" si="1139"/>
        <v>0</v>
      </c>
      <c r="KC66" s="1319">
        <f t="shared" ca="1" si="1139"/>
        <v>0</v>
      </c>
      <c r="KL66" s="1319">
        <f t="shared" ca="1" si="1140"/>
        <v>1050.8174799999999</v>
      </c>
      <c r="KM66" s="1319">
        <f t="shared" ca="1" si="1140"/>
        <v>0</v>
      </c>
      <c r="KN66" s="1319">
        <f t="shared" ca="1" si="1140"/>
        <v>0</v>
      </c>
      <c r="KO66" s="1319">
        <f t="shared" ca="1" si="1140"/>
        <v>5.7200563799999999</v>
      </c>
      <c r="KP66" s="1319">
        <f t="shared" ca="1" si="1140"/>
        <v>109.253077</v>
      </c>
      <c r="KQ66" s="1319">
        <f t="shared" ca="1" si="1140"/>
        <v>1165.79061</v>
      </c>
      <c r="KR66" s="1319">
        <f t="shared" ca="1" si="1140"/>
        <v>0</v>
      </c>
      <c r="LA66" s="1319">
        <f t="shared" ca="1" si="1141"/>
        <v>5.6050504500000004E-6</v>
      </c>
      <c r="LB66" s="1319">
        <f t="shared" ca="1" si="1141"/>
        <v>27.157800200000001</v>
      </c>
      <c r="LC66" s="1319">
        <f t="shared" ca="1" si="1141"/>
        <v>27.157805799999998</v>
      </c>
      <c r="LD66" s="1319">
        <f t="shared" ca="1" si="1141"/>
        <v>27.157805799999998</v>
      </c>
      <c r="LE66" s="1319">
        <f t="shared" ca="1" si="1141"/>
        <v>0</v>
      </c>
      <c r="LF66" s="1319">
        <f t="shared" ca="1" si="1141"/>
        <v>30.413956800000001</v>
      </c>
      <c r="LG66" s="1319">
        <f t="shared" ca="1" si="1141"/>
        <v>30.413956800000001</v>
      </c>
      <c r="LH66" s="1319">
        <f t="shared" ca="1" si="1141"/>
        <v>0</v>
      </c>
      <c r="LI66" s="1319">
        <f t="shared" ca="1" si="1141"/>
        <v>30.413956800000001</v>
      </c>
      <c r="LJ66" s="1319">
        <f t="shared" ca="1" si="1141"/>
        <v>0</v>
      </c>
      <c r="LK66" s="1319">
        <f t="shared" ca="1" si="1141"/>
        <v>0</v>
      </c>
      <c r="LW66" s="1319">
        <f t="shared" ca="1" si="1113"/>
        <v>0</v>
      </c>
      <c r="LX66" s="1319">
        <f t="shared" ca="1" si="1142"/>
        <v>0</v>
      </c>
      <c r="LY66" s="1319">
        <f t="shared" ca="1" si="1142"/>
        <v>2.2060205300000001E-5</v>
      </c>
      <c r="LZ66" s="1319">
        <f t="shared" ca="1" si="1142"/>
        <v>3.2561289100000002</v>
      </c>
      <c r="MA66" s="1319">
        <f t="shared" ca="1" si="1142"/>
        <v>3.2561509700000002</v>
      </c>
      <c r="MB66" s="1319">
        <f t="shared" ca="1" si="1142"/>
        <v>27.157805799999998</v>
      </c>
      <c r="MC66" s="1319">
        <f t="shared" ca="1" si="1142"/>
        <v>30.413956800000001</v>
      </c>
      <c r="MD66" s="1319">
        <f t="shared" ca="1" si="1142"/>
        <v>0</v>
      </c>
      <c r="ME66" s="1319">
        <f t="shared" ca="1" si="1142"/>
        <v>0</v>
      </c>
      <c r="MF66" s="1319">
        <f t="shared" ca="1" si="1142"/>
        <v>0</v>
      </c>
      <c r="MG66" s="1319">
        <f t="shared" ca="1" si="1142"/>
        <v>0</v>
      </c>
      <c r="MH66" s="1319">
        <f t="shared" ca="1" si="1143"/>
        <v>0</v>
      </c>
      <c r="MI66" s="1319">
        <f t="shared" ca="1" si="1143"/>
        <v>0</v>
      </c>
      <c r="MJ66" s="1319">
        <f t="shared" ca="1" si="1142"/>
        <v>0</v>
      </c>
      <c r="MK66" s="1319">
        <f t="shared" ca="1" si="1142"/>
        <v>0</v>
      </c>
      <c r="ML66" s="1319">
        <f t="shared" ca="1" si="1142"/>
        <v>0</v>
      </c>
      <c r="MM66" s="1319">
        <f t="shared" ca="1" si="1142"/>
        <v>0</v>
      </c>
      <c r="MN66" s="1319">
        <f t="shared" ca="1" si="1142"/>
        <v>0</v>
      </c>
      <c r="MO66" s="1319">
        <f t="shared" ca="1" si="1142"/>
        <v>0</v>
      </c>
      <c r="NA66" s="1319">
        <f t="shared" ca="1" si="1144"/>
        <v>7.4045465700000007E-9</v>
      </c>
      <c r="NB66" s="1319">
        <f t="shared" ca="1" si="1144"/>
        <v>7.2765281000000005E-9</v>
      </c>
      <c r="NC66" s="1319">
        <f t="shared" ca="1" si="1144"/>
        <v>1.28018469E-10</v>
      </c>
      <c r="ND66" s="1319">
        <f t="shared" ca="1" si="1144"/>
        <v>0</v>
      </c>
      <c r="NE66" s="1319">
        <f t="shared" ca="1" si="1144"/>
        <v>0</v>
      </c>
      <c r="NF66" s="1319">
        <f t="shared" ca="1" si="1144"/>
        <v>0</v>
      </c>
      <c r="NG66" s="1319">
        <f t="shared" ca="1" si="1144"/>
        <v>0</v>
      </c>
      <c r="NH66" s="1319">
        <f t="shared" ca="1" si="1144"/>
        <v>0</v>
      </c>
      <c r="NI66" s="1319">
        <f t="shared" ca="1" si="1144"/>
        <v>0</v>
      </c>
      <c r="NJ66" s="1319">
        <f t="shared" ca="1" si="1144"/>
        <v>0</v>
      </c>
      <c r="NK66" s="1319">
        <f t="shared" ca="1" si="1144"/>
        <v>0</v>
      </c>
      <c r="NL66" s="1319">
        <f t="shared" ca="1" si="1144"/>
        <v>0</v>
      </c>
      <c r="NM66" s="1319">
        <f t="shared" ca="1" si="1144"/>
        <v>0</v>
      </c>
      <c r="NN66" s="1319">
        <f t="shared" ca="1" si="1144"/>
        <v>0</v>
      </c>
      <c r="NO66" s="1319">
        <f t="shared" ca="1" si="1144"/>
        <v>0</v>
      </c>
      <c r="NP66" s="1319">
        <f t="shared" ca="1" si="1144"/>
        <v>0</v>
      </c>
      <c r="OH66" s="1319">
        <f t="shared" ca="1" si="1145"/>
        <v>0</v>
      </c>
      <c r="OI66" s="1319">
        <f t="shared" ca="1" si="1145"/>
        <v>0</v>
      </c>
      <c r="OJ66" s="1319">
        <f t="shared" ca="1" si="1145"/>
        <v>0</v>
      </c>
      <c r="OK66" s="1319">
        <f t="shared" ca="1" si="1145"/>
        <v>0</v>
      </c>
      <c r="OL66" s="1319">
        <f t="shared" ca="1" si="1145"/>
        <v>0</v>
      </c>
      <c r="OM66" s="1319">
        <f t="shared" ca="1" si="1145"/>
        <v>0</v>
      </c>
      <c r="ON66" s="1319">
        <f t="shared" ca="1" si="1145"/>
        <v>0</v>
      </c>
      <c r="OO66" s="1319">
        <f t="shared" ca="1" si="1145"/>
        <v>0</v>
      </c>
      <c r="PA66" s="1319">
        <f t="shared" ca="1" si="1146"/>
        <v>0</v>
      </c>
      <c r="PB66" s="1319">
        <f t="shared" ca="1" si="1146"/>
        <v>0</v>
      </c>
      <c r="PC66" s="1319">
        <f t="shared" ca="1" si="1146"/>
        <v>0</v>
      </c>
      <c r="PD66" s="1319">
        <f t="shared" ca="1" si="1146"/>
        <v>0</v>
      </c>
      <c r="PE66" s="1319">
        <f t="shared" ca="1" si="1146"/>
        <v>0</v>
      </c>
      <c r="PF66" s="1319">
        <f t="shared" ca="1" si="1146"/>
        <v>0</v>
      </c>
      <c r="PG66" s="1319">
        <f t="shared" ca="1" si="1146"/>
        <v>0</v>
      </c>
      <c r="PH66" s="1319">
        <f t="shared" ca="1" si="1146"/>
        <v>0</v>
      </c>
      <c r="PI66" s="1319">
        <f t="shared" ca="1" si="1146"/>
        <v>0</v>
      </c>
      <c r="PJ66" s="1319">
        <f t="shared" ca="1" si="1146"/>
        <v>0</v>
      </c>
      <c r="PK66" s="1319">
        <f t="shared" ca="1" si="1146"/>
        <v>0</v>
      </c>
      <c r="PW66" s="1319">
        <f t="shared" ca="1" si="1147"/>
        <v>0</v>
      </c>
      <c r="PX66" s="1319">
        <f t="shared" ca="1" si="1147"/>
        <v>0</v>
      </c>
      <c r="PY66" s="1319">
        <f t="shared" ca="1" si="1147"/>
        <v>0</v>
      </c>
      <c r="PZ66" s="1319">
        <f t="shared" ca="1" si="1147"/>
        <v>0</v>
      </c>
    </row>
    <row r="67" spans="1:442" x14ac:dyDescent="0.25">
      <c r="A67" s="189">
        <v>28</v>
      </c>
      <c r="B67" s="189" t="s">
        <v>1256</v>
      </c>
      <c r="C67" s="1317" t="s">
        <v>1287</v>
      </c>
      <c r="D67" s="1317" t="s">
        <v>206</v>
      </c>
      <c r="J67" s="1319">
        <f t="shared" ca="1" si="1093"/>
        <v>0</v>
      </c>
      <c r="K67" s="1319">
        <f t="shared" ca="1" si="1148"/>
        <v>0</v>
      </c>
      <c r="T67" s="1319">
        <f t="shared" ca="1" si="1094"/>
        <v>0</v>
      </c>
      <c r="U67" s="1319">
        <f t="shared" ca="1" si="1123"/>
        <v>0</v>
      </c>
      <c r="V67" s="1319">
        <f t="shared" ca="1" si="1123"/>
        <v>1841.6666700000001</v>
      </c>
      <c r="W67" s="1319">
        <f t="shared" ca="1" si="1123"/>
        <v>0</v>
      </c>
      <c r="X67" s="1319">
        <f t="shared" ca="1" si="1123"/>
        <v>0</v>
      </c>
      <c r="Y67" s="1319">
        <f t="shared" ca="1" si="1123"/>
        <v>1841.6666700000001</v>
      </c>
      <c r="Z67" s="1319">
        <f t="shared" ca="1" si="1123"/>
        <v>5.4963581800000008E-2</v>
      </c>
      <c r="AA67" s="1319">
        <f t="shared" ca="1" si="1123"/>
        <v>1841.6116999999999</v>
      </c>
      <c r="AB67" s="1319">
        <f t="shared" ca="1" si="1123"/>
        <v>1841.6666700000001</v>
      </c>
      <c r="AC67" s="1319">
        <f t="shared" ca="1" si="1123"/>
        <v>0</v>
      </c>
      <c r="AD67" s="1319">
        <f t="shared" ca="1" si="1123"/>
        <v>1841.9692200000002</v>
      </c>
      <c r="AM67" s="1319">
        <f t="shared" ca="1" si="1150"/>
        <v>0</v>
      </c>
      <c r="AN67" s="1319">
        <f t="shared" ca="1" si="1149"/>
        <v>0</v>
      </c>
      <c r="AO67" s="1319">
        <f t="shared" ca="1" si="1149"/>
        <v>1841.6116999999999</v>
      </c>
      <c r="AP67" s="1319">
        <f t="shared" ca="1" si="1149"/>
        <v>1841.6116999999999</v>
      </c>
      <c r="AQ67" s="1319">
        <f t="shared" ca="1" si="1149"/>
        <v>1.3107796200000001E-2</v>
      </c>
      <c r="AR67" s="1319">
        <f t="shared" ca="1" si="1149"/>
        <v>2.0875033500000001E-5</v>
      </c>
      <c r="AS67" s="1319">
        <f t="shared" ca="1" si="1149"/>
        <v>5.4942706700000003E-2</v>
      </c>
      <c r="AT67" s="1319">
        <f t="shared" ca="1" si="1149"/>
        <v>1.0276898399999999E-6</v>
      </c>
      <c r="AU67" s="1319">
        <f t="shared" ca="1" si="1149"/>
        <v>1.3127643600000001E-2</v>
      </c>
      <c r="AV67" s="1319">
        <f t="shared" ca="1" si="1149"/>
        <v>1841.5986</v>
      </c>
      <c r="AW67" s="1319">
        <f t="shared" ca="1" si="1149"/>
        <v>1.0276898399999999E-6</v>
      </c>
      <c r="AX67" s="1319">
        <f t="shared" ca="1" si="1149"/>
        <v>6.8071378000000002E-2</v>
      </c>
      <c r="AY67" s="1319">
        <f t="shared" ca="1" si="1149"/>
        <v>0</v>
      </c>
      <c r="AZ67" s="1319">
        <f t="shared" ca="1" si="1149"/>
        <v>0</v>
      </c>
      <c r="BA67" s="1319">
        <f t="shared" ca="1" si="1149"/>
        <v>0</v>
      </c>
      <c r="BB67" s="1319">
        <f t="shared" ca="1" si="1149"/>
        <v>0</v>
      </c>
      <c r="BN67" s="1319">
        <f t="shared" ca="1" si="1129"/>
        <v>0</v>
      </c>
      <c r="BO67" s="1319">
        <f t="shared" ca="1" si="1129"/>
        <v>0</v>
      </c>
      <c r="BP67" s="1319">
        <f t="shared" ca="1" si="1129"/>
        <v>0</v>
      </c>
      <c r="BQ67" s="1319">
        <f t="shared" ca="1" si="1129"/>
        <v>0</v>
      </c>
      <c r="BR67" s="1319">
        <f t="shared" ca="1" si="1129"/>
        <v>0</v>
      </c>
      <c r="CD67" s="1319">
        <f t="shared" ca="1" si="1130"/>
        <v>0</v>
      </c>
      <c r="CE67" s="1319">
        <f t="shared" ca="1" si="1130"/>
        <v>0</v>
      </c>
      <c r="CF67" s="1319">
        <f t="shared" ca="1" si="1130"/>
        <v>0</v>
      </c>
      <c r="CG67" s="1319">
        <f t="shared" ca="1" si="1130"/>
        <v>0</v>
      </c>
      <c r="CH67" s="1319">
        <f t="shared" ca="1" si="1130"/>
        <v>0</v>
      </c>
      <c r="CI67" s="1319">
        <f t="shared" ca="1" si="1130"/>
        <v>0</v>
      </c>
      <c r="CJ67" s="1319">
        <f t="shared" ca="1" si="1130"/>
        <v>0</v>
      </c>
      <c r="CK67" s="1319">
        <f t="shared" ca="1" si="1130"/>
        <v>0</v>
      </c>
      <c r="CL67" s="1319">
        <f t="shared" ca="1" si="1130"/>
        <v>0</v>
      </c>
      <c r="CM67" s="1319">
        <f t="shared" ca="1" si="1130"/>
        <v>0</v>
      </c>
      <c r="CN67" s="1319">
        <f t="shared" ca="1" si="1130"/>
        <v>0</v>
      </c>
      <c r="CO67" s="1319">
        <f t="shared" ca="1" si="1130"/>
        <v>0</v>
      </c>
      <c r="DA67" s="1319">
        <f t="shared" ca="1" si="1131"/>
        <v>0</v>
      </c>
      <c r="DB67" s="1319">
        <f t="shared" ca="1" si="1131"/>
        <v>0</v>
      </c>
      <c r="DC67" s="1319">
        <f t="shared" ca="1" si="1131"/>
        <v>0</v>
      </c>
      <c r="DD67" s="1319">
        <f t="shared" ca="1" si="1131"/>
        <v>0</v>
      </c>
      <c r="DE67" s="1319">
        <f t="shared" ca="1" si="1131"/>
        <v>0</v>
      </c>
      <c r="DF67" s="1319">
        <f t="shared" ca="1" si="1131"/>
        <v>0</v>
      </c>
      <c r="DG67" s="1319">
        <f t="shared" ca="1" si="1131"/>
        <v>0</v>
      </c>
      <c r="DH67" s="1319">
        <f t="shared" ca="1" si="1131"/>
        <v>0</v>
      </c>
      <c r="DI67" s="1319">
        <f t="shared" ca="1" si="1131"/>
        <v>0</v>
      </c>
      <c r="DJ67" s="1319">
        <f t="shared" ca="1" si="1131"/>
        <v>0</v>
      </c>
      <c r="DV67" s="1319">
        <f t="shared" ca="1" si="1132"/>
        <v>0</v>
      </c>
      <c r="DW67" s="1319">
        <f t="shared" ca="1" si="1132"/>
        <v>0</v>
      </c>
      <c r="DX67" s="1319">
        <f t="shared" ca="1" si="1132"/>
        <v>0</v>
      </c>
      <c r="DY67" s="1319">
        <f t="shared" ca="1" si="1132"/>
        <v>0</v>
      </c>
      <c r="DZ67" s="1319">
        <f t="shared" ca="1" si="1132"/>
        <v>0</v>
      </c>
      <c r="EA67" s="1319">
        <f t="shared" ca="1" si="1132"/>
        <v>0</v>
      </c>
      <c r="EB67" s="1319">
        <f t="shared" ca="1" si="1132"/>
        <v>0</v>
      </c>
      <c r="EC67" s="1319">
        <f t="shared" ca="1" si="1132"/>
        <v>0</v>
      </c>
      <c r="ED67" s="1319">
        <f t="shared" ca="1" si="1132"/>
        <v>0</v>
      </c>
      <c r="EE67" s="1319">
        <f t="shared" ca="1" si="1132"/>
        <v>0</v>
      </c>
      <c r="EF67" s="1319">
        <f t="shared" ca="1" si="1132"/>
        <v>0</v>
      </c>
      <c r="EG67" s="1319">
        <f t="shared" ca="1" si="1132"/>
        <v>0</v>
      </c>
      <c r="EH67" s="1319">
        <f t="shared" ca="1" si="1132"/>
        <v>0</v>
      </c>
      <c r="EI67" s="1319">
        <f t="shared" ca="1" si="1132"/>
        <v>0</v>
      </c>
      <c r="EJ67" s="1319">
        <f t="shared" ca="1" si="1101"/>
        <v>0</v>
      </c>
      <c r="EK67" s="1319">
        <f t="shared" ca="1" si="1132"/>
        <v>0</v>
      </c>
      <c r="EW67" s="1319">
        <f t="shared" ca="1" si="1133"/>
        <v>0</v>
      </c>
      <c r="EX67" s="1319">
        <f t="shared" ca="1" si="1133"/>
        <v>0</v>
      </c>
      <c r="EY67" s="1319">
        <f t="shared" ca="1" si="1133"/>
        <v>0</v>
      </c>
      <c r="EZ67" s="1319">
        <f t="shared" ca="1" si="1133"/>
        <v>0</v>
      </c>
      <c r="FA67" s="1319">
        <f t="shared" ca="1" si="1133"/>
        <v>0</v>
      </c>
      <c r="FB67" s="1319">
        <f t="shared" ca="1" si="1133"/>
        <v>0</v>
      </c>
      <c r="FN67" s="1319">
        <f t="shared" ca="1" si="1134"/>
        <v>0</v>
      </c>
      <c r="FO67" s="1319">
        <f t="shared" ca="1" si="1134"/>
        <v>0</v>
      </c>
      <c r="FP67" s="1319">
        <f t="shared" ca="1" si="1134"/>
        <v>0</v>
      </c>
      <c r="FQ67" s="1319">
        <f t="shared" ca="1" si="1134"/>
        <v>0</v>
      </c>
      <c r="FR67" s="1319">
        <f t="shared" ca="1" si="1134"/>
        <v>0</v>
      </c>
      <c r="FS67" s="1319">
        <f t="shared" ca="1" si="1134"/>
        <v>0</v>
      </c>
      <c r="FT67" s="1319">
        <f t="shared" ca="1" si="1134"/>
        <v>0</v>
      </c>
      <c r="FU67" s="1319">
        <f t="shared" ca="1" si="1134"/>
        <v>0</v>
      </c>
      <c r="FV67" s="1319">
        <f t="shared" ca="1" si="1134"/>
        <v>0</v>
      </c>
      <c r="FW67" s="1319">
        <f t="shared" ca="1" si="1134"/>
        <v>0</v>
      </c>
      <c r="FX67" s="1319">
        <f t="shared" ca="1" si="1134"/>
        <v>0</v>
      </c>
      <c r="GJ67" s="1319">
        <f t="shared" ca="1" si="1135"/>
        <v>0</v>
      </c>
      <c r="GK67" s="1319">
        <f t="shared" ca="1" si="1135"/>
        <v>0</v>
      </c>
      <c r="GL67" s="1319">
        <f t="shared" ca="1" si="1135"/>
        <v>0</v>
      </c>
      <c r="GM67" s="1319">
        <f t="shared" ca="1" si="1135"/>
        <v>0</v>
      </c>
      <c r="GN67" s="1319">
        <f t="shared" ca="1" si="1135"/>
        <v>0</v>
      </c>
      <c r="GO67" s="1319">
        <f t="shared" ca="1" si="1135"/>
        <v>0</v>
      </c>
      <c r="GP67" s="1319">
        <f t="shared" ca="1" si="1135"/>
        <v>0</v>
      </c>
      <c r="GQ67" s="1319">
        <f t="shared" ca="1" si="1135"/>
        <v>0</v>
      </c>
      <c r="HC67" s="1319">
        <f t="shared" ca="1" si="1136"/>
        <v>0</v>
      </c>
      <c r="HD67" s="1319">
        <f t="shared" ca="1" si="1136"/>
        <v>0</v>
      </c>
      <c r="HE67" s="1319">
        <f t="shared" ca="1" si="1136"/>
        <v>0</v>
      </c>
      <c r="HF67" s="1319">
        <f t="shared" ca="1" si="1136"/>
        <v>0</v>
      </c>
      <c r="HG67" s="1319">
        <f t="shared" ca="1" si="1136"/>
        <v>0</v>
      </c>
      <c r="HH67" s="1319">
        <f t="shared" ca="1" si="1136"/>
        <v>0</v>
      </c>
      <c r="HT67" s="1319">
        <f t="shared" ca="1" si="1137"/>
        <v>6.8071378000000002E-2</v>
      </c>
      <c r="HU67" s="1319">
        <f t="shared" ca="1" si="1137"/>
        <v>0</v>
      </c>
      <c r="HV67" s="1319">
        <f t="shared" ca="1" si="1137"/>
        <v>6.8071378000000002E-2</v>
      </c>
      <c r="HW67" s="1319">
        <f t="shared" ca="1" si="1137"/>
        <v>6.8071378000000002E-2</v>
      </c>
      <c r="HX67" s="1319">
        <f t="shared" ca="1" si="1137"/>
        <v>6.0307559500000003E-2</v>
      </c>
      <c r="HY67" s="1319">
        <f t="shared" ca="1" si="1137"/>
        <v>4.5860418300000001E-3</v>
      </c>
      <c r="HZ67" s="1319">
        <f t="shared" ca="1" si="1137"/>
        <v>9.7561763699999999E-10</v>
      </c>
      <c r="IA67" s="1319">
        <f t="shared" ca="1" si="1137"/>
        <v>4.2551359100000002E-10</v>
      </c>
      <c r="IB67" s="1319">
        <f t="shared" ca="1" si="1137"/>
        <v>0</v>
      </c>
      <c r="IC67" s="1319">
        <f t="shared" ca="1" si="1137"/>
        <v>0</v>
      </c>
      <c r="ID67" s="1319">
        <f t="shared" ca="1" si="1137"/>
        <v>0</v>
      </c>
      <c r="IE67" s="1319">
        <f t="shared" ca="1" si="1137"/>
        <v>0</v>
      </c>
      <c r="IQ67" s="1319">
        <f t="shared" ca="1" si="1138"/>
        <v>6.0307559500000003E-2</v>
      </c>
      <c r="IR67" s="1319">
        <f t="shared" ca="1" si="1138"/>
        <v>4.5860418300000001E-3</v>
      </c>
      <c r="IS67" s="1319">
        <f t="shared" ca="1" si="1138"/>
        <v>1.4745849300000001E-2</v>
      </c>
      <c r="IT67" s="1319">
        <f t="shared" ca="1" si="1138"/>
        <v>1.9331891100000002E-2</v>
      </c>
      <c r="IU67" s="1319">
        <f t="shared" ca="1" si="1108"/>
        <v>1.8042386800000001E-2</v>
      </c>
      <c r="IV67" s="1319">
        <f t="shared" ca="1" si="1138"/>
        <v>0.43225032699999999</v>
      </c>
      <c r="IW67" s="1319">
        <f t="shared" ca="1" si="1138"/>
        <v>0.35390038200000001</v>
      </c>
      <c r="IX67" s="1319">
        <f t="shared" ca="1" si="1109"/>
        <v>1.8037929800000001E-9</v>
      </c>
      <c r="IY67" s="1319">
        <f t="shared" ca="1" si="1138"/>
        <v>1.2895043E-3</v>
      </c>
      <c r="IZ67" s="1319">
        <f t="shared" ca="1" si="1138"/>
        <v>6.3604095200000002E-2</v>
      </c>
      <c r="JA67" s="1319">
        <f t="shared" ca="1" si="1138"/>
        <v>0.36864623099999999</v>
      </c>
      <c r="JB67" s="1319">
        <f t="shared" ca="1" si="1138"/>
        <v>0</v>
      </c>
      <c r="JC67" s="1319">
        <f t="shared" ca="1" si="1138"/>
        <v>6.3604094799999997E-2</v>
      </c>
      <c r="JD67" s="1319">
        <f t="shared" ca="1" si="1138"/>
        <v>0</v>
      </c>
      <c r="JE67" s="1319">
        <f t="shared" ca="1" si="1138"/>
        <v>6.3604095200000002E-2</v>
      </c>
      <c r="JF67" s="1319">
        <f t="shared" ca="1" si="1138"/>
        <v>0</v>
      </c>
      <c r="JG67" s="1319">
        <f t="shared" ca="1" si="1138"/>
        <v>0</v>
      </c>
      <c r="JH67" s="1319">
        <f t="shared" ca="1" si="1138"/>
        <v>4.2551359100000002E-10</v>
      </c>
      <c r="JT67" s="1319">
        <f t="shared" ca="1" si="1139"/>
        <v>0</v>
      </c>
      <c r="JU67" s="1319">
        <f t="shared" ca="1" si="1139"/>
        <v>0</v>
      </c>
      <c r="JV67" s="1319">
        <f t="shared" ca="1" si="1139"/>
        <v>0</v>
      </c>
      <c r="JW67" s="1319">
        <f t="shared" ca="1" si="1139"/>
        <v>0</v>
      </c>
      <c r="JX67" s="1319">
        <f t="shared" ca="1" si="1139"/>
        <v>0</v>
      </c>
      <c r="JY67" s="1319">
        <f t="shared" ca="1" si="1139"/>
        <v>0</v>
      </c>
      <c r="JZ67" s="1319">
        <f t="shared" ca="1" si="1139"/>
        <v>0</v>
      </c>
      <c r="KA67" s="1319">
        <f t="shared" ca="1" si="1139"/>
        <v>1841.9692200000002</v>
      </c>
      <c r="KB67" s="1319">
        <f t="shared" ca="1" si="1139"/>
        <v>0</v>
      </c>
      <c r="KC67" s="1319">
        <f t="shared" ca="1" si="1139"/>
        <v>0</v>
      </c>
      <c r="KL67" s="1319">
        <f t="shared" ca="1" si="1140"/>
        <v>0</v>
      </c>
      <c r="KM67" s="1319">
        <f t="shared" ca="1" si="1140"/>
        <v>0</v>
      </c>
      <c r="KN67" s="1319">
        <f t="shared" ca="1" si="1140"/>
        <v>0</v>
      </c>
      <c r="KO67" s="1319">
        <f t="shared" ca="1" si="1140"/>
        <v>0</v>
      </c>
      <c r="KP67" s="1319">
        <f t="shared" ca="1" si="1140"/>
        <v>0</v>
      </c>
      <c r="KQ67" s="1319">
        <f t="shared" ca="1" si="1140"/>
        <v>0</v>
      </c>
      <c r="KR67" s="1319">
        <f t="shared" ca="1" si="1140"/>
        <v>0</v>
      </c>
      <c r="LA67" s="1319">
        <f t="shared" ca="1" si="1141"/>
        <v>0</v>
      </c>
      <c r="LB67" s="1319">
        <f t="shared" ca="1" si="1141"/>
        <v>9.7561763699999999E-10</v>
      </c>
      <c r="LC67" s="1319">
        <f t="shared" ca="1" si="1141"/>
        <v>9.7561763699999999E-10</v>
      </c>
      <c r="LD67" s="1319">
        <f t="shared" ca="1" si="1141"/>
        <v>9.7561763699999999E-10</v>
      </c>
      <c r="LE67" s="1319">
        <f t="shared" ca="1" si="1141"/>
        <v>0</v>
      </c>
      <c r="LF67" s="1319">
        <f t="shared" ca="1" si="1141"/>
        <v>3.1431767000000003E-5</v>
      </c>
      <c r="LG67" s="1319">
        <f t="shared" ca="1" si="1141"/>
        <v>3.1431767000000003E-5</v>
      </c>
      <c r="LH67" s="1319">
        <f t="shared" ca="1" si="1141"/>
        <v>0</v>
      </c>
      <c r="LI67" s="1319">
        <f t="shared" ca="1" si="1141"/>
        <v>3.1431767000000003E-5</v>
      </c>
      <c r="LJ67" s="1319">
        <f t="shared" ca="1" si="1141"/>
        <v>0</v>
      </c>
      <c r="LK67" s="1319">
        <f t="shared" ca="1" si="1141"/>
        <v>0</v>
      </c>
      <c r="LW67" s="1319">
        <f t="shared" ca="1" si="1113"/>
        <v>0</v>
      </c>
      <c r="LX67" s="1319">
        <f t="shared" ca="1" si="1142"/>
        <v>0</v>
      </c>
      <c r="LY67" s="1319">
        <f t="shared" ca="1" si="1142"/>
        <v>0</v>
      </c>
      <c r="LZ67" s="1319">
        <f t="shared" ca="1" si="1142"/>
        <v>1.2895043E-3</v>
      </c>
      <c r="MA67" s="1319">
        <f t="shared" ca="1" si="1142"/>
        <v>1.2895043E-3</v>
      </c>
      <c r="MB67" s="1319">
        <f t="shared" ca="1" si="1142"/>
        <v>9.7561763699999999E-10</v>
      </c>
      <c r="MC67" s="1319">
        <f t="shared" ca="1" si="1142"/>
        <v>3.1431767000000003E-5</v>
      </c>
      <c r="MD67" s="1319">
        <f t="shared" ca="1" si="1142"/>
        <v>0</v>
      </c>
      <c r="ME67" s="1319">
        <f t="shared" ca="1" si="1142"/>
        <v>0</v>
      </c>
      <c r="MF67" s="1319">
        <f t="shared" ca="1" si="1142"/>
        <v>0</v>
      </c>
      <c r="MG67" s="1319">
        <f t="shared" ca="1" si="1142"/>
        <v>0</v>
      </c>
      <c r="MH67" s="1319">
        <f t="shared" ca="1" si="1143"/>
        <v>0</v>
      </c>
      <c r="MI67" s="1319">
        <f t="shared" ca="1" si="1143"/>
        <v>0</v>
      </c>
      <c r="MJ67" s="1319">
        <f t="shared" ca="1" si="1142"/>
        <v>0</v>
      </c>
      <c r="MK67" s="1319">
        <f t="shared" ca="1" si="1142"/>
        <v>0</v>
      </c>
      <c r="ML67" s="1319">
        <f t="shared" ca="1" si="1142"/>
        <v>0</v>
      </c>
      <c r="MM67" s="1319">
        <f t="shared" ca="1" si="1142"/>
        <v>0</v>
      </c>
      <c r="MN67" s="1319">
        <f t="shared" ca="1" si="1142"/>
        <v>0</v>
      </c>
      <c r="MO67" s="1319">
        <f t="shared" ca="1" si="1142"/>
        <v>0</v>
      </c>
      <c r="NA67" s="1319">
        <f t="shared" ca="1" si="1144"/>
        <v>5.4963581800000008E-2</v>
      </c>
      <c r="NB67" s="1319">
        <f t="shared" ca="1" si="1144"/>
        <v>2.0875033500000001E-5</v>
      </c>
      <c r="NC67" s="1319">
        <f t="shared" ca="1" si="1144"/>
        <v>5.4942706700000003E-2</v>
      </c>
      <c r="ND67" s="1319">
        <f t="shared" ca="1" si="1144"/>
        <v>0</v>
      </c>
      <c r="NE67" s="1319">
        <f t="shared" ca="1" si="1144"/>
        <v>0</v>
      </c>
      <c r="NF67" s="1319">
        <f t="shared" ca="1" si="1144"/>
        <v>0</v>
      </c>
      <c r="NG67" s="1319">
        <f t="shared" ca="1" si="1144"/>
        <v>0</v>
      </c>
      <c r="NH67" s="1319">
        <f t="shared" ca="1" si="1144"/>
        <v>0</v>
      </c>
      <c r="NI67" s="1319">
        <f t="shared" ca="1" si="1144"/>
        <v>0</v>
      </c>
      <c r="NJ67" s="1319">
        <f t="shared" ca="1" si="1144"/>
        <v>0</v>
      </c>
      <c r="NK67" s="1319">
        <f t="shared" ca="1" si="1144"/>
        <v>0</v>
      </c>
      <c r="NL67" s="1319">
        <f t="shared" ca="1" si="1144"/>
        <v>0</v>
      </c>
      <c r="NM67" s="1319">
        <f t="shared" ca="1" si="1144"/>
        <v>0</v>
      </c>
      <c r="NN67" s="1319">
        <f t="shared" ca="1" si="1144"/>
        <v>0</v>
      </c>
      <c r="NO67" s="1319">
        <f t="shared" ca="1" si="1144"/>
        <v>0</v>
      </c>
      <c r="NP67" s="1319">
        <f t="shared" ca="1" si="1144"/>
        <v>0</v>
      </c>
      <c r="OH67" s="1319">
        <f t="shared" ca="1" si="1145"/>
        <v>0</v>
      </c>
      <c r="OI67" s="1319">
        <f t="shared" ca="1" si="1145"/>
        <v>0</v>
      </c>
      <c r="OJ67" s="1319">
        <f t="shared" ca="1" si="1145"/>
        <v>0</v>
      </c>
      <c r="OK67" s="1319">
        <f t="shared" ca="1" si="1145"/>
        <v>0</v>
      </c>
      <c r="OL67" s="1319">
        <f t="shared" ca="1" si="1145"/>
        <v>0</v>
      </c>
      <c r="OM67" s="1319">
        <f t="shared" ca="1" si="1145"/>
        <v>0</v>
      </c>
      <c r="ON67" s="1319">
        <f t="shared" ca="1" si="1145"/>
        <v>0</v>
      </c>
      <c r="OO67" s="1319">
        <f t="shared" ca="1" si="1145"/>
        <v>0</v>
      </c>
      <c r="PA67" s="1319">
        <f t="shared" ca="1" si="1146"/>
        <v>0</v>
      </c>
      <c r="PB67" s="1319">
        <f t="shared" ca="1" si="1146"/>
        <v>0</v>
      </c>
      <c r="PC67" s="1319">
        <f t="shared" ca="1" si="1146"/>
        <v>0</v>
      </c>
      <c r="PD67" s="1319">
        <f t="shared" ca="1" si="1146"/>
        <v>0</v>
      </c>
      <c r="PE67" s="1319">
        <f t="shared" ca="1" si="1146"/>
        <v>0</v>
      </c>
      <c r="PF67" s="1319">
        <f t="shared" ca="1" si="1146"/>
        <v>0</v>
      </c>
      <c r="PG67" s="1319">
        <f t="shared" ca="1" si="1146"/>
        <v>0</v>
      </c>
      <c r="PH67" s="1319">
        <f t="shared" ca="1" si="1146"/>
        <v>0</v>
      </c>
      <c r="PI67" s="1319">
        <f t="shared" ca="1" si="1146"/>
        <v>0</v>
      </c>
      <c r="PJ67" s="1319">
        <f t="shared" ca="1" si="1146"/>
        <v>0</v>
      </c>
      <c r="PK67" s="1319">
        <f t="shared" ca="1" si="1146"/>
        <v>0</v>
      </c>
      <c r="PW67" s="1319">
        <f t="shared" ca="1" si="1147"/>
        <v>0</v>
      </c>
      <c r="PX67" s="1319">
        <f t="shared" ca="1" si="1147"/>
        <v>0</v>
      </c>
      <c r="PY67" s="1319">
        <f t="shared" ca="1" si="1147"/>
        <v>0</v>
      </c>
      <c r="PZ67" s="1319">
        <f t="shared" ca="1" si="1147"/>
        <v>0</v>
      </c>
    </row>
    <row r="68" spans="1:442" x14ac:dyDescent="0.25">
      <c r="A68" s="189">
        <v>29</v>
      </c>
      <c r="B68" s="189" t="s">
        <v>1256</v>
      </c>
      <c r="C68" s="1317" t="s">
        <v>1297</v>
      </c>
      <c r="D68" s="1317" t="s">
        <v>206</v>
      </c>
      <c r="J68" s="1319">
        <f t="shared" ca="1" si="1093"/>
        <v>0</v>
      </c>
      <c r="K68" s="1319">
        <f t="shared" ca="1" si="1148"/>
        <v>0</v>
      </c>
      <c r="T68" s="1319">
        <f t="shared" ca="1" si="1094"/>
        <v>0</v>
      </c>
      <c r="U68" s="1319">
        <f t="shared" ca="1" si="1123"/>
        <v>0</v>
      </c>
      <c r="V68" s="1319">
        <f t="shared" ca="1" si="1123"/>
        <v>0</v>
      </c>
      <c r="W68" s="1319">
        <f t="shared" ca="1" si="1123"/>
        <v>0</v>
      </c>
      <c r="X68" s="1319">
        <f t="shared" ca="1" si="1123"/>
        <v>0</v>
      </c>
      <c r="Y68" s="1319">
        <f t="shared" ca="1" si="1123"/>
        <v>0</v>
      </c>
      <c r="Z68" s="1319">
        <f t="shared" ca="1" si="1123"/>
        <v>0</v>
      </c>
      <c r="AA68" s="1319">
        <f t="shared" ca="1" si="1123"/>
        <v>0</v>
      </c>
      <c r="AB68" s="1319">
        <f t="shared" ca="1" si="1123"/>
        <v>0</v>
      </c>
      <c r="AC68" s="1319">
        <f t="shared" ca="1" si="1123"/>
        <v>0</v>
      </c>
      <c r="AD68" s="1319">
        <f t="shared" ca="1" si="1123"/>
        <v>0</v>
      </c>
      <c r="AM68" s="1319">
        <f t="shared" ca="1" si="1150"/>
        <v>0</v>
      </c>
      <c r="AN68" s="1319">
        <f t="shared" ca="1" si="1149"/>
        <v>0</v>
      </c>
      <c r="AO68" s="1319">
        <f t="shared" ca="1" si="1149"/>
        <v>0</v>
      </c>
      <c r="AP68" s="1319">
        <f t="shared" ca="1" si="1149"/>
        <v>0</v>
      </c>
      <c r="AQ68" s="1319">
        <f t="shared" ca="1" si="1149"/>
        <v>0</v>
      </c>
      <c r="AR68" s="1319">
        <f t="shared" ca="1" si="1149"/>
        <v>0</v>
      </c>
      <c r="AS68" s="1319">
        <f t="shared" ca="1" si="1149"/>
        <v>0</v>
      </c>
      <c r="AT68" s="1319">
        <f t="shared" ca="1" si="1149"/>
        <v>0</v>
      </c>
      <c r="AU68" s="1319">
        <f t="shared" ca="1" si="1149"/>
        <v>0</v>
      </c>
      <c r="AV68" s="1319">
        <f t="shared" ca="1" si="1149"/>
        <v>0</v>
      </c>
      <c r="AW68" s="1319">
        <f t="shared" ca="1" si="1149"/>
        <v>0</v>
      </c>
      <c r="AX68" s="1319">
        <f t="shared" ca="1" si="1149"/>
        <v>0</v>
      </c>
      <c r="AY68" s="1319">
        <f t="shared" ca="1" si="1149"/>
        <v>0</v>
      </c>
      <c r="AZ68" s="1319">
        <f t="shared" ca="1" si="1149"/>
        <v>0</v>
      </c>
      <c r="BA68" s="1319">
        <f t="shared" ca="1" si="1149"/>
        <v>0</v>
      </c>
      <c r="BB68" s="1319">
        <f t="shared" ca="1" si="1149"/>
        <v>2481.5580500000001</v>
      </c>
      <c r="BN68" s="1319">
        <f t="shared" ca="1" si="1129"/>
        <v>248.15580499999999</v>
      </c>
      <c r="BO68" s="1319">
        <f t="shared" ca="1" si="1129"/>
        <v>248.15580499999999</v>
      </c>
      <c r="BP68" s="1319">
        <f t="shared" ca="1" si="1129"/>
        <v>0</v>
      </c>
      <c r="BQ68" s="1319">
        <f t="shared" ca="1" si="1129"/>
        <v>0</v>
      </c>
      <c r="BR68" s="1319">
        <f t="shared" ca="1" si="1129"/>
        <v>0</v>
      </c>
      <c r="CD68" s="1319">
        <f t="shared" ca="1" si="1130"/>
        <v>2481.5580500000001</v>
      </c>
      <c r="CE68" s="1319">
        <f t="shared" ca="1" si="1130"/>
        <v>2481.5580500000001</v>
      </c>
      <c r="CF68" s="1319">
        <f t="shared" ca="1" si="1130"/>
        <v>248.15580499999999</v>
      </c>
      <c r="CG68" s="1319">
        <f t="shared" ca="1" si="1130"/>
        <v>248.15580499999999</v>
      </c>
      <c r="CH68" s="1319">
        <f t="shared" ca="1" si="1130"/>
        <v>2481.5580500000001</v>
      </c>
      <c r="CI68" s="1319">
        <f t="shared" ca="1" si="1130"/>
        <v>0</v>
      </c>
      <c r="CJ68" s="1319">
        <f t="shared" ca="1" si="1130"/>
        <v>0</v>
      </c>
      <c r="CK68" s="1319">
        <f t="shared" ca="1" si="1130"/>
        <v>2481.5580500000001</v>
      </c>
      <c r="CL68" s="1319">
        <f t="shared" ca="1" si="1130"/>
        <v>0</v>
      </c>
      <c r="CM68" s="1319">
        <f t="shared" ca="1" si="1130"/>
        <v>0</v>
      </c>
      <c r="CN68" s="1319">
        <f t="shared" ca="1" si="1130"/>
        <v>2481.5580500000001</v>
      </c>
      <c r="CO68" s="1319">
        <f t="shared" ca="1" si="1130"/>
        <v>0</v>
      </c>
      <c r="DA68" s="1319">
        <f t="shared" ca="1" si="1131"/>
        <v>0</v>
      </c>
      <c r="DB68" s="1319">
        <f t="shared" ca="1" si="1131"/>
        <v>0</v>
      </c>
      <c r="DC68" s="1319">
        <f t="shared" ca="1" si="1131"/>
        <v>0</v>
      </c>
      <c r="DD68" s="1319">
        <f t="shared" ca="1" si="1131"/>
        <v>0</v>
      </c>
      <c r="DE68" s="1319">
        <f t="shared" ca="1" si="1131"/>
        <v>0</v>
      </c>
      <c r="DF68" s="1319">
        <f t="shared" ca="1" si="1131"/>
        <v>0</v>
      </c>
      <c r="DG68" s="1319">
        <f t="shared" ca="1" si="1131"/>
        <v>0</v>
      </c>
      <c r="DH68" s="1319">
        <f t="shared" ca="1" si="1131"/>
        <v>0</v>
      </c>
      <c r="DI68" s="1319">
        <f t="shared" ca="1" si="1131"/>
        <v>0</v>
      </c>
      <c r="DJ68" s="1319">
        <f t="shared" ca="1" si="1131"/>
        <v>0</v>
      </c>
      <c r="DV68" s="1319">
        <f t="shared" ca="1" si="1132"/>
        <v>0</v>
      </c>
      <c r="DW68" s="1319">
        <f t="shared" ca="1" si="1132"/>
        <v>0</v>
      </c>
      <c r="DX68" s="1319">
        <f t="shared" ca="1" si="1132"/>
        <v>0</v>
      </c>
      <c r="DY68" s="1319">
        <f t="shared" ca="1" si="1132"/>
        <v>0</v>
      </c>
      <c r="DZ68" s="1319">
        <f t="shared" ca="1" si="1132"/>
        <v>0</v>
      </c>
      <c r="EA68" s="1319">
        <f t="shared" ca="1" si="1132"/>
        <v>0</v>
      </c>
      <c r="EB68" s="1319">
        <f t="shared" ca="1" si="1132"/>
        <v>0</v>
      </c>
      <c r="EC68" s="1319">
        <f t="shared" ca="1" si="1132"/>
        <v>0</v>
      </c>
      <c r="ED68" s="1319">
        <f t="shared" ca="1" si="1132"/>
        <v>0</v>
      </c>
      <c r="EE68" s="1319">
        <f t="shared" ca="1" si="1132"/>
        <v>0</v>
      </c>
      <c r="EF68" s="1319">
        <f t="shared" ca="1" si="1132"/>
        <v>0</v>
      </c>
      <c r="EG68" s="1319">
        <f t="shared" ca="1" si="1132"/>
        <v>0</v>
      </c>
      <c r="EH68" s="1319">
        <f t="shared" ca="1" si="1132"/>
        <v>0</v>
      </c>
      <c r="EI68" s="1319">
        <f t="shared" ca="1" si="1132"/>
        <v>0</v>
      </c>
      <c r="EJ68" s="1319">
        <f t="shared" ca="1" si="1101"/>
        <v>0</v>
      </c>
      <c r="EK68" s="1319">
        <f t="shared" ca="1" si="1132"/>
        <v>0</v>
      </c>
      <c r="EW68" s="1319">
        <f t="shared" ca="1" si="1133"/>
        <v>2481.5580500000001</v>
      </c>
      <c r="EX68" s="1319">
        <f t="shared" ca="1" si="1133"/>
        <v>2481.5580500000001</v>
      </c>
      <c r="EY68" s="1319">
        <f t="shared" ca="1" si="1133"/>
        <v>2481.5580500000001</v>
      </c>
      <c r="EZ68" s="1319">
        <f t="shared" ca="1" si="1133"/>
        <v>2481.5580500000001</v>
      </c>
      <c r="FA68" s="1319">
        <f t="shared" ca="1" si="1133"/>
        <v>0</v>
      </c>
      <c r="FB68" s="1319">
        <f t="shared" ca="1" si="1133"/>
        <v>0</v>
      </c>
      <c r="FN68" s="1319">
        <f t="shared" ca="1" si="1134"/>
        <v>0</v>
      </c>
      <c r="FO68" s="1319">
        <f t="shared" ca="1" si="1134"/>
        <v>0</v>
      </c>
      <c r="FP68" s="1319">
        <f t="shared" ca="1" si="1134"/>
        <v>0</v>
      </c>
      <c r="FQ68" s="1319">
        <f t="shared" ca="1" si="1134"/>
        <v>0</v>
      </c>
      <c r="FR68" s="1319">
        <f t="shared" ca="1" si="1134"/>
        <v>0</v>
      </c>
      <c r="FS68" s="1319">
        <f t="shared" ca="1" si="1134"/>
        <v>0</v>
      </c>
      <c r="FT68" s="1319">
        <f t="shared" ca="1" si="1134"/>
        <v>0</v>
      </c>
      <c r="FU68" s="1319">
        <f t="shared" ca="1" si="1134"/>
        <v>0</v>
      </c>
      <c r="FV68" s="1319">
        <f t="shared" ca="1" si="1134"/>
        <v>0</v>
      </c>
      <c r="FW68" s="1319">
        <f t="shared" ca="1" si="1134"/>
        <v>0</v>
      </c>
      <c r="FX68" s="1319">
        <f t="shared" ca="1" si="1134"/>
        <v>0</v>
      </c>
      <c r="GJ68" s="1319">
        <f t="shared" ca="1" si="1135"/>
        <v>0</v>
      </c>
      <c r="GK68" s="1319">
        <f t="shared" ca="1" si="1135"/>
        <v>0</v>
      </c>
      <c r="GL68" s="1319">
        <f t="shared" ca="1" si="1135"/>
        <v>0</v>
      </c>
      <c r="GM68" s="1319">
        <f t="shared" ca="1" si="1135"/>
        <v>0</v>
      </c>
      <c r="GN68" s="1319">
        <f t="shared" ca="1" si="1135"/>
        <v>0</v>
      </c>
      <c r="GO68" s="1319">
        <f t="shared" ca="1" si="1135"/>
        <v>0</v>
      </c>
      <c r="GP68" s="1319">
        <f t="shared" ca="1" si="1135"/>
        <v>0</v>
      </c>
      <c r="GQ68" s="1319">
        <f t="shared" ca="1" si="1135"/>
        <v>0</v>
      </c>
      <c r="HC68" s="1319">
        <f t="shared" ca="1" si="1136"/>
        <v>2481.5580500000001</v>
      </c>
      <c r="HD68" s="1319">
        <f t="shared" ca="1" si="1136"/>
        <v>2389.1657300000002</v>
      </c>
      <c r="HE68" s="1319">
        <f t="shared" ca="1" si="1136"/>
        <v>0</v>
      </c>
      <c r="HF68" s="1319">
        <f t="shared" ca="1" si="1136"/>
        <v>0</v>
      </c>
      <c r="HG68" s="1319">
        <f t="shared" ca="1" si="1136"/>
        <v>92.392319200000003</v>
      </c>
      <c r="HH68" s="1319">
        <f t="shared" ca="1" si="1136"/>
        <v>2389.1657300000002</v>
      </c>
      <c r="HT68" s="1319">
        <f t="shared" ca="1" si="1137"/>
        <v>0</v>
      </c>
      <c r="HU68" s="1319">
        <f t="shared" ca="1" si="1137"/>
        <v>2389.1657300000002</v>
      </c>
      <c r="HV68" s="1319">
        <f t="shared" ca="1" si="1137"/>
        <v>2389.1657300000002</v>
      </c>
      <c r="HW68" s="1319">
        <f t="shared" ca="1" si="1137"/>
        <v>2389.1657300000002</v>
      </c>
      <c r="HX68" s="1319">
        <f t="shared" ca="1" si="1137"/>
        <v>0</v>
      </c>
      <c r="HY68" s="1319">
        <f t="shared" ca="1" si="1137"/>
        <v>0</v>
      </c>
      <c r="HZ68" s="1319">
        <f t="shared" ca="1" si="1137"/>
        <v>0</v>
      </c>
      <c r="IA68" s="1319">
        <f t="shared" ca="1" si="1137"/>
        <v>0</v>
      </c>
      <c r="IB68" s="1319">
        <f t="shared" ca="1" si="1137"/>
        <v>0</v>
      </c>
      <c r="IC68" s="1319">
        <f t="shared" ca="1" si="1137"/>
        <v>0</v>
      </c>
      <c r="ID68" s="1319">
        <f t="shared" ca="1" si="1137"/>
        <v>0</v>
      </c>
      <c r="IE68" s="1319">
        <f t="shared" ca="1" si="1137"/>
        <v>0</v>
      </c>
      <c r="IQ68" s="1319">
        <f t="shared" ca="1" si="1138"/>
        <v>0</v>
      </c>
      <c r="IR68" s="1319">
        <f t="shared" ca="1" si="1138"/>
        <v>0</v>
      </c>
      <c r="IS68" s="1319">
        <f t="shared" ca="1" si="1138"/>
        <v>0</v>
      </c>
      <c r="IT68" s="1319">
        <f t="shared" ca="1" si="1138"/>
        <v>0</v>
      </c>
      <c r="IU68" s="1319">
        <f t="shared" ca="1" si="1108"/>
        <v>0</v>
      </c>
      <c r="IV68" s="1319">
        <f t="shared" ca="1" si="1138"/>
        <v>0</v>
      </c>
      <c r="IW68" s="1319">
        <f t="shared" ca="1" si="1138"/>
        <v>0</v>
      </c>
      <c r="IX68" s="1319">
        <f t="shared" ca="1" si="1109"/>
        <v>0</v>
      </c>
      <c r="IY68" s="1319">
        <f t="shared" ca="1" si="1138"/>
        <v>0</v>
      </c>
      <c r="IZ68" s="1319">
        <f t="shared" ca="1" si="1138"/>
        <v>0</v>
      </c>
      <c r="JA68" s="1319">
        <f t="shared" ca="1" si="1138"/>
        <v>0</v>
      </c>
      <c r="JB68" s="1319">
        <f t="shared" ca="1" si="1138"/>
        <v>0</v>
      </c>
      <c r="JC68" s="1319">
        <f t="shared" ca="1" si="1138"/>
        <v>0</v>
      </c>
      <c r="JD68" s="1319">
        <f t="shared" ca="1" si="1138"/>
        <v>0</v>
      </c>
      <c r="JE68" s="1319">
        <f t="shared" ca="1" si="1138"/>
        <v>0</v>
      </c>
      <c r="JF68" s="1319">
        <f t="shared" ca="1" si="1138"/>
        <v>0</v>
      </c>
      <c r="JG68" s="1319">
        <f t="shared" ca="1" si="1138"/>
        <v>0</v>
      </c>
      <c r="JH68" s="1319">
        <f t="shared" ca="1" si="1138"/>
        <v>0</v>
      </c>
      <c r="JT68" s="1319">
        <f t="shared" ca="1" si="1139"/>
        <v>0</v>
      </c>
      <c r="JU68" s="1319">
        <f t="shared" ca="1" si="1139"/>
        <v>0</v>
      </c>
      <c r="JV68" s="1319">
        <f t="shared" ca="1" si="1139"/>
        <v>0</v>
      </c>
      <c r="JW68" s="1319">
        <f t="shared" ca="1" si="1139"/>
        <v>0</v>
      </c>
      <c r="JX68" s="1319">
        <f t="shared" ca="1" si="1139"/>
        <v>0</v>
      </c>
      <c r="JY68" s="1319">
        <f t="shared" ca="1" si="1139"/>
        <v>0</v>
      </c>
      <c r="JZ68" s="1319">
        <f t="shared" ca="1" si="1139"/>
        <v>0</v>
      </c>
      <c r="KA68" s="1319">
        <f t="shared" ca="1" si="1139"/>
        <v>0</v>
      </c>
      <c r="KB68" s="1319">
        <f t="shared" ca="1" si="1139"/>
        <v>0</v>
      </c>
      <c r="KC68" s="1319">
        <f t="shared" ca="1" si="1139"/>
        <v>0</v>
      </c>
      <c r="KL68" s="1319">
        <f t="shared" ca="1" si="1140"/>
        <v>0</v>
      </c>
      <c r="KM68" s="1319">
        <f t="shared" ca="1" si="1140"/>
        <v>0</v>
      </c>
      <c r="KN68" s="1319">
        <f t="shared" ca="1" si="1140"/>
        <v>0</v>
      </c>
      <c r="KO68" s="1319">
        <f t="shared" ca="1" si="1140"/>
        <v>0</v>
      </c>
      <c r="KP68" s="1319">
        <f t="shared" ca="1" si="1140"/>
        <v>0</v>
      </c>
      <c r="KQ68" s="1319">
        <f t="shared" ca="1" si="1140"/>
        <v>0</v>
      </c>
      <c r="KR68" s="1319">
        <f t="shared" ca="1" si="1140"/>
        <v>0</v>
      </c>
      <c r="LA68" s="1319">
        <f t="shared" ca="1" si="1141"/>
        <v>0</v>
      </c>
      <c r="LB68" s="1319">
        <f t="shared" ca="1" si="1141"/>
        <v>0</v>
      </c>
      <c r="LC68" s="1319">
        <f t="shared" ca="1" si="1141"/>
        <v>0</v>
      </c>
      <c r="LD68" s="1319">
        <f t="shared" ca="1" si="1141"/>
        <v>0</v>
      </c>
      <c r="LE68" s="1319">
        <f t="shared" ca="1" si="1141"/>
        <v>0</v>
      </c>
      <c r="LF68" s="1319">
        <f t="shared" ca="1" si="1141"/>
        <v>0</v>
      </c>
      <c r="LG68" s="1319">
        <f t="shared" ca="1" si="1141"/>
        <v>0</v>
      </c>
      <c r="LH68" s="1319">
        <f t="shared" ca="1" si="1141"/>
        <v>0</v>
      </c>
      <c r="LI68" s="1319">
        <f t="shared" ca="1" si="1141"/>
        <v>0</v>
      </c>
      <c r="LJ68" s="1319">
        <f t="shared" ca="1" si="1141"/>
        <v>0</v>
      </c>
      <c r="LK68" s="1319">
        <f t="shared" ca="1" si="1141"/>
        <v>0</v>
      </c>
      <c r="LW68" s="1319">
        <f t="shared" ca="1" si="1113"/>
        <v>0</v>
      </c>
      <c r="LX68" s="1319">
        <f t="shared" ca="1" si="1142"/>
        <v>0</v>
      </c>
      <c r="LY68" s="1319">
        <f t="shared" ca="1" si="1142"/>
        <v>92.392319200000003</v>
      </c>
      <c r="LZ68" s="1319">
        <f t="shared" ca="1" si="1142"/>
        <v>0</v>
      </c>
      <c r="MA68" s="1319">
        <f t="shared" ca="1" si="1142"/>
        <v>92.392319200000003</v>
      </c>
      <c r="MB68" s="1319">
        <f t="shared" ca="1" si="1142"/>
        <v>0</v>
      </c>
      <c r="MC68" s="1319">
        <f t="shared" ca="1" si="1142"/>
        <v>0</v>
      </c>
      <c r="MD68" s="1319">
        <f t="shared" ca="1" si="1142"/>
        <v>0</v>
      </c>
      <c r="ME68" s="1319">
        <f t="shared" ca="1" si="1142"/>
        <v>0</v>
      </c>
      <c r="MF68" s="1319">
        <f t="shared" ca="1" si="1142"/>
        <v>0</v>
      </c>
      <c r="MG68" s="1319">
        <f t="shared" ca="1" si="1142"/>
        <v>0</v>
      </c>
      <c r="MH68" s="1319">
        <f t="shared" ca="1" si="1143"/>
        <v>0</v>
      </c>
      <c r="MI68" s="1319">
        <f t="shared" ca="1" si="1143"/>
        <v>0</v>
      </c>
      <c r="MJ68" s="1319">
        <f t="shared" ca="1" si="1142"/>
        <v>0</v>
      </c>
      <c r="MK68" s="1319">
        <f t="shared" ca="1" si="1142"/>
        <v>0</v>
      </c>
      <c r="ML68" s="1319">
        <f t="shared" ca="1" si="1142"/>
        <v>0</v>
      </c>
      <c r="MM68" s="1319">
        <f t="shared" ca="1" si="1142"/>
        <v>0</v>
      </c>
      <c r="MN68" s="1319">
        <f t="shared" ca="1" si="1142"/>
        <v>0</v>
      </c>
      <c r="MO68" s="1319">
        <f t="shared" ca="1" si="1142"/>
        <v>0</v>
      </c>
      <c r="NA68" s="1319">
        <f t="shared" ca="1" si="1144"/>
        <v>0</v>
      </c>
      <c r="NB68" s="1319">
        <f t="shared" ca="1" si="1144"/>
        <v>0</v>
      </c>
      <c r="NC68" s="1319">
        <f t="shared" ca="1" si="1144"/>
        <v>0</v>
      </c>
      <c r="ND68" s="1319">
        <f t="shared" ca="1" si="1144"/>
        <v>0</v>
      </c>
      <c r="NE68" s="1319">
        <f t="shared" ca="1" si="1144"/>
        <v>0</v>
      </c>
      <c r="NF68" s="1319">
        <f t="shared" ca="1" si="1144"/>
        <v>0</v>
      </c>
      <c r="NG68" s="1319">
        <f t="shared" ca="1" si="1144"/>
        <v>0</v>
      </c>
      <c r="NH68" s="1319">
        <f t="shared" ca="1" si="1144"/>
        <v>0</v>
      </c>
      <c r="NI68" s="1319">
        <f t="shared" ca="1" si="1144"/>
        <v>0</v>
      </c>
      <c r="NJ68" s="1319">
        <f t="shared" ca="1" si="1144"/>
        <v>0</v>
      </c>
      <c r="NK68" s="1319">
        <f t="shared" ca="1" si="1144"/>
        <v>0</v>
      </c>
      <c r="NL68" s="1319">
        <f t="shared" ca="1" si="1144"/>
        <v>0</v>
      </c>
      <c r="NM68" s="1319">
        <f t="shared" ca="1" si="1144"/>
        <v>0</v>
      </c>
      <c r="NN68" s="1319">
        <f t="shared" ca="1" si="1144"/>
        <v>0</v>
      </c>
      <c r="NO68" s="1319">
        <f t="shared" ca="1" si="1144"/>
        <v>0</v>
      </c>
      <c r="NP68" s="1319">
        <f t="shared" ca="1" si="1144"/>
        <v>0</v>
      </c>
      <c r="OH68" s="1319">
        <f t="shared" ca="1" si="1145"/>
        <v>0</v>
      </c>
      <c r="OI68" s="1319">
        <f t="shared" ca="1" si="1145"/>
        <v>0</v>
      </c>
      <c r="OJ68" s="1319">
        <f t="shared" ca="1" si="1145"/>
        <v>0</v>
      </c>
      <c r="OK68" s="1319">
        <f t="shared" ca="1" si="1145"/>
        <v>0</v>
      </c>
      <c r="OL68" s="1319">
        <f t="shared" ca="1" si="1145"/>
        <v>0</v>
      </c>
      <c r="OM68" s="1319">
        <f t="shared" ca="1" si="1145"/>
        <v>0</v>
      </c>
      <c r="ON68" s="1319">
        <f t="shared" ca="1" si="1145"/>
        <v>0</v>
      </c>
      <c r="OO68" s="1319">
        <f t="shared" ca="1" si="1145"/>
        <v>0</v>
      </c>
      <c r="PA68" s="1319">
        <f t="shared" ca="1" si="1146"/>
        <v>0</v>
      </c>
      <c r="PB68" s="1319">
        <f t="shared" ca="1" si="1146"/>
        <v>0</v>
      </c>
      <c r="PC68" s="1319">
        <f t="shared" ca="1" si="1146"/>
        <v>0</v>
      </c>
      <c r="PD68" s="1319">
        <f t="shared" ca="1" si="1146"/>
        <v>0</v>
      </c>
      <c r="PE68" s="1319">
        <f t="shared" ca="1" si="1146"/>
        <v>0</v>
      </c>
      <c r="PF68" s="1319">
        <f t="shared" ca="1" si="1146"/>
        <v>0</v>
      </c>
      <c r="PG68" s="1319">
        <f t="shared" ca="1" si="1146"/>
        <v>0</v>
      </c>
      <c r="PH68" s="1319">
        <f t="shared" ca="1" si="1146"/>
        <v>0</v>
      </c>
      <c r="PI68" s="1319">
        <f t="shared" ca="1" si="1146"/>
        <v>0</v>
      </c>
      <c r="PJ68" s="1319">
        <f t="shared" ca="1" si="1146"/>
        <v>0</v>
      </c>
      <c r="PK68" s="1319">
        <f t="shared" ca="1" si="1146"/>
        <v>0</v>
      </c>
      <c r="PW68" s="1319">
        <f t="shared" ca="1" si="1147"/>
        <v>0</v>
      </c>
      <c r="PX68" s="1319">
        <f t="shared" ca="1" si="1147"/>
        <v>0</v>
      </c>
      <c r="PY68" s="1319">
        <f t="shared" ca="1" si="1147"/>
        <v>0</v>
      </c>
      <c r="PZ68" s="1319">
        <f t="shared" ca="1" si="1147"/>
        <v>0</v>
      </c>
    </row>
    <row r="69" spans="1:442" x14ac:dyDescent="0.25">
      <c r="A69" s="189">
        <v>30</v>
      </c>
      <c r="B69" s="189" t="s">
        <v>1256</v>
      </c>
      <c r="C69" s="1317" t="s">
        <v>1298</v>
      </c>
      <c r="D69" s="1317" t="s">
        <v>206</v>
      </c>
      <c r="J69" s="1319">
        <f t="shared" ca="1" si="1093"/>
        <v>0</v>
      </c>
      <c r="K69" s="1319">
        <f t="shared" ref="K69:K75" ca="1" si="1151">VLOOKUP(K$1,INDIRECT(LU_MAT),$A69,FALSE)</f>
        <v>0</v>
      </c>
      <c r="T69" s="1319">
        <f t="shared" ca="1" si="1094"/>
        <v>0</v>
      </c>
      <c r="U69" s="1319">
        <f t="shared" ca="1" si="1123"/>
        <v>0</v>
      </c>
      <c r="V69" s="1319">
        <f t="shared" ca="1" si="1123"/>
        <v>0</v>
      </c>
      <c r="W69" s="1319">
        <f t="shared" ca="1" si="1123"/>
        <v>0</v>
      </c>
      <c r="X69" s="1319">
        <f t="shared" ca="1" si="1123"/>
        <v>0</v>
      </c>
      <c r="Y69" s="1319">
        <f t="shared" ca="1" si="1123"/>
        <v>0</v>
      </c>
      <c r="Z69" s="1319">
        <f t="shared" ca="1" si="1123"/>
        <v>0</v>
      </c>
      <c r="AA69" s="1319">
        <f t="shared" ca="1" si="1123"/>
        <v>0</v>
      </c>
      <c r="AB69" s="1319">
        <f t="shared" ca="1" si="1123"/>
        <v>0</v>
      </c>
      <c r="AC69" s="1319">
        <f t="shared" ca="1" si="1123"/>
        <v>0</v>
      </c>
      <c r="AD69" s="1319">
        <f t="shared" ca="1" si="1123"/>
        <v>0</v>
      </c>
      <c r="AM69" s="1319">
        <f t="shared" ca="1" si="1150"/>
        <v>0</v>
      </c>
      <c r="AN69" s="1319">
        <f t="shared" ca="1" si="1149"/>
        <v>0</v>
      </c>
      <c r="AO69" s="1319">
        <f t="shared" ca="1" si="1149"/>
        <v>0</v>
      </c>
      <c r="AP69" s="1319">
        <f t="shared" ca="1" si="1149"/>
        <v>0</v>
      </c>
      <c r="AQ69" s="1319">
        <f t="shared" ca="1" si="1149"/>
        <v>0</v>
      </c>
      <c r="AR69" s="1319">
        <f t="shared" ca="1" si="1149"/>
        <v>0</v>
      </c>
      <c r="AS69" s="1319">
        <f t="shared" ca="1" si="1149"/>
        <v>0</v>
      </c>
      <c r="AT69" s="1319">
        <f t="shared" ca="1" si="1149"/>
        <v>0</v>
      </c>
      <c r="AU69" s="1319">
        <f t="shared" ca="1" si="1149"/>
        <v>0</v>
      </c>
      <c r="AV69" s="1319">
        <f t="shared" ca="1" si="1149"/>
        <v>0</v>
      </c>
      <c r="AW69" s="1319">
        <f t="shared" ca="1" si="1149"/>
        <v>0</v>
      </c>
      <c r="AX69" s="1319">
        <f t="shared" ca="1" si="1149"/>
        <v>0</v>
      </c>
      <c r="AY69" s="1319">
        <f t="shared" ca="1" si="1149"/>
        <v>0</v>
      </c>
      <c r="AZ69" s="1319">
        <f t="shared" ca="1" si="1149"/>
        <v>0</v>
      </c>
      <c r="BA69" s="1319">
        <f t="shared" ca="1" si="1149"/>
        <v>0</v>
      </c>
      <c r="BB69" s="1319">
        <f t="shared" ca="1" si="1149"/>
        <v>1860.9805199999998</v>
      </c>
      <c r="BN69" s="1319">
        <f t="shared" ca="1" si="1129"/>
        <v>186.09805499999999</v>
      </c>
      <c r="BO69" s="1319">
        <f t="shared" ca="1" si="1129"/>
        <v>186.09805499999999</v>
      </c>
      <c r="BP69" s="1319">
        <f t="shared" ca="1" si="1129"/>
        <v>0</v>
      </c>
      <c r="BQ69" s="1319">
        <f t="shared" ca="1" si="1129"/>
        <v>0</v>
      </c>
      <c r="BR69" s="1319">
        <f t="shared" ca="1" si="1129"/>
        <v>0</v>
      </c>
      <c r="CD69" s="1319">
        <f t="shared" ca="1" si="1130"/>
        <v>1860.9805199999998</v>
      </c>
      <c r="CE69" s="1319">
        <f t="shared" ca="1" si="1130"/>
        <v>1860.9805199999998</v>
      </c>
      <c r="CF69" s="1319">
        <f t="shared" ca="1" si="1130"/>
        <v>186.09805499999999</v>
      </c>
      <c r="CG69" s="1319">
        <f t="shared" ca="1" si="1130"/>
        <v>186.09805499999999</v>
      </c>
      <c r="CH69" s="1319">
        <f t="shared" ca="1" si="1130"/>
        <v>1860.9805199999998</v>
      </c>
      <c r="CI69" s="1319">
        <f t="shared" ca="1" si="1130"/>
        <v>0</v>
      </c>
      <c r="CJ69" s="1319">
        <f t="shared" ca="1" si="1130"/>
        <v>0</v>
      </c>
      <c r="CK69" s="1319">
        <f t="shared" ca="1" si="1130"/>
        <v>1860.9805500000002</v>
      </c>
      <c r="CL69" s="1319">
        <f t="shared" ca="1" si="1130"/>
        <v>0</v>
      </c>
      <c r="CM69" s="1319">
        <f t="shared" ca="1" si="1130"/>
        <v>0</v>
      </c>
      <c r="CN69" s="1319">
        <f t="shared" ca="1" si="1130"/>
        <v>1860.9805500000002</v>
      </c>
      <c r="CO69" s="1319">
        <f t="shared" ca="1" si="1130"/>
        <v>0</v>
      </c>
      <c r="DA69" s="1319">
        <f t="shared" ca="1" si="1131"/>
        <v>0</v>
      </c>
      <c r="DB69" s="1319">
        <f t="shared" ca="1" si="1131"/>
        <v>0</v>
      </c>
      <c r="DC69" s="1319">
        <f t="shared" ca="1" si="1131"/>
        <v>0</v>
      </c>
      <c r="DD69" s="1319">
        <f t="shared" ca="1" si="1131"/>
        <v>0</v>
      </c>
      <c r="DE69" s="1319">
        <f t="shared" ca="1" si="1131"/>
        <v>0</v>
      </c>
      <c r="DF69" s="1319">
        <f t="shared" ca="1" si="1131"/>
        <v>0</v>
      </c>
      <c r="DG69" s="1319">
        <f t="shared" ca="1" si="1131"/>
        <v>0</v>
      </c>
      <c r="DH69" s="1319">
        <f t="shared" ca="1" si="1131"/>
        <v>0</v>
      </c>
      <c r="DI69" s="1319">
        <f t="shared" ca="1" si="1131"/>
        <v>0</v>
      </c>
      <c r="DJ69" s="1319">
        <f t="shared" ca="1" si="1131"/>
        <v>0</v>
      </c>
      <c r="DV69" s="1319">
        <f t="shared" ca="1" si="1132"/>
        <v>0</v>
      </c>
      <c r="DW69" s="1319">
        <f t="shared" ca="1" si="1132"/>
        <v>0</v>
      </c>
      <c r="DX69" s="1319">
        <f t="shared" ca="1" si="1132"/>
        <v>0</v>
      </c>
      <c r="DY69" s="1319">
        <f t="shared" ca="1" si="1132"/>
        <v>0</v>
      </c>
      <c r="DZ69" s="1319">
        <f t="shared" ca="1" si="1132"/>
        <v>0</v>
      </c>
      <c r="EA69" s="1319">
        <f t="shared" ca="1" si="1132"/>
        <v>0</v>
      </c>
      <c r="EB69" s="1319">
        <f t="shared" ca="1" si="1132"/>
        <v>0</v>
      </c>
      <c r="EC69" s="1319">
        <f t="shared" ca="1" si="1132"/>
        <v>0</v>
      </c>
      <c r="ED69" s="1319">
        <f t="shared" ca="1" si="1132"/>
        <v>0</v>
      </c>
      <c r="EE69" s="1319">
        <f t="shared" ca="1" si="1132"/>
        <v>0</v>
      </c>
      <c r="EF69" s="1319">
        <f t="shared" ca="1" si="1132"/>
        <v>0</v>
      </c>
      <c r="EG69" s="1319">
        <f t="shared" ca="1" si="1132"/>
        <v>0</v>
      </c>
      <c r="EH69" s="1319">
        <f t="shared" ca="1" si="1132"/>
        <v>0</v>
      </c>
      <c r="EI69" s="1319">
        <f t="shared" ca="1" si="1132"/>
        <v>0</v>
      </c>
      <c r="EJ69" s="1319">
        <f t="shared" ca="1" si="1101"/>
        <v>0</v>
      </c>
      <c r="EK69" s="1319">
        <f t="shared" ca="1" si="1132"/>
        <v>0</v>
      </c>
      <c r="EW69" s="1319">
        <f t="shared" ca="1" si="1133"/>
        <v>1860.9805500000002</v>
      </c>
      <c r="EX69" s="1319">
        <f t="shared" ca="1" si="1133"/>
        <v>1860.9805500000002</v>
      </c>
      <c r="EY69" s="1319">
        <f t="shared" ca="1" si="1133"/>
        <v>1860.9805500000002</v>
      </c>
      <c r="EZ69" s="1319">
        <f t="shared" ca="1" si="1133"/>
        <v>1860.9805500000002</v>
      </c>
      <c r="FA69" s="1319">
        <f t="shared" ca="1" si="1133"/>
        <v>0</v>
      </c>
      <c r="FB69" s="1319">
        <f t="shared" ca="1" si="1133"/>
        <v>0</v>
      </c>
      <c r="FN69" s="1319">
        <f t="shared" ca="1" si="1134"/>
        <v>0</v>
      </c>
      <c r="FO69" s="1319">
        <f t="shared" ca="1" si="1134"/>
        <v>0</v>
      </c>
      <c r="FP69" s="1319">
        <f t="shared" ca="1" si="1134"/>
        <v>0</v>
      </c>
      <c r="FQ69" s="1319">
        <f t="shared" ca="1" si="1134"/>
        <v>0</v>
      </c>
      <c r="FR69" s="1319">
        <f t="shared" ca="1" si="1134"/>
        <v>0</v>
      </c>
      <c r="FS69" s="1319">
        <f t="shared" ca="1" si="1134"/>
        <v>0</v>
      </c>
      <c r="FT69" s="1319">
        <f t="shared" ca="1" si="1134"/>
        <v>0</v>
      </c>
      <c r="FU69" s="1319">
        <f t="shared" ca="1" si="1134"/>
        <v>0</v>
      </c>
      <c r="FV69" s="1319">
        <f t="shared" ca="1" si="1134"/>
        <v>0</v>
      </c>
      <c r="FW69" s="1319">
        <f t="shared" ca="1" si="1134"/>
        <v>0</v>
      </c>
      <c r="FX69" s="1319">
        <f t="shared" ca="1" si="1134"/>
        <v>0</v>
      </c>
      <c r="GJ69" s="1319">
        <f t="shared" ca="1" si="1135"/>
        <v>0</v>
      </c>
      <c r="GK69" s="1319">
        <f t="shared" ca="1" si="1135"/>
        <v>0</v>
      </c>
      <c r="GL69" s="1319">
        <f t="shared" ca="1" si="1135"/>
        <v>0</v>
      </c>
      <c r="GM69" s="1319">
        <f t="shared" ca="1" si="1135"/>
        <v>0</v>
      </c>
      <c r="GN69" s="1319">
        <f t="shared" ca="1" si="1135"/>
        <v>0</v>
      </c>
      <c r="GO69" s="1319">
        <f t="shared" ca="1" si="1135"/>
        <v>0</v>
      </c>
      <c r="GP69" s="1319">
        <f t="shared" ca="1" si="1135"/>
        <v>0</v>
      </c>
      <c r="GQ69" s="1319">
        <f t="shared" ca="1" si="1135"/>
        <v>0</v>
      </c>
      <c r="HC69" s="1319">
        <f t="shared" ca="1" si="1136"/>
        <v>1860.9805500000002</v>
      </c>
      <c r="HD69" s="1319">
        <f t="shared" ca="1" si="1136"/>
        <v>1791.6933100000001</v>
      </c>
      <c r="HE69" s="1319">
        <f t="shared" ca="1" si="1136"/>
        <v>0</v>
      </c>
      <c r="HF69" s="1319">
        <f t="shared" ca="1" si="1136"/>
        <v>0</v>
      </c>
      <c r="HG69" s="1319">
        <f t="shared" ca="1" si="1136"/>
        <v>69.287240199999999</v>
      </c>
      <c r="HH69" s="1319">
        <f t="shared" ca="1" si="1136"/>
        <v>1791.6933100000001</v>
      </c>
      <c r="HT69" s="1319">
        <f t="shared" ca="1" si="1137"/>
        <v>0</v>
      </c>
      <c r="HU69" s="1319">
        <f t="shared" ca="1" si="1137"/>
        <v>1791.6933100000001</v>
      </c>
      <c r="HV69" s="1319">
        <f t="shared" ca="1" si="1137"/>
        <v>1791.6933100000001</v>
      </c>
      <c r="HW69" s="1319">
        <f t="shared" ca="1" si="1137"/>
        <v>1791.6933100000001</v>
      </c>
      <c r="HX69" s="1319">
        <f t="shared" ca="1" si="1137"/>
        <v>1215.50405</v>
      </c>
      <c r="HY69" s="1319">
        <f t="shared" ca="1" si="1137"/>
        <v>92.432067399999994</v>
      </c>
      <c r="HZ69" s="1319">
        <f t="shared" ca="1" si="1137"/>
        <v>0</v>
      </c>
      <c r="IA69" s="1319">
        <f t="shared" ca="1" si="1137"/>
        <v>0</v>
      </c>
      <c r="IB69" s="1319">
        <f t="shared" ca="1" si="1137"/>
        <v>0</v>
      </c>
      <c r="IC69" s="1319">
        <f t="shared" ca="1" si="1137"/>
        <v>0</v>
      </c>
      <c r="ID69" s="1319">
        <f t="shared" ca="1" si="1137"/>
        <v>0</v>
      </c>
      <c r="IE69" s="1319">
        <f t="shared" ca="1" si="1137"/>
        <v>0</v>
      </c>
      <c r="IQ69" s="1319">
        <f t="shared" ca="1" si="1138"/>
        <v>1215.50405</v>
      </c>
      <c r="IR69" s="1319">
        <f t="shared" ca="1" si="1138"/>
        <v>92.432067399999994</v>
      </c>
      <c r="IS69" s="1319">
        <f t="shared" ca="1" si="1138"/>
        <v>3.8121021800000001</v>
      </c>
      <c r="IT69" s="1319">
        <f t="shared" ca="1" si="1138"/>
        <v>96.244169600000006</v>
      </c>
      <c r="IU69" s="1319">
        <f t="shared" ca="1" si="1108"/>
        <v>89.824349100000006</v>
      </c>
      <c r="IV69" s="1319">
        <f t="shared" ca="1" si="1138"/>
        <v>111.745508</v>
      </c>
      <c r="IW69" s="1319">
        <f t="shared" ca="1" si="1138"/>
        <v>91.490452399999995</v>
      </c>
      <c r="IX69" s="1319">
        <f t="shared" ca="1" si="1109"/>
        <v>0</v>
      </c>
      <c r="IY69" s="1319">
        <f t="shared" ca="1" si="1138"/>
        <v>6.4198205100000001</v>
      </c>
      <c r="IZ69" s="1319">
        <f t="shared" ca="1" si="1138"/>
        <v>16.442953299999999</v>
      </c>
      <c r="JA69" s="1319">
        <f t="shared" ca="1" si="1138"/>
        <v>95.302554599999993</v>
      </c>
      <c r="JB69" s="1319">
        <f t="shared" ca="1" si="1138"/>
        <v>0</v>
      </c>
      <c r="JC69" s="1319">
        <f t="shared" ca="1" si="1138"/>
        <v>16.442953299999999</v>
      </c>
      <c r="JD69" s="1319">
        <f t="shared" ca="1" si="1138"/>
        <v>0</v>
      </c>
      <c r="JE69" s="1319">
        <f t="shared" ca="1" si="1138"/>
        <v>16.442953299999999</v>
      </c>
      <c r="JF69" s="1319">
        <f t="shared" ca="1" si="1138"/>
        <v>0</v>
      </c>
      <c r="JG69" s="1319">
        <f t="shared" ca="1" si="1138"/>
        <v>0</v>
      </c>
      <c r="JH69" s="1319">
        <f t="shared" ca="1" si="1138"/>
        <v>0</v>
      </c>
      <c r="JT69" s="1319">
        <f t="shared" ca="1" si="1139"/>
        <v>0</v>
      </c>
      <c r="JU69" s="1319">
        <f t="shared" ca="1" si="1139"/>
        <v>0</v>
      </c>
      <c r="JV69" s="1319">
        <f t="shared" ca="1" si="1139"/>
        <v>0</v>
      </c>
      <c r="JW69" s="1319">
        <f t="shared" ca="1" si="1139"/>
        <v>0</v>
      </c>
      <c r="JX69" s="1319">
        <f t="shared" ca="1" si="1139"/>
        <v>0</v>
      </c>
      <c r="JY69" s="1319">
        <f t="shared" ca="1" si="1139"/>
        <v>0</v>
      </c>
      <c r="JZ69" s="1319">
        <f t="shared" ca="1" si="1139"/>
        <v>0</v>
      </c>
      <c r="KA69" s="1319">
        <f t="shared" ca="1" si="1139"/>
        <v>0</v>
      </c>
      <c r="KB69" s="1319">
        <f t="shared" ca="1" si="1139"/>
        <v>0</v>
      </c>
      <c r="KC69" s="1319">
        <f t="shared" ca="1" si="1139"/>
        <v>0</v>
      </c>
      <c r="KL69" s="1319">
        <f t="shared" ca="1" si="1140"/>
        <v>0</v>
      </c>
      <c r="KM69" s="1319">
        <f t="shared" ca="1" si="1140"/>
        <v>0</v>
      </c>
      <c r="KN69" s="1319">
        <f t="shared" ca="1" si="1140"/>
        <v>0</v>
      </c>
      <c r="KO69" s="1319">
        <f t="shared" ca="1" si="1140"/>
        <v>0</v>
      </c>
      <c r="KP69" s="1319">
        <f t="shared" ca="1" si="1140"/>
        <v>0</v>
      </c>
      <c r="KQ69" s="1319">
        <f t="shared" ca="1" si="1140"/>
        <v>0</v>
      </c>
      <c r="KR69" s="1319">
        <f t="shared" ca="1" si="1140"/>
        <v>0</v>
      </c>
      <c r="LA69" s="1319">
        <f t="shared" ca="1" si="1141"/>
        <v>0</v>
      </c>
      <c r="LB69" s="1319">
        <f t="shared" ca="1" si="1141"/>
        <v>0</v>
      </c>
      <c r="LC69" s="1319">
        <f t="shared" ca="1" si="1141"/>
        <v>0</v>
      </c>
      <c r="LD69" s="1319">
        <f t="shared" ca="1" si="1141"/>
        <v>0</v>
      </c>
      <c r="LE69" s="1319">
        <f t="shared" ca="1" si="1141"/>
        <v>0</v>
      </c>
      <c r="LF69" s="1319">
        <f t="shared" ca="1" si="1141"/>
        <v>0</v>
      </c>
      <c r="LG69" s="1319">
        <f t="shared" ca="1" si="1141"/>
        <v>0</v>
      </c>
      <c r="LH69" s="1319">
        <f t="shared" ca="1" si="1141"/>
        <v>0</v>
      </c>
      <c r="LI69" s="1319">
        <f t="shared" ca="1" si="1141"/>
        <v>0</v>
      </c>
      <c r="LJ69" s="1319">
        <f t="shared" ca="1" si="1141"/>
        <v>0</v>
      </c>
      <c r="LK69" s="1319">
        <f t="shared" ca="1" si="1141"/>
        <v>0</v>
      </c>
      <c r="LW69" s="1319">
        <f t="shared" ca="1" si="1113"/>
        <v>0</v>
      </c>
      <c r="LX69" s="1319">
        <f t="shared" ca="1" si="1142"/>
        <v>0</v>
      </c>
      <c r="LY69" s="1319">
        <f t="shared" ca="1" si="1142"/>
        <v>69.287240199999999</v>
      </c>
      <c r="LZ69" s="1319">
        <f t="shared" ca="1" si="1142"/>
        <v>6.4198205100000001</v>
      </c>
      <c r="MA69" s="1319">
        <f t="shared" ca="1" si="1142"/>
        <v>75.7070607</v>
      </c>
      <c r="MB69" s="1319">
        <f t="shared" ca="1" si="1142"/>
        <v>0</v>
      </c>
      <c r="MC69" s="1319">
        <f t="shared" ca="1" si="1142"/>
        <v>0</v>
      </c>
      <c r="MD69" s="1319">
        <f t="shared" ca="1" si="1142"/>
        <v>0</v>
      </c>
      <c r="ME69" s="1319">
        <f t="shared" ca="1" si="1142"/>
        <v>0</v>
      </c>
      <c r="MF69" s="1319">
        <f t="shared" ca="1" si="1142"/>
        <v>0</v>
      </c>
      <c r="MG69" s="1319">
        <f t="shared" ca="1" si="1142"/>
        <v>0</v>
      </c>
      <c r="MH69" s="1319">
        <f t="shared" ca="1" si="1143"/>
        <v>0</v>
      </c>
      <c r="MI69" s="1319">
        <f t="shared" ca="1" si="1143"/>
        <v>0</v>
      </c>
      <c r="MJ69" s="1319">
        <f t="shared" ca="1" si="1142"/>
        <v>0</v>
      </c>
      <c r="MK69" s="1319">
        <f t="shared" ca="1" si="1142"/>
        <v>0</v>
      </c>
      <c r="ML69" s="1319">
        <f t="shared" ca="1" si="1142"/>
        <v>0</v>
      </c>
      <c r="MM69" s="1319">
        <f t="shared" ca="1" si="1142"/>
        <v>0</v>
      </c>
      <c r="MN69" s="1319">
        <f t="shared" ca="1" si="1142"/>
        <v>0</v>
      </c>
      <c r="MO69" s="1319">
        <f t="shared" ca="1" si="1142"/>
        <v>0</v>
      </c>
      <c r="NA69" s="1319">
        <f t="shared" ca="1" si="1144"/>
        <v>0</v>
      </c>
      <c r="NB69" s="1319">
        <f t="shared" ca="1" si="1144"/>
        <v>0</v>
      </c>
      <c r="NC69" s="1319">
        <f t="shared" ca="1" si="1144"/>
        <v>0</v>
      </c>
      <c r="ND69" s="1319">
        <f t="shared" ca="1" si="1144"/>
        <v>0</v>
      </c>
      <c r="NE69" s="1319">
        <f t="shared" ca="1" si="1144"/>
        <v>0</v>
      </c>
      <c r="NF69" s="1319">
        <f t="shared" ca="1" si="1144"/>
        <v>0</v>
      </c>
      <c r="NG69" s="1319">
        <f t="shared" ca="1" si="1144"/>
        <v>0</v>
      </c>
      <c r="NH69" s="1319">
        <f t="shared" ca="1" si="1144"/>
        <v>0</v>
      </c>
      <c r="NI69" s="1319">
        <f t="shared" ca="1" si="1144"/>
        <v>0</v>
      </c>
      <c r="NJ69" s="1319">
        <f t="shared" ca="1" si="1144"/>
        <v>0</v>
      </c>
      <c r="NK69" s="1319">
        <f t="shared" ca="1" si="1144"/>
        <v>0</v>
      </c>
      <c r="NL69" s="1319">
        <f t="shared" ca="1" si="1144"/>
        <v>0</v>
      </c>
      <c r="NM69" s="1319">
        <f t="shared" ca="1" si="1144"/>
        <v>0</v>
      </c>
      <c r="NN69" s="1319">
        <f t="shared" ca="1" si="1144"/>
        <v>0</v>
      </c>
      <c r="NO69" s="1319">
        <f t="shared" ca="1" si="1144"/>
        <v>0</v>
      </c>
      <c r="NP69" s="1319">
        <f t="shared" ca="1" si="1144"/>
        <v>0</v>
      </c>
      <c r="OH69" s="1319">
        <f t="shared" ca="1" si="1145"/>
        <v>0</v>
      </c>
      <c r="OI69" s="1319">
        <f t="shared" ca="1" si="1145"/>
        <v>0</v>
      </c>
      <c r="OJ69" s="1319">
        <f t="shared" ca="1" si="1145"/>
        <v>0</v>
      </c>
      <c r="OK69" s="1319">
        <f t="shared" ca="1" si="1145"/>
        <v>0</v>
      </c>
      <c r="OL69" s="1319">
        <f t="shared" ca="1" si="1145"/>
        <v>0</v>
      </c>
      <c r="OM69" s="1319">
        <f t="shared" ca="1" si="1145"/>
        <v>0</v>
      </c>
      <c r="ON69" s="1319">
        <f t="shared" ca="1" si="1145"/>
        <v>0</v>
      </c>
      <c r="OO69" s="1319">
        <f t="shared" ca="1" si="1145"/>
        <v>0</v>
      </c>
      <c r="PA69" s="1319">
        <f t="shared" ca="1" si="1146"/>
        <v>0</v>
      </c>
      <c r="PB69" s="1319">
        <f t="shared" ca="1" si="1146"/>
        <v>0</v>
      </c>
      <c r="PC69" s="1319">
        <f t="shared" ca="1" si="1146"/>
        <v>0</v>
      </c>
      <c r="PD69" s="1319">
        <f t="shared" ca="1" si="1146"/>
        <v>0</v>
      </c>
      <c r="PE69" s="1319">
        <f t="shared" ca="1" si="1146"/>
        <v>0</v>
      </c>
      <c r="PF69" s="1319">
        <f t="shared" ca="1" si="1146"/>
        <v>0</v>
      </c>
      <c r="PG69" s="1319">
        <f t="shared" ca="1" si="1146"/>
        <v>0</v>
      </c>
      <c r="PH69" s="1319">
        <f t="shared" ca="1" si="1146"/>
        <v>0</v>
      </c>
      <c r="PI69" s="1319">
        <f t="shared" ca="1" si="1146"/>
        <v>0</v>
      </c>
      <c r="PJ69" s="1319">
        <f t="shared" ca="1" si="1146"/>
        <v>0</v>
      </c>
      <c r="PK69" s="1319">
        <f t="shared" ca="1" si="1146"/>
        <v>0</v>
      </c>
      <c r="PW69" s="1319">
        <f t="shared" ca="1" si="1147"/>
        <v>0</v>
      </c>
      <c r="PX69" s="1319">
        <f t="shared" ca="1" si="1147"/>
        <v>0</v>
      </c>
      <c r="PY69" s="1319">
        <f t="shared" ca="1" si="1147"/>
        <v>0</v>
      </c>
      <c r="PZ69" s="1319">
        <f t="shared" ca="1" si="1147"/>
        <v>0</v>
      </c>
    </row>
    <row r="70" spans="1:442" x14ac:dyDescent="0.25">
      <c r="A70" s="189">
        <v>31</v>
      </c>
      <c r="B70" s="189" t="s">
        <v>1256</v>
      </c>
      <c r="C70" s="1317" t="s">
        <v>67</v>
      </c>
      <c r="D70" s="1317" t="s">
        <v>206</v>
      </c>
      <c r="J70" s="1319">
        <f t="shared" ca="1" si="1093"/>
        <v>0</v>
      </c>
      <c r="K70" s="1319">
        <f t="shared" ca="1" si="1151"/>
        <v>0</v>
      </c>
      <c r="T70" s="1319">
        <f t="shared" ca="1" si="1094"/>
        <v>0</v>
      </c>
      <c r="U70" s="1319">
        <f t="shared" ca="1" si="1123"/>
        <v>0</v>
      </c>
      <c r="V70" s="1319">
        <f t="shared" ca="1" si="1123"/>
        <v>0</v>
      </c>
      <c r="W70" s="1319">
        <f t="shared" ca="1" si="1123"/>
        <v>0</v>
      </c>
      <c r="X70" s="1319">
        <f t="shared" ca="1" si="1123"/>
        <v>0</v>
      </c>
      <c r="Y70" s="1319">
        <f t="shared" ca="1" si="1123"/>
        <v>0</v>
      </c>
      <c r="Z70" s="1319">
        <f t="shared" ca="1" si="1123"/>
        <v>0</v>
      </c>
      <c r="AA70" s="1319">
        <f t="shared" ca="1" si="1123"/>
        <v>0</v>
      </c>
      <c r="AB70" s="1319">
        <f t="shared" ca="1" si="1123"/>
        <v>0</v>
      </c>
      <c r="AC70" s="1319">
        <f t="shared" ca="1" si="1123"/>
        <v>0</v>
      </c>
      <c r="AD70" s="1319">
        <f t="shared" ca="1" si="1123"/>
        <v>0</v>
      </c>
      <c r="AM70" s="1319">
        <f t="shared" ca="1" si="1150"/>
        <v>0</v>
      </c>
      <c r="AN70" s="1319">
        <f t="shared" ca="1" si="1149"/>
        <v>0</v>
      </c>
      <c r="AO70" s="1319">
        <f t="shared" ca="1" si="1149"/>
        <v>0</v>
      </c>
      <c r="AP70" s="1319">
        <f t="shared" ca="1" si="1149"/>
        <v>0</v>
      </c>
      <c r="AQ70" s="1319">
        <f t="shared" ca="1" si="1149"/>
        <v>0</v>
      </c>
      <c r="AR70" s="1319">
        <f t="shared" ca="1" si="1149"/>
        <v>0</v>
      </c>
      <c r="AS70" s="1319">
        <f t="shared" ca="1" si="1149"/>
        <v>0</v>
      </c>
      <c r="AT70" s="1319">
        <f t="shared" ca="1" si="1149"/>
        <v>0</v>
      </c>
      <c r="AU70" s="1319">
        <f t="shared" ca="1" si="1149"/>
        <v>0</v>
      </c>
      <c r="AV70" s="1319">
        <f t="shared" ca="1" si="1149"/>
        <v>0</v>
      </c>
      <c r="AW70" s="1319">
        <f t="shared" ca="1" si="1149"/>
        <v>0</v>
      </c>
      <c r="AX70" s="1319">
        <f t="shared" ca="1" si="1149"/>
        <v>0</v>
      </c>
      <c r="AY70" s="1319">
        <f t="shared" ca="1" si="1149"/>
        <v>0</v>
      </c>
      <c r="AZ70" s="1319">
        <f t="shared" ca="1" si="1149"/>
        <v>0</v>
      </c>
      <c r="BA70" s="1319">
        <f t="shared" ca="1" si="1149"/>
        <v>0</v>
      </c>
      <c r="BB70" s="1319">
        <f t="shared" ca="1" si="1149"/>
        <v>0</v>
      </c>
      <c r="BN70" s="1319">
        <f t="shared" ca="1" si="1129"/>
        <v>0</v>
      </c>
      <c r="BO70" s="1319">
        <f t="shared" ca="1" si="1129"/>
        <v>23.7526841</v>
      </c>
      <c r="BP70" s="1319">
        <f t="shared" ca="1" si="1129"/>
        <v>0</v>
      </c>
      <c r="BQ70" s="1319">
        <f t="shared" ca="1" si="1129"/>
        <v>0</v>
      </c>
      <c r="BR70" s="1319">
        <f t="shared" ca="1" si="1129"/>
        <v>26.1890933</v>
      </c>
      <c r="CD70" s="1319">
        <f t="shared" ca="1" si="1130"/>
        <v>0</v>
      </c>
      <c r="CE70" s="1319">
        <f t="shared" ca="1" si="1130"/>
        <v>0</v>
      </c>
      <c r="CF70" s="1319">
        <f t="shared" ca="1" si="1130"/>
        <v>0</v>
      </c>
      <c r="CG70" s="1319">
        <f t="shared" ca="1" si="1130"/>
        <v>23.7526841</v>
      </c>
      <c r="CH70" s="1319">
        <f t="shared" ca="1" si="1130"/>
        <v>0</v>
      </c>
      <c r="CI70" s="1319">
        <f t="shared" ca="1" si="1130"/>
        <v>0</v>
      </c>
      <c r="CJ70" s="1319">
        <f t="shared" ca="1" si="1130"/>
        <v>116.09195099999999</v>
      </c>
      <c r="CK70" s="1319">
        <f t="shared" ca="1" si="1130"/>
        <v>128.83242999999999</v>
      </c>
      <c r="CL70" s="1319">
        <f t="shared" ca="1" si="1130"/>
        <v>0</v>
      </c>
      <c r="CM70" s="1319">
        <f t="shared" ca="1" si="1130"/>
        <v>0</v>
      </c>
      <c r="CN70" s="1319">
        <f t="shared" ca="1" si="1130"/>
        <v>128.83242999999999</v>
      </c>
      <c r="CO70" s="1319">
        <f t="shared" ca="1" si="1130"/>
        <v>0</v>
      </c>
      <c r="DA70" s="1319">
        <f t="shared" ca="1" si="1131"/>
        <v>0</v>
      </c>
      <c r="DB70" s="1319">
        <f t="shared" ca="1" si="1131"/>
        <v>0</v>
      </c>
      <c r="DC70" s="1319">
        <f t="shared" ca="1" si="1131"/>
        <v>0</v>
      </c>
      <c r="DD70" s="1319">
        <f t="shared" ca="1" si="1131"/>
        <v>0</v>
      </c>
      <c r="DE70" s="1319">
        <f t="shared" ca="1" si="1131"/>
        <v>0</v>
      </c>
      <c r="DF70" s="1319">
        <f t="shared" ca="1" si="1131"/>
        <v>0</v>
      </c>
      <c r="DG70" s="1319">
        <f t="shared" ca="1" si="1131"/>
        <v>0</v>
      </c>
      <c r="DH70" s="1319">
        <f t="shared" ca="1" si="1131"/>
        <v>0</v>
      </c>
      <c r="DI70" s="1319">
        <f t="shared" ca="1" si="1131"/>
        <v>0</v>
      </c>
      <c r="DJ70" s="1319">
        <f t="shared" ca="1" si="1131"/>
        <v>0</v>
      </c>
      <c r="DV70" s="1319">
        <f t="shared" ca="1" si="1132"/>
        <v>0</v>
      </c>
      <c r="DW70" s="1319">
        <f t="shared" ca="1" si="1132"/>
        <v>0</v>
      </c>
      <c r="DX70" s="1319">
        <f t="shared" ca="1" si="1132"/>
        <v>0</v>
      </c>
      <c r="DY70" s="1319">
        <f t="shared" ca="1" si="1132"/>
        <v>0</v>
      </c>
      <c r="DZ70" s="1319">
        <f t="shared" ca="1" si="1132"/>
        <v>0</v>
      </c>
      <c r="EA70" s="1319">
        <f t="shared" ca="1" si="1132"/>
        <v>0</v>
      </c>
      <c r="EB70" s="1319">
        <f t="shared" ca="1" si="1132"/>
        <v>0</v>
      </c>
      <c r="EC70" s="1319">
        <f t="shared" ca="1" si="1132"/>
        <v>0</v>
      </c>
      <c r="ED70" s="1319">
        <f t="shared" ca="1" si="1132"/>
        <v>0</v>
      </c>
      <c r="EE70" s="1319">
        <f t="shared" ca="1" si="1132"/>
        <v>0</v>
      </c>
      <c r="EF70" s="1319">
        <f t="shared" ca="1" si="1132"/>
        <v>0</v>
      </c>
      <c r="EG70" s="1319">
        <f t="shared" ca="1" si="1132"/>
        <v>0</v>
      </c>
      <c r="EH70" s="1319">
        <f t="shared" ca="1" si="1132"/>
        <v>0</v>
      </c>
      <c r="EI70" s="1319">
        <f t="shared" ca="1" si="1132"/>
        <v>0</v>
      </c>
      <c r="EJ70" s="1319">
        <f t="shared" ca="1" si="1101"/>
        <v>0</v>
      </c>
      <c r="EK70" s="1319">
        <f t="shared" ca="1" si="1132"/>
        <v>0</v>
      </c>
      <c r="EW70" s="1319">
        <f t="shared" ca="1" si="1133"/>
        <v>128.83242999999999</v>
      </c>
      <c r="EX70" s="1319">
        <f t="shared" ca="1" si="1133"/>
        <v>128.83242999999999</v>
      </c>
      <c r="EY70" s="1319">
        <f t="shared" ca="1" si="1133"/>
        <v>128.83242999999999</v>
      </c>
      <c r="EZ70" s="1319">
        <f t="shared" ca="1" si="1133"/>
        <v>128.83242999999999</v>
      </c>
      <c r="FA70" s="1319">
        <f t="shared" ca="1" si="1133"/>
        <v>0</v>
      </c>
      <c r="FB70" s="1319">
        <f t="shared" ca="1" si="1133"/>
        <v>0</v>
      </c>
      <c r="FN70" s="1319">
        <f t="shared" ca="1" si="1134"/>
        <v>0</v>
      </c>
      <c r="FO70" s="1319">
        <f t="shared" ca="1" si="1134"/>
        <v>0</v>
      </c>
      <c r="FP70" s="1319">
        <f t="shared" ca="1" si="1134"/>
        <v>0</v>
      </c>
      <c r="FQ70" s="1319">
        <f t="shared" ca="1" si="1134"/>
        <v>0</v>
      </c>
      <c r="FR70" s="1319">
        <f t="shared" ca="1" si="1134"/>
        <v>0</v>
      </c>
      <c r="FS70" s="1319">
        <f t="shared" ca="1" si="1134"/>
        <v>0</v>
      </c>
      <c r="FT70" s="1319">
        <f t="shared" ca="1" si="1134"/>
        <v>0</v>
      </c>
      <c r="FU70" s="1319">
        <f t="shared" ca="1" si="1134"/>
        <v>0</v>
      </c>
      <c r="FV70" s="1319">
        <f t="shared" ca="1" si="1134"/>
        <v>0</v>
      </c>
      <c r="FW70" s="1319">
        <f t="shared" ca="1" si="1134"/>
        <v>0</v>
      </c>
      <c r="FX70" s="1319">
        <f t="shared" ca="1" si="1134"/>
        <v>0</v>
      </c>
      <c r="GJ70" s="1319">
        <f t="shared" ca="1" si="1135"/>
        <v>0</v>
      </c>
      <c r="GK70" s="1319">
        <f t="shared" ca="1" si="1135"/>
        <v>0</v>
      </c>
      <c r="GL70" s="1319">
        <f t="shared" ca="1" si="1135"/>
        <v>0</v>
      </c>
      <c r="GM70" s="1319">
        <f t="shared" ca="1" si="1135"/>
        <v>0</v>
      </c>
      <c r="GN70" s="1319">
        <f t="shared" ca="1" si="1135"/>
        <v>0</v>
      </c>
      <c r="GO70" s="1319">
        <f t="shared" ca="1" si="1135"/>
        <v>0</v>
      </c>
      <c r="GP70" s="1319">
        <f t="shared" ca="1" si="1135"/>
        <v>0</v>
      </c>
      <c r="GQ70" s="1319">
        <f t="shared" ca="1" si="1135"/>
        <v>0</v>
      </c>
      <c r="HC70" s="1319">
        <f t="shared" ca="1" si="1136"/>
        <v>128.83242999999999</v>
      </c>
      <c r="HD70" s="1319">
        <f t="shared" ca="1" si="1136"/>
        <v>124.03579599999999</v>
      </c>
      <c r="HE70" s="1319">
        <f t="shared" ca="1" si="1136"/>
        <v>0</v>
      </c>
      <c r="HF70" s="1319">
        <f t="shared" ca="1" si="1136"/>
        <v>0</v>
      </c>
      <c r="HG70" s="1319">
        <f t="shared" ca="1" si="1136"/>
        <v>4.7966345199999996</v>
      </c>
      <c r="HH70" s="1319">
        <f t="shared" ca="1" si="1136"/>
        <v>124.03579599999999</v>
      </c>
      <c r="HT70" s="1319">
        <f t="shared" ca="1" si="1137"/>
        <v>0</v>
      </c>
      <c r="HU70" s="1319">
        <f t="shared" ca="1" si="1137"/>
        <v>124.03579599999999</v>
      </c>
      <c r="HV70" s="1319">
        <f t="shared" ca="1" si="1137"/>
        <v>124.03579599999999</v>
      </c>
      <c r="HW70" s="1319">
        <f t="shared" ca="1" si="1137"/>
        <v>124.03579599999999</v>
      </c>
      <c r="HX70" s="1319">
        <f t="shared" ca="1" si="1137"/>
        <v>109.889008</v>
      </c>
      <c r="HY70" s="1319">
        <f t="shared" ca="1" si="1137"/>
        <v>8.35642481</v>
      </c>
      <c r="HZ70" s="1319">
        <f t="shared" ca="1" si="1137"/>
        <v>0</v>
      </c>
      <c r="IA70" s="1319">
        <f t="shared" ca="1" si="1137"/>
        <v>0</v>
      </c>
      <c r="IB70" s="1319">
        <f t="shared" ca="1" si="1137"/>
        <v>0</v>
      </c>
      <c r="IC70" s="1319">
        <f t="shared" ca="1" si="1137"/>
        <v>0</v>
      </c>
      <c r="ID70" s="1319">
        <f t="shared" ca="1" si="1137"/>
        <v>0</v>
      </c>
      <c r="IE70" s="1319">
        <f t="shared" ca="1" si="1137"/>
        <v>0</v>
      </c>
      <c r="IQ70" s="1319">
        <f t="shared" ca="1" si="1138"/>
        <v>109.889008</v>
      </c>
      <c r="IR70" s="1319">
        <f t="shared" ca="1" si="1138"/>
        <v>8.35642481</v>
      </c>
      <c r="IS70" s="1319">
        <f t="shared" ca="1" si="1138"/>
        <v>26.8690493</v>
      </c>
      <c r="IT70" s="1319">
        <f t="shared" ca="1" si="1138"/>
        <v>35.2254741</v>
      </c>
      <c r="IU70" s="1319">
        <f t="shared" ca="1" si="1108"/>
        <v>32.875812600000003</v>
      </c>
      <c r="IV70" s="1319">
        <f t="shared" ca="1" si="1138"/>
        <v>787.62200399999995</v>
      </c>
      <c r="IW70" s="1319">
        <f t="shared" ca="1" si="1138"/>
        <v>644.85718299999996</v>
      </c>
      <c r="IX70" s="1319">
        <f t="shared" ca="1" si="1109"/>
        <v>0</v>
      </c>
      <c r="IY70" s="1319">
        <f t="shared" ca="1" si="1138"/>
        <v>2.3496615099999998</v>
      </c>
      <c r="IZ70" s="1319">
        <f t="shared" ca="1" si="1138"/>
        <v>115.895771</v>
      </c>
      <c r="JA70" s="1319">
        <f t="shared" ca="1" si="1138"/>
        <v>671.72623199999998</v>
      </c>
      <c r="JB70" s="1319">
        <f t="shared" ca="1" si="1138"/>
        <v>0</v>
      </c>
      <c r="JC70" s="1319">
        <f t="shared" ca="1" si="1138"/>
        <v>115.895771</v>
      </c>
      <c r="JD70" s="1319">
        <f t="shared" ca="1" si="1138"/>
        <v>0</v>
      </c>
      <c r="JE70" s="1319">
        <f t="shared" ca="1" si="1138"/>
        <v>115.895771</v>
      </c>
      <c r="JF70" s="1319">
        <f t="shared" ca="1" si="1138"/>
        <v>0</v>
      </c>
      <c r="JG70" s="1319">
        <f t="shared" ca="1" si="1138"/>
        <v>0</v>
      </c>
      <c r="JH70" s="1319">
        <f t="shared" ca="1" si="1138"/>
        <v>0</v>
      </c>
      <c r="JT70" s="1319">
        <f t="shared" ca="1" si="1139"/>
        <v>0</v>
      </c>
      <c r="JU70" s="1319">
        <f t="shared" ca="1" si="1139"/>
        <v>0</v>
      </c>
      <c r="JV70" s="1319">
        <f t="shared" ca="1" si="1139"/>
        <v>0</v>
      </c>
      <c r="JW70" s="1319">
        <f t="shared" ca="1" si="1139"/>
        <v>0</v>
      </c>
      <c r="JX70" s="1319">
        <f t="shared" ca="1" si="1139"/>
        <v>0</v>
      </c>
      <c r="JY70" s="1319">
        <f t="shared" ca="1" si="1139"/>
        <v>0</v>
      </c>
      <c r="JZ70" s="1319">
        <f t="shared" ca="1" si="1139"/>
        <v>0</v>
      </c>
      <c r="KA70" s="1319">
        <f t="shared" ca="1" si="1139"/>
        <v>0</v>
      </c>
      <c r="KB70" s="1319">
        <f t="shared" ca="1" si="1139"/>
        <v>0</v>
      </c>
      <c r="KC70" s="1319">
        <f t="shared" ca="1" si="1139"/>
        <v>0</v>
      </c>
      <c r="KL70" s="1319">
        <f t="shared" ca="1" si="1140"/>
        <v>0</v>
      </c>
      <c r="KM70" s="1319">
        <f t="shared" ca="1" si="1140"/>
        <v>26.1890933</v>
      </c>
      <c r="KN70" s="1319">
        <f t="shared" ca="1" si="1140"/>
        <v>116.09195099999999</v>
      </c>
      <c r="KO70" s="1319">
        <f t="shared" ca="1" si="1140"/>
        <v>0</v>
      </c>
      <c r="KP70" s="1319">
        <f t="shared" ca="1" si="1140"/>
        <v>0</v>
      </c>
      <c r="KQ70" s="1319">
        <f t="shared" ca="1" si="1140"/>
        <v>0</v>
      </c>
      <c r="KR70" s="1319">
        <f t="shared" ca="1" si="1140"/>
        <v>142.28104400000001</v>
      </c>
      <c r="LA70" s="1319">
        <f t="shared" ca="1" si="1141"/>
        <v>0</v>
      </c>
      <c r="LB70" s="1319">
        <f t="shared" ca="1" si="1141"/>
        <v>0</v>
      </c>
      <c r="LC70" s="1319">
        <f t="shared" ca="1" si="1141"/>
        <v>0</v>
      </c>
      <c r="LD70" s="1319">
        <f t="shared" ca="1" si="1141"/>
        <v>0</v>
      </c>
      <c r="LE70" s="1319">
        <f t="shared" ca="1" si="1141"/>
        <v>0</v>
      </c>
      <c r="LF70" s="1319">
        <f t="shared" ca="1" si="1141"/>
        <v>7.1462960299999994</v>
      </c>
      <c r="LG70" s="1319">
        <f t="shared" ca="1" si="1141"/>
        <v>7.1462960299999994</v>
      </c>
      <c r="LH70" s="1319">
        <f t="shared" ca="1" si="1141"/>
        <v>0</v>
      </c>
      <c r="LI70" s="1319">
        <f t="shared" ca="1" si="1141"/>
        <v>7.1462960299999994</v>
      </c>
      <c r="LJ70" s="1319">
        <f t="shared" ca="1" si="1141"/>
        <v>0</v>
      </c>
      <c r="LK70" s="1319">
        <f t="shared" ca="1" si="1141"/>
        <v>0</v>
      </c>
      <c r="LW70" s="1319">
        <f t="shared" ca="1" si="1113"/>
        <v>0</v>
      </c>
      <c r="LX70" s="1319">
        <f t="shared" ca="1" si="1142"/>
        <v>0</v>
      </c>
      <c r="LY70" s="1319">
        <f t="shared" ca="1" si="1142"/>
        <v>4.7966345199999996</v>
      </c>
      <c r="LZ70" s="1319">
        <f t="shared" ca="1" si="1142"/>
        <v>2.3496615099999998</v>
      </c>
      <c r="MA70" s="1319">
        <f t="shared" ca="1" si="1142"/>
        <v>7.1462960299999994</v>
      </c>
      <c r="MB70" s="1319">
        <f t="shared" ca="1" si="1142"/>
        <v>0</v>
      </c>
      <c r="MC70" s="1319">
        <f t="shared" ca="1" si="1142"/>
        <v>7.1462960299999994</v>
      </c>
      <c r="MD70" s="1319">
        <f t="shared" ca="1" si="1142"/>
        <v>0</v>
      </c>
      <c r="ME70" s="1319">
        <f t="shared" ca="1" si="1142"/>
        <v>0</v>
      </c>
      <c r="MF70" s="1319">
        <f t="shared" ca="1" si="1142"/>
        <v>0</v>
      </c>
      <c r="MG70" s="1319">
        <f t="shared" ca="1" si="1142"/>
        <v>0</v>
      </c>
      <c r="MH70" s="1319">
        <f t="shared" ca="1" si="1143"/>
        <v>0</v>
      </c>
      <c r="MI70" s="1319">
        <f t="shared" ca="1" si="1143"/>
        <v>0</v>
      </c>
      <c r="MJ70" s="1319">
        <f t="shared" ca="1" si="1142"/>
        <v>0</v>
      </c>
      <c r="MK70" s="1319">
        <f t="shared" ca="1" si="1142"/>
        <v>0</v>
      </c>
      <c r="ML70" s="1319">
        <f t="shared" ca="1" si="1142"/>
        <v>0</v>
      </c>
      <c r="MM70" s="1319">
        <f t="shared" ca="1" si="1142"/>
        <v>0</v>
      </c>
      <c r="MN70" s="1319">
        <f t="shared" ca="1" si="1142"/>
        <v>0</v>
      </c>
      <c r="MO70" s="1319">
        <f t="shared" ca="1" si="1142"/>
        <v>0</v>
      </c>
      <c r="NA70" s="1319">
        <f t="shared" ca="1" si="1144"/>
        <v>0</v>
      </c>
      <c r="NB70" s="1319">
        <f t="shared" ca="1" si="1144"/>
        <v>0</v>
      </c>
      <c r="NC70" s="1319">
        <f t="shared" ca="1" si="1144"/>
        <v>0</v>
      </c>
      <c r="ND70" s="1319">
        <f t="shared" ca="1" si="1144"/>
        <v>0</v>
      </c>
      <c r="NE70" s="1319">
        <f t="shared" ca="1" si="1144"/>
        <v>0</v>
      </c>
      <c r="NF70" s="1319">
        <f t="shared" ca="1" si="1144"/>
        <v>0</v>
      </c>
      <c r="NG70" s="1319">
        <f t="shared" ca="1" si="1144"/>
        <v>0</v>
      </c>
      <c r="NH70" s="1319">
        <f t="shared" ca="1" si="1144"/>
        <v>0</v>
      </c>
      <c r="NI70" s="1319">
        <f t="shared" ca="1" si="1144"/>
        <v>0</v>
      </c>
      <c r="NJ70" s="1319">
        <f t="shared" ca="1" si="1144"/>
        <v>0</v>
      </c>
      <c r="NK70" s="1319">
        <f t="shared" ca="1" si="1144"/>
        <v>0</v>
      </c>
      <c r="NL70" s="1319">
        <f t="shared" ca="1" si="1144"/>
        <v>0</v>
      </c>
      <c r="NM70" s="1319">
        <f t="shared" ca="1" si="1144"/>
        <v>0</v>
      </c>
      <c r="NN70" s="1319">
        <f t="shared" ca="1" si="1144"/>
        <v>0</v>
      </c>
      <c r="NO70" s="1319">
        <f t="shared" ca="1" si="1144"/>
        <v>0</v>
      </c>
      <c r="NP70" s="1319">
        <f t="shared" ca="1" si="1144"/>
        <v>0</v>
      </c>
      <c r="OH70" s="1319">
        <f t="shared" ca="1" si="1145"/>
        <v>0</v>
      </c>
      <c r="OI70" s="1319">
        <f t="shared" ca="1" si="1145"/>
        <v>0</v>
      </c>
      <c r="OJ70" s="1319">
        <f t="shared" ca="1" si="1145"/>
        <v>0</v>
      </c>
      <c r="OK70" s="1319">
        <f t="shared" ca="1" si="1145"/>
        <v>0</v>
      </c>
      <c r="OL70" s="1319">
        <f t="shared" ca="1" si="1145"/>
        <v>0</v>
      </c>
      <c r="OM70" s="1319">
        <f t="shared" ca="1" si="1145"/>
        <v>0</v>
      </c>
      <c r="ON70" s="1319">
        <f t="shared" ca="1" si="1145"/>
        <v>0</v>
      </c>
      <c r="OO70" s="1319">
        <f t="shared" ca="1" si="1145"/>
        <v>0</v>
      </c>
      <c r="PA70" s="1319">
        <f t="shared" ca="1" si="1146"/>
        <v>0</v>
      </c>
      <c r="PB70" s="1319">
        <f t="shared" ca="1" si="1146"/>
        <v>0</v>
      </c>
      <c r="PC70" s="1319">
        <f t="shared" ca="1" si="1146"/>
        <v>0</v>
      </c>
      <c r="PD70" s="1319">
        <f t="shared" ca="1" si="1146"/>
        <v>0</v>
      </c>
      <c r="PE70" s="1319">
        <f t="shared" ca="1" si="1146"/>
        <v>0</v>
      </c>
      <c r="PF70" s="1319">
        <f t="shared" ca="1" si="1146"/>
        <v>0</v>
      </c>
      <c r="PG70" s="1319">
        <f t="shared" ca="1" si="1146"/>
        <v>0</v>
      </c>
      <c r="PH70" s="1319">
        <f t="shared" ca="1" si="1146"/>
        <v>0</v>
      </c>
      <c r="PI70" s="1319">
        <f t="shared" ca="1" si="1146"/>
        <v>0</v>
      </c>
      <c r="PJ70" s="1319">
        <f t="shared" ca="1" si="1146"/>
        <v>0</v>
      </c>
      <c r="PK70" s="1319">
        <f t="shared" ca="1" si="1146"/>
        <v>0</v>
      </c>
      <c r="PW70" s="1319">
        <f t="shared" ca="1" si="1147"/>
        <v>0</v>
      </c>
      <c r="PX70" s="1319">
        <f t="shared" ca="1" si="1147"/>
        <v>0</v>
      </c>
      <c r="PY70" s="1319">
        <f t="shared" ca="1" si="1147"/>
        <v>0</v>
      </c>
      <c r="PZ70" s="1319">
        <f t="shared" ca="1" si="1147"/>
        <v>0</v>
      </c>
    </row>
    <row r="71" spans="1:442" x14ac:dyDescent="0.25">
      <c r="A71" s="189">
        <v>32</v>
      </c>
      <c r="B71" s="189" t="s">
        <v>1256</v>
      </c>
      <c r="C71" s="1317" t="s">
        <v>1608</v>
      </c>
      <c r="D71" s="1317" t="s">
        <v>206</v>
      </c>
      <c r="J71" s="1319">
        <f t="shared" ca="1" si="1093"/>
        <v>0</v>
      </c>
      <c r="K71" s="1319">
        <f t="shared" ca="1" si="1151"/>
        <v>0</v>
      </c>
      <c r="T71" s="1319">
        <f t="shared" ca="1" si="1094"/>
        <v>0</v>
      </c>
      <c r="U71" s="1319">
        <f t="shared" ca="1" si="1123"/>
        <v>0</v>
      </c>
      <c r="V71" s="1319">
        <f t="shared" ca="1" si="1123"/>
        <v>0</v>
      </c>
      <c r="W71" s="1319">
        <f t="shared" ca="1" si="1123"/>
        <v>0</v>
      </c>
      <c r="X71" s="1319">
        <f t="shared" ca="1" si="1123"/>
        <v>0</v>
      </c>
      <c r="Y71" s="1319">
        <f t="shared" ca="1" si="1123"/>
        <v>0</v>
      </c>
      <c r="Z71" s="1319">
        <f t="shared" ca="1" si="1123"/>
        <v>0</v>
      </c>
      <c r="AA71" s="1319">
        <f t="shared" ca="1" si="1123"/>
        <v>0</v>
      </c>
      <c r="AB71" s="1319">
        <f t="shared" ca="1" si="1123"/>
        <v>0</v>
      </c>
      <c r="AC71" s="1319">
        <f t="shared" ca="1" si="1123"/>
        <v>0</v>
      </c>
      <c r="AD71" s="1319">
        <f t="shared" ca="1" si="1123"/>
        <v>0</v>
      </c>
      <c r="AM71" s="1319">
        <f t="shared" ca="1" si="1150"/>
        <v>0</v>
      </c>
      <c r="AN71" s="1319">
        <f t="shared" ca="1" si="1149"/>
        <v>0</v>
      </c>
      <c r="AO71" s="1319">
        <f t="shared" ca="1" si="1149"/>
        <v>0</v>
      </c>
      <c r="AP71" s="1319">
        <f t="shared" ca="1" si="1149"/>
        <v>0</v>
      </c>
      <c r="AQ71" s="1319">
        <f t="shared" ca="1" si="1149"/>
        <v>0</v>
      </c>
      <c r="AR71" s="1319">
        <f t="shared" ca="1" si="1149"/>
        <v>0</v>
      </c>
      <c r="AS71" s="1319">
        <f t="shared" ca="1" si="1149"/>
        <v>0</v>
      </c>
      <c r="AT71" s="1319">
        <f t="shared" ca="1" si="1149"/>
        <v>0</v>
      </c>
      <c r="AU71" s="1319">
        <f t="shared" ca="1" si="1149"/>
        <v>0</v>
      </c>
      <c r="AV71" s="1319">
        <f t="shared" ca="1" si="1149"/>
        <v>0</v>
      </c>
      <c r="AW71" s="1319">
        <f t="shared" ca="1" si="1149"/>
        <v>0</v>
      </c>
      <c r="AX71" s="1319">
        <f t="shared" ca="1" si="1149"/>
        <v>0</v>
      </c>
      <c r="AY71" s="1319">
        <f t="shared" ca="1" si="1149"/>
        <v>0</v>
      </c>
      <c r="AZ71" s="1319">
        <f t="shared" ca="1" si="1149"/>
        <v>0</v>
      </c>
      <c r="BA71" s="1319">
        <f t="shared" ca="1" si="1149"/>
        <v>0</v>
      </c>
      <c r="BB71" s="1319">
        <f t="shared" ca="1" si="1149"/>
        <v>0</v>
      </c>
      <c r="BN71" s="1319">
        <f t="shared" ca="1" si="1129"/>
        <v>0</v>
      </c>
      <c r="BO71" s="1319">
        <f t="shared" ca="1" si="1129"/>
        <v>0</v>
      </c>
      <c r="BP71" s="1319">
        <f t="shared" ca="1" si="1129"/>
        <v>0</v>
      </c>
      <c r="BQ71" s="1319">
        <f t="shared" ca="1" si="1129"/>
        <v>0</v>
      </c>
      <c r="BR71" s="1319">
        <f t="shared" ca="1" si="1129"/>
        <v>0</v>
      </c>
      <c r="CD71" s="1319">
        <f t="shared" ca="1" si="1130"/>
        <v>0</v>
      </c>
      <c r="CE71" s="1319">
        <f t="shared" ca="1" si="1130"/>
        <v>0</v>
      </c>
      <c r="CF71" s="1319">
        <f t="shared" ca="1" si="1130"/>
        <v>0</v>
      </c>
      <c r="CG71" s="1319">
        <f t="shared" ca="1" si="1130"/>
        <v>0</v>
      </c>
      <c r="CH71" s="1319">
        <f t="shared" ca="1" si="1130"/>
        <v>0</v>
      </c>
      <c r="CI71" s="1319">
        <f t="shared" ca="1" si="1130"/>
        <v>0</v>
      </c>
      <c r="CJ71" s="1319">
        <f t="shared" ca="1" si="1130"/>
        <v>0</v>
      </c>
      <c r="CK71" s="1319">
        <f t="shared" ca="1" si="1130"/>
        <v>0</v>
      </c>
      <c r="CL71" s="1319">
        <f t="shared" ca="1" si="1130"/>
        <v>0</v>
      </c>
      <c r="CM71" s="1319">
        <f t="shared" ca="1" si="1130"/>
        <v>0</v>
      </c>
      <c r="CN71" s="1319">
        <f t="shared" ca="1" si="1130"/>
        <v>0</v>
      </c>
      <c r="CO71" s="1319">
        <f t="shared" ca="1" si="1130"/>
        <v>0</v>
      </c>
      <c r="DA71" s="1319">
        <f t="shared" ca="1" si="1131"/>
        <v>0</v>
      </c>
      <c r="DB71" s="1319">
        <f t="shared" ca="1" si="1131"/>
        <v>0</v>
      </c>
      <c r="DC71" s="1319">
        <f t="shared" ca="1" si="1131"/>
        <v>0</v>
      </c>
      <c r="DD71" s="1319">
        <f t="shared" ca="1" si="1131"/>
        <v>0</v>
      </c>
      <c r="DE71" s="1319">
        <f t="shared" ca="1" si="1131"/>
        <v>0</v>
      </c>
      <c r="DF71" s="1319">
        <f t="shared" ca="1" si="1131"/>
        <v>0</v>
      </c>
      <c r="DG71" s="1319">
        <f t="shared" ca="1" si="1131"/>
        <v>0</v>
      </c>
      <c r="DH71" s="1319">
        <f t="shared" ca="1" si="1131"/>
        <v>0</v>
      </c>
      <c r="DI71" s="1319">
        <f t="shared" ca="1" si="1131"/>
        <v>0</v>
      </c>
      <c r="DJ71" s="1319">
        <f t="shared" ca="1" si="1131"/>
        <v>0</v>
      </c>
      <c r="DV71" s="1319">
        <f t="shared" ca="1" si="1132"/>
        <v>0</v>
      </c>
      <c r="DW71" s="1319">
        <f t="shared" ca="1" si="1132"/>
        <v>0</v>
      </c>
      <c r="DX71" s="1319">
        <f t="shared" ca="1" si="1132"/>
        <v>0</v>
      </c>
      <c r="DY71" s="1319">
        <f t="shared" ca="1" si="1132"/>
        <v>0</v>
      </c>
      <c r="DZ71" s="1319">
        <f t="shared" ca="1" si="1132"/>
        <v>0</v>
      </c>
      <c r="EA71" s="1319">
        <f t="shared" ca="1" si="1132"/>
        <v>0</v>
      </c>
      <c r="EB71" s="1319">
        <f t="shared" ca="1" si="1132"/>
        <v>0</v>
      </c>
      <c r="EC71" s="1319">
        <f t="shared" ca="1" si="1132"/>
        <v>0</v>
      </c>
      <c r="ED71" s="1319">
        <f t="shared" ca="1" si="1132"/>
        <v>0</v>
      </c>
      <c r="EE71" s="1319">
        <f t="shared" ca="1" si="1132"/>
        <v>0</v>
      </c>
      <c r="EF71" s="1319">
        <f t="shared" ca="1" si="1132"/>
        <v>0</v>
      </c>
      <c r="EG71" s="1319">
        <f t="shared" ca="1" si="1132"/>
        <v>0</v>
      </c>
      <c r="EH71" s="1319">
        <f t="shared" ca="1" si="1132"/>
        <v>0</v>
      </c>
      <c r="EI71" s="1319">
        <f t="shared" ca="1" si="1132"/>
        <v>0</v>
      </c>
      <c r="EJ71" s="1319">
        <f t="shared" ca="1" si="1101"/>
        <v>0</v>
      </c>
      <c r="EK71" s="1319">
        <f t="shared" ca="1" si="1132"/>
        <v>0</v>
      </c>
      <c r="EW71" s="1319">
        <f t="shared" ca="1" si="1133"/>
        <v>0</v>
      </c>
      <c r="EX71" s="1319">
        <f t="shared" ca="1" si="1133"/>
        <v>0</v>
      </c>
      <c r="EY71" s="1319">
        <f t="shared" ca="1" si="1133"/>
        <v>0</v>
      </c>
      <c r="EZ71" s="1319">
        <f t="shared" ca="1" si="1133"/>
        <v>0</v>
      </c>
      <c r="FA71" s="1319">
        <f t="shared" ca="1" si="1133"/>
        <v>0</v>
      </c>
      <c r="FB71" s="1319">
        <f t="shared" ca="1" si="1133"/>
        <v>0</v>
      </c>
      <c r="FN71" s="1319">
        <f t="shared" ca="1" si="1134"/>
        <v>0</v>
      </c>
      <c r="FO71" s="1319">
        <f t="shared" ca="1" si="1134"/>
        <v>0</v>
      </c>
      <c r="FP71" s="1319">
        <f t="shared" ca="1" si="1134"/>
        <v>0</v>
      </c>
      <c r="FQ71" s="1319">
        <f t="shared" ca="1" si="1134"/>
        <v>0</v>
      </c>
      <c r="FR71" s="1319">
        <f t="shared" ca="1" si="1134"/>
        <v>0</v>
      </c>
      <c r="FS71" s="1319">
        <f t="shared" ca="1" si="1134"/>
        <v>0</v>
      </c>
      <c r="FT71" s="1319">
        <f t="shared" ca="1" si="1134"/>
        <v>0</v>
      </c>
      <c r="FU71" s="1319">
        <f t="shared" ca="1" si="1134"/>
        <v>0</v>
      </c>
      <c r="FV71" s="1319">
        <f t="shared" ca="1" si="1134"/>
        <v>0</v>
      </c>
      <c r="FW71" s="1319">
        <f t="shared" ca="1" si="1134"/>
        <v>0</v>
      </c>
      <c r="FX71" s="1319">
        <f t="shared" ca="1" si="1134"/>
        <v>0</v>
      </c>
      <c r="GJ71" s="1319">
        <f t="shared" ca="1" si="1135"/>
        <v>0</v>
      </c>
      <c r="GK71" s="1319">
        <f t="shared" ca="1" si="1135"/>
        <v>0</v>
      </c>
      <c r="GL71" s="1319">
        <f t="shared" ca="1" si="1135"/>
        <v>0</v>
      </c>
      <c r="GM71" s="1319">
        <f t="shared" ca="1" si="1135"/>
        <v>0</v>
      </c>
      <c r="GN71" s="1319">
        <f t="shared" ca="1" si="1135"/>
        <v>0</v>
      </c>
      <c r="GO71" s="1319">
        <f t="shared" ca="1" si="1135"/>
        <v>0</v>
      </c>
      <c r="GP71" s="1319">
        <f t="shared" ca="1" si="1135"/>
        <v>0</v>
      </c>
      <c r="GQ71" s="1319">
        <f t="shared" ca="1" si="1135"/>
        <v>0</v>
      </c>
      <c r="HC71" s="1319">
        <f t="shared" ca="1" si="1136"/>
        <v>0</v>
      </c>
      <c r="HD71" s="1319">
        <f t="shared" ca="1" si="1136"/>
        <v>0</v>
      </c>
      <c r="HE71" s="1319">
        <f t="shared" ca="1" si="1136"/>
        <v>0</v>
      </c>
      <c r="HF71" s="1319">
        <f t="shared" ca="1" si="1136"/>
        <v>0</v>
      </c>
      <c r="HG71" s="1319">
        <f t="shared" ca="1" si="1136"/>
        <v>0</v>
      </c>
      <c r="HH71" s="1319">
        <f t="shared" ca="1" si="1136"/>
        <v>0</v>
      </c>
      <c r="HT71" s="1319">
        <f t="shared" ca="1" si="1137"/>
        <v>0</v>
      </c>
      <c r="HU71" s="1319">
        <f t="shared" ca="1" si="1137"/>
        <v>0</v>
      </c>
      <c r="HV71" s="1319">
        <f t="shared" ca="1" si="1137"/>
        <v>0</v>
      </c>
      <c r="HW71" s="1319">
        <f t="shared" ca="1" si="1137"/>
        <v>0</v>
      </c>
      <c r="HX71" s="1319">
        <f t="shared" ca="1" si="1137"/>
        <v>0</v>
      </c>
      <c r="HY71" s="1319">
        <f t="shared" ca="1" si="1137"/>
        <v>0</v>
      </c>
      <c r="HZ71" s="1319">
        <f t="shared" ca="1" si="1137"/>
        <v>0</v>
      </c>
      <c r="IA71" s="1319">
        <f t="shared" ca="1" si="1137"/>
        <v>0</v>
      </c>
      <c r="IB71" s="1319">
        <f t="shared" ca="1" si="1137"/>
        <v>0</v>
      </c>
      <c r="IC71" s="1319">
        <f t="shared" ca="1" si="1137"/>
        <v>0</v>
      </c>
      <c r="ID71" s="1319">
        <f t="shared" ca="1" si="1137"/>
        <v>0</v>
      </c>
      <c r="IE71" s="1319">
        <f t="shared" ca="1" si="1137"/>
        <v>0</v>
      </c>
      <c r="IQ71" s="1319">
        <f t="shared" ca="1" si="1138"/>
        <v>0</v>
      </c>
      <c r="IR71" s="1319">
        <f t="shared" ca="1" si="1138"/>
        <v>0</v>
      </c>
      <c r="IS71" s="1319">
        <f t="shared" ca="1" si="1138"/>
        <v>0</v>
      </c>
      <c r="IT71" s="1319">
        <f t="shared" ca="1" si="1138"/>
        <v>0</v>
      </c>
      <c r="IU71" s="1319">
        <f t="shared" ca="1" si="1108"/>
        <v>0</v>
      </c>
      <c r="IV71" s="1319">
        <f t="shared" ca="1" si="1138"/>
        <v>0</v>
      </c>
      <c r="IW71" s="1319">
        <f t="shared" ca="1" si="1138"/>
        <v>0</v>
      </c>
      <c r="IX71" s="1319">
        <f t="shared" ca="1" si="1109"/>
        <v>0</v>
      </c>
      <c r="IY71" s="1319">
        <f t="shared" ca="1" si="1138"/>
        <v>0</v>
      </c>
      <c r="IZ71" s="1319">
        <f t="shared" ca="1" si="1138"/>
        <v>0</v>
      </c>
      <c r="JA71" s="1319">
        <f t="shared" ca="1" si="1138"/>
        <v>0</v>
      </c>
      <c r="JB71" s="1319">
        <f t="shared" ca="1" si="1138"/>
        <v>0</v>
      </c>
      <c r="JC71" s="1319">
        <f t="shared" ca="1" si="1138"/>
        <v>0</v>
      </c>
      <c r="JD71" s="1319">
        <f t="shared" ca="1" si="1138"/>
        <v>0</v>
      </c>
      <c r="JE71" s="1319">
        <f t="shared" ca="1" si="1138"/>
        <v>0</v>
      </c>
      <c r="JF71" s="1319">
        <f t="shared" ca="1" si="1138"/>
        <v>0</v>
      </c>
      <c r="JG71" s="1319">
        <f t="shared" ca="1" si="1138"/>
        <v>0</v>
      </c>
      <c r="JH71" s="1319">
        <f t="shared" ca="1" si="1138"/>
        <v>0</v>
      </c>
      <c r="JT71" s="1319">
        <f t="shared" ca="1" si="1139"/>
        <v>0</v>
      </c>
      <c r="JU71" s="1319">
        <f t="shared" ca="1" si="1139"/>
        <v>0</v>
      </c>
      <c r="JV71" s="1319">
        <f t="shared" ca="1" si="1139"/>
        <v>0</v>
      </c>
      <c r="JW71" s="1319">
        <f t="shared" ca="1" si="1139"/>
        <v>0</v>
      </c>
      <c r="JX71" s="1319">
        <f t="shared" ca="1" si="1139"/>
        <v>0</v>
      </c>
      <c r="JY71" s="1319">
        <f t="shared" ca="1" si="1139"/>
        <v>0</v>
      </c>
      <c r="JZ71" s="1319">
        <f t="shared" ca="1" si="1139"/>
        <v>0</v>
      </c>
      <c r="KA71" s="1319">
        <f t="shared" ca="1" si="1139"/>
        <v>0</v>
      </c>
      <c r="KB71" s="1319">
        <f t="shared" ca="1" si="1139"/>
        <v>0</v>
      </c>
      <c r="KC71" s="1319">
        <f t="shared" ca="1" si="1139"/>
        <v>0</v>
      </c>
      <c r="KL71" s="1319">
        <f t="shared" ca="1" si="1140"/>
        <v>0</v>
      </c>
      <c r="KM71" s="1319">
        <f t="shared" ca="1" si="1140"/>
        <v>0</v>
      </c>
      <c r="KN71" s="1319">
        <f t="shared" ca="1" si="1140"/>
        <v>0</v>
      </c>
      <c r="KO71" s="1319">
        <f t="shared" ca="1" si="1140"/>
        <v>0</v>
      </c>
      <c r="KP71" s="1319">
        <f t="shared" ca="1" si="1140"/>
        <v>0</v>
      </c>
      <c r="KQ71" s="1319">
        <f t="shared" ca="1" si="1140"/>
        <v>0</v>
      </c>
      <c r="KR71" s="1319">
        <f t="shared" ca="1" si="1140"/>
        <v>0</v>
      </c>
      <c r="LA71" s="1319">
        <f t="shared" ca="1" si="1141"/>
        <v>0</v>
      </c>
      <c r="LB71" s="1319">
        <f t="shared" ca="1" si="1141"/>
        <v>0</v>
      </c>
      <c r="LC71" s="1319">
        <f t="shared" ca="1" si="1141"/>
        <v>0</v>
      </c>
      <c r="LD71" s="1319">
        <f t="shared" ca="1" si="1141"/>
        <v>0</v>
      </c>
      <c r="LE71" s="1319">
        <f t="shared" ca="1" si="1141"/>
        <v>0</v>
      </c>
      <c r="LF71" s="1319">
        <f t="shared" ca="1" si="1141"/>
        <v>0</v>
      </c>
      <c r="LG71" s="1319">
        <f t="shared" ca="1" si="1141"/>
        <v>0</v>
      </c>
      <c r="LH71" s="1319">
        <f t="shared" ca="1" si="1141"/>
        <v>0</v>
      </c>
      <c r="LI71" s="1319">
        <f t="shared" ca="1" si="1141"/>
        <v>0</v>
      </c>
      <c r="LJ71" s="1319">
        <f t="shared" ca="1" si="1141"/>
        <v>0</v>
      </c>
      <c r="LK71" s="1319">
        <f t="shared" ca="1" si="1141"/>
        <v>0</v>
      </c>
      <c r="LW71" s="1319">
        <f t="shared" ca="1" si="1113"/>
        <v>0</v>
      </c>
      <c r="LX71" s="1319">
        <f t="shared" ca="1" si="1142"/>
        <v>0</v>
      </c>
      <c r="LY71" s="1319">
        <f t="shared" ca="1" si="1142"/>
        <v>0</v>
      </c>
      <c r="LZ71" s="1319">
        <f t="shared" ca="1" si="1142"/>
        <v>0</v>
      </c>
      <c r="MA71" s="1319">
        <f t="shared" ca="1" si="1142"/>
        <v>0</v>
      </c>
      <c r="MB71" s="1319">
        <f t="shared" ca="1" si="1142"/>
        <v>0</v>
      </c>
      <c r="MC71" s="1319">
        <f t="shared" ca="1" si="1142"/>
        <v>0</v>
      </c>
      <c r="MD71" s="1319">
        <f t="shared" ca="1" si="1142"/>
        <v>0</v>
      </c>
      <c r="ME71" s="1319">
        <f t="shared" ca="1" si="1142"/>
        <v>0</v>
      </c>
      <c r="MF71" s="1319">
        <f t="shared" ca="1" si="1142"/>
        <v>0</v>
      </c>
      <c r="MG71" s="1319">
        <f t="shared" ca="1" si="1142"/>
        <v>0</v>
      </c>
      <c r="MH71" s="1319">
        <f t="shared" ca="1" si="1143"/>
        <v>0</v>
      </c>
      <c r="MI71" s="1319">
        <f t="shared" ca="1" si="1143"/>
        <v>0</v>
      </c>
      <c r="MJ71" s="1319">
        <f t="shared" ca="1" si="1142"/>
        <v>0</v>
      </c>
      <c r="MK71" s="1319">
        <f t="shared" ca="1" si="1142"/>
        <v>0</v>
      </c>
      <c r="ML71" s="1319">
        <f t="shared" ca="1" si="1142"/>
        <v>0</v>
      </c>
      <c r="MM71" s="1319">
        <f t="shared" ca="1" si="1142"/>
        <v>0</v>
      </c>
      <c r="MN71" s="1319">
        <f t="shared" ca="1" si="1142"/>
        <v>0</v>
      </c>
      <c r="MO71" s="1319">
        <f t="shared" ca="1" si="1142"/>
        <v>0</v>
      </c>
      <c r="NA71" s="1319">
        <f t="shared" ca="1" si="1144"/>
        <v>0</v>
      </c>
      <c r="NB71" s="1319">
        <f t="shared" ca="1" si="1144"/>
        <v>0</v>
      </c>
      <c r="NC71" s="1319">
        <f t="shared" ca="1" si="1144"/>
        <v>0</v>
      </c>
      <c r="ND71" s="1319">
        <f t="shared" ca="1" si="1144"/>
        <v>0</v>
      </c>
      <c r="NE71" s="1319">
        <f t="shared" ca="1" si="1144"/>
        <v>0</v>
      </c>
      <c r="NF71" s="1319">
        <f t="shared" ca="1" si="1144"/>
        <v>0</v>
      </c>
      <c r="NG71" s="1319">
        <f t="shared" ca="1" si="1144"/>
        <v>0</v>
      </c>
      <c r="NH71" s="1319">
        <f t="shared" ca="1" si="1144"/>
        <v>0</v>
      </c>
      <c r="NI71" s="1319">
        <f t="shared" ca="1" si="1144"/>
        <v>0</v>
      </c>
      <c r="NJ71" s="1319">
        <f t="shared" ca="1" si="1144"/>
        <v>0</v>
      </c>
      <c r="NK71" s="1319">
        <f t="shared" ca="1" si="1144"/>
        <v>0</v>
      </c>
      <c r="NL71" s="1319">
        <f t="shared" ca="1" si="1144"/>
        <v>0</v>
      </c>
      <c r="NM71" s="1319">
        <f t="shared" ca="1" si="1144"/>
        <v>0</v>
      </c>
      <c r="NN71" s="1319">
        <f t="shared" ca="1" si="1144"/>
        <v>0</v>
      </c>
      <c r="NO71" s="1319">
        <f t="shared" ca="1" si="1144"/>
        <v>0</v>
      </c>
      <c r="NP71" s="1319">
        <f t="shared" ca="1" si="1144"/>
        <v>0</v>
      </c>
      <c r="OH71" s="1319">
        <f t="shared" ca="1" si="1145"/>
        <v>0</v>
      </c>
      <c r="OI71" s="1319">
        <f t="shared" ca="1" si="1145"/>
        <v>0</v>
      </c>
      <c r="OJ71" s="1319">
        <f t="shared" ca="1" si="1145"/>
        <v>0</v>
      </c>
      <c r="OK71" s="1319">
        <f t="shared" ca="1" si="1145"/>
        <v>0</v>
      </c>
      <c r="OL71" s="1319">
        <f t="shared" ca="1" si="1145"/>
        <v>0</v>
      </c>
      <c r="OM71" s="1319">
        <f t="shared" ca="1" si="1145"/>
        <v>0</v>
      </c>
      <c r="ON71" s="1319">
        <f t="shared" ca="1" si="1145"/>
        <v>0</v>
      </c>
      <c r="OO71" s="1319">
        <f t="shared" ca="1" si="1145"/>
        <v>0</v>
      </c>
      <c r="PA71" s="1319">
        <f t="shared" ca="1" si="1146"/>
        <v>0</v>
      </c>
      <c r="PB71" s="1319">
        <f t="shared" ca="1" si="1146"/>
        <v>0</v>
      </c>
      <c r="PC71" s="1319">
        <f t="shared" ca="1" si="1146"/>
        <v>0</v>
      </c>
      <c r="PD71" s="1319">
        <f t="shared" ca="1" si="1146"/>
        <v>0</v>
      </c>
      <c r="PE71" s="1319">
        <f t="shared" ca="1" si="1146"/>
        <v>0</v>
      </c>
      <c r="PF71" s="1319">
        <f t="shared" ca="1" si="1146"/>
        <v>0</v>
      </c>
      <c r="PG71" s="1319">
        <f t="shared" ca="1" si="1146"/>
        <v>0</v>
      </c>
      <c r="PH71" s="1319">
        <f t="shared" ca="1" si="1146"/>
        <v>0</v>
      </c>
      <c r="PI71" s="1319">
        <f t="shared" ca="1" si="1146"/>
        <v>0</v>
      </c>
      <c r="PJ71" s="1319">
        <f t="shared" ca="1" si="1146"/>
        <v>0</v>
      </c>
      <c r="PK71" s="1319">
        <f t="shared" ca="1" si="1146"/>
        <v>0</v>
      </c>
      <c r="PW71" s="1319">
        <f t="shared" ca="1" si="1147"/>
        <v>0</v>
      </c>
      <c r="PX71" s="1319">
        <f t="shared" ca="1" si="1147"/>
        <v>0</v>
      </c>
      <c r="PY71" s="1319">
        <f t="shared" ca="1" si="1147"/>
        <v>0</v>
      </c>
      <c r="PZ71" s="1319">
        <f t="shared" ca="1" si="1147"/>
        <v>0</v>
      </c>
    </row>
    <row r="72" spans="1:442" x14ac:dyDescent="0.25">
      <c r="A72" s="189">
        <v>33</v>
      </c>
      <c r="B72" s="189" t="s">
        <v>1256</v>
      </c>
      <c r="C72" s="1317" t="s">
        <v>2636</v>
      </c>
      <c r="D72" s="1317" t="s">
        <v>206</v>
      </c>
      <c r="J72" s="1319">
        <f t="shared" ca="1" si="1093"/>
        <v>0</v>
      </c>
      <c r="K72" s="1319">
        <f t="shared" ca="1" si="1151"/>
        <v>0</v>
      </c>
      <c r="T72" s="1319">
        <f t="shared" ca="1" si="1094"/>
        <v>0</v>
      </c>
      <c r="U72" s="1319">
        <f t="shared" ref="U72:AD72" ca="1" si="1152">VLOOKUP(U$1,INDIRECT(LU_MAT),$A72,FALSE)</f>
        <v>0</v>
      </c>
      <c r="V72" s="1319">
        <f t="shared" ca="1" si="1152"/>
        <v>0</v>
      </c>
      <c r="W72" s="1319">
        <f t="shared" ca="1" si="1152"/>
        <v>0</v>
      </c>
      <c r="X72" s="1319">
        <f t="shared" ca="1" si="1152"/>
        <v>0</v>
      </c>
      <c r="Y72" s="1319">
        <f t="shared" ca="1" si="1152"/>
        <v>0</v>
      </c>
      <c r="Z72" s="1319">
        <f t="shared" ca="1" si="1152"/>
        <v>0</v>
      </c>
      <c r="AA72" s="1319">
        <f t="shared" ca="1" si="1152"/>
        <v>0</v>
      </c>
      <c r="AB72" s="1319">
        <f t="shared" ca="1" si="1152"/>
        <v>0</v>
      </c>
      <c r="AC72" s="1319">
        <f t="shared" ca="1" si="1152"/>
        <v>0</v>
      </c>
      <c r="AD72" s="1319">
        <f t="shared" ca="1" si="1152"/>
        <v>0</v>
      </c>
      <c r="AM72" s="1319">
        <f t="shared" ca="1" si="1150"/>
        <v>0</v>
      </c>
      <c r="AN72" s="1319">
        <f t="shared" ca="1" si="1149"/>
        <v>0</v>
      </c>
      <c r="AO72" s="1319">
        <f t="shared" ca="1" si="1149"/>
        <v>0</v>
      </c>
      <c r="AP72" s="1319">
        <f t="shared" ca="1" si="1149"/>
        <v>0</v>
      </c>
      <c r="AQ72" s="1319">
        <f t="shared" ca="1" si="1149"/>
        <v>0</v>
      </c>
      <c r="AR72" s="1319">
        <f t="shared" ca="1" si="1149"/>
        <v>0</v>
      </c>
      <c r="AS72" s="1319">
        <f t="shared" ca="1" si="1149"/>
        <v>0</v>
      </c>
      <c r="AT72" s="1319">
        <f t="shared" ca="1" si="1149"/>
        <v>0</v>
      </c>
      <c r="AU72" s="1319">
        <f t="shared" ca="1" si="1149"/>
        <v>0</v>
      </c>
      <c r="AV72" s="1319">
        <f t="shared" ca="1" si="1149"/>
        <v>0</v>
      </c>
      <c r="AW72" s="1319">
        <f t="shared" ca="1" si="1149"/>
        <v>0</v>
      </c>
      <c r="AX72" s="1319">
        <f t="shared" ca="1" si="1149"/>
        <v>0</v>
      </c>
      <c r="AY72" s="1319">
        <f t="shared" ca="1" si="1149"/>
        <v>0</v>
      </c>
      <c r="AZ72" s="1319">
        <f t="shared" ca="1" si="1149"/>
        <v>0</v>
      </c>
      <c r="BA72" s="1319">
        <f t="shared" ca="1" si="1149"/>
        <v>0</v>
      </c>
      <c r="BB72" s="1319">
        <f t="shared" ca="1" si="1149"/>
        <v>0</v>
      </c>
      <c r="BN72" s="1319">
        <f t="shared" ca="1" si="1129"/>
        <v>0</v>
      </c>
      <c r="BO72" s="1319">
        <f t="shared" ca="1" si="1129"/>
        <v>0</v>
      </c>
      <c r="BP72" s="1319">
        <f t="shared" ca="1" si="1129"/>
        <v>0</v>
      </c>
      <c r="BQ72" s="1319">
        <f t="shared" ca="1" si="1129"/>
        <v>0</v>
      </c>
      <c r="BR72" s="1319">
        <f t="shared" ca="1" si="1129"/>
        <v>0</v>
      </c>
      <c r="CD72" s="1319">
        <f t="shared" ca="1" si="1130"/>
        <v>0</v>
      </c>
      <c r="CE72" s="1319">
        <f t="shared" ca="1" si="1130"/>
        <v>0</v>
      </c>
      <c r="CF72" s="1319">
        <f t="shared" ca="1" si="1130"/>
        <v>0</v>
      </c>
      <c r="CG72" s="1319">
        <f t="shared" ca="1" si="1130"/>
        <v>0</v>
      </c>
      <c r="CH72" s="1319">
        <f t="shared" ca="1" si="1130"/>
        <v>0</v>
      </c>
      <c r="CI72" s="1319">
        <f t="shared" ca="1" si="1130"/>
        <v>0</v>
      </c>
      <c r="CJ72" s="1319">
        <f t="shared" ca="1" si="1130"/>
        <v>0</v>
      </c>
      <c r="CK72" s="1319">
        <f t="shared" ca="1" si="1130"/>
        <v>0</v>
      </c>
      <c r="CL72" s="1319">
        <f t="shared" ca="1" si="1130"/>
        <v>0</v>
      </c>
      <c r="CM72" s="1319">
        <f t="shared" ca="1" si="1130"/>
        <v>0</v>
      </c>
      <c r="CN72" s="1319">
        <f t="shared" ca="1" si="1130"/>
        <v>0</v>
      </c>
      <c r="CO72" s="1319">
        <f t="shared" ca="1" si="1130"/>
        <v>0</v>
      </c>
      <c r="DA72" s="1319">
        <f t="shared" ca="1" si="1131"/>
        <v>0</v>
      </c>
      <c r="DB72" s="1319">
        <f t="shared" ca="1" si="1131"/>
        <v>0</v>
      </c>
      <c r="DC72" s="1319">
        <f t="shared" ca="1" si="1131"/>
        <v>0</v>
      </c>
      <c r="DD72" s="1319">
        <f t="shared" ca="1" si="1131"/>
        <v>0</v>
      </c>
      <c r="DE72" s="1319">
        <f t="shared" ca="1" si="1131"/>
        <v>0</v>
      </c>
      <c r="DF72" s="1319">
        <f t="shared" ca="1" si="1131"/>
        <v>0</v>
      </c>
      <c r="DG72" s="1319">
        <f t="shared" ca="1" si="1131"/>
        <v>0</v>
      </c>
      <c r="DH72" s="1319">
        <f t="shared" ca="1" si="1131"/>
        <v>0</v>
      </c>
      <c r="DI72" s="1319">
        <f t="shared" ca="1" si="1131"/>
        <v>0</v>
      </c>
      <c r="DJ72" s="1319">
        <f t="shared" ca="1" si="1131"/>
        <v>0</v>
      </c>
      <c r="DV72" s="1319">
        <f t="shared" ca="1" si="1132"/>
        <v>0</v>
      </c>
      <c r="DW72" s="1319">
        <f t="shared" ca="1" si="1132"/>
        <v>0</v>
      </c>
      <c r="DX72" s="1319">
        <f t="shared" ca="1" si="1132"/>
        <v>0</v>
      </c>
      <c r="DY72" s="1319">
        <f t="shared" ca="1" si="1132"/>
        <v>0</v>
      </c>
      <c r="DZ72" s="1319">
        <f t="shared" ca="1" si="1132"/>
        <v>0</v>
      </c>
      <c r="EA72" s="1319">
        <f t="shared" ca="1" si="1132"/>
        <v>0</v>
      </c>
      <c r="EB72" s="1319">
        <f t="shared" ca="1" si="1132"/>
        <v>0</v>
      </c>
      <c r="EC72" s="1319">
        <f t="shared" ca="1" si="1132"/>
        <v>0</v>
      </c>
      <c r="ED72" s="1319">
        <f t="shared" ca="1" si="1132"/>
        <v>0</v>
      </c>
      <c r="EE72" s="1319">
        <f t="shared" ca="1" si="1132"/>
        <v>0</v>
      </c>
      <c r="EF72" s="1319">
        <f t="shared" ca="1" si="1132"/>
        <v>0</v>
      </c>
      <c r="EG72" s="1319">
        <f t="shared" ca="1" si="1132"/>
        <v>0</v>
      </c>
      <c r="EH72" s="1319">
        <f t="shared" ca="1" si="1132"/>
        <v>0</v>
      </c>
      <c r="EI72" s="1319">
        <f t="shared" ca="1" si="1132"/>
        <v>0</v>
      </c>
      <c r="EJ72" s="1319">
        <f t="shared" ca="1" si="1101"/>
        <v>0</v>
      </c>
      <c r="EK72" s="1319">
        <f t="shared" ref="EK72" ca="1" si="1153">VLOOKUP(EK$1,INDIRECT(LU_MAT),$A72,FALSE)</f>
        <v>0</v>
      </c>
      <c r="EW72" s="1319">
        <f t="shared" ca="1" si="1133"/>
        <v>0</v>
      </c>
      <c r="EX72" s="1319">
        <f t="shared" ca="1" si="1133"/>
        <v>0</v>
      </c>
      <c r="EY72" s="1319">
        <f t="shared" ca="1" si="1133"/>
        <v>0</v>
      </c>
      <c r="EZ72" s="1319">
        <f t="shared" ca="1" si="1133"/>
        <v>0</v>
      </c>
      <c r="FA72" s="1319">
        <f t="shared" ca="1" si="1133"/>
        <v>0</v>
      </c>
      <c r="FB72" s="1319">
        <f t="shared" ca="1" si="1133"/>
        <v>0</v>
      </c>
      <c r="FN72" s="1319">
        <f t="shared" ca="1" si="1134"/>
        <v>0</v>
      </c>
      <c r="FO72" s="1319">
        <f t="shared" ca="1" si="1134"/>
        <v>0</v>
      </c>
      <c r="FP72" s="1319">
        <f t="shared" ca="1" si="1134"/>
        <v>0</v>
      </c>
      <c r="FQ72" s="1319">
        <f t="shared" ca="1" si="1134"/>
        <v>0</v>
      </c>
      <c r="FR72" s="1319">
        <f t="shared" ca="1" si="1134"/>
        <v>0</v>
      </c>
      <c r="FS72" s="1319">
        <f t="shared" ca="1" si="1134"/>
        <v>0</v>
      </c>
      <c r="FT72" s="1319">
        <f t="shared" ca="1" si="1134"/>
        <v>0</v>
      </c>
      <c r="FU72" s="1319">
        <f t="shared" ca="1" si="1134"/>
        <v>0</v>
      </c>
      <c r="FV72" s="1319">
        <f t="shared" ca="1" si="1134"/>
        <v>0</v>
      </c>
      <c r="FW72" s="1319">
        <f t="shared" ca="1" si="1134"/>
        <v>0</v>
      </c>
      <c r="FX72" s="1319">
        <f t="shared" ca="1" si="1134"/>
        <v>0</v>
      </c>
      <c r="GJ72" s="1319">
        <f t="shared" ca="1" si="1135"/>
        <v>0</v>
      </c>
      <c r="GK72" s="1319">
        <f t="shared" ca="1" si="1135"/>
        <v>0</v>
      </c>
      <c r="GL72" s="1319">
        <f t="shared" ca="1" si="1135"/>
        <v>0</v>
      </c>
      <c r="GM72" s="1319">
        <f t="shared" ca="1" si="1135"/>
        <v>0</v>
      </c>
      <c r="GN72" s="1319">
        <f t="shared" ca="1" si="1135"/>
        <v>0</v>
      </c>
      <c r="GO72" s="1319">
        <f t="shared" ca="1" si="1135"/>
        <v>0</v>
      </c>
      <c r="GP72" s="1319">
        <f t="shared" ca="1" si="1135"/>
        <v>0</v>
      </c>
      <c r="GQ72" s="1319">
        <f t="shared" ca="1" si="1135"/>
        <v>0</v>
      </c>
      <c r="HC72" s="1319">
        <f t="shared" ca="1" si="1136"/>
        <v>0</v>
      </c>
      <c r="HD72" s="1319">
        <f t="shared" ca="1" si="1136"/>
        <v>0</v>
      </c>
      <c r="HE72" s="1319">
        <f t="shared" ca="1" si="1136"/>
        <v>0</v>
      </c>
      <c r="HF72" s="1319">
        <f t="shared" ca="1" si="1136"/>
        <v>0</v>
      </c>
      <c r="HG72" s="1319">
        <f t="shared" ca="1" si="1136"/>
        <v>0</v>
      </c>
      <c r="HH72" s="1319">
        <f t="shared" ca="1" si="1136"/>
        <v>0</v>
      </c>
      <c r="HT72" s="1319">
        <f t="shared" ca="1" si="1137"/>
        <v>0</v>
      </c>
      <c r="HU72" s="1319">
        <f t="shared" ca="1" si="1137"/>
        <v>0</v>
      </c>
      <c r="HV72" s="1319">
        <f t="shared" ca="1" si="1137"/>
        <v>0</v>
      </c>
      <c r="HW72" s="1319">
        <f t="shared" ca="1" si="1137"/>
        <v>0</v>
      </c>
      <c r="HX72" s="1319">
        <f t="shared" ca="1" si="1137"/>
        <v>0</v>
      </c>
      <c r="HY72" s="1319">
        <f t="shared" ca="1" si="1137"/>
        <v>0</v>
      </c>
      <c r="HZ72" s="1319">
        <f t="shared" ca="1" si="1137"/>
        <v>3.22774015E-3</v>
      </c>
      <c r="IA72" s="1319">
        <f t="shared" ca="1" si="1137"/>
        <v>3.22774015E-3</v>
      </c>
      <c r="IB72" s="1319">
        <f t="shared" ca="1" si="1137"/>
        <v>0</v>
      </c>
      <c r="IC72" s="1319">
        <f t="shared" ca="1" si="1137"/>
        <v>0</v>
      </c>
      <c r="ID72" s="1319">
        <f t="shared" ca="1" si="1137"/>
        <v>0</v>
      </c>
      <c r="IE72" s="1319">
        <f t="shared" ca="1" si="1137"/>
        <v>0</v>
      </c>
      <c r="IQ72" s="1319">
        <f t="shared" ca="1" si="1138"/>
        <v>0</v>
      </c>
      <c r="IR72" s="1319">
        <f t="shared" ca="1" si="1138"/>
        <v>0</v>
      </c>
      <c r="IS72" s="1319">
        <f t="shared" ca="1" si="1138"/>
        <v>1092.4734900000001</v>
      </c>
      <c r="IT72" s="1319">
        <f t="shared" ca="1" si="1138"/>
        <v>1092.4734900000001</v>
      </c>
      <c r="IU72" s="1319">
        <f t="shared" ca="1" si="1108"/>
        <v>1019.60171</v>
      </c>
      <c r="IV72" s="1319">
        <f t="shared" ca="1" si="1138"/>
        <v>32024.063100000003</v>
      </c>
      <c r="IW72" s="1319">
        <f t="shared" ca="1" si="1138"/>
        <v>26219.363799999999</v>
      </c>
      <c r="IX72" s="1319">
        <f t="shared" ca="1" si="1109"/>
        <v>0.41778968</v>
      </c>
      <c r="IY72" s="1319">
        <f t="shared" ca="1" si="1138"/>
        <v>72.871777600000001</v>
      </c>
      <c r="IZ72" s="1319">
        <f t="shared" ca="1" si="1138"/>
        <v>4712.2267599999996</v>
      </c>
      <c r="JA72" s="1319">
        <f t="shared" ca="1" si="1138"/>
        <v>27311.837299999999</v>
      </c>
      <c r="JB72" s="1319">
        <f t="shared" ca="1" si="1138"/>
        <v>0</v>
      </c>
      <c r="JC72" s="1319">
        <f t="shared" ca="1" si="1138"/>
        <v>4712.2235300000002</v>
      </c>
      <c r="JD72" s="1319">
        <f t="shared" ca="1" si="1138"/>
        <v>0</v>
      </c>
      <c r="JE72" s="1319">
        <f t="shared" ca="1" si="1138"/>
        <v>4712.2267599999996</v>
      </c>
      <c r="JF72" s="1319">
        <f t="shared" ca="1" si="1138"/>
        <v>0</v>
      </c>
      <c r="JG72" s="1319">
        <f t="shared" ca="1" si="1138"/>
        <v>0</v>
      </c>
      <c r="JH72" s="1319">
        <f t="shared" ref="JH72" ca="1" si="1154">VLOOKUP(JH$1,INDIRECT(LU_MAT),$A72,FALSE)</f>
        <v>3.22774015E-3</v>
      </c>
      <c r="JT72" s="1319">
        <f t="shared" ca="1" si="1139"/>
        <v>0</v>
      </c>
      <c r="JU72" s="1319">
        <f t="shared" ca="1" si="1139"/>
        <v>0</v>
      </c>
      <c r="JV72" s="1319">
        <f t="shared" ca="1" si="1139"/>
        <v>0</v>
      </c>
      <c r="JW72" s="1319">
        <f t="shared" ca="1" si="1139"/>
        <v>0</v>
      </c>
      <c r="JX72" s="1319">
        <f t="shared" ca="1" si="1139"/>
        <v>0</v>
      </c>
      <c r="JY72" s="1319">
        <f t="shared" ca="1" si="1139"/>
        <v>0</v>
      </c>
      <c r="JZ72" s="1319">
        <f t="shared" ca="1" si="1139"/>
        <v>0</v>
      </c>
      <c r="KA72" s="1319">
        <f t="shared" ca="1" si="1139"/>
        <v>0</v>
      </c>
      <c r="KB72" s="1319">
        <f t="shared" ca="1" si="1139"/>
        <v>0</v>
      </c>
      <c r="KC72" s="1319">
        <f t="shared" ca="1" si="1139"/>
        <v>0</v>
      </c>
      <c r="KL72" s="1319">
        <f t="shared" ca="1" si="1140"/>
        <v>0</v>
      </c>
      <c r="KM72" s="1319">
        <f t="shared" ca="1" si="1140"/>
        <v>0</v>
      </c>
      <c r="KN72" s="1319">
        <f t="shared" ca="1" si="1140"/>
        <v>0</v>
      </c>
      <c r="KO72" s="1319">
        <f t="shared" ca="1" si="1140"/>
        <v>0</v>
      </c>
      <c r="KP72" s="1319">
        <f t="shared" ca="1" si="1140"/>
        <v>0</v>
      </c>
      <c r="KQ72" s="1319">
        <f t="shared" ca="1" si="1140"/>
        <v>0</v>
      </c>
      <c r="KR72" s="1319">
        <f t="shared" ca="1" si="1140"/>
        <v>0</v>
      </c>
      <c r="LA72" s="1319">
        <f t="shared" ca="1" si="1141"/>
        <v>0</v>
      </c>
      <c r="LB72" s="1319">
        <f t="shared" ca="1" si="1141"/>
        <v>3.22774015E-3</v>
      </c>
      <c r="LC72" s="1319">
        <f t="shared" ca="1" si="1141"/>
        <v>3.22774015E-3</v>
      </c>
      <c r="LD72" s="1319">
        <f t="shared" ca="1" si="1141"/>
        <v>3.22774015E-3</v>
      </c>
      <c r="LE72" s="1319">
        <f t="shared" ca="1" si="1141"/>
        <v>0</v>
      </c>
      <c r="LF72" s="1319">
        <f t="shared" ca="1" si="1141"/>
        <v>72.875005299999998</v>
      </c>
      <c r="LG72" s="1319">
        <f t="shared" ca="1" si="1141"/>
        <v>72.875005299999998</v>
      </c>
      <c r="LH72" s="1319">
        <f t="shared" ca="1" si="1141"/>
        <v>0</v>
      </c>
      <c r="LI72" s="1319">
        <f t="shared" ca="1" si="1141"/>
        <v>72.875005299999998</v>
      </c>
      <c r="LJ72" s="1319">
        <f t="shared" ca="1" si="1141"/>
        <v>0</v>
      </c>
      <c r="LK72" s="1319">
        <f t="shared" ca="1" si="1141"/>
        <v>0</v>
      </c>
      <c r="LW72" s="1319">
        <f t="shared" ca="1" si="1113"/>
        <v>0</v>
      </c>
      <c r="LX72" s="1319">
        <f t="shared" ca="1" si="1142"/>
        <v>0</v>
      </c>
      <c r="LY72" s="1319">
        <f t="shared" ca="1" si="1142"/>
        <v>0</v>
      </c>
      <c r="LZ72" s="1319">
        <f t="shared" ca="1" si="1142"/>
        <v>72.871777600000001</v>
      </c>
      <c r="MA72" s="1319">
        <f t="shared" ca="1" si="1142"/>
        <v>72.871777600000001</v>
      </c>
      <c r="MB72" s="1319">
        <f t="shared" ca="1" si="1142"/>
        <v>3.22774015E-3</v>
      </c>
      <c r="MC72" s="1319">
        <f t="shared" ca="1" si="1142"/>
        <v>72.875005299999998</v>
      </c>
      <c r="MD72" s="1319">
        <f t="shared" ca="1" si="1142"/>
        <v>0</v>
      </c>
      <c r="ME72" s="1319">
        <f t="shared" ca="1" si="1142"/>
        <v>0</v>
      </c>
      <c r="MF72" s="1319">
        <f t="shared" ca="1" si="1142"/>
        <v>0</v>
      </c>
      <c r="MG72" s="1319">
        <f t="shared" ca="1" si="1142"/>
        <v>0</v>
      </c>
      <c r="MH72" s="1319">
        <f t="shared" ca="1" si="1143"/>
        <v>0</v>
      </c>
      <c r="MI72" s="1319">
        <f t="shared" ca="1" si="1143"/>
        <v>0</v>
      </c>
      <c r="MJ72" s="1319">
        <f t="shared" ca="1" si="1142"/>
        <v>0</v>
      </c>
      <c r="MK72" s="1319">
        <f t="shared" ca="1" si="1142"/>
        <v>0</v>
      </c>
      <c r="ML72" s="1319">
        <f t="shared" ca="1" si="1142"/>
        <v>0</v>
      </c>
      <c r="MM72" s="1319">
        <f t="shared" ca="1" si="1142"/>
        <v>0</v>
      </c>
      <c r="MN72" s="1319">
        <f t="shared" ca="1" si="1142"/>
        <v>0</v>
      </c>
      <c r="MO72" s="1319">
        <f t="shared" ref="MO72" ca="1" si="1155">VLOOKUP(MO$1,INDIRECT(LU_MAT),$A72,FALSE)</f>
        <v>0</v>
      </c>
      <c r="NA72" s="1319">
        <f t="shared" ca="1" si="1144"/>
        <v>0</v>
      </c>
      <c r="NB72" s="1319">
        <f t="shared" ca="1" si="1144"/>
        <v>0</v>
      </c>
      <c r="NC72" s="1319">
        <f t="shared" ca="1" si="1144"/>
        <v>0</v>
      </c>
      <c r="ND72" s="1319">
        <f t="shared" ca="1" si="1144"/>
        <v>0</v>
      </c>
      <c r="NE72" s="1319">
        <f t="shared" ca="1" si="1144"/>
        <v>0</v>
      </c>
      <c r="NF72" s="1319">
        <f t="shared" ca="1" si="1144"/>
        <v>0</v>
      </c>
      <c r="NG72" s="1319">
        <f t="shared" ca="1" si="1144"/>
        <v>0</v>
      </c>
      <c r="NH72" s="1319">
        <f t="shared" ca="1" si="1144"/>
        <v>0</v>
      </c>
      <c r="NI72" s="1319">
        <f t="shared" ca="1" si="1144"/>
        <v>0</v>
      </c>
      <c r="NJ72" s="1319">
        <f t="shared" ca="1" si="1144"/>
        <v>0</v>
      </c>
      <c r="NK72" s="1319">
        <f t="shared" ca="1" si="1144"/>
        <v>0</v>
      </c>
      <c r="NL72" s="1319">
        <f t="shared" ca="1" si="1144"/>
        <v>0</v>
      </c>
      <c r="NM72" s="1319">
        <f t="shared" ca="1" si="1144"/>
        <v>0</v>
      </c>
      <c r="NN72" s="1319">
        <f t="shared" ca="1" si="1144"/>
        <v>0</v>
      </c>
      <c r="NO72" s="1319">
        <f t="shared" ca="1" si="1144"/>
        <v>0</v>
      </c>
      <c r="NP72" s="1319">
        <f t="shared" ref="NP72" ca="1" si="1156">VLOOKUP(NP$1,INDIRECT(LU_MAT),$A72,FALSE)</f>
        <v>0</v>
      </c>
      <c r="OH72" s="1319">
        <f t="shared" ca="1" si="1145"/>
        <v>0</v>
      </c>
      <c r="OI72" s="1319">
        <f t="shared" ca="1" si="1145"/>
        <v>0</v>
      </c>
      <c r="OJ72" s="1319">
        <f t="shared" ca="1" si="1145"/>
        <v>0</v>
      </c>
      <c r="OK72" s="1319">
        <f t="shared" ca="1" si="1145"/>
        <v>0</v>
      </c>
      <c r="OL72" s="1319">
        <f t="shared" ca="1" si="1145"/>
        <v>0</v>
      </c>
      <c r="OM72" s="1319">
        <f t="shared" ca="1" si="1145"/>
        <v>0</v>
      </c>
      <c r="ON72" s="1319">
        <f t="shared" ca="1" si="1145"/>
        <v>0</v>
      </c>
      <c r="OO72" s="1319">
        <f t="shared" ca="1" si="1145"/>
        <v>0</v>
      </c>
      <c r="PA72" s="1319">
        <f t="shared" ca="1" si="1146"/>
        <v>0</v>
      </c>
      <c r="PB72" s="1319">
        <f t="shared" ca="1" si="1146"/>
        <v>0</v>
      </c>
      <c r="PC72" s="1319">
        <f t="shared" ca="1" si="1146"/>
        <v>0</v>
      </c>
      <c r="PD72" s="1319">
        <f t="shared" ca="1" si="1146"/>
        <v>0</v>
      </c>
      <c r="PE72" s="1319">
        <f t="shared" ca="1" si="1146"/>
        <v>0</v>
      </c>
      <c r="PF72" s="1319">
        <f t="shared" ca="1" si="1146"/>
        <v>0</v>
      </c>
      <c r="PG72" s="1319">
        <f t="shared" ca="1" si="1146"/>
        <v>0</v>
      </c>
      <c r="PH72" s="1319">
        <f t="shared" ca="1" si="1146"/>
        <v>0</v>
      </c>
      <c r="PI72" s="1319">
        <f t="shared" ca="1" si="1146"/>
        <v>0</v>
      </c>
      <c r="PJ72" s="1319">
        <f t="shared" ca="1" si="1146"/>
        <v>0</v>
      </c>
      <c r="PK72" s="1319">
        <f t="shared" ca="1" si="1146"/>
        <v>0</v>
      </c>
      <c r="PW72" s="1319">
        <f t="shared" ca="1" si="1147"/>
        <v>0</v>
      </c>
      <c r="PX72" s="1319">
        <f t="shared" ca="1" si="1147"/>
        <v>0</v>
      </c>
      <c r="PY72" s="1319">
        <f t="shared" ca="1" si="1147"/>
        <v>0</v>
      </c>
      <c r="PZ72" s="1319">
        <f t="shared" ca="1" si="1147"/>
        <v>0</v>
      </c>
    </row>
    <row r="73" spans="1:442" x14ac:dyDescent="0.25">
      <c r="A73" s="189">
        <v>34</v>
      </c>
      <c r="B73" s="189" t="s">
        <v>1256</v>
      </c>
      <c r="C73" s="1317" t="s">
        <v>2635</v>
      </c>
      <c r="D73" s="1317" t="s">
        <v>206</v>
      </c>
      <c r="J73" s="1319">
        <f t="shared" ref="J73:K95" ca="1" si="1157">VLOOKUP(J$1,INDIRECT(LU_MAT),$A73,FALSE)</f>
        <v>0</v>
      </c>
      <c r="K73" s="1319">
        <f t="shared" ca="1" si="1157"/>
        <v>0</v>
      </c>
      <c r="T73" s="1319">
        <f t="shared" ref="T73:AD95" ca="1" si="1158">VLOOKUP(T$1,INDIRECT(LU_MAT),$A73,FALSE)</f>
        <v>0</v>
      </c>
      <c r="U73" s="1319">
        <f t="shared" ca="1" si="1158"/>
        <v>0</v>
      </c>
      <c r="V73" s="1319">
        <f t="shared" ca="1" si="1158"/>
        <v>0</v>
      </c>
      <c r="W73" s="1319">
        <f t="shared" ca="1" si="1158"/>
        <v>0</v>
      </c>
      <c r="X73" s="1319">
        <f t="shared" ca="1" si="1158"/>
        <v>0</v>
      </c>
      <c r="Y73" s="1319">
        <f t="shared" ca="1" si="1158"/>
        <v>0</v>
      </c>
      <c r="Z73" s="1319">
        <f t="shared" ca="1" si="1158"/>
        <v>0</v>
      </c>
      <c r="AA73" s="1319">
        <f t="shared" ca="1" si="1158"/>
        <v>0</v>
      </c>
      <c r="AB73" s="1319">
        <f t="shared" ca="1" si="1158"/>
        <v>0</v>
      </c>
      <c r="AC73" s="1319">
        <f t="shared" ca="1" si="1158"/>
        <v>0</v>
      </c>
      <c r="AD73" s="1319">
        <f t="shared" ca="1" si="1158"/>
        <v>0</v>
      </c>
      <c r="AM73" s="1319">
        <f t="shared" ca="1" si="1150"/>
        <v>0</v>
      </c>
      <c r="AN73" s="1319">
        <f t="shared" ca="1" si="1150"/>
        <v>0</v>
      </c>
      <c r="AO73" s="1319">
        <f t="shared" ca="1" si="1149"/>
        <v>0</v>
      </c>
      <c r="AP73" s="1319">
        <f t="shared" ca="1" si="1149"/>
        <v>0</v>
      </c>
      <c r="AQ73" s="1319">
        <f t="shared" ca="1" si="1149"/>
        <v>0</v>
      </c>
      <c r="AR73" s="1319">
        <f t="shared" ca="1" si="1149"/>
        <v>0</v>
      </c>
      <c r="AS73" s="1319">
        <f t="shared" ca="1" si="1149"/>
        <v>0</v>
      </c>
      <c r="AT73" s="1319">
        <f t="shared" ca="1" si="1150"/>
        <v>0</v>
      </c>
      <c r="AU73" s="1319">
        <f t="shared" ca="1" si="1150"/>
        <v>0</v>
      </c>
      <c r="AV73" s="1319">
        <f t="shared" ca="1" si="1150"/>
        <v>0</v>
      </c>
      <c r="AW73" s="1319">
        <f t="shared" ca="1" si="1150"/>
        <v>0</v>
      </c>
      <c r="AX73" s="1319">
        <f t="shared" ca="1" si="1150"/>
        <v>0</v>
      </c>
      <c r="AY73" s="1319">
        <f t="shared" ca="1" si="1150"/>
        <v>0</v>
      </c>
      <c r="AZ73" s="1319">
        <f t="shared" ca="1" si="1150"/>
        <v>0</v>
      </c>
      <c r="BA73" s="1319">
        <f t="shared" ca="1" si="1150"/>
        <v>0</v>
      </c>
      <c r="BB73" s="1319">
        <f t="shared" ca="1" si="1150"/>
        <v>0</v>
      </c>
      <c r="BN73" s="1319">
        <f t="shared" ref="BN73:BR88" ca="1" si="1159">VLOOKUP(BN$1,INDIRECT(LU_MAT),$A73,FALSE)</f>
        <v>0</v>
      </c>
      <c r="BO73" s="1319">
        <f t="shared" ca="1" si="1159"/>
        <v>0</v>
      </c>
      <c r="BP73" s="1319">
        <f t="shared" ca="1" si="1159"/>
        <v>0</v>
      </c>
      <c r="BQ73" s="1319">
        <f t="shared" ca="1" si="1159"/>
        <v>0</v>
      </c>
      <c r="BR73" s="1319">
        <f t="shared" ca="1" si="1159"/>
        <v>0</v>
      </c>
      <c r="CD73" s="1319">
        <f t="shared" ref="CD73:CO88" ca="1" si="1160">VLOOKUP(CD$1,INDIRECT(LU_MAT),$A73,FALSE)</f>
        <v>0</v>
      </c>
      <c r="CE73" s="1319">
        <f t="shared" ca="1" si="1160"/>
        <v>0</v>
      </c>
      <c r="CF73" s="1319">
        <f t="shared" ca="1" si="1160"/>
        <v>0</v>
      </c>
      <c r="CG73" s="1319">
        <f t="shared" ca="1" si="1160"/>
        <v>0</v>
      </c>
      <c r="CH73" s="1319">
        <f t="shared" ca="1" si="1160"/>
        <v>0</v>
      </c>
      <c r="CI73" s="1319">
        <f t="shared" ca="1" si="1160"/>
        <v>0</v>
      </c>
      <c r="CJ73" s="1319">
        <f t="shared" ca="1" si="1160"/>
        <v>0</v>
      </c>
      <c r="CK73" s="1319">
        <f t="shared" ca="1" si="1160"/>
        <v>0</v>
      </c>
      <c r="CL73" s="1319">
        <f t="shared" ca="1" si="1160"/>
        <v>0</v>
      </c>
      <c r="CM73" s="1319">
        <f t="shared" ca="1" si="1160"/>
        <v>0</v>
      </c>
      <c r="CN73" s="1319">
        <f t="shared" ca="1" si="1160"/>
        <v>0</v>
      </c>
      <c r="CO73" s="1319">
        <f t="shared" ca="1" si="1160"/>
        <v>0</v>
      </c>
      <c r="DA73" s="1319">
        <f t="shared" ref="DA73:DJ88" ca="1" si="1161">VLOOKUP(DA$1,INDIRECT(LU_MAT),$A73,FALSE)</f>
        <v>0</v>
      </c>
      <c r="DB73" s="1319">
        <f t="shared" ca="1" si="1161"/>
        <v>0</v>
      </c>
      <c r="DC73" s="1319">
        <f t="shared" ca="1" si="1161"/>
        <v>0</v>
      </c>
      <c r="DD73" s="1319">
        <f t="shared" ca="1" si="1161"/>
        <v>0</v>
      </c>
      <c r="DE73" s="1319">
        <f t="shared" ca="1" si="1161"/>
        <v>0</v>
      </c>
      <c r="DF73" s="1319">
        <f t="shared" ca="1" si="1161"/>
        <v>0</v>
      </c>
      <c r="DG73" s="1319">
        <f t="shared" ca="1" si="1161"/>
        <v>0</v>
      </c>
      <c r="DH73" s="1319">
        <f t="shared" ca="1" si="1161"/>
        <v>0</v>
      </c>
      <c r="DI73" s="1319">
        <f t="shared" ca="1" si="1161"/>
        <v>0</v>
      </c>
      <c r="DJ73" s="1319">
        <f t="shared" ca="1" si="1161"/>
        <v>0</v>
      </c>
      <c r="DV73" s="1319">
        <f t="shared" ref="DV73:EK88" ca="1" si="1162">VLOOKUP(DV$1,INDIRECT(LU_MAT),$A73,FALSE)</f>
        <v>0</v>
      </c>
      <c r="DW73" s="1319">
        <f t="shared" ca="1" si="1162"/>
        <v>0</v>
      </c>
      <c r="DX73" s="1319">
        <f t="shared" ca="1" si="1162"/>
        <v>0</v>
      </c>
      <c r="DY73" s="1319">
        <f t="shared" ca="1" si="1162"/>
        <v>0</v>
      </c>
      <c r="DZ73" s="1319">
        <f t="shared" ca="1" si="1162"/>
        <v>0</v>
      </c>
      <c r="EA73" s="1319">
        <f t="shared" ca="1" si="1162"/>
        <v>0</v>
      </c>
      <c r="EB73" s="1319">
        <f t="shared" ca="1" si="1162"/>
        <v>0</v>
      </c>
      <c r="EC73" s="1319">
        <f t="shared" ca="1" si="1162"/>
        <v>0</v>
      </c>
      <c r="ED73" s="1319">
        <f t="shared" ca="1" si="1162"/>
        <v>0</v>
      </c>
      <c r="EE73" s="1319">
        <f t="shared" ca="1" si="1162"/>
        <v>0</v>
      </c>
      <c r="EF73" s="1319">
        <f t="shared" ca="1" si="1162"/>
        <v>0</v>
      </c>
      <c r="EG73" s="1319">
        <f t="shared" ca="1" si="1162"/>
        <v>0</v>
      </c>
      <c r="EH73" s="1319">
        <f t="shared" ca="1" si="1162"/>
        <v>0</v>
      </c>
      <c r="EI73" s="1319">
        <f t="shared" ca="1" si="1162"/>
        <v>0</v>
      </c>
      <c r="EJ73" s="1319">
        <f t="shared" ca="1" si="1101"/>
        <v>0</v>
      </c>
      <c r="EK73" s="1319">
        <f t="shared" ca="1" si="1162"/>
        <v>0</v>
      </c>
      <c r="EW73" s="1319">
        <f t="shared" ref="EW73:FB88" ca="1" si="1163">VLOOKUP(EW$1,INDIRECT(LU_MAT),$A73,FALSE)</f>
        <v>0</v>
      </c>
      <c r="EX73" s="1319">
        <f t="shared" ca="1" si="1163"/>
        <v>0</v>
      </c>
      <c r="EY73" s="1319">
        <f t="shared" ca="1" si="1163"/>
        <v>0</v>
      </c>
      <c r="EZ73" s="1319">
        <f t="shared" ca="1" si="1163"/>
        <v>0</v>
      </c>
      <c r="FA73" s="1319">
        <f t="shared" ca="1" si="1163"/>
        <v>0</v>
      </c>
      <c r="FB73" s="1319">
        <f t="shared" ca="1" si="1163"/>
        <v>0</v>
      </c>
      <c r="FN73" s="1319">
        <f t="shared" ref="FN73:FX88" ca="1" si="1164">VLOOKUP(FN$1,INDIRECT(LU_MAT),$A73,FALSE)</f>
        <v>0</v>
      </c>
      <c r="FO73" s="1319">
        <f t="shared" ca="1" si="1164"/>
        <v>0</v>
      </c>
      <c r="FP73" s="1319">
        <f t="shared" ca="1" si="1164"/>
        <v>0</v>
      </c>
      <c r="FQ73" s="1319">
        <f t="shared" ca="1" si="1164"/>
        <v>0</v>
      </c>
      <c r="FR73" s="1319">
        <f t="shared" ca="1" si="1164"/>
        <v>0</v>
      </c>
      <c r="FS73" s="1319">
        <f t="shared" ca="1" si="1164"/>
        <v>0</v>
      </c>
      <c r="FT73" s="1319">
        <f t="shared" ca="1" si="1164"/>
        <v>0</v>
      </c>
      <c r="FU73" s="1319">
        <f t="shared" ca="1" si="1164"/>
        <v>0</v>
      </c>
      <c r="FV73" s="1319">
        <f t="shared" ca="1" si="1164"/>
        <v>0</v>
      </c>
      <c r="FW73" s="1319">
        <f t="shared" ca="1" si="1164"/>
        <v>0</v>
      </c>
      <c r="FX73" s="1319">
        <f t="shared" ca="1" si="1164"/>
        <v>0</v>
      </c>
      <c r="GJ73" s="1319">
        <f t="shared" ref="GJ73:GQ88" ca="1" si="1165">VLOOKUP(GJ$1,INDIRECT(LU_MAT),$A73,FALSE)</f>
        <v>0</v>
      </c>
      <c r="GK73" s="1319">
        <f t="shared" ca="1" si="1165"/>
        <v>0</v>
      </c>
      <c r="GL73" s="1319">
        <f t="shared" ca="1" si="1165"/>
        <v>0</v>
      </c>
      <c r="GM73" s="1319">
        <f t="shared" ca="1" si="1165"/>
        <v>0</v>
      </c>
      <c r="GN73" s="1319">
        <f t="shared" ca="1" si="1165"/>
        <v>0</v>
      </c>
      <c r="GO73" s="1319">
        <f t="shared" ca="1" si="1165"/>
        <v>0</v>
      </c>
      <c r="GP73" s="1319">
        <f t="shared" ca="1" si="1165"/>
        <v>0</v>
      </c>
      <c r="GQ73" s="1319">
        <f t="shared" ca="1" si="1165"/>
        <v>0</v>
      </c>
      <c r="HC73" s="1319">
        <f t="shared" ref="HC73:HH88" ca="1" si="1166">VLOOKUP(HC$1,INDIRECT(LU_MAT),$A73,FALSE)</f>
        <v>0</v>
      </c>
      <c r="HD73" s="1319">
        <f t="shared" ca="1" si="1166"/>
        <v>0</v>
      </c>
      <c r="HE73" s="1319">
        <f t="shared" ca="1" si="1166"/>
        <v>0</v>
      </c>
      <c r="HF73" s="1319">
        <f t="shared" ca="1" si="1166"/>
        <v>0</v>
      </c>
      <c r="HG73" s="1319">
        <f t="shared" ca="1" si="1166"/>
        <v>0</v>
      </c>
      <c r="HH73" s="1319">
        <f t="shared" ca="1" si="1166"/>
        <v>0</v>
      </c>
      <c r="HT73" s="1319">
        <f t="shared" ref="HT73:IE88" ca="1" si="1167">VLOOKUP(HT$1,INDIRECT(LU_MAT),$A73,FALSE)</f>
        <v>0</v>
      </c>
      <c r="HU73" s="1319">
        <f t="shared" ca="1" si="1167"/>
        <v>0</v>
      </c>
      <c r="HV73" s="1319">
        <f t="shared" ca="1" si="1167"/>
        <v>0</v>
      </c>
      <c r="HW73" s="1319">
        <f t="shared" ca="1" si="1167"/>
        <v>0</v>
      </c>
      <c r="HX73" s="1319">
        <f t="shared" ca="1" si="1167"/>
        <v>0</v>
      </c>
      <c r="HY73" s="1319">
        <f t="shared" ca="1" si="1167"/>
        <v>0</v>
      </c>
      <c r="HZ73" s="1319">
        <f t="shared" ca="1" si="1167"/>
        <v>0</v>
      </c>
      <c r="IA73" s="1319">
        <f t="shared" ca="1" si="1167"/>
        <v>0</v>
      </c>
      <c r="IB73" s="1319">
        <f t="shared" ca="1" si="1167"/>
        <v>0</v>
      </c>
      <c r="IC73" s="1319">
        <f t="shared" ca="1" si="1167"/>
        <v>0</v>
      </c>
      <c r="ID73" s="1319">
        <f t="shared" ca="1" si="1167"/>
        <v>0</v>
      </c>
      <c r="IE73" s="1319">
        <f t="shared" ca="1" si="1167"/>
        <v>0</v>
      </c>
      <c r="IQ73" s="1319">
        <f t="shared" ref="IQ73:JH88" ca="1" si="1168">VLOOKUP(IQ$1,INDIRECT(LU_MAT),$A73,FALSE)</f>
        <v>0</v>
      </c>
      <c r="IR73" s="1319">
        <f t="shared" ca="1" si="1168"/>
        <v>0</v>
      </c>
      <c r="IS73" s="1319">
        <f t="shared" ca="1" si="1168"/>
        <v>0</v>
      </c>
      <c r="IT73" s="1319">
        <f t="shared" ca="1" si="1168"/>
        <v>0</v>
      </c>
      <c r="IU73" s="1319">
        <f t="shared" ca="1" si="1108"/>
        <v>0</v>
      </c>
      <c r="IV73" s="1319">
        <f t="shared" ca="1" si="1168"/>
        <v>0</v>
      </c>
      <c r="IW73" s="1319">
        <f t="shared" ca="1" si="1168"/>
        <v>0</v>
      </c>
      <c r="IX73" s="1319">
        <f t="shared" ca="1" si="1109"/>
        <v>0</v>
      </c>
      <c r="IY73" s="1319">
        <f t="shared" ca="1" si="1168"/>
        <v>0</v>
      </c>
      <c r="IZ73" s="1319">
        <f t="shared" ca="1" si="1168"/>
        <v>0</v>
      </c>
      <c r="JA73" s="1319">
        <f t="shared" ca="1" si="1168"/>
        <v>0</v>
      </c>
      <c r="JB73" s="1319">
        <f t="shared" ca="1" si="1168"/>
        <v>0</v>
      </c>
      <c r="JC73" s="1319">
        <f t="shared" ca="1" si="1168"/>
        <v>0</v>
      </c>
      <c r="JD73" s="1319">
        <f t="shared" ca="1" si="1168"/>
        <v>0</v>
      </c>
      <c r="JE73" s="1319">
        <f t="shared" ca="1" si="1168"/>
        <v>0</v>
      </c>
      <c r="JF73" s="1319">
        <f t="shared" ca="1" si="1168"/>
        <v>0</v>
      </c>
      <c r="JG73" s="1319">
        <f t="shared" ca="1" si="1168"/>
        <v>2251.9846600000001</v>
      </c>
      <c r="JH73" s="1319">
        <f t="shared" ca="1" si="1168"/>
        <v>0</v>
      </c>
      <c r="JT73" s="1319">
        <f t="shared" ref="JT73:KC88" ca="1" si="1169">VLOOKUP(JT$1,INDIRECT(LU_MAT),$A73,FALSE)</f>
        <v>0</v>
      </c>
      <c r="JU73" s="1319">
        <f t="shared" ca="1" si="1169"/>
        <v>0</v>
      </c>
      <c r="JV73" s="1319">
        <f t="shared" ca="1" si="1169"/>
        <v>0</v>
      </c>
      <c r="JW73" s="1319">
        <f t="shared" ca="1" si="1169"/>
        <v>0</v>
      </c>
      <c r="JX73" s="1319">
        <f t="shared" ca="1" si="1169"/>
        <v>0</v>
      </c>
      <c r="JY73" s="1319">
        <f t="shared" ca="1" si="1169"/>
        <v>0</v>
      </c>
      <c r="JZ73" s="1319">
        <f t="shared" ca="1" si="1169"/>
        <v>0</v>
      </c>
      <c r="KA73" s="1319">
        <f t="shared" ca="1" si="1169"/>
        <v>0</v>
      </c>
      <c r="KB73" s="1319">
        <f t="shared" ca="1" si="1169"/>
        <v>0</v>
      </c>
      <c r="KC73" s="1319">
        <f t="shared" ca="1" si="1169"/>
        <v>0</v>
      </c>
      <c r="KL73" s="1319">
        <f t="shared" ref="KL73:KR88" ca="1" si="1170">VLOOKUP(KL$1,INDIRECT(LU_MAT),$A73,FALSE)</f>
        <v>0</v>
      </c>
      <c r="KM73" s="1319">
        <f t="shared" ca="1" si="1170"/>
        <v>0</v>
      </c>
      <c r="KN73" s="1319">
        <f t="shared" ca="1" si="1170"/>
        <v>0</v>
      </c>
      <c r="KO73" s="1319">
        <f t="shared" ca="1" si="1170"/>
        <v>0</v>
      </c>
      <c r="KP73" s="1319">
        <f t="shared" ca="1" si="1170"/>
        <v>0</v>
      </c>
      <c r="KQ73" s="1319">
        <f t="shared" ca="1" si="1170"/>
        <v>0</v>
      </c>
      <c r="KR73" s="1319">
        <f t="shared" ca="1" si="1170"/>
        <v>0</v>
      </c>
      <c r="LA73" s="1319">
        <f t="shared" ref="LA73:LK88" ca="1" si="1171">VLOOKUP(LA$1,INDIRECT(LU_MAT),$A73,FALSE)</f>
        <v>0</v>
      </c>
      <c r="LB73" s="1319">
        <f t="shared" ca="1" si="1171"/>
        <v>0</v>
      </c>
      <c r="LC73" s="1319">
        <f t="shared" ca="1" si="1171"/>
        <v>0</v>
      </c>
      <c r="LD73" s="1319">
        <f t="shared" ca="1" si="1171"/>
        <v>0</v>
      </c>
      <c r="LE73" s="1319">
        <f t="shared" ca="1" si="1171"/>
        <v>0</v>
      </c>
      <c r="LF73" s="1319">
        <f t="shared" ca="1" si="1171"/>
        <v>0</v>
      </c>
      <c r="LG73" s="1319">
        <f t="shared" ca="1" si="1171"/>
        <v>0</v>
      </c>
      <c r="LH73" s="1319">
        <f t="shared" ca="1" si="1171"/>
        <v>0</v>
      </c>
      <c r="LI73" s="1319">
        <f t="shared" ca="1" si="1171"/>
        <v>0</v>
      </c>
      <c r="LJ73" s="1319">
        <f t="shared" ca="1" si="1171"/>
        <v>0</v>
      </c>
      <c r="LK73" s="1319">
        <f t="shared" ca="1" si="1171"/>
        <v>0</v>
      </c>
      <c r="LW73" s="1319">
        <f t="shared" ca="1" si="1113"/>
        <v>0</v>
      </c>
      <c r="LX73" s="1319">
        <f t="shared" ref="LX73:MO88" ca="1" si="1172">VLOOKUP(LX$1,INDIRECT(LU_MAT),$A73,FALSE)</f>
        <v>0</v>
      </c>
      <c r="LY73" s="1319">
        <f t="shared" ca="1" si="1172"/>
        <v>0</v>
      </c>
      <c r="LZ73" s="1319">
        <f t="shared" ca="1" si="1172"/>
        <v>0</v>
      </c>
      <c r="MA73" s="1319">
        <f t="shared" ca="1" si="1172"/>
        <v>0</v>
      </c>
      <c r="MB73" s="1319">
        <f t="shared" ca="1" si="1172"/>
        <v>0</v>
      </c>
      <c r="MC73" s="1319">
        <f t="shared" ca="1" si="1172"/>
        <v>0</v>
      </c>
      <c r="MD73" s="1319">
        <f t="shared" ca="1" si="1172"/>
        <v>0</v>
      </c>
      <c r="ME73" s="1319">
        <f t="shared" ca="1" si="1172"/>
        <v>0</v>
      </c>
      <c r="MF73" s="1319">
        <f t="shared" ca="1" si="1172"/>
        <v>0</v>
      </c>
      <c r="MG73" s="1319">
        <f t="shared" ca="1" si="1172"/>
        <v>0</v>
      </c>
      <c r="MH73" s="1319">
        <f t="shared" ref="MH73:MI88" ca="1" si="1173">VLOOKUP(MH$1,INDIRECT(LU_MAT),$A73,FALSE)</f>
        <v>0</v>
      </c>
      <c r="MI73" s="1319">
        <f t="shared" ca="1" si="1173"/>
        <v>0</v>
      </c>
      <c r="MJ73" s="1319">
        <f t="shared" ca="1" si="1172"/>
        <v>0</v>
      </c>
      <c r="MK73" s="1319">
        <f t="shared" ca="1" si="1172"/>
        <v>0</v>
      </c>
      <c r="ML73" s="1319">
        <f t="shared" ca="1" si="1172"/>
        <v>0</v>
      </c>
      <c r="MM73" s="1319">
        <f t="shared" ca="1" si="1172"/>
        <v>0</v>
      </c>
      <c r="MN73" s="1319">
        <f t="shared" ca="1" si="1172"/>
        <v>0</v>
      </c>
      <c r="MO73" s="1319">
        <f t="shared" ca="1" si="1172"/>
        <v>0</v>
      </c>
      <c r="NA73" s="1319">
        <f t="shared" ref="NA73:NP88" ca="1" si="1174">VLOOKUP(NA$1,INDIRECT(LU_MAT),$A73,FALSE)</f>
        <v>0</v>
      </c>
      <c r="NB73" s="1319">
        <f t="shared" ca="1" si="1174"/>
        <v>0</v>
      </c>
      <c r="NC73" s="1319">
        <f t="shared" ca="1" si="1174"/>
        <v>0</v>
      </c>
      <c r="ND73" s="1319">
        <f t="shared" ca="1" si="1174"/>
        <v>0</v>
      </c>
      <c r="NE73" s="1319">
        <f t="shared" ca="1" si="1174"/>
        <v>0</v>
      </c>
      <c r="NF73" s="1319">
        <f t="shared" ca="1" si="1174"/>
        <v>0</v>
      </c>
      <c r="NG73" s="1319">
        <f t="shared" ca="1" si="1174"/>
        <v>0</v>
      </c>
      <c r="NH73" s="1319">
        <f t="shared" ca="1" si="1174"/>
        <v>0</v>
      </c>
      <c r="NI73" s="1319">
        <f t="shared" ca="1" si="1174"/>
        <v>0</v>
      </c>
      <c r="NJ73" s="1319">
        <f t="shared" ca="1" si="1174"/>
        <v>0</v>
      </c>
      <c r="NK73" s="1319">
        <f t="shared" ca="1" si="1174"/>
        <v>0</v>
      </c>
      <c r="NL73" s="1319">
        <f t="shared" ca="1" si="1174"/>
        <v>0</v>
      </c>
      <c r="NM73" s="1319">
        <f t="shared" ca="1" si="1174"/>
        <v>0</v>
      </c>
      <c r="NN73" s="1319">
        <f t="shared" ca="1" si="1174"/>
        <v>0</v>
      </c>
      <c r="NO73" s="1319">
        <f t="shared" ca="1" si="1174"/>
        <v>0</v>
      </c>
      <c r="NP73" s="1319">
        <f t="shared" ca="1" si="1174"/>
        <v>0</v>
      </c>
      <c r="OH73" s="1319">
        <f t="shared" ref="OH73:OO88" ca="1" si="1175">VLOOKUP(OH$1,INDIRECT(LU_MAT),$A73,FALSE)</f>
        <v>0</v>
      </c>
      <c r="OI73" s="1319">
        <f t="shared" ca="1" si="1175"/>
        <v>0</v>
      </c>
      <c r="OJ73" s="1319">
        <f t="shared" ca="1" si="1175"/>
        <v>0</v>
      </c>
      <c r="OK73" s="1319">
        <f t="shared" ca="1" si="1175"/>
        <v>0</v>
      </c>
      <c r="OL73" s="1319">
        <f t="shared" ca="1" si="1175"/>
        <v>0</v>
      </c>
      <c r="OM73" s="1319">
        <f t="shared" ca="1" si="1175"/>
        <v>0</v>
      </c>
      <c r="ON73" s="1319">
        <f t="shared" ca="1" si="1175"/>
        <v>0</v>
      </c>
      <c r="OO73" s="1319">
        <f t="shared" ca="1" si="1175"/>
        <v>0</v>
      </c>
      <c r="PA73" s="1319">
        <f t="shared" ref="PA73:PK88" ca="1" si="1176">VLOOKUP(PA$1,INDIRECT(LU_MAT),$A73,FALSE)</f>
        <v>0</v>
      </c>
      <c r="PB73" s="1319">
        <f t="shared" ca="1" si="1176"/>
        <v>0</v>
      </c>
      <c r="PC73" s="1319">
        <f t="shared" ca="1" si="1176"/>
        <v>0</v>
      </c>
      <c r="PD73" s="1319">
        <f t="shared" ca="1" si="1176"/>
        <v>0</v>
      </c>
      <c r="PE73" s="1319">
        <f t="shared" ca="1" si="1176"/>
        <v>0</v>
      </c>
      <c r="PF73" s="1319">
        <f t="shared" ca="1" si="1176"/>
        <v>0</v>
      </c>
      <c r="PG73" s="1319">
        <f t="shared" ca="1" si="1176"/>
        <v>0</v>
      </c>
      <c r="PH73" s="1319">
        <f t="shared" ca="1" si="1176"/>
        <v>0</v>
      </c>
      <c r="PI73" s="1319">
        <f t="shared" ca="1" si="1176"/>
        <v>0</v>
      </c>
      <c r="PJ73" s="1319">
        <f t="shared" ca="1" si="1176"/>
        <v>0</v>
      </c>
      <c r="PK73" s="1319">
        <f t="shared" ca="1" si="1176"/>
        <v>0</v>
      </c>
      <c r="PW73" s="1319">
        <f t="shared" ref="PW73:PZ88" ca="1" si="1177">VLOOKUP(PW$1,INDIRECT(LU_MAT),$A73,FALSE)</f>
        <v>0</v>
      </c>
      <c r="PX73" s="1319">
        <f t="shared" ca="1" si="1177"/>
        <v>0</v>
      </c>
      <c r="PY73" s="1319">
        <f t="shared" ca="1" si="1177"/>
        <v>0</v>
      </c>
      <c r="PZ73" s="1319">
        <f t="shared" ca="1" si="1177"/>
        <v>0</v>
      </c>
    </row>
    <row r="74" spans="1:442" x14ac:dyDescent="0.25">
      <c r="A74" s="189">
        <v>35</v>
      </c>
      <c r="B74" s="189" t="s">
        <v>1256</v>
      </c>
      <c r="C74" s="1317" t="s">
        <v>1303</v>
      </c>
      <c r="D74" s="1317" t="s">
        <v>206</v>
      </c>
      <c r="J74" s="1319">
        <f t="shared" ca="1" si="1157"/>
        <v>0</v>
      </c>
      <c r="K74" s="1319">
        <f t="shared" ca="1" si="1151"/>
        <v>0</v>
      </c>
      <c r="T74" s="1319">
        <f t="shared" ca="1" si="1158"/>
        <v>0</v>
      </c>
      <c r="U74" s="1319">
        <f t="shared" ca="1" si="1158"/>
        <v>0</v>
      </c>
      <c r="V74" s="1319">
        <f t="shared" ca="1" si="1158"/>
        <v>0</v>
      </c>
      <c r="W74" s="1319">
        <f t="shared" ca="1" si="1158"/>
        <v>0</v>
      </c>
      <c r="X74" s="1319">
        <f t="shared" ca="1" si="1158"/>
        <v>0</v>
      </c>
      <c r="Y74" s="1319">
        <f t="shared" ca="1" si="1158"/>
        <v>0</v>
      </c>
      <c r="Z74" s="1319">
        <f t="shared" ca="1" si="1158"/>
        <v>0</v>
      </c>
      <c r="AA74" s="1319">
        <f t="shared" ca="1" si="1158"/>
        <v>0</v>
      </c>
      <c r="AB74" s="1319">
        <f t="shared" ca="1" si="1158"/>
        <v>0</v>
      </c>
      <c r="AC74" s="1319">
        <f t="shared" ca="1" si="1158"/>
        <v>0</v>
      </c>
      <c r="AD74" s="1319">
        <f t="shared" ca="1" si="1158"/>
        <v>0</v>
      </c>
      <c r="AM74" s="1319">
        <f t="shared" ca="1" si="1150"/>
        <v>0</v>
      </c>
      <c r="AN74" s="1319">
        <f t="shared" ca="1" si="1150"/>
        <v>0</v>
      </c>
      <c r="AO74" s="1319">
        <f t="shared" ca="1" si="1149"/>
        <v>0</v>
      </c>
      <c r="AP74" s="1319">
        <f t="shared" ca="1" si="1149"/>
        <v>0</v>
      </c>
      <c r="AQ74" s="1319">
        <f t="shared" ca="1" si="1149"/>
        <v>0</v>
      </c>
      <c r="AR74" s="1319">
        <f t="shared" ca="1" si="1149"/>
        <v>0</v>
      </c>
      <c r="AS74" s="1319">
        <f t="shared" ca="1" si="1149"/>
        <v>0</v>
      </c>
      <c r="AT74" s="1319">
        <f t="shared" ca="1" si="1150"/>
        <v>0</v>
      </c>
      <c r="AU74" s="1319">
        <f t="shared" ca="1" si="1150"/>
        <v>0</v>
      </c>
      <c r="AV74" s="1319">
        <f t="shared" ca="1" si="1150"/>
        <v>0</v>
      </c>
      <c r="AW74" s="1319">
        <f t="shared" ca="1" si="1150"/>
        <v>0</v>
      </c>
      <c r="AX74" s="1319">
        <f t="shared" ca="1" si="1150"/>
        <v>0</v>
      </c>
      <c r="AY74" s="1319">
        <f t="shared" ca="1" si="1150"/>
        <v>0</v>
      </c>
      <c r="AZ74" s="1319">
        <f t="shared" ca="1" si="1150"/>
        <v>0</v>
      </c>
      <c r="BA74" s="1319">
        <f t="shared" ca="1" si="1150"/>
        <v>0</v>
      </c>
      <c r="BB74" s="1319">
        <f t="shared" ca="1" si="1150"/>
        <v>0</v>
      </c>
      <c r="BN74" s="1319">
        <f t="shared" ca="1" si="1159"/>
        <v>0</v>
      </c>
      <c r="BO74" s="1319">
        <f t="shared" ca="1" si="1159"/>
        <v>0</v>
      </c>
      <c r="BP74" s="1319">
        <f t="shared" ca="1" si="1159"/>
        <v>0</v>
      </c>
      <c r="BQ74" s="1319">
        <f t="shared" ca="1" si="1159"/>
        <v>0</v>
      </c>
      <c r="BR74" s="1319">
        <f t="shared" ca="1" si="1159"/>
        <v>0</v>
      </c>
      <c r="CD74" s="1319">
        <f t="shared" ca="1" si="1160"/>
        <v>0</v>
      </c>
      <c r="CE74" s="1319">
        <f t="shared" ca="1" si="1160"/>
        <v>0</v>
      </c>
      <c r="CF74" s="1319">
        <f t="shared" ca="1" si="1160"/>
        <v>0</v>
      </c>
      <c r="CG74" s="1319">
        <f t="shared" ca="1" si="1160"/>
        <v>0</v>
      </c>
      <c r="CH74" s="1319">
        <f t="shared" ca="1" si="1160"/>
        <v>0</v>
      </c>
      <c r="CI74" s="1319">
        <f t="shared" ca="1" si="1160"/>
        <v>0</v>
      </c>
      <c r="CJ74" s="1319">
        <f t="shared" ca="1" si="1160"/>
        <v>0</v>
      </c>
      <c r="CK74" s="1319">
        <f t="shared" ca="1" si="1160"/>
        <v>0</v>
      </c>
      <c r="CL74" s="1319">
        <f t="shared" ca="1" si="1160"/>
        <v>0</v>
      </c>
      <c r="CM74" s="1319">
        <f t="shared" ca="1" si="1160"/>
        <v>0</v>
      </c>
      <c r="CN74" s="1319">
        <f t="shared" ca="1" si="1160"/>
        <v>0</v>
      </c>
      <c r="CO74" s="1319">
        <f t="shared" ca="1" si="1160"/>
        <v>0</v>
      </c>
      <c r="DA74" s="1319">
        <f t="shared" ca="1" si="1161"/>
        <v>0</v>
      </c>
      <c r="DB74" s="1319">
        <f t="shared" ca="1" si="1161"/>
        <v>0</v>
      </c>
      <c r="DC74" s="1319">
        <f t="shared" ca="1" si="1161"/>
        <v>0</v>
      </c>
      <c r="DD74" s="1319">
        <f t="shared" ca="1" si="1161"/>
        <v>0</v>
      </c>
      <c r="DE74" s="1319">
        <f t="shared" ca="1" si="1161"/>
        <v>0</v>
      </c>
      <c r="DF74" s="1319">
        <f t="shared" ca="1" si="1161"/>
        <v>0</v>
      </c>
      <c r="DG74" s="1319">
        <f t="shared" ca="1" si="1161"/>
        <v>0</v>
      </c>
      <c r="DH74" s="1319">
        <f t="shared" ca="1" si="1161"/>
        <v>0</v>
      </c>
      <c r="DI74" s="1319">
        <f t="shared" ca="1" si="1161"/>
        <v>0</v>
      </c>
      <c r="DJ74" s="1319">
        <f t="shared" ca="1" si="1161"/>
        <v>0</v>
      </c>
      <c r="DV74" s="1319">
        <f t="shared" ca="1" si="1162"/>
        <v>0</v>
      </c>
      <c r="DW74" s="1319">
        <f t="shared" ca="1" si="1162"/>
        <v>0</v>
      </c>
      <c r="DX74" s="1319">
        <f t="shared" ca="1" si="1162"/>
        <v>0</v>
      </c>
      <c r="DY74" s="1319">
        <f t="shared" ca="1" si="1162"/>
        <v>0</v>
      </c>
      <c r="DZ74" s="1319">
        <f t="shared" ca="1" si="1162"/>
        <v>0</v>
      </c>
      <c r="EA74" s="1319">
        <f t="shared" ca="1" si="1162"/>
        <v>0</v>
      </c>
      <c r="EB74" s="1319">
        <f t="shared" ca="1" si="1162"/>
        <v>0</v>
      </c>
      <c r="EC74" s="1319">
        <f t="shared" ca="1" si="1162"/>
        <v>67.352044000000006</v>
      </c>
      <c r="ED74" s="1319">
        <f t="shared" ca="1" si="1162"/>
        <v>0</v>
      </c>
      <c r="EE74" s="1319">
        <f t="shared" ca="1" si="1162"/>
        <v>0</v>
      </c>
      <c r="EF74" s="1319">
        <f t="shared" ca="1" si="1162"/>
        <v>67.352044000000006</v>
      </c>
      <c r="EG74" s="1319">
        <f t="shared" ca="1" si="1162"/>
        <v>0</v>
      </c>
      <c r="EH74" s="1319">
        <f t="shared" ca="1" si="1162"/>
        <v>0</v>
      </c>
      <c r="EI74" s="1319">
        <f t="shared" ca="1" si="1162"/>
        <v>0</v>
      </c>
      <c r="EJ74" s="1319">
        <f t="shared" ca="1" si="1101"/>
        <v>0</v>
      </c>
      <c r="EK74" s="1319">
        <f t="shared" ca="1" si="1162"/>
        <v>0</v>
      </c>
      <c r="EW74" s="1319">
        <f t="shared" ca="1" si="1163"/>
        <v>0</v>
      </c>
      <c r="EX74" s="1319">
        <f t="shared" ca="1" si="1163"/>
        <v>0</v>
      </c>
      <c r="EY74" s="1319">
        <f t="shared" ca="1" si="1163"/>
        <v>0</v>
      </c>
      <c r="EZ74" s="1319">
        <f t="shared" ca="1" si="1163"/>
        <v>0</v>
      </c>
      <c r="FA74" s="1319">
        <f t="shared" ca="1" si="1163"/>
        <v>0</v>
      </c>
      <c r="FB74" s="1319">
        <f t="shared" ca="1" si="1163"/>
        <v>0</v>
      </c>
      <c r="FN74" s="1319">
        <f t="shared" ca="1" si="1164"/>
        <v>0</v>
      </c>
      <c r="FO74" s="1319">
        <f t="shared" ca="1" si="1164"/>
        <v>0</v>
      </c>
      <c r="FP74" s="1319">
        <f t="shared" ca="1" si="1164"/>
        <v>0</v>
      </c>
      <c r="FQ74" s="1319">
        <f t="shared" ca="1" si="1164"/>
        <v>0</v>
      </c>
      <c r="FR74" s="1319">
        <f t="shared" ca="1" si="1164"/>
        <v>0</v>
      </c>
      <c r="FS74" s="1319">
        <f t="shared" ca="1" si="1164"/>
        <v>0</v>
      </c>
      <c r="FT74" s="1319">
        <f t="shared" ca="1" si="1164"/>
        <v>0</v>
      </c>
      <c r="FU74" s="1319">
        <f t="shared" ca="1" si="1164"/>
        <v>0</v>
      </c>
      <c r="FV74" s="1319">
        <f t="shared" ca="1" si="1164"/>
        <v>0</v>
      </c>
      <c r="FW74" s="1319">
        <f t="shared" ca="1" si="1164"/>
        <v>0</v>
      </c>
      <c r="FX74" s="1319">
        <f t="shared" ca="1" si="1164"/>
        <v>0</v>
      </c>
      <c r="GJ74" s="1319">
        <f t="shared" ca="1" si="1165"/>
        <v>0</v>
      </c>
      <c r="GK74" s="1319">
        <f t="shared" ca="1" si="1165"/>
        <v>0</v>
      </c>
      <c r="GL74" s="1319">
        <f t="shared" ca="1" si="1165"/>
        <v>0</v>
      </c>
      <c r="GM74" s="1319">
        <f t="shared" ca="1" si="1165"/>
        <v>0</v>
      </c>
      <c r="GN74" s="1319">
        <f t="shared" ca="1" si="1165"/>
        <v>0</v>
      </c>
      <c r="GO74" s="1319">
        <f t="shared" ca="1" si="1165"/>
        <v>0</v>
      </c>
      <c r="GP74" s="1319">
        <f t="shared" ca="1" si="1165"/>
        <v>0</v>
      </c>
      <c r="GQ74" s="1319">
        <f t="shared" ca="1" si="1165"/>
        <v>0</v>
      </c>
      <c r="HC74" s="1319">
        <f t="shared" ca="1" si="1166"/>
        <v>0</v>
      </c>
      <c r="HD74" s="1319">
        <f t="shared" ca="1" si="1166"/>
        <v>0</v>
      </c>
      <c r="HE74" s="1319">
        <f t="shared" ca="1" si="1166"/>
        <v>0</v>
      </c>
      <c r="HF74" s="1319">
        <f t="shared" ca="1" si="1166"/>
        <v>0</v>
      </c>
      <c r="HG74" s="1319">
        <f t="shared" ca="1" si="1166"/>
        <v>0</v>
      </c>
      <c r="HH74" s="1319">
        <f t="shared" ca="1" si="1166"/>
        <v>0</v>
      </c>
      <c r="HT74" s="1319">
        <f t="shared" ca="1" si="1167"/>
        <v>0</v>
      </c>
      <c r="HU74" s="1319">
        <f t="shared" ca="1" si="1167"/>
        <v>0</v>
      </c>
      <c r="HV74" s="1319">
        <f t="shared" ca="1" si="1167"/>
        <v>0</v>
      </c>
      <c r="HW74" s="1319">
        <f t="shared" ca="1" si="1167"/>
        <v>0</v>
      </c>
      <c r="HX74" s="1319">
        <f t="shared" ca="1" si="1167"/>
        <v>0</v>
      </c>
      <c r="HY74" s="1319">
        <f t="shared" ca="1" si="1167"/>
        <v>0</v>
      </c>
      <c r="HZ74" s="1319">
        <f t="shared" ca="1" si="1167"/>
        <v>0</v>
      </c>
      <c r="IA74" s="1319">
        <f t="shared" ca="1" si="1167"/>
        <v>0</v>
      </c>
      <c r="IB74" s="1319">
        <f t="shared" ca="1" si="1167"/>
        <v>0</v>
      </c>
      <c r="IC74" s="1319">
        <f t="shared" ca="1" si="1167"/>
        <v>0</v>
      </c>
      <c r="ID74" s="1319">
        <f t="shared" ca="1" si="1167"/>
        <v>0</v>
      </c>
      <c r="IE74" s="1319">
        <f t="shared" ca="1" si="1167"/>
        <v>0</v>
      </c>
      <c r="IQ74" s="1319">
        <f t="shared" ca="1" si="1168"/>
        <v>0</v>
      </c>
      <c r="IR74" s="1319">
        <f t="shared" ca="1" si="1168"/>
        <v>0</v>
      </c>
      <c r="IS74" s="1319">
        <f t="shared" ca="1" si="1168"/>
        <v>0</v>
      </c>
      <c r="IT74" s="1319">
        <f t="shared" ca="1" si="1168"/>
        <v>0</v>
      </c>
      <c r="IU74" s="1319">
        <f t="shared" ca="1" si="1108"/>
        <v>0</v>
      </c>
      <c r="IV74" s="1319">
        <f t="shared" ca="1" si="1168"/>
        <v>0</v>
      </c>
      <c r="IW74" s="1319">
        <f t="shared" ca="1" si="1168"/>
        <v>0</v>
      </c>
      <c r="IX74" s="1319">
        <f t="shared" ca="1" si="1109"/>
        <v>0</v>
      </c>
      <c r="IY74" s="1319">
        <f t="shared" ca="1" si="1168"/>
        <v>0</v>
      </c>
      <c r="IZ74" s="1319">
        <f t="shared" ca="1" si="1168"/>
        <v>0</v>
      </c>
      <c r="JA74" s="1319">
        <f t="shared" ca="1" si="1168"/>
        <v>0</v>
      </c>
      <c r="JB74" s="1319">
        <f t="shared" ca="1" si="1168"/>
        <v>0</v>
      </c>
      <c r="JC74" s="1319">
        <f t="shared" ca="1" si="1168"/>
        <v>0</v>
      </c>
      <c r="JD74" s="1319">
        <f t="shared" ca="1" si="1168"/>
        <v>0</v>
      </c>
      <c r="JE74" s="1319">
        <f t="shared" ca="1" si="1168"/>
        <v>0</v>
      </c>
      <c r="JF74" s="1319">
        <f t="shared" ca="1" si="1168"/>
        <v>0</v>
      </c>
      <c r="JG74" s="1319">
        <f t="shared" ca="1" si="1168"/>
        <v>0</v>
      </c>
      <c r="JH74" s="1319">
        <f t="shared" ca="1" si="1168"/>
        <v>0</v>
      </c>
      <c r="JT74" s="1319">
        <f t="shared" ca="1" si="1169"/>
        <v>0</v>
      </c>
      <c r="JU74" s="1319">
        <f t="shared" ca="1" si="1169"/>
        <v>0</v>
      </c>
      <c r="JV74" s="1319">
        <f t="shared" ca="1" si="1169"/>
        <v>0</v>
      </c>
      <c r="JW74" s="1319">
        <f t="shared" ca="1" si="1169"/>
        <v>0</v>
      </c>
      <c r="JX74" s="1319">
        <f t="shared" ca="1" si="1169"/>
        <v>0</v>
      </c>
      <c r="JY74" s="1319">
        <f t="shared" ca="1" si="1169"/>
        <v>0</v>
      </c>
      <c r="JZ74" s="1319">
        <f t="shared" ca="1" si="1169"/>
        <v>0</v>
      </c>
      <c r="KA74" s="1319">
        <f t="shared" ca="1" si="1169"/>
        <v>0</v>
      </c>
      <c r="KB74" s="1319">
        <f t="shared" ca="1" si="1169"/>
        <v>0</v>
      </c>
      <c r="KC74" s="1319">
        <f t="shared" ca="1" si="1169"/>
        <v>0</v>
      </c>
      <c r="KL74" s="1319">
        <f t="shared" ca="1" si="1170"/>
        <v>0</v>
      </c>
      <c r="KM74" s="1319">
        <f t="shared" ca="1" si="1170"/>
        <v>0</v>
      </c>
      <c r="KN74" s="1319">
        <f t="shared" ca="1" si="1170"/>
        <v>0</v>
      </c>
      <c r="KO74" s="1319">
        <f t="shared" ca="1" si="1170"/>
        <v>0</v>
      </c>
      <c r="KP74" s="1319">
        <f t="shared" ca="1" si="1170"/>
        <v>0</v>
      </c>
      <c r="KQ74" s="1319">
        <f t="shared" ca="1" si="1170"/>
        <v>0</v>
      </c>
      <c r="KR74" s="1319">
        <f t="shared" ca="1" si="1170"/>
        <v>0</v>
      </c>
      <c r="LA74" s="1319">
        <f t="shared" ca="1" si="1171"/>
        <v>0</v>
      </c>
      <c r="LB74" s="1319">
        <f t="shared" ca="1" si="1171"/>
        <v>0</v>
      </c>
      <c r="LC74" s="1319">
        <f t="shared" ca="1" si="1171"/>
        <v>0</v>
      </c>
      <c r="LD74" s="1319">
        <f t="shared" ca="1" si="1171"/>
        <v>0</v>
      </c>
      <c r="LE74" s="1319">
        <f t="shared" ca="1" si="1171"/>
        <v>0</v>
      </c>
      <c r="LF74" s="1319">
        <f t="shared" ca="1" si="1171"/>
        <v>0</v>
      </c>
      <c r="LG74" s="1319">
        <f t="shared" ca="1" si="1171"/>
        <v>0</v>
      </c>
      <c r="LH74" s="1319">
        <f t="shared" ca="1" si="1171"/>
        <v>0</v>
      </c>
      <c r="LI74" s="1319">
        <f t="shared" ca="1" si="1171"/>
        <v>0</v>
      </c>
      <c r="LJ74" s="1319">
        <f t="shared" ca="1" si="1171"/>
        <v>0</v>
      </c>
      <c r="LK74" s="1319">
        <f t="shared" ca="1" si="1171"/>
        <v>0</v>
      </c>
      <c r="LW74" s="1319">
        <f t="shared" ca="1" si="1113"/>
        <v>0</v>
      </c>
      <c r="LX74" s="1319">
        <f t="shared" ca="1" si="1172"/>
        <v>0</v>
      </c>
      <c r="LY74" s="1319">
        <f t="shared" ca="1" si="1172"/>
        <v>0</v>
      </c>
      <c r="LZ74" s="1319">
        <f t="shared" ca="1" si="1172"/>
        <v>0</v>
      </c>
      <c r="MA74" s="1319">
        <f t="shared" ca="1" si="1172"/>
        <v>0</v>
      </c>
      <c r="MB74" s="1319">
        <f t="shared" ca="1" si="1172"/>
        <v>0</v>
      </c>
      <c r="MC74" s="1319">
        <f t="shared" ca="1" si="1172"/>
        <v>0</v>
      </c>
      <c r="MD74" s="1319">
        <f t="shared" ca="1" si="1172"/>
        <v>0</v>
      </c>
      <c r="ME74" s="1319">
        <f t="shared" ca="1" si="1172"/>
        <v>0</v>
      </c>
      <c r="MF74" s="1319">
        <f t="shared" ca="1" si="1172"/>
        <v>0</v>
      </c>
      <c r="MG74" s="1319">
        <f t="shared" ca="1" si="1172"/>
        <v>0</v>
      </c>
      <c r="MH74" s="1319">
        <f t="shared" ca="1" si="1173"/>
        <v>0</v>
      </c>
      <c r="MI74" s="1319">
        <f t="shared" ca="1" si="1173"/>
        <v>0</v>
      </c>
      <c r="MJ74" s="1319">
        <f t="shared" ca="1" si="1172"/>
        <v>0</v>
      </c>
      <c r="MK74" s="1319">
        <f t="shared" ca="1" si="1172"/>
        <v>0</v>
      </c>
      <c r="ML74" s="1319">
        <f t="shared" ca="1" si="1172"/>
        <v>0</v>
      </c>
      <c r="MM74" s="1319">
        <f t="shared" ca="1" si="1172"/>
        <v>0</v>
      </c>
      <c r="MN74" s="1319">
        <f t="shared" ca="1" si="1172"/>
        <v>0</v>
      </c>
      <c r="MO74" s="1319">
        <f t="shared" ca="1" si="1172"/>
        <v>0</v>
      </c>
      <c r="NA74" s="1319">
        <f t="shared" ca="1" si="1174"/>
        <v>0</v>
      </c>
      <c r="NB74" s="1319">
        <f t="shared" ca="1" si="1174"/>
        <v>0</v>
      </c>
      <c r="NC74" s="1319">
        <f t="shared" ca="1" si="1174"/>
        <v>0</v>
      </c>
      <c r="ND74" s="1319">
        <f t="shared" ca="1" si="1174"/>
        <v>0</v>
      </c>
      <c r="NE74" s="1319">
        <f t="shared" ca="1" si="1174"/>
        <v>0</v>
      </c>
      <c r="NF74" s="1319">
        <f t="shared" ca="1" si="1174"/>
        <v>0</v>
      </c>
      <c r="NG74" s="1319">
        <f t="shared" ca="1" si="1174"/>
        <v>0</v>
      </c>
      <c r="NH74" s="1319">
        <f t="shared" ca="1" si="1174"/>
        <v>0</v>
      </c>
      <c r="NI74" s="1319">
        <f t="shared" ca="1" si="1174"/>
        <v>0</v>
      </c>
      <c r="NJ74" s="1319">
        <f t="shared" ca="1" si="1174"/>
        <v>0</v>
      </c>
      <c r="NK74" s="1319">
        <f t="shared" ca="1" si="1174"/>
        <v>0</v>
      </c>
      <c r="NL74" s="1319">
        <f t="shared" ca="1" si="1174"/>
        <v>0</v>
      </c>
      <c r="NM74" s="1319">
        <f t="shared" ca="1" si="1174"/>
        <v>0</v>
      </c>
      <c r="NN74" s="1319">
        <f t="shared" ca="1" si="1174"/>
        <v>0</v>
      </c>
      <c r="NO74" s="1319">
        <f t="shared" ca="1" si="1174"/>
        <v>0</v>
      </c>
      <c r="NP74" s="1319">
        <f t="shared" ca="1" si="1174"/>
        <v>0</v>
      </c>
      <c r="OH74" s="1319">
        <f t="shared" ca="1" si="1175"/>
        <v>0</v>
      </c>
      <c r="OI74" s="1319">
        <f t="shared" ca="1" si="1175"/>
        <v>0</v>
      </c>
      <c r="OJ74" s="1319">
        <f t="shared" ca="1" si="1175"/>
        <v>0</v>
      </c>
      <c r="OK74" s="1319">
        <f t="shared" ca="1" si="1175"/>
        <v>0</v>
      </c>
      <c r="OL74" s="1319">
        <f t="shared" ca="1" si="1175"/>
        <v>0</v>
      </c>
      <c r="OM74" s="1319">
        <f t="shared" ca="1" si="1175"/>
        <v>0</v>
      </c>
      <c r="ON74" s="1319">
        <f t="shared" ca="1" si="1175"/>
        <v>0</v>
      </c>
      <c r="OO74" s="1319">
        <f t="shared" ca="1" si="1175"/>
        <v>0</v>
      </c>
      <c r="PA74" s="1319">
        <f t="shared" ca="1" si="1176"/>
        <v>0</v>
      </c>
      <c r="PB74" s="1319">
        <f t="shared" ca="1" si="1176"/>
        <v>0</v>
      </c>
      <c r="PC74" s="1319">
        <f t="shared" ca="1" si="1176"/>
        <v>0</v>
      </c>
      <c r="PD74" s="1319">
        <f t="shared" ca="1" si="1176"/>
        <v>0</v>
      </c>
      <c r="PE74" s="1319">
        <f t="shared" ca="1" si="1176"/>
        <v>0</v>
      </c>
      <c r="PF74" s="1319">
        <f t="shared" ca="1" si="1176"/>
        <v>0</v>
      </c>
      <c r="PG74" s="1319">
        <f t="shared" ca="1" si="1176"/>
        <v>0</v>
      </c>
      <c r="PH74" s="1319">
        <f t="shared" ca="1" si="1176"/>
        <v>0</v>
      </c>
      <c r="PI74" s="1319">
        <f t="shared" ca="1" si="1176"/>
        <v>0</v>
      </c>
      <c r="PJ74" s="1319">
        <f t="shared" ca="1" si="1176"/>
        <v>0</v>
      </c>
      <c r="PK74" s="1319">
        <f t="shared" ca="1" si="1176"/>
        <v>0</v>
      </c>
      <c r="PW74" s="1319">
        <f t="shared" ca="1" si="1177"/>
        <v>0</v>
      </c>
      <c r="PX74" s="1319">
        <f t="shared" ca="1" si="1177"/>
        <v>0</v>
      </c>
      <c r="PY74" s="1319">
        <f t="shared" ca="1" si="1177"/>
        <v>0</v>
      </c>
      <c r="PZ74" s="1319">
        <f t="shared" ca="1" si="1177"/>
        <v>0</v>
      </c>
    </row>
    <row r="75" spans="1:442" x14ac:dyDescent="0.25">
      <c r="A75" s="189">
        <v>36</v>
      </c>
      <c r="B75" s="189" t="s">
        <v>1256</v>
      </c>
      <c r="C75" s="1317" t="s">
        <v>1304</v>
      </c>
      <c r="D75" s="1317" t="s">
        <v>206</v>
      </c>
      <c r="J75" s="1319">
        <f t="shared" ca="1" si="1157"/>
        <v>0</v>
      </c>
      <c r="K75" s="1319">
        <f t="shared" ca="1" si="1151"/>
        <v>0</v>
      </c>
      <c r="T75" s="1319">
        <f t="shared" ca="1" si="1158"/>
        <v>0</v>
      </c>
      <c r="U75" s="1319">
        <f t="shared" ca="1" si="1158"/>
        <v>0</v>
      </c>
      <c r="V75" s="1319">
        <f t="shared" ca="1" si="1158"/>
        <v>0</v>
      </c>
      <c r="W75" s="1319">
        <f t="shared" ca="1" si="1158"/>
        <v>0</v>
      </c>
      <c r="X75" s="1319">
        <f t="shared" ca="1" si="1158"/>
        <v>0</v>
      </c>
      <c r="Y75" s="1319">
        <f t="shared" ca="1" si="1158"/>
        <v>0</v>
      </c>
      <c r="Z75" s="1319">
        <f t="shared" ca="1" si="1158"/>
        <v>0</v>
      </c>
      <c r="AA75" s="1319">
        <f t="shared" ca="1" si="1158"/>
        <v>0</v>
      </c>
      <c r="AB75" s="1319">
        <f t="shared" ca="1" si="1158"/>
        <v>0</v>
      </c>
      <c r="AC75" s="1319">
        <f t="shared" ca="1" si="1158"/>
        <v>0</v>
      </c>
      <c r="AD75" s="1319">
        <f t="shared" ca="1" si="1158"/>
        <v>0</v>
      </c>
      <c r="AM75" s="1319">
        <f t="shared" ca="1" si="1150"/>
        <v>0</v>
      </c>
      <c r="AN75" s="1319">
        <f t="shared" ca="1" si="1150"/>
        <v>0</v>
      </c>
      <c r="AO75" s="1319">
        <f t="shared" ca="1" si="1149"/>
        <v>0</v>
      </c>
      <c r="AP75" s="1319">
        <f t="shared" ca="1" si="1149"/>
        <v>0</v>
      </c>
      <c r="AQ75" s="1319">
        <f t="shared" ca="1" si="1149"/>
        <v>0</v>
      </c>
      <c r="AR75" s="1319">
        <f t="shared" ca="1" si="1149"/>
        <v>0</v>
      </c>
      <c r="AS75" s="1319">
        <f t="shared" ca="1" si="1149"/>
        <v>0</v>
      </c>
      <c r="AT75" s="1319">
        <f t="shared" ca="1" si="1150"/>
        <v>0</v>
      </c>
      <c r="AU75" s="1319">
        <f t="shared" ca="1" si="1150"/>
        <v>0</v>
      </c>
      <c r="AV75" s="1319">
        <f t="shared" ca="1" si="1150"/>
        <v>0</v>
      </c>
      <c r="AW75" s="1319">
        <f t="shared" ca="1" si="1150"/>
        <v>0</v>
      </c>
      <c r="AX75" s="1319">
        <f t="shared" ca="1" si="1150"/>
        <v>0</v>
      </c>
      <c r="AY75" s="1319">
        <f t="shared" ca="1" si="1150"/>
        <v>0</v>
      </c>
      <c r="AZ75" s="1319">
        <f t="shared" ca="1" si="1150"/>
        <v>0</v>
      </c>
      <c r="BA75" s="1319">
        <f t="shared" ca="1" si="1150"/>
        <v>0</v>
      </c>
      <c r="BB75" s="1319">
        <f t="shared" ca="1" si="1150"/>
        <v>0</v>
      </c>
      <c r="BN75" s="1319">
        <f t="shared" ca="1" si="1159"/>
        <v>0</v>
      </c>
      <c r="BO75" s="1319">
        <f t="shared" ca="1" si="1159"/>
        <v>0</v>
      </c>
      <c r="BP75" s="1319">
        <f t="shared" ca="1" si="1159"/>
        <v>0</v>
      </c>
      <c r="BQ75" s="1319">
        <f t="shared" ca="1" si="1159"/>
        <v>0</v>
      </c>
      <c r="BR75" s="1319">
        <f t="shared" ca="1" si="1159"/>
        <v>0</v>
      </c>
      <c r="CD75" s="1319">
        <f t="shared" ca="1" si="1160"/>
        <v>0</v>
      </c>
      <c r="CE75" s="1319">
        <f t="shared" ca="1" si="1160"/>
        <v>0</v>
      </c>
      <c r="CF75" s="1319">
        <f t="shared" ca="1" si="1160"/>
        <v>0</v>
      </c>
      <c r="CG75" s="1319">
        <f t="shared" ca="1" si="1160"/>
        <v>0</v>
      </c>
      <c r="CH75" s="1319">
        <f t="shared" ca="1" si="1160"/>
        <v>0</v>
      </c>
      <c r="CI75" s="1319">
        <f t="shared" ca="1" si="1160"/>
        <v>0</v>
      </c>
      <c r="CJ75" s="1319">
        <f t="shared" ca="1" si="1160"/>
        <v>0</v>
      </c>
      <c r="CK75" s="1319">
        <f t="shared" ca="1" si="1160"/>
        <v>0</v>
      </c>
      <c r="CL75" s="1319">
        <f t="shared" ca="1" si="1160"/>
        <v>0</v>
      </c>
      <c r="CM75" s="1319">
        <f t="shared" ca="1" si="1160"/>
        <v>0</v>
      </c>
      <c r="CN75" s="1319">
        <f t="shared" ca="1" si="1160"/>
        <v>0</v>
      </c>
      <c r="CO75" s="1319">
        <f t="shared" ca="1" si="1160"/>
        <v>0</v>
      </c>
      <c r="DA75" s="1319">
        <f t="shared" ca="1" si="1161"/>
        <v>0</v>
      </c>
      <c r="DB75" s="1319">
        <f t="shared" ca="1" si="1161"/>
        <v>0</v>
      </c>
      <c r="DC75" s="1319">
        <f t="shared" ca="1" si="1161"/>
        <v>0</v>
      </c>
      <c r="DD75" s="1319">
        <f t="shared" ca="1" si="1161"/>
        <v>0</v>
      </c>
      <c r="DE75" s="1319">
        <f t="shared" ca="1" si="1161"/>
        <v>0</v>
      </c>
      <c r="DF75" s="1319">
        <f t="shared" ca="1" si="1161"/>
        <v>0</v>
      </c>
      <c r="DG75" s="1319">
        <f t="shared" ca="1" si="1161"/>
        <v>0</v>
      </c>
      <c r="DH75" s="1319">
        <f t="shared" ca="1" si="1161"/>
        <v>0</v>
      </c>
      <c r="DI75" s="1319">
        <f t="shared" ca="1" si="1161"/>
        <v>0</v>
      </c>
      <c r="DJ75" s="1319">
        <f t="shared" ca="1" si="1161"/>
        <v>0</v>
      </c>
      <c r="DV75" s="1319">
        <f t="shared" ca="1" si="1162"/>
        <v>0</v>
      </c>
      <c r="DW75" s="1319">
        <f t="shared" ca="1" si="1162"/>
        <v>0</v>
      </c>
      <c r="DX75" s="1319">
        <f t="shared" ca="1" si="1162"/>
        <v>0</v>
      </c>
      <c r="DY75" s="1319">
        <f t="shared" ca="1" si="1162"/>
        <v>0</v>
      </c>
      <c r="DZ75" s="1319">
        <f t="shared" ca="1" si="1162"/>
        <v>0</v>
      </c>
      <c r="EA75" s="1319">
        <f t="shared" ca="1" si="1162"/>
        <v>0</v>
      </c>
      <c r="EB75" s="1319">
        <f t="shared" ca="1" si="1162"/>
        <v>0</v>
      </c>
      <c r="EC75" s="1319">
        <f t="shared" ca="1" si="1162"/>
        <v>0</v>
      </c>
      <c r="ED75" s="1319">
        <f t="shared" ca="1" si="1162"/>
        <v>0</v>
      </c>
      <c r="EE75" s="1319">
        <f t="shared" ca="1" si="1162"/>
        <v>0</v>
      </c>
      <c r="EF75" s="1319">
        <f t="shared" ca="1" si="1162"/>
        <v>0</v>
      </c>
      <c r="EG75" s="1319">
        <f t="shared" ca="1" si="1162"/>
        <v>0</v>
      </c>
      <c r="EH75" s="1319">
        <f t="shared" ca="1" si="1162"/>
        <v>0</v>
      </c>
      <c r="EI75" s="1319">
        <f t="shared" ca="1" si="1162"/>
        <v>0</v>
      </c>
      <c r="EJ75" s="1319">
        <f t="shared" ca="1" si="1101"/>
        <v>0</v>
      </c>
      <c r="EK75" s="1319">
        <f t="shared" ca="1" si="1162"/>
        <v>0</v>
      </c>
      <c r="EW75" s="1319">
        <f t="shared" ca="1" si="1163"/>
        <v>0</v>
      </c>
      <c r="EX75" s="1319">
        <f t="shared" ca="1" si="1163"/>
        <v>0</v>
      </c>
      <c r="EY75" s="1319">
        <f t="shared" ca="1" si="1163"/>
        <v>0</v>
      </c>
      <c r="EZ75" s="1319">
        <f t="shared" ca="1" si="1163"/>
        <v>0</v>
      </c>
      <c r="FA75" s="1319">
        <f t="shared" ca="1" si="1163"/>
        <v>0</v>
      </c>
      <c r="FB75" s="1319">
        <f t="shared" ca="1" si="1163"/>
        <v>0</v>
      </c>
      <c r="FN75" s="1319">
        <f t="shared" ca="1" si="1164"/>
        <v>0</v>
      </c>
      <c r="FO75" s="1319">
        <f t="shared" ca="1" si="1164"/>
        <v>0</v>
      </c>
      <c r="FP75" s="1319">
        <f t="shared" ca="1" si="1164"/>
        <v>0</v>
      </c>
      <c r="FQ75" s="1319">
        <f t="shared" ca="1" si="1164"/>
        <v>0</v>
      </c>
      <c r="FR75" s="1319">
        <f t="shared" ca="1" si="1164"/>
        <v>0</v>
      </c>
      <c r="FS75" s="1319">
        <f t="shared" ca="1" si="1164"/>
        <v>0</v>
      </c>
      <c r="FT75" s="1319">
        <f t="shared" ca="1" si="1164"/>
        <v>0</v>
      </c>
      <c r="FU75" s="1319">
        <f t="shared" ca="1" si="1164"/>
        <v>0</v>
      </c>
      <c r="FV75" s="1319">
        <f t="shared" ca="1" si="1164"/>
        <v>0</v>
      </c>
      <c r="FW75" s="1319">
        <f t="shared" ca="1" si="1164"/>
        <v>0</v>
      </c>
      <c r="FX75" s="1319">
        <f t="shared" ca="1" si="1164"/>
        <v>0</v>
      </c>
      <c r="GJ75" s="1319">
        <f t="shared" ca="1" si="1165"/>
        <v>0</v>
      </c>
      <c r="GK75" s="1319">
        <f t="shared" ca="1" si="1165"/>
        <v>0</v>
      </c>
      <c r="GL75" s="1319">
        <f t="shared" ca="1" si="1165"/>
        <v>0</v>
      </c>
      <c r="GM75" s="1319">
        <f t="shared" ca="1" si="1165"/>
        <v>0</v>
      </c>
      <c r="GN75" s="1319">
        <f t="shared" ca="1" si="1165"/>
        <v>0</v>
      </c>
      <c r="GO75" s="1319">
        <f t="shared" ca="1" si="1165"/>
        <v>0</v>
      </c>
      <c r="GP75" s="1319">
        <f t="shared" ca="1" si="1165"/>
        <v>0</v>
      </c>
      <c r="GQ75" s="1319">
        <f t="shared" ca="1" si="1165"/>
        <v>0</v>
      </c>
      <c r="HC75" s="1319">
        <f t="shared" ca="1" si="1166"/>
        <v>0</v>
      </c>
      <c r="HD75" s="1319">
        <f t="shared" ca="1" si="1166"/>
        <v>0</v>
      </c>
      <c r="HE75" s="1319">
        <f t="shared" ca="1" si="1166"/>
        <v>0</v>
      </c>
      <c r="HF75" s="1319">
        <f t="shared" ca="1" si="1166"/>
        <v>0</v>
      </c>
      <c r="HG75" s="1319">
        <f t="shared" ca="1" si="1166"/>
        <v>0</v>
      </c>
      <c r="HH75" s="1319">
        <f t="shared" ca="1" si="1166"/>
        <v>0</v>
      </c>
      <c r="HT75" s="1319">
        <f t="shared" ca="1" si="1167"/>
        <v>0</v>
      </c>
      <c r="HU75" s="1319">
        <f t="shared" ca="1" si="1167"/>
        <v>0</v>
      </c>
      <c r="HV75" s="1319">
        <f t="shared" ca="1" si="1167"/>
        <v>0</v>
      </c>
      <c r="HW75" s="1319">
        <f t="shared" ca="1" si="1167"/>
        <v>0</v>
      </c>
      <c r="HX75" s="1319">
        <f t="shared" ca="1" si="1167"/>
        <v>0</v>
      </c>
      <c r="HY75" s="1319">
        <f t="shared" ca="1" si="1167"/>
        <v>0</v>
      </c>
      <c r="HZ75" s="1319">
        <f t="shared" ca="1" si="1167"/>
        <v>0</v>
      </c>
      <c r="IA75" s="1319">
        <f t="shared" ca="1" si="1167"/>
        <v>0</v>
      </c>
      <c r="IB75" s="1319">
        <f t="shared" ca="1" si="1167"/>
        <v>0</v>
      </c>
      <c r="IC75" s="1319">
        <f t="shared" ca="1" si="1167"/>
        <v>0</v>
      </c>
      <c r="ID75" s="1319">
        <f t="shared" ca="1" si="1167"/>
        <v>0</v>
      </c>
      <c r="IE75" s="1319">
        <f t="shared" ca="1" si="1167"/>
        <v>0</v>
      </c>
      <c r="IQ75" s="1319">
        <f t="shared" ca="1" si="1168"/>
        <v>0</v>
      </c>
      <c r="IR75" s="1319">
        <f t="shared" ca="1" si="1168"/>
        <v>0</v>
      </c>
      <c r="IS75" s="1319">
        <f t="shared" ca="1" si="1168"/>
        <v>0</v>
      </c>
      <c r="IT75" s="1319">
        <f t="shared" ca="1" si="1168"/>
        <v>0</v>
      </c>
      <c r="IU75" s="1319">
        <f t="shared" ca="1" si="1108"/>
        <v>0</v>
      </c>
      <c r="IV75" s="1319">
        <f t="shared" ca="1" si="1168"/>
        <v>0</v>
      </c>
      <c r="IW75" s="1319">
        <f t="shared" ca="1" si="1168"/>
        <v>0</v>
      </c>
      <c r="IX75" s="1319">
        <f t="shared" ca="1" si="1109"/>
        <v>0</v>
      </c>
      <c r="IY75" s="1319">
        <f t="shared" ca="1" si="1168"/>
        <v>0</v>
      </c>
      <c r="IZ75" s="1319">
        <f t="shared" ca="1" si="1168"/>
        <v>0</v>
      </c>
      <c r="JA75" s="1319">
        <f t="shared" ca="1" si="1168"/>
        <v>0</v>
      </c>
      <c r="JB75" s="1319">
        <f t="shared" ca="1" si="1168"/>
        <v>0</v>
      </c>
      <c r="JC75" s="1319">
        <f t="shared" ca="1" si="1168"/>
        <v>0</v>
      </c>
      <c r="JD75" s="1319">
        <f t="shared" ca="1" si="1168"/>
        <v>0</v>
      </c>
      <c r="JE75" s="1319">
        <f t="shared" ca="1" si="1168"/>
        <v>0</v>
      </c>
      <c r="JF75" s="1319">
        <f t="shared" ca="1" si="1168"/>
        <v>0</v>
      </c>
      <c r="JG75" s="1319">
        <f t="shared" ca="1" si="1168"/>
        <v>0</v>
      </c>
      <c r="JH75" s="1319">
        <f t="shared" ca="1" si="1168"/>
        <v>0</v>
      </c>
      <c r="JT75" s="1319">
        <f t="shared" ca="1" si="1169"/>
        <v>0</v>
      </c>
      <c r="JU75" s="1319">
        <f t="shared" ca="1" si="1169"/>
        <v>0</v>
      </c>
      <c r="JV75" s="1319">
        <f t="shared" ca="1" si="1169"/>
        <v>0</v>
      </c>
      <c r="JW75" s="1319">
        <f t="shared" ca="1" si="1169"/>
        <v>0</v>
      </c>
      <c r="JX75" s="1319">
        <f t="shared" ca="1" si="1169"/>
        <v>0</v>
      </c>
      <c r="JY75" s="1319">
        <f t="shared" ca="1" si="1169"/>
        <v>0</v>
      </c>
      <c r="JZ75" s="1319">
        <f t="shared" ca="1" si="1169"/>
        <v>0</v>
      </c>
      <c r="KA75" s="1319">
        <f t="shared" ca="1" si="1169"/>
        <v>0</v>
      </c>
      <c r="KB75" s="1319">
        <f t="shared" ca="1" si="1169"/>
        <v>0</v>
      </c>
      <c r="KC75" s="1319">
        <f t="shared" ca="1" si="1169"/>
        <v>0</v>
      </c>
      <c r="KL75" s="1319">
        <f t="shared" ca="1" si="1170"/>
        <v>0</v>
      </c>
      <c r="KM75" s="1319">
        <f t="shared" ca="1" si="1170"/>
        <v>0</v>
      </c>
      <c r="KN75" s="1319">
        <f t="shared" ca="1" si="1170"/>
        <v>0</v>
      </c>
      <c r="KO75" s="1319">
        <f t="shared" ca="1" si="1170"/>
        <v>0</v>
      </c>
      <c r="KP75" s="1319">
        <f t="shared" ca="1" si="1170"/>
        <v>0</v>
      </c>
      <c r="KQ75" s="1319">
        <f t="shared" ca="1" si="1170"/>
        <v>0</v>
      </c>
      <c r="KR75" s="1319">
        <f t="shared" ca="1" si="1170"/>
        <v>0</v>
      </c>
      <c r="LA75" s="1319">
        <f t="shared" ca="1" si="1171"/>
        <v>0</v>
      </c>
      <c r="LB75" s="1319">
        <f t="shared" ca="1" si="1171"/>
        <v>0</v>
      </c>
      <c r="LC75" s="1319">
        <f t="shared" ca="1" si="1171"/>
        <v>0</v>
      </c>
      <c r="LD75" s="1319">
        <f t="shared" ca="1" si="1171"/>
        <v>0</v>
      </c>
      <c r="LE75" s="1319">
        <f t="shared" ca="1" si="1171"/>
        <v>0</v>
      </c>
      <c r="LF75" s="1319">
        <f t="shared" ca="1" si="1171"/>
        <v>0</v>
      </c>
      <c r="LG75" s="1319">
        <f t="shared" ca="1" si="1171"/>
        <v>0</v>
      </c>
      <c r="LH75" s="1319">
        <f t="shared" ca="1" si="1171"/>
        <v>0</v>
      </c>
      <c r="LI75" s="1319">
        <f t="shared" ca="1" si="1171"/>
        <v>0</v>
      </c>
      <c r="LJ75" s="1319">
        <f t="shared" ca="1" si="1171"/>
        <v>0</v>
      </c>
      <c r="LK75" s="1319">
        <f t="shared" ca="1" si="1171"/>
        <v>0</v>
      </c>
      <c r="LW75" s="1319">
        <f t="shared" ca="1" si="1113"/>
        <v>0</v>
      </c>
      <c r="LX75" s="1319">
        <f t="shared" ca="1" si="1172"/>
        <v>0</v>
      </c>
      <c r="LY75" s="1319">
        <f t="shared" ca="1" si="1172"/>
        <v>0</v>
      </c>
      <c r="LZ75" s="1319">
        <f t="shared" ca="1" si="1172"/>
        <v>0</v>
      </c>
      <c r="MA75" s="1319">
        <f t="shared" ca="1" si="1172"/>
        <v>0</v>
      </c>
      <c r="MB75" s="1319">
        <f t="shared" ca="1" si="1172"/>
        <v>0</v>
      </c>
      <c r="MC75" s="1319">
        <f t="shared" ca="1" si="1172"/>
        <v>0</v>
      </c>
      <c r="MD75" s="1319">
        <f t="shared" ca="1" si="1172"/>
        <v>0</v>
      </c>
      <c r="ME75" s="1319">
        <f t="shared" ca="1" si="1172"/>
        <v>0</v>
      </c>
      <c r="MF75" s="1319">
        <f t="shared" ca="1" si="1172"/>
        <v>0</v>
      </c>
      <c r="MG75" s="1319">
        <f t="shared" ca="1" si="1172"/>
        <v>0</v>
      </c>
      <c r="MH75" s="1319">
        <f t="shared" ca="1" si="1173"/>
        <v>0</v>
      </c>
      <c r="MI75" s="1319">
        <f t="shared" ca="1" si="1173"/>
        <v>0</v>
      </c>
      <c r="MJ75" s="1319">
        <f t="shared" ca="1" si="1172"/>
        <v>0</v>
      </c>
      <c r="MK75" s="1319">
        <f t="shared" ca="1" si="1172"/>
        <v>0</v>
      </c>
      <c r="ML75" s="1319">
        <f t="shared" ca="1" si="1172"/>
        <v>0</v>
      </c>
      <c r="MM75" s="1319">
        <f t="shared" ca="1" si="1172"/>
        <v>0</v>
      </c>
      <c r="MN75" s="1319">
        <f t="shared" ca="1" si="1172"/>
        <v>0</v>
      </c>
      <c r="MO75" s="1319">
        <f t="shared" ca="1" si="1172"/>
        <v>0</v>
      </c>
      <c r="NA75" s="1319">
        <f t="shared" ca="1" si="1174"/>
        <v>0</v>
      </c>
      <c r="NB75" s="1319">
        <f t="shared" ca="1" si="1174"/>
        <v>0</v>
      </c>
      <c r="NC75" s="1319">
        <f t="shared" ca="1" si="1174"/>
        <v>0</v>
      </c>
      <c r="ND75" s="1319">
        <f t="shared" ca="1" si="1174"/>
        <v>0</v>
      </c>
      <c r="NE75" s="1319">
        <f t="shared" ca="1" si="1174"/>
        <v>0</v>
      </c>
      <c r="NF75" s="1319">
        <f t="shared" ca="1" si="1174"/>
        <v>0</v>
      </c>
      <c r="NG75" s="1319">
        <f t="shared" ca="1" si="1174"/>
        <v>0</v>
      </c>
      <c r="NH75" s="1319">
        <f t="shared" ca="1" si="1174"/>
        <v>0</v>
      </c>
      <c r="NI75" s="1319">
        <f t="shared" ca="1" si="1174"/>
        <v>0</v>
      </c>
      <c r="NJ75" s="1319">
        <f t="shared" ca="1" si="1174"/>
        <v>0</v>
      </c>
      <c r="NK75" s="1319">
        <f t="shared" ca="1" si="1174"/>
        <v>0</v>
      </c>
      <c r="NL75" s="1319">
        <f t="shared" ca="1" si="1174"/>
        <v>0</v>
      </c>
      <c r="NM75" s="1319">
        <f t="shared" ca="1" si="1174"/>
        <v>0</v>
      </c>
      <c r="NN75" s="1319">
        <f t="shared" ca="1" si="1174"/>
        <v>0</v>
      </c>
      <c r="NO75" s="1319">
        <f t="shared" ca="1" si="1174"/>
        <v>0</v>
      </c>
      <c r="NP75" s="1319">
        <f t="shared" ca="1" si="1174"/>
        <v>0</v>
      </c>
      <c r="OH75" s="1319">
        <f t="shared" ca="1" si="1175"/>
        <v>0</v>
      </c>
      <c r="OI75" s="1319">
        <f t="shared" ca="1" si="1175"/>
        <v>0</v>
      </c>
      <c r="OJ75" s="1319">
        <f t="shared" ca="1" si="1175"/>
        <v>0</v>
      </c>
      <c r="OK75" s="1319">
        <f t="shared" ca="1" si="1175"/>
        <v>0</v>
      </c>
      <c r="OL75" s="1319">
        <f t="shared" ca="1" si="1175"/>
        <v>0</v>
      </c>
      <c r="OM75" s="1319">
        <f t="shared" ca="1" si="1175"/>
        <v>0</v>
      </c>
      <c r="ON75" s="1319">
        <f t="shared" ca="1" si="1175"/>
        <v>0</v>
      </c>
      <c r="OO75" s="1319">
        <f t="shared" ca="1" si="1175"/>
        <v>0</v>
      </c>
      <c r="PA75" s="1319">
        <f t="shared" ca="1" si="1176"/>
        <v>0</v>
      </c>
      <c r="PB75" s="1319">
        <f t="shared" ca="1" si="1176"/>
        <v>0</v>
      </c>
      <c r="PC75" s="1319">
        <f t="shared" ca="1" si="1176"/>
        <v>0</v>
      </c>
      <c r="PD75" s="1319">
        <f t="shared" ca="1" si="1176"/>
        <v>0</v>
      </c>
      <c r="PE75" s="1319">
        <f t="shared" ca="1" si="1176"/>
        <v>0</v>
      </c>
      <c r="PF75" s="1319">
        <f t="shared" ca="1" si="1176"/>
        <v>0</v>
      </c>
      <c r="PG75" s="1319">
        <f t="shared" ca="1" si="1176"/>
        <v>0</v>
      </c>
      <c r="PH75" s="1319">
        <f t="shared" ca="1" si="1176"/>
        <v>0</v>
      </c>
      <c r="PI75" s="1319">
        <f t="shared" ca="1" si="1176"/>
        <v>0</v>
      </c>
      <c r="PJ75" s="1319">
        <f t="shared" ca="1" si="1176"/>
        <v>0</v>
      </c>
      <c r="PK75" s="1319">
        <f t="shared" ca="1" si="1176"/>
        <v>0</v>
      </c>
      <c r="PW75" s="1319">
        <f t="shared" ca="1" si="1177"/>
        <v>0</v>
      </c>
      <c r="PX75" s="1319">
        <f t="shared" ca="1" si="1177"/>
        <v>0</v>
      </c>
      <c r="PY75" s="1319">
        <f t="shared" ca="1" si="1177"/>
        <v>0</v>
      </c>
      <c r="PZ75" s="1319">
        <f t="shared" ca="1" si="1177"/>
        <v>0</v>
      </c>
    </row>
    <row r="76" spans="1:442" x14ac:dyDescent="0.25">
      <c r="A76" s="189">
        <v>37</v>
      </c>
      <c r="B76" s="189" t="s">
        <v>1256</v>
      </c>
      <c r="C76" s="1317" t="s">
        <v>1301</v>
      </c>
      <c r="D76" s="1317" t="s">
        <v>206</v>
      </c>
      <c r="J76" s="1319">
        <f t="shared" ca="1" si="1157"/>
        <v>0</v>
      </c>
      <c r="K76" s="1319">
        <f t="shared" ref="K76:K82" ca="1" si="1178">VLOOKUP(K$1,INDIRECT(LU_MAT),$A76,FALSE)</f>
        <v>0</v>
      </c>
      <c r="T76" s="1319">
        <f t="shared" ca="1" si="1158"/>
        <v>0</v>
      </c>
      <c r="U76" s="1319">
        <f t="shared" ca="1" si="1158"/>
        <v>0</v>
      </c>
      <c r="V76" s="1319">
        <f t="shared" ca="1" si="1158"/>
        <v>0</v>
      </c>
      <c r="W76" s="1319">
        <f t="shared" ca="1" si="1158"/>
        <v>0</v>
      </c>
      <c r="X76" s="1319">
        <f t="shared" ca="1" si="1158"/>
        <v>0</v>
      </c>
      <c r="Y76" s="1319">
        <f t="shared" ca="1" si="1158"/>
        <v>0</v>
      </c>
      <c r="Z76" s="1319">
        <f t="shared" ca="1" si="1158"/>
        <v>0</v>
      </c>
      <c r="AA76" s="1319">
        <f t="shared" ca="1" si="1158"/>
        <v>0</v>
      </c>
      <c r="AB76" s="1319">
        <f t="shared" ca="1" si="1158"/>
        <v>0</v>
      </c>
      <c r="AC76" s="1319">
        <f t="shared" ca="1" si="1158"/>
        <v>0</v>
      </c>
      <c r="AD76" s="1319">
        <f t="shared" ca="1" si="1158"/>
        <v>0</v>
      </c>
      <c r="AM76" s="1319">
        <f t="shared" ca="1" si="1150"/>
        <v>0</v>
      </c>
      <c r="AN76" s="1319">
        <f t="shared" ca="1" si="1150"/>
        <v>0</v>
      </c>
      <c r="AO76" s="1319">
        <f t="shared" ca="1" si="1149"/>
        <v>0</v>
      </c>
      <c r="AP76" s="1319">
        <f t="shared" ca="1" si="1149"/>
        <v>0</v>
      </c>
      <c r="AQ76" s="1319">
        <f t="shared" ca="1" si="1149"/>
        <v>0</v>
      </c>
      <c r="AR76" s="1319">
        <f t="shared" ca="1" si="1149"/>
        <v>0</v>
      </c>
      <c r="AS76" s="1319">
        <f t="shared" ca="1" si="1149"/>
        <v>0</v>
      </c>
      <c r="AT76" s="1319">
        <f t="shared" ca="1" si="1150"/>
        <v>0</v>
      </c>
      <c r="AU76" s="1319">
        <f t="shared" ca="1" si="1150"/>
        <v>0</v>
      </c>
      <c r="AV76" s="1319">
        <f t="shared" ca="1" si="1150"/>
        <v>0</v>
      </c>
      <c r="AW76" s="1319">
        <f t="shared" ca="1" si="1150"/>
        <v>0</v>
      </c>
      <c r="AX76" s="1319">
        <f t="shared" ca="1" si="1150"/>
        <v>0</v>
      </c>
      <c r="AY76" s="1319">
        <f t="shared" ca="1" si="1150"/>
        <v>0</v>
      </c>
      <c r="AZ76" s="1319">
        <f t="shared" ca="1" si="1150"/>
        <v>0</v>
      </c>
      <c r="BA76" s="1319">
        <f t="shared" ca="1" si="1150"/>
        <v>0</v>
      </c>
      <c r="BB76" s="1319">
        <f t="shared" ca="1" si="1150"/>
        <v>0</v>
      </c>
      <c r="BN76" s="1319">
        <f t="shared" ca="1" si="1159"/>
        <v>0</v>
      </c>
      <c r="BO76" s="1319">
        <f t="shared" ca="1" si="1159"/>
        <v>0</v>
      </c>
      <c r="BP76" s="1319">
        <f t="shared" ca="1" si="1159"/>
        <v>0</v>
      </c>
      <c r="BQ76" s="1319">
        <f t="shared" ca="1" si="1159"/>
        <v>0</v>
      </c>
      <c r="BR76" s="1319">
        <f t="shared" ca="1" si="1159"/>
        <v>0</v>
      </c>
      <c r="CD76" s="1319">
        <f t="shared" ca="1" si="1160"/>
        <v>0</v>
      </c>
      <c r="CE76" s="1319">
        <f t="shared" ca="1" si="1160"/>
        <v>0</v>
      </c>
      <c r="CF76" s="1319">
        <f t="shared" ca="1" si="1160"/>
        <v>0</v>
      </c>
      <c r="CG76" s="1319">
        <f t="shared" ca="1" si="1160"/>
        <v>0</v>
      </c>
      <c r="CH76" s="1319">
        <f t="shared" ca="1" si="1160"/>
        <v>0</v>
      </c>
      <c r="CI76" s="1319">
        <f t="shared" ca="1" si="1160"/>
        <v>0</v>
      </c>
      <c r="CJ76" s="1319">
        <f t="shared" ca="1" si="1160"/>
        <v>0</v>
      </c>
      <c r="CK76" s="1319">
        <f t="shared" ca="1" si="1160"/>
        <v>0</v>
      </c>
      <c r="CL76" s="1319">
        <f t="shared" ca="1" si="1160"/>
        <v>0</v>
      </c>
      <c r="CM76" s="1319">
        <f t="shared" ca="1" si="1160"/>
        <v>0</v>
      </c>
      <c r="CN76" s="1319">
        <f t="shared" ca="1" si="1160"/>
        <v>0</v>
      </c>
      <c r="CO76" s="1319">
        <f t="shared" ca="1" si="1160"/>
        <v>0</v>
      </c>
      <c r="DA76" s="1319">
        <f t="shared" ca="1" si="1161"/>
        <v>0</v>
      </c>
      <c r="DB76" s="1319">
        <f t="shared" ca="1" si="1161"/>
        <v>0</v>
      </c>
      <c r="DC76" s="1319">
        <f t="shared" ca="1" si="1161"/>
        <v>0</v>
      </c>
      <c r="DD76" s="1319">
        <f t="shared" ca="1" si="1161"/>
        <v>0</v>
      </c>
      <c r="DE76" s="1319">
        <f t="shared" ca="1" si="1161"/>
        <v>0</v>
      </c>
      <c r="DF76" s="1319">
        <f t="shared" ca="1" si="1161"/>
        <v>0</v>
      </c>
      <c r="DG76" s="1319">
        <f t="shared" ca="1" si="1161"/>
        <v>0</v>
      </c>
      <c r="DH76" s="1319">
        <f t="shared" ca="1" si="1161"/>
        <v>0</v>
      </c>
      <c r="DI76" s="1319">
        <f t="shared" ca="1" si="1161"/>
        <v>0</v>
      </c>
      <c r="DJ76" s="1319">
        <f t="shared" ca="1" si="1161"/>
        <v>0</v>
      </c>
      <c r="DV76" s="1319">
        <f t="shared" ca="1" si="1162"/>
        <v>0</v>
      </c>
      <c r="DW76" s="1319">
        <f t="shared" ca="1" si="1162"/>
        <v>0</v>
      </c>
      <c r="DX76" s="1319">
        <f t="shared" ca="1" si="1162"/>
        <v>0</v>
      </c>
      <c r="DY76" s="1319">
        <f t="shared" ca="1" si="1162"/>
        <v>0</v>
      </c>
      <c r="DZ76" s="1319">
        <f t="shared" ca="1" si="1162"/>
        <v>0</v>
      </c>
      <c r="EA76" s="1319">
        <f t="shared" ca="1" si="1162"/>
        <v>0</v>
      </c>
      <c r="EB76" s="1319">
        <f t="shared" ca="1" si="1162"/>
        <v>0</v>
      </c>
      <c r="EC76" s="1319">
        <f t="shared" ca="1" si="1162"/>
        <v>0</v>
      </c>
      <c r="ED76" s="1319">
        <f t="shared" ca="1" si="1162"/>
        <v>0</v>
      </c>
      <c r="EE76" s="1319">
        <f t="shared" ca="1" si="1162"/>
        <v>0</v>
      </c>
      <c r="EF76" s="1319">
        <f t="shared" ca="1" si="1162"/>
        <v>0</v>
      </c>
      <c r="EG76" s="1319">
        <f t="shared" ca="1" si="1162"/>
        <v>0</v>
      </c>
      <c r="EH76" s="1319">
        <f t="shared" ca="1" si="1162"/>
        <v>0</v>
      </c>
      <c r="EI76" s="1319">
        <f t="shared" ca="1" si="1162"/>
        <v>0</v>
      </c>
      <c r="EJ76" s="1319">
        <f t="shared" ca="1" si="1101"/>
        <v>0</v>
      </c>
      <c r="EK76" s="1319">
        <f t="shared" ca="1" si="1162"/>
        <v>0</v>
      </c>
      <c r="EW76" s="1319">
        <f t="shared" ca="1" si="1163"/>
        <v>0</v>
      </c>
      <c r="EX76" s="1319">
        <f t="shared" ca="1" si="1163"/>
        <v>0</v>
      </c>
      <c r="EY76" s="1319">
        <f t="shared" ca="1" si="1163"/>
        <v>0</v>
      </c>
      <c r="EZ76" s="1319">
        <f t="shared" ca="1" si="1163"/>
        <v>0</v>
      </c>
      <c r="FA76" s="1319">
        <f t="shared" ca="1" si="1163"/>
        <v>0</v>
      </c>
      <c r="FB76" s="1319">
        <f t="shared" ca="1" si="1163"/>
        <v>0</v>
      </c>
      <c r="FN76" s="1319">
        <f t="shared" ca="1" si="1164"/>
        <v>0</v>
      </c>
      <c r="FO76" s="1319">
        <f t="shared" ca="1" si="1164"/>
        <v>0</v>
      </c>
      <c r="FP76" s="1319">
        <f t="shared" ca="1" si="1164"/>
        <v>0</v>
      </c>
      <c r="FQ76" s="1319">
        <f t="shared" ca="1" si="1164"/>
        <v>0</v>
      </c>
      <c r="FR76" s="1319">
        <f t="shared" ca="1" si="1164"/>
        <v>0</v>
      </c>
      <c r="FS76" s="1319">
        <f t="shared" ca="1" si="1164"/>
        <v>0</v>
      </c>
      <c r="FT76" s="1319">
        <f t="shared" ca="1" si="1164"/>
        <v>0</v>
      </c>
      <c r="FU76" s="1319">
        <f t="shared" ca="1" si="1164"/>
        <v>0</v>
      </c>
      <c r="FV76" s="1319">
        <f t="shared" ca="1" si="1164"/>
        <v>0</v>
      </c>
      <c r="FW76" s="1319">
        <f t="shared" ca="1" si="1164"/>
        <v>0</v>
      </c>
      <c r="FX76" s="1319">
        <f t="shared" ca="1" si="1164"/>
        <v>0</v>
      </c>
      <c r="GJ76" s="1319">
        <f t="shared" ca="1" si="1165"/>
        <v>0</v>
      </c>
      <c r="GK76" s="1319">
        <f t="shared" ca="1" si="1165"/>
        <v>0</v>
      </c>
      <c r="GL76" s="1319">
        <f t="shared" ca="1" si="1165"/>
        <v>0</v>
      </c>
      <c r="GM76" s="1319">
        <f t="shared" ca="1" si="1165"/>
        <v>0</v>
      </c>
      <c r="GN76" s="1319">
        <f t="shared" ca="1" si="1165"/>
        <v>0</v>
      </c>
      <c r="GO76" s="1319">
        <f t="shared" ca="1" si="1165"/>
        <v>0</v>
      </c>
      <c r="GP76" s="1319">
        <f t="shared" ca="1" si="1165"/>
        <v>0</v>
      </c>
      <c r="GQ76" s="1319">
        <f t="shared" ca="1" si="1165"/>
        <v>0</v>
      </c>
      <c r="HC76" s="1319">
        <f t="shared" ca="1" si="1166"/>
        <v>0</v>
      </c>
      <c r="HD76" s="1319">
        <f t="shared" ca="1" si="1166"/>
        <v>0</v>
      </c>
      <c r="HE76" s="1319">
        <f t="shared" ca="1" si="1166"/>
        <v>0</v>
      </c>
      <c r="HF76" s="1319">
        <f t="shared" ca="1" si="1166"/>
        <v>0</v>
      </c>
      <c r="HG76" s="1319">
        <f t="shared" ca="1" si="1166"/>
        <v>0</v>
      </c>
      <c r="HH76" s="1319">
        <f t="shared" ca="1" si="1166"/>
        <v>0</v>
      </c>
      <c r="HT76" s="1319">
        <f t="shared" ca="1" si="1167"/>
        <v>0</v>
      </c>
      <c r="HU76" s="1319">
        <f t="shared" ca="1" si="1167"/>
        <v>0</v>
      </c>
      <c r="HV76" s="1319">
        <f t="shared" ca="1" si="1167"/>
        <v>0</v>
      </c>
      <c r="HW76" s="1319">
        <f t="shared" ca="1" si="1167"/>
        <v>0</v>
      </c>
      <c r="HX76" s="1319">
        <f t="shared" ca="1" si="1167"/>
        <v>0</v>
      </c>
      <c r="HY76" s="1319">
        <f t="shared" ca="1" si="1167"/>
        <v>0</v>
      </c>
      <c r="HZ76" s="1319">
        <f t="shared" ca="1" si="1167"/>
        <v>0</v>
      </c>
      <c r="IA76" s="1319">
        <f t="shared" ca="1" si="1167"/>
        <v>0</v>
      </c>
      <c r="IB76" s="1319">
        <f t="shared" ca="1" si="1167"/>
        <v>0</v>
      </c>
      <c r="IC76" s="1319">
        <f t="shared" ca="1" si="1167"/>
        <v>0</v>
      </c>
      <c r="ID76" s="1319">
        <f t="shared" ca="1" si="1167"/>
        <v>0</v>
      </c>
      <c r="IE76" s="1319">
        <f t="shared" ca="1" si="1167"/>
        <v>0</v>
      </c>
      <c r="IQ76" s="1319">
        <f t="shared" ca="1" si="1168"/>
        <v>0</v>
      </c>
      <c r="IR76" s="1319">
        <f t="shared" ca="1" si="1168"/>
        <v>0</v>
      </c>
      <c r="IS76" s="1319">
        <f t="shared" ca="1" si="1168"/>
        <v>0</v>
      </c>
      <c r="IT76" s="1319">
        <f t="shared" ca="1" si="1168"/>
        <v>0</v>
      </c>
      <c r="IU76" s="1319">
        <f t="shared" ca="1" si="1108"/>
        <v>0</v>
      </c>
      <c r="IV76" s="1319">
        <f t="shared" ca="1" si="1168"/>
        <v>0</v>
      </c>
      <c r="IW76" s="1319">
        <f t="shared" ca="1" si="1168"/>
        <v>0</v>
      </c>
      <c r="IX76" s="1319">
        <f t="shared" ca="1" si="1109"/>
        <v>0</v>
      </c>
      <c r="IY76" s="1319">
        <f t="shared" ca="1" si="1168"/>
        <v>0</v>
      </c>
      <c r="IZ76" s="1319">
        <f t="shared" ca="1" si="1168"/>
        <v>0</v>
      </c>
      <c r="JA76" s="1319">
        <f t="shared" ca="1" si="1168"/>
        <v>0</v>
      </c>
      <c r="JB76" s="1319">
        <f t="shared" ca="1" si="1168"/>
        <v>0</v>
      </c>
      <c r="JC76" s="1319">
        <f t="shared" ca="1" si="1168"/>
        <v>0</v>
      </c>
      <c r="JD76" s="1319">
        <f t="shared" ca="1" si="1168"/>
        <v>0</v>
      </c>
      <c r="JE76" s="1319">
        <f t="shared" ca="1" si="1168"/>
        <v>0</v>
      </c>
      <c r="JF76" s="1319">
        <f t="shared" ca="1" si="1168"/>
        <v>0</v>
      </c>
      <c r="JG76" s="1319">
        <f t="shared" ca="1" si="1168"/>
        <v>0</v>
      </c>
      <c r="JH76" s="1319">
        <f t="shared" ca="1" si="1168"/>
        <v>0</v>
      </c>
      <c r="JT76" s="1319">
        <f t="shared" ca="1" si="1169"/>
        <v>0</v>
      </c>
      <c r="JU76" s="1319">
        <f t="shared" ca="1" si="1169"/>
        <v>0</v>
      </c>
      <c r="JV76" s="1319">
        <f t="shared" ca="1" si="1169"/>
        <v>0</v>
      </c>
      <c r="JW76" s="1319">
        <f t="shared" ca="1" si="1169"/>
        <v>0</v>
      </c>
      <c r="JX76" s="1319">
        <f t="shared" ca="1" si="1169"/>
        <v>0</v>
      </c>
      <c r="JY76" s="1319">
        <f t="shared" ca="1" si="1169"/>
        <v>464.95049399999994</v>
      </c>
      <c r="JZ76" s="1319">
        <f t="shared" ca="1" si="1169"/>
        <v>464.95049399999994</v>
      </c>
      <c r="KA76" s="1319">
        <f t="shared" ca="1" si="1169"/>
        <v>0</v>
      </c>
      <c r="KB76" s="1319">
        <f t="shared" ca="1" si="1169"/>
        <v>0</v>
      </c>
      <c r="KC76" s="1319">
        <f t="shared" ca="1" si="1169"/>
        <v>0</v>
      </c>
      <c r="KL76" s="1319">
        <f t="shared" ca="1" si="1170"/>
        <v>0</v>
      </c>
      <c r="KM76" s="1319">
        <f t="shared" ca="1" si="1170"/>
        <v>0</v>
      </c>
      <c r="KN76" s="1319">
        <f t="shared" ca="1" si="1170"/>
        <v>0</v>
      </c>
      <c r="KO76" s="1319">
        <f t="shared" ca="1" si="1170"/>
        <v>0</v>
      </c>
      <c r="KP76" s="1319">
        <f t="shared" ca="1" si="1170"/>
        <v>0</v>
      </c>
      <c r="KQ76" s="1319">
        <f t="shared" ca="1" si="1170"/>
        <v>0</v>
      </c>
      <c r="KR76" s="1319">
        <f t="shared" ca="1" si="1170"/>
        <v>0</v>
      </c>
      <c r="LA76" s="1319">
        <f t="shared" ca="1" si="1171"/>
        <v>0</v>
      </c>
      <c r="LB76" s="1319">
        <f t="shared" ca="1" si="1171"/>
        <v>0</v>
      </c>
      <c r="LC76" s="1319">
        <f t="shared" ca="1" si="1171"/>
        <v>0</v>
      </c>
      <c r="LD76" s="1319">
        <f t="shared" ca="1" si="1171"/>
        <v>0</v>
      </c>
      <c r="LE76" s="1319">
        <f t="shared" ca="1" si="1171"/>
        <v>0</v>
      </c>
      <c r="LF76" s="1319">
        <f t="shared" ca="1" si="1171"/>
        <v>0</v>
      </c>
      <c r="LG76" s="1319">
        <f t="shared" ca="1" si="1171"/>
        <v>0</v>
      </c>
      <c r="LH76" s="1319">
        <f t="shared" ca="1" si="1171"/>
        <v>0</v>
      </c>
      <c r="LI76" s="1319">
        <f t="shared" ca="1" si="1171"/>
        <v>0</v>
      </c>
      <c r="LJ76" s="1319">
        <f t="shared" ca="1" si="1171"/>
        <v>0</v>
      </c>
      <c r="LK76" s="1319">
        <f t="shared" ca="1" si="1171"/>
        <v>0</v>
      </c>
      <c r="LW76" s="1319">
        <f t="shared" ca="1" si="1113"/>
        <v>0</v>
      </c>
      <c r="LX76" s="1319">
        <f t="shared" ca="1" si="1172"/>
        <v>0</v>
      </c>
      <c r="LY76" s="1319">
        <f t="shared" ca="1" si="1172"/>
        <v>0</v>
      </c>
      <c r="LZ76" s="1319">
        <f t="shared" ca="1" si="1172"/>
        <v>0</v>
      </c>
      <c r="MA76" s="1319">
        <f t="shared" ca="1" si="1172"/>
        <v>0</v>
      </c>
      <c r="MB76" s="1319">
        <f t="shared" ca="1" si="1172"/>
        <v>0</v>
      </c>
      <c r="MC76" s="1319">
        <f t="shared" ca="1" si="1172"/>
        <v>0</v>
      </c>
      <c r="MD76" s="1319">
        <f t="shared" ca="1" si="1172"/>
        <v>0</v>
      </c>
      <c r="ME76" s="1319">
        <f t="shared" ca="1" si="1172"/>
        <v>0</v>
      </c>
      <c r="MF76" s="1319">
        <f t="shared" ca="1" si="1172"/>
        <v>0</v>
      </c>
      <c r="MG76" s="1319">
        <f t="shared" ca="1" si="1172"/>
        <v>0</v>
      </c>
      <c r="MH76" s="1319">
        <f t="shared" ca="1" si="1173"/>
        <v>0</v>
      </c>
      <c r="MI76" s="1319">
        <f t="shared" ca="1" si="1173"/>
        <v>0</v>
      </c>
      <c r="MJ76" s="1319">
        <f t="shared" ca="1" si="1172"/>
        <v>0</v>
      </c>
      <c r="MK76" s="1319">
        <f t="shared" ca="1" si="1172"/>
        <v>0</v>
      </c>
      <c r="ML76" s="1319">
        <f t="shared" ca="1" si="1172"/>
        <v>0</v>
      </c>
      <c r="MM76" s="1319">
        <f t="shared" ca="1" si="1172"/>
        <v>0</v>
      </c>
      <c r="MN76" s="1319">
        <f t="shared" ca="1" si="1172"/>
        <v>0</v>
      </c>
      <c r="MO76" s="1319">
        <f t="shared" ca="1" si="1172"/>
        <v>0</v>
      </c>
      <c r="NA76" s="1319">
        <f t="shared" ca="1" si="1174"/>
        <v>0</v>
      </c>
      <c r="NB76" s="1319">
        <f t="shared" ca="1" si="1174"/>
        <v>0</v>
      </c>
      <c r="NC76" s="1319">
        <f t="shared" ca="1" si="1174"/>
        <v>0</v>
      </c>
      <c r="ND76" s="1319">
        <f t="shared" ca="1" si="1174"/>
        <v>0</v>
      </c>
      <c r="NE76" s="1319">
        <f t="shared" ca="1" si="1174"/>
        <v>0</v>
      </c>
      <c r="NF76" s="1319">
        <f t="shared" ca="1" si="1174"/>
        <v>0</v>
      </c>
      <c r="NG76" s="1319">
        <f t="shared" ca="1" si="1174"/>
        <v>0</v>
      </c>
      <c r="NH76" s="1319">
        <f t="shared" ca="1" si="1174"/>
        <v>0</v>
      </c>
      <c r="NI76" s="1319">
        <f t="shared" ca="1" si="1174"/>
        <v>0</v>
      </c>
      <c r="NJ76" s="1319">
        <f t="shared" ca="1" si="1174"/>
        <v>0</v>
      </c>
      <c r="NK76" s="1319">
        <f t="shared" ca="1" si="1174"/>
        <v>0</v>
      </c>
      <c r="NL76" s="1319">
        <f t="shared" ca="1" si="1174"/>
        <v>0</v>
      </c>
      <c r="NM76" s="1319">
        <f t="shared" ca="1" si="1174"/>
        <v>0</v>
      </c>
      <c r="NN76" s="1319">
        <f t="shared" ca="1" si="1174"/>
        <v>0</v>
      </c>
      <c r="NO76" s="1319">
        <f t="shared" ca="1" si="1174"/>
        <v>0</v>
      </c>
      <c r="NP76" s="1319">
        <f t="shared" ca="1" si="1174"/>
        <v>0</v>
      </c>
      <c r="OH76" s="1319">
        <f t="shared" ca="1" si="1175"/>
        <v>0</v>
      </c>
      <c r="OI76" s="1319">
        <f t="shared" ca="1" si="1175"/>
        <v>0</v>
      </c>
      <c r="OJ76" s="1319">
        <f t="shared" ca="1" si="1175"/>
        <v>0</v>
      </c>
      <c r="OK76" s="1319">
        <f t="shared" ca="1" si="1175"/>
        <v>0</v>
      </c>
      <c r="OL76" s="1319">
        <f t="shared" ca="1" si="1175"/>
        <v>0</v>
      </c>
      <c r="OM76" s="1319">
        <f t="shared" ca="1" si="1175"/>
        <v>0</v>
      </c>
      <c r="ON76" s="1319">
        <f t="shared" ca="1" si="1175"/>
        <v>0</v>
      </c>
      <c r="OO76" s="1319">
        <f t="shared" ca="1" si="1175"/>
        <v>0</v>
      </c>
      <c r="PA76" s="1319">
        <f t="shared" ca="1" si="1176"/>
        <v>0</v>
      </c>
      <c r="PB76" s="1319">
        <f t="shared" ca="1" si="1176"/>
        <v>0</v>
      </c>
      <c r="PC76" s="1319">
        <f t="shared" ca="1" si="1176"/>
        <v>0</v>
      </c>
      <c r="PD76" s="1319">
        <f t="shared" ca="1" si="1176"/>
        <v>0</v>
      </c>
      <c r="PE76" s="1319">
        <f t="shared" ca="1" si="1176"/>
        <v>0</v>
      </c>
      <c r="PF76" s="1319">
        <f t="shared" ca="1" si="1176"/>
        <v>0</v>
      </c>
      <c r="PG76" s="1319">
        <f t="shared" ca="1" si="1176"/>
        <v>0</v>
      </c>
      <c r="PH76" s="1319">
        <f t="shared" ca="1" si="1176"/>
        <v>0</v>
      </c>
      <c r="PI76" s="1319">
        <f t="shared" ca="1" si="1176"/>
        <v>0</v>
      </c>
      <c r="PJ76" s="1319">
        <f t="shared" ca="1" si="1176"/>
        <v>0</v>
      </c>
      <c r="PK76" s="1319">
        <f t="shared" ca="1" si="1176"/>
        <v>0</v>
      </c>
      <c r="PW76" s="1319">
        <f t="shared" ca="1" si="1177"/>
        <v>0</v>
      </c>
      <c r="PX76" s="1319">
        <f t="shared" ca="1" si="1177"/>
        <v>0</v>
      </c>
      <c r="PY76" s="1319">
        <f t="shared" ca="1" si="1177"/>
        <v>0</v>
      </c>
      <c r="PZ76" s="1319">
        <f t="shared" ca="1" si="1177"/>
        <v>0</v>
      </c>
    </row>
    <row r="77" spans="1:442" x14ac:dyDescent="0.25">
      <c r="A77" s="189">
        <v>38</v>
      </c>
      <c r="B77" s="189" t="s">
        <v>1256</v>
      </c>
      <c r="C77" s="1317" t="s">
        <v>1302</v>
      </c>
      <c r="D77" s="1317" t="s">
        <v>206</v>
      </c>
      <c r="J77" s="1319">
        <f t="shared" ca="1" si="1157"/>
        <v>0</v>
      </c>
      <c r="K77" s="1319">
        <f t="shared" ca="1" si="1178"/>
        <v>0</v>
      </c>
      <c r="T77" s="1319">
        <f t="shared" ca="1" si="1158"/>
        <v>0</v>
      </c>
      <c r="U77" s="1319">
        <f t="shared" ca="1" si="1158"/>
        <v>0</v>
      </c>
      <c r="V77" s="1319">
        <f t="shared" ca="1" si="1158"/>
        <v>1.5842673999999999E-5</v>
      </c>
      <c r="W77" s="1319">
        <f t="shared" ca="1" si="1158"/>
        <v>0</v>
      </c>
      <c r="X77" s="1319">
        <f t="shared" ca="1" si="1158"/>
        <v>0</v>
      </c>
      <c r="Y77" s="1319">
        <f t="shared" ca="1" si="1158"/>
        <v>1.5842673999999999E-5</v>
      </c>
      <c r="Z77" s="1319">
        <f t="shared" ca="1" si="1158"/>
        <v>4.0086630200000001E-11</v>
      </c>
      <c r="AA77" s="1319">
        <f t="shared" ca="1" si="1158"/>
        <v>1.5842633900000001E-5</v>
      </c>
      <c r="AB77" s="1319">
        <f t="shared" ca="1" si="1158"/>
        <v>0</v>
      </c>
      <c r="AC77" s="1319">
        <f t="shared" ca="1" si="1158"/>
        <v>1.5842673999999999E-5</v>
      </c>
      <c r="AD77" s="1319">
        <f t="shared" ca="1" si="1158"/>
        <v>0</v>
      </c>
      <c r="AM77" s="1319">
        <f t="shared" ca="1" si="1150"/>
        <v>0</v>
      </c>
      <c r="AN77" s="1319">
        <f t="shared" ca="1" si="1150"/>
        <v>0</v>
      </c>
      <c r="AO77" s="1319">
        <f t="shared" ca="1" si="1149"/>
        <v>1.5842633900000001E-5</v>
      </c>
      <c r="AP77" s="1319">
        <f t="shared" ca="1" si="1149"/>
        <v>1.5842633900000001E-5</v>
      </c>
      <c r="AQ77" s="1319">
        <f t="shared" ca="1" si="1149"/>
        <v>7.0289187099999996E-12</v>
      </c>
      <c r="AR77" s="1319">
        <f t="shared" ca="1" si="1149"/>
        <v>0</v>
      </c>
      <c r="AS77" s="1319">
        <f t="shared" ca="1" si="1149"/>
        <v>0</v>
      </c>
      <c r="AT77" s="1319">
        <f t="shared" ca="1" si="1150"/>
        <v>0</v>
      </c>
      <c r="AU77" s="1319">
        <f t="shared" ca="1" si="1150"/>
        <v>0</v>
      </c>
      <c r="AV77" s="1319">
        <f t="shared" ca="1" si="1150"/>
        <v>1.5842626899999999E-5</v>
      </c>
      <c r="AW77" s="1319">
        <f t="shared" ca="1" si="1150"/>
        <v>0</v>
      </c>
      <c r="AX77" s="1319">
        <f t="shared" ca="1" si="1150"/>
        <v>0</v>
      </c>
      <c r="AY77" s="1319">
        <f t="shared" ca="1" si="1150"/>
        <v>0</v>
      </c>
      <c r="AZ77" s="1319">
        <f t="shared" ca="1" si="1150"/>
        <v>0</v>
      </c>
      <c r="BA77" s="1319">
        <f t="shared" ca="1" si="1150"/>
        <v>0</v>
      </c>
      <c r="BB77" s="1319">
        <f t="shared" ca="1" si="1150"/>
        <v>1.5842626899999999E-5</v>
      </c>
      <c r="BN77" s="1319">
        <f t="shared" ca="1" si="1159"/>
        <v>1.33575797</v>
      </c>
      <c r="BO77" s="1319">
        <f t="shared" ca="1" si="1159"/>
        <v>1.33575797</v>
      </c>
      <c r="BP77" s="1319">
        <f t="shared" ca="1" si="1159"/>
        <v>6.9187913200000006E-11</v>
      </c>
      <c r="BQ77" s="1319">
        <f t="shared" ca="1" si="1159"/>
        <v>0</v>
      </c>
      <c r="BR77" s="1319">
        <f t="shared" ca="1" si="1159"/>
        <v>0</v>
      </c>
      <c r="CD77" s="1319">
        <f t="shared" ca="1" si="1160"/>
        <v>1.5842626899999999E-5</v>
      </c>
      <c r="CE77" s="1319">
        <f t="shared" ca="1" si="1160"/>
        <v>1.5842626899999999E-5</v>
      </c>
      <c r="CF77" s="1319">
        <f t="shared" ca="1" si="1160"/>
        <v>1.33575797</v>
      </c>
      <c r="CG77" s="1319">
        <f t="shared" ca="1" si="1160"/>
        <v>1.33575797</v>
      </c>
      <c r="CH77" s="1319">
        <f t="shared" ca="1" si="1160"/>
        <v>13.3575654</v>
      </c>
      <c r="CI77" s="1319">
        <f t="shared" ca="1" si="1160"/>
        <v>0</v>
      </c>
      <c r="CJ77" s="1319">
        <f t="shared" ca="1" si="1160"/>
        <v>0</v>
      </c>
      <c r="CK77" s="1319">
        <f t="shared" ca="1" si="1160"/>
        <v>13.3575797</v>
      </c>
      <c r="CL77" s="1319">
        <f t="shared" ca="1" si="1160"/>
        <v>6.6967042000000004E-10</v>
      </c>
      <c r="CM77" s="1319">
        <f t="shared" ca="1" si="1160"/>
        <v>13.357549499999999</v>
      </c>
      <c r="CN77" s="1319">
        <f t="shared" ca="1" si="1160"/>
        <v>13.3575797</v>
      </c>
      <c r="CO77" s="1319">
        <f t="shared" ca="1" si="1160"/>
        <v>7.3886057200000002E-10</v>
      </c>
      <c r="DA77" s="1319">
        <f t="shared" ca="1" si="1161"/>
        <v>7.4208688100000003E-2</v>
      </c>
      <c r="DB77" s="1319">
        <f t="shared" ca="1" si="1161"/>
        <v>0</v>
      </c>
      <c r="DC77" s="1319">
        <f t="shared" ca="1" si="1161"/>
        <v>0</v>
      </c>
      <c r="DD77" s="1319">
        <f t="shared" ca="1" si="1161"/>
        <v>0</v>
      </c>
      <c r="DE77" s="1319">
        <f t="shared" ca="1" si="1161"/>
        <v>7.4208687999999995E-2</v>
      </c>
      <c r="DF77" s="1319">
        <f t="shared" ca="1" si="1161"/>
        <v>1.4391246E-10</v>
      </c>
      <c r="DG77" s="1319">
        <f t="shared" ca="1" si="1161"/>
        <v>0</v>
      </c>
      <c r="DH77" s="1319">
        <f t="shared" ca="1" si="1161"/>
        <v>0</v>
      </c>
      <c r="DI77" s="1319">
        <f t="shared" ca="1" si="1161"/>
        <v>0</v>
      </c>
      <c r="DJ77" s="1319">
        <f t="shared" ca="1" si="1161"/>
        <v>0</v>
      </c>
      <c r="DV77" s="1319">
        <f t="shared" ca="1" si="1162"/>
        <v>0</v>
      </c>
      <c r="DW77" s="1319">
        <f t="shared" ca="1" si="1162"/>
        <v>0</v>
      </c>
      <c r="DX77" s="1319">
        <f t="shared" ca="1" si="1162"/>
        <v>1.48417376</v>
      </c>
      <c r="DY77" s="1319">
        <f t="shared" ca="1" si="1162"/>
        <v>7.4208688100000003E-2</v>
      </c>
      <c r="DZ77" s="1319">
        <f t="shared" ca="1" si="1162"/>
        <v>0</v>
      </c>
      <c r="EA77" s="1319">
        <f t="shared" ca="1" si="1162"/>
        <v>7.4208687999999995E-2</v>
      </c>
      <c r="EB77" s="1319">
        <f t="shared" ca="1" si="1162"/>
        <v>1.4099650699999999</v>
      </c>
      <c r="EC77" s="1319">
        <f t="shared" ca="1" si="1162"/>
        <v>0</v>
      </c>
      <c r="ED77" s="1319">
        <f t="shared" ca="1" si="1162"/>
        <v>13.357549499999999</v>
      </c>
      <c r="EE77" s="1319">
        <f t="shared" ca="1" si="1162"/>
        <v>2.8351229400000004E-8</v>
      </c>
      <c r="EF77" s="1319">
        <f t="shared" ca="1" si="1162"/>
        <v>0</v>
      </c>
      <c r="EG77" s="1319">
        <f t="shared" ca="1" si="1162"/>
        <v>0</v>
      </c>
      <c r="EH77" s="1319">
        <f t="shared" ca="1" si="1162"/>
        <v>0</v>
      </c>
      <c r="EI77" s="1319">
        <f t="shared" ca="1" si="1162"/>
        <v>0</v>
      </c>
      <c r="EJ77" s="1319">
        <f t="shared" ca="1" si="1101"/>
        <v>13.357518000000001</v>
      </c>
      <c r="EK77" s="1319">
        <f t="shared" ca="1" si="1162"/>
        <v>0</v>
      </c>
      <c r="EW77" s="1319">
        <f t="shared" ca="1" si="1163"/>
        <v>13.3575797</v>
      </c>
      <c r="EX77" s="1319">
        <f t="shared" ca="1" si="1163"/>
        <v>13.3575797</v>
      </c>
      <c r="EY77" s="1319">
        <f t="shared" ca="1" si="1163"/>
        <v>13.357563900000001</v>
      </c>
      <c r="EZ77" s="1319">
        <f t="shared" ca="1" si="1163"/>
        <v>13.357563900000001</v>
      </c>
      <c r="FA77" s="1319">
        <f t="shared" ca="1" si="1163"/>
        <v>2.2390974700000001E-15</v>
      </c>
      <c r="FB77" s="1319">
        <f t="shared" ca="1" si="1163"/>
        <v>1.5842673900000001E-5</v>
      </c>
      <c r="FN77" s="1319">
        <f t="shared" ca="1" si="1164"/>
        <v>6.9187913200000006E-11</v>
      </c>
      <c r="FO77" s="1319">
        <f t="shared" ca="1" si="1164"/>
        <v>6.6967042000000004E-10</v>
      </c>
      <c r="FP77" s="1319">
        <f t="shared" ca="1" si="1164"/>
        <v>2.2390974700000001E-15</v>
      </c>
      <c r="FQ77" s="1319">
        <f t="shared" ca="1" si="1164"/>
        <v>1.5842673900000001E-5</v>
      </c>
      <c r="FR77" s="1319">
        <f t="shared" ca="1" si="1164"/>
        <v>0</v>
      </c>
      <c r="FS77" s="1319">
        <f t="shared" ca="1" si="1164"/>
        <v>1.5842673999999999E-5</v>
      </c>
      <c r="FT77" s="1319">
        <f t="shared" ca="1" si="1164"/>
        <v>0</v>
      </c>
      <c r="FU77" s="1319">
        <f t="shared" ca="1" si="1164"/>
        <v>7.3886057200000002E-10</v>
      </c>
      <c r="FV77" s="1319">
        <f t="shared" ca="1" si="1164"/>
        <v>0</v>
      </c>
      <c r="FW77" s="1319">
        <f t="shared" ca="1" si="1164"/>
        <v>0</v>
      </c>
      <c r="FX77" s="1319">
        <f t="shared" ca="1" si="1164"/>
        <v>7.3886057200000002E-10</v>
      </c>
      <c r="GJ77" s="1319">
        <f t="shared" ca="1" si="1165"/>
        <v>0</v>
      </c>
      <c r="GK77" s="1319">
        <f t="shared" ca="1" si="1165"/>
        <v>0</v>
      </c>
      <c r="GL77" s="1319">
        <f t="shared" ca="1" si="1165"/>
        <v>0</v>
      </c>
      <c r="GM77" s="1319">
        <f t="shared" ca="1" si="1165"/>
        <v>0</v>
      </c>
      <c r="GN77" s="1319">
        <f t="shared" ca="1" si="1165"/>
        <v>0</v>
      </c>
      <c r="GO77" s="1319">
        <f t="shared" ca="1" si="1165"/>
        <v>0</v>
      </c>
      <c r="GP77" s="1319">
        <f t="shared" ca="1" si="1165"/>
        <v>0</v>
      </c>
      <c r="GQ77" s="1319">
        <f t="shared" ca="1" si="1165"/>
        <v>0</v>
      </c>
      <c r="HC77" s="1319">
        <f t="shared" ca="1" si="1166"/>
        <v>13.357563900000001</v>
      </c>
      <c r="HD77" s="1319">
        <f t="shared" ca="1" si="1166"/>
        <v>12.8602407</v>
      </c>
      <c r="HE77" s="1319">
        <f t="shared" ca="1" si="1166"/>
        <v>0</v>
      </c>
      <c r="HF77" s="1319">
        <f t="shared" ca="1" si="1166"/>
        <v>2.8245544999999999E-9</v>
      </c>
      <c r="HG77" s="1319">
        <f t="shared" ca="1" si="1166"/>
        <v>0.49732316200000004</v>
      </c>
      <c r="HH77" s="1319">
        <f t="shared" ca="1" si="1166"/>
        <v>12.8602407</v>
      </c>
      <c r="HT77" s="1319">
        <f t="shared" ca="1" si="1167"/>
        <v>0</v>
      </c>
      <c r="HU77" s="1319">
        <f t="shared" ca="1" si="1167"/>
        <v>12.8602407</v>
      </c>
      <c r="HV77" s="1319">
        <f t="shared" ca="1" si="1167"/>
        <v>12.8602407</v>
      </c>
      <c r="HW77" s="1319">
        <f t="shared" ca="1" si="1167"/>
        <v>12.8602407</v>
      </c>
      <c r="HX77" s="1319">
        <f t="shared" ca="1" si="1167"/>
        <v>1.0756264799999999</v>
      </c>
      <c r="HY77" s="1319">
        <f t="shared" ca="1" si="1167"/>
        <v>8.1795185500000006E-2</v>
      </c>
      <c r="HZ77" s="1319">
        <f t="shared" ca="1" si="1167"/>
        <v>2.90392551E-10</v>
      </c>
      <c r="IA77" s="1319">
        <f t="shared" ca="1" si="1167"/>
        <v>1.3419890700000001E-10</v>
      </c>
      <c r="IB77" s="1319">
        <f t="shared" ca="1" si="1167"/>
        <v>0</v>
      </c>
      <c r="IC77" s="1319">
        <f t="shared" ca="1" si="1167"/>
        <v>0</v>
      </c>
      <c r="ID77" s="1319">
        <f t="shared" ca="1" si="1167"/>
        <v>0</v>
      </c>
      <c r="IE77" s="1319">
        <f t="shared" ca="1" si="1167"/>
        <v>0</v>
      </c>
      <c r="IQ77" s="1319">
        <f t="shared" ca="1" si="1168"/>
        <v>1.0756264799999999</v>
      </c>
      <c r="IR77" s="1319">
        <f t="shared" ca="1" si="1168"/>
        <v>8.1795185500000006E-2</v>
      </c>
      <c r="IS77" s="1319">
        <f t="shared" ca="1" si="1168"/>
        <v>9.1079388999999997E-2</v>
      </c>
      <c r="IT77" s="1319">
        <f t="shared" ca="1" si="1168"/>
        <v>0.172874575</v>
      </c>
      <c r="IU77" s="1319">
        <f t="shared" ca="1" si="1108"/>
        <v>0.16134324</v>
      </c>
      <c r="IV77" s="1319">
        <f t="shared" ca="1" si="1168"/>
        <v>2.6698425399999999</v>
      </c>
      <c r="IW77" s="1319">
        <f t="shared" ca="1" si="1168"/>
        <v>2.1859053400000001</v>
      </c>
      <c r="IX77" s="1319">
        <f t="shared" ca="1" si="1109"/>
        <v>1.27403439E-10</v>
      </c>
      <c r="IY77" s="1319">
        <f t="shared" ca="1" si="1168"/>
        <v>1.1531334799999999E-2</v>
      </c>
      <c r="IZ77" s="1319">
        <f t="shared" ca="1" si="1168"/>
        <v>0.39285781600000003</v>
      </c>
      <c r="JA77" s="1319">
        <f t="shared" ca="1" si="1168"/>
        <v>2.2769847300000001</v>
      </c>
      <c r="JB77" s="1319">
        <f t="shared" ca="1" si="1168"/>
        <v>0</v>
      </c>
      <c r="JC77" s="1319">
        <f t="shared" ca="1" si="1168"/>
        <v>0.39285781600000003</v>
      </c>
      <c r="JD77" s="1319">
        <f t="shared" ca="1" si="1168"/>
        <v>0</v>
      </c>
      <c r="JE77" s="1319">
        <f t="shared" ca="1" si="1168"/>
        <v>0.39285781600000003</v>
      </c>
      <c r="JF77" s="1319">
        <f t="shared" ca="1" si="1168"/>
        <v>0</v>
      </c>
      <c r="JG77" s="1319">
        <f t="shared" ca="1" si="1168"/>
        <v>0</v>
      </c>
      <c r="JH77" s="1319">
        <f t="shared" ca="1" si="1168"/>
        <v>1.3419890700000001E-10</v>
      </c>
      <c r="JT77" s="1319">
        <f t="shared" ca="1" si="1169"/>
        <v>0</v>
      </c>
      <c r="JU77" s="1319">
        <f t="shared" ca="1" si="1169"/>
        <v>0</v>
      </c>
      <c r="JV77" s="1319">
        <f t="shared" ca="1" si="1169"/>
        <v>0</v>
      </c>
      <c r="JW77" s="1319">
        <f t="shared" ca="1" si="1169"/>
        <v>0</v>
      </c>
      <c r="JX77" s="1319">
        <f t="shared" ca="1" si="1169"/>
        <v>0</v>
      </c>
      <c r="JY77" s="1319">
        <f t="shared" ca="1" si="1169"/>
        <v>0</v>
      </c>
      <c r="JZ77" s="1319">
        <f t="shared" ca="1" si="1169"/>
        <v>0</v>
      </c>
      <c r="KA77" s="1319">
        <f t="shared" ca="1" si="1169"/>
        <v>0</v>
      </c>
      <c r="KB77" s="1319">
        <f t="shared" ca="1" si="1169"/>
        <v>0</v>
      </c>
      <c r="KC77" s="1319">
        <f t="shared" ca="1" si="1169"/>
        <v>0</v>
      </c>
      <c r="KL77" s="1319">
        <f t="shared" ca="1" si="1170"/>
        <v>0</v>
      </c>
      <c r="KM77" s="1319">
        <f t="shared" ca="1" si="1170"/>
        <v>0</v>
      </c>
      <c r="KN77" s="1319">
        <f t="shared" ca="1" si="1170"/>
        <v>0</v>
      </c>
      <c r="KO77" s="1319">
        <f t="shared" ca="1" si="1170"/>
        <v>0</v>
      </c>
      <c r="KP77" s="1319">
        <f t="shared" ca="1" si="1170"/>
        <v>0</v>
      </c>
      <c r="KQ77" s="1319">
        <f t="shared" ca="1" si="1170"/>
        <v>0</v>
      </c>
      <c r="KR77" s="1319">
        <f t="shared" ca="1" si="1170"/>
        <v>0</v>
      </c>
      <c r="LA77" s="1319">
        <f t="shared" ca="1" si="1171"/>
        <v>2.8245544999999999E-9</v>
      </c>
      <c r="LB77" s="1319">
        <f t="shared" ca="1" si="1171"/>
        <v>2.90392551E-10</v>
      </c>
      <c r="LC77" s="1319">
        <f t="shared" ca="1" si="1171"/>
        <v>3.1149470500000002E-9</v>
      </c>
      <c r="LD77" s="1319">
        <f t="shared" ca="1" si="1171"/>
        <v>3.1149470500000002E-9</v>
      </c>
      <c r="LE77" s="1319">
        <f t="shared" ca="1" si="1171"/>
        <v>0</v>
      </c>
      <c r="LF77" s="1319">
        <f t="shared" ca="1" si="1171"/>
        <v>0</v>
      </c>
      <c r="LG77" s="1319">
        <f t="shared" ca="1" si="1171"/>
        <v>0</v>
      </c>
      <c r="LH77" s="1319">
        <f t="shared" ca="1" si="1171"/>
        <v>0</v>
      </c>
      <c r="LI77" s="1319">
        <f t="shared" ca="1" si="1171"/>
        <v>0</v>
      </c>
      <c r="LJ77" s="1319">
        <f t="shared" ca="1" si="1171"/>
        <v>0</v>
      </c>
      <c r="LK77" s="1319">
        <f t="shared" ca="1" si="1171"/>
        <v>0</v>
      </c>
      <c r="LW77" s="1319">
        <f t="shared" ca="1" si="1113"/>
        <v>0</v>
      </c>
      <c r="LX77" s="1319">
        <f t="shared" ca="1" si="1172"/>
        <v>0</v>
      </c>
      <c r="LY77" s="1319">
        <f t="shared" ca="1" si="1172"/>
        <v>0.49732316200000004</v>
      </c>
      <c r="LZ77" s="1319">
        <f t="shared" ca="1" si="1172"/>
        <v>1.1531334799999999E-2</v>
      </c>
      <c r="MA77" s="1319">
        <f t="shared" ca="1" si="1172"/>
        <v>0.50885449699999996</v>
      </c>
      <c r="MB77" s="1319">
        <f t="shared" ca="1" si="1172"/>
        <v>3.1149470500000002E-9</v>
      </c>
      <c r="MC77" s="1319">
        <f t="shared" ca="1" si="1172"/>
        <v>0</v>
      </c>
      <c r="MD77" s="1319">
        <f t="shared" ca="1" si="1172"/>
        <v>0</v>
      </c>
      <c r="ME77" s="1319">
        <f t="shared" ca="1" si="1172"/>
        <v>0</v>
      </c>
      <c r="MF77" s="1319">
        <f t="shared" ca="1" si="1172"/>
        <v>0</v>
      </c>
      <c r="MG77" s="1319">
        <f t="shared" ca="1" si="1172"/>
        <v>0</v>
      </c>
      <c r="MH77" s="1319">
        <f t="shared" ca="1" si="1173"/>
        <v>0</v>
      </c>
      <c r="MI77" s="1319">
        <f t="shared" ca="1" si="1173"/>
        <v>0</v>
      </c>
      <c r="MJ77" s="1319">
        <f t="shared" ca="1" si="1172"/>
        <v>0</v>
      </c>
      <c r="MK77" s="1319">
        <f t="shared" ca="1" si="1172"/>
        <v>0</v>
      </c>
      <c r="ML77" s="1319">
        <f t="shared" ca="1" si="1172"/>
        <v>0</v>
      </c>
      <c r="MM77" s="1319">
        <f t="shared" ca="1" si="1172"/>
        <v>0</v>
      </c>
      <c r="MN77" s="1319">
        <f t="shared" ca="1" si="1172"/>
        <v>0</v>
      </c>
      <c r="MO77" s="1319">
        <f t="shared" ca="1" si="1172"/>
        <v>0</v>
      </c>
      <c r="NA77" s="1319">
        <f t="shared" ca="1" si="1174"/>
        <v>4.0086630200000001E-11</v>
      </c>
      <c r="NB77" s="1319">
        <f t="shared" ca="1" si="1174"/>
        <v>0</v>
      </c>
      <c r="NC77" s="1319">
        <f t="shared" ca="1" si="1174"/>
        <v>0</v>
      </c>
      <c r="ND77" s="1319">
        <f t="shared" ca="1" si="1174"/>
        <v>0</v>
      </c>
      <c r="NE77" s="1319">
        <f t="shared" ca="1" si="1174"/>
        <v>0</v>
      </c>
      <c r="NF77" s="1319">
        <f t="shared" ca="1" si="1174"/>
        <v>0</v>
      </c>
      <c r="NG77" s="1319">
        <f t="shared" ca="1" si="1174"/>
        <v>0</v>
      </c>
      <c r="NH77" s="1319">
        <f t="shared" ca="1" si="1174"/>
        <v>0</v>
      </c>
      <c r="NI77" s="1319">
        <f t="shared" ca="1" si="1174"/>
        <v>0</v>
      </c>
      <c r="NJ77" s="1319">
        <f t="shared" ca="1" si="1174"/>
        <v>0</v>
      </c>
      <c r="NK77" s="1319">
        <f t="shared" ca="1" si="1174"/>
        <v>0</v>
      </c>
      <c r="NL77" s="1319">
        <f t="shared" ca="1" si="1174"/>
        <v>0</v>
      </c>
      <c r="NM77" s="1319">
        <f t="shared" ca="1" si="1174"/>
        <v>0</v>
      </c>
      <c r="NN77" s="1319">
        <f t="shared" ca="1" si="1174"/>
        <v>0</v>
      </c>
      <c r="NO77" s="1319">
        <f t="shared" ca="1" si="1174"/>
        <v>0</v>
      </c>
      <c r="NP77" s="1319">
        <f t="shared" ca="1" si="1174"/>
        <v>0</v>
      </c>
      <c r="OH77" s="1319">
        <f t="shared" ca="1" si="1175"/>
        <v>0</v>
      </c>
      <c r="OI77" s="1319">
        <f t="shared" ca="1" si="1175"/>
        <v>0</v>
      </c>
      <c r="OJ77" s="1319">
        <f t="shared" ca="1" si="1175"/>
        <v>0</v>
      </c>
      <c r="OK77" s="1319">
        <f t="shared" ca="1" si="1175"/>
        <v>0</v>
      </c>
      <c r="OL77" s="1319">
        <f t="shared" ca="1" si="1175"/>
        <v>0</v>
      </c>
      <c r="OM77" s="1319">
        <f t="shared" ca="1" si="1175"/>
        <v>0</v>
      </c>
      <c r="ON77" s="1319">
        <f t="shared" ca="1" si="1175"/>
        <v>0</v>
      </c>
      <c r="OO77" s="1319">
        <f t="shared" ca="1" si="1175"/>
        <v>0</v>
      </c>
      <c r="PA77" s="1319">
        <f t="shared" ca="1" si="1176"/>
        <v>0</v>
      </c>
      <c r="PB77" s="1319">
        <f t="shared" ca="1" si="1176"/>
        <v>0</v>
      </c>
      <c r="PC77" s="1319">
        <f t="shared" ca="1" si="1176"/>
        <v>0</v>
      </c>
      <c r="PD77" s="1319">
        <f t="shared" ca="1" si="1176"/>
        <v>0</v>
      </c>
      <c r="PE77" s="1319">
        <f t="shared" ca="1" si="1176"/>
        <v>0</v>
      </c>
      <c r="PF77" s="1319">
        <f t="shared" ca="1" si="1176"/>
        <v>0</v>
      </c>
      <c r="PG77" s="1319">
        <f t="shared" ca="1" si="1176"/>
        <v>0</v>
      </c>
      <c r="PH77" s="1319">
        <f t="shared" ca="1" si="1176"/>
        <v>0</v>
      </c>
      <c r="PI77" s="1319">
        <f t="shared" ca="1" si="1176"/>
        <v>0</v>
      </c>
      <c r="PJ77" s="1319">
        <f t="shared" ca="1" si="1176"/>
        <v>0</v>
      </c>
      <c r="PK77" s="1319">
        <f t="shared" ca="1" si="1176"/>
        <v>0</v>
      </c>
      <c r="PW77" s="1319">
        <f t="shared" ca="1" si="1177"/>
        <v>0</v>
      </c>
      <c r="PX77" s="1319">
        <f t="shared" ca="1" si="1177"/>
        <v>0</v>
      </c>
      <c r="PY77" s="1319">
        <f t="shared" ca="1" si="1177"/>
        <v>0</v>
      </c>
      <c r="PZ77" s="1319">
        <f t="shared" ca="1" si="1177"/>
        <v>0</v>
      </c>
    </row>
    <row r="78" spans="1:442" x14ac:dyDescent="0.25">
      <c r="A78" s="189">
        <v>39</v>
      </c>
      <c r="B78" s="189" t="s">
        <v>1256</v>
      </c>
      <c r="C78" s="1317" t="s">
        <v>1290</v>
      </c>
      <c r="D78" s="1317" t="s">
        <v>206</v>
      </c>
      <c r="J78" s="1319">
        <f t="shared" ca="1" si="1157"/>
        <v>0</v>
      </c>
      <c r="K78" s="1319">
        <f t="shared" ca="1" si="1178"/>
        <v>0</v>
      </c>
      <c r="T78" s="1319">
        <f t="shared" ca="1" si="1158"/>
        <v>0</v>
      </c>
      <c r="U78" s="1319">
        <f t="shared" ca="1" si="1158"/>
        <v>0</v>
      </c>
      <c r="V78" s="1319">
        <f t="shared" ca="1" si="1158"/>
        <v>0</v>
      </c>
      <c r="W78" s="1319">
        <f t="shared" ca="1" si="1158"/>
        <v>0</v>
      </c>
      <c r="X78" s="1319">
        <f t="shared" ca="1" si="1158"/>
        <v>0</v>
      </c>
      <c r="Y78" s="1319">
        <f t="shared" ca="1" si="1158"/>
        <v>0</v>
      </c>
      <c r="Z78" s="1319">
        <f t="shared" ca="1" si="1158"/>
        <v>0</v>
      </c>
      <c r="AA78" s="1319">
        <f t="shared" ca="1" si="1158"/>
        <v>0</v>
      </c>
      <c r="AB78" s="1319">
        <f t="shared" ca="1" si="1158"/>
        <v>0</v>
      </c>
      <c r="AC78" s="1319">
        <f t="shared" ca="1" si="1158"/>
        <v>0</v>
      </c>
      <c r="AD78" s="1319">
        <f t="shared" ca="1" si="1158"/>
        <v>0</v>
      </c>
      <c r="AM78" s="1319">
        <f t="shared" ca="1" si="1150"/>
        <v>0</v>
      </c>
      <c r="AN78" s="1319">
        <f t="shared" ca="1" si="1150"/>
        <v>0</v>
      </c>
      <c r="AO78" s="1319">
        <f t="shared" ca="1" si="1149"/>
        <v>0</v>
      </c>
      <c r="AP78" s="1319">
        <f t="shared" ca="1" si="1149"/>
        <v>0</v>
      </c>
      <c r="AQ78" s="1319">
        <f t="shared" ca="1" si="1149"/>
        <v>0</v>
      </c>
      <c r="AR78" s="1319">
        <f t="shared" ca="1" si="1149"/>
        <v>0</v>
      </c>
      <c r="AS78" s="1319">
        <f t="shared" ca="1" si="1149"/>
        <v>0</v>
      </c>
      <c r="AT78" s="1319">
        <f t="shared" ca="1" si="1150"/>
        <v>0</v>
      </c>
      <c r="AU78" s="1319">
        <f t="shared" ca="1" si="1150"/>
        <v>0</v>
      </c>
      <c r="AV78" s="1319">
        <f t="shared" ca="1" si="1150"/>
        <v>0</v>
      </c>
      <c r="AW78" s="1319">
        <f t="shared" ca="1" si="1150"/>
        <v>0</v>
      </c>
      <c r="AX78" s="1319">
        <f t="shared" ca="1" si="1150"/>
        <v>0</v>
      </c>
      <c r="AY78" s="1319">
        <f t="shared" ca="1" si="1150"/>
        <v>0</v>
      </c>
      <c r="AZ78" s="1319">
        <f t="shared" ca="1" si="1150"/>
        <v>0</v>
      </c>
      <c r="BA78" s="1319">
        <f t="shared" ca="1" si="1150"/>
        <v>0</v>
      </c>
      <c r="BB78" s="1319">
        <f t="shared" ca="1" si="1150"/>
        <v>0</v>
      </c>
      <c r="BN78" s="1319">
        <f t="shared" ca="1" si="1159"/>
        <v>7.8816405400000001E-3</v>
      </c>
      <c r="BO78" s="1319">
        <f t="shared" ca="1" si="1159"/>
        <v>1.9391162300000001E-2</v>
      </c>
      <c r="BP78" s="1319">
        <f t="shared" ca="1" si="1159"/>
        <v>16.850371599999999</v>
      </c>
      <c r="BQ78" s="1319">
        <f t="shared" ca="1" si="1159"/>
        <v>0</v>
      </c>
      <c r="BR78" s="1319">
        <f t="shared" ca="1" si="1159"/>
        <v>0</v>
      </c>
      <c r="CD78" s="1319">
        <f t="shared" ca="1" si="1160"/>
        <v>0</v>
      </c>
      <c r="CE78" s="1319">
        <f t="shared" ca="1" si="1160"/>
        <v>0</v>
      </c>
      <c r="CF78" s="1319">
        <f t="shared" ca="1" si="1160"/>
        <v>7.8816405400000001E-3</v>
      </c>
      <c r="CG78" s="1319">
        <f t="shared" ca="1" si="1160"/>
        <v>1.9391162300000001E-2</v>
      </c>
      <c r="CH78" s="1319">
        <f t="shared" ca="1" si="1160"/>
        <v>7.8815718500000007E-2</v>
      </c>
      <c r="CI78" s="1319">
        <f t="shared" ca="1" si="1160"/>
        <v>0</v>
      </c>
      <c r="CJ78" s="1319">
        <f t="shared" ca="1" si="1160"/>
        <v>0</v>
      </c>
      <c r="CK78" s="1319">
        <f t="shared" ca="1" si="1160"/>
        <v>0.185613731</v>
      </c>
      <c r="CL78" s="1319">
        <f t="shared" ca="1" si="1160"/>
        <v>154.73737700000001</v>
      </c>
      <c r="CM78" s="1319">
        <f t="shared" ca="1" si="1160"/>
        <v>7.8815718500000007E-2</v>
      </c>
      <c r="CN78" s="1319">
        <f t="shared" ca="1" si="1160"/>
        <v>0.195389127</v>
      </c>
      <c r="CO78" s="1319">
        <f t="shared" ca="1" si="1160"/>
        <v>9.7753965999999998E-3</v>
      </c>
      <c r="DA78" s="1319">
        <f t="shared" ca="1" si="1161"/>
        <v>4.3786891900000002E-4</v>
      </c>
      <c r="DB78" s="1319">
        <f t="shared" ca="1" si="1161"/>
        <v>0</v>
      </c>
      <c r="DC78" s="1319">
        <f t="shared" ca="1" si="1161"/>
        <v>0</v>
      </c>
      <c r="DD78" s="1319">
        <f t="shared" ca="1" si="1161"/>
        <v>0</v>
      </c>
      <c r="DE78" s="1319">
        <f t="shared" ca="1" si="1161"/>
        <v>4.5554876700000003E-3</v>
      </c>
      <c r="DF78" s="1319">
        <f t="shared" ca="1" si="1161"/>
        <v>286.966454</v>
      </c>
      <c r="DG78" s="1319">
        <f t="shared" ca="1" si="1161"/>
        <v>7440.4578199999987</v>
      </c>
      <c r="DH78" s="1319">
        <f t="shared" ca="1" si="1161"/>
        <v>7440.4578199999987</v>
      </c>
      <c r="DI78" s="1319">
        <f t="shared" ca="1" si="1161"/>
        <v>7086.15031</v>
      </c>
      <c r="DJ78" s="1319">
        <f t="shared" ca="1" si="1161"/>
        <v>354.30751500000002</v>
      </c>
      <c r="DV78" s="1319">
        <f t="shared" ca="1" si="1162"/>
        <v>0</v>
      </c>
      <c r="DW78" s="1319">
        <f t="shared" ca="1" si="1162"/>
        <v>0</v>
      </c>
      <c r="DX78" s="1319">
        <f t="shared" ca="1" si="1162"/>
        <v>8.7573783700000008E-3</v>
      </c>
      <c r="DY78" s="1319">
        <f t="shared" ca="1" si="1162"/>
        <v>4.3786891900000002E-4</v>
      </c>
      <c r="DZ78" s="1319">
        <f t="shared" ca="1" si="1162"/>
        <v>0</v>
      </c>
      <c r="EA78" s="1319">
        <f t="shared" ca="1" si="1162"/>
        <v>4.5554876700000003E-3</v>
      </c>
      <c r="EB78" s="1319">
        <f t="shared" ca="1" si="1162"/>
        <v>8.31950945E-3</v>
      </c>
      <c r="EC78" s="1319">
        <f t="shared" ca="1" si="1162"/>
        <v>0</v>
      </c>
      <c r="ED78" s="1319">
        <f t="shared" ca="1" si="1162"/>
        <v>7.8815718500000007E-2</v>
      </c>
      <c r="EE78" s="1319">
        <f t="shared" ca="1" si="1162"/>
        <v>5439.95597</v>
      </c>
      <c r="EF78" s="1319">
        <f t="shared" ca="1" si="1162"/>
        <v>0</v>
      </c>
      <c r="EG78" s="1319">
        <f t="shared" ca="1" si="1162"/>
        <v>0</v>
      </c>
      <c r="EH78" s="1319">
        <f t="shared" ca="1" si="1162"/>
        <v>0</v>
      </c>
      <c r="EI78" s="1319">
        <f t="shared" ca="1" si="1162"/>
        <v>0</v>
      </c>
      <c r="EJ78" s="1319">
        <f t="shared" ca="1" si="1101"/>
        <v>0</v>
      </c>
      <c r="EK78" s="1319">
        <f t="shared" ca="1" si="1162"/>
        <v>7086.15031</v>
      </c>
      <c r="EW78" s="1319">
        <f t="shared" ca="1" si="1163"/>
        <v>0.195389127</v>
      </c>
      <c r="EX78" s="1319">
        <f t="shared" ca="1" si="1163"/>
        <v>0.195389127</v>
      </c>
      <c r="EY78" s="1319">
        <f t="shared" ca="1" si="1163"/>
        <v>0</v>
      </c>
      <c r="EZ78" s="1319">
        <f t="shared" ca="1" si="1163"/>
        <v>0</v>
      </c>
      <c r="FA78" s="1319">
        <f t="shared" ca="1" si="1163"/>
        <v>0.19524555699999999</v>
      </c>
      <c r="FB78" s="1319">
        <f t="shared" ca="1" si="1163"/>
        <v>1.4378372099999999E-4</v>
      </c>
      <c r="FN78" s="1319">
        <f t="shared" ca="1" si="1164"/>
        <v>16.850371599999999</v>
      </c>
      <c r="FO78" s="1319">
        <f t="shared" ca="1" si="1164"/>
        <v>154.73737700000001</v>
      </c>
      <c r="FP78" s="1319">
        <f t="shared" ca="1" si="1164"/>
        <v>0.19524555699999999</v>
      </c>
      <c r="FQ78" s="1319">
        <f t="shared" ca="1" si="1164"/>
        <v>1.4378372099999999E-4</v>
      </c>
      <c r="FR78" s="1319">
        <f t="shared" ca="1" si="1164"/>
        <v>1.43783719E-4</v>
      </c>
      <c r="FS78" s="1319">
        <f t="shared" ca="1" si="1164"/>
        <v>0</v>
      </c>
      <c r="FT78" s="1319">
        <f t="shared" ca="1" si="1164"/>
        <v>0</v>
      </c>
      <c r="FU78" s="1319">
        <f t="shared" ca="1" si="1164"/>
        <v>171.782994</v>
      </c>
      <c r="FV78" s="1319">
        <f t="shared" ca="1" si="1164"/>
        <v>0</v>
      </c>
      <c r="FW78" s="1319">
        <f t="shared" ca="1" si="1164"/>
        <v>171.77321800000001</v>
      </c>
      <c r="FX78" s="1319">
        <f t="shared" ca="1" si="1164"/>
        <v>9.7753965999999998E-3</v>
      </c>
      <c r="GJ78" s="1319">
        <f t="shared" ca="1" si="1165"/>
        <v>1.43783719E-4</v>
      </c>
      <c r="GK78" s="1319">
        <f t="shared" ca="1" si="1165"/>
        <v>1.43783719E-4</v>
      </c>
      <c r="GL78" s="1319">
        <f t="shared" ca="1" si="1165"/>
        <v>0</v>
      </c>
      <c r="GM78" s="1319">
        <f t="shared" ca="1" si="1165"/>
        <v>1.43783719E-4</v>
      </c>
      <c r="GN78" s="1319">
        <f t="shared" ca="1" si="1165"/>
        <v>1.43783719E-4</v>
      </c>
      <c r="GO78" s="1319">
        <f t="shared" ca="1" si="1165"/>
        <v>0</v>
      </c>
      <c r="GP78" s="1319">
        <f t="shared" ca="1" si="1165"/>
        <v>1.43783719E-4</v>
      </c>
      <c r="GQ78" s="1319">
        <f t="shared" ca="1" si="1165"/>
        <v>0</v>
      </c>
      <c r="HC78" s="1319">
        <f t="shared" ca="1" si="1166"/>
        <v>0</v>
      </c>
      <c r="HD78" s="1319">
        <f t="shared" ca="1" si="1166"/>
        <v>0</v>
      </c>
      <c r="HE78" s="1319">
        <f t="shared" ca="1" si="1166"/>
        <v>2766.28368</v>
      </c>
      <c r="HF78" s="1319">
        <f t="shared" ca="1" si="1166"/>
        <v>2765.7482100000002</v>
      </c>
      <c r="HG78" s="1319">
        <f t="shared" ca="1" si="1166"/>
        <v>0.53546559800000004</v>
      </c>
      <c r="HH78" s="1319">
        <f t="shared" ca="1" si="1166"/>
        <v>0</v>
      </c>
      <c r="HT78" s="1319">
        <f t="shared" ca="1" si="1167"/>
        <v>0</v>
      </c>
      <c r="HU78" s="1319">
        <f t="shared" ca="1" si="1167"/>
        <v>0</v>
      </c>
      <c r="HV78" s="1319">
        <f t="shared" ca="1" si="1167"/>
        <v>0.11970423400000002</v>
      </c>
      <c r="HW78" s="1319">
        <f t="shared" ca="1" si="1167"/>
        <v>0.11970423400000002</v>
      </c>
      <c r="HX78" s="1319">
        <f t="shared" ca="1" si="1167"/>
        <v>0.606180037</v>
      </c>
      <c r="HY78" s="1319">
        <f t="shared" ca="1" si="1167"/>
        <v>4.6096493199999998E-2</v>
      </c>
      <c r="HZ78" s="1319">
        <f t="shared" ca="1" si="1167"/>
        <v>1143.1691000000001</v>
      </c>
      <c r="IA78" s="1319">
        <f t="shared" ca="1" si="1167"/>
        <v>2.6269071500000001</v>
      </c>
      <c r="IB78" s="1319">
        <f t="shared" ca="1" si="1167"/>
        <v>0</v>
      </c>
      <c r="IC78" s="1319">
        <f t="shared" ca="1" si="1167"/>
        <v>0</v>
      </c>
      <c r="ID78" s="1319">
        <f t="shared" ca="1" si="1167"/>
        <v>0</v>
      </c>
      <c r="IE78" s="1319">
        <f t="shared" ca="1" si="1167"/>
        <v>0.11970423400000002</v>
      </c>
      <c r="IQ78" s="1319">
        <f t="shared" ca="1" si="1168"/>
        <v>0.606180037</v>
      </c>
      <c r="IR78" s="1319">
        <f t="shared" ca="1" si="1168"/>
        <v>4.6096493199999998E-2</v>
      </c>
      <c r="IS78" s="1319">
        <f t="shared" ca="1" si="1168"/>
        <v>0.65320560500000002</v>
      </c>
      <c r="IT78" s="1319">
        <f t="shared" ca="1" si="1168"/>
        <v>0.69930209799999998</v>
      </c>
      <c r="IU78" s="1319">
        <f t="shared" ca="1" si="1108"/>
        <v>0.65265621799999995</v>
      </c>
      <c r="IV78" s="1319">
        <f t="shared" ca="1" si="1168"/>
        <v>19.147541799999999</v>
      </c>
      <c r="IW78" s="1319">
        <f t="shared" ca="1" si="1168"/>
        <v>15.6769345</v>
      </c>
      <c r="IX78" s="1319">
        <f t="shared" ca="1" si="1109"/>
        <v>44670.145799999998</v>
      </c>
      <c r="IY78" s="1319">
        <f t="shared" ca="1" si="1168"/>
        <v>4.6645879600000002E-2</v>
      </c>
      <c r="IZ78" s="1319">
        <f t="shared" ca="1" si="1168"/>
        <v>2.8174925499999999</v>
      </c>
      <c r="JA78" s="1319">
        <f t="shared" ca="1" si="1168"/>
        <v>16.330140100000001</v>
      </c>
      <c r="JB78" s="1319">
        <f t="shared" ca="1" si="1168"/>
        <v>0</v>
      </c>
      <c r="JC78" s="1319">
        <f t="shared" ca="1" si="1168"/>
        <v>0.19058539999999999</v>
      </c>
      <c r="JD78" s="1319">
        <f t="shared" ca="1" si="1168"/>
        <v>0</v>
      </c>
      <c r="JE78" s="1319">
        <f t="shared" ca="1" si="1168"/>
        <v>2.8174925499999999</v>
      </c>
      <c r="JF78" s="1319">
        <f t="shared" ca="1" si="1168"/>
        <v>50965.230799999998</v>
      </c>
      <c r="JG78" s="1319">
        <f t="shared" ca="1" si="1168"/>
        <v>0</v>
      </c>
      <c r="JH78" s="1319">
        <f t="shared" ca="1" si="1168"/>
        <v>2.6269071500000001</v>
      </c>
      <c r="JT78" s="1319">
        <f t="shared" ca="1" si="1169"/>
        <v>0</v>
      </c>
      <c r="JU78" s="1319">
        <f t="shared" ca="1" si="1169"/>
        <v>0</v>
      </c>
      <c r="JV78" s="1319">
        <f t="shared" ca="1" si="1169"/>
        <v>0</v>
      </c>
      <c r="JW78" s="1319">
        <f t="shared" ca="1" si="1169"/>
        <v>0</v>
      </c>
      <c r="JX78" s="1319">
        <f t="shared" ca="1" si="1169"/>
        <v>1.43783719E-4</v>
      </c>
      <c r="JY78" s="1319">
        <f t="shared" ca="1" si="1169"/>
        <v>0</v>
      </c>
      <c r="JZ78" s="1319">
        <f t="shared" ca="1" si="1169"/>
        <v>1.43783719E-4</v>
      </c>
      <c r="KA78" s="1319">
        <f t="shared" ca="1" si="1169"/>
        <v>0</v>
      </c>
      <c r="KB78" s="1319">
        <f t="shared" ca="1" si="1169"/>
        <v>0</v>
      </c>
      <c r="KC78" s="1319">
        <f t="shared" ca="1" si="1169"/>
        <v>0</v>
      </c>
      <c r="KL78" s="1319">
        <f t="shared" ca="1" si="1170"/>
        <v>0</v>
      </c>
      <c r="KM78" s="1319">
        <f t="shared" ca="1" si="1170"/>
        <v>0</v>
      </c>
      <c r="KN78" s="1319">
        <f t="shared" ca="1" si="1170"/>
        <v>0</v>
      </c>
      <c r="KO78" s="1319">
        <f t="shared" ca="1" si="1170"/>
        <v>0</v>
      </c>
      <c r="KP78" s="1319">
        <f t="shared" ca="1" si="1170"/>
        <v>0</v>
      </c>
      <c r="KQ78" s="1319">
        <f t="shared" ca="1" si="1170"/>
        <v>0</v>
      </c>
      <c r="KR78" s="1319">
        <f t="shared" ca="1" si="1170"/>
        <v>0</v>
      </c>
      <c r="LA78" s="1319">
        <f t="shared" ca="1" si="1171"/>
        <v>2765.7482100000002</v>
      </c>
      <c r="LB78" s="1319">
        <f t="shared" ca="1" si="1171"/>
        <v>1143.1691000000001</v>
      </c>
      <c r="LC78" s="1319">
        <f t="shared" ca="1" si="1171"/>
        <v>68874.8</v>
      </c>
      <c r="LD78" s="1319">
        <f t="shared" ca="1" si="1171"/>
        <v>68874.8</v>
      </c>
      <c r="LE78" s="1319">
        <f t="shared" ca="1" si="1171"/>
        <v>64965.882700000002</v>
      </c>
      <c r="LF78" s="1319">
        <f t="shared" ca="1" si="1171"/>
        <v>11479.917600000001</v>
      </c>
      <c r="LG78" s="1319">
        <f t="shared" ca="1" si="1171"/>
        <v>11479.917600000001</v>
      </c>
      <c r="LH78" s="1319">
        <f t="shared" ca="1" si="1171"/>
        <v>0</v>
      </c>
      <c r="LI78" s="1319">
        <f t="shared" ca="1" si="1171"/>
        <v>11325.401</v>
      </c>
      <c r="LJ78" s="1319">
        <f t="shared" ca="1" si="1171"/>
        <v>0</v>
      </c>
      <c r="LK78" s="1319">
        <f t="shared" ca="1" si="1171"/>
        <v>0</v>
      </c>
      <c r="LW78" s="1319">
        <f t="shared" ca="1" si="1113"/>
        <v>0</v>
      </c>
      <c r="LX78" s="1319">
        <f t="shared" ca="1" si="1172"/>
        <v>0</v>
      </c>
      <c r="LY78" s="1319">
        <f t="shared" ca="1" si="1172"/>
        <v>0.53546559800000004</v>
      </c>
      <c r="LZ78" s="1319">
        <f t="shared" ca="1" si="1172"/>
        <v>4.6645879600000002E-2</v>
      </c>
      <c r="MA78" s="1319">
        <f t="shared" ca="1" si="1172"/>
        <v>0.58211147699999999</v>
      </c>
      <c r="MB78" s="1319">
        <f t="shared" ca="1" si="1172"/>
        <v>68874.8</v>
      </c>
      <c r="MC78" s="1319">
        <f t="shared" ca="1" si="1172"/>
        <v>11479.917600000001</v>
      </c>
      <c r="MD78" s="1319">
        <f t="shared" ca="1" si="1172"/>
        <v>0</v>
      </c>
      <c r="ME78" s="1319">
        <f t="shared" ca="1" si="1172"/>
        <v>0</v>
      </c>
      <c r="MF78" s="1319">
        <f t="shared" ca="1" si="1172"/>
        <v>0</v>
      </c>
      <c r="MG78" s="1319">
        <f t="shared" ca="1" si="1172"/>
        <v>0</v>
      </c>
      <c r="MH78" s="1319">
        <f t="shared" ca="1" si="1173"/>
        <v>0</v>
      </c>
      <c r="MI78" s="1319">
        <f t="shared" ca="1" si="1173"/>
        <v>0</v>
      </c>
      <c r="MJ78" s="1319">
        <f t="shared" ca="1" si="1172"/>
        <v>0</v>
      </c>
      <c r="MK78" s="1319">
        <f t="shared" ca="1" si="1172"/>
        <v>0</v>
      </c>
      <c r="ML78" s="1319">
        <f t="shared" ca="1" si="1172"/>
        <v>0</v>
      </c>
      <c r="MM78" s="1319">
        <f t="shared" ca="1" si="1172"/>
        <v>0</v>
      </c>
      <c r="MN78" s="1319">
        <f t="shared" ca="1" si="1172"/>
        <v>0</v>
      </c>
      <c r="MO78" s="1319">
        <f t="shared" ca="1" si="1172"/>
        <v>0</v>
      </c>
      <c r="NA78" s="1319">
        <f t="shared" ca="1" si="1174"/>
        <v>0</v>
      </c>
      <c r="NB78" s="1319">
        <f t="shared" ca="1" si="1174"/>
        <v>0</v>
      </c>
      <c r="NC78" s="1319">
        <f t="shared" ca="1" si="1174"/>
        <v>0</v>
      </c>
      <c r="ND78" s="1319">
        <f t="shared" ca="1" si="1174"/>
        <v>0</v>
      </c>
      <c r="NE78" s="1319">
        <f t="shared" ca="1" si="1174"/>
        <v>0</v>
      </c>
      <c r="NF78" s="1319">
        <f t="shared" ca="1" si="1174"/>
        <v>0</v>
      </c>
      <c r="NG78" s="1319">
        <f t="shared" ca="1" si="1174"/>
        <v>0</v>
      </c>
      <c r="NH78" s="1319">
        <f t="shared" ca="1" si="1174"/>
        <v>0</v>
      </c>
      <c r="NI78" s="1319">
        <f t="shared" ca="1" si="1174"/>
        <v>0</v>
      </c>
      <c r="NJ78" s="1319">
        <f t="shared" ca="1" si="1174"/>
        <v>0</v>
      </c>
      <c r="NK78" s="1319">
        <f t="shared" ca="1" si="1174"/>
        <v>0</v>
      </c>
      <c r="NL78" s="1319">
        <f t="shared" ca="1" si="1174"/>
        <v>0</v>
      </c>
      <c r="NM78" s="1319">
        <f t="shared" ca="1" si="1174"/>
        <v>0</v>
      </c>
      <c r="NN78" s="1319">
        <f t="shared" ca="1" si="1174"/>
        <v>0</v>
      </c>
      <c r="NO78" s="1319">
        <f t="shared" ca="1" si="1174"/>
        <v>0</v>
      </c>
      <c r="NP78" s="1319">
        <f t="shared" ca="1" si="1174"/>
        <v>0</v>
      </c>
      <c r="OH78" s="1319">
        <f t="shared" ca="1" si="1175"/>
        <v>79.683118399999998</v>
      </c>
      <c r="OI78" s="1319">
        <f t="shared" ca="1" si="1175"/>
        <v>0</v>
      </c>
      <c r="OJ78" s="1319">
        <f t="shared" ca="1" si="1175"/>
        <v>0.119694945</v>
      </c>
      <c r="OK78" s="1319">
        <f t="shared" ca="1" si="1175"/>
        <v>79.683118399999998</v>
      </c>
      <c r="OL78" s="1319">
        <f t="shared" ca="1" si="1175"/>
        <v>1495395.19</v>
      </c>
      <c r="OM78" s="1319">
        <f t="shared" ca="1" si="1175"/>
        <v>1495395.07</v>
      </c>
      <c r="ON78" s="1319">
        <f t="shared" ca="1" si="1175"/>
        <v>0</v>
      </c>
      <c r="OO78" s="1319">
        <f t="shared" ca="1" si="1175"/>
        <v>0</v>
      </c>
      <c r="PA78" s="1319">
        <f t="shared" ca="1" si="1176"/>
        <v>0</v>
      </c>
      <c r="PB78" s="1319">
        <f t="shared" ca="1" si="1176"/>
        <v>0</v>
      </c>
      <c r="PC78" s="1319">
        <f t="shared" ca="1" si="1176"/>
        <v>0</v>
      </c>
      <c r="PD78" s="1319">
        <f t="shared" ca="1" si="1176"/>
        <v>0</v>
      </c>
      <c r="PE78" s="1319">
        <f t="shared" ca="1" si="1176"/>
        <v>0</v>
      </c>
      <c r="PF78" s="1319">
        <f t="shared" ca="1" si="1176"/>
        <v>0</v>
      </c>
      <c r="PG78" s="1319">
        <f t="shared" ca="1" si="1176"/>
        <v>0</v>
      </c>
      <c r="PH78" s="1319">
        <f t="shared" ca="1" si="1176"/>
        <v>0</v>
      </c>
      <c r="PI78" s="1319">
        <f t="shared" ca="1" si="1176"/>
        <v>0</v>
      </c>
      <c r="PJ78" s="1319">
        <f t="shared" ca="1" si="1176"/>
        <v>0</v>
      </c>
      <c r="PK78" s="1319">
        <f t="shared" ca="1" si="1176"/>
        <v>0</v>
      </c>
      <c r="PW78" s="1319">
        <f t="shared" ca="1" si="1177"/>
        <v>0</v>
      </c>
      <c r="PX78" s="1319">
        <f t="shared" ca="1" si="1177"/>
        <v>0</v>
      </c>
      <c r="PY78" s="1319">
        <f t="shared" ca="1" si="1177"/>
        <v>0</v>
      </c>
      <c r="PZ78" s="1319">
        <f t="shared" ca="1" si="1177"/>
        <v>0</v>
      </c>
    </row>
    <row r="79" spans="1:442" x14ac:dyDescent="0.25">
      <c r="A79" s="189">
        <v>40</v>
      </c>
      <c r="B79" s="189" t="s">
        <v>1256</v>
      </c>
      <c r="C79" s="1317" t="s">
        <v>1288</v>
      </c>
      <c r="D79" s="1317" t="s">
        <v>206</v>
      </c>
      <c r="J79" s="1319">
        <f t="shared" ca="1" si="1157"/>
        <v>0</v>
      </c>
      <c r="K79" s="1319">
        <f t="shared" ca="1" si="1178"/>
        <v>0</v>
      </c>
      <c r="T79" s="1319">
        <f t="shared" ca="1" si="1158"/>
        <v>0</v>
      </c>
      <c r="U79" s="1319">
        <f t="shared" ca="1" si="1158"/>
        <v>0</v>
      </c>
      <c r="V79" s="1319">
        <f t="shared" ca="1" si="1158"/>
        <v>0</v>
      </c>
      <c r="W79" s="1319">
        <f t="shared" ca="1" si="1158"/>
        <v>0</v>
      </c>
      <c r="X79" s="1319">
        <f t="shared" ca="1" si="1158"/>
        <v>0</v>
      </c>
      <c r="Y79" s="1319">
        <f t="shared" ca="1" si="1158"/>
        <v>0</v>
      </c>
      <c r="Z79" s="1319">
        <f t="shared" ca="1" si="1158"/>
        <v>0</v>
      </c>
      <c r="AA79" s="1319">
        <f t="shared" ca="1" si="1158"/>
        <v>0</v>
      </c>
      <c r="AB79" s="1319">
        <f t="shared" ca="1" si="1158"/>
        <v>0</v>
      </c>
      <c r="AC79" s="1319">
        <f t="shared" ca="1" si="1158"/>
        <v>0</v>
      </c>
      <c r="AD79" s="1319">
        <f t="shared" ca="1" si="1158"/>
        <v>0</v>
      </c>
      <c r="AM79" s="1319">
        <f t="shared" ca="1" si="1150"/>
        <v>0</v>
      </c>
      <c r="AN79" s="1319">
        <f t="shared" ca="1" si="1150"/>
        <v>0</v>
      </c>
      <c r="AO79" s="1319">
        <f t="shared" ca="1" si="1149"/>
        <v>0</v>
      </c>
      <c r="AP79" s="1319">
        <f t="shared" ca="1" si="1149"/>
        <v>0</v>
      </c>
      <c r="AQ79" s="1319">
        <f t="shared" ca="1" si="1149"/>
        <v>0</v>
      </c>
      <c r="AR79" s="1319">
        <f t="shared" ca="1" si="1149"/>
        <v>0</v>
      </c>
      <c r="AS79" s="1319">
        <f t="shared" ca="1" si="1149"/>
        <v>0</v>
      </c>
      <c r="AT79" s="1319">
        <f t="shared" ca="1" si="1150"/>
        <v>0</v>
      </c>
      <c r="AU79" s="1319">
        <f t="shared" ca="1" si="1150"/>
        <v>0</v>
      </c>
      <c r="AV79" s="1319">
        <f t="shared" ca="1" si="1150"/>
        <v>0</v>
      </c>
      <c r="AW79" s="1319">
        <f t="shared" ca="1" si="1150"/>
        <v>0</v>
      </c>
      <c r="AX79" s="1319">
        <f t="shared" ca="1" si="1150"/>
        <v>0</v>
      </c>
      <c r="AY79" s="1319">
        <f t="shared" ca="1" si="1150"/>
        <v>0</v>
      </c>
      <c r="AZ79" s="1319">
        <f t="shared" ca="1" si="1150"/>
        <v>0</v>
      </c>
      <c r="BA79" s="1319">
        <f t="shared" ca="1" si="1150"/>
        <v>0</v>
      </c>
      <c r="BB79" s="1319">
        <f t="shared" ca="1" si="1150"/>
        <v>0</v>
      </c>
      <c r="BN79" s="1319">
        <f t="shared" ca="1" si="1159"/>
        <v>1.7471503400000001E-2</v>
      </c>
      <c r="BO79" s="1319">
        <f t="shared" ca="1" si="1159"/>
        <v>1.05448748E-5</v>
      </c>
      <c r="BP79" s="1319">
        <f t="shared" ca="1" si="1159"/>
        <v>1.7460958499999998E-2</v>
      </c>
      <c r="BQ79" s="1319">
        <f t="shared" ca="1" si="1159"/>
        <v>0</v>
      </c>
      <c r="BR79" s="1319">
        <f t="shared" ca="1" si="1159"/>
        <v>0</v>
      </c>
      <c r="CD79" s="1319">
        <f t="shared" ca="1" si="1160"/>
        <v>0</v>
      </c>
      <c r="CE79" s="1319">
        <f t="shared" ca="1" si="1160"/>
        <v>0</v>
      </c>
      <c r="CF79" s="1319">
        <f t="shared" ca="1" si="1160"/>
        <v>1.7471503400000001E-2</v>
      </c>
      <c r="CG79" s="1319">
        <f t="shared" ca="1" si="1160"/>
        <v>1.05448748E-5</v>
      </c>
      <c r="CH79" s="1319">
        <f t="shared" ca="1" si="1160"/>
        <v>0.174713493</v>
      </c>
      <c r="CI79" s="1319">
        <f t="shared" ca="1" si="1160"/>
        <v>0</v>
      </c>
      <c r="CJ79" s="1319">
        <f t="shared" ca="1" si="1160"/>
        <v>0</v>
      </c>
      <c r="CK79" s="1319">
        <f t="shared" ca="1" si="1160"/>
        <v>9.8983531399999996E-5</v>
      </c>
      <c r="CL79" s="1319">
        <f t="shared" ca="1" si="1160"/>
        <v>0.157155092</v>
      </c>
      <c r="CM79" s="1319">
        <f t="shared" ca="1" si="1160"/>
        <v>0.174713493</v>
      </c>
      <c r="CN79" s="1319">
        <f t="shared" ca="1" si="1160"/>
        <v>1.0418795699999999E-4</v>
      </c>
      <c r="CO79" s="1319">
        <f t="shared" ca="1" si="1160"/>
        <v>5.20442532E-6</v>
      </c>
      <c r="DA79" s="1319">
        <f t="shared" ca="1" si="1161"/>
        <v>9.7063907600000005E-4</v>
      </c>
      <c r="DB79" s="1319">
        <f t="shared" ca="1" si="1161"/>
        <v>0</v>
      </c>
      <c r="DC79" s="1319">
        <f t="shared" ca="1" si="1161"/>
        <v>0</v>
      </c>
      <c r="DD79" s="1319">
        <f t="shared" ca="1" si="1161"/>
        <v>0</v>
      </c>
      <c r="DE79" s="1319">
        <f t="shared" ca="1" si="1161"/>
        <v>9.5767089799999993E-3</v>
      </c>
      <c r="DF79" s="1319">
        <f t="shared" ca="1" si="1161"/>
        <v>1166.85886</v>
      </c>
      <c r="DG79" s="1319">
        <f t="shared" ca="1" si="1161"/>
        <v>24504.216799999998</v>
      </c>
      <c r="DH79" s="1319">
        <f t="shared" ca="1" si="1161"/>
        <v>24504.216799999998</v>
      </c>
      <c r="DI79" s="1319">
        <f t="shared" ca="1" si="1161"/>
        <v>23337.349300000002</v>
      </c>
      <c r="DJ79" s="1319">
        <f t="shared" ca="1" si="1161"/>
        <v>1166.8674699999999</v>
      </c>
      <c r="DV79" s="1319">
        <f t="shared" ca="1" si="1162"/>
        <v>0</v>
      </c>
      <c r="DW79" s="1319">
        <f t="shared" ca="1" si="1162"/>
        <v>0</v>
      </c>
      <c r="DX79" s="1319">
        <f t="shared" ca="1" si="1162"/>
        <v>1.94127815E-2</v>
      </c>
      <c r="DY79" s="1319">
        <f t="shared" ca="1" si="1162"/>
        <v>9.7063907600000005E-4</v>
      </c>
      <c r="DZ79" s="1319">
        <f t="shared" ca="1" si="1162"/>
        <v>0</v>
      </c>
      <c r="EA79" s="1319">
        <f t="shared" ca="1" si="1162"/>
        <v>9.5767089799999993E-3</v>
      </c>
      <c r="EB79" s="1319">
        <f t="shared" ca="1" si="1162"/>
        <v>1.84421424E-2</v>
      </c>
      <c r="EC79" s="1319">
        <f t="shared" ca="1" si="1162"/>
        <v>0</v>
      </c>
      <c r="ED79" s="1319">
        <f t="shared" ca="1" si="1162"/>
        <v>0.174713493</v>
      </c>
      <c r="EE79" s="1319">
        <f t="shared" ca="1" si="1162"/>
        <v>23337.183199999999</v>
      </c>
      <c r="EF79" s="1319">
        <f t="shared" ca="1" si="1162"/>
        <v>0</v>
      </c>
      <c r="EG79" s="1319">
        <f t="shared" ca="1" si="1162"/>
        <v>0</v>
      </c>
      <c r="EH79" s="1319">
        <f t="shared" ca="1" si="1162"/>
        <v>0</v>
      </c>
      <c r="EI79" s="1319">
        <f t="shared" ca="1" si="1162"/>
        <v>0</v>
      </c>
      <c r="EJ79" s="1319">
        <f t="shared" ca="1" si="1101"/>
        <v>0</v>
      </c>
      <c r="EK79" s="1319">
        <f t="shared" ca="1" si="1162"/>
        <v>23337.349300000002</v>
      </c>
      <c r="EW79" s="1319">
        <f t="shared" ca="1" si="1163"/>
        <v>1.0418795699999999E-4</v>
      </c>
      <c r="EX79" s="1319">
        <f t="shared" ca="1" si="1163"/>
        <v>1.0418795699999999E-4</v>
      </c>
      <c r="EY79" s="1319">
        <f t="shared" ca="1" si="1163"/>
        <v>0</v>
      </c>
      <c r="EZ79" s="1319">
        <f t="shared" ca="1" si="1163"/>
        <v>0</v>
      </c>
      <c r="FA79" s="1319">
        <f t="shared" ca="1" si="1163"/>
        <v>1.04164573E-4</v>
      </c>
      <c r="FB79" s="1319">
        <f t="shared" ca="1" si="1163"/>
        <v>2.4005705799999999E-8</v>
      </c>
      <c r="FN79" s="1319">
        <f t="shared" ca="1" si="1164"/>
        <v>1.7460958499999998E-2</v>
      </c>
      <c r="FO79" s="1319">
        <f t="shared" ca="1" si="1164"/>
        <v>0.157155092</v>
      </c>
      <c r="FP79" s="1319">
        <f t="shared" ca="1" si="1164"/>
        <v>1.04164573E-4</v>
      </c>
      <c r="FQ79" s="1319">
        <f t="shared" ca="1" si="1164"/>
        <v>2.4005705799999999E-8</v>
      </c>
      <c r="FR79" s="1319">
        <f t="shared" ca="1" si="1164"/>
        <v>2.40057055E-8</v>
      </c>
      <c r="FS79" s="1319">
        <f t="shared" ca="1" si="1164"/>
        <v>0</v>
      </c>
      <c r="FT79" s="1319">
        <f t="shared" ca="1" si="1164"/>
        <v>0</v>
      </c>
      <c r="FU79" s="1319">
        <f t="shared" ca="1" si="1164"/>
        <v>0.17472021500000001</v>
      </c>
      <c r="FV79" s="1319">
        <f t="shared" ca="1" si="1164"/>
        <v>0</v>
      </c>
      <c r="FW79" s="1319">
        <f t="shared" ca="1" si="1164"/>
        <v>0.17471501</v>
      </c>
      <c r="FX79" s="1319">
        <f t="shared" ca="1" si="1164"/>
        <v>5.20442532E-6</v>
      </c>
      <c r="GJ79" s="1319">
        <f t="shared" ca="1" si="1165"/>
        <v>2.40057055E-8</v>
      </c>
      <c r="GK79" s="1319">
        <f t="shared" ca="1" si="1165"/>
        <v>2.40057055E-8</v>
      </c>
      <c r="GL79" s="1319">
        <f t="shared" ca="1" si="1165"/>
        <v>0</v>
      </c>
      <c r="GM79" s="1319">
        <f t="shared" ca="1" si="1165"/>
        <v>2.40057055E-8</v>
      </c>
      <c r="GN79" s="1319">
        <f t="shared" ca="1" si="1165"/>
        <v>2.40057055E-8</v>
      </c>
      <c r="GO79" s="1319">
        <f t="shared" ca="1" si="1165"/>
        <v>0</v>
      </c>
      <c r="GP79" s="1319">
        <f t="shared" ca="1" si="1165"/>
        <v>2.40057055E-8</v>
      </c>
      <c r="GQ79" s="1319">
        <f t="shared" ca="1" si="1165"/>
        <v>0</v>
      </c>
      <c r="HC79" s="1319">
        <f t="shared" ca="1" si="1166"/>
        <v>0</v>
      </c>
      <c r="HD79" s="1319">
        <f t="shared" ca="1" si="1166"/>
        <v>0</v>
      </c>
      <c r="HE79" s="1319">
        <f t="shared" ca="1" si="1166"/>
        <v>9110.4091599999992</v>
      </c>
      <c r="HF79" s="1319">
        <f t="shared" ca="1" si="1166"/>
        <v>9109.4546599999994</v>
      </c>
      <c r="HG79" s="1319">
        <f t="shared" ca="1" si="1166"/>
        <v>0.95449282599999996</v>
      </c>
      <c r="HH79" s="1319">
        <f t="shared" ca="1" si="1166"/>
        <v>0</v>
      </c>
      <c r="HT79" s="1319">
        <f t="shared" ca="1" si="1167"/>
        <v>0</v>
      </c>
      <c r="HU79" s="1319">
        <f t="shared" ca="1" si="1167"/>
        <v>0</v>
      </c>
      <c r="HV79" s="1319">
        <f t="shared" ca="1" si="1167"/>
        <v>0.20687404600000001</v>
      </c>
      <c r="HW79" s="1319">
        <f t="shared" ca="1" si="1167"/>
        <v>0.20687404600000001</v>
      </c>
      <c r="HX79" s="1319">
        <f t="shared" ca="1" si="1167"/>
        <v>5.4932217100000007E-5</v>
      </c>
      <c r="HY79" s="1319">
        <f t="shared" ca="1" si="1167"/>
        <v>4.1772780700000001E-6</v>
      </c>
      <c r="HZ79" s="1319">
        <f t="shared" ca="1" si="1167"/>
        <v>5.4242980200000002</v>
      </c>
      <c r="IA79" s="1319">
        <f t="shared" ca="1" si="1167"/>
        <v>5.2271405800000004</v>
      </c>
      <c r="IB79" s="1319">
        <f t="shared" ca="1" si="1167"/>
        <v>0</v>
      </c>
      <c r="IC79" s="1319">
        <f t="shared" ca="1" si="1167"/>
        <v>0</v>
      </c>
      <c r="ID79" s="1319">
        <f t="shared" ca="1" si="1167"/>
        <v>0</v>
      </c>
      <c r="IE79" s="1319">
        <f t="shared" ca="1" si="1167"/>
        <v>0.20687404600000001</v>
      </c>
      <c r="IQ79" s="1319">
        <f t="shared" ca="1" si="1168"/>
        <v>5.4932217100000007E-5</v>
      </c>
      <c r="IR79" s="1319">
        <f t="shared" ca="1" si="1168"/>
        <v>4.1772780700000001E-6</v>
      </c>
      <c r="IS79" s="1319">
        <f t="shared" ca="1" si="1168"/>
        <v>1.26107824</v>
      </c>
      <c r="IT79" s="1319">
        <f t="shared" ca="1" si="1168"/>
        <v>1.26108241</v>
      </c>
      <c r="IU79" s="1319">
        <f t="shared" ca="1" si="1108"/>
        <v>1.17696383</v>
      </c>
      <c r="IV79" s="1319">
        <f t="shared" ca="1" si="1168"/>
        <v>36.966232900000001</v>
      </c>
      <c r="IW79" s="1319">
        <f t="shared" ca="1" si="1168"/>
        <v>30.265877699999997</v>
      </c>
      <c r="IX79" s="1319">
        <f t="shared" ca="1" si="1109"/>
        <v>167842.087</v>
      </c>
      <c r="IY79" s="1319">
        <f t="shared" ca="1" si="1168"/>
        <v>8.4118578499999999E-2</v>
      </c>
      <c r="IZ79" s="1319">
        <f t="shared" ca="1" si="1168"/>
        <v>5.4394494299999998</v>
      </c>
      <c r="JA79" s="1319">
        <f t="shared" ca="1" si="1168"/>
        <v>31.526955900000001</v>
      </c>
      <c r="JB79" s="1319">
        <f t="shared" ca="1" si="1168"/>
        <v>0</v>
      </c>
      <c r="JC79" s="1319">
        <f t="shared" ca="1" si="1168"/>
        <v>0.21230884999999999</v>
      </c>
      <c r="JD79" s="1319">
        <f t="shared" ca="1" si="1168"/>
        <v>0</v>
      </c>
      <c r="JE79" s="1319">
        <f t="shared" ca="1" si="1168"/>
        <v>5.4394494299999998</v>
      </c>
      <c r="JF79" s="1319">
        <f t="shared" ca="1" si="1168"/>
        <v>167847.611</v>
      </c>
      <c r="JG79" s="1319">
        <f t="shared" ca="1" si="1168"/>
        <v>0</v>
      </c>
      <c r="JH79" s="1319">
        <f t="shared" ca="1" si="1168"/>
        <v>5.2271405800000004</v>
      </c>
      <c r="JT79" s="1319">
        <f t="shared" ca="1" si="1169"/>
        <v>0</v>
      </c>
      <c r="JU79" s="1319">
        <f t="shared" ca="1" si="1169"/>
        <v>0</v>
      </c>
      <c r="JV79" s="1319">
        <f t="shared" ca="1" si="1169"/>
        <v>0</v>
      </c>
      <c r="JW79" s="1319">
        <f t="shared" ca="1" si="1169"/>
        <v>0</v>
      </c>
      <c r="JX79" s="1319">
        <f t="shared" ca="1" si="1169"/>
        <v>2.40057055E-8</v>
      </c>
      <c r="JY79" s="1319">
        <f t="shared" ca="1" si="1169"/>
        <v>0</v>
      </c>
      <c r="JZ79" s="1319">
        <f t="shared" ca="1" si="1169"/>
        <v>2.40057055E-8</v>
      </c>
      <c r="KA79" s="1319">
        <f t="shared" ca="1" si="1169"/>
        <v>0</v>
      </c>
      <c r="KB79" s="1319">
        <f t="shared" ca="1" si="1169"/>
        <v>0</v>
      </c>
      <c r="KC79" s="1319">
        <f t="shared" ca="1" si="1169"/>
        <v>0</v>
      </c>
      <c r="KL79" s="1319">
        <f t="shared" ca="1" si="1170"/>
        <v>0</v>
      </c>
      <c r="KM79" s="1319">
        <f t="shared" ca="1" si="1170"/>
        <v>0</v>
      </c>
      <c r="KN79" s="1319">
        <f t="shared" ca="1" si="1170"/>
        <v>0</v>
      </c>
      <c r="KO79" s="1319">
        <f t="shared" ca="1" si="1170"/>
        <v>0</v>
      </c>
      <c r="KP79" s="1319">
        <f t="shared" ca="1" si="1170"/>
        <v>0</v>
      </c>
      <c r="KQ79" s="1319">
        <f t="shared" ca="1" si="1170"/>
        <v>0</v>
      </c>
      <c r="KR79" s="1319">
        <f t="shared" ca="1" si="1170"/>
        <v>0</v>
      </c>
      <c r="LA79" s="1319">
        <f t="shared" ca="1" si="1171"/>
        <v>9109.4546599999994</v>
      </c>
      <c r="LB79" s="1319">
        <f t="shared" ca="1" si="1171"/>
        <v>5.4242980200000002</v>
      </c>
      <c r="LC79" s="1319">
        <f t="shared" ca="1" si="1171"/>
        <v>223071.88399999999</v>
      </c>
      <c r="LD79" s="1319">
        <f t="shared" ca="1" si="1171"/>
        <v>223071.88399999999</v>
      </c>
      <c r="LE79" s="1319">
        <f t="shared" ca="1" si="1171"/>
        <v>213957.00599999999</v>
      </c>
      <c r="LF79" s="1319">
        <f t="shared" ca="1" si="1171"/>
        <v>223991.829</v>
      </c>
      <c r="LG79" s="1319">
        <f t="shared" ca="1" si="1171"/>
        <v>223991.829</v>
      </c>
      <c r="LH79" s="1319">
        <f t="shared" ca="1" si="1171"/>
        <v>0</v>
      </c>
      <c r="LI79" s="1319">
        <f t="shared" ca="1" si="1171"/>
        <v>223991.829</v>
      </c>
      <c r="LJ79" s="1319">
        <f t="shared" ca="1" si="1171"/>
        <v>0</v>
      </c>
      <c r="LK79" s="1319">
        <f t="shared" ca="1" si="1171"/>
        <v>0</v>
      </c>
      <c r="LW79" s="1319">
        <f t="shared" ca="1" si="1113"/>
        <v>0</v>
      </c>
      <c r="LX79" s="1319">
        <f t="shared" ca="1" si="1172"/>
        <v>0</v>
      </c>
      <c r="LY79" s="1319">
        <f t="shared" ca="1" si="1172"/>
        <v>0.95449282599999996</v>
      </c>
      <c r="LZ79" s="1319">
        <f t="shared" ca="1" si="1172"/>
        <v>8.4118578499999999E-2</v>
      </c>
      <c r="MA79" s="1319">
        <f t="shared" ca="1" si="1172"/>
        <v>1.0386114</v>
      </c>
      <c r="MB79" s="1319">
        <f t="shared" ca="1" si="1172"/>
        <v>223071.88399999999</v>
      </c>
      <c r="MC79" s="1319">
        <f t="shared" ca="1" si="1172"/>
        <v>223991.829</v>
      </c>
      <c r="MD79" s="1319">
        <f t="shared" ca="1" si="1172"/>
        <v>0</v>
      </c>
      <c r="ME79" s="1319">
        <f t="shared" ca="1" si="1172"/>
        <v>0</v>
      </c>
      <c r="MF79" s="1319">
        <f t="shared" ca="1" si="1172"/>
        <v>0</v>
      </c>
      <c r="MG79" s="1319">
        <f t="shared" ca="1" si="1172"/>
        <v>0</v>
      </c>
      <c r="MH79" s="1319">
        <f t="shared" ca="1" si="1173"/>
        <v>0</v>
      </c>
      <c r="MI79" s="1319">
        <f t="shared" ca="1" si="1173"/>
        <v>0</v>
      </c>
      <c r="MJ79" s="1319">
        <f t="shared" ca="1" si="1172"/>
        <v>0</v>
      </c>
      <c r="MK79" s="1319">
        <f t="shared" ca="1" si="1172"/>
        <v>0</v>
      </c>
      <c r="ML79" s="1319">
        <f t="shared" ca="1" si="1172"/>
        <v>0</v>
      </c>
      <c r="MM79" s="1319">
        <f t="shared" ca="1" si="1172"/>
        <v>0</v>
      </c>
      <c r="MN79" s="1319">
        <f t="shared" ca="1" si="1172"/>
        <v>0</v>
      </c>
      <c r="MO79" s="1319">
        <f t="shared" ca="1" si="1172"/>
        <v>0</v>
      </c>
      <c r="NA79" s="1319">
        <f t="shared" ca="1" si="1174"/>
        <v>0</v>
      </c>
      <c r="NB79" s="1319">
        <f t="shared" ca="1" si="1174"/>
        <v>0</v>
      </c>
      <c r="NC79" s="1319">
        <f t="shared" ca="1" si="1174"/>
        <v>0</v>
      </c>
      <c r="ND79" s="1319">
        <f t="shared" ca="1" si="1174"/>
        <v>0</v>
      </c>
      <c r="NE79" s="1319">
        <f t="shared" ca="1" si="1174"/>
        <v>0</v>
      </c>
      <c r="NF79" s="1319">
        <f t="shared" ca="1" si="1174"/>
        <v>0</v>
      </c>
      <c r="NG79" s="1319">
        <f t="shared" ca="1" si="1174"/>
        <v>0</v>
      </c>
      <c r="NH79" s="1319">
        <f t="shared" ca="1" si="1174"/>
        <v>0</v>
      </c>
      <c r="NI79" s="1319">
        <f t="shared" ca="1" si="1174"/>
        <v>0</v>
      </c>
      <c r="NJ79" s="1319">
        <f t="shared" ca="1" si="1174"/>
        <v>0</v>
      </c>
      <c r="NK79" s="1319">
        <f t="shared" ca="1" si="1174"/>
        <v>0</v>
      </c>
      <c r="NL79" s="1319">
        <f t="shared" ca="1" si="1174"/>
        <v>0</v>
      </c>
      <c r="NM79" s="1319">
        <f t="shared" ca="1" si="1174"/>
        <v>0</v>
      </c>
      <c r="NN79" s="1319">
        <f t="shared" ca="1" si="1174"/>
        <v>0</v>
      </c>
      <c r="NO79" s="1319">
        <f t="shared" ca="1" si="1174"/>
        <v>0</v>
      </c>
      <c r="NP79" s="1319">
        <f t="shared" ca="1" si="1174"/>
        <v>0</v>
      </c>
      <c r="OH79" s="1319">
        <f t="shared" ca="1" si="1175"/>
        <v>137.709157</v>
      </c>
      <c r="OI79" s="1319">
        <f t="shared" ca="1" si="1175"/>
        <v>0</v>
      </c>
      <c r="OJ79" s="1319">
        <f t="shared" ca="1" si="1175"/>
        <v>0.20685799199999999</v>
      </c>
      <c r="OK79" s="1319">
        <f t="shared" ca="1" si="1175"/>
        <v>137.709157</v>
      </c>
      <c r="OL79" s="1319">
        <f t="shared" ca="1" si="1175"/>
        <v>4924896.93</v>
      </c>
      <c r="OM79" s="1319">
        <f t="shared" ca="1" si="1175"/>
        <v>4924896.72</v>
      </c>
      <c r="ON79" s="1319">
        <f t="shared" ca="1" si="1175"/>
        <v>0</v>
      </c>
      <c r="OO79" s="1319">
        <f t="shared" ca="1" si="1175"/>
        <v>0</v>
      </c>
      <c r="PA79" s="1319">
        <f t="shared" ca="1" si="1176"/>
        <v>0</v>
      </c>
      <c r="PB79" s="1319">
        <f t="shared" ca="1" si="1176"/>
        <v>0</v>
      </c>
      <c r="PC79" s="1319">
        <f t="shared" ca="1" si="1176"/>
        <v>0</v>
      </c>
      <c r="PD79" s="1319">
        <f t="shared" ca="1" si="1176"/>
        <v>0</v>
      </c>
      <c r="PE79" s="1319">
        <f t="shared" ca="1" si="1176"/>
        <v>0</v>
      </c>
      <c r="PF79" s="1319">
        <f t="shared" ca="1" si="1176"/>
        <v>0</v>
      </c>
      <c r="PG79" s="1319">
        <f t="shared" ca="1" si="1176"/>
        <v>0</v>
      </c>
      <c r="PH79" s="1319">
        <f t="shared" ca="1" si="1176"/>
        <v>0</v>
      </c>
      <c r="PI79" s="1319">
        <f t="shared" ca="1" si="1176"/>
        <v>0</v>
      </c>
      <c r="PJ79" s="1319">
        <f t="shared" ca="1" si="1176"/>
        <v>0</v>
      </c>
      <c r="PK79" s="1319">
        <f t="shared" ca="1" si="1176"/>
        <v>0</v>
      </c>
      <c r="PW79" s="1319">
        <f t="shared" ca="1" si="1177"/>
        <v>0</v>
      </c>
      <c r="PX79" s="1319">
        <f t="shared" ca="1" si="1177"/>
        <v>0</v>
      </c>
      <c r="PY79" s="1319">
        <f t="shared" ca="1" si="1177"/>
        <v>0</v>
      </c>
      <c r="PZ79" s="1319">
        <f t="shared" ca="1" si="1177"/>
        <v>0</v>
      </c>
    </row>
    <row r="80" spans="1:442" x14ac:dyDescent="0.25">
      <c r="A80" s="189">
        <v>41</v>
      </c>
      <c r="B80" s="189" t="s">
        <v>1256</v>
      </c>
      <c r="C80" s="1317" t="s">
        <v>1292</v>
      </c>
      <c r="D80" s="1317" t="s">
        <v>206</v>
      </c>
      <c r="J80" s="1319">
        <f t="shared" ca="1" si="1157"/>
        <v>0</v>
      </c>
      <c r="K80" s="1319">
        <f t="shared" ca="1" si="1178"/>
        <v>0</v>
      </c>
      <c r="T80" s="1319">
        <f t="shared" ca="1" si="1158"/>
        <v>0</v>
      </c>
      <c r="U80" s="1319">
        <f t="shared" ca="1" si="1158"/>
        <v>0</v>
      </c>
      <c r="V80" s="1319">
        <f t="shared" ca="1" si="1158"/>
        <v>0</v>
      </c>
      <c r="W80" s="1319">
        <f t="shared" ca="1" si="1158"/>
        <v>0</v>
      </c>
      <c r="X80" s="1319">
        <f t="shared" ca="1" si="1158"/>
        <v>0</v>
      </c>
      <c r="Y80" s="1319">
        <f t="shared" ca="1" si="1158"/>
        <v>0</v>
      </c>
      <c r="Z80" s="1319">
        <f t="shared" ca="1" si="1158"/>
        <v>0</v>
      </c>
      <c r="AA80" s="1319">
        <f t="shared" ca="1" si="1158"/>
        <v>0</v>
      </c>
      <c r="AB80" s="1319">
        <f t="shared" ca="1" si="1158"/>
        <v>0</v>
      </c>
      <c r="AC80" s="1319">
        <f t="shared" ca="1" si="1158"/>
        <v>0</v>
      </c>
      <c r="AD80" s="1319">
        <f t="shared" ca="1" si="1158"/>
        <v>0</v>
      </c>
      <c r="AM80" s="1319">
        <f t="shared" ca="1" si="1150"/>
        <v>0</v>
      </c>
      <c r="AN80" s="1319">
        <f t="shared" ca="1" si="1150"/>
        <v>0</v>
      </c>
      <c r="AO80" s="1319">
        <f t="shared" ref="AO80:AS95" ca="1" si="1179">VLOOKUP(AO$1,INDIRECT(LU_MAT),$A80,FALSE)</f>
        <v>0</v>
      </c>
      <c r="AP80" s="1319">
        <f t="shared" ca="1" si="1179"/>
        <v>0</v>
      </c>
      <c r="AQ80" s="1319">
        <f t="shared" ca="1" si="1179"/>
        <v>0</v>
      </c>
      <c r="AR80" s="1319">
        <f t="shared" ca="1" si="1179"/>
        <v>0</v>
      </c>
      <c r="AS80" s="1319">
        <f t="shared" ca="1" si="1179"/>
        <v>0</v>
      </c>
      <c r="AT80" s="1319">
        <f t="shared" ca="1" si="1150"/>
        <v>0</v>
      </c>
      <c r="AU80" s="1319">
        <f t="shared" ca="1" si="1150"/>
        <v>0</v>
      </c>
      <c r="AV80" s="1319">
        <f t="shared" ca="1" si="1150"/>
        <v>0</v>
      </c>
      <c r="AW80" s="1319">
        <f t="shared" ca="1" si="1150"/>
        <v>0</v>
      </c>
      <c r="AX80" s="1319">
        <f t="shared" ca="1" si="1150"/>
        <v>0</v>
      </c>
      <c r="AY80" s="1319">
        <f t="shared" ca="1" si="1150"/>
        <v>0</v>
      </c>
      <c r="AZ80" s="1319">
        <f t="shared" ca="1" si="1150"/>
        <v>0</v>
      </c>
      <c r="BA80" s="1319">
        <f t="shared" ca="1" si="1150"/>
        <v>0</v>
      </c>
      <c r="BB80" s="1319">
        <f t="shared" ca="1" si="1150"/>
        <v>0</v>
      </c>
      <c r="BN80" s="1319">
        <f t="shared" ca="1" si="1159"/>
        <v>0</v>
      </c>
      <c r="BO80" s="1319">
        <f t="shared" ca="1" si="1159"/>
        <v>0</v>
      </c>
      <c r="BP80" s="1319">
        <f t="shared" ca="1" si="1159"/>
        <v>0</v>
      </c>
      <c r="BQ80" s="1319">
        <f t="shared" ca="1" si="1159"/>
        <v>0</v>
      </c>
      <c r="BR80" s="1319">
        <f t="shared" ca="1" si="1159"/>
        <v>0</v>
      </c>
      <c r="CD80" s="1319">
        <f t="shared" ca="1" si="1160"/>
        <v>0</v>
      </c>
      <c r="CE80" s="1319">
        <f t="shared" ca="1" si="1160"/>
        <v>0</v>
      </c>
      <c r="CF80" s="1319">
        <f t="shared" ca="1" si="1160"/>
        <v>0</v>
      </c>
      <c r="CG80" s="1319">
        <f t="shared" ca="1" si="1160"/>
        <v>0</v>
      </c>
      <c r="CH80" s="1319">
        <f t="shared" ca="1" si="1160"/>
        <v>0</v>
      </c>
      <c r="CI80" s="1319">
        <f t="shared" ca="1" si="1160"/>
        <v>0</v>
      </c>
      <c r="CJ80" s="1319">
        <f t="shared" ca="1" si="1160"/>
        <v>0</v>
      </c>
      <c r="CK80" s="1319">
        <f t="shared" ca="1" si="1160"/>
        <v>0</v>
      </c>
      <c r="CL80" s="1319">
        <f t="shared" ca="1" si="1160"/>
        <v>0</v>
      </c>
      <c r="CM80" s="1319">
        <f t="shared" ca="1" si="1160"/>
        <v>0</v>
      </c>
      <c r="CN80" s="1319">
        <f t="shared" ca="1" si="1160"/>
        <v>0</v>
      </c>
      <c r="CO80" s="1319">
        <f t="shared" ca="1" si="1160"/>
        <v>0</v>
      </c>
      <c r="DA80" s="1319">
        <f t="shared" ca="1" si="1161"/>
        <v>0</v>
      </c>
      <c r="DB80" s="1319">
        <f t="shared" ca="1" si="1161"/>
        <v>0</v>
      </c>
      <c r="DC80" s="1319">
        <f t="shared" ca="1" si="1161"/>
        <v>0</v>
      </c>
      <c r="DD80" s="1319">
        <f t="shared" ca="1" si="1161"/>
        <v>0</v>
      </c>
      <c r="DE80" s="1319">
        <f t="shared" ca="1" si="1161"/>
        <v>0</v>
      </c>
      <c r="DF80" s="1319">
        <f t="shared" ca="1" si="1161"/>
        <v>0</v>
      </c>
      <c r="DG80" s="1319">
        <f t="shared" ca="1" si="1161"/>
        <v>0</v>
      </c>
      <c r="DH80" s="1319">
        <f t="shared" ca="1" si="1161"/>
        <v>0</v>
      </c>
      <c r="DI80" s="1319">
        <f t="shared" ca="1" si="1161"/>
        <v>0</v>
      </c>
      <c r="DJ80" s="1319">
        <f t="shared" ca="1" si="1161"/>
        <v>0</v>
      </c>
      <c r="DV80" s="1319">
        <f t="shared" ca="1" si="1162"/>
        <v>0</v>
      </c>
      <c r="DW80" s="1319">
        <f t="shared" ca="1" si="1162"/>
        <v>0</v>
      </c>
      <c r="DX80" s="1319">
        <f t="shared" ca="1" si="1162"/>
        <v>0</v>
      </c>
      <c r="DY80" s="1319">
        <f t="shared" ca="1" si="1162"/>
        <v>0</v>
      </c>
      <c r="DZ80" s="1319">
        <f t="shared" ca="1" si="1162"/>
        <v>0</v>
      </c>
      <c r="EA80" s="1319">
        <f t="shared" ca="1" si="1162"/>
        <v>0</v>
      </c>
      <c r="EB80" s="1319">
        <f t="shared" ca="1" si="1162"/>
        <v>0</v>
      </c>
      <c r="EC80" s="1319">
        <f t="shared" ca="1" si="1162"/>
        <v>0</v>
      </c>
      <c r="ED80" s="1319">
        <f t="shared" ca="1" si="1162"/>
        <v>0</v>
      </c>
      <c r="EE80" s="1319">
        <f t="shared" ca="1" si="1162"/>
        <v>0</v>
      </c>
      <c r="EF80" s="1319">
        <f t="shared" ca="1" si="1162"/>
        <v>0</v>
      </c>
      <c r="EG80" s="1319">
        <f t="shared" ca="1" si="1162"/>
        <v>0</v>
      </c>
      <c r="EH80" s="1319">
        <f t="shared" ca="1" si="1162"/>
        <v>0</v>
      </c>
      <c r="EI80" s="1319">
        <f t="shared" ca="1" si="1162"/>
        <v>0</v>
      </c>
      <c r="EJ80" s="1319">
        <f t="shared" ca="1" si="1101"/>
        <v>0</v>
      </c>
      <c r="EK80" s="1319">
        <f t="shared" ca="1" si="1162"/>
        <v>0</v>
      </c>
      <c r="EW80" s="1319">
        <f t="shared" ca="1" si="1163"/>
        <v>0</v>
      </c>
      <c r="EX80" s="1319">
        <f t="shared" ca="1" si="1163"/>
        <v>0</v>
      </c>
      <c r="EY80" s="1319">
        <f t="shared" ca="1" si="1163"/>
        <v>0</v>
      </c>
      <c r="EZ80" s="1319">
        <f t="shared" ca="1" si="1163"/>
        <v>0</v>
      </c>
      <c r="FA80" s="1319">
        <f t="shared" ca="1" si="1163"/>
        <v>0</v>
      </c>
      <c r="FB80" s="1319">
        <f t="shared" ca="1" si="1163"/>
        <v>0</v>
      </c>
      <c r="FN80" s="1319">
        <f t="shared" ca="1" si="1164"/>
        <v>0</v>
      </c>
      <c r="FO80" s="1319">
        <f t="shared" ca="1" si="1164"/>
        <v>0</v>
      </c>
      <c r="FP80" s="1319">
        <f t="shared" ca="1" si="1164"/>
        <v>0</v>
      </c>
      <c r="FQ80" s="1319">
        <f t="shared" ca="1" si="1164"/>
        <v>0</v>
      </c>
      <c r="FR80" s="1319">
        <f t="shared" ca="1" si="1164"/>
        <v>0</v>
      </c>
      <c r="FS80" s="1319">
        <f t="shared" ca="1" si="1164"/>
        <v>0</v>
      </c>
      <c r="FT80" s="1319">
        <f t="shared" ca="1" si="1164"/>
        <v>0</v>
      </c>
      <c r="FU80" s="1319">
        <f t="shared" ca="1" si="1164"/>
        <v>0</v>
      </c>
      <c r="FV80" s="1319">
        <f t="shared" ca="1" si="1164"/>
        <v>0</v>
      </c>
      <c r="FW80" s="1319">
        <f t="shared" ca="1" si="1164"/>
        <v>0</v>
      </c>
      <c r="FX80" s="1319">
        <f t="shared" ca="1" si="1164"/>
        <v>0</v>
      </c>
      <c r="GJ80" s="1319">
        <f t="shared" ca="1" si="1165"/>
        <v>0</v>
      </c>
      <c r="GK80" s="1319">
        <f t="shared" ca="1" si="1165"/>
        <v>0</v>
      </c>
      <c r="GL80" s="1319">
        <f t="shared" ca="1" si="1165"/>
        <v>0</v>
      </c>
      <c r="GM80" s="1319">
        <f t="shared" ca="1" si="1165"/>
        <v>0</v>
      </c>
      <c r="GN80" s="1319">
        <f t="shared" ca="1" si="1165"/>
        <v>0</v>
      </c>
      <c r="GO80" s="1319">
        <f t="shared" ca="1" si="1165"/>
        <v>0</v>
      </c>
      <c r="GP80" s="1319">
        <f t="shared" ca="1" si="1165"/>
        <v>0</v>
      </c>
      <c r="GQ80" s="1319">
        <f t="shared" ca="1" si="1165"/>
        <v>0</v>
      </c>
      <c r="HC80" s="1319">
        <f t="shared" ca="1" si="1166"/>
        <v>0</v>
      </c>
      <c r="HD80" s="1319">
        <f t="shared" ca="1" si="1166"/>
        <v>0</v>
      </c>
      <c r="HE80" s="1319">
        <f t="shared" ca="1" si="1166"/>
        <v>0</v>
      </c>
      <c r="HF80" s="1319">
        <f t="shared" ca="1" si="1166"/>
        <v>0</v>
      </c>
      <c r="HG80" s="1319">
        <f t="shared" ca="1" si="1166"/>
        <v>0</v>
      </c>
      <c r="HH80" s="1319">
        <f t="shared" ca="1" si="1166"/>
        <v>0</v>
      </c>
      <c r="HT80" s="1319">
        <f t="shared" ca="1" si="1167"/>
        <v>0</v>
      </c>
      <c r="HU80" s="1319">
        <f t="shared" ca="1" si="1167"/>
        <v>0</v>
      </c>
      <c r="HV80" s="1319">
        <f t="shared" ca="1" si="1167"/>
        <v>0</v>
      </c>
      <c r="HW80" s="1319">
        <f t="shared" ca="1" si="1167"/>
        <v>0</v>
      </c>
      <c r="HX80" s="1319">
        <f t="shared" ca="1" si="1167"/>
        <v>0</v>
      </c>
      <c r="HY80" s="1319">
        <f t="shared" ca="1" si="1167"/>
        <v>0</v>
      </c>
      <c r="HZ80" s="1319">
        <f t="shared" ca="1" si="1167"/>
        <v>0</v>
      </c>
      <c r="IA80" s="1319">
        <f t="shared" ca="1" si="1167"/>
        <v>0</v>
      </c>
      <c r="IB80" s="1319">
        <f t="shared" ca="1" si="1167"/>
        <v>0</v>
      </c>
      <c r="IC80" s="1319">
        <f t="shared" ca="1" si="1167"/>
        <v>0</v>
      </c>
      <c r="ID80" s="1319">
        <f t="shared" ca="1" si="1167"/>
        <v>0</v>
      </c>
      <c r="IE80" s="1319">
        <f t="shared" ca="1" si="1167"/>
        <v>0</v>
      </c>
      <c r="IQ80" s="1319">
        <f t="shared" ca="1" si="1168"/>
        <v>0</v>
      </c>
      <c r="IR80" s="1319">
        <f t="shared" ca="1" si="1168"/>
        <v>0</v>
      </c>
      <c r="IS80" s="1319">
        <f t="shared" ca="1" si="1168"/>
        <v>0</v>
      </c>
      <c r="IT80" s="1319">
        <f t="shared" ca="1" si="1168"/>
        <v>0</v>
      </c>
      <c r="IU80" s="1319">
        <f t="shared" ca="1" si="1108"/>
        <v>0</v>
      </c>
      <c r="IV80" s="1319">
        <f t="shared" ca="1" si="1168"/>
        <v>0</v>
      </c>
      <c r="IW80" s="1319">
        <f t="shared" ca="1" si="1168"/>
        <v>0</v>
      </c>
      <c r="IX80" s="1319">
        <f t="shared" ca="1" si="1109"/>
        <v>0</v>
      </c>
      <c r="IY80" s="1319">
        <f t="shared" ca="1" si="1168"/>
        <v>0</v>
      </c>
      <c r="IZ80" s="1319">
        <f t="shared" ca="1" si="1168"/>
        <v>0</v>
      </c>
      <c r="JA80" s="1319">
        <f t="shared" ca="1" si="1168"/>
        <v>0</v>
      </c>
      <c r="JB80" s="1319">
        <f t="shared" ca="1" si="1168"/>
        <v>0</v>
      </c>
      <c r="JC80" s="1319">
        <f t="shared" ca="1" si="1168"/>
        <v>0</v>
      </c>
      <c r="JD80" s="1319">
        <f t="shared" ca="1" si="1168"/>
        <v>0</v>
      </c>
      <c r="JE80" s="1319">
        <f t="shared" ca="1" si="1168"/>
        <v>0</v>
      </c>
      <c r="JF80" s="1319">
        <f t="shared" ca="1" si="1168"/>
        <v>0</v>
      </c>
      <c r="JG80" s="1319">
        <f t="shared" ca="1" si="1168"/>
        <v>0</v>
      </c>
      <c r="JH80" s="1319">
        <f t="shared" ca="1" si="1168"/>
        <v>0</v>
      </c>
      <c r="JT80" s="1319">
        <f t="shared" ca="1" si="1169"/>
        <v>0</v>
      </c>
      <c r="JU80" s="1319">
        <f t="shared" ca="1" si="1169"/>
        <v>0</v>
      </c>
      <c r="JV80" s="1319">
        <f t="shared" ca="1" si="1169"/>
        <v>0</v>
      </c>
      <c r="JW80" s="1319">
        <f t="shared" ca="1" si="1169"/>
        <v>0</v>
      </c>
      <c r="JX80" s="1319">
        <f t="shared" ca="1" si="1169"/>
        <v>0</v>
      </c>
      <c r="JY80" s="1319">
        <f t="shared" ca="1" si="1169"/>
        <v>0</v>
      </c>
      <c r="JZ80" s="1319">
        <f t="shared" ca="1" si="1169"/>
        <v>0</v>
      </c>
      <c r="KA80" s="1319">
        <f t="shared" ca="1" si="1169"/>
        <v>0</v>
      </c>
      <c r="KB80" s="1319">
        <f t="shared" ca="1" si="1169"/>
        <v>0</v>
      </c>
      <c r="KC80" s="1319">
        <f t="shared" ca="1" si="1169"/>
        <v>0</v>
      </c>
      <c r="KL80" s="1319">
        <f t="shared" ca="1" si="1170"/>
        <v>0</v>
      </c>
      <c r="KM80" s="1319">
        <f t="shared" ca="1" si="1170"/>
        <v>0</v>
      </c>
      <c r="KN80" s="1319">
        <f t="shared" ca="1" si="1170"/>
        <v>0</v>
      </c>
      <c r="KO80" s="1319">
        <f t="shared" ca="1" si="1170"/>
        <v>0</v>
      </c>
      <c r="KP80" s="1319">
        <f t="shared" ca="1" si="1170"/>
        <v>0</v>
      </c>
      <c r="KQ80" s="1319">
        <f t="shared" ca="1" si="1170"/>
        <v>0</v>
      </c>
      <c r="KR80" s="1319">
        <f t="shared" ca="1" si="1170"/>
        <v>0</v>
      </c>
      <c r="LA80" s="1319">
        <f t="shared" ca="1" si="1171"/>
        <v>0</v>
      </c>
      <c r="LB80" s="1319">
        <f t="shared" ca="1" si="1171"/>
        <v>0</v>
      </c>
      <c r="LC80" s="1319">
        <f t="shared" ca="1" si="1171"/>
        <v>0</v>
      </c>
      <c r="LD80" s="1319">
        <f t="shared" ca="1" si="1171"/>
        <v>0</v>
      </c>
      <c r="LE80" s="1319">
        <f t="shared" ca="1" si="1171"/>
        <v>0</v>
      </c>
      <c r="LF80" s="1319">
        <f t="shared" ca="1" si="1171"/>
        <v>0</v>
      </c>
      <c r="LG80" s="1319">
        <f t="shared" ca="1" si="1171"/>
        <v>0</v>
      </c>
      <c r="LH80" s="1319">
        <f t="shared" ca="1" si="1171"/>
        <v>0</v>
      </c>
      <c r="LI80" s="1319">
        <f t="shared" ca="1" si="1171"/>
        <v>0</v>
      </c>
      <c r="LJ80" s="1319">
        <f t="shared" ca="1" si="1171"/>
        <v>0</v>
      </c>
      <c r="LK80" s="1319">
        <f t="shared" ca="1" si="1171"/>
        <v>0</v>
      </c>
      <c r="LW80" s="1319">
        <f t="shared" ca="1" si="1113"/>
        <v>0</v>
      </c>
      <c r="LX80" s="1319">
        <f t="shared" ca="1" si="1172"/>
        <v>0</v>
      </c>
      <c r="LY80" s="1319">
        <f t="shared" ca="1" si="1172"/>
        <v>0</v>
      </c>
      <c r="LZ80" s="1319">
        <f t="shared" ca="1" si="1172"/>
        <v>0</v>
      </c>
      <c r="MA80" s="1319">
        <f t="shared" ca="1" si="1172"/>
        <v>0</v>
      </c>
      <c r="MB80" s="1319">
        <f t="shared" ca="1" si="1172"/>
        <v>0</v>
      </c>
      <c r="MC80" s="1319">
        <f t="shared" ca="1" si="1172"/>
        <v>0</v>
      </c>
      <c r="MD80" s="1319">
        <f t="shared" ca="1" si="1172"/>
        <v>0</v>
      </c>
      <c r="ME80" s="1319">
        <f t="shared" ca="1" si="1172"/>
        <v>0</v>
      </c>
      <c r="MF80" s="1319">
        <f t="shared" ca="1" si="1172"/>
        <v>0</v>
      </c>
      <c r="MG80" s="1319">
        <f t="shared" ca="1" si="1172"/>
        <v>0</v>
      </c>
      <c r="MH80" s="1319">
        <f t="shared" ca="1" si="1173"/>
        <v>0</v>
      </c>
      <c r="MI80" s="1319">
        <f t="shared" ca="1" si="1173"/>
        <v>0</v>
      </c>
      <c r="MJ80" s="1319">
        <f t="shared" ca="1" si="1172"/>
        <v>0</v>
      </c>
      <c r="MK80" s="1319">
        <f t="shared" ca="1" si="1172"/>
        <v>0</v>
      </c>
      <c r="ML80" s="1319">
        <f t="shared" ca="1" si="1172"/>
        <v>0</v>
      </c>
      <c r="MM80" s="1319">
        <f t="shared" ca="1" si="1172"/>
        <v>0</v>
      </c>
      <c r="MN80" s="1319">
        <f t="shared" ca="1" si="1172"/>
        <v>0</v>
      </c>
      <c r="MO80" s="1319">
        <f t="shared" ca="1" si="1172"/>
        <v>0</v>
      </c>
      <c r="NA80" s="1319">
        <f t="shared" ca="1" si="1174"/>
        <v>0</v>
      </c>
      <c r="NB80" s="1319">
        <f t="shared" ca="1" si="1174"/>
        <v>0</v>
      </c>
      <c r="NC80" s="1319">
        <f t="shared" ca="1" si="1174"/>
        <v>0</v>
      </c>
      <c r="ND80" s="1319">
        <f t="shared" ca="1" si="1174"/>
        <v>0</v>
      </c>
      <c r="NE80" s="1319">
        <f t="shared" ca="1" si="1174"/>
        <v>0</v>
      </c>
      <c r="NF80" s="1319">
        <f t="shared" ca="1" si="1174"/>
        <v>0</v>
      </c>
      <c r="NG80" s="1319">
        <f t="shared" ca="1" si="1174"/>
        <v>0</v>
      </c>
      <c r="NH80" s="1319">
        <f t="shared" ca="1" si="1174"/>
        <v>0</v>
      </c>
      <c r="NI80" s="1319">
        <f t="shared" ca="1" si="1174"/>
        <v>0</v>
      </c>
      <c r="NJ80" s="1319">
        <f t="shared" ca="1" si="1174"/>
        <v>0</v>
      </c>
      <c r="NK80" s="1319">
        <f t="shared" ca="1" si="1174"/>
        <v>0</v>
      </c>
      <c r="NL80" s="1319">
        <f t="shared" ca="1" si="1174"/>
        <v>0</v>
      </c>
      <c r="NM80" s="1319">
        <f t="shared" ca="1" si="1174"/>
        <v>0</v>
      </c>
      <c r="NN80" s="1319">
        <f t="shared" ca="1" si="1174"/>
        <v>0</v>
      </c>
      <c r="NO80" s="1319">
        <f t="shared" ca="1" si="1174"/>
        <v>0</v>
      </c>
      <c r="NP80" s="1319">
        <f t="shared" ca="1" si="1174"/>
        <v>0</v>
      </c>
      <c r="OH80" s="1319">
        <f t="shared" ca="1" si="1175"/>
        <v>0</v>
      </c>
      <c r="OI80" s="1319">
        <f t="shared" ca="1" si="1175"/>
        <v>0</v>
      </c>
      <c r="OJ80" s="1319">
        <f t="shared" ca="1" si="1175"/>
        <v>0</v>
      </c>
      <c r="OK80" s="1319">
        <f t="shared" ca="1" si="1175"/>
        <v>0</v>
      </c>
      <c r="OL80" s="1319">
        <f t="shared" ca="1" si="1175"/>
        <v>0</v>
      </c>
      <c r="OM80" s="1319">
        <f t="shared" ca="1" si="1175"/>
        <v>0</v>
      </c>
      <c r="ON80" s="1319">
        <f t="shared" ca="1" si="1175"/>
        <v>0</v>
      </c>
      <c r="OO80" s="1319">
        <f t="shared" ca="1" si="1175"/>
        <v>0</v>
      </c>
      <c r="PA80" s="1319">
        <f t="shared" ca="1" si="1176"/>
        <v>0</v>
      </c>
      <c r="PB80" s="1319">
        <f t="shared" ca="1" si="1176"/>
        <v>0</v>
      </c>
      <c r="PC80" s="1319">
        <f t="shared" ca="1" si="1176"/>
        <v>0</v>
      </c>
      <c r="PD80" s="1319">
        <f t="shared" ca="1" si="1176"/>
        <v>0</v>
      </c>
      <c r="PE80" s="1319">
        <f t="shared" ca="1" si="1176"/>
        <v>0</v>
      </c>
      <c r="PF80" s="1319">
        <f t="shared" ca="1" si="1176"/>
        <v>0</v>
      </c>
      <c r="PG80" s="1319">
        <f t="shared" ca="1" si="1176"/>
        <v>0</v>
      </c>
      <c r="PH80" s="1319">
        <f t="shared" ca="1" si="1176"/>
        <v>0</v>
      </c>
      <c r="PI80" s="1319">
        <f t="shared" ca="1" si="1176"/>
        <v>0</v>
      </c>
      <c r="PJ80" s="1319">
        <f t="shared" ca="1" si="1176"/>
        <v>0</v>
      </c>
      <c r="PK80" s="1319">
        <f t="shared" ca="1" si="1176"/>
        <v>0</v>
      </c>
      <c r="PW80" s="1319">
        <f t="shared" ca="1" si="1177"/>
        <v>0</v>
      </c>
      <c r="PX80" s="1319">
        <f t="shared" ca="1" si="1177"/>
        <v>0</v>
      </c>
      <c r="PY80" s="1319">
        <f t="shared" ca="1" si="1177"/>
        <v>0</v>
      </c>
      <c r="PZ80" s="1319">
        <f t="shared" ca="1" si="1177"/>
        <v>0</v>
      </c>
    </row>
    <row r="81" spans="1:442" x14ac:dyDescent="0.25">
      <c r="A81" s="189">
        <v>42</v>
      </c>
      <c r="B81" s="189" t="s">
        <v>1256</v>
      </c>
      <c r="C81" s="1317" t="s">
        <v>1293</v>
      </c>
      <c r="D81" s="1317" t="s">
        <v>206</v>
      </c>
      <c r="J81" s="1319">
        <f t="shared" ca="1" si="1157"/>
        <v>0</v>
      </c>
      <c r="K81" s="1319">
        <f t="shared" ca="1" si="1178"/>
        <v>0</v>
      </c>
      <c r="T81" s="1319">
        <f t="shared" ca="1" si="1158"/>
        <v>0</v>
      </c>
      <c r="U81" s="1319">
        <f t="shared" ca="1" si="1158"/>
        <v>0</v>
      </c>
      <c r="V81" s="1319">
        <f t="shared" ca="1" si="1158"/>
        <v>0</v>
      </c>
      <c r="W81" s="1319">
        <f t="shared" ca="1" si="1158"/>
        <v>0</v>
      </c>
      <c r="X81" s="1319">
        <f t="shared" ca="1" si="1158"/>
        <v>0</v>
      </c>
      <c r="Y81" s="1319">
        <f t="shared" ca="1" si="1158"/>
        <v>0</v>
      </c>
      <c r="Z81" s="1319">
        <f t="shared" ca="1" si="1158"/>
        <v>0</v>
      </c>
      <c r="AA81" s="1319">
        <f t="shared" ca="1" si="1158"/>
        <v>0</v>
      </c>
      <c r="AB81" s="1319">
        <f t="shared" ca="1" si="1158"/>
        <v>0</v>
      </c>
      <c r="AC81" s="1319">
        <f t="shared" ca="1" si="1158"/>
        <v>0</v>
      </c>
      <c r="AD81" s="1319">
        <f t="shared" ca="1" si="1158"/>
        <v>0</v>
      </c>
      <c r="AM81" s="1319">
        <f t="shared" ca="1" si="1150"/>
        <v>0</v>
      </c>
      <c r="AN81" s="1319">
        <f t="shared" ca="1" si="1150"/>
        <v>0</v>
      </c>
      <c r="AO81" s="1319">
        <f t="shared" ca="1" si="1179"/>
        <v>0</v>
      </c>
      <c r="AP81" s="1319">
        <f t="shared" ca="1" si="1179"/>
        <v>0</v>
      </c>
      <c r="AQ81" s="1319">
        <f t="shared" ca="1" si="1179"/>
        <v>0</v>
      </c>
      <c r="AR81" s="1319">
        <f t="shared" ca="1" si="1179"/>
        <v>0</v>
      </c>
      <c r="AS81" s="1319">
        <f t="shared" ca="1" si="1179"/>
        <v>0</v>
      </c>
      <c r="AT81" s="1319">
        <f t="shared" ca="1" si="1150"/>
        <v>0</v>
      </c>
      <c r="AU81" s="1319">
        <f t="shared" ca="1" si="1150"/>
        <v>0</v>
      </c>
      <c r="AV81" s="1319">
        <f t="shared" ca="1" si="1150"/>
        <v>0</v>
      </c>
      <c r="AW81" s="1319">
        <f t="shared" ca="1" si="1150"/>
        <v>0</v>
      </c>
      <c r="AX81" s="1319">
        <f t="shared" ca="1" si="1150"/>
        <v>0</v>
      </c>
      <c r="AY81" s="1319">
        <f t="shared" ca="1" si="1150"/>
        <v>0</v>
      </c>
      <c r="AZ81" s="1319">
        <f t="shared" ca="1" si="1150"/>
        <v>0</v>
      </c>
      <c r="BA81" s="1319">
        <f t="shared" ca="1" si="1150"/>
        <v>0</v>
      </c>
      <c r="BB81" s="1319">
        <f t="shared" ca="1" si="1150"/>
        <v>0</v>
      </c>
      <c r="BN81" s="1319">
        <f t="shared" ca="1" si="1159"/>
        <v>0</v>
      </c>
      <c r="BO81" s="1319">
        <f t="shared" ca="1" si="1159"/>
        <v>0</v>
      </c>
      <c r="BP81" s="1319">
        <f t="shared" ca="1" si="1159"/>
        <v>0</v>
      </c>
      <c r="BQ81" s="1319">
        <f t="shared" ca="1" si="1159"/>
        <v>0</v>
      </c>
      <c r="BR81" s="1319">
        <f t="shared" ca="1" si="1159"/>
        <v>0</v>
      </c>
      <c r="CD81" s="1319">
        <f t="shared" ca="1" si="1160"/>
        <v>0</v>
      </c>
      <c r="CE81" s="1319">
        <f t="shared" ca="1" si="1160"/>
        <v>0</v>
      </c>
      <c r="CF81" s="1319">
        <f t="shared" ca="1" si="1160"/>
        <v>0</v>
      </c>
      <c r="CG81" s="1319">
        <f t="shared" ca="1" si="1160"/>
        <v>0</v>
      </c>
      <c r="CH81" s="1319">
        <f t="shared" ca="1" si="1160"/>
        <v>0</v>
      </c>
      <c r="CI81" s="1319">
        <f t="shared" ca="1" si="1160"/>
        <v>0</v>
      </c>
      <c r="CJ81" s="1319">
        <f t="shared" ca="1" si="1160"/>
        <v>0</v>
      </c>
      <c r="CK81" s="1319">
        <f t="shared" ca="1" si="1160"/>
        <v>0</v>
      </c>
      <c r="CL81" s="1319">
        <f t="shared" ca="1" si="1160"/>
        <v>0</v>
      </c>
      <c r="CM81" s="1319">
        <f t="shared" ca="1" si="1160"/>
        <v>0</v>
      </c>
      <c r="CN81" s="1319">
        <f t="shared" ca="1" si="1160"/>
        <v>0</v>
      </c>
      <c r="CO81" s="1319">
        <f t="shared" ca="1" si="1160"/>
        <v>0</v>
      </c>
      <c r="DA81" s="1319">
        <f t="shared" ca="1" si="1161"/>
        <v>0</v>
      </c>
      <c r="DB81" s="1319">
        <f t="shared" ca="1" si="1161"/>
        <v>0</v>
      </c>
      <c r="DC81" s="1319">
        <f t="shared" ca="1" si="1161"/>
        <v>0</v>
      </c>
      <c r="DD81" s="1319">
        <f t="shared" ca="1" si="1161"/>
        <v>0</v>
      </c>
      <c r="DE81" s="1319">
        <f t="shared" ca="1" si="1161"/>
        <v>0</v>
      </c>
      <c r="DF81" s="1319">
        <f t="shared" ca="1" si="1161"/>
        <v>0</v>
      </c>
      <c r="DG81" s="1319">
        <f t="shared" ca="1" si="1161"/>
        <v>0</v>
      </c>
      <c r="DH81" s="1319">
        <f t="shared" ca="1" si="1161"/>
        <v>0</v>
      </c>
      <c r="DI81" s="1319">
        <f t="shared" ca="1" si="1161"/>
        <v>0</v>
      </c>
      <c r="DJ81" s="1319">
        <f t="shared" ca="1" si="1161"/>
        <v>0</v>
      </c>
      <c r="DV81" s="1319">
        <f t="shared" ca="1" si="1162"/>
        <v>0</v>
      </c>
      <c r="DW81" s="1319">
        <f t="shared" ca="1" si="1162"/>
        <v>0</v>
      </c>
      <c r="DX81" s="1319">
        <f t="shared" ca="1" si="1162"/>
        <v>0</v>
      </c>
      <c r="DY81" s="1319">
        <f t="shared" ca="1" si="1162"/>
        <v>0</v>
      </c>
      <c r="DZ81" s="1319">
        <f t="shared" ca="1" si="1162"/>
        <v>0</v>
      </c>
      <c r="EA81" s="1319">
        <f t="shared" ca="1" si="1162"/>
        <v>0</v>
      </c>
      <c r="EB81" s="1319">
        <f t="shared" ca="1" si="1162"/>
        <v>0</v>
      </c>
      <c r="EC81" s="1319">
        <f t="shared" ca="1" si="1162"/>
        <v>0</v>
      </c>
      <c r="ED81" s="1319">
        <f t="shared" ca="1" si="1162"/>
        <v>0</v>
      </c>
      <c r="EE81" s="1319">
        <f t="shared" ca="1" si="1162"/>
        <v>0</v>
      </c>
      <c r="EF81" s="1319">
        <f t="shared" ca="1" si="1162"/>
        <v>0</v>
      </c>
      <c r="EG81" s="1319">
        <f t="shared" ca="1" si="1162"/>
        <v>0</v>
      </c>
      <c r="EH81" s="1319">
        <f t="shared" ca="1" si="1162"/>
        <v>0</v>
      </c>
      <c r="EI81" s="1319">
        <f t="shared" ca="1" si="1162"/>
        <v>0</v>
      </c>
      <c r="EJ81" s="1319">
        <f t="shared" ca="1" si="1101"/>
        <v>0</v>
      </c>
      <c r="EK81" s="1319">
        <f t="shared" ca="1" si="1162"/>
        <v>0</v>
      </c>
      <c r="EW81" s="1319">
        <f t="shared" ca="1" si="1163"/>
        <v>0</v>
      </c>
      <c r="EX81" s="1319">
        <f t="shared" ca="1" si="1163"/>
        <v>0</v>
      </c>
      <c r="EY81" s="1319">
        <f t="shared" ca="1" si="1163"/>
        <v>0</v>
      </c>
      <c r="EZ81" s="1319">
        <f t="shared" ca="1" si="1163"/>
        <v>0</v>
      </c>
      <c r="FA81" s="1319">
        <f t="shared" ca="1" si="1163"/>
        <v>0</v>
      </c>
      <c r="FB81" s="1319">
        <f t="shared" ca="1" si="1163"/>
        <v>0</v>
      </c>
      <c r="FN81" s="1319">
        <f t="shared" ca="1" si="1164"/>
        <v>0</v>
      </c>
      <c r="FO81" s="1319">
        <f t="shared" ca="1" si="1164"/>
        <v>0</v>
      </c>
      <c r="FP81" s="1319">
        <f t="shared" ca="1" si="1164"/>
        <v>0</v>
      </c>
      <c r="FQ81" s="1319">
        <f t="shared" ca="1" si="1164"/>
        <v>0</v>
      </c>
      <c r="FR81" s="1319">
        <f t="shared" ca="1" si="1164"/>
        <v>0</v>
      </c>
      <c r="FS81" s="1319">
        <f t="shared" ca="1" si="1164"/>
        <v>0</v>
      </c>
      <c r="FT81" s="1319">
        <f t="shared" ca="1" si="1164"/>
        <v>0</v>
      </c>
      <c r="FU81" s="1319">
        <f t="shared" ca="1" si="1164"/>
        <v>0</v>
      </c>
      <c r="FV81" s="1319">
        <f t="shared" ca="1" si="1164"/>
        <v>0</v>
      </c>
      <c r="FW81" s="1319">
        <f t="shared" ca="1" si="1164"/>
        <v>0</v>
      </c>
      <c r="FX81" s="1319">
        <f t="shared" ca="1" si="1164"/>
        <v>0</v>
      </c>
      <c r="GJ81" s="1319">
        <f t="shared" ca="1" si="1165"/>
        <v>0</v>
      </c>
      <c r="GK81" s="1319">
        <f t="shared" ca="1" si="1165"/>
        <v>0</v>
      </c>
      <c r="GL81" s="1319">
        <f t="shared" ca="1" si="1165"/>
        <v>0</v>
      </c>
      <c r="GM81" s="1319">
        <f t="shared" ca="1" si="1165"/>
        <v>0</v>
      </c>
      <c r="GN81" s="1319">
        <f t="shared" ca="1" si="1165"/>
        <v>0</v>
      </c>
      <c r="GO81" s="1319">
        <f t="shared" ca="1" si="1165"/>
        <v>0</v>
      </c>
      <c r="GP81" s="1319">
        <f t="shared" ca="1" si="1165"/>
        <v>0</v>
      </c>
      <c r="GQ81" s="1319">
        <f t="shared" ca="1" si="1165"/>
        <v>0</v>
      </c>
      <c r="HC81" s="1319">
        <f t="shared" ca="1" si="1166"/>
        <v>0</v>
      </c>
      <c r="HD81" s="1319">
        <f t="shared" ca="1" si="1166"/>
        <v>0</v>
      </c>
      <c r="HE81" s="1319">
        <f t="shared" ca="1" si="1166"/>
        <v>0</v>
      </c>
      <c r="HF81" s="1319">
        <f t="shared" ca="1" si="1166"/>
        <v>0</v>
      </c>
      <c r="HG81" s="1319">
        <f t="shared" ca="1" si="1166"/>
        <v>0</v>
      </c>
      <c r="HH81" s="1319">
        <f t="shared" ca="1" si="1166"/>
        <v>0</v>
      </c>
      <c r="HT81" s="1319">
        <f t="shared" ca="1" si="1167"/>
        <v>0</v>
      </c>
      <c r="HU81" s="1319">
        <f t="shared" ca="1" si="1167"/>
        <v>0</v>
      </c>
      <c r="HV81" s="1319">
        <f t="shared" ca="1" si="1167"/>
        <v>0</v>
      </c>
      <c r="HW81" s="1319">
        <f t="shared" ca="1" si="1167"/>
        <v>0</v>
      </c>
      <c r="HX81" s="1319">
        <f t="shared" ca="1" si="1167"/>
        <v>0</v>
      </c>
      <c r="HY81" s="1319">
        <f t="shared" ca="1" si="1167"/>
        <v>0</v>
      </c>
      <c r="HZ81" s="1319">
        <f t="shared" ca="1" si="1167"/>
        <v>1.3674957499999999E-2</v>
      </c>
      <c r="IA81" s="1319">
        <f t="shared" ca="1" si="1167"/>
        <v>1.3674957499999999E-2</v>
      </c>
      <c r="IB81" s="1319">
        <f t="shared" ca="1" si="1167"/>
        <v>0</v>
      </c>
      <c r="IC81" s="1319">
        <f t="shared" ca="1" si="1167"/>
        <v>0</v>
      </c>
      <c r="ID81" s="1319">
        <f t="shared" ca="1" si="1167"/>
        <v>0</v>
      </c>
      <c r="IE81" s="1319">
        <f t="shared" ca="1" si="1167"/>
        <v>0</v>
      </c>
      <c r="IQ81" s="1319">
        <f t="shared" ca="1" si="1168"/>
        <v>0</v>
      </c>
      <c r="IR81" s="1319">
        <f t="shared" ca="1" si="1168"/>
        <v>0</v>
      </c>
      <c r="IS81" s="1319">
        <f t="shared" ca="1" si="1168"/>
        <v>1.2080770999999999</v>
      </c>
      <c r="IT81" s="1319">
        <f t="shared" ca="1" si="1168"/>
        <v>1.2080770999999999</v>
      </c>
      <c r="IU81" s="1319">
        <f t="shared" ca="1" si="1108"/>
        <v>1.1274941599999999</v>
      </c>
      <c r="IV81" s="1319">
        <f t="shared" ca="1" si="1168"/>
        <v>35.412791300000002</v>
      </c>
      <c r="IW81" s="1319">
        <f t="shared" ca="1" si="1168"/>
        <v>28.993850299999998</v>
      </c>
      <c r="IX81" s="1319">
        <f t="shared" ca="1" si="1109"/>
        <v>2.2643514800000002</v>
      </c>
      <c r="IY81" s="1319">
        <f t="shared" ca="1" si="1168"/>
        <v>8.0582939800000003E-2</v>
      </c>
      <c r="IZ81" s="1319">
        <f t="shared" ca="1" si="1168"/>
        <v>5.21086604</v>
      </c>
      <c r="JA81" s="1319">
        <f t="shared" ca="1" si="1168"/>
        <v>30.201927399999999</v>
      </c>
      <c r="JB81" s="1319">
        <f t="shared" ca="1" si="1168"/>
        <v>0</v>
      </c>
      <c r="JC81" s="1319">
        <f t="shared" ca="1" si="1168"/>
        <v>5.1971910899999996</v>
      </c>
      <c r="JD81" s="1319">
        <f t="shared" ca="1" si="1168"/>
        <v>0</v>
      </c>
      <c r="JE81" s="1319">
        <f t="shared" ca="1" si="1168"/>
        <v>5.21086604</v>
      </c>
      <c r="JF81" s="1319">
        <f t="shared" ca="1" si="1168"/>
        <v>0</v>
      </c>
      <c r="JG81" s="1319">
        <f t="shared" ca="1" si="1168"/>
        <v>0</v>
      </c>
      <c r="JH81" s="1319">
        <f t="shared" ca="1" si="1168"/>
        <v>1.3674957499999999E-2</v>
      </c>
      <c r="JT81" s="1319">
        <f t="shared" ca="1" si="1169"/>
        <v>0</v>
      </c>
      <c r="JU81" s="1319">
        <f t="shared" ca="1" si="1169"/>
        <v>0</v>
      </c>
      <c r="JV81" s="1319">
        <f t="shared" ca="1" si="1169"/>
        <v>0</v>
      </c>
      <c r="JW81" s="1319">
        <f t="shared" ca="1" si="1169"/>
        <v>0</v>
      </c>
      <c r="JX81" s="1319">
        <f t="shared" ca="1" si="1169"/>
        <v>0</v>
      </c>
      <c r="JY81" s="1319">
        <f t="shared" ca="1" si="1169"/>
        <v>0</v>
      </c>
      <c r="JZ81" s="1319">
        <f t="shared" ca="1" si="1169"/>
        <v>0</v>
      </c>
      <c r="KA81" s="1319">
        <f t="shared" ca="1" si="1169"/>
        <v>0</v>
      </c>
      <c r="KB81" s="1319">
        <f t="shared" ca="1" si="1169"/>
        <v>0</v>
      </c>
      <c r="KC81" s="1319">
        <f t="shared" ca="1" si="1169"/>
        <v>0</v>
      </c>
      <c r="KL81" s="1319">
        <f t="shared" ca="1" si="1170"/>
        <v>0</v>
      </c>
      <c r="KM81" s="1319">
        <f t="shared" ca="1" si="1170"/>
        <v>0</v>
      </c>
      <c r="KN81" s="1319">
        <f t="shared" ca="1" si="1170"/>
        <v>0</v>
      </c>
      <c r="KO81" s="1319">
        <f t="shared" ca="1" si="1170"/>
        <v>0</v>
      </c>
      <c r="KP81" s="1319">
        <f t="shared" ca="1" si="1170"/>
        <v>0</v>
      </c>
      <c r="KQ81" s="1319">
        <f t="shared" ca="1" si="1170"/>
        <v>0</v>
      </c>
      <c r="KR81" s="1319">
        <f t="shared" ca="1" si="1170"/>
        <v>0</v>
      </c>
      <c r="LA81" s="1319">
        <f t="shared" ca="1" si="1171"/>
        <v>0</v>
      </c>
      <c r="LB81" s="1319">
        <f t="shared" ca="1" si="1171"/>
        <v>1.3674957499999999E-2</v>
      </c>
      <c r="LC81" s="1319">
        <f t="shared" ca="1" si="1171"/>
        <v>1.3674957499999999E-2</v>
      </c>
      <c r="LD81" s="1319">
        <f t="shared" ca="1" si="1171"/>
        <v>1.3674957499999999E-2</v>
      </c>
      <c r="LE81" s="1319">
        <f t="shared" ca="1" si="1171"/>
        <v>0</v>
      </c>
      <c r="LF81" s="1319">
        <f t="shared" ca="1" si="1171"/>
        <v>62.056292200000001</v>
      </c>
      <c r="LG81" s="1319">
        <f t="shared" ca="1" si="1171"/>
        <v>62.056292200000001</v>
      </c>
      <c r="LH81" s="1319">
        <f t="shared" ca="1" si="1171"/>
        <v>0</v>
      </c>
      <c r="LI81" s="1319">
        <f t="shared" ca="1" si="1171"/>
        <v>62.056292200000001</v>
      </c>
      <c r="LJ81" s="1319">
        <f t="shared" ca="1" si="1171"/>
        <v>0</v>
      </c>
      <c r="LK81" s="1319">
        <f t="shared" ca="1" si="1171"/>
        <v>0</v>
      </c>
      <c r="LW81" s="1319">
        <f t="shared" ca="1" si="1113"/>
        <v>0</v>
      </c>
      <c r="LX81" s="1319">
        <f t="shared" ca="1" si="1172"/>
        <v>0</v>
      </c>
      <c r="LY81" s="1319">
        <f t="shared" ca="1" si="1172"/>
        <v>0</v>
      </c>
      <c r="LZ81" s="1319">
        <f t="shared" ca="1" si="1172"/>
        <v>8.0582939800000003E-2</v>
      </c>
      <c r="MA81" s="1319">
        <f t="shared" ca="1" si="1172"/>
        <v>8.0582939800000003E-2</v>
      </c>
      <c r="MB81" s="1319">
        <f t="shared" ca="1" si="1172"/>
        <v>1.3674957499999999E-2</v>
      </c>
      <c r="MC81" s="1319">
        <f t="shared" ca="1" si="1172"/>
        <v>62.056292200000001</v>
      </c>
      <c r="MD81" s="1319">
        <f t="shared" ca="1" si="1172"/>
        <v>0</v>
      </c>
      <c r="ME81" s="1319">
        <f t="shared" ca="1" si="1172"/>
        <v>0</v>
      </c>
      <c r="MF81" s="1319">
        <f t="shared" ca="1" si="1172"/>
        <v>0</v>
      </c>
      <c r="MG81" s="1319">
        <f t="shared" ca="1" si="1172"/>
        <v>0</v>
      </c>
      <c r="MH81" s="1319">
        <f t="shared" ca="1" si="1173"/>
        <v>0</v>
      </c>
      <c r="MI81" s="1319">
        <f t="shared" ca="1" si="1173"/>
        <v>0</v>
      </c>
      <c r="MJ81" s="1319">
        <f t="shared" ca="1" si="1172"/>
        <v>0</v>
      </c>
      <c r="MK81" s="1319">
        <f t="shared" ca="1" si="1172"/>
        <v>0</v>
      </c>
      <c r="ML81" s="1319">
        <f t="shared" ca="1" si="1172"/>
        <v>0</v>
      </c>
      <c r="MM81" s="1319">
        <f t="shared" ca="1" si="1172"/>
        <v>0</v>
      </c>
      <c r="MN81" s="1319">
        <f t="shared" ca="1" si="1172"/>
        <v>0</v>
      </c>
      <c r="MO81" s="1319">
        <f t="shared" ca="1" si="1172"/>
        <v>0</v>
      </c>
      <c r="NA81" s="1319">
        <f t="shared" ca="1" si="1174"/>
        <v>0</v>
      </c>
      <c r="NB81" s="1319">
        <f t="shared" ca="1" si="1174"/>
        <v>0</v>
      </c>
      <c r="NC81" s="1319">
        <f t="shared" ca="1" si="1174"/>
        <v>0</v>
      </c>
      <c r="ND81" s="1319">
        <f t="shared" ca="1" si="1174"/>
        <v>0</v>
      </c>
      <c r="NE81" s="1319">
        <f t="shared" ca="1" si="1174"/>
        <v>0</v>
      </c>
      <c r="NF81" s="1319">
        <f t="shared" ca="1" si="1174"/>
        <v>0</v>
      </c>
      <c r="NG81" s="1319">
        <f t="shared" ca="1" si="1174"/>
        <v>0</v>
      </c>
      <c r="NH81" s="1319">
        <f t="shared" ca="1" si="1174"/>
        <v>0</v>
      </c>
      <c r="NI81" s="1319">
        <f t="shared" ca="1" si="1174"/>
        <v>0</v>
      </c>
      <c r="NJ81" s="1319">
        <f t="shared" ca="1" si="1174"/>
        <v>0</v>
      </c>
      <c r="NK81" s="1319">
        <f t="shared" ca="1" si="1174"/>
        <v>0</v>
      </c>
      <c r="NL81" s="1319">
        <f t="shared" ca="1" si="1174"/>
        <v>0</v>
      </c>
      <c r="NM81" s="1319">
        <f t="shared" ca="1" si="1174"/>
        <v>0</v>
      </c>
      <c r="NN81" s="1319">
        <f t="shared" ca="1" si="1174"/>
        <v>0</v>
      </c>
      <c r="NO81" s="1319">
        <f t="shared" ca="1" si="1174"/>
        <v>0</v>
      </c>
      <c r="NP81" s="1319">
        <f t="shared" ca="1" si="1174"/>
        <v>0</v>
      </c>
      <c r="OH81" s="1319">
        <f t="shared" ca="1" si="1175"/>
        <v>0</v>
      </c>
      <c r="OI81" s="1319">
        <f t="shared" ca="1" si="1175"/>
        <v>0</v>
      </c>
      <c r="OJ81" s="1319">
        <f t="shared" ca="1" si="1175"/>
        <v>0</v>
      </c>
      <c r="OK81" s="1319">
        <f t="shared" ca="1" si="1175"/>
        <v>0</v>
      </c>
      <c r="OL81" s="1319">
        <f t="shared" ca="1" si="1175"/>
        <v>0</v>
      </c>
      <c r="OM81" s="1319">
        <f t="shared" ca="1" si="1175"/>
        <v>0</v>
      </c>
      <c r="ON81" s="1319">
        <f t="shared" ca="1" si="1175"/>
        <v>0</v>
      </c>
      <c r="OO81" s="1319">
        <f t="shared" ca="1" si="1175"/>
        <v>0</v>
      </c>
      <c r="PA81" s="1319">
        <f t="shared" ca="1" si="1176"/>
        <v>0</v>
      </c>
      <c r="PB81" s="1319">
        <f t="shared" ca="1" si="1176"/>
        <v>0</v>
      </c>
      <c r="PC81" s="1319">
        <f t="shared" ca="1" si="1176"/>
        <v>0</v>
      </c>
      <c r="PD81" s="1319">
        <f t="shared" ca="1" si="1176"/>
        <v>0</v>
      </c>
      <c r="PE81" s="1319">
        <f t="shared" ca="1" si="1176"/>
        <v>0</v>
      </c>
      <c r="PF81" s="1319">
        <f t="shared" ca="1" si="1176"/>
        <v>0</v>
      </c>
      <c r="PG81" s="1319">
        <f t="shared" ca="1" si="1176"/>
        <v>0</v>
      </c>
      <c r="PH81" s="1319">
        <f t="shared" ca="1" si="1176"/>
        <v>0</v>
      </c>
      <c r="PI81" s="1319">
        <f t="shared" ca="1" si="1176"/>
        <v>0</v>
      </c>
      <c r="PJ81" s="1319">
        <f t="shared" ca="1" si="1176"/>
        <v>0</v>
      </c>
      <c r="PK81" s="1319">
        <f t="shared" ca="1" si="1176"/>
        <v>0</v>
      </c>
      <c r="PW81" s="1319">
        <f t="shared" ca="1" si="1177"/>
        <v>0</v>
      </c>
      <c r="PX81" s="1319">
        <f t="shared" ca="1" si="1177"/>
        <v>0</v>
      </c>
      <c r="PY81" s="1319">
        <f t="shared" ca="1" si="1177"/>
        <v>0</v>
      </c>
      <c r="PZ81" s="1319">
        <f t="shared" ca="1" si="1177"/>
        <v>0</v>
      </c>
    </row>
    <row r="82" spans="1:442" x14ac:dyDescent="0.25">
      <c r="A82" s="189">
        <v>43</v>
      </c>
      <c r="B82" s="189" t="s">
        <v>1256</v>
      </c>
      <c r="C82" s="1317" t="s">
        <v>68</v>
      </c>
      <c r="D82" s="1317" t="s">
        <v>206</v>
      </c>
      <c r="J82" s="1319">
        <f t="shared" ca="1" si="1157"/>
        <v>0</v>
      </c>
      <c r="K82" s="1319">
        <f t="shared" ca="1" si="1178"/>
        <v>0</v>
      </c>
      <c r="T82" s="1319">
        <f t="shared" ca="1" si="1158"/>
        <v>0</v>
      </c>
      <c r="U82" s="1319">
        <f t="shared" ca="1" si="1158"/>
        <v>0</v>
      </c>
      <c r="V82" s="1319">
        <f t="shared" ca="1" si="1158"/>
        <v>0</v>
      </c>
      <c r="W82" s="1319">
        <f t="shared" ca="1" si="1158"/>
        <v>0</v>
      </c>
      <c r="X82" s="1319">
        <f t="shared" ca="1" si="1158"/>
        <v>0</v>
      </c>
      <c r="Y82" s="1319">
        <f t="shared" ca="1" si="1158"/>
        <v>0</v>
      </c>
      <c r="Z82" s="1319">
        <f t="shared" ca="1" si="1158"/>
        <v>0</v>
      </c>
      <c r="AA82" s="1319">
        <f t="shared" ca="1" si="1158"/>
        <v>0</v>
      </c>
      <c r="AB82" s="1319">
        <f t="shared" ca="1" si="1158"/>
        <v>0</v>
      </c>
      <c r="AC82" s="1319">
        <f t="shared" ca="1" si="1158"/>
        <v>0</v>
      </c>
      <c r="AD82" s="1319">
        <f t="shared" ca="1" si="1158"/>
        <v>0</v>
      </c>
      <c r="AM82" s="1319">
        <f t="shared" ca="1" si="1150"/>
        <v>0</v>
      </c>
      <c r="AN82" s="1319">
        <f t="shared" ca="1" si="1150"/>
        <v>0</v>
      </c>
      <c r="AO82" s="1319">
        <f t="shared" ca="1" si="1179"/>
        <v>0</v>
      </c>
      <c r="AP82" s="1319">
        <f t="shared" ca="1" si="1179"/>
        <v>0</v>
      </c>
      <c r="AQ82" s="1319">
        <f t="shared" ca="1" si="1179"/>
        <v>0</v>
      </c>
      <c r="AR82" s="1319">
        <f t="shared" ca="1" si="1179"/>
        <v>0</v>
      </c>
      <c r="AS82" s="1319">
        <f t="shared" ca="1" si="1179"/>
        <v>0</v>
      </c>
      <c r="AT82" s="1319">
        <f t="shared" ca="1" si="1150"/>
        <v>0</v>
      </c>
      <c r="AU82" s="1319">
        <f t="shared" ca="1" si="1150"/>
        <v>0</v>
      </c>
      <c r="AV82" s="1319">
        <f t="shared" ca="1" si="1150"/>
        <v>0</v>
      </c>
      <c r="AW82" s="1319">
        <f t="shared" ca="1" si="1150"/>
        <v>0</v>
      </c>
      <c r="AX82" s="1319">
        <f t="shared" ca="1" si="1150"/>
        <v>0</v>
      </c>
      <c r="AY82" s="1319">
        <f t="shared" ca="1" si="1150"/>
        <v>0</v>
      </c>
      <c r="AZ82" s="1319">
        <f t="shared" ca="1" si="1150"/>
        <v>0</v>
      </c>
      <c r="BA82" s="1319">
        <f t="shared" ca="1" si="1150"/>
        <v>0</v>
      </c>
      <c r="BB82" s="1319">
        <f t="shared" ca="1" si="1150"/>
        <v>0</v>
      </c>
      <c r="BN82" s="1319">
        <f t="shared" ca="1" si="1159"/>
        <v>0</v>
      </c>
      <c r="BO82" s="1319">
        <f t="shared" ca="1" si="1159"/>
        <v>0</v>
      </c>
      <c r="BP82" s="1319">
        <f t="shared" ca="1" si="1159"/>
        <v>0</v>
      </c>
      <c r="BQ82" s="1319">
        <f t="shared" ca="1" si="1159"/>
        <v>0</v>
      </c>
      <c r="BR82" s="1319">
        <f t="shared" ca="1" si="1159"/>
        <v>0</v>
      </c>
      <c r="CD82" s="1319">
        <f t="shared" ca="1" si="1160"/>
        <v>0</v>
      </c>
      <c r="CE82" s="1319">
        <f t="shared" ca="1" si="1160"/>
        <v>0</v>
      </c>
      <c r="CF82" s="1319">
        <f t="shared" ca="1" si="1160"/>
        <v>0</v>
      </c>
      <c r="CG82" s="1319">
        <f t="shared" ca="1" si="1160"/>
        <v>0</v>
      </c>
      <c r="CH82" s="1319">
        <f t="shared" ca="1" si="1160"/>
        <v>0</v>
      </c>
      <c r="CI82" s="1319">
        <f t="shared" ca="1" si="1160"/>
        <v>0</v>
      </c>
      <c r="CJ82" s="1319">
        <f t="shared" ca="1" si="1160"/>
        <v>0</v>
      </c>
      <c r="CK82" s="1319">
        <f t="shared" ca="1" si="1160"/>
        <v>0</v>
      </c>
      <c r="CL82" s="1319">
        <f t="shared" ca="1" si="1160"/>
        <v>0</v>
      </c>
      <c r="CM82" s="1319">
        <f t="shared" ca="1" si="1160"/>
        <v>0</v>
      </c>
      <c r="CN82" s="1319">
        <f t="shared" ca="1" si="1160"/>
        <v>0</v>
      </c>
      <c r="CO82" s="1319">
        <f t="shared" ca="1" si="1160"/>
        <v>0</v>
      </c>
      <c r="DA82" s="1319">
        <f t="shared" ca="1" si="1161"/>
        <v>0</v>
      </c>
      <c r="DB82" s="1319">
        <f t="shared" ca="1" si="1161"/>
        <v>0</v>
      </c>
      <c r="DC82" s="1319">
        <f t="shared" ca="1" si="1161"/>
        <v>0</v>
      </c>
      <c r="DD82" s="1319">
        <f t="shared" ca="1" si="1161"/>
        <v>0</v>
      </c>
      <c r="DE82" s="1319">
        <f t="shared" ca="1" si="1161"/>
        <v>0</v>
      </c>
      <c r="DF82" s="1319">
        <f t="shared" ca="1" si="1161"/>
        <v>0</v>
      </c>
      <c r="DG82" s="1319">
        <f t="shared" ca="1" si="1161"/>
        <v>0</v>
      </c>
      <c r="DH82" s="1319">
        <f t="shared" ca="1" si="1161"/>
        <v>0</v>
      </c>
      <c r="DI82" s="1319">
        <f t="shared" ca="1" si="1161"/>
        <v>0</v>
      </c>
      <c r="DJ82" s="1319">
        <f t="shared" ca="1" si="1161"/>
        <v>0</v>
      </c>
      <c r="DV82" s="1319">
        <f t="shared" ca="1" si="1162"/>
        <v>0</v>
      </c>
      <c r="DW82" s="1319">
        <f t="shared" ca="1" si="1162"/>
        <v>0</v>
      </c>
      <c r="DX82" s="1319">
        <f t="shared" ca="1" si="1162"/>
        <v>0</v>
      </c>
      <c r="DY82" s="1319">
        <f t="shared" ca="1" si="1162"/>
        <v>0</v>
      </c>
      <c r="DZ82" s="1319">
        <f t="shared" ca="1" si="1162"/>
        <v>0</v>
      </c>
      <c r="EA82" s="1319">
        <f t="shared" ca="1" si="1162"/>
        <v>0</v>
      </c>
      <c r="EB82" s="1319">
        <f t="shared" ca="1" si="1162"/>
        <v>0</v>
      </c>
      <c r="EC82" s="1319">
        <f t="shared" ca="1" si="1162"/>
        <v>0</v>
      </c>
      <c r="ED82" s="1319">
        <f t="shared" ca="1" si="1162"/>
        <v>0</v>
      </c>
      <c r="EE82" s="1319">
        <f t="shared" ca="1" si="1162"/>
        <v>0</v>
      </c>
      <c r="EF82" s="1319">
        <f t="shared" ca="1" si="1162"/>
        <v>0</v>
      </c>
      <c r="EG82" s="1319">
        <f t="shared" ca="1" si="1162"/>
        <v>0</v>
      </c>
      <c r="EH82" s="1319">
        <f t="shared" ca="1" si="1162"/>
        <v>0</v>
      </c>
      <c r="EI82" s="1319">
        <f t="shared" ca="1" si="1162"/>
        <v>0</v>
      </c>
      <c r="EJ82" s="1319">
        <f t="shared" ca="1" si="1101"/>
        <v>0</v>
      </c>
      <c r="EK82" s="1319">
        <f t="shared" ca="1" si="1162"/>
        <v>0</v>
      </c>
      <c r="EW82" s="1319">
        <f t="shared" ca="1" si="1163"/>
        <v>0</v>
      </c>
      <c r="EX82" s="1319">
        <f t="shared" ca="1" si="1163"/>
        <v>0</v>
      </c>
      <c r="EY82" s="1319">
        <f t="shared" ca="1" si="1163"/>
        <v>0</v>
      </c>
      <c r="EZ82" s="1319">
        <f t="shared" ca="1" si="1163"/>
        <v>0</v>
      </c>
      <c r="FA82" s="1319">
        <f t="shared" ca="1" si="1163"/>
        <v>0</v>
      </c>
      <c r="FB82" s="1319">
        <f t="shared" ca="1" si="1163"/>
        <v>0</v>
      </c>
      <c r="FN82" s="1319">
        <f t="shared" ca="1" si="1164"/>
        <v>0</v>
      </c>
      <c r="FO82" s="1319">
        <f t="shared" ca="1" si="1164"/>
        <v>0</v>
      </c>
      <c r="FP82" s="1319">
        <f t="shared" ca="1" si="1164"/>
        <v>0</v>
      </c>
      <c r="FQ82" s="1319">
        <f t="shared" ca="1" si="1164"/>
        <v>0</v>
      </c>
      <c r="FR82" s="1319">
        <f t="shared" ca="1" si="1164"/>
        <v>0</v>
      </c>
      <c r="FS82" s="1319">
        <f t="shared" ca="1" si="1164"/>
        <v>0</v>
      </c>
      <c r="FT82" s="1319">
        <f t="shared" ca="1" si="1164"/>
        <v>0</v>
      </c>
      <c r="FU82" s="1319">
        <f t="shared" ca="1" si="1164"/>
        <v>0</v>
      </c>
      <c r="FV82" s="1319">
        <f t="shared" ca="1" si="1164"/>
        <v>0</v>
      </c>
      <c r="FW82" s="1319">
        <f t="shared" ca="1" si="1164"/>
        <v>0</v>
      </c>
      <c r="FX82" s="1319">
        <f t="shared" ca="1" si="1164"/>
        <v>0</v>
      </c>
      <c r="GJ82" s="1319">
        <f t="shared" ca="1" si="1165"/>
        <v>0</v>
      </c>
      <c r="GK82" s="1319">
        <f t="shared" ca="1" si="1165"/>
        <v>0</v>
      </c>
      <c r="GL82" s="1319">
        <f t="shared" ca="1" si="1165"/>
        <v>0</v>
      </c>
      <c r="GM82" s="1319">
        <f t="shared" ca="1" si="1165"/>
        <v>0</v>
      </c>
      <c r="GN82" s="1319">
        <f t="shared" ca="1" si="1165"/>
        <v>0</v>
      </c>
      <c r="GO82" s="1319">
        <f t="shared" ca="1" si="1165"/>
        <v>0</v>
      </c>
      <c r="GP82" s="1319">
        <f t="shared" ca="1" si="1165"/>
        <v>0</v>
      </c>
      <c r="GQ82" s="1319">
        <f t="shared" ca="1" si="1165"/>
        <v>0</v>
      </c>
      <c r="HC82" s="1319">
        <f t="shared" ca="1" si="1166"/>
        <v>0</v>
      </c>
      <c r="HD82" s="1319">
        <f t="shared" ca="1" si="1166"/>
        <v>0</v>
      </c>
      <c r="HE82" s="1319">
        <f t="shared" ca="1" si="1166"/>
        <v>0</v>
      </c>
      <c r="HF82" s="1319">
        <f t="shared" ca="1" si="1166"/>
        <v>0</v>
      </c>
      <c r="HG82" s="1319">
        <f t="shared" ca="1" si="1166"/>
        <v>0</v>
      </c>
      <c r="HH82" s="1319">
        <f t="shared" ca="1" si="1166"/>
        <v>0</v>
      </c>
      <c r="HT82" s="1319">
        <f t="shared" ca="1" si="1167"/>
        <v>0</v>
      </c>
      <c r="HU82" s="1319">
        <f t="shared" ca="1" si="1167"/>
        <v>0</v>
      </c>
      <c r="HV82" s="1319">
        <f t="shared" ca="1" si="1167"/>
        <v>0</v>
      </c>
      <c r="HW82" s="1319">
        <f t="shared" ca="1" si="1167"/>
        <v>0</v>
      </c>
      <c r="HX82" s="1319">
        <f t="shared" ca="1" si="1167"/>
        <v>0</v>
      </c>
      <c r="HY82" s="1319">
        <f t="shared" ca="1" si="1167"/>
        <v>0</v>
      </c>
      <c r="HZ82" s="1319">
        <f t="shared" ca="1" si="1167"/>
        <v>0</v>
      </c>
      <c r="IA82" s="1319">
        <f t="shared" ca="1" si="1167"/>
        <v>0</v>
      </c>
      <c r="IB82" s="1319">
        <f t="shared" ca="1" si="1167"/>
        <v>0</v>
      </c>
      <c r="IC82" s="1319">
        <f t="shared" ca="1" si="1167"/>
        <v>0</v>
      </c>
      <c r="ID82" s="1319">
        <f t="shared" ca="1" si="1167"/>
        <v>0</v>
      </c>
      <c r="IE82" s="1319">
        <f t="shared" ca="1" si="1167"/>
        <v>0</v>
      </c>
      <c r="IQ82" s="1319">
        <f t="shared" ca="1" si="1168"/>
        <v>0</v>
      </c>
      <c r="IR82" s="1319">
        <f t="shared" ca="1" si="1168"/>
        <v>0</v>
      </c>
      <c r="IS82" s="1319">
        <f t="shared" ca="1" si="1168"/>
        <v>0</v>
      </c>
      <c r="IT82" s="1319">
        <f t="shared" ca="1" si="1168"/>
        <v>0</v>
      </c>
      <c r="IU82" s="1319">
        <f t="shared" ca="1" si="1108"/>
        <v>0</v>
      </c>
      <c r="IV82" s="1319">
        <f t="shared" ca="1" si="1168"/>
        <v>0</v>
      </c>
      <c r="IW82" s="1319">
        <f t="shared" ca="1" si="1168"/>
        <v>0</v>
      </c>
      <c r="IX82" s="1319">
        <f t="shared" ca="1" si="1109"/>
        <v>0</v>
      </c>
      <c r="IY82" s="1319">
        <f t="shared" ca="1" si="1168"/>
        <v>0</v>
      </c>
      <c r="IZ82" s="1319">
        <f t="shared" ca="1" si="1168"/>
        <v>0</v>
      </c>
      <c r="JA82" s="1319">
        <f t="shared" ca="1" si="1168"/>
        <v>0</v>
      </c>
      <c r="JB82" s="1319">
        <f t="shared" ca="1" si="1168"/>
        <v>0</v>
      </c>
      <c r="JC82" s="1319">
        <f t="shared" ca="1" si="1168"/>
        <v>0</v>
      </c>
      <c r="JD82" s="1319">
        <f t="shared" ca="1" si="1168"/>
        <v>0</v>
      </c>
      <c r="JE82" s="1319">
        <f t="shared" ca="1" si="1168"/>
        <v>0</v>
      </c>
      <c r="JF82" s="1319">
        <f t="shared" ca="1" si="1168"/>
        <v>0</v>
      </c>
      <c r="JG82" s="1319">
        <f t="shared" ca="1" si="1168"/>
        <v>0</v>
      </c>
      <c r="JH82" s="1319">
        <f t="shared" ca="1" si="1168"/>
        <v>0</v>
      </c>
      <c r="JT82" s="1319">
        <f t="shared" ca="1" si="1169"/>
        <v>0</v>
      </c>
      <c r="JU82" s="1319">
        <f t="shared" ca="1" si="1169"/>
        <v>0</v>
      </c>
      <c r="JV82" s="1319">
        <f t="shared" ca="1" si="1169"/>
        <v>0</v>
      </c>
      <c r="JW82" s="1319">
        <f t="shared" ca="1" si="1169"/>
        <v>0</v>
      </c>
      <c r="JX82" s="1319">
        <f t="shared" ca="1" si="1169"/>
        <v>0</v>
      </c>
      <c r="JY82" s="1319">
        <f t="shared" ca="1" si="1169"/>
        <v>0</v>
      </c>
      <c r="JZ82" s="1319">
        <f t="shared" ca="1" si="1169"/>
        <v>0</v>
      </c>
      <c r="KA82" s="1319">
        <f t="shared" ca="1" si="1169"/>
        <v>0</v>
      </c>
      <c r="KB82" s="1319">
        <f t="shared" ca="1" si="1169"/>
        <v>0</v>
      </c>
      <c r="KC82" s="1319">
        <f t="shared" ca="1" si="1169"/>
        <v>0</v>
      </c>
      <c r="KL82" s="1319">
        <f t="shared" ca="1" si="1170"/>
        <v>0</v>
      </c>
      <c r="KM82" s="1319">
        <f t="shared" ca="1" si="1170"/>
        <v>0</v>
      </c>
      <c r="KN82" s="1319">
        <f t="shared" ca="1" si="1170"/>
        <v>0</v>
      </c>
      <c r="KO82" s="1319">
        <f t="shared" ca="1" si="1170"/>
        <v>0</v>
      </c>
      <c r="KP82" s="1319">
        <f t="shared" ca="1" si="1170"/>
        <v>0</v>
      </c>
      <c r="KQ82" s="1319">
        <f t="shared" ca="1" si="1170"/>
        <v>0</v>
      </c>
      <c r="KR82" s="1319">
        <f t="shared" ca="1" si="1170"/>
        <v>0</v>
      </c>
      <c r="LA82" s="1319">
        <f t="shared" ca="1" si="1171"/>
        <v>0</v>
      </c>
      <c r="LB82" s="1319">
        <f t="shared" ca="1" si="1171"/>
        <v>0</v>
      </c>
      <c r="LC82" s="1319">
        <f t="shared" ca="1" si="1171"/>
        <v>0</v>
      </c>
      <c r="LD82" s="1319">
        <f t="shared" ca="1" si="1171"/>
        <v>0</v>
      </c>
      <c r="LE82" s="1319">
        <f t="shared" ca="1" si="1171"/>
        <v>0</v>
      </c>
      <c r="LF82" s="1319">
        <f t="shared" ca="1" si="1171"/>
        <v>61.962034299999999</v>
      </c>
      <c r="LG82" s="1319">
        <f t="shared" ca="1" si="1171"/>
        <v>61.962034299999999</v>
      </c>
      <c r="LH82" s="1319">
        <f t="shared" ca="1" si="1171"/>
        <v>0</v>
      </c>
      <c r="LI82" s="1319">
        <f t="shared" ca="1" si="1171"/>
        <v>61.962034299999999</v>
      </c>
      <c r="LJ82" s="1319">
        <f t="shared" ca="1" si="1171"/>
        <v>0</v>
      </c>
      <c r="LK82" s="1319">
        <f t="shared" ca="1" si="1171"/>
        <v>0</v>
      </c>
      <c r="LW82" s="1319">
        <f t="shared" ca="1" si="1113"/>
        <v>0</v>
      </c>
      <c r="LX82" s="1319">
        <f t="shared" ca="1" si="1172"/>
        <v>0</v>
      </c>
      <c r="LY82" s="1319">
        <f t="shared" ca="1" si="1172"/>
        <v>0</v>
      </c>
      <c r="LZ82" s="1319">
        <f t="shared" ca="1" si="1172"/>
        <v>0</v>
      </c>
      <c r="MA82" s="1319">
        <f t="shared" ca="1" si="1172"/>
        <v>0</v>
      </c>
      <c r="MB82" s="1319">
        <f t="shared" ca="1" si="1172"/>
        <v>0</v>
      </c>
      <c r="MC82" s="1319">
        <f t="shared" ca="1" si="1172"/>
        <v>61.962034299999999</v>
      </c>
      <c r="MD82" s="1319">
        <f t="shared" ca="1" si="1172"/>
        <v>0</v>
      </c>
      <c r="ME82" s="1319">
        <f t="shared" ca="1" si="1172"/>
        <v>0</v>
      </c>
      <c r="MF82" s="1319">
        <f t="shared" ca="1" si="1172"/>
        <v>0</v>
      </c>
      <c r="MG82" s="1319">
        <f t="shared" ca="1" si="1172"/>
        <v>0</v>
      </c>
      <c r="MH82" s="1319">
        <f t="shared" ca="1" si="1173"/>
        <v>0</v>
      </c>
      <c r="MI82" s="1319">
        <f t="shared" ca="1" si="1173"/>
        <v>0</v>
      </c>
      <c r="MJ82" s="1319">
        <f t="shared" ca="1" si="1172"/>
        <v>0</v>
      </c>
      <c r="MK82" s="1319">
        <f t="shared" ca="1" si="1172"/>
        <v>0</v>
      </c>
      <c r="ML82" s="1319">
        <f t="shared" ca="1" si="1172"/>
        <v>0</v>
      </c>
      <c r="MM82" s="1319">
        <f t="shared" ca="1" si="1172"/>
        <v>0</v>
      </c>
      <c r="MN82" s="1319">
        <f t="shared" ca="1" si="1172"/>
        <v>0</v>
      </c>
      <c r="MO82" s="1319">
        <f t="shared" ca="1" si="1172"/>
        <v>0</v>
      </c>
      <c r="NA82" s="1319">
        <f t="shared" ca="1" si="1174"/>
        <v>0</v>
      </c>
      <c r="NB82" s="1319">
        <f t="shared" ca="1" si="1174"/>
        <v>0</v>
      </c>
      <c r="NC82" s="1319">
        <f t="shared" ca="1" si="1174"/>
        <v>0</v>
      </c>
      <c r="ND82" s="1319">
        <f t="shared" ca="1" si="1174"/>
        <v>0</v>
      </c>
      <c r="NE82" s="1319">
        <f t="shared" ca="1" si="1174"/>
        <v>0</v>
      </c>
      <c r="NF82" s="1319">
        <f t="shared" ca="1" si="1174"/>
        <v>0</v>
      </c>
      <c r="NG82" s="1319">
        <f t="shared" ca="1" si="1174"/>
        <v>0</v>
      </c>
      <c r="NH82" s="1319">
        <f t="shared" ca="1" si="1174"/>
        <v>0</v>
      </c>
      <c r="NI82" s="1319">
        <f t="shared" ca="1" si="1174"/>
        <v>0</v>
      </c>
      <c r="NJ82" s="1319">
        <f t="shared" ca="1" si="1174"/>
        <v>0</v>
      </c>
      <c r="NK82" s="1319">
        <f t="shared" ca="1" si="1174"/>
        <v>0</v>
      </c>
      <c r="NL82" s="1319">
        <f t="shared" ca="1" si="1174"/>
        <v>0</v>
      </c>
      <c r="NM82" s="1319">
        <f t="shared" ca="1" si="1174"/>
        <v>0</v>
      </c>
      <c r="NN82" s="1319">
        <f t="shared" ca="1" si="1174"/>
        <v>0</v>
      </c>
      <c r="NO82" s="1319">
        <f t="shared" ca="1" si="1174"/>
        <v>0</v>
      </c>
      <c r="NP82" s="1319">
        <f t="shared" ca="1" si="1174"/>
        <v>0</v>
      </c>
      <c r="OH82" s="1319">
        <f t="shared" ca="1" si="1175"/>
        <v>0</v>
      </c>
      <c r="OI82" s="1319">
        <f t="shared" ca="1" si="1175"/>
        <v>0</v>
      </c>
      <c r="OJ82" s="1319">
        <f t="shared" ca="1" si="1175"/>
        <v>0</v>
      </c>
      <c r="OK82" s="1319">
        <f t="shared" ca="1" si="1175"/>
        <v>0</v>
      </c>
      <c r="OL82" s="1319">
        <f t="shared" ca="1" si="1175"/>
        <v>0</v>
      </c>
      <c r="OM82" s="1319">
        <f t="shared" ca="1" si="1175"/>
        <v>0</v>
      </c>
      <c r="ON82" s="1319">
        <f t="shared" ca="1" si="1175"/>
        <v>0</v>
      </c>
      <c r="OO82" s="1319">
        <f t="shared" ca="1" si="1175"/>
        <v>0</v>
      </c>
      <c r="PA82" s="1319">
        <f t="shared" ca="1" si="1176"/>
        <v>0</v>
      </c>
      <c r="PB82" s="1319">
        <f t="shared" ca="1" si="1176"/>
        <v>0</v>
      </c>
      <c r="PC82" s="1319">
        <f t="shared" ca="1" si="1176"/>
        <v>0</v>
      </c>
      <c r="PD82" s="1319">
        <f t="shared" ca="1" si="1176"/>
        <v>0</v>
      </c>
      <c r="PE82" s="1319">
        <f t="shared" ca="1" si="1176"/>
        <v>0</v>
      </c>
      <c r="PF82" s="1319">
        <f t="shared" ca="1" si="1176"/>
        <v>0</v>
      </c>
      <c r="PG82" s="1319">
        <f t="shared" ca="1" si="1176"/>
        <v>0</v>
      </c>
      <c r="PH82" s="1319">
        <f t="shared" ca="1" si="1176"/>
        <v>0</v>
      </c>
      <c r="PI82" s="1319">
        <f t="shared" ca="1" si="1176"/>
        <v>0</v>
      </c>
      <c r="PJ82" s="1319">
        <f t="shared" ca="1" si="1176"/>
        <v>0</v>
      </c>
      <c r="PK82" s="1319">
        <f t="shared" ca="1" si="1176"/>
        <v>0</v>
      </c>
      <c r="PW82" s="1319">
        <f t="shared" ca="1" si="1177"/>
        <v>0</v>
      </c>
      <c r="PX82" s="1319">
        <f t="shared" ca="1" si="1177"/>
        <v>0</v>
      </c>
      <c r="PY82" s="1319">
        <f t="shared" ca="1" si="1177"/>
        <v>0</v>
      </c>
      <c r="PZ82" s="1319">
        <f t="shared" ca="1" si="1177"/>
        <v>0</v>
      </c>
    </row>
    <row r="83" spans="1:442" x14ac:dyDescent="0.25">
      <c r="A83" s="189">
        <v>44</v>
      </c>
      <c r="B83" s="189" t="s">
        <v>1256</v>
      </c>
      <c r="C83" s="1317" t="s">
        <v>1289</v>
      </c>
      <c r="D83" s="1317" t="s">
        <v>206</v>
      </c>
      <c r="J83" s="1319">
        <f t="shared" ca="1" si="1157"/>
        <v>0</v>
      </c>
      <c r="K83" s="1319">
        <f t="shared" ref="K83:K88" ca="1" si="1180">VLOOKUP(K$1,INDIRECT(LU_MAT),$A83,FALSE)</f>
        <v>0</v>
      </c>
      <c r="T83" s="1319">
        <f t="shared" ca="1" si="1158"/>
        <v>0</v>
      </c>
      <c r="U83" s="1319">
        <f t="shared" ca="1" si="1158"/>
        <v>0</v>
      </c>
      <c r="V83" s="1319">
        <f t="shared" ca="1" si="1158"/>
        <v>0</v>
      </c>
      <c r="W83" s="1319">
        <f t="shared" ca="1" si="1158"/>
        <v>0</v>
      </c>
      <c r="X83" s="1319">
        <f t="shared" ca="1" si="1158"/>
        <v>0</v>
      </c>
      <c r="Y83" s="1319">
        <f t="shared" ca="1" si="1158"/>
        <v>0</v>
      </c>
      <c r="Z83" s="1319">
        <f t="shared" ca="1" si="1158"/>
        <v>0</v>
      </c>
      <c r="AA83" s="1319">
        <f t="shared" ca="1" si="1158"/>
        <v>0</v>
      </c>
      <c r="AB83" s="1319">
        <f t="shared" ca="1" si="1158"/>
        <v>0</v>
      </c>
      <c r="AC83" s="1319">
        <f t="shared" ca="1" si="1158"/>
        <v>0</v>
      </c>
      <c r="AD83" s="1319">
        <f t="shared" ca="1" si="1158"/>
        <v>0</v>
      </c>
      <c r="AM83" s="1319">
        <f t="shared" ca="1" si="1150"/>
        <v>0</v>
      </c>
      <c r="AN83" s="1319">
        <f t="shared" ca="1" si="1150"/>
        <v>0</v>
      </c>
      <c r="AO83" s="1319">
        <f t="shared" ca="1" si="1179"/>
        <v>0</v>
      </c>
      <c r="AP83" s="1319">
        <f t="shared" ca="1" si="1179"/>
        <v>0</v>
      </c>
      <c r="AQ83" s="1319">
        <f t="shared" ca="1" si="1179"/>
        <v>0</v>
      </c>
      <c r="AR83" s="1319">
        <f t="shared" ca="1" si="1179"/>
        <v>0</v>
      </c>
      <c r="AS83" s="1319">
        <f t="shared" ca="1" si="1179"/>
        <v>0</v>
      </c>
      <c r="AT83" s="1319">
        <f t="shared" ca="1" si="1150"/>
        <v>0</v>
      </c>
      <c r="AU83" s="1319">
        <f t="shared" ca="1" si="1150"/>
        <v>0</v>
      </c>
      <c r="AV83" s="1319">
        <f t="shared" ca="1" si="1150"/>
        <v>0</v>
      </c>
      <c r="AW83" s="1319">
        <f t="shared" ca="1" si="1150"/>
        <v>0</v>
      </c>
      <c r="AX83" s="1319">
        <f t="shared" ca="1" si="1150"/>
        <v>0</v>
      </c>
      <c r="AY83" s="1319">
        <f t="shared" ca="1" si="1150"/>
        <v>0</v>
      </c>
      <c r="AZ83" s="1319">
        <f t="shared" ca="1" si="1150"/>
        <v>0</v>
      </c>
      <c r="BA83" s="1319">
        <f t="shared" ca="1" si="1150"/>
        <v>0</v>
      </c>
      <c r="BB83" s="1319">
        <f t="shared" ca="1" si="1150"/>
        <v>0</v>
      </c>
      <c r="BN83" s="1319">
        <f t="shared" ca="1" si="1159"/>
        <v>8.5319993199999999E-2</v>
      </c>
      <c r="BO83" s="1319">
        <f t="shared" ca="1" si="1159"/>
        <v>51.4557766</v>
      </c>
      <c r="BP83" s="1319">
        <f t="shared" ca="1" si="1159"/>
        <v>1882.2090199999998</v>
      </c>
      <c r="BQ83" s="1319">
        <f t="shared" ca="1" si="1159"/>
        <v>0</v>
      </c>
      <c r="BR83" s="1319">
        <f t="shared" ca="1" si="1159"/>
        <v>0</v>
      </c>
      <c r="CD83" s="1319">
        <f t="shared" ca="1" si="1160"/>
        <v>0</v>
      </c>
      <c r="CE83" s="1319">
        <f t="shared" ca="1" si="1160"/>
        <v>0</v>
      </c>
      <c r="CF83" s="1319">
        <f t="shared" ca="1" si="1160"/>
        <v>8.5319993199999999E-2</v>
      </c>
      <c r="CG83" s="1319">
        <f t="shared" ca="1" si="1160"/>
        <v>51.4557766</v>
      </c>
      <c r="CH83" s="1319">
        <f t="shared" ca="1" si="1160"/>
        <v>0.85319220100000004</v>
      </c>
      <c r="CI83" s="1319">
        <f t="shared" ca="1" si="1160"/>
        <v>0</v>
      </c>
      <c r="CJ83" s="1319">
        <f t="shared" ca="1" si="1160"/>
        <v>0</v>
      </c>
      <c r="CK83" s="1319">
        <f t="shared" ca="1" si="1160"/>
        <v>520.74830299999996</v>
      </c>
      <c r="CL83" s="1319">
        <f t="shared" ca="1" si="1160"/>
        <v>18323.140800000001</v>
      </c>
      <c r="CM83" s="1319">
        <f t="shared" ca="1" si="1160"/>
        <v>0.85319220100000004</v>
      </c>
      <c r="CN83" s="1319">
        <f t="shared" ca="1" si="1160"/>
        <v>548.94283299999995</v>
      </c>
      <c r="CO83" s="1319">
        <f t="shared" ca="1" si="1160"/>
        <v>28.194529800000002</v>
      </c>
      <c r="DA83" s="1319">
        <f t="shared" ca="1" si="1161"/>
        <v>4.7399996200000001E-3</v>
      </c>
      <c r="DB83" s="1319">
        <f t="shared" ca="1" si="1161"/>
        <v>0</v>
      </c>
      <c r="DC83" s="1319">
        <f t="shared" ca="1" si="1161"/>
        <v>0</v>
      </c>
      <c r="DD83" s="1319">
        <f t="shared" ca="1" si="1161"/>
        <v>0</v>
      </c>
      <c r="DE83" s="1319">
        <f t="shared" ca="1" si="1161"/>
        <v>3.8822413600000001E-2</v>
      </c>
      <c r="DF83" s="1319">
        <f t="shared" ca="1" si="1161"/>
        <v>95.090250999999995</v>
      </c>
      <c r="DG83" s="1319">
        <f t="shared" ca="1" si="1161"/>
        <v>0</v>
      </c>
      <c r="DH83" s="1319">
        <f t="shared" ca="1" si="1161"/>
        <v>0</v>
      </c>
      <c r="DI83" s="1319">
        <f t="shared" ca="1" si="1161"/>
        <v>0</v>
      </c>
      <c r="DJ83" s="1319">
        <f t="shared" ca="1" si="1161"/>
        <v>0</v>
      </c>
      <c r="DV83" s="1319">
        <f t="shared" ca="1" si="1162"/>
        <v>0</v>
      </c>
      <c r="DW83" s="1319">
        <f t="shared" ca="1" si="1162"/>
        <v>0</v>
      </c>
      <c r="DX83" s="1319">
        <f t="shared" ca="1" si="1162"/>
        <v>9.4799992499999999E-2</v>
      </c>
      <c r="DY83" s="1319">
        <f t="shared" ca="1" si="1162"/>
        <v>4.7399996200000001E-3</v>
      </c>
      <c r="DZ83" s="1319">
        <f t="shared" ca="1" si="1162"/>
        <v>0</v>
      </c>
      <c r="EA83" s="1319">
        <f t="shared" ca="1" si="1162"/>
        <v>3.8822413600000001E-2</v>
      </c>
      <c r="EB83" s="1319">
        <f t="shared" ca="1" si="1162"/>
        <v>9.0059992899999997E-2</v>
      </c>
      <c r="EC83" s="1319">
        <f t="shared" ca="1" si="1162"/>
        <v>0</v>
      </c>
      <c r="ED83" s="1319">
        <f t="shared" ca="1" si="1162"/>
        <v>0.85319220100000004</v>
      </c>
      <c r="EE83" s="1319">
        <f t="shared" ca="1" si="1162"/>
        <v>2287.1876699999998</v>
      </c>
      <c r="EF83" s="1319">
        <f t="shared" ca="1" si="1162"/>
        <v>0</v>
      </c>
      <c r="EG83" s="1319">
        <f t="shared" ca="1" si="1162"/>
        <v>0</v>
      </c>
      <c r="EH83" s="1319">
        <f t="shared" ca="1" si="1162"/>
        <v>0</v>
      </c>
      <c r="EI83" s="1319">
        <f t="shared" ca="1" si="1162"/>
        <v>0</v>
      </c>
      <c r="EJ83" s="1319">
        <f t="shared" ca="1" si="1101"/>
        <v>0</v>
      </c>
      <c r="EK83" s="1319">
        <f t="shared" ca="1" si="1162"/>
        <v>0</v>
      </c>
      <c r="EW83" s="1319">
        <f t="shared" ca="1" si="1163"/>
        <v>548.94283299999995</v>
      </c>
      <c r="EX83" s="1319">
        <f t="shared" ca="1" si="1163"/>
        <v>548.94283299999995</v>
      </c>
      <c r="EY83" s="1319">
        <f t="shared" ca="1" si="1163"/>
        <v>3.8394842400000001E-17</v>
      </c>
      <c r="EZ83" s="1319">
        <f t="shared" ca="1" si="1163"/>
        <v>3.8394842400000001E-17</v>
      </c>
      <c r="FA83" s="1319">
        <f t="shared" ca="1" si="1163"/>
        <v>522.08523700000001</v>
      </c>
      <c r="FB83" s="1319">
        <f t="shared" ca="1" si="1163"/>
        <v>26.858380499999999</v>
      </c>
      <c r="FN83" s="1319">
        <f t="shared" ca="1" si="1164"/>
        <v>1882.2090199999998</v>
      </c>
      <c r="FO83" s="1319">
        <f t="shared" ca="1" si="1164"/>
        <v>18323.140800000001</v>
      </c>
      <c r="FP83" s="1319">
        <f t="shared" ca="1" si="1164"/>
        <v>522.08523700000001</v>
      </c>
      <c r="FQ83" s="1319">
        <f t="shared" ca="1" si="1164"/>
        <v>26.858380499999999</v>
      </c>
      <c r="FR83" s="1319">
        <f t="shared" ca="1" si="1164"/>
        <v>26.858380199999999</v>
      </c>
      <c r="FS83" s="1319">
        <f t="shared" ca="1" si="1164"/>
        <v>0</v>
      </c>
      <c r="FT83" s="1319">
        <f t="shared" ca="1" si="1164"/>
        <v>0</v>
      </c>
      <c r="FU83" s="1319">
        <f t="shared" ca="1" si="1164"/>
        <v>20727.435000000001</v>
      </c>
      <c r="FV83" s="1319">
        <f t="shared" ca="1" si="1164"/>
        <v>0</v>
      </c>
      <c r="FW83" s="1319">
        <f t="shared" ca="1" si="1164"/>
        <v>20699.2405</v>
      </c>
      <c r="FX83" s="1319">
        <f t="shared" ca="1" si="1164"/>
        <v>28.194529800000002</v>
      </c>
      <c r="GJ83" s="1319">
        <f t="shared" ca="1" si="1165"/>
        <v>26.858380199999999</v>
      </c>
      <c r="GK83" s="1319">
        <f t="shared" ca="1" si="1165"/>
        <v>26.858380199999999</v>
      </c>
      <c r="GL83" s="1319">
        <f t="shared" ca="1" si="1165"/>
        <v>0</v>
      </c>
      <c r="GM83" s="1319">
        <f t="shared" ca="1" si="1165"/>
        <v>26.858380199999999</v>
      </c>
      <c r="GN83" s="1319">
        <f t="shared" ca="1" si="1165"/>
        <v>26.858380199999999</v>
      </c>
      <c r="GO83" s="1319">
        <f t="shared" ca="1" si="1165"/>
        <v>0</v>
      </c>
      <c r="GP83" s="1319">
        <f t="shared" ca="1" si="1165"/>
        <v>26.858380199999999</v>
      </c>
      <c r="GQ83" s="1319">
        <f t="shared" ca="1" si="1165"/>
        <v>0</v>
      </c>
      <c r="HC83" s="1319">
        <f t="shared" ca="1" si="1166"/>
        <v>3.8394842400000001E-17</v>
      </c>
      <c r="HD83" s="1319">
        <f t="shared" ca="1" si="1166"/>
        <v>3.6965341900000001E-17</v>
      </c>
      <c r="HE83" s="1319">
        <f t="shared" ca="1" si="1166"/>
        <v>0</v>
      </c>
      <c r="HF83" s="1319">
        <f t="shared" ca="1" si="1166"/>
        <v>0</v>
      </c>
      <c r="HG83" s="1319">
        <f t="shared" ca="1" si="1166"/>
        <v>0</v>
      </c>
      <c r="HH83" s="1319">
        <f t="shared" ca="1" si="1166"/>
        <v>3.6965341900000001E-17</v>
      </c>
      <c r="HT83" s="1319">
        <f t="shared" ca="1" si="1167"/>
        <v>0</v>
      </c>
      <c r="HU83" s="1319">
        <f t="shared" ca="1" si="1167"/>
        <v>3.6965341900000001E-17</v>
      </c>
      <c r="HV83" s="1319">
        <f t="shared" ca="1" si="1167"/>
        <v>3.6965341900000001E-17</v>
      </c>
      <c r="HW83" s="1319">
        <f t="shared" ca="1" si="1167"/>
        <v>3.6965341900000001E-17</v>
      </c>
      <c r="HX83" s="1319">
        <f t="shared" ca="1" si="1167"/>
        <v>180.70727400000001</v>
      </c>
      <c r="HY83" s="1319">
        <f t="shared" ca="1" si="1167"/>
        <v>13.7417452</v>
      </c>
      <c r="HZ83" s="1319">
        <f t="shared" ca="1" si="1167"/>
        <v>14269.2286</v>
      </c>
      <c r="IA83" s="1319">
        <f t="shared" ca="1" si="1167"/>
        <v>3.1951482200000001</v>
      </c>
      <c r="IB83" s="1319">
        <f t="shared" ca="1" si="1167"/>
        <v>0</v>
      </c>
      <c r="IC83" s="1319">
        <f t="shared" ca="1" si="1167"/>
        <v>0</v>
      </c>
      <c r="ID83" s="1319">
        <f t="shared" ca="1" si="1167"/>
        <v>0</v>
      </c>
      <c r="IE83" s="1319">
        <f t="shared" ca="1" si="1167"/>
        <v>0</v>
      </c>
      <c r="IQ83" s="1319">
        <f t="shared" ca="1" si="1168"/>
        <v>180.70727400000001</v>
      </c>
      <c r="IR83" s="1319">
        <f t="shared" ca="1" si="1168"/>
        <v>13.7417452</v>
      </c>
      <c r="IS83" s="1319">
        <f t="shared" ca="1" si="1168"/>
        <v>1.4981927100000001</v>
      </c>
      <c r="IT83" s="1319">
        <f t="shared" ca="1" si="1168"/>
        <v>15.239937999999999</v>
      </c>
      <c r="IU83" s="1319">
        <f t="shared" ca="1" si="1108"/>
        <v>14.223381099999999</v>
      </c>
      <c r="IV83" s="1319">
        <f t="shared" ca="1" si="1168"/>
        <v>43.916695500000003</v>
      </c>
      <c r="IW83" s="1319">
        <f t="shared" ca="1" si="1168"/>
        <v>35.956624900000001</v>
      </c>
      <c r="IX83" s="1319">
        <f t="shared" ca="1" si="1109"/>
        <v>3856.4139199999995</v>
      </c>
      <c r="IY83" s="1319">
        <f t="shared" ca="1" si="1168"/>
        <v>1.01655681</v>
      </c>
      <c r="IZ83" s="1319">
        <f t="shared" ca="1" si="1168"/>
        <v>6.4621852400000002</v>
      </c>
      <c r="JA83" s="1319">
        <f t="shared" ca="1" si="1168"/>
        <v>37.454817599999998</v>
      </c>
      <c r="JB83" s="1319">
        <f t="shared" ca="1" si="1168"/>
        <v>0</v>
      </c>
      <c r="JC83" s="1319">
        <f t="shared" ca="1" si="1168"/>
        <v>3.2670370200000001</v>
      </c>
      <c r="JD83" s="1319">
        <f t="shared" ca="1" si="1168"/>
        <v>0</v>
      </c>
      <c r="JE83" s="1319">
        <f t="shared" ca="1" si="1168"/>
        <v>6.4621852400000002</v>
      </c>
      <c r="JF83" s="1319">
        <f t="shared" ca="1" si="1168"/>
        <v>0</v>
      </c>
      <c r="JG83" s="1319">
        <f t="shared" ca="1" si="1168"/>
        <v>0</v>
      </c>
      <c r="JH83" s="1319">
        <f t="shared" ca="1" si="1168"/>
        <v>3.1951482200000001</v>
      </c>
      <c r="JT83" s="1319">
        <f t="shared" ca="1" si="1169"/>
        <v>0</v>
      </c>
      <c r="JU83" s="1319">
        <f t="shared" ca="1" si="1169"/>
        <v>0</v>
      </c>
      <c r="JV83" s="1319">
        <f t="shared" ca="1" si="1169"/>
        <v>0</v>
      </c>
      <c r="JW83" s="1319">
        <f t="shared" ca="1" si="1169"/>
        <v>0</v>
      </c>
      <c r="JX83" s="1319">
        <f t="shared" ca="1" si="1169"/>
        <v>26.858380199999999</v>
      </c>
      <c r="JY83" s="1319">
        <f t="shared" ca="1" si="1169"/>
        <v>0</v>
      </c>
      <c r="JZ83" s="1319">
        <f t="shared" ca="1" si="1169"/>
        <v>26.858380199999999</v>
      </c>
      <c r="KA83" s="1319">
        <f t="shared" ca="1" si="1169"/>
        <v>0</v>
      </c>
      <c r="KB83" s="1319">
        <f t="shared" ca="1" si="1169"/>
        <v>0</v>
      </c>
      <c r="KC83" s="1319">
        <f t="shared" ca="1" si="1169"/>
        <v>0</v>
      </c>
      <c r="KL83" s="1319">
        <f t="shared" ca="1" si="1170"/>
        <v>0</v>
      </c>
      <c r="KM83" s="1319">
        <f t="shared" ca="1" si="1170"/>
        <v>0</v>
      </c>
      <c r="KN83" s="1319">
        <f t="shared" ca="1" si="1170"/>
        <v>0</v>
      </c>
      <c r="KO83" s="1319">
        <f t="shared" ca="1" si="1170"/>
        <v>0</v>
      </c>
      <c r="KP83" s="1319">
        <f t="shared" ca="1" si="1170"/>
        <v>0</v>
      </c>
      <c r="KQ83" s="1319">
        <f t="shared" ca="1" si="1170"/>
        <v>0</v>
      </c>
      <c r="KR83" s="1319">
        <f t="shared" ca="1" si="1170"/>
        <v>0</v>
      </c>
      <c r="LA83" s="1319">
        <f t="shared" ca="1" si="1171"/>
        <v>0</v>
      </c>
      <c r="LB83" s="1319">
        <f t="shared" ca="1" si="1171"/>
        <v>14269.2286</v>
      </c>
      <c r="LC83" s="1319">
        <f t="shared" ca="1" si="1171"/>
        <v>14269.2286</v>
      </c>
      <c r="LD83" s="1319">
        <f t="shared" ca="1" si="1171"/>
        <v>14269.2286</v>
      </c>
      <c r="LE83" s="1319">
        <f t="shared" ca="1" si="1171"/>
        <v>0</v>
      </c>
      <c r="LF83" s="1319">
        <f t="shared" ca="1" si="1171"/>
        <v>73397.056899999996</v>
      </c>
      <c r="LG83" s="1319">
        <f t="shared" ca="1" si="1171"/>
        <v>73397.056899999996</v>
      </c>
      <c r="LH83" s="1319">
        <f t="shared" ca="1" si="1171"/>
        <v>0</v>
      </c>
      <c r="LI83" s="1319">
        <f t="shared" ca="1" si="1171"/>
        <v>73397.056899999996</v>
      </c>
      <c r="LJ83" s="1319">
        <f t="shared" ca="1" si="1171"/>
        <v>0</v>
      </c>
      <c r="LK83" s="1319">
        <f t="shared" ca="1" si="1171"/>
        <v>0</v>
      </c>
      <c r="LW83" s="1319">
        <f t="shared" ca="1" si="1113"/>
        <v>0</v>
      </c>
      <c r="LX83" s="1319">
        <f t="shared" ca="1" si="1172"/>
        <v>0</v>
      </c>
      <c r="LY83" s="1319">
        <f t="shared" ca="1" si="1172"/>
        <v>0</v>
      </c>
      <c r="LZ83" s="1319">
        <f t="shared" ca="1" si="1172"/>
        <v>1.01655681</v>
      </c>
      <c r="MA83" s="1319">
        <f t="shared" ca="1" si="1172"/>
        <v>1.01655681</v>
      </c>
      <c r="MB83" s="1319">
        <f t="shared" ca="1" si="1172"/>
        <v>14269.2286</v>
      </c>
      <c r="MC83" s="1319">
        <f t="shared" ca="1" si="1172"/>
        <v>73397.056899999996</v>
      </c>
      <c r="MD83" s="1319">
        <f t="shared" ca="1" si="1172"/>
        <v>0</v>
      </c>
      <c r="ME83" s="1319">
        <f t="shared" ca="1" si="1172"/>
        <v>0</v>
      </c>
      <c r="MF83" s="1319">
        <f t="shared" ca="1" si="1172"/>
        <v>0</v>
      </c>
      <c r="MG83" s="1319">
        <f t="shared" ca="1" si="1172"/>
        <v>0</v>
      </c>
      <c r="MH83" s="1319">
        <f t="shared" ca="1" si="1173"/>
        <v>0</v>
      </c>
      <c r="MI83" s="1319">
        <f t="shared" ca="1" si="1173"/>
        <v>0</v>
      </c>
      <c r="MJ83" s="1319">
        <f t="shared" ca="1" si="1172"/>
        <v>0</v>
      </c>
      <c r="MK83" s="1319">
        <f t="shared" ca="1" si="1172"/>
        <v>0</v>
      </c>
      <c r="ML83" s="1319">
        <f t="shared" ca="1" si="1172"/>
        <v>0</v>
      </c>
      <c r="MM83" s="1319">
        <f t="shared" ca="1" si="1172"/>
        <v>0</v>
      </c>
      <c r="MN83" s="1319">
        <f t="shared" ca="1" si="1172"/>
        <v>0</v>
      </c>
      <c r="MO83" s="1319">
        <f t="shared" ca="1" si="1172"/>
        <v>0</v>
      </c>
      <c r="NA83" s="1319">
        <f t="shared" ca="1" si="1174"/>
        <v>0</v>
      </c>
      <c r="NB83" s="1319">
        <f t="shared" ca="1" si="1174"/>
        <v>0</v>
      </c>
      <c r="NC83" s="1319">
        <f t="shared" ca="1" si="1174"/>
        <v>0</v>
      </c>
      <c r="ND83" s="1319">
        <f t="shared" ca="1" si="1174"/>
        <v>0</v>
      </c>
      <c r="NE83" s="1319">
        <f t="shared" ca="1" si="1174"/>
        <v>0</v>
      </c>
      <c r="NF83" s="1319">
        <f t="shared" ca="1" si="1174"/>
        <v>0</v>
      </c>
      <c r="NG83" s="1319">
        <f t="shared" ca="1" si="1174"/>
        <v>0</v>
      </c>
      <c r="NH83" s="1319">
        <f t="shared" ca="1" si="1174"/>
        <v>0</v>
      </c>
      <c r="NI83" s="1319">
        <f t="shared" ca="1" si="1174"/>
        <v>0</v>
      </c>
      <c r="NJ83" s="1319">
        <f t="shared" ca="1" si="1174"/>
        <v>0</v>
      </c>
      <c r="NK83" s="1319">
        <f t="shared" ca="1" si="1174"/>
        <v>0</v>
      </c>
      <c r="NL83" s="1319">
        <f t="shared" ca="1" si="1174"/>
        <v>0</v>
      </c>
      <c r="NM83" s="1319">
        <f t="shared" ca="1" si="1174"/>
        <v>0</v>
      </c>
      <c r="NN83" s="1319">
        <f t="shared" ca="1" si="1174"/>
        <v>0</v>
      </c>
      <c r="NO83" s="1319">
        <f t="shared" ca="1" si="1174"/>
        <v>0</v>
      </c>
      <c r="NP83" s="1319">
        <f t="shared" ca="1" si="1174"/>
        <v>0</v>
      </c>
      <c r="OH83" s="1319">
        <f t="shared" ca="1" si="1175"/>
        <v>0</v>
      </c>
      <c r="OI83" s="1319">
        <f t="shared" ca="1" si="1175"/>
        <v>0</v>
      </c>
      <c r="OJ83" s="1319">
        <f t="shared" ca="1" si="1175"/>
        <v>0</v>
      </c>
      <c r="OK83" s="1319">
        <f t="shared" ca="1" si="1175"/>
        <v>0</v>
      </c>
      <c r="OL83" s="1319">
        <f t="shared" ca="1" si="1175"/>
        <v>0</v>
      </c>
      <c r="OM83" s="1319">
        <f t="shared" ca="1" si="1175"/>
        <v>0</v>
      </c>
      <c r="ON83" s="1319">
        <f t="shared" ca="1" si="1175"/>
        <v>0</v>
      </c>
      <c r="OO83" s="1319">
        <f t="shared" ca="1" si="1175"/>
        <v>0</v>
      </c>
      <c r="PA83" s="1319">
        <f t="shared" ca="1" si="1176"/>
        <v>0</v>
      </c>
      <c r="PB83" s="1319">
        <f t="shared" ca="1" si="1176"/>
        <v>0</v>
      </c>
      <c r="PC83" s="1319">
        <f t="shared" ca="1" si="1176"/>
        <v>0</v>
      </c>
      <c r="PD83" s="1319">
        <f t="shared" ca="1" si="1176"/>
        <v>0</v>
      </c>
      <c r="PE83" s="1319">
        <f t="shared" ca="1" si="1176"/>
        <v>0</v>
      </c>
      <c r="PF83" s="1319">
        <f t="shared" ca="1" si="1176"/>
        <v>0</v>
      </c>
      <c r="PG83" s="1319">
        <f t="shared" ca="1" si="1176"/>
        <v>0</v>
      </c>
      <c r="PH83" s="1319">
        <f t="shared" ca="1" si="1176"/>
        <v>0</v>
      </c>
      <c r="PI83" s="1319">
        <f t="shared" ca="1" si="1176"/>
        <v>0</v>
      </c>
      <c r="PJ83" s="1319">
        <f t="shared" ca="1" si="1176"/>
        <v>0</v>
      </c>
      <c r="PK83" s="1319">
        <f t="shared" ca="1" si="1176"/>
        <v>0</v>
      </c>
      <c r="PW83" s="1319">
        <f t="shared" ca="1" si="1177"/>
        <v>0</v>
      </c>
      <c r="PX83" s="1319">
        <f t="shared" ca="1" si="1177"/>
        <v>0</v>
      </c>
      <c r="PY83" s="1319">
        <f t="shared" ca="1" si="1177"/>
        <v>0</v>
      </c>
      <c r="PZ83" s="1319">
        <f t="shared" ca="1" si="1177"/>
        <v>0</v>
      </c>
    </row>
    <row r="84" spans="1:442" x14ac:dyDescent="0.25">
      <c r="A84" s="189">
        <v>45</v>
      </c>
      <c r="B84" s="189" t="s">
        <v>1256</v>
      </c>
      <c r="C84" s="1317" t="s">
        <v>1291</v>
      </c>
      <c r="D84" s="1317" t="s">
        <v>206</v>
      </c>
      <c r="J84" s="1319">
        <f t="shared" ca="1" si="1157"/>
        <v>0</v>
      </c>
      <c r="K84" s="1319">
        <f t="shared" ca="1" si="1180"/>
        <v>0</v>
      </c>
      <c r="T84" s="1319">
        <f t="shared" ca="1" si="1158"/>
        <v>0</v>
      </c>
      <c r="U84" s="1319">
        <f t="shared" ca="1" si="1158"/>
        <v>0</v>
      </c>
      <c r="V84" s="1319">
        <f t="shared" ca="1" si="1158"/>
        <v>0</v>
      </c>
      <c r="W84" s="1319">
        <f t="shared" ca="1" si="1158"/>
        <v>0</v>
      </c>
      <c r="X84" s="1319">
        <f t="shared" ca="1" si="1158"/>
        <v>0</v>
      </c>
      <c r="Y84" s="1319">
        <f t="shared" ca="1" si="1158"/>
        <v>0</v>
      </c>
      <c r="Z84" s="1319">
        <f t="shared" ca="1" si="1158"/>
        <v>0</v>
      </c>
      <c r="AA84" s="1319">
        <f t="shared" ca="1" si="1158"/>
        <v>0</v>
      </c>
      <c r="AB84" s="1319">
        <f t="shared" ca="1" si="1158"/>
        <v>0</v>
      </c>
      <c r="AC84" s="1319">
        <f t="shared" ca="1" si="1158"/>
        <v>0</v>
      </c>
      <c r="AD84" s="1319">
        <f t="shared" ca="1" si="1158"/>
        <v>0</v>
      </c>
      <c r="AM84" s="1319">
        <f t="shared" ca="1" si="1150"/>
        <v>0</v>
      </c>
      <c r="AN84" s="1319">
        <f t="shared" ca="1" si="1150"/>
        <v>0</v>
      </c>
      <c r="AO84" s="1319">
        <f t="shared" ca="1" si="1179"/>
        <v>0</v>
      </c>
      <c r="AP84" s="1319">
        <f t="shared" ca="1" si="1179"/>
        <v>0</v>
      </c>
      <c r="AQ84" s="1319">
        <f t="shared" ca="1" si="1179"/>
        <v>0</v>
      </c>
      <c r="AR84" s="1319">
        <f t="shared" ca="1" si="1179"/>
        <v>0</v>
      </c>
      <c r="AS84" s="1319">
        <f t="shared" ca="1" si="1179"/>
        <v>0</v>
      </c>
      <c r="AT84" s="1319">
        <f t="shared" ca="1" si="1150"/>
        <v>0</v>
      </c>
      <c r="AU84" s="1319">
        <f t="shared" ca="1" si="1150"/>
        <v>0</v>
      </c>
      <c r="AV84" s="1319">
        <f t="shared" ca="1" si="1150"/>
        <v>0</v>
      </c>
      <c r="AW84" s="1319">
        <f t="shared" ca="1" si="1150"/>
        <v>0</v>
      </c>
      <c r="AX84" s="1319">
        <f t="shared" ca="1" si="1150"/>
        <v>0</v>
      </c>
      <c r="AY84" s="1319">
        <f t="shared" ca="1" si="1150"/>
        <v>0</v>
      </c>
      <c r="AZ84" s="1319">
        <f t="shared" ca="1" si="1150"/>
        <v>0</v>
      </c>
      <c r="BA84" s="1319">
        <f t="shared" ca="1" si="1150"/>
        <v>0</v>
      </c>
      <c r="BB84" s="1319">
        <f t="shared" ca="1" si="1150"/>
        <v>0</v>
      </c>
      <c r="BN84" s="1319">
        <f t="shared" ca="1" si="1159"/>
        <v>0</v>
      </c>
      <c r="BO84" s="1319">
        <f t="shared" ca="1" si="1159"/>
        <v>0</v>
      </c>
      <c r="BP84" s="1319">
        <f t="shared" ca="1" si="1159"/>
        <v>0</v>
      </c>
      <c r="BQ84" s="1319">
        <f t="shared" ca="1" si="1159"/>
        <v>0</v>
      </c>
      <c r="BR84" s="1319">
        <f t="shared" ca="1" si="1159"/>
        <v>0</v>
      </c>
      <c r="CD84" s="1319">
        <f t="shared" ca="1" si="1160"/>
        <v>0</v>
      </c>
      <c r="CE84" s="1319">
        <f t="shared" ca="1" si="1160"/>
        <v>0</v>
      </c>
      <c r="CF84" s="1319">
        <f t="shared" ca="1" si="1160"/>
        <v>0</v>
      </c>
      <c r="CG84" s="1319">
        <f t="shared" ca="1" si="1160"/>
        <v>0</v>
      </c>
      <c r="CH84" s="1319">
        <f t="shared" ca="1" si="1160"/>
        <v>0</v>
      </c>
      <c r="CI84" s="1319">
        <f t="shared" ca="1" si="1160"/>
        <v>0</v>
      </c>
      <c r="CJ84" s="1319">
        <f t="shared" ca="1" si="1160"/>
        <v>0</v>
      </c>
      <c r="CK84" s="1319">
        <f t="shared" ca="1" si="1160"/>
        <v>0</v>
      </c>
      <c r="CL84" s="1319">
        <f t="shared" ca="1" si="1160"/>
        <v>0</v>
      </c>
      <c r="CM84" s="1319">
        <f t="shared" ca="1" si="1160"/>
        <v>0</v>
      </c>
      <c r="CN84" s="1319">
        <f t="shared" ca="1" si="1160"/>
        <v>0</v>
      </c>
      <c r="CO84" s="1319">
        <f t="shared" ca="1" si="1160"/>
        <v>0</v>
      </c>
      <c r="DA84" s="1319">
        <f t="shared" ca="1" si="1161"/>
        <v>0</v>
      </c>
      <c r="DB84" s="1319">
        <f t="shared" ca="1" si="1161"/>
        <v>0</v>
      </c>
      <c r="DC84" s="1319">
        <f t="shared" ca="1" si="1161"/>
        <v>0</v>
      </c>
      <c r="DD84" s="1319">
        <f t="shared" ca="1" si="1161"/>
        <v>0</v>
      </c>
      <c r="DE84" s="1319">
        <f t="shared" ca="1" si="1161"/>
        <v>0</v>
      </c>
      <c r="DF84" s="1319">
        <f t="shared" ca="1" si="1161"/>
        <v>0</v>
      </c>
      <c r="DG84" s="1319">
        <f t="shared" ca="1" si="1161"/>
        <v>0</v>
      </c>
      <c r="DH84" s="1319">
        <f t="shared" ca="1" si="1161"/>
        <v>0</v>
      </c>
      <c r="DI84" s="1319">
        <f t="shared" ca="1" si="1161"/>
        <v>0</v>
      </c>
      <c r="DJ84" s="1319">
        <f t="shared" ca="1" si="1161"/>
        <v>0</v>
      </c>
      <c r="DV84" s="1319">
        <f t="shared" ca="1" si="1162"/>
        <v>0</v>
      </c>
      <c r="DW84" s="1319">
        <f t="shared" ca="1" si="1162"/>
        <v>0</v>
      </c>
      <c r="DX84" s="1319">
        <f t="shared" ca="1" si="1162"/>
        <v>0</v>
      </c>
      <c r="DY84" s="1319">
        <f t="shared" ca="1" si="1162"/>
        <v>0</v>
      </c>
      <c r="DZ84" s="1319">
        <f t="shared" ca="1" si="1162"/>
        <v>0</v>
      </c>
      <c r="EA84" s="1319">
        <f t="shared" ca="1" si="1162"/>
        <v>0</v>
      </c>
      <c r="EB84" s="1319">
        <f t="shared" ca="1" si="1162"/>
        <v>0</v>
      </c>
      <c r="EC84" s="1319">
        <f t="shared" ca="1" si="1162"/>
        <v>0</v>
      </c>
      <c r="ED84" s="1319">
        <f t="shared" ca="1" si="1162"/>
        <v>0</v>
      </c>
      <c r="EE84" s="1319">
        <f t="shared" ca="1" si="1162"/>
        <v>0</v>
      </c>
      <c r="EF84" s="1319">
        <f t="shared" ca="1" si="1162"/>
        <v>0</v>
      </c>
      <c r="EG84" s="1319">
        <f t="shared" ca="1" si="1162"/>
        <v>0</v>
      </c>
      <c r="EH84" s="1319">
        <f t="shared" ca="1" si="1162"/>
        <v>0</v>
      </c>
      <c r="EI84" s="1319">
        <f t="shared" ca="1" si="1162"/>
        <v>0</v>
      </c>
      <c r="EJ84" s="1319">
        <f t="shared" ca="1" si="1101"/>
        <v>0</v>
      </c>
      <c r="EK84" s="1319">
        <f t="shared" ca="1" si="1162"/>
        <v>0</v>
      </c>
      <c r="EW84" s="1319">
        <f t="shared" ca="1" si="1163"/>
        <v>0</v>
      </c>
      <c r="EX84" s="1319">
        <f t="shared" ca="1" si="1163"/>
        <v>0</v>
      </c>
      <c r="EY84" s="1319">
        <f t="shared" ca="1" si="1163"/>
        <v>0</v>
      </c>
      <c r="EZ84" s="1319">
        <f t="shared" ca="1" si="1163"/>
        <v>0</v>
      </c>
      <c r="FA84" s="1319">
        <f t="shared" ca="1" si="1163"/>
        <v>0</v>
      </c>
      <c r="FB84" s="1319">
        <f t="shared" ca="1" si="1163"/>
        <v>0</v>
      </c>
      <c r="FN84" s="1319">
        <f t="shared" ca="1" si="1164"/>
        <v>0</v>
      </c>
      <c r="FO84" s="1319">
        <f t="shared" ca="1" si="1164"/>
        <v>0</v>
      </c>
      <c r="FP84" s="1319">
        <f t="shared" ca="1" si="1164"/>
        <v>0</v>
      </c>
      <c r="FQ84" s="1319">
        <f t="shared" ca="1" si="1164"/>
        <v>0</v>
      </c>
      <c r="FR84" s="1319">
        <f t="shared" ca="1" si="1164"/>
        <v>0</v>
      </c>
      <c r="FS84" s="1319">
        <f t="shared" ca="1" si="1164"/>
        <v>0</v>
      </c>
      <c r="FT84" s="1319">
        <f t="shared" ca="1" si="1164"/>
        <v>0</v>
      </c>
      <c r="FU84" s="1319">
        <f t="shared" ca="1" si="1164"/>
        <v>0</v>
      </c>
      <c r="FV84" s="1319">
        <f t="shared" ca="1" si="1164"/>
        <v>0</v>
      </c>
      <c r="FW84" s="1319">
        <f t="shared" ca="1" si="1164"/>
        <v>0</v>
      </c>
      <c r="FX84" s="1319">
        <f t="shared" ca="1" si="1164"/>
        <v>0</v>
      </c>
      <c r="GJ84" s="1319">
        <f t="shared" ca="1" si="1165"/>
        <v>0</v>
      </c>
      <c r="GK84" s="1319">
        <f t="shared" ca="1" si="1165"/>
        <v>0</v>
      </c>
      <c r="GL84" s="1319">
        <f t="shared" ca="1" si="1165"/>
        <v>0</v>
      </c>
      <c r="GM84" s="1319">
        <f t="shared" ca="1" si="1165"/>
        <v>0</v>
      </c>
      <c r="GN84" s="1319">
        <f t="shared" ca="1" si="1165"/>
        <v>0</v>
      </c>
      <c r="GO84" s="1319">
        <f t="shared" ca="1" si="1165"/>
        <v>0</v>
      </c>
      <c r="GP84" s="1319">
        <f t="shared" ca="1" si="1165"/>
        <v>0</v>
      </c>
      <c r="GQ84" s="1319">
        <f t="shared" ca="1" si="1165"/>
        <v>0</v>
      </c>
      <c r="HC84" s="1319">
        <f t="shared" ca="1" si="1166"/>
        <v>0</v>
      </c>
      <c r="HD84" s="1319">
        <f t="shared" ca="1" si="1166"/>
        <v>0</v>
      </c>
      <c r="HE84" s="1319">
        <f t="shared" ca="1" si="1166"/>
        <v>0</v>
      </c>
      <c r="HF84" s="1319">
        <f t="shared" ca="1" si="1166"/>
        <v>0</v>
      </c>
      <c r="HG84" s="1319">
        <f t="shared" ca="1" si="1166"/>
        <v>0</v>
      </c>
      <c r="HH84" s="1319">
        <f t="shared" ca="1" si="1166"/>
        <v>0</v>
      </c>
      <c r="HT84" s="1319">
        <f t="shared" ca="1" si="1167"/>
        <v>0</v>
      </c>
      <c r="HU84" s="1319">
        <f t="shared" ca="1" si="1167"/>
        <v>0</v>
      </c>
      <c r="HV84" s="1319">
        <f t="shared" ca="1" si="1167"/>
        <v>0</v>
      </c>
      <c r="HW84" s="1319">
        <f t="shared" ca="1" si="1167"/>
        <v>0</v>
      </c>
      <c r="HX84" s="1319">
        <f t="shared" ca="1" si="1167"/>
        <v>3.0798384599999999</v>
      </c>
      <c r="HY84" s="1319">
        <f t="shared" ca="1" si="1167"/>
        <v>0.234203939</v>
      </c>
      <c r="HZ84" s="1319">
        <f t="shared" ca="1" si="1167"/>
        <v>5378.3972999999996</v>
      </c>
      <c r="IA84" s="1319">
        <f t="shared" ca="1" si="1167"/>
        <v>2.1373519099999999E-4</v>
      </c>
      <c r="IB84" s="1319">
        <f t="shared" ca="1" si="1167"/>
        <v>0</v>
      </c>
      <c r="IC84" s="1319">
        <f t="shared" ca="1" si="1167"/>
        <v>0</v>
      </c>
      <c r="ID84" s="1319">
        <f t="shared" ca="1" si="1167"/>
        <v>0</v>
      </c>
      <c r="IE84" s="1319">
        <f t="shared" ca="1" si="1167"/>
        <v>0</v>
      </c>
      <c r="IQ84" s="1319">
        <f t="shared" ca="1" si="1168"/>
        <v>3.0798384599999999</v>
      </c>
      <c r="IR84" s="1319">
        <f t="shared" ca="1" si="1168"/>
        <v>0.234203939</v>
      </c>
      <c r="IS84" s="1319">
        <f t="shared" ca="1" si="1168"/>
        <v>5.3028122700000003E-5</v>
      </c>
      <c r="IT84" s="1319">
        <f t="shared" ca="1" si="1168"/>
        <v>0.23425696700000001</v>
      </c>
      <c r="IU84" s="1319">
        <f t="shared" ca="1" si="1108"/>
        <v>0.21863121399999999</v>
      </c>
      <c r="IV84" s="1319">
        <f t="shared" ca="1" si="1168"/>
        <v>1.55442589E-3</v>
      </c>
      <c r="IW84" s="1319">
        <f t="shared" ca="1" si="1168"/>
        <v>1.27267495E-3</v>
      </c>
      <c r="IX84" s="1319">
        <f t="shared" ca="1" si="1109"/>
        <v>3.2981879200000002</v>
      </c>
      <c r="IY84" s="1319">
        <f t="shared" ca="1" si="1168"/>
        <v>1.56257536E-2</v>
      </c>
      <c r="IZ84" s="1319">
        <f t="shared" ca="1" si="1168"/>
        <v>2.2872823100000001E-4</v>
      </c>
      <c r="JA84" s="1319">
        <f t="shared" ca="1" si="1168"/>
        <v>1.3257030700000001E-3</v>
      </c>
      <c r="JB84" s="1319">
        <f t="shared" ca="1" si="1168"/>
        <v>0</v>
      </c>
      <c r="JC84" s="1319">
        <f t="shared" ca="1" si="1168"/>
        <v>1.49930392E-5</v>
      </c>
      <c r="JD84" s="1319">
        <f t="shared" ca="1" si="1168"/>
        <v>0</v>
      </c>
      <c r="JE84" s="1319">
        <f t="shared" ca="1" si="1168"/>
        <v>2.2872823100000001E-4</v>
      </c>
      <c r="JF84" s="1319">
        <f t="shared" ca="1" si="1168"/>
        <v>0</v>
      </c>
      <c r="JG84" s="1319">
        <f t="shared" ca="1" si="1168"/>
        <v>0</v>
      </c>
      <c r="JH84" s="1319">
        <f t="shared" ca="1" si="1168"/>
        <v>2.1373519099999999E-4</v>
      </c>
      <c r="JT84" s="1319">
        <f t="shared" ca="1" si="1169"/>
        <v>0</v>
      </c>
      <c r="JU84" s="1319">
        <f t="shared" ca="1" si="1169"/>
        <v>0</v>
      </c>
      <c r="JV84" s="1319">
        <f t="shared" ca="1" si="1169"/>
        <v>0</v>
      </c>
      <c r="JW84" s="1319">
        <f t="shared" ca="1" si="1169"/>
        <v>0</v>
      </c>
      <c r="JX84" s="1319">
        <f t="shared" ca="1" si="1169"/>
        <v>0</v>
      </c>
      <c r="JY84" s="1319">
        <f t="shared" ca="1" si="1169"/>
        <v>0</v>
      </c>
      <c r="JZ84" s="1319">
        <f t="shared" ca="1" si="1169"/>
        <v>0</v>
      </c>
      <c r="KA84" s="1319">
        <f t="shared" ca="1" si="1169"/>
        <v>0</v>
      </c>
      <c r="KB84" s="1319">
        <f t="shared" ca="1" si="1169"/>
        <v>0</v>
      </c>
      <c r="KC84" s="1319">
        <f t="shared" ca="1" si="1169"/>
        <v>0</v>
      </c>
      <c r="KL84" s="1319">
        <f t="shared" ca="1" si="1170"/>
        <v>0</v>
      </c>
      <c r="KM84" s="1319">
        <f t="shared" ca="1" si="1170"/>
        <v>0</v>
      </c>
      <c r="KN84" s="1319">
        <f t="shared" ca="1" si="1170"/>
        <v>0</v>
      </c>
      <c r="KO84" s="1319">
        <f t="shared" ca="1" si="1170"/>
        <v>0</v>
      </c>
      <c r="KP84" s="1319">
        <f t="shared" ca="1" si="1170"/>
        <v>0</v>
      </c>
      <c r="KQ84" s="1319">
        <f t="shared" ca="1" si="1170"/>
        <v>0</v>
      </c>
      <c r="KR84" s="1319">
        <f t="shared" ca="1" si="1170"/>
        <v>0</v>
      </c>
      <c r="LA84" s="1319">
        <f t="shared" ca="1" si="1171"/>
        <v>0</v>
      </c>
      <c r="LB84" s="1319">
        <f t="shared" ca="1" si="1171"/>
        <v>5378.3972999999996</v>
      </c>
      <c r="LC84" s="1319">
        <f t="shared" ca="1" si="1171"/>
        <v>5378.3972999999996</v>
      </c>
      <c r="LD84" s="1319">
        <f t="shared" ca="1" si="1171"/>
        <v>5378.3972999999996</v>
      </c>
      <c r="LE84" s="1319">
        <f t="shared" ca="1" si="1171"/>
        <v>0</v>
      </c>
      <c r="LF84" s="1319">
        <f t="shared" ca="1" si="1171"/>
        <v>0</v>
      </c>
      <c r="LG84" s="1319">
        <f t="shared" ca="1" si="1171"/>
        <v>0</v>
      </c>
      <c r="LH84" s="1319">
        <f t="shared" ca="1" si="1171"/>
        <v>0</v>
      </c>
      <c r="LI84" s="1319">
        <f t="shared" ca="1" si="1171"/>
        <v>0</v>
      </c>
      <c r="LJ84" s="1319">
        <f t="shared" ca="1" si="1171"/>
        <v>0</v>
      </c>
      <c r="LK84" s="1319">
        <f t="shared" ca="1" si="1171"/>
        <v>0</v>
      </c>
      <c r="LW84" s="1319">
        <f t="shared" ca="1" si="1113"/>
        <v>0</v>
      </c>
      <c r="LX84" s="1319">
        <f t="shared" ca="1" si="1172"/>
        <v>0</v>
      </c>
      <c r="LY84" s="1319">
        <f t="shared" ca="1" si="1172"/>
        <v>0</v>
      </c>
      <c r="LZ84" s="1319">
        <f t="shared" ca="1" si="1172"/>
        <v>1.56257536E-2</v>
      </c>
      <c r="MA84" s="1319">
        <f t="shared" ca="1" si="1172"/>
        <v>1.56258536E-2</v>
      </c>
      <c r="MB84" s="1319">
        <f t="shared" ca="1" si="1172"/>
        <v>5378.3972999999996</v>
      </c>
      <c r="MC84" s="1319">
        <f t="shared" ca="1" si="1172"/>
        <v>0</v>
      </c>
      <c r="MD84" s="1319">
        <f t="shared" ca="1" si="1172"/>
        <v>0</v>
      </c>
      <c r="ME84" s="1319">
        <f t="shared" ca="1" si="1172"/>
        <v>0</v>
      </c>
      <c r="MF84" s="1319">
        <f t="shared" ca="1" si="1172"/>
        <v>0</v>
      </c>
      <c r="MG84" s="1319">
        <f t="shared" ca="1" si="1172"/>
        <v>0</v>
      </c>
      <c r="MH84" s="1319">
        <f t="shared" ca="1" si="1173"/>
        <v>0</v>
      </c>
      <c r="MI84" s="1319">
        <f t="shared" ca="1" si="1173"/>
        <v>0</v>
      </c>
      <c r="MJ84" s="1319">
        <f t="shared" ca="1" si="1172"/>
        <v>0</v>
      </c>
      <c r="MK84" s="1319">
        <f t="shared" ca="1" si="1172"/>
        <v>0</v>
      </c>
      <c r="ML84" s="1319">
        <f t="shared" ca="1" si="1172"/>
        <v>0</v>
      </c>
      <c r="MM84" s="1319">
        <f t="shared" ca="1" si="1172"/>
        <v>0</v>
      </c>
      <c r="MN84" s="1319">
        <f t="shared" ca="1" si="1172"/>
        <v>0</v>
      </c>
      <c r="MO84" s="1319">
        <f t="shared" ca="1" si="1172"/>
        <v>9.9999999999999995E-8</v>
      </c>
      <c r="NA84" s="1319">
        <f t="shared" ca="1" si="1174"/>
        <v>0</v>
      </c>
      <c r="NB84" s="1319">
        <f t="shared" ca="1" si="1174"/>
        <v>0</v>
      </c>
      <c r="NC84" s="1319">
        <f t="shared" ca="1" si="1174"/>
        <v>0</v>
      </c>
      <c r="ND84" s="1319">
        <f t="shared" ca="1" si="1174"/>
        <v>0</v>
      </c>
      <c r="NE84" s="1319">
        <f t="shared" ca="1" si="1174"/>
        <v>0</v>
      </c>
      <c r="NF84" s="1319">
        <f t="shared" ca="1" si="1174"/>
        <v>0</v>
      </c>
      <c r="NG84" s="1319">
        <f t="shared" ca="1" si="1174"/>
        <v>0</v>
      </c>
      <c r="NH84" s="1319">
        <f t="shared" ca="1" si="1174"/>
        <v>0</v>
      </c>
      <c r="NI84" s="1319">
        <f t="shared" ca="1" si="1174"/>
        <v>0</v>
      </c>
      <c r="NJ84" s="1319">
        <f t="shared" ca="1" si="1174"/>
        <v>0</v>
      </c>
      <c r="NK84" s="1319">
        <f t="shared" ca="1" si="1174"/>
        <v>0</v>
      </c>
      <c r="NL84" s="1319">
        <f t="shared" ca="1" si="1174"/>
        <v>0</v>
      </c>
      <c r="NM84" s="1319">
        <f t="shared" ca="1" si="1174"/>
        <v>0</v>
      </c>
      <c r="NN84" s="1319">
        <f t="shared" ca="1" si="1174"/>
        <v>0</v>
      </c>
      <c r="NO84" s="1319">
        <f t="shared" ca="1" si="1174"/>
        <v>0</v>
      </c>
      <c r="NP84" s="1319">
        <f t="shared" ca="1" si="1174"/>
        <v>0</v>
      </c>
      <c r="OH84" s="1319">
        <f t="shared" ca="1" si="1175"/>
        <v>0</v>
      </c>
      <c r="OI84" s="1319">
        <f t="shared" ca="1" si="1175"/>
        <v>0</v>
      </c>
      <c r="OJ84" s="1319">
        <f t="shared" ca="1" si="1175"/>
        <v>0</v>
      </c>
      <c r="OK84" s="1319">
        <f t="shared" ca="1" si="1175"/>
        <v>0</v>
      </c>
      <c r="OL84" s="1319">
        <f t="shared" ca="1" si="1175"/>
        <v>0</v>
      </c>
      <c r="OM84" s="1319">
        <f t="shared" ca="1" si="1175"/>
        <v>0</v>
      </c>
      <c r="ON84" s="1319">
        <f t="shared" ca="1" si="1175"/>
        <v>0</v>
      </c>
      <c r="OO84" s="1319">
        <f t="shared" ca="1" si="1175"/>
        <v>0</v>
      </c>
      <c r="PA84" s="1319">
        <f t="shared" ca="1" si="1176"/>
        <v>0</v>
      </c>
      <c r="PB84" s="1319">
        <f t="shared" ca="1" si="1176"/>
        <v>0</v>
      </c>
      <c r="PC84" s="1319">
        <f t="shared" ca="1" si="1176"/>
        <v>0</v>
      </c>
      <c r="PD84" s="1319">
        <f t="shared" ca="1" si="1176"/>
        <v>0</v>
      </c>
      <c r="PE84" s="1319">
        <f t="shared" ca="1" si="1176"/>
        <v>0</v>
      </c>
      <c r="PF84" s="1319">
        <f t="shared" ca="1" si="1176"/>
        <v>0</v>
      </c>
      <c r="PG84" s="1319">
        <f t="shared" ca="1" si="1176"/>
        <v>0</v>
      </c>
      <c r="PH84" s="1319">
        <f t="shared" ca="1" si="1176"/>
        <v>0</v>
      </c>
      <c r="PI84" s="1319">
        <f t="shared" ca="1" si="1176"/>
        <v>0</v>
      </c>
      <c r="PJ84" s="1319">
        <f t="shared" ca="1" si="1176"/>
        <v>0</v>
      </c>
      <c r="PK84" s="1319">
        <f t="shared" ca="1" si="1176"/>
        <v>0</v>
      </c>
      <c r="PW84" s="1319">
        <f t="shared" ca="1" si="1177"/>
        <v>0</v>
      </c>
      <c r="PX84" s="1319">
        <f t="shared" ca="1" si="1177"/>
        <v>0</v>
      </c>
      <c r="PY84" s="1319">
        <f t="shared" ca="1" si="1177"/>
        <v>0</v>
      </c>
      <c r="PZ84" s="1319">
        <f t="shared" ca="1" si="1177"/>
        <v>0</v>
      </c>
    </row>
    <row r="85" spans="1:442" x14ac:dyDescent="0.25">
      <c r="A85" s="189">
        <v>46</v>
      </c>
      <c r="B85" s="189" t="s">
        <v>1256</v>
      </c>
      <c r="C85" s="1317" t="s">
        <v>1306</v>
      </c>
      <c r="D85" s="1317" t="s">
        <v>206</v>
      </c>
      <c r="J85" s="1319">
        <f t="shared" ca="1" si="1157"/>
        <v>0</v>
      </c>
      <c r="K85" s="1319">
        <f t="shared" ca="1" si="1180"/>
        <v>0</v>
      </c>
      <c r="T85" s="1319">
        <f t="shared" ca="1" si="1158"/>
        <v>0</v>
      </c>
      <c r="U85" s="1319">
        <f t="shared" ca="1" si="1158"/>
        <v>0</v>
      </c>
      <c r="V85" s="1319">
        <f t="shared" ca="1" si="1158"/>
        <v>0</v>
      </c>
      <c r="W85" s="1319">
        <f t="shared" ca="1" si="1158"/>
        <v>0</v>
      </c>
      <c r="X85" s="1319">
        <f t="shared" ca="1" si="1158"/>
        <v>0</v>
      </c>
      <c r="Y85" s="1319">
        <f t="shared" ca="1" si="1158"/>
        <v>0</v>
      </c>
      <c r="Z85" s="1319">
        <f t="shared" ca="1" si="1158"/>
        <v>0</v>
      </c>
      <c r="AA85" s="1319">
        <f t="shared" ca="1" si="1158"/>
        <v>0</v>
      </c>
      <c r="AB85" s="1319">
        <f t="shared" ca="1" si="1158"/>
        <v>0</v>
      </c>
      <c r="AC85" s="1319">
        <f t="shared" ca="1" si="1158"/>
        <v>0</v>
      </c>
      <c r="AD85" s="1319">
        <f t="shared" ca="1" si="1158"/>
        <v>0</v>
      </c>
      <c r="AM85" s="1319">
        <f t="shared" ca="1" si="1150"/>
        <v>0</v>
      </c>
      <c r="AN85" s="1319">
        <f t="shared" ca="1" si="1150"/>
        <v>0</v>
      </c>
      <c r="AO85" s="1319">
        <f t="shared" ca="1" si="1179"/>
        <v>0</v>
      </c>
      <c r="AP85" s="1319">
        <f t="shared" ca="1" si="1179"/>
        <v>0</v>
      </c>
      <c r="AQ85" s="1319">
        <f t="shared" ca="1" si="1179"/>
        <v>0</v>
      </c>
      <c r="AR85" s="1319">
        <f t="shared" ca="1" si="1179"/>
        <v>0</v>
      </c>
      <c r="AS85" s="1319">
        <f t="shared" ca="1" si="1179"/>
        <v>0</v>
      </c>
      <c r="AT85" s="1319">
        <f t="shared" ca="1" si="1150"/>
        <v>0</v>
      </c>
      <c r="AU85" s="1319">
        <f t="shared" ca="1" si="1150"/>
        <v>0</v>
      </c>
      <c r="AV85" s="1319">
        <f t="shared" ca="1" si="1150"/>
        <v>0</v>
      </c>
      <c r="AW85" s="1319">
        <f t="shared" ca="1" si="1150"/>
        <v>0</v>
      </c>
      <c r="AX85" s="1319">
        <f t="shared" ca="1" si="1150"/>
        <v>0</v>
      </c>
      <c r="AY85" s="1319">
        <f t="shared" ca="1" si="1150"/>
        <v>0</v>
      </c>
      <c r="AZ85" s="1319">
        <f t="shared" ca="1" si="1150"/>
        <v>0</v>
      </c>
      <c r="BA85" s="1319">
        <f t="shared" ca="1" si="1150"/>
        <v>0</v>
      </c>
      <c r="BB85" s="1319">
        <f t="shared" ca="1" si="1150"/>
        <v>0</v>
      </c>
      <c r="BN85" s="1319">
        <f t="shared" ca="1" si="1159"/>
        <v>0</v>
      </c>
      <c r="BO85" s="1319">
        <f t="shared" ca="1" si="1159"/>
        <v>0</v>
      </c>
      <c r="BP85" s="1319">
        <f t="shared" ca="1" si="1159"/>
        <v>0</v>
      </c>
      <c r="BQ85" s="1319">
        <f t="shared" ca="1" si="1159"/>
        <v>0</v>
      </c>
      <c r="BR85" s="1319">
        <f t="shared" ca="1" si="1159"/>
        <v>0</v>
      </c>
      <c r="CD85" s="1319">
        <f t="shared" ca="1" si="1160"/>
        <v>0</v>
      </c>
      <c r="CE85" s="1319">
        <f t="shared" ca="1" si="1160"/>
        <v>0</v>
      </c>
      <c r="CF85" s="1319">
        <f t="shared" ca="1" si="1160"/>
        <v>0</v>
      </c>
      <c r="CG85" s="1319">
        <f t="shared" ca="1" si="1160"/>
        <v>0</v>
      </c>
      <c r="CH85" s="1319">
        <f t="shared" ca="1" si="1160"/>
        <v>0</v>
      </c>
      <c r="CI85" s="1319">
        <f t="shared" ca="1" si="1160"/>
        <v>0</v>
      </c>
      <c r="CJ85" s="1319">
        <f t="shared" ca="1" si="1160"/>
        <v>0</v>
      </c>
      <c r="CK85" s="1319">
        <f t="shared" ca="1" si="1160"/>
        <v>0</v>
      </c>
      <c r="CL85" s="1319">
        <f t="shared" ca="1" si="1160"/>
        <v>0</v>
      </c>
      <c r="CM85" s="1319">
        <f t="shared" ca="1" si="1160"/>
        <v>0</v>
      </c>
      <c r="CN85" s="1319">
        <f t="shared" ca="1" si="1160"/>
        <v>0</v>
      </c>
      <c r="CO85" s="1319">
        <f t="shared" ca="1" si="1160"/>
        <v>0</v>
      </c>
      <c r="DA85" s="1319">
        <f t="shared" ca="1" si="1161"/>
        <v>0</v>
      </c>
      <c r="DB85" s="1319">
        <f t="shared" ca="1" si="1161"/>
        <v>0</v>
      </c>
      <c r="DC85" s="1319">
        <f t="shared" ca="1" si="1161"/>
        <v>0</v>
      </c>
      <c r="DD85" s="1319">
        <f t="shared" ca="1" si="1161"/>
        <v>0</v>
      </c>
      <c r="DE85" s="1319">
        <f t="shared" ca="1" si="1161"/>
        <v>0</v>
      </c>
      <c r="DF85" s="1319">
        <f t="shared" ca="1" si="1161"/>
        <v>0</v>
      </c>
      <c r="DG85" s="1319">
        <f t="shared" ca="1" si="1161"/>
        <v>0</v>
      </c>
      <c r="DH85" s="1319">
        <f t="shared" ca="1" si="1161"/>
        <v>0</v>
      </c>
      <c r="DI85" s="1319">
        <f t="shared" ca="1" si="1161"/>
        <v>0</v>
      </c>
      <c r="DJ85" s="1319">
        <f t="shared" ca="1" si="1161"/>
        <v>0</v>
      </c>
      <c r="DV85" s="1319">
        <f t="shared" ca="1" si="1162"/>
        <v>0</v>
      </c>
      <c r="DW85" s="1319">
        <f t="shared" ca="1" si="1162"/>
        <v>0</v>
      </c>
      <c r="DX85" s="1319">
        <f t="shared" ca="1" si="1162"/>
        <v>0</v>
      </c>
      <c r="DY85" s="1319">
        <f t="shared" ca="1" si="1162"/>
        <v>0</v>
      </c>
      <c r="DZ85" s="1319">
        <f t="shared" ca="1" si="1162"/>
        <v>0</v>
      </c>
      <c r="EA85" s="1319">
        <f t="shared" ca="1" si="1162"/>
        <v>0</v>
      </c>
      <c r="EB85" s="1319">
        <f t="shared" ca="1" si="1162"/>
        <v>0</v>
      </c>
      <c r="EC85" s="1319">
        <f t="shared" ca="1" si="1162"/>
        <v>0</v>
      </c>
      <c r="ED85" s="1319">
        <f t="shared" ca="1" si="1162"/>
        <v>0</v>
      </c>
      <c r="EE85" s="1319">
        <f t="shared" ca="1" si="1162"/>
        <v>0</v>
      </c>
      <c r="EF85" s="1319">
        <f t="shared" ca="1" si="1162"/>
        <v>0</v>
      </c>
      <c r="EG85" s="1319">
        <f t="shared" ca="1" si="1162"/>
        <v>0</v>
      </c>
      <c r="EH85" s="1319">
        <f t="shared" ca="1" si="1162"/>
        <v>0</v>
      </c>
      <c r="EI85" s="1319">
        <f t="shared" ca="1" si="1162"/>
        <v>0</v>
      </c>
      <c r="EJ85" s="1319">
        <f t="shared" ca="1" si="1101"/>
        <v>0</v>
      </c>
      <c r="EK85" s="1319">
        <f t="shared" ca="1" si="1162"/>
        <v>0</v>
      </c>
      <c r="EW85" s="1319">
        <f t="shared" ca="1" si="1163"/>
        <v>0</v>
      </c>
      <c r="EX85" s="1319">
        <f t="shared" ca="1" si="1163"/>
        <v>0</v>
      </c>
      <c r="EY85" s="1319">
        <f t="shared" ca="1" si="1163"/>
        <v>0</v>
      </c>
      <c r="EZ85" s="1319">
        <f t="shared" ca="1" si="1163"/>
        <v>0</v>
      </c>
      <c r="FA85" s="1319">
        <f t="shared" ca="1" si="1163"/>
        <v>0</v>
      </c>
      <c r="FB85" s="1319">
        <f t="shared" ca="1" si="1163"/>
        <v>0</v>
      </c>
      <c r="FN85" s="1319">
        <f t="shared" ca="1" si="1164"/>
        <v>0</v>
      </c>
      <c r="FO85" s="1319">
        <f t="shared" ca="1" si="1164"/>
        <v>0</v>
      </c>
      <c r="FP85" s="1319">
        <f t="shared" ca="1" si="1164"/>
        <v>0</v>
      </c>
      <c r="FQ85" s="1319">
        <f t="shared" ca="1" si="1164"/>
        <v>0</v>
      </c>
      <c r="FR85" s="1319">
        <f t="shared" ca="1" si="1164"/>
        <v>0</v>
      </c>
      <c r="FS85" s="1319">
        <f t="shared" ca="1" si="1164"/>
        <v>0</v>
      </c>
      <c r="FT85" s="1319">
        <f t="shared" ca="1" si="1164"/>
        <v>0</v>
      </c>
      <c r="FU85" s="1319">
        <f t="shared" ca="1" si="1164"/>
        <v>0</v>
      </c>
      <c r="FV85" s="1319">
        <f t="shared" ca="1" si="1164"/>
        <v>0</v>
      </c>
      <c r="FW85" s="1319">
        <f t="shared" ca="1" si="1164"/>
        <v>0</v>
      </c>
      <c r="FX85" s="1319">
        <f t="shared" ca="1" si="1164"/>
        <v>0</v>
      </c>
      <c r="GJ85" s="1319">
        <f t="shared" ca="1" si="1165"/>
        <v>0</v>
      </c>
      <c r="GK85" s="1319">
        <f t="shared" ca="1" si="1165"/>
        <v>0</v>
      </c>
      <c r="GL85" s="1319">
        <f t="shared" ca="1" si="1165"/>
        <v>0</v>
      </c>
      <c r="GM85" s="1319">
        <f t="shared" ca="1" si="1165"/>
        <v>0</v>
      </c>
      <c r="GN85" s="1319">
        <f t="shared" ca="1" si="1165"/>
        <v>0</v>
      </c>
      <c r="GO85" s="1319">
        <f t="shared" ca="1" si="1165"/>
        <v>0</v>
      </c>
      <c r="GP85" s="1319">
        <f t="shared" ca="1" si="1165"/>
        <v>0</v>
      </c>
      <c r="GQ85" s="1319">
        <f t="shared" ca="1" si="1165"/>
        <v>0</v>
      </c>
      <c r="HC85" s="1319">
        <f t="shared" ca="1" si="1166"/>
        <v>0</v>
      </c>
      <c r="HD85" s="1319">
        <f t="shared" ca="1" si="1166"/>
        <v>0</v>
      </c>
      <c r="HE85" s="1319">
        <f t="shared" ca="1" si="1166"/>
        <v>0</v>
      </c>
      <c r="HF85" s="1319">
        <f t="shared" ca="1" si="1166"/>
        <v>0</v>
      </c>
      <c r="HG85" s="1319">
        <f t="shared" ca="1" si="1166"/>
        <v>0</v>
      </c>
      <c r="HH85" s="1319">
        <f t="shared" ca="1" si="1166"/>
        <v>0</v>
      </c>
      <c r="HT85" s="1319">
        <f t="shared" ca="1" si="1167"/>
        <v>0</v>
      </c>
      <c r="HU85" s="1319">
        <f t="shared" ca="1" si="1167"/>
        <v>0</v>
      </c>
      <c r="HV85" s="1319">
        <f t="shared" ca="1" si="1167"/>
        <v>0</v>
      </c>
      <c r="HW85" s="1319">
        <f t="shared" ca="1" si="1167"/>
        <v>0</v>
      </c>
      <c r="HX85" s="1319">
        <f t="shared" ca="1" si="1167"/>
        <v>300.070109</v>
      </c>
      <c r="HY85" s="1319">
        <f t="shared" ca="1" si="1167"/>
        <v>22.818599899999999</v>
      </c>
      <c r="HZ85" s="1319">
        <f t="shared" ca="1" si="1167"/>
        <v>285.346923</v>
      </c>
      <c r="IA85" s="1319">
        <f t="shared" ca="1" si="1167"/>
        <v>0.55403606800000005</v>
      </c>
      <c r="IB85" s="1319">
        <f t="shared" ca="1" si="1167"/>
        <v>0</v>
      </c>
      <c r="IC85" s="1319">
        <f t="shared" ca="1" si="1167"/>
        <v>0</v>
      </c>
      <c r="ID85" s="1319">
        <f t="shared" ca="1" si="1167"/>
        <v>0</v>
      </c>
      <c r="IE85" s="1319">
        <f t="shared" ca="1" si="1167"/>
        <v>0</v>
      </c>
      <c r="IQ85" s="1319">
        <f t="shared" ca="1" si="1168"/>
        <v>300.070109</v>
      </c>
      <c r="IR85" s="1319">
        <f t="shared" ca="1" si="1168"/>
        <v>22.818599899999999</v>
      </c>
      <c r="IS85" s="1319">
        <f t="shared" ca="1" si="1168"/>
        <v>9.0262825499999995</v>
      </c>
      <c r="IT85" s="1319">
        <f t="shared" ca="1" si="1168"/>
        <v>31.844882500000001</v>
      </c>
      <c r="IU85" s="1319">
        <f t="shared" ca="1" si="1108"/>
        <v>29.7207182</v>
      </c>
      <c r="IV85" s="1319">
        <f t="shared" ca="1" si="1168"/>
        <v>264.58977700000003</v>
      </c>
      <c r="IW85" s="1319">
        <f t="shared" ca="1" si="1168"/>
        <v>216.63078100000001</v>
      </c>
      <c r="IX85" s="1319">
        <f t="shared" ca="1" si="1109"/>
        <v>281.83183100000002</v>
      </c>
      <c r="IY85" s="1319">
        <f t="shared" ca="1" si="1168"/>
        <v>2.1241642999999999</v>
      </c>
      <c r="IZ85" s="1319">
        <f t="shared" ca="1" si="1168"/>
        <v>38.933442800000002</v>
      </c>
      <c r="JA85" s="1319">
        <f t="shared" ca="1" si="1168"/>
        <v>225.65706399999996</v>
      </c>
      <c r="JB85" s="1319">
        <f t="shared" ca="1" si="1168"/>
        <v>0</v>
      </c>
      <c r="JC85" s="1319">
        <f t="shared" ca="1" si="1168"/>
        <v>38.379406699999997</v>
      </c>
      <c r="JD85" s="1319">
        <f t="shared" ca="1" si="1168"/>
        <v>0</v>
      </c>
      <c r="JE85" s="1319">
        <f t="shared" ca="1" si="1168"/>
        <v>38.933442800000002</v>
      </c>
      <c r="JF85" s="1319">
        <f t="shared" ca="1" si="1168"/>
        <v>0</v>
      </c>
      <c r="JG85" s="1319">
        <f t="shared" ca="1" si="1168"/>
        <v>0</v>
      </c>
      <c r="JH85" s="1319">
        <f t="shared" ca="1" si="1168"/>
        <v>0.55403606800000005</v>
      </c>
      <c r="JT85" s="1319">
        <f t="shared" ca="1" si="1169"/>
        <v>0</v>
      </c>
      <c r="JU85" s="1319">
        <f t="shared" ca="1" si="1169"/>
        <v>0</v>
      </c>
      <c r="JV85" s="1319">
        <f t="shared" ca="1" si="1169"/>
        <v>0</v>
      </c>
      <c r="JW85" s="1319">
        <f t="shared" ca="1" si="1169"/>
        <v>0</v>
      </c>
      <c r="JX85" s="1319">
        <f t="shared" ca="1" si="1169"/>
        <v>0</v>
      </c>
      <c r="JY85" s="1319">
        <f t="shared" ca="1" si="1169"/>
        <v>0</v>
      </c>
      <c r="JZ85" s="1319">
        <f t="shared" ca="1" si="1169"/>
        <v>0</v>
      </c>
      <c r="KA85" s="1319">
        <f t="shared" ca="1" si="1169"/>
        <v>0</v>
      </c>
      <c r="KB85" s="1319">
        <f t="shared" ca="1" si="1169"/>
        <v>0</v>
      </c>
      <c r="KC85" s="1319">
        <f t="shared" ca="1" si="1169"/>
        <v>0</v>
      </c>
      <c r="KL85" s="1319">
        <f t="shared" ca="1" si="1170"/>
        <v>0</v>
      </c>
      <c r="KM85" s="1319">
        <f t="shared" ca="1" si="1170"/>
        <v>0</v>
      </c>
      <c r="KN85" s="1319">
        <f t="shared" ca="1" si="1170"/>
        <v>0</v>
      </c>
      <c r="KO85" s="1319">
        <f t="shared" ca="1" si="1170"/>
        <v>0</v>
      </c>
      <c r="KP85" s="1319">
        <f t="shared" ca="1" si="1170"/>
        <v>0</v>
      </c>
      <c r="KQ85" s="1319">
        <f t="shared" ca="1" si="1170"/>
        <v>0</v>
      </c>
      <c r="KR85" s="1319">
        <f t="shared" ca="1" si="1170"/>
        <v>0</v>
      </c>
      <c r="LA85" s="1319">
        <f t="shared" ca="1" si="1171"/>
        <v>0</v>
      </c>
      <c r="LB85" s="1319">
        <f t="shared" ca="1" si="1171"/>
        <v>285.346923</v>
      </c>
      <c r="LC85" s="1319">
        <f t="shared" ca="1" si="1171"/>
        <v>285.346923</v>
      </c>
      <c r="LD85" s="1319">
        <f t="shared" ca="1" si="1171"/>
        <v>285.346923</v>
      </c>
      <c r="LE85" s="1319">
        <f t="shared" ca="1" si="1171"/>
        <v>0</v>
      </c>
      <c r="LF85" s="1319">
        <f t="shared" ca="1" si="1171"/>
        <v>0</v>
      </c>
      <c r="LG85" s="1319">
        <f t="shared" ca="1" si="1171"/>
        <v>0</v>
      </c>
      <c r="LH85" s="1319">
        <f t="shared" ca="1" si="1171"/>
        <v>0</v>
      </c>
      <c r="LI85" s="1319">
        <f t="shared" ca="1" si="1171"/>
        <v>0</v>
      </c>
      <c r="LJ85" s="1319">
        <f t="shared" ca="1" si="1171"/>
        <v>0</v>
      </c>
      <c r="LK85" s="1319">
        <f t="shared" ca="1" si="1171"/>
        <v>0</v>
      </c>
      <c r="LW85" s="1319">
        <f t="shared" ca="1" si="1113"/>
        <v>0</v>
      </c>
      <c r="LX85" s="1319">
        <f t="shared" ca="1" si="1172"/>
        <v>0</v>
      </c>
      <c r="LY85" s="1319">
        <f t="shared" ca="1" si="1172"/>
        <v>0</v>
      </c>
      <c r="LZ85" s="1319">
        <f t="shared" ca="1" si="1172"/>
        <v>2.1241642999999999</v>
      </c>
      <c r="MA85" s="1319">
        <f t="shared" ca="1" si="1172"/>
        <v>2.1241642999999999</v>
      </c>
      <c r="MB85" s="1319">
        <f t="shared" ca="1" si="1172"/>
        <v>285.346923</v>
      </c>
      <c r="MC85" s="1319">
        <f t="shared" ca="1" si="1172"/>
        <v>0</v>
      </c>
      <c r="MD85" s="1319">
        <f t="shared" ca="1" si="1172"/>
        <v>0</v>
      </c>
      <c r="ME85" s="1319">
        <f t="shared" ca="1" si="1172"/>
        <v>0</v>
      </c>
      <c r="MF85" s="1319">
        <f t="shared" ca="1" si="1172"/>
        <v>0</v>
      </c>
      <c r="MG85" s="1319">
        <f t="shared" ca="1" si="1172"/>
        <v>0</v>
      </c>
      <c r="MH85" s="1319">
        <f t="shared" ca="1" si="1173"/>
        <v>0</v>
      </c>
      <c r="MI85" s="1319">
        <f t="shared" ca="1" si="1173"/>
        <v>0</v>
      </c>
      <c r="MJ85" s="1319">
        <f t="shared" ca="1" si="1172"/>
        <v>0</v>
      </c>
      <c r="MK85" s="1319">
        <f t="shared" ca="1" si="1172"/>
        <v>0</v>
      </c>
      <c r="ML85" s="1319">
        <f t="shared" ca="1" si="1172"/>
        <v>0</v>
      </c>
      <c r="MM85" s="1319">
        <f t="shared" ca="1" si="1172"/>
        <v>0</v>
      </c>
      <c r="MN85" s="1319">
        <f t="shared" ca="1" si="1172"/>
        <v>0</v>
      </c>
      <c r="MO85" s="1319">
        <f t="shared" ca="1" si="1172"/>
        <v>0</v>
      </c>
      <c r="NA85" s="1319">
        <f t="shared" ca="1" si="1174"/>
        <v>0</v>
      </c>
      <c r="NB85" s="1319">
        <f t="shared" ca="1" si="1174"/>
        <v>0</v>
      </c>
      <c r="NC85" s="1319">
        <f t="shared" ca="1" si="1174"/>
        <v>0</v>
      </c>
      <c r="ND85" s="1319">
        <f t="shared" ca="1" si="1174"/>
        <v>0</v>
      </c>
      <c r="NE85" s="1319">
        <f t="shared" ca="1" si="1174"/>
        <v>0</v>
      </c>
      <c r="NF85" s="1319">
        <f t="shared" ca="1" si="1174"/>
        <v>0</v>
      </c>
      <c r="NG85" s="1319">
        <f t="shared" ca="1" si="1174"/>
        <v>0</v>
      </c>
      <c r="NH85" s="1319">
        <f t="shared" ca="1" si="1174"/>
        <v>0</v>
      </c>
      <c r="NI85" s="1319">
        <f t="shared" ca="1" si="1174"/>
        <v>0</v>
      </c>
      <c r="NJ85" s="1319">
        <f t="shared" ca="1" si="1174"/>
        <v>0</v>
      </c>
      <c r="NK85" s="1319">
        <f t="shared" ca="1" si="1174"/>
        <v>0</v>
      </c>
      <c r="NL85" s="1319">
        <f t="shared" ca="1" si="1174"/>
        <v>0</v>
      </c>
      <c r="NM85" s="1319">
        <f t="shared" ca="1" si="1174"/>
        <v>0</v>
      </c>
      <c r="NN85" s="1319">
        <f t="shared" ca="1" si="1174"/>
        <v>0</v>
      </c>
      <c r="NO85" s="1319">
        <f t="shared" ca="1" si="1174"/>
        <v>0</v>
      </c>
      <c r="NP85" s="1319">
        <f t="shared" ca="1" si="1174"/>
        <v>0</v>
      </c>
      <c r="OH85" s="1319">
        <f t="shared" ca="1" si="1175"/>
        <v>0</v>
      </c>
      <c r="OI85" s="1319">
        <f t="shared" ca="1" si="1175"/>
        <v>0</v>
      </c>
      <c r="OJ85" s="1319">
        <f t="shared" ca="1" si="1175"/>
        <v>0</v>
      </c>
      <c r="OK85" s="1319">
        <f t="shared" ca="1" si="1175"/>
        <v>0</v>
      </c>
      <c r="OL85" s="1319">
        <f t="shared" ca="1" si="1175"/>
        <v>0</v>
      </c>
      <c r="OM85" s="1319">
        <f t="shared" ca="1" si="1175"/>
        <v>0</v>
      </c>
      <c r="ON85" s="1319">
        <f t="shared" ca="1" si="1175"/>
        <v>0</v>
      </c>
      <c r="OO85" s="1319">
        <f t="shared" ca="1" si="1175"/>
        <v>0</v>
      </c>
      <c r="PA85" s="1319">
        <f t="shared" ca="1" si="1176"/>
        <v>0</v>
      </c>
      <c r="PB85" s="1319">
        <f t="shared" ca="1" si="1176"/>
        <v>0</v>
      </c>
      <c r="PC85" s="1319">
        <f t="shared" ca="1" si="1176"/>
        <v>0</v>
      </c>
      <c r="PD85" s="1319">
        <f t="shared" ca="1" si="1176"/>
        <v>0</v>
      </c>
      <c r="PE85" s="1319">
        <f t="shared" ca="1" si="1176"/>
        <v>0</v>
      </c>
      <c r="PF85" s="1319">
        <f t="shared" ca="1" si="1176"/>
        <v>0</v>
      </c>
      <c r="PG85" s="1319">
        <f t="shared" ca="1" si="1176"/>
        <v>0</v>
      </c>
      <c r="PH85" s="1319">
        <f t="shared" ca="1" si="1176"/>
        <v>0</v>
      </c>
      <c r="PI85" s="1319">
        <f t="shared" ca="1" si="1176"/>
        <v>0</v>
      </c>
      <c r="PJ85" s="1319">
        <f t="shared" ca="1" si="1176"/>
        <v>0</v>
      </c>
      <c r="PK85" s="1319">
        <f t="shared" ca="1" si="1176"/>
        <v>0</v>
      </c>
      <c r="PW85" s="1319">
        <f t="shared" ca="1" si="1177"/>
        <v>0</v>
      </c>
      <c r="PX85" s="1319">
        <f t="shared" ca="1" si="1177"/>
        <v>0</v>
      </c>
      <c r="PY85" s="1319">
        <f t="shared" ca="1" si="1177"/>
        <v>0</v>
      </c>
      <c r="PZ85" s="1319">
        <f t="shared" ca="1" si="1177"/>
        <v>0</v>
      </c>
    </row>
    <row r="86" spans="1:442" x14ac:dyDescent="0.25">
      <c r="A86" s="189">
        <v>47</v>
      </c>
      <c r="B86" s="189" t="s">
        <v>1256</v>
      </c>
      <c r="C86" s="1317" t="s">
        <v>1305</v>
      </c>
      <c r="D86" s="1317" t="s">
        <v>206</v>
      </c>
      <c r="J86" s="1319">
        <f t="shared" ca="1" si="1157"/>
        <v>0</v>
      </c>
      <c r="K86" s="1319">
        <f t="shared" ca="1" si="1180"/>
        <v>0</v>
      </c>
      <c r="T86" s="1319">
        <f t="shared" ca="1" si="1158"/>
        <v>0</v>
      </c>
      <c r="U86" s="1319">
        <f t="shared" ca="1" si="1158"/>
        <v>0</v>
      </c>
      <c r="V86" s="1319">
        <f t="shared" ca="1" si="1158"/>
        <v>5.5672503000000003E-17</v>
      </c>
      <c r="W86" s="1319">
        <f t="shared" ca="1" si="1158"/>
        <v>0</v>
      </c>
      <c r="X86" s="1319">
        <f t="shared" ca="1" si="1158"/>
        <v>0</v>
      </c>
      <c r="Y86" s="1319">
        <f t="shared" ca="1" si="1158"/>
        <v>0</v>
      </c>
      <c r="Z86" s="1319">
        <f t="shared" ca="1" si="1158"/>
        <v>0</v>
      </c>
      <c r="AA86" s="1319">
        <f t="shared" ca="1" si="1158"/>
        <v>0</v>
      </c>
      <c r="AB86" s="1319">
        <f t="shared" ca="1" si="1158"/>
        <v>0</v>
      </c>
      <c r="AC86" s="1319">
        <f t="shared" ca="1" si="1158"/>
        <v>5.5672503000000003E-17</v>
      </c>
      <c r="AD86" s="1319">
        <f t="shared" ca="1" si="1158"/>
        <v>0</v>
      </c>
      <c r="AM86" s="1319">
        <f t="shared" ca="1" si="1150"/>
        <v>0</v>
      </c>
      <c r="AN86" s="1319">
        <f t="shared" ca="1" si="1150"/>
        <v>0</v>
      </c>
      <c r="AO86" s="1319">
        <f t="shared" ca="1" si="1179"/>
        <v>0</v>
      </c>
      <c r="AP86" s="1319">
        <f t="shared" ca="1" si="1179"/>
        <v>0</v>
      </c>
      <c r="AQ86" s="1319">
        <f t="shared" ca="1" si="1179"/>
        <v>0</v>
      </c>
      <c r="AR86" s="1319">
        <f t="shared" ca="1" si="1179"/>
        <v>0</v>
      </c>
      <c r="AS86" s="1319">
        <f t="shared" ca="1" si="1179"/>
        <v>0</v>
      </c>
      <c r="AT86" s="1319">
        <f t="shared" ca="1" si="1150"/>
        <v>0</v>
      </c>
      <c r="AU86" s="1319">
        <f t="shared" ca="1" si="1150"/>
        <v>0</v>
      </c>
      <c r="AV86" s="1319">
        <f t="shared" ca="1" si="1150"/>
        <v>0</v>
      </c>
      <c r="AW86" s="1319">
        <f t="shared" ca="1" si="1150"/>
        <v>0</v>
      </c>
      <c r="AX86" s="1319">
        <f t="shared" ca="1" si="1150"/>
        <v>0</v>
      </c>
      <c r="AY86" s="1319">
        <f t="shared" ca="1" si="1150"/>
        <v>0</v>
      </c>
      <c r="AZ86" s="1319">
        <f t="shared" ca="1" si="1150"/>
        <v>0</v>
      </c>
      <c r="BA86" s="1319">
        <f t="shared" ca="1" si="1150"/>
        <v>0</v>
      </c>
      <c r="BB86" s="1319">
        <f t="shared" ca="1" si="1150"/>
        <v>0</v>
      </c>
      <c r="BN86" s="1319">
        <f t="shared" ca="1" si="1159"/>
        <v>2.1650924700000003E-4</v>
      </c>
      <c r="BO86" s="1319">
        <f t="shared" ca="1" si="1159"/>
        <v>1.9610105E-4</v>
      </c>
      <c r="BP86" s="1319">
        <f t="shared" ca="1" si="1159"/>
        <v>2.0408197099999999E-5</v>
      </c>
      <c r="BQ86" s="1319">
        <f t="shared" ca="1" si="1159"/>
        <v>0</v>
      </c>
      <c r="BR86" s="1319">
        <f t="shared" ca="1" si="1159"/>
        <v>0</v>
      </c>
      <c r="CD86" s="1319">
        <f t="shared" ca="1" si="1160"/>
        <v>0</v>
      </c>
      <c r="CE86" s="1319">
        <f t="shared" ca="1" si="1160"/>
        <v>0</v>
      </c>
      <c r="CF86" s="1319">
        <f t="shared" ca="1" si="1160"/>
        <v>2.1650924700000003E-4</v>
      </c>
      <c r="CG86" s="1319">
        <f t="shared" ca="1" si="1160"/>
        <v>1.9610105E-4</v>
      </c>
      <c r="CH86" s="1319">
        <f t="shared" ca="1" si="1160"/>
        <v>2.1650779600000001E-3</v>
      </c>
      <c r="CI86" s="1319">
        <f t="shared" ca="1" si="1160"/>
        <v>0</v>
      </c>
      <c r="CJ86" s="1319">
        <f t="shared" ca="1" si="1160"/>
        <v>0</v>
      </c>
      <c r="CK86" s="1319">
        <f t="shared" ca="1" si="1160"/>
        <v>1.94816612E-3</v>
      </c>
      <c r="CL86" s="1319">
        <f t="shared" ca="1" si="1160"/>
        <v>1.9651815800000001E-4</v>
      </c>
      <c r="CM86" s="1319">
        <f t="shared" ca="1" si="1160"/>
        <v>2.1650779600000001E-3</v>
      </c>
      <c r="CN86" s="1319">
        <f t="shared" ca="1" si="1160"/>
        <v>2.07910249E-3</v>
      </c>
      <c r="CO86" s="1319">
        <f t="shared" ca="1" si="1160"/>
        <v>1.3093636999999999E-4</v>
      </c>
      <c r="DA86" s="1319">
        <f t="shared" ca="1" si="1161"/>
        <v>1.20282915E-5</v>
      </c>
      <c r="DB86" s="1319">
        <f t="shared" ca="1" si="1161"/>
        <v>0</v>
      </c>
      <c r="DC86" s="1319">
        <f t="shared" ca="1" si="1161"/>
        <v>0.489061574</v>
      </c>
      <c r="DD86" s="1319">
        <f t="shared" ca="1" si="1161"/>
        <v>0</v>
      </c>
      <c r="DE86" s="1319">
        <f t="shared" ca="1" si="1161"/>
        <v>7.1190064899999994E-5</v>
      </c>
      <c r="DF86" s="1319">
        <f t="shared" ca="1" si="1161"/>
        <v>4.2941122699999995E-4</v>
      </c>
      <c r="DG86" s="1319">
        <f t="shared" ca="1" si="1161"/>
        <v>0</v>
      </c>
      <c r="DH86" s="1319">
        <f t="shared" ca="1" si="1161"/>
        <v>0</v>
      </c>
      <c r="DI86" s="1319">
        <f t="shared" ca="1" si="1161"/>
        <v>0</v>
      </c>
      <c r="DJ86" s="1319">
        <f t="shared" ca="1" si="1161"/>
        <v>0</v>
      </c>
      <c r="DV86" s="1319">
        <f t="shared" ca="1" si="1162"/>
        <v>0</v>
      </c>
      <c r="DW86" s="1319">
        <f t="shared" ca="1" si="1162"/>
        <v>0</v>
      </c>
      <c r="DX86" s="1319">
        <f t="shared" ca="1" si="1162"/>
        <v>2.4056583000000003E-4</v>
      </c>
      <c r="DY86" s="1319">
        <f t="shared" ca="1" si="1162"/>
        <v>1.20282915E-5</v>
      </c>
      <c r="DZ86" s="1319">
        <f t="shared" ca="1" si="1162"/>
        <v>0.489061574</v>
      </c>
      <c r="EA86" s="1319">
        <f t="shared" ca="1" si="1162"/>
        <v>7.1190064899999994E-5</v>
      </c>
      <c r="EB86" s="1319">
        <f t="shared" ca="1" si="1162"/>
        <v>2.28537539E-4</v>
      </c>
      <c r="EC86" s="1319">
        <f t="shared" ca="1" si="1162"/>
        <v>0</v>
      </c>
      <c r="ED86" s="1319">
        <f t="shared" ca="1" si="1162"/>
        <v>2.1650779600000001E-3</v>
      </c>
      <c r="EE86" s="1319">
        <f t="shared" ca="1" si="1162"/>
        <v>1.4293184799999999E-2</v>
      </c>
      <c r="EF86" s="1319">
        <f t="shared" ca="1" si="1162"/>
        <v>0</v>
      </c>
      <c r="EG86" s="1319">
        <f t="shared" ca="1" si="1162"/>
        <v>0</v>
      </c>
      <c r="EH86" s="1319">
        <f t="shared" ca="1" si="1162"/>
        <v>16.4154968</v>
      </c>
      <c r="EI86" s="1319">
        <f t="shared" ca="1" si="1162"/>
        <v>0</v>
      </c>
      <c r="EJ86" s="1319">
        <f t="shared" ca="1" si="1101"/>
        <v>0</v>
      </c>
      <c r="EK86" s="1319">
        <f t="shared" ca="1" si="1162"/>
        <v>0</v>
      </c>
      <c r="EW86" s="1319">
        <f t="shared" ca="1" si="1163"/>
        <v>2.07910249E-3</v>
      </c>
      <c r="EX86" s="1319">
        <f t="shared" ca="1" si="1163"/>
        <v>2.07910249E-3</v>
      </c>
      <c r="EY86" s="1319">
        <f t="shared" ca="1" si="1163"/>
        <v>7.6122468200000004E-10</v>
      </c>
      <c r="EZ86" s="1319">
        <f t="shared" ca="1" si="1163"/>
        <v>7.6122468200000004E-10</v>
      </c>
      <c r="FA86" s="1319">
        <f t="shared" ca="1" si="1163"/>
        <v>5.1956270000000001E-5</v>
      </c>
      <c r="FB86" s="1319">
        <f t="shared" ca="1" si="1163"/>
        <v>2.0271458E-3</v>
      </c>
      <c r="FN86" s="1319">
        <f t="shared" ca="1" si="1164"/>
        <v>2.0408197099999999E-5</v>
      </c>
      <c r="FO86" s="1319">
        <f t="shared" ca="1" si="1164"/>
        <v>1.9651815800000001E-4</v>
      </c>
      <c r="FP86" s="1319">
        <f t="shared" ca="1" si="1164"/>
        <v>5.1956270000000001E-5</v>
      </c>
      <c r="FQ86" s="1319">
        <f t="shared" ca="1" si="1164"/>
        <v>2.0271458E-3</v>
      </c>
      <c r="FR86" s="1319">
        <f t="shared" ca="1" si="1164"/>
        <v>2.0271457700000001E-3</v>
      </c>
      <c r="FS86" s="1319">
        <f t="shared" ca="1" si="1164"/>
        <v>5.5672503000000003E-17</v>
      </c>
      <c r="FT86" s="1319">
        <f t="shared" ca="1" si="1164"/>
        <v>0</v>
      </c>
      <c r="FU86" s="1319">
        <f t="shared" ca="1" si="1164"/>
        <v>2.6888262500000001E-4</v>
      </c>
      <c r="FV86" s="1319">
        <f t="shared" ca="1" si="1164"/>
        <v>0</v>
      </c>
      <c r="FW86" s="1319">
        <f t="shared" ca="1" si="1164"/>
        <v>1.3794625599999999E-4</v>
      </c>
      <c r="FX86" s="1319">
        <f t="shared" ca="1" si="1164"/>
        <v>1.3093636999999999E-4</v>
      </c>
      <c r="GJ86" s="1319">
        <f t="shared" ca="1" si="1165"/>
        <v>2.0271457700000001E-3</v>
      </c>
      <c r="GK86" s="1319">
        <f t="shared" ca="1" si="1165"/>
        <v>2.0271457700000001E-3</v>
      </c>
      <c r="GL86" s="1319">
        <f t="shared" ca="1" si="1165"/>
        <v>0</v>
      </c>
      <c r="GM86" s="1319">
        <f t="shared" ca="1" si="1165"/>
        <v>2.0271457700000001E-3</v>
      </c>
      <c r="GN86" s="1319">
        <f t="shared" ca="1" si="1165"/>
        <v>2.0271457700000001E-3</v>
      </c>
      <c r="GO86" s="1319">
        <f t="shared" ca="1" si="1165"/>
        <v>0</v>
      </c>
      <c r="GP86" s="1319">
        <f t="shared" ca="1" si="1165"/>
        <v>2.0271457700000001E-3</v>
      </c>
      <c r="GQ86" s="1319">
        <f t="shared" ca="1" si="1165"/>
        <v>0</v>
      </c>
      <c r="HC86" s="1319">
        <f t="shared" ca="1" si="1166"/>
        <v>7.6122468200000004E-10</v>
      </c>
      <c r="HD86" s="1319">
        <f t="shared" ca="1" si="1166"/>
        <v>7.3288308700000004E-10</v>
      </c>
      <c r="HE86" s="1319">
        <f t="shared" ca="1" si="1166"/>
        <v>0</v>
      </c>
      <c r="HF86" s="1319">
        <f t="shared" ca="1" si="1166"/>
        <v>0</v>
      </c>
      <c r="HG86" s="1319">
        <f t="shared" ca="1" si="1166"/>
        <v>0</v>
      </c>
      <c r="HH86" s="1319">
        <f t="shared" ca="1" si="1166"/>
        <v>7.3288308700000004E-10</v>
      </c>
      <c r="HT86" s="1319">
        <f t="shared" ca="1" si="1167"/>
        <v>0</v>
      </c>
      <c r="HU86" s="1319">
        <f t="shared" ca="1" si="1167"/>
        <v>7.3288308700000004E-10</v>
      </c>
      <c r="HV86" s="1319">
        <f t="shared" ca="1" si="1167"/>
        <v>7.3288308700000004E-10</v>
      </c>
      <c r="HW86" s="1319">
        <f t="shared" ca="1" si="1167"/>
        <v>7.3288308700000004E-10</v>
      </c>
      <c r="HX86" s="1319">
        <f t="shared" ca="1" si="1167"/>
        <v>0</v>
      </c>
      <c r="HY86" s="1319">
        <f t="shared" ca="1" si="1167"/>
        <v>0</v>
      </c>
      <c r="HZ86" s="1319">
        <f t="shared" ca="1" si="1167"/>
        <v>4.5108502299999996E-4</v>
      </c>
      <c r="IA86" s="1319">
        <f t="shared" ca="1" si="1167"/>
        <v>4.5108502299999996E-4</v>
      </c>
      <c r="IB86" s="1319">
        <f t="shared" ca="1" si="1167"/>
        <v>0</v>
      </c>
      <c r="IC86" s="1319">
        <f t="shared" ca="1" si="1167"/>
        <v>0</v>
      </c>
      <c r="ID86" s="1319">
        <f t="shared" ca="1" si="1167"/>
        <v>0</v>
      </c>
      <c r="IE86" s="1319">
        <f t="shared" ca="1" si="1167"/>
        <v>0</v>
      </c>
      <c r="IQ86" s="1319">
        <f t="shared" ca="1" si="1168"/>
        <v>0</v>
      </c>
      <c r="IR86" s="1319">
        <f t="shared" ca="1" si="1168"/>
        <v>0</v>
      </c>
      <c r="IS86" s="1319">
        <f t="shared" ca="1" si="1168"/>
        <v>2.4016965500000001E-2</v>
      </c>
      <c r="IT86" s="1319">
        <f t="shared" ca="1" si="1168"/>
        <v>2.4016965500000001E-2</v>
      </c>
      <c r="IU86" s="1319">
        <f t="shared" ca="1" si="1108"/>
        <v>2.2414950400000001E-2</v>
      </c>
      <c r="IV86" s="1319">
        <f t="shared" ca="1" si="1168"/>
        <v>0.704016855</v>
      </c>
      <c r="IW86" s="1319">
        <f t="shared" ca="1" si="1168"/>
        <v>0.57640717200000002</v>
      </c>
      <c r="IX86" s="1319">
        <f t="shared" ca="1" si="1109"/>
        <v>0.14877954700000001</v>
      </c>
      <c r="IY86" s="1319">
        <f t="shared" ca="1" si="1168"/>
        <v>1.6020150400000001E-3</v>
      </c>
      <c r="IZ86" s="1319">
        <f t="shared" ca="1" si="1168"/>
        <v>0.103593571</v>
      </c>
      <c r="JA86" s="1319">
        <f t="shared" ca="1" si="1168"/>
        <v>0.60042413699999997</v>
      </c>
      <c r="JB86" s="1319">
        <f t="shared" ca="1" si="1168"/>
        <v>0</v>
      </c>
      <c r="JC86" s="1319">
        <f t="shared" ca="1" si="1168"/>
        <v>0.10314248600000001</v>
      </c>
      <c r="JD86" s="1319">
        <f t="shared" ca="1" si="1168"/>
        <v>0</v>
      </c>
      <c r="JE86" s="1319">
        <f t="shared" ca="1" si="1168"/>
        <v>0.103593571</v>
      </c>
      <c r="JF86" s="1319">
        <f t="shared" ca="1" si="1168"/>
        <v>0</v>
      </c>
      <c r="JG86" s="1319">
        <f t="shared" ca="1" si="1168"/>
        <v>0</v>
      </c>
      <c r="JH86" s="1319">
        <f t="shared" ca="1" si="1168"/>
        <v>4.5108502299999996E-4</v>
      </c>
      <c r="JT86" s="1319">
        <f t="shared" ca="1" si="1169"/>
        <v>0</v>
      </c>
      <c r="JU86" s="1319">
        <f t="shared" ca="1" si="1169"/>
        <v>0</v>
      </c>
      <c r="JV86" s="1319">
        <f t="shared" ca="1" si="1169"/>
        <v>0</v>
      </c>
      <c r="JW86" s="1319">
        <f t="shared" ca="1" si="1169"/>
        <v>0</v>
      </c>
      <c r="JX86" s="1319">
        <f t="shared" ca="1" si="1169"/>
        <v>2.0271457700000001E-3</v>
      </c>
      <c r="JY86" s="1319">
        <f t="shared" ca="1" si="1169"/>
        <v>0</v>
      </c>
      <c r="JZ86" s="1319">
        <f t="shared" ca="1" si="1169"/>
        <v>2.0271457700000001E-3</v>
      </c>
      <c r="KA86" s="1319">
        <f t="shared" ca="1" si="1169"/>
        <v>0</v>
      </c>
      <c r="KB86" s="1319">
        <f t="shared" ca="1" si="1169"/>
        <v>0</v>
      </c>
      <c r="KC86" s="1319">
        <f t="shared" ca="1" si="1169"/>
        <v>0</v>
      </c>
      <c r="KL86" s="1319">
        <f t="shared" ca="1" si="1170"/>
        <v>0</v>
      </c>
      <c r="KM86" s="1319">
        <f t="shared" ca="1" si="1170"/>
        <v>0</v>
      </c>
      <c r="KN86" s="1319">
        <f t="shared" ca="1" si="1170"/>
        <v>0</v>
      </c>
      <c r="KO86" s="1319">
        <f t="shared" ca="1" si="1170"/>
        <v>0</v>
      </c>
      <c r="KP86" s="1319">
        <f t="shared" ca="1" si="1170"/>
        <v>0</v>
      </c>
      <c r="KQ86" s="1319">
        <f t="shared" ca="1" si="1170"/>
        <v>0</v>
      </c>
      <c r="KR86" s="1319">
        <f t="shared" ca="1" si="1170"/>
        <v>0</v>
      </c>
      <c r="LA86" s="1319">
        <f t="shared" ca="1" si="1171"/>
        <v>0</v>
      </c>
      <c r="LB86" s="1319">
        <f t="shared" ca="1" si="1171"/>
        <v>4.5108502299999996E-4</v>
      </c>
      <c r="LC86" s="1319">
        <f t="shared" ca="1" si="1171"/>
        <v>4.5108502299999996E-4</v>
      </c>
      <c r="LD86" s="1319">
        <f t="shared" ca="1" si="1171"/>
        <v>4.5108502299999996E-4</v>
      </c>
      <c r="LE86" s="1319">
        <f t="shared" ca="1" si="1171"/>
        <v>0</v>
      </c>
      <c r="LF86" s="1319">
        <f t="shared" ca="1" si="1171"/>
        <v>672.51662999999996</v>
      </c>
      <c r="LG86" s="1319">
        <f t="shared" ca="1" si="1171"/>
        <v>672.51662999999996</v>
      </c>
      <c r="LH86" s="1319">
        <f t="shared" ca="1" si="1171"/>
        <v>0</v>
      </c>
      <c r="LI86" s="1319">
        <f t="shared" ca="1" si="1171"/>
        <v>53.801330399999998</v>
      </c>
      <c r="LJ86" s="1319">
        <f t="shared" ca="1" si="1171"/>
        <v>0</v>
      </c>
      <c r="LK86" s="1319">
        <f t="shared" ca="1" si="1171"/>
        <v>0</v>
      </c>
      <c r="LW86" s="1319">
        <f t="shared" ca="1" si="1113"/>
        <v>0</v>
      </c>
      <c r="LX86" s="1319">
        <f t="shared" ca="1" si="1172"/>
        <v>0</v>
      </c>
      <c r="LY86" s="1319">
        <f t="shared" ca="1" si="1172"/>
        <v>0</v>
      </c>
      <c r="LZ86" s="1319">
        <f t="shared" ca="1" si="1172"/>
        <v>1.6020150400000001E-3</v>
      </c>
      <c r="MA86" s="1319">
        <f t="shared" ca="1" si="1172"/>
        <v>1.6020150400000001E-3</v>
      </c>
      <c r="MB86" s="1319">
        <f t="shared" ca="1" si="1172"/>
        <v>4.5108502299999996E-4</v>
      </c>
      <c r="MC86" s="1319">
        <f t="shared" ca="1" si="1172"/>
        <v>672.51662999999996</v>
      </c>
      <c r="MD86" s="1319">
        <f t="shared" ca="1" si="1172"/>
        <v>0</v>
      </c>
      <c r="ME86" s="1319">
        <f t="shared" ca="1" si="1172"/>
        <v>0</v>
      </c>
      <c r="MF86" s="1319">
        <f t="shared" ca="1" si="1172"/>
        <v>0</v>
      </c>
      <c r="MG86" s="1319">
        <f t="shared" ca="1" si="1172"/>
        <v>0</v>
      </c>
      <c r="MH86" s="1319">
        <f t="shared" ca="1" si="1173"/>
        <v>0</v>
      </c>
      <c r="MI86" s="1319">
        <f t="shared" ca="1" si="1173"/>
        <v>0</v>
      </c>
      <c r="MJ86" s="1319">
        <f t="shared" ca="1" si="1172"/>
        <v>0</v>
      </c>
      <c r="MK86" s="1319">
        <f t="shared" ca="1" si="1172"/>
        <v>0</v>
      </c>
      <c r="ML86" s="1319">
        <f t="shared" ca="1" si="1172"/>
        <v>0</v>
      </c>
      <c r="MM86" s="1319">
        <f t="shared" ca="1" si="1172"/>
        <v>0</v>
      </c>
      <c r="MN86" s="1319">
        <f t="shared" ca="1" si="1172"/>
        <v>0</v>
      </c>
      <c r="MO86" s="1319">
        <f t="shared" ca="1" si="1172"/>
        <v>0</v>
      </c>
      <c r="NA86" s="1319">
        <f t="shared" ca="1" si="1174"/>
        <v>0</v>
      </c>
      <c r="NB86" s="1319">
        <f t="shared" ca="1" si="1174"/>
        <v>0</v>
      </c>
      <c r="NC86" s="1319">
        <f t="shared" ca="1" si="1174"/>
        <v>0</v>
      </c>
      <c r="ND86" s="1319">
        <f t="shared" ca="1" si="1174"/>
        <v>0</v>
      </c>
      <c r="NE86" s="1319">
        <f t="shared" ca="1" si="1174"/>
        <v>0</v>
      </c>
      <c r="NF86" s="1319">
        <f t="shared" ca="1" si="1174"/>
        <v>0</v>
      </c>
      <c r="NG86" s="1319">
        <f t="shared" ca="1" si="1174"/>
        <v>0</v>
      </c>
      <c r="NH86" s="1319">
        <f t="shared" ca="1" si="1174"/>
        <v>0</v>
      </c>
      <c r="NI86" s="1319">
        <f t="shared" ca="1" si="1174"/>
        <v>0</v>
      </c>
      <c r="NJ86" s="1319">
        <f t="shared" ca="1" si="1174"/>
        <v>0</v>
      </c>
      <c r="NK86" s="1319">
        <f t="shared" ca="1" si="1174"/>
        <v>0</v>
      </c>
      <c r="NL86" s="1319">
        <f t="shared" ca="1" si="1174"/>
        <v>0</v>
      </c>
      <c r="NM86" s="1319">
        <f t="shared" ca="1" si="1174"/>
        <v>0</v>
      </c>
      <c r="NN86" s="1319">
        <f t="shared" ca="1" si="1174"/>
        <v>0</v>
      </c>
      <c r="NO86" s="1319">
        <f t="shared" ca="1" si="1174"/>
        <v>0</v>
      </c>
      <c r="NP86" s="1319">
        <f t="shared" ca="1" si="1174"/>
        <v>0</v>
      </c>
      <c r="OH86" s="1319">
        <f t="shared" ca="1" si="1175"/>
        <v>0</v>
      </c>
      <c r="OI86" s="1319">
        <f t="shared" ca="1" si="1175"/>
        <v>0</v>
      </c>
      <c r="OJ86" s="1319">
        <f t="shared" ca="1" si="1175"/>
        <v>0</v>
      </c>
      <c r="OK86" s="1319">
        <f t="shared" ca="1" si="1175"/>
        <v>0</v>
      </c>
      <c r="OL86" s="1319">
        <f t="shared" ca="1" si="1175"/>
        <v>0</v>
      </c>
      <c r="OM86" s="1319">
        <f t="shared" ca="1" si="1175"/>
        <v>0</v>
      </c>
      <c r="ON86" s="1319">
        <f t="shared" ca="1" si="1175"/>
        <v>0</v>
      </c>
      <c r="OO86" s="1319">
        <f t="shared" ca="1" si="1175"/>
        <v>0</v>
      </c>
      <c r="PA86" s="1319">
        <f t="shared" ca="1" si="1176"/>
        <v>0</v>
      </c>
      <c r="PB86" s="1319">
        <f t="shared" ca="1" si="1176"/>
        <v>0</v>
      </c>
      <c r="PC86" s="1319">
        <f t="shared" ca="1" si="1176"/>
        <v>0</v>
      </c>
      <c r="PD86" s="1319">
        <f t="shared" ca="1" si="1176"/>
        <v>0</v>
      </c>
      <c r="PE86" s="1319">
        <f t="shared" ca="1" si="1176"/>
        <v>0</v>
      </c>
      <c r="PF86" s="1319">
        <f t="shared" ca="1" si="1176"/>
        <v>0</v>
      </c>
      <c r="PG86" s="1319">
        <f t="shared" ca="1" si="1176"/>
        <v>0</v>
      </c>
      <c r="PH86" s="1319">
        <f t="shared" ca="1" si="1176"/>
        <v>0</v>
      </c>
      <c r="PI86" s="1319">
        <f t="shared" ca="1" si="1176"/>
        <v>0</v>
      </c>
      <c r="PJ86" s="1319">
        <f t="shared" ca="1" si="1176"/>
        <v>0</v>
      </c>
      <c r="PK86" s="1319">
        <f t="shared" ca="1" si="1176"/>
        <v>0</v>
      </c>
      <c r="PW86" s="1319">
        <f t="shared" ca="1" si="1177"/>
        <v>0</v>
      </c>
      <c r="PX86" s="1319">
        <f t="shared" ca="1" si="1177"/>
        <v>0</v>
      </c>
      <c r="PY86" s="1319">
        <f t="shared" ca="1" si="1177"/>
        <v>0</v>
      </c>
      <c r="PZ86" s="1319">
        <f t="shared" ca="1" si="1177"/>
        <v>0</v>
      </c>
    </row>
    <row r="87" spans="1:442" x14ac:dyDescent="0.25">
      <c r="A87" s="189">
        <v>66</v>
      </c>
      <c r="B87" s="189" t="s">
        <v>1256</v>
      </c>
      <c r="C87" s="1317" t="s">
        <v>1309</v>
      </c>
      <c r="D87" s="1317" t="s">
        <v>70</v>
      </c>
      <c r="J87" s="1319">
        <f t="shared" ca="1" si="1157"/>
        <v>1226.06502</v>
      </c>
      <c r="K87" s="1319">
        <f t="shared" ca="1" si="1180"/>
        <v>1226.06502</v>
      </c>
      <c r="T87" s="1319">
        <f t="shared" ca="1" si="1158"/>
        <v>1226.06502</v>
      </c>
      <c r="U87" s="1319">
        <f t="shared" ca="1" si="1158"/>
        <v>7826.6584200000007</v>
      </c>
      <c r="V87" s="1319">
        <f t="shared" ca="1" si="1158"/>
        <v>2063.2318700000001</v>
      </c>
      <c r="W87" s="1319">
        <f t="shared" ca="1" si="1158"/>
        <v>193.78093100000001</v>
      </c>
      <c r="X87" s="1319">
        <f t="shared" ca="1" si="1158"/>
        <v>1363.0127399999999</v>
      </c>
      <c r="Y87" s="1319">
        <f t="shared" ca="1" si="1158"/>
        <v>12728.646000000001</v>
      </c>
      <c r="Z87" s="1319">
        <f t="shared" ca="1" si="1158"/>
        <v>1087.97585</v>
      </c>
      <c r="AA87" s="1319">
        <f t="shared" ca="1" si="1158"/>
        <v>11640.6702</v>
      </c>
      <c r="AB87" s="1319">
        <f t="shared" ca="1" si="1158"/>
        <v>26.471871499999999</v>
      </c>
      <c r="AC87" s="1319">
        <f t="shared" ca="1" si="1158"/>
        <v>2036.7599999999998</v>
      </c>
      <c r="AD87" s="1319">
        <f t="shared" ca="1" si="1158"/>
        <v>26.476220399999999</v>
      </c>
      <c r="AM87" s="1319">
        <f t="shared" ca="1" si="1150"/>
        <v>7826.6584200000007</v>
      </c>
      <c r="AN87" s="1319">
        <f t="shared" ca="1" si="1150"/>
        <v>7826.6584200000007</v>
      </c>
      <c r="AO87" s="1319">
        <f t="shared" ca="1" si="1179"/>
        <v>11640.6702</v>
      </c>
      <c r="AP87" s="1319">
        <f t="shared" ca="1" si="1179"/>
        <v>11640.6702</v>
      </c>
      <c r="AQ87" s="1319">
        <f t="shared" ca="1" si="1179"/>
        <v>763.65790600000003</v>
      </c>
      <c r="AR87" s="1319">
        <f t="shared" ca="1" si="1179"/>
        <v>871.068218</v>
      </c>
      <c r="AS87" s="1319">
        <f t="shared" ca="1" si="1179"/>
        <v>216.907633</v>
      </c>
      <c r="AT87" s="1319">
        <f t="shared" ca="1" si="1150"/>
        <v>742.63163399999996</v>
      </c>
      <c r="AU87" s="1319">
        <f t="shared" ca="1" si="1150"/>
        <v>892.09448999999995</v>
      </c>
      <c r="AV87" s="1319">
        <f t="shared" ca="1" si="1150"/>
        <v>10877.0123</v>
      </c>
      <c r="AW87" s="1319">
        <f t="shared" ca="1" si="1150"/>
        <v>742.63163399999996</v>
      </c>
      <c r="AX87" s="1319">
        <f t="shared" ca="1" si="1150"/>
        <v>1851.6337599999999</v>
      </c>
      <c r="AY87" s="1319">
        <f t="shared" ca="1" si="1150"/>
        <v>61.701874799999999</v>
      </c>
      <c r="AZ87" s="1319">
        <f t="shared" ca="1" si="1150"/>
        <v>8351.7102900000009</v>
      </c>
      <c r="BA87" s="1319">
        <f t="shared" ca="1" si="1150"/>
        <v>8413.4121699999996</v>
      </c>
      <c r="BB87" s="1319">
        <f t="shared" ca="1" si="1150"/>
        <v>19227.3894</v>
      </c>
      <c r="BN87" s="1319">
        <f t="shared" ca="1" si="1159"/>
        <v>1995.8939600000001</v>
      </c>
      <c r="BO87" s="1319">
        <f t="shared" ca="1" si="1159"/>
        <v>2022.5080499999997</v>
      </c>
      <c r="BP87" s="1319">
        <f t="shared" ca="1" si="1159"/>
        <v>46.094653399999999</v>
      </c>
      <c r="BQ87" s="1319">
        <f t="shared" ca="1" si="1159"/>
        <v>6.4585685499999999</v>
      </c>
      <c r="BR87" s="1319">
        <f t="shared" ca="1" si="1159"/>
        <v>0.19831763699999999</v>
      </c>
      <c r="CD87" s="1319">
        <f t="shared" ca="1" si="1160"/>
        <v>19227.3894</v>
      </c>
      <c r="CE87" s="1319">
        <f t="shared" ca="1" si="1160"/>
        <v>19227.3894</v>
      </c>
      <c r="CF87" s="1319">
        <f t="shared" ca="1" si="1160"/>
        <v>1995.8939600000001</v>
      </c>
      <c r="CG87" s="1319">
        <f t="shared" ca="1" si="1160"/>
        <v>2022.5080499999997</v>
      </c>
      <c r="CH87" s="1319">
        <f t="shared" ca="1" si="1160"/>
        <v>19952.509600000001</v>
      </c>
      <c r="CI87" s="1319">
        <f t="shared" ca="1" si="1160"/>
        <v>29.063558500000003</v>
      </c>
      <c r="CJ87" s="1319">
        <f t="shared" ca="1" si="1160"/>
        <v>0.87910952399999998</v>
      </c>
      <c r="CK87" s="1319">
        <f t="shared" ca="1" si="1160"/>
        <v>20207.4548</v>
      </c>
      <c r="CL87" s="1319">
        <f t="shared" ca="1" si="1160"/>
        <v>448.84160200000002</v>
      </c>
      <c r="CM87" s="1319">
        <f t="shared" ca="1" si="1160"/>
        <v>725.120225</v>
      </c>
      <c r="CN87" s="1319">
        <f t="shared" ca="1" si="1160"/>
        <v>21701.4948</v>
      </c>
      <c r="CO87" s="1319">
        <f t="shared" ca="1" si="1160"/>
        <v>1494.0400199999999</v>
      </c>
      <c r="DA87" s="1319">
        <f t="shared" ca="1" si="1161"/>
        <v>37.576941499999997</v>
      </c>
      <c r="DB87" s="1319">
        <f t="shared" ca="1" si="1161"/>
        <v>0.24084158799999997</v>
      </c>
      <c r="DC87" s="1319">
        <f t="shared" ca="1" si="1161"/>
        <v>7.6338578100000002E-3</v>
      </c>
      <c r="DD87" s="1319">
        <f t="shared" ca="1" si="1161"/>
        <v>0.33587012900000002</v>
      </c>
      <c r="DE87" s="1319">
        <f t="shared" ca="1" si="1161"/>
        <v>39.752758399999998</v>
      </c>
      <c r="DF87" s="1319">
        <f t="shared" ca="1" si="1161"/>
        <v>54.840853799999998</v>
      </c>
      <c r="DG87" s="1319">
        <f t="shared" ca="1" si="1161"/>
        <v>1142.67545</v>
      </c>
      <c r="DH87" s="1319">
        <f t="shared" ca="1" si="1161"/>
        <v>1142.67545</v>
      </c>
      <c r="DI87" s="1319">
        <f t="shared" ca="1" si="1161"/>
        <v>1088.26233</v>
      </c>
      <c r="DJ87" s="1319">
        <f t="shared" ca="1" si="1161"/>
        <v>54.413116500000001</v>
      </c>
      <c r="DV87" s="1319">
        <f t="shared" ca="1" si="1162"/>
        <v>633.86239799999998</v>
      </c>
      <c r="DW87" s="1319">
        <f t="shared" ca="1" si="1162"/>
        <v>37.106820200000001</v>
      </c>
      <c r="DX87" s="1319">
        <f t="shared" ca="1" si="1162"/>
        <v>751.53882999999996</v>
      </c>
      <c r="DY87" s="1319">
        <f t="shared" ca="1" si="1162"/>
        <v>37.576941499999997</v>
      </c>
      <c r="DZ87" s="1319">
        <f t="shared" ca="1" si="1162"/>
        <v>7.6338578100000002E-3</v>
      </c>
      <c r="EA87" s="1319">
        <f t="shared" ca="1" si="1162"/>
        <v>39.752758399999998</v>
      </c>
      <c r="EB87" s="1319">
        <f t="shared" ca="1" si="1162"/>
        <v>713.96188800000004</v>
      </c>
      <c r="EC87" s="1319">
        <f t="shared" ca="1" si="1162"/>
        <v>5.1731663599999997</v>
      </c>
      <c r="ED87" s="1319">
        <f t="shared" ca="1" si="1162"/>
        <v>725.120225</v>
      </c>
      <c r="EE87" s="1319">
        <f t="shared" ca="1" si="1162"/>
        <v>1095.9530600000001</v>
      </c>
      <c r="EF87" s="1319">
        <f t="shared" ca="1" si="1162"/>
        <v>0.37385052899999999</v>
      </c>
      <c r="EG87" s="1319">
        <f t="shared" ca="1" si="1162"/>
        <v>6.4151194599999997</v>
      </c>
      <c r="EH87" s="1319">
        <f t="shared" ca="1" si="1162"/>
        <v>0.25623270100000001</v>
      </c>
      <c r="EI87" s="1319">
        <f t="shared" ca="1" si="1162"/>
        <v>4.7993158300000003</v>
      </c>
      <c r="EJ87" s="1319">
        <f t="shared" ca="1" si="1101"/>
        <v>4.7288813700000001E-2</v>
      </c>
      <c r="EK87" s="1319">
        <f t="shared" ca="1" si="1162"/>
        <v>1088.26233</v>
      </c>
      <c r="EW87" s="1319">
        <f t="shared" ca="1" si="1163"/>
        <v>21701.4948</v>
      </c>
      <c r="EX87" s="1319">
        <f t="shared" ca="1" si="1163"/>
        <v>21701.4948</v>
      </c>
      <c r="EY87" s="1319">
        <f t="shared" ca="1" si="1163"/>
        <v>19172.994299999998</v>
      </c>
      <c r="EZ87" s="1319">
        <f t="shared" ca="1" si="1163"/>
        <v>19172.994299999998</v>
      </c>
      <c r="FA87" s="1319">
        <f t="shared" ca="1" si="1163"/>
        <v>14.550948799999999</v>
      </c>
      <c r="FB87" s="1319">
        <f t="shared" ca="1" si="1163"/>
        <v>2513.9496600000002</v>
      </c>
      <c r="FN87" s="1319">
        <f t="shared" ca="1" si="1164"/>
        <v>46.094653399999999</v>
      </c>
      <c r="FO87" s="1319">
        <f t="shared" ca="1" si="1164"/>
        <v>448.84160200000002</v>
      </c>
      <c r="FP87" s="1319">
        <f t="shared" ca="1" si="1164"/>
        <v>14.550948799999999</v>
      </c>
      <c r="FQ87" s="1319">
        <f t="shared" ca="1" si="1164"/>
        <v>2513.9496600000002</v>
      </c>
      <c r="FR87" s="1319">
        <f t="shared" ca="1" si="1164"/>
        <v>706.31896400000005</v>
      </c>
      <c r="FS87" s="1319">
        <f t="shared" ca="1" si="1164"/>
        <v>2036.7599999999998</v>
      </c>
      <c r="FT87" s="1319">
        <f t="shared" ca="1" si="1164"/>
        <v>229.12930699999998</v>
      </c>
      <c r="FU87" s="1319">
        <f t="shared" ca="1" si="1164"/>
        <v>509.48720400000008</v>
      </c>
      <c r="FV87" s="1319">
        <f t="shared" ca="1" si="1164"/>
        <v>1489.3386700000001</v>
      </c>
      <c r="FW87" s="1319">
        <f t="shared" ca="1" si="1164"/>
        <v>504.78585299999997</v>
      </c>
      <c r="FX87" s="1319">
        <f t="shared" ca="1" si="1164"/>
        <v>1494.0400199999999</v>
      </c>
      <c r="GJ87" s="1319">
        <f t="shared" ca="1" si="1165"/>
        <v>706.31896400000005</v>
      </c>
      <c r="GK87" s="1319">
        <f t="shared" ca="1" si="1165"/>
        <v>706.31896400000005</v>
      </c>
      <c r="GL87" s="1319">
        <f t="shared" ca="1" si="1165"/>
        <v>229.12901999999997</v>
      </c>
      <c r="GM87" s="1319">
        <f t="shared" ca="1" si="1165"/>
        <v>477.18994400000003</v>
      </c>
      <c r="GN87" s="1319">
        <f t="shared" ca="1" si="1165"/>
        <v>477.18994400000003</v>
      </c>
      <c r="GO87" s="1319">
        <f t="shared" ca="1" si="1165"/>
        <v>229.12901999999997</v>
      </c>
      <c r="GP87" s="1319">
        <f t="shared" ca="1" si="1165"/>
        <v>477.18994400000003</v>
      </c>
      <c r="GQ87" s="1319">
        <f t="shared" ca="1" si="1165"/>
        <v>229.12930699999998</v>
      </c>
      <c r="HC87" s="1319">
        <f t="shared" ca="1" si="1166"/>
        <v>19172.994299999998</v>
      </c>
      <c r="HD87" s="1319">
        <f t="shared" ca="1" si="1166"/>
        <v>18459.153399999999</v>
      </c>
      <c r="HE87" s="1319">
        <f t="shared" ca="1" si="1166"/>
        <v>424.83466900000002</v>
      </c>
      <c r="HF87" s="1319">
        <f t="shared" ca="1" si="1166"/>
        <v>421.39563700000002</v>
      </c>
      <c r="HG87" s="1319">
        <f t="shared" ca="1" si="1166"/>
        <v>717.27984100000003</v>
      </c>
      <c r="HH87" s="1319">
        <f t="shared" ca="1" si="1166"/>
        <v>18459.153399999999</v>
      </c>
      <c r="HT87" s="1319">
        <f t="shared" ca="1" si="1167"/>
        <v>1851.6337599999999</v>
      </c>
      <c r="HU87" s="1319">
        <f t="shared" ca="1" si="1167"/>
        <v>18459.153399999999</v>
      </c>
      <c r="HV87" s="1319">
        <f t="shared" ca="1" si="1167"/>
        <v>21559.971799999999</v>
      </c>
      <c r="HW87" s="1319">
        <f t="shared" ca="1" si="1167"/>
        <v>21559.971799999999</v>
      </c>
      <c r="HX87" s="1319">
        <f t="shared" ca="1" si="1167"/>
        <v>19863.886200000001</v>
      </c>
      <c r="HY87" s="1319">
        <f t="shared" ca="1" si="1167"/>
        <v>1510.5338999999999</v>
      </c>
      <c r="HZ87" s="1319">
        <f t="shared" ca="1" si="1167"/>
        <v>747.065337</v>
      </c>
      <c r="IA87" s="1319">
        <f t="shared" ca="1" si="1167"/>
        <v>0.8836427710000001</v>
      </c>
      <c r="IB87" s="1319">
        <f t="shared" ca="1" si="1167"/>
        <v>259.89274399999999</v>
      </c>
      <c r="IC87" s="1319">
        <f t="shared" ca="1" si="1167"/>
        <v>8167.3034899999993</v>
      </c>
      <c r="ID87" s="1319">
        <f t="shared" ca="1" si="1167"/>
        <v>8167.3034899999993</v>
      </c>
      <c r="IE87" s="1319">
        <f t="shared" ca="1" si="1167"/>
        <v>981.24313999999993</v>
      </c>
      <c r="IQ87" s="1319">
        <f t="shared" ca="1" si="1168"/>
        <v>19863.886200000001</v>
      </c>
      <c r="IR87" s="1319">
        <f t="shared" ca="1" si="1168"/>
        <v>1510.5338999999999</v>
      </c>
      <c r="IS87" s="1319">
        <f t="shared" ca="1" si="1168"/>
        <v>4924.5555899999999</v>
      </c>
      <c r="IT87" s="1319">
        <f t="shared" ca="1" si="1168"/>
        <v>6435.0894900000003</v>
      </c>
      <c r="IU87" s="1319">
        <f t="shared" ca="1" si="1108"/>
        <v>6005.8466699999999</v>
      </c>
      <c r="IV87" s="1319">
        <f t="shared" ca="1" si="1168"/>
        <v>144355.06400000001</v>
      </c>
      <c r="IW87" s="1319">
        <f t="shared" ca="1" si="1168"/>
        <v>118189.334</v>
      </c>
      <c r="IX87" s="1319">
        <f t="shared" ca="1" si="1109"/>
        <v>7724.690810000001</v>
      </c>
      <c r="IY87" s="1319">
        <f t="shared" ca="1" si="1168"/>
        <v>429.24282699999998</v>
      </c>
      <c r="IZ87" s="1319">
        <f t="shared" ca="1" si="1168"/>
        <v>21241.333200000001</v>
      </c>
      <c r="JA87" s="1319">
        <f t="shared" ca="1" si="1168"/>
        <v>123113.88999999998</v>
      </c>
      <c r="JB87" s="1319">
        <f t="shared" ca="1" si="1168"/>
        <v>20906.705900000001</v>
      </c>
      <c r="JC87" s="1319">
        <f t="shared" ca="1" si="1168"/>
        <v>333.74359199999998</v>
      </c>
      <c r="JD87" s="1319">
        <f t="shared" ca="1" si="1168"/>
        <v>16946.004400000002</v>
      </c>
      <c r="JE87" s="1319">
        <f t="shared" ca="1" si="1168"/>
        <v>4295.3288000000002</v>
      </c>
      <c r="JF87" s="1319">
        <f t="shared" ca="1" si="1168"/>
        <v>7827.0342099999989</v>
      </c>
      <c r="JG87" s="1319">
        <f t="shared" ca="1" si="1168"/>
        <v>181.31686099999999</v>
      </c>
      <c r="JH87" s="1319">
        <f t="shared" ca="1" si="1168"/>
        <v>0.8836427710000001</v>
      </c>
      <c r="JT87" s="1319">
        <f t="shared" ca="1" si="1169"/>
        <v>6.4585685499999999</v>
      </c>
      <c r="JU87" s="1319">
        <f t="shared" ca="1" si="1169"/>
        <v>29.063558500000003</v>
      </c>
      <c r="JV87" s="1319">
        <f t="shared" ca="1" si="1169"/>
        <v>0.24084158799999997</v>
      </c>
      <c r="JW87" s="1319">
        <f t="shared" ca="1" si="1169"/>
        <v>4.7993158300000003</v>
      </c>
      <c r="JX87" s="1319">
        <f t="shared" ca="1" si="1169"/>
        <v>477.18994400000003</v>
      </c>
      <c r="JY87" s="1319">
        <f t="shared" ca="1" si="1169"/>
        <v>4.6400374099999997</v>
      </c>
      <c r="JZ87" s="1319">
        <f t="shared" ca="1" si="1169"/>
        <v>481.82998099999992</v>
      </c>
      <c r="KA87" s="1319">
        <f t="shared" ca="1" si="1169"/>
        <v>26.476220399999999</v>
      </c>
      <c r="KB87" s="1319">
        <f t="shared" ca="1" si="1169"/>
        <v>445.29286200000001</v>
      </c>
      <c r="KC87" s="1319">
        <f t="shared" ca="1" si="1169"/>
        <v>40.562284400000003</v>
      </c>
      <c r="KL87" s="1319">
        <f t="shared" ca="1" si="1170"/>
        <v>61.701874799999999</v>
      </c>
      <c r="KM87" s="1319">
        <f t="shared" ca="1" si="1170"/>
        <v>0.19831763699999999</v>
      </c>
      <c r="KN87" s="1319">
        <f t="shared" ca="1" si="1170"/>
        <v>0.87910952399999998</v>
      </c>
      <c r="KO87" s="1319">
        <f t="shared" ca="1" si="1170"/>
        <v>0.33587012900000002</v>
      </c>
      <c r="KP87" s="1319">
        <f t="shared" ca="1" si="1170"/>
        <v>6.4151194599999997</v>
      </c>
      <c r="KQ87" s="1319">
        <f t="shared" ca="1" si="1170"/>
        <v>68.452864399999996</v>
      </c>
      <c r="KR87" s="1319">
        <f t="shared" ca="1" si="1170"/>
        <v>1.0774271600000001</v>
      </c>
      <c r="LA87" s="1319">
        <f t="shared" ca="1" si="1171"/>
        <v>421.39563700000002</v>
      </c>
      <c r="LB87" s="1319">
        <f t="shared" ca="1" si="1171"/>
        <v>747.065337</v>
      </c>
      <c r="LC87" s="1319">
        <f t="shared" ca="1" si="1171"/>
        <v>11145.6587</v>
      </c>
      <c r="LD87" s="1319">
        <f t="shared" ca="1" si="1171"/>
        <v>11145.6587</v>
      </c>
      <c r="LE87" s="1319">
        <f t="shared" ca="1" si="1171"/>
        <v>9977.1977399999996</v>
      </c>
      <c r="LF87" s="1319">
        <f t="shared" ca="1" si="1171"/>
        <v>12853.3878</v>
      </c>
      <c r="LG87" s="1319">
        <f t="shared" ca="1" si="1171"/>
        <v>12853.3878</v>
      </c>
      <c r="LH87" s="1319">
        <f t="shared" ca="1" si="1171"/>
        <v>0</v>
      </c>
      <c r="LI87" s="1319">
        <f t="shared" ca="1" si="1171"/>
        <v>13047.157300000001</v>
      </c>
      <c r="LJ87" s="1319">
        <f t="shared" ca="1" si="1171"/>
        <v>198.598367</v>
      </c>
      <c r="LK87" s="1319">
        <f t="shared" ca="1" si="1171"/>
        <v>0</v>
      </c>
      <c r="LW87" s="1319">
        <f t="shared" ca="1" si="1113"/>
        <v>193.78093100000001</v>
      </c>
      <c r="LX87" s="1319">
        <f t="shared" ca="1" si="1172"/>
        <v>1363.0127399999999</v>
      </c>
      <c r="LY87" s="1319">
        <f t="shared" ca="1" si="1172"/>
        <v>717.27984100000003</v>
      </c>
      <c r="LZ87" s="1319">
        <f t="shared" ca="1" si="1172"/>
        <v>429.24282699999998</v>
      </c>
      <c r="MA87" s="1319">
        <f t="shared" ca="1" si="1172"/>
        <v>1146.5226700000001</v>
      </c>
      <c r="MB87" s="1319">
        <f t="shared" ca="1" si="1172"/>
        <v>11145.6587</v>
      </c>
      <c r="MC87" s="1319">
        <f t="shared" ca="1" si="1172"/>
        <v>12853.3878</v>
      </c>
      <c r="MD87" s="1319">
        <f t="shared" ca="1" si="1172"/>
        <v>13034.100399999999</v>
      </c>
      <c r="ME87" s="1319">
        <f t="shared" ca="1" si="1172"/>
        <v>1671.52728</v>
      </c>
      <c r="MF87" s="1319">
        <f t="shared" ca="1" si="1172"/>
        <v>13437.133400000001</v>
      </c>
      <c r="MG87" s="1319">
        <f t="shared" ca="1" si="1172"/>
        <v>13437.216899999999</v>
      </c>
      <c r="MH87" s="1319">
        <f t="shared" ca="1" si="1173"/>
        <v>4166.1333699999996</v>
      </c>
      <c r="MI87" s="1319">
        <f t="shared" ca="1" si="1173"/>
        <v>5.8563148900000002</v>
      </c>
      <c r="MJ87" s="1319">
        <f t="shared" ca="1" si="1172"/>
        <v>5633.7897199999998</v>
      </c>
      <c r="MK87" s="1319">
        <f t="shared" ca="1" si="1172"/>
        <v>5633.7897199999998</v>
      </c>
      <c r="ML87" s="1319">
        <f t="shared" ca="1" si="1172"/>
        <v>5633.7897199999998</v>
      </c>
      <c r="MM87" s="1319">
        <f t="shared" ca="1" si="1172"/>
        <v>259.89274399999999</v>
      </c>
      <c r="MN87" s="1319">
        <f t="shared" ca="1" si="1172"/>
        <v>1671.52728</v>
      </c>
      <c r="MO87" s="1319">
        <f t="shared" ca="1" si="1172"/>
        <v>6.2333413999999999E-9</v>
      </c>
      <c r="NA87" s="1319">
        <f t="shared" ca="1" si="1174"/>
        <v>1087.97585</v>
      </c>
      <c r="NB87" s="1319">
        <f t="shared" ca="1" si="1174"/>
        <v>871.068218</v>
      </c>
      <c r="NC87" s="1319">
        <f t="shared" ca="1" si="1174"/>
        <v>216.907633</v>
      </c>
      <c r="ND87" s="1319">
        <f t="shared" ca="1" si="1174"/>
        <v>1959.8267599999997</v>
      </c>
      <c r="NE87" s="1319">
        <f t="shared" ca="1" si="1174"/>
        <v>11471.4504</v>
      </c>
      <c r="NF87" s="1319">
        <f t="shared" ca="1" si="1174"/>
        <v>13431.277099999999</v>
      </c>
      <c r="NG87" s="1319">
        <f t="shared" ca="1" si="1174"/>
        <v>1959.8267599999997</v>
      </c>
      <c r="NH87" s="1319">
        <f t="shared" ca="1" si="1174"/>
        <v>0</v>
      </c>
      <c r="NI87" s="1319">
        <f t="shared" ca="1" si="1174"/>
        <v>13437.133400000001</v>
      </c>
      <c r="NJ87" s="1319">
        <f t="shared" ca="1" si="1174"/>
        <v>13437.133400000001</v>
      </c>
      <c r="NK87" s="1319">
        <f t="shared" ca="1" si="1174"/>
        <v>5.8563148900000002</v>
      </c>
      <c r="NL87" s="1319">
        <f t="shared" ca="1" si="1174"/>
        <v>5633.7897199999998</v>
      </c>
      <c r="NM87" s="1319">
        <f t="shared" ca="1" si="1174"/>
        <v>259.89274399999999</v>
      </c>
      <c r="NN87" s="1319">
        <f t="shared" ca="1" si="1174"/>
        <v>143.247387</v>
      </c>
      <c r="NO87" s="1319">
        <f t="shared" ca="1" si="1174"/>
        <v>1671.52728</v>
      </c>
      <c r="NP87" s="1319">
        <f t="shared" ca="1" si="1174"/>
        <v>4166.1333699999996</v>
      </c>
      <c r="OH87" s="1319">
        <f t="shared" ca="1" si="1175"/>
        <v>661786.81599999999</v>
      </c>
      <c r="OI87" s="1319">
        <f t="shared" ca="1" si="1175"/>
        <v>8605.9657999999999</v>
      </c>
      <c r="OJ87" s="1319">
        <f t="shared" ca="1" si="1175"/>
        <v>981.16698899999983</v>
      </c>
      <c r="OK87" s="1319">
        <f t="shared" ca="1" si="1175"/>
        <v>661786.81599999999</v>
      </c>
      <c r="OL87" s="1319">
        <f t="shared" ca="1" si="1175"/>
        <v>229656.75</v>
      </c>
      <c r="OM87" s="1319">
        <f t="shared" ca="1" si="1175"/>
        <v>237332.24000000002</v>
      </c>
      <c r="ON87" s="1319">
        <f t="shared" ca="1" si="1175"/>
        <v>76213.448699999994</v>
      </c>
      <c r="OO87" s="1319">
        <f t="shared" ca="1" si="1175"/>
        <v>76213.448699999994</v>
      </c>
      <c r="PA87" s="1319">
        <f t="shared" ca="1" si="1176"/>
        <v>7826.6584200000007</v>
      </c>
      <c r="PB87" s="1319">
        <f t="shared" ca="1" si="1176"/>
        <v>8351.7102900000009</v>
      </c>
      <c r="PC87" s="1319">
        <f t="shared" ca="1" si="1176"/>
        <v>633.86239799999998</v>
      </c>
      <c r="PD87" s="1319">
        <f t="shared" ca="1" si="1176"/>
        <v>1489.3386700000001</v>
      </c>
      <c r="PE87" s="1319">
        <f t="shared" ca="1" si="1176"/>
        <v>20906.705900000001</v>
      </c>
      <c r="PF87" s="1319">
        <f t="shared" ca="1" si="1176"/>
        <v>1959.8267599999997</v>
      </c>
      <c r="PG87" s="1319">
        <f t="shared" ca="1" si="1176"/>
        <v>198.598367</v>
      </c>
      <c r="PH87" s="1319">
        <f t="shared" ca="1" si="1176"/>
        <v>8167.3034899999993</v>
      </c>
      <c r="PI87" s="1319">
        <f t="shared" ca="1" si="1176"/>
        <v>29074.009400000003</v>
      </c>
      <c r="PJ87" s="1319">
        <f t="shared" ca="1" si="1176"/>
        <v>8.0487230800000003</v>
      </c>
      <c r="PK87" s="1319">
        <f t="shared" ca="1" si="1176"/>
        <v>8605.9657999999999</v>
      </c>
      <c r="PW87" s="1319">
        <f t="shared" ca="1" si="1177"/>
        <v>8.0487230800000003</v>
      </c>
      <c r="PX87" s="1319">
        <f t="shared" ca="1" si="1177"/>
        <v>8.0487230800000003</v>
      </c>
      <c r="PY87" s="1319">
        <f t="shared" ca="1" si="1177"/>
        <v>8.0487230800000003</v>
      </c>
      <c r="PZ87" s="1319">
        <f t="shared" ca="1" si="1177"/>
        <v>8.0487230800000003</v>
      </c>
    </row>
    <row r="88" spans="1:442" x14ac:dyDescent="0.25">
      <c r="A88" s="189">
        <v>67</v>
      </c>
      <c r="B88" s="189" t="s">
        <v>1256</v>
      </c>
      <c r="C88" s="1317" t="s">
        <v>1254</v>
      </c>
      <c r="D88" s="1317" t="s">
        <v>206</v>
      </c>
      <c r="J88" s="1319">
        <f t="shared" ca="1" si="1157"/>
        <v>33683.333299999998</v>
      </c>
      <c r="K88" s="1319">
        <f t="shared" ca="1" si="1180"/>
        <v>33683.333299999998</v>
      </c>
      <c r="T88" s="1319">
        <f t="shared" ca="1" si="1158"/>
        <v>33683.333299999998</v>
      </c>
      <c r="U88" s="1319">
        <f t="shared" ca="1" si="1158"/>
        <v>140999.443</v>
      </c>
      <c r="V88" s="1319">
        <f t="shared" ca="1" si="1158"/>
        <v>38825.381000000001</v>
      </c>
      <c r="W88" s="1319">
        <f t="shared" ca="1" si="1158"/>
        <v>3491.0177199999998</v>
      </c>
      <c r="X88" s="1319">
        <f t="shared" ca="1" si="1158"/>
        <v>24555.056100000002</v>
      </c>
      <c r="Y88" s="1319">
        <f t="shared" ca="1" si="1158"/>
        <v>265944.89399999997</v>
      </c>
      <c r="Z88" s="1319">
        <f t="shared" ca="1" si="1158"/>
        <v>19796.793000000001</v>
      </c>
      <c r="AA88" s="1319">
        <f t="shared" ca="1" si="1158"/>
        <v>246148.10100000002</v>
      </c>
      <c r="AB88" s="1319">
        <f t="shared" ca="1" si="1158"/>
        <v>1980.28674</v>
      </c>
      <c r="AC88" s="1319">
        <f t="shared" ca="1" si="1158"/>
        <v>36845.0942</v>
      </c>
      <c r="AD88" s="1319">
        <f t="shared" ca="1" si="1158"/>
        <v>1980.6120699999999</v>
      </c>
      <c r="AM88" s="1319">
        <f t="shared" ca="1" si="1150"/>
        <v>140999.443</v>
      </c>
      <c r="AN88" s="1319">
        <f t="shared" ca="1" si="1150"/>
        <v>140999.443</v>
      </c>
      <c r="AO88" s="1319">
        <f t="shared" ca="1" si="1179"/>
        <v>246148.10100000002</v>
      </c>
      <c r="AP88" s="1319">
        <f t="shared" ca="1" si="1179"/>
        <v>246148.10100000002</v>
      </c>
      <c r="AQ88" s="1319">
        <f t="shared" ca="1" si="1179"/>
        <v>13876.749</v>
      </c>
      <c r="AR88" s="1319">
        <f t="shared" ca="1" si="1179"/>
        <v>15874.879800000001</v>
      </c>
      <c r="AS88" s="1319">
        <f t="shared" ca="1" si="1179"/>
        <v>3921.9132100000002</v>
      </c>
      <c r="AT88" s="1319">
        <f t="shared" ca="1" si="1150"/>
        <v>13617.9959</v>
      </c>
      <c r="AU88" s="1319">
        <f t="shared" ca="1" si="1150"/>
        <v>16133.632899999999</v>
      </c>
      <c r="AV88" s="1319">
        <f t="shared" ca="1" si="1150"/>
        <v>232271.35200000004</v>
      </c>
      <c r="AW88" s="1319">
        <f t="shared" ca="1" si="1150"/>
        <v>13617.9959</v>
      </c>
      <c r="AX88" s="1319">
        <f t="shared" ca="1" si="1150"/>
        <v>33673.542000000001</v>
      </c>
      <c r="AY88" s="1319">
        <f t="shared" ca="1" si="1150"/>
        <v>1050.8174799999999</v>
      </c>
      <c r="AZ88" s="1319">
        <f t="shared" ca="1" si="1150"/>
        <v>150458.399</v>
      </c>
      <c r="BA88" s="1319">
        <f t="shared" ca="1" si="1150"/>
        <v>151509.217</v>
      </c>
      <c r="BB88" s="1319">
        <f t="shared" ca="1" si="1150"/>
        <v>383577.27</v>
      </c>
      <c r="BN88" s="1319">
        <f t="shared" ca="1" si="1159"/>
        <v>42156.957799999996</v>
      </c>
      <c r="BO88" s="1319">
        <f t="shared" ca="1" si="1159"/>
        <v>40229.2808</v>
      </c>
      <c r="BP88" s="1319">
        <f t="shared" ca="1" si="1159"/>
        <v>1969.1759100000002</v>
      </c>
      <c r="BQ88" s="1319">
        <f t="shared" ca="1" si="1159"/>
        <v>158.08859200000001</v>
      </c>
      <c r="BR88" s="1319">
        <f t="shared" ca="1" si="1159"/>
        <v>26.1890933</v>
      </c>
      <c r="CD88" s="1319">
        <f t="shared" ca="1" si="1160"/>
        <v>383577.27</v>
      </c>
      <c r="CE88" s="1319">
        <f t="shared" ca="1" si="1160"/>
        <v>383577.27</v>
      </c>
      <c r="CF88" s="1319">
        <f t="shared" ca="1" si="1160"/>
        <v>42156.957799999996</v>
      </c>
      <c r="CG88" s="1319">
        <f t="shared" ca="1" si="1160"/>
        <v>40229.2808</v>
      </c>
      <c r="CH88" s="1319">
        <f t="shared" ca="1" si="1160"/>
        <v>396686.18</v>
      </c>
      <c r="CI88" s="1319">
        <f t="shared" ca="1" si="1160"/>
        <v>711.39866199999994</v>
      </c>
      <c r="CJ88" s="1319">
        <f t="shared" ca="1" si="1160"/>
        <v>116.09195099999999</v>
      </c>
      <c r="CK88" s="1319">
        <f t="shared" ca="1" si="1160"/>
        <v>400644.62400000001</v>
      </c>
      <c r="CL88" s="1319">
        <f t="shared" ca="1" si="1160"/>
        <v>19179.428500000002</v>
      </c>
      <c r="CM88" s="1319">
        <f t="shared" ca="1" si="1160"/>
        <v>13108.9097</v>
      </c>
      <c r="CN88" s="1319">
        <f t="shared" ca="1" si="1160"/>
        <v>427837.01899999997</v>
      </c>
      <c r="CO88" s="1319">
        <f t="shared" ca="1" si="1160"/>
        <v>27192.394899999999</v>
      </c>
      <c r="DA88" s="1319">
        <f t="shared" ca="1" si="1161"/>
        <v>786.02159099999994</v>
      </c>
      <c r="DB88" s="1319">
        <f t="shared" ca="1" si="1161"/>
        <v>5.8951619300000004</v>
      </c>
      <c r="DC88" s="1319">
        <f t="shared" ca="1" si="1161"/>
        <v>0.489061574</v>
      </c>
      <c r="DD88" s="1319">
        <f t="shared" ca="1" si="1161"/>
        <v>5.7200563799999999</v>
      </c>
      <c r="DE88" s="1319">
        <f t="shared" ca="1" si="1161"/>
        <v>728.85581400000001</v>
      </c>
      <c r="DF88" s="1319">
        <f t="shared" ca="1" si="1161"/>
        <v>1585.9873700000001</v>
      </c>
      <c r="DG88" s="1319">
        <f t="shared" ca="1" si="1161"/>
        <v>32582.828799999999</v>
      </c>
      <c r="DH88" s="1319">
        <f t="shared" ca="1" si="1161"/>
        <v>32582.828799999999</v>
      </c>
      <c r="DI88" s="1319">
        <f t="shared" ca="1" si="1161"/>
        <v>31031.265499999998</v>
      </c>
      <c r="DJ88" s="1319">
        <f t="shared" ca="1" si="1161"/>
        <v>1551.5632800000001</v>
      </c>
      <c r="DV88" s="1319">
        <f t="shared" ca="1" si="1162"/>
        <v>11419.2086</v>
      </c>
      <c r="DW88" s="1319">
        <f t="shared" ca="1" si="1162"/>
        <v>2844.6651299999999</v>
      </c>
      <c r="DX88" s="1319">
        <f t="shared" ca="1" si="1162"/>
        <v>15720.431799999998</v>
      </c>
      <c r="DY88" s="1319">
        <f t="shared" ca="1" si="1162"/>
        <v>786.02159099999994</v>
      </c>
      <c r="DZ88" s="1319">
        <f t="shared" ca="1" si="1162"/>
        <v>0.489061574</v>
      </c>
      <c r="EA88" s="1319">
        <f t="shared" ca="1" si="1162"/>
        <v>728.85581400000001</v>
      </c>
      <c r="EB88" s="1319">
        <f t="shared" ca="1" si="1162"/>
        <v>14934.4102</v>
      </c>
      <c r="EC88" s="1319">
        <f t="shared" ca="1" si="1162"/>
        <v>184.826539</v>
      </c>
      <c r="ED88" s="1319">
        <f t="shared" ca="1" si="1162"/>
        <v>13108.9097</v>
      </c>
      <c r="EE88" s="1319">
        <f t="shared" ca="1" si="1162"/>
        <v>31801.300599999999</v>
      </c>
      <c r="EF88" s="1319">
        <f t="shared" ca="1" si="1162"/>
        <v>67.352044000000006</v>
      </c>
      <c r="EG88" s="1319">
        <f t="shared" ca="1" si="1162"/>
        <v>109.253077</v>
      </c>
      <c r="EH88" s="1319">
        <f t="shared" ca="1" si="1162"/>
        <v>16.4154968</v>
      </c>
      <c r="EI88" s="1319">
        <f t="shared" ca="1" si="1162"/>
        <v>117.474495</v>
      </c>
      <c r="EJ88" s="1319">
        <f t="shared" ca="1" si="1101"/>
        <v>13.357518000000001</v>
      </c>
      <c r="EK88" s="1319">
        <f t="shared" ref="EK88" ca="1" si="1181">VLOOKUP(EK$1,INDIRECT(LU_MAT),$A88,FALSE)</f>
        <v>31031.265499999998</v>
      </c>
      <c r="EW88" s="1319">
        <f t="shared" ca="1" si="1163"/>
        <v>427837.01899999997</v>
      </c>
      <c r="EX88" s="1319">
        <f t="shared" ca="1" si="1163"/>
        <v>427837.01899999997</v>
      </c>
      <c r="EY88" s="1319">
        <f t="shared" ca="1" si="1163"/>
        <v>368571.31900000002</v>
      </c>
      <c r="EZ88" s="1319">
        <f t="shared" ca="1" si="1163"/>
        <v>368571.31900000002</v>
      </c>
      <c r="FA88" s="1319">
        <f t="shared" ca="1" si="1163"/>
        <v>610.62466600000005</v>
      </c>
      <c r="FB88" s="1319">
        <f t="shared" ca="1" si="1163"/>
        <v>58655.076299999993</v>
      </c>
      <c r="FN88" s="1319">
        <f t="shared" ca="1" si="1164"/>
        <v>1969.1759100000002</v>
      </c>
      <c r="FO88" s="1319">
        <f t="shared" ca="1" si="1164"/>
        <v>19179.428500000002</v>
      </c>
      <c r="FP88" s="1319">
        <f t="shared" ca="1" si="1164"/>
        <v>610.62466600000005</v>
      </c>
      <c r="FQ88" s="1319">
        <f t="shared" ca="1" si="1164"/>
        <v>58655.076299999993</v>
      </c>
      <c r="FR88" s="1319">
        <f t="shared" ca="1" si="1164"/>
        <v>29172.843199999999</v>
      </c>
      <c r="FS88" s="1319">
        <f t="shared" ca="1" si="1164"/>
        <v>36845.0942</v>
      </c>
      <c r="FT88" s="1319">
        <f t="shared" ca="1" si="1164"/>
        <v>7362.8612899999998</v>
      </c>
      <c r="FU88" s="1319">
        <f t="shared" ca="1" si="1164"/>
        <v>21759.228999999999</v>
      </c>
      <c r="FV88" s="1319">
        <f t="shared" ca="1" si="1164"/>
        <v>26830.853200000001</v>
      </c>
      <c r="FW88" s="1319">
        <f t="shared" ca="1" si="1164"/>
        <v>21397.687300000001</v>
      </c>
      <c r="FX88" s="1319">
        <f t="shared" ca="1" si="1164"/>
        <v>27192.394899999999</v>
      </c>
      <c r="GJ88" s="1319">
        <f t="shared" ca="1" si="1165"/>
        <v>29172.843199999999</v>
      </c>
      <c r="GK88" s="1319">
        <f t="shared" ca="1" si="1165"/>
        <v>29172.843199999999</v>
      </c>
      <c r="GL88" s="1319">
        <f t="shared" ca="1" si="1165"/>
        <v>7362.85646</v>
      </c>
      <c r="GM88" s="1319">
        <f t="shared" ca="1" si="1165"/>
        <v>21809.986700000001</v>
      </c>
      <c r="GN88" s="1319">
        <f t="shared" ca="1" si="1165"/>
        <v>21809.986700000001</v>
      </c>
      <c r="GO88" s="1319">
        <f t="shared" ca="1" si="1165"/>
        <v>7362.85646</v>
      </c>
      <c r="GP88" s="1319">
        <f t="shared" ca="1" si="1165"/>
        <v>21809.986700000001</v>
      </c>
      <c r="GQ88" s="1319">
        <f t="shared" ca="1" si="1165"/>
        <v>7362.8612899999998</v>
      </c>
      <c r="HC88" s="1319">
        <f t="shared" ca="1" si="1166"/>
        <v>368571.31900000002</v>
      </c>
      <c r="HD88" s="1319">
        <f t="shared" ca="1" si="1166"/>
        <v>354848.82799999998</v>
      </c>
      <c r="HE88" s="1319">
        <f t="shared" ca="1" si="1166"/>
        <v>12113.951800000001</v>
      </c>
      <c r="HF88" s="1319">
        <f t="shared" ca="1" si="1166"/>
        <v>12052.6684</v>
      </c>
      <c r="HG88" s="1319">
        <f t="shared" ca="1" si="1166"/>
        <v>13783.774799999999</v>
      </c>
      <c r="HH88" s="1319">
        <f t="shared" ca="1" si="1166"/>
        <v>354848.82799999998</v>
      </c>
      <c r="HT88" s="1319">
        <f t="shared" ca="1" si="1167"/>
        <v>33673.542000000001</v>
      </c>
      <c r="HU88" s="1319">
        <f t="shared" ca="1" si="1167"/>
        <v>354848.82799999998</v>
      </c>
      <c r="HV88" s="1319">
        <f t="shared" ca="1" si="1167"/>
        <v>411026.90700000001</v>
      </c>
      <c r="HW88" s="1319">
        <f t="shared" ca="1" si="1167"/>
        <v>411026.90700000001</v>
      </c>
      <c r="HX88" s="1319">
        <f t="shared" ca="1" si="1167"/>
        <v>360685.65500000003</v>
      </c>
      <c r="HY88" s="1319">
        <f t="shared" ca="1" si="1167"/>
        <v>27428.062399999999</v>
      </c>
      <c r="HZ88" s="1319">
        <f t="shared" ca="1" si="1167"/>
        <v>21861.0072</v>
      </c>
      <c r="IA88" s="1319">
        <f t="shared" ca="1" si="1167"/>
        <v>21.092107800000001</v>
      </c>
      <c r="IB88" s="1319">
        <f t="shared" ca="1" si="1167"/>
        <v>4682.04054</v>
      </c>
      <c r="IC88" s="1319">
        <f t="shared" ca="1" si="1167"/>
        <v>147136.25899999999</v>
      </c>
      <c r="ID88" s="1319">
        <f t="shared" ca="1" si="1167"/>
        <v>147136.25899999999</v>
      </c>
      <c r="IE88" s="1319">
        <f t="shared" ca="1" si="1167"/>
        <v>17677.4961</v>
      </c>
      <c r="IQ88" s="1319">
        <f t="shared" ca="1" si="1168"/>
        <v>360685.65500000003</v>
      </c>
      <c r="IR88" s="1319">
        <f t="shared" ca="1" si="1168"/>
        <v>27428.062399999999</v>
      </c>
      <c r="IS88" s="1319">
        <f t="shared" ca="1" si="1168"/>
        <v>89624.746599999999</v>
      </c>
      <c r="IT88" s="1319">
        <f t="shared" ca="1" si="1168"/>
        <v>117052.80899999998</v>
      </c>
      <c r="IU88" s="1319">
        <f t="shared" ca="1" si="1108"/>
        <v>109244.98</v>
      </c>
      <c r="IV88" s="1319">
        <f t="shared" ca="1" si="1168"/>
        <v>2627198.7200000002</v>
      </c>
      <c r="IW88" s="1319">
        <f t="shared" ca="1" si="1168"/>
        <v>2150993.9199999999</v>
      </c>
      <c r="IX88" s="1319">
        <f t="shared" ca="1" si="1109"/>
        <v>220999.43700000001</v>
      </c>
      <c r="IY88" s="1319">
        <f t="shared" ca="1" si="1168"/>
        <v>7807.8290500000003</v>
      </c>
      <c r="IZ88" s="1319">
        <f t="shared" ca="1" si="1168"/>
        <v>386582.93</v>
      </c>
      <c r="JA88" s="1319">
        <f t="shared" ca="1" si="1168"/>
        <v>2240618.67</v>
      </c>
      <c r="JB88" s="1319">
        <f t="shared" ca="1" si="1168"/>
        <v>376640.16100000002</v>
      </c>
      <c r="JC88" s="1319">
        <f t="shared" ca="1" si="1168"/>
        <v>9921.6759700000002</v>
      </c>
      <c r="JD88" s="1319">
        <f t="shared" ca="1" si="1168"/>
        <v>305287.01400000002</v>
      </c>
      <c r="JE88" s="1319">
        <f t="shared" ca="1" si="1168"/>
        <v>81295.915800000002</v>
      </c>
      <c r="JF88" s="1319">
        <f t="shared" ca="1" si="1168"/>
        <v>223184.03400000001</v>
      </c>
      <c r="JG88" s="1319">
        <f t="shared" ca="1" si="1168"/>
        <v>4504.1320500000002</v>
      </c>
      <c r="JH88" s="1319">
        <f t="shared" ref="JH88" ca="1" si="1182">VLOOKUP(JH$1,INDIRECT(LU_MAT),$A88,FALSE)</f>
        <v>21.092107800000001</v>
      </c>
      <c r="JT88" s="1319">
        <f t="shared" ca="1" si="1169"/>
        <v>158.08859200000001</v>
      </c>
      <c r="JU88" s="1319">
        <f t="shared" ca="1" si="1169"/>
        <v>711.39866199999994</v>
      </c>
      <c r="JV88" s="1319">
        <f t="shared" ca="1" si="1169"/>
        <v>5.8951619300000004</v>
      </c>
      <c r="JW88" s="1319">
        <f t="shared" ca="1" si="1169"/>
        <v>117.474495</v>
      </c>
      <c r="JX88" s="1319">
        <f t="shared" ca="1" si="1169"/>
        <v>21809.986700000001</v>
      </c>
      <c r="JY88" s="1319">
        <f t="shared" ca="1" si="1169"/>
        <v>464.95049399999994</v>
      </c>
      <c r="JZ88" s="1319">
        <f t="shared" ca="1" si="1169"/>
        <v>22274.9372</v>
      </c>
      <c r="KA88" s="1319">
        <f t="shared" ca="1" si="1169"/>
        <v>1980.6120699999999</v>
      </c>
      <c r="KB88" s="1319">
        <f t="shared" ca="1" si="1169"/>
        <v>8022.0755900000004</v>
      </c>
      <c r="KC88" s="1319">
        <f t="shared" ca="1" si="1169"/>
        <v>992.85691100000008</v>
      </c>
      <c r="KL88" s="1319">
        <f t="shared" ca="1" si="1170"/>
        <v>1050.8174799999999</v>
      </c>
      <c r="KM88" s="1319">
        <f t="shared" ca="1" si="1170"/>
        <v>26.1890933</v>
      </c>
      <c r="KN88" s="1319">
        <f t="shared" ca="1" si="1170"/>
        <v>116.09195099999999</v>
      </c>
      <c r="KO88" s="1319">
        <f t="shared" ca="1" si="1170"/>
        <v>5.7200563799999999</v>
      </c>
      <c r="KP88" s="1319">
        <f t="shared" ca="1" si="1170"/>
        <v>109.253077</v>
      </c>
      <c r="KQ88" s="1319">
        <f t="shared" ca="1" si="1170"/>
        <v>1165.79061</v>
      </c>
      <c r="KR88" s="1319">
        <f t="shared" ca="1" si="1170"/>
        <v>142.28104400000001</v>
      </c>
      <c r="LA88" s="1319">
        <f t="shared" ca="1" si="1171"/>
        <v>12052.6684</v>
      </c>
      <c r="LB88" s="1319">
        <f t="shared" ca="1" si="1171"/>
        <v>21861.0072</v>
      </c>
      <c r="LC88" s="1319">
        <f t="shared" ca="1" si="1171"/>
        <v>318408.56599999999</v>
      </c>
      <c r="LD88" s="1319">
        <f t="shared" ca="1" si="1171"/>
        <v>318408.56599999999</v>
      </c>
      <c r="LE88" s="1319">
        <f t="shared" ca="1" si="1171"/>
        <v>284494.891</v>
      </c>
      <c r="LF88" s="1319">
        <f t="shared" ca="1" si="1171"/>
        <v>360475.61599999998</v>
      </c>
      <c r="LG88" s="1319">
        <f t="shared" ca="1" si="1171"/>
        <v>360475.61599999998</v>
      </c>
      <c r="LH88" s="1319">
        <f t="shared" ca="1" si="1171"/>
        <v>0</v>
      </c>
      <c r="LI88" s="1319">
        <f t="shared" ca="1" si="1171"/>
        <v>363454.174</v>
      </c>
      <c r="LJ88" s="1319">
        <f t="shared" ca="1" si="1171"/>
        <v>3577.80519</v>
      </c>
      <c r="LK88" s="1319">
        <f t="shared" ca="1" si="1171"/>
        <v>0</v>
      </c>
      <c r="LW88" s="1319">
        <f t="shared" ca="1" si="1113"/>
        <v>3491.0177199999998</v>
      </c>
      <c r="LX88" s="1319">
        <f t="shared" ca="1" si="1172"/>
        <v>24555.056100000002</v>
      </c>
      <c r="LY88" s="1319">
        <f t="shared" ca="1" si="1172"/>
        <v>13783.774799999999</v>
      </c>
      <c r="LZ88" s="1319">
        <f t="shared" ca="1" si="1172"/>
        <v>7807.8290500000003</v>
      </c>
      <c r="MA88" s="1319">
        <f t="shared" ca="1" si="1172"/>
        <v>21591.603800000001</v>
      </c>
      <c r="MB88" s="1319">
        <f t="shared" ca="1" si="1172"/>
        <v>318408.56599999999</v>
      </c>
      <c r="MC88" s="1319">
        <f t="shared" ca="1" si="1172"/>
        <v>360475.61599999998</v>
      </c>
      <c r="MD88" s="1319">
        <f t="shared" ca="1" si="1172"/>
        <v>234812.967</v>
      </c>
      <c r="ME88" s="1319">
        <f t="shared" ca="1" si="1172"/>
        <v>30113.032100000004</v>
      </c>
      <c r="MF88" s="1319">
        <f t="shared" ca="1" si="1172"/>
        <v>242073.72100000002</v>
      </c>
      <c r="MG88" s="1319">
        <f t="shared" ca="1" si="1172"/>
        <v>242075.22399999999</v>
      </c>
      <c r="MH88" s="1319">
        <f t="shared" ca="1" si="1173"/>
        <v>75054.059099999999</v>
      </c>
      <c r="MI88" s="1319">
        <f t="shared" ca="1" si="1173"/>
        <v>105.503152</v>
      </c>
      <c r="MJ88" s="1319">
        <f t="shared" ca="1" si="1172"/>
        <v>101494.299</v>
      </c>
      <c r="MK88" s="1319">
        <f t="shared" ca="1" si="1172"/>
        <v>101494.299</v>
      </c>
      <c r="ML88" s="1319">
        <f t="shared" ca="1" si="1172"/>
        <v>101494.299</v>
      </c>
      <c r="MM88" s="1319">
        <f t="shared" ca="1" si="1172"/>
        <v>4682.04054</v>
      </c>
      <c r="MN88" s="1319">
        <f t="shared" ca="1" si="1172"/>
        <v>30113.032100000004</v>
      </c>
      <c r="MO88" s="1319">
        <f t="shared" ref="MO88" ca="1" si="1183">VLOOKUP(MO$1,INDIRECT(LU_MAT),$A88,FALSE)</f>
        <v>9.9999999999999995E-8</v>
      </c>
      <c r="NA88" s="1319">
        <f t="shared" ca="1" si="1174"/>
        <v>19796.793000000001</v>
      </c>
      <c r="NB88" s="1319">
        <f t="shared" ca="1" si="1174"/>
        <v>15874.879800000001</v>
      </c>
      <c r="NC88" s="1319">
        <f t="shared" ca="1" si="1174"/>
        <v>3921.9132100000002</v>
      </c>
      <c r="ND88" s="1319">
        <f t="shared" ca="1" si="1174"/>
        <v>35306.827799999999</v>
      </c>
      <c r="NE88" s="1319">
        <f t="shared" ca="1" si="1174"/>
        <v>206661.39</v>
      </c>
      <c r="NF88" s="1319">
        <f t="shared" ca="1" si="1174"/>
        <v>241968.21799999999</v>
      </c>
      <c r="NG88" s="1319">
        <f t="shared" ca="1" si="1174"/>
        <v>35306.827799999999</v>
      </c>
      <c r="NH88" s="1319">
        <f t="shared" ca="1" si="1174"/>
        <v>0</v>
      </c>
      <c r="NI88" s="1319">
        <f t="shared" ca="1" si="1174"/>
        <v>242073.72100000002</v>
      </c>
      <c r="NJ88" s="1319">
        <f t="shared" ca="1" si="1174"/>
        <v>242073.72100000002</v>
      </c>
      <c r="NK88" s="1319">
        <f t="shared" ca="1" si="1174"/>
        <v>105.503152</v>
      </c>
      <c r="NL88" s="1319">
        <f t="shared" ca="1" si="1174"/>
        <v>101494.299</v>
      </c>
      <c r="NM88" s="1319">
        <f t="shared" ca="1" si="1174"/>
        <v>4682.04054</v>
      </c>
      <c r="NN88" s="1319">
        <f t="shared" ca="1" si="1174"/>
        <v>2580.6417799999999</v>
      </c>
      <c r="NO88" s="1319">
        <f t="shared" ca="1" si="1174"/>
        <v>30113.032100000004</v>
      </c>
      <c r="NP88" s="1319">
        <f t="shared" ref="NP88" ca="1" si="1184">VLOOKUP(NP$1,INDIRECT(LU_MAT),$A88,FALSE)</f>
        <v>75054.059099999999</v>
      </c>
      <c r="OH88" s="1319">
        <f t="shared" ca="1" si="1175"/>
        <v>11922358.800000001</v>
      </c>
      <c r="OI88" s="1319">
        <f t="shared" ca="1" si="1175"/>
        <v>155038.88399999999</v>
      </c>
      <c r="OJ88" s="1319">
        <f t="shared" ca="1" si="1175"/>
        <v>17676.124199999998</v>
      </c>
      <c r="OK88" s="1319">
        <f t="shared" ca="1" si="1175"/>
        <v>11922358.800000001</v>
      </c>
      <c r="OL88" s="1319">
        <f t="shared" ca="1" si="1175"/>
        <v>6548549.3700000001</v>
      </c>
      <c r="OM88" s="1319">
        <f t="shared" ca="1" si="1175"/>
        <v>6686825.3399999999</v>
      </c>
      <c r="ON88" s="1319">
        <f t="shared" ca="1" si="1175"/>
        <v>1373006.62</v>
      </c>
      <c r="OO88" s="1319">
        <f t="shared" ca="1" si="1175"/>
        <v>1373006.62</v>
      </c>
      <c r="PA88" s="1319">
        <f t="shared" ca="1" si="1176"/>
        <v>140999.443</v>
      </c>
      <c r="PB88" s="1319">
        <f t="shared" ca="1" si="1176"/>
        <v>150458.399</v>
      </c>
      <c r="PC88" s="1319">
        <f t="shared" ca="1" si="1176"/>
        <v>11419.2086</v>
      </c>
      <c r="PD88" s="1319">
        <f t="shared" ca="1" si="1176"/>
        <v>26830.853200000001</v>
      </c>
      <c r="PE88" s="1319">
        <f t="shared" ca="1" si="1176"/>
        <v>376640.16100000002</v>
      </c>
      <c r="PF88" s="1319">
        <f t="shared" ca="1" si="1176"/>
        <v>35306.827799999999</v>
      </c>
      <c r="PG88" s="1319">
        <f t="shared" ca="1" si="1176"/>
        <v>3577.80519</v>
      </c>
      <c r="PH88" s="1319">
        <f t="shared" ca="1" si="1176"/>
        <v>147136.25899999999</v>
      </c>
      <c r="PI88" s="1319">
        <f t="shared" ca="1" si="1176"/>
        <v>523776.42099999991</v>
      </c>
      <c r="PJ88" s="1319">
        <f t="shared" ca="1" si="1176"/>
        <v>145</v>
      </c>
      <c r="PK88" s="1319">
        <f t="shared" ca="1" si="1176"/>
        <v>155038.88399999999</v>
      </c>
      <c r="PW88" s="1319">
        <f t="shared" ca="1" si="1177"/>
        <v>145</v>
      </c>
      <c r="PX88" s="1319">
        <f t="shared" ca="1" si="1177"/>
        <v>145</v>
      </c>
      <c r="PY88" s="1319">
        <f t="shared" ca="1" si="1177"/>
        <v>145</v>
      </c>
      <c r="PZ88" s="1319">
        <f t="shared" ca="1" si="1177"/>
        <v>145</v>
      </c>
    </row>
    <row r="89" spans="1:442" x14ac:dyDescent="0.25">
      <c r="A89" s="189">
        <v>68</v>
      </c>
      <c r="B89" s="189" t="s">
        <v>1256</v>
      </c>
      <c r="C89" s="1317" t="s">
        <v>1310</v>
      </c>
      <c r="D89" s="1317" t="s">
        <v>76</v>
      </c>
      <c r="J89" s="1319">
        <f t="shared" ca="1" si="1157"/>
        <v>435.67472099999998</v>
      </c>
      <c r="K89" s="1319">
        <f t="shared" ref="K89:K95" ca="1" si="1185">VLOOKUP(K$1,INDIRECT(LU_MAT),$A89,FALSE)</f>
        <v>435.67472099999998</v>
      </c>
      <c r="T89" s="1319">
        <f t="shared" ca="1" si="1158"/>
        <v>435.67472099999998</v>
      </c>
      <c r="U89" s="1319">
        <f t="shared" ca="1" si="1158"/>
        <v>2544.4659799999999</v>
      </c>
      <c r="V89" s="1319">
        <f t="shared" ca="1" si="1158"/>
        <v>706.66815299999996</v>
      </c>
      <c r="W89" s="1319">
        <f t="shared" ca="1" si="1158"/>
        <v>11035.6173</v>
      </c>
      <c r="X89" s="1319">
        <f t="shared" ca="1" si="1158"/>
        <v>77622.121499999994</v>
      </c>
      <c r="Y89" s="1319">
        <f t="shared" ca="1" si="1158"/>
        <v>4753.7545799999998</v>
      </c>
      <c r="Z89" s="1319">
        <f t="shared" ca="1" si="1158"/>
        <v>225034.41500000001</v>
      </c>
      <c r="AA89" s="1319">
        <f t="shared" ca="1" si="1158"/>
        <v>4207.3059899999998</v>
      </c>
      <c r="AB89" s="1319">
        <f t="shared" ca="1" si="1158"/>
        <v>20.9193502</v>
      </c>
      <c r="AC89" s="1319">
        <f t="shared" ca="1" si="1158"/>
        <v>679.188759</v>
      </c>
      <c r="AD89" s="1319">
        <f t="shared" ca="1" si="1158"/>
        <v>20.911270600000002</v>
      </c>
      <c r="AM89" s="1319">
        <f t="shared" ca="1" si="1150"/>
        <v>2382.8588599999998</v>
      </c>
      <c r="AN89" s="1319">
        <f t="shared" ca="1" si="1150"/>
        <v>2544.4659799999999</v>
      </c>
      <c r="AO89" s="1319">
        <f t="shared" ca="1" si="1179"/>
        <v>4207.3059899999998</v>
      </c>
      <c r="AP89" s="1319">
        <f t="shared" ca="1" si="1179"/>
        <v>4209.96821</v>
      </c>
      <c r="AQ89" s="1319">
        <f t="shared" ca="1" si="1179"/>
        <v>384553.51299999998</v>
      </c>
      <c r="AR89" s="1319">
        <f t="shared" ca="1" si="1179"/>
        <v>444484.76699999999</v>
      </c>
      <c r="AS89" s="1319">
        <f t="shared" ca="1" si="1179"/>
        <v>71.170369300000004</v>
      </c>
      <c r="AT89" s="1319">
        <f t="shared" ca="1" si="1150"/>
        <v>378903.61200000002</v>
      </c>
      <c r="AU89" s="1319">
        <f t="shared" ca="1" si="1150"/>
        <v>292.70491399999997</v>
      </c>
      <c r="AV89" s="1319">
        <f t="shared" ca="1" si="1150"/>
        <v>3789.2636000000002</v>
      </c>
      <c r="AW89" s="1319">
        <f t="shared" ca="1" si="1150"/>
        <v>246.24166299999999</v>
      </c>
      <c r="AX89" s="1319">
        <f t="shared" ca="1" si="1150"/>
        <v>629.525576</v>
      </c>
      <c r="AY89" s="1319">
        <f t="shared" ca="1" si="1150"/>
        <v>28.7480783</v>
      </c>
      <c r="AZ89" s="1319">
        <f t="shared" ca="1" si="1150"/>
        <v>2542.7130900000002</v>
      </c>
      <c r="BA89" s="1319">
        <f t="shared" ca="1" si="1150"/>
        <v>2577.0171300000002</v>
      </c>
      <c r="BB89" s="1319">
        <f t="shared" ca="1" si="1150"/>
        <v>6443.89617</v>
      </c>
      <c r="BN89" s="1319">
        <f t="shared" ref="BN89:BR104" ca="1" si="1186">VLOOKUP(BN$1,INDIRECT(LU_MAT),$A89,FALSE)</f>
        <v>651.46997499999998</v>
      </c>
      <c r="BO89" s="1319">
        <f t="shared" ca="1" si="1186"/>
        <v>669.78598999999997</v>
      </c>
      <c r="BP89" s="1319">
        <f t="shared" ca="1" si="1186"/>
        <v>19236.378700000001</v>
      </c>
      <c r="BQ89" s="1319">
        <f t="shared" ca="1" si="1186"/>
        <v>2.47172459</v>
      </c>
      <c r="BR89" s="1319">
        <f t="shared" ca="1" si="1186"/>
        <v>0.432343166</v>
      </c>
      <c r="CD89" s="1319">
        <f t="shared" ref="CD89:CO104" ca="1" si="1187">VLOOKUP(CD$1,INDIRECT(LU_MAT),$A89,FALSE)</f>
        <v>6443.89617</v>
      </c>
      <c r="CE89" s="1319">
        <f t="shared" ca="1" si="1187"/>
        <v>6248.4310800000003</v>
      </c>
      <c r="CF89" s="1319">
        <f t="shared" ca="1" si="1187"/>
        <v>651.46997499999998</v>
      </c>
      <c r="CG89" s="1319">
        <f t="shared" ca="1" si="1187"/>
        <v>669.78598999999997</v>
      </c>
      <c r="CH89" s="1319">
        <f t="shared" ca="1" si="1187"/>
        <v>6471.2790599999998</v>
      </c>
      <c r="CI89" s="1319">
        <f t="shared" ca="1" si="1187"/>
        <v>11.122760700000001</v>
      </c>
      <c r="CJ89" s="1319">
        <f t="shared" ca="1" si="1187"/>
        <v>1.91650627</v>
      </c>
      <c r="CK89" s="1319">
        <f t="shared" ca="1" si="1187"/>
        <v>6703.1920899999996</v>
      </c>
      <c r="CL89" s="1319">
        <f t="shared" ca="1" si="1187"/>
        <v>187312.11499999999</v>
      </c>
      <c r="CM89" s="1319">
        <f t="shared" ca="1" si="1187"/>
        <v>220.55320599999999</v>
      </c>
      <c r="CN89" s="1319">
        <f t="shared" ca="1" si="1187"/>
        <v>7167.2101199999997</v>
      </c>
      <c r="CO89" s="1319">
        <f t="shared" ca="1" si="1187"/>
        <v>461.70022799999998</v>
      </c>
      <c r="DA89" s="1319">
        <f t="shared" ref="DA89:DJ104" ca="1" si="1188">VLOOKUP(DA$1,INDIRECT(LU_MAT),$A89,FALSE)</f>
        <v>12.481730900000001</v>
      </c>
      <c r="DB89" s="1319">
        <f t="shared" ca="1" si="1188"/>
        <v>9.2171209700000006E-2</v>
      </c>
      <c r="DC89" s="1319">
        <f t="shared" ca="1" si="1188"/>
        <v>1.04800914</v>
      </c>
      <c r="DD89" s="1319">
        <f t="shared" ca="1" si="1188"/>
        <v>15.369903100000002</v>
      </c>
      <c r="DE89" s="1319">
        <f t="shared" ca="1" si="1188"/>
        <v>12.1403847</v>
      </c>
      <c r="DF89" s="1319">
        <f t="shared" ca="1" si="1188"/>
        <v>22586.3714</v>
      </c>
      <c r="DG89" s="1319">
        <f t="shared" ca="1" si="1188"/>
        <v>465926.16399999999</v>
      </c>
      <c r="DH89" s="1319">
        <f t="shared" ca="1" si="1188"/>
        <v>162004.29500000001</v>
      </c>
      <c r="DI89" s="1319">
        <f t="shared" ca="1" si="1188"/>
        <v>154289.80499999999</v>
      </c>
      <c r="DJ89" s="1319">
        <f t="shared" ca="1" si="1188"/>
        <v>7714.4902300000003</v>
      </c>
      <c r="DV89" s="1319">
        <f t="shared" ref="DV89:EK104" ca="1" si="1189">VLOOKUP(DV$1,INDIRECT(LU_MAT),$A89,FALSE)</f>
        <v>192.982056</v>
      </c>
      <c r="DW89" s="1319">
        <f t="shared" ca="1" si="1189"/>
        <v>16.375803399999999</v>
      </c>
      <c r="DX89" s="1319">
        <f t="shared" ca="1" si="1189"/>
        <v>249.63461799999999</v>
      </c>
      <c r="DY89" s="1319">
        <f t="shared" ca="1" si="1189"/>
        <v>12.481730900000001</v>
      </c>
      <c r="DZ89" s="1319">
        <f t="shared" ca="1" si="1189"/>
        <v>1.04800914</v>
      </c>
      <c r="EA89" s="1319">
        <f t="shared" ca="1" si="1189"/>
        <v>12.1403847</v>
      </c>
      <c r="EB89" s="1319">
        <f t="shared" ca="1" si="1189"/>
        <v>237.15288799999999</v>
      </c>
      <c r="EC89" s="1319">
        <f t="shared" ca="1" si="1189"/>
        <v>2.2411255099999998</v>
      </c>
      <c r="ED89" s="1319">
        <f t="shared" ca="1" si="1189"/>
        <v>220.55320599999999</v>
      </c>
      <c r="EE89" s="1319">
        <f t="shared" ca="1" si="1189"/>
        <v>451371.57900000003</v>
      </c>
      <c r="EF89" s="1319">
        <f t="shared" ca="1" si="1189"/>
        <v>5.8672475000000009E-2</v>
      </c>
      <c r="EG89" s="1319">
        <f t="shared" ca="1" si="1189"/>
        <v>293.56514900000002</v>
      </c>
      <c r="EH89" s="1319">
        <f t="shared" ca="1" si="1189"/>
        <v>35.176737500000002</v>
      </c>
      <c r="EI89" s="1319">
        <f t="shared" ca="1" si="1189"/>
        <v>1.8367207699999999</v>
      </c>
      <c r="EJ89" s="1319">
        <f t="shared" ca="1" si="1101"/>
        <v>0.25106640499999999</v>
      </c>
      <c r="EK89" s="1319">
        <f t="shared" ca="1" si="1189"/>
        <v>154289.80499999999</v>
      </c>
      <c r="EW89" s="1319">
        <f t="shared" ref="EW89:FB104" ca="1" si="1190">VLOOKUP(EW$1,INDIRECT(LU_MAT),$A89,FALSE)</f>
        <v>7167.2101199999997</v>
      </c>
      <c r="EX89" s="1319">
        <f t="shared" ca="1" si="1190"/>
        <v>7755.0459799999999</v>
      </c>
      <c r="EY89" s="1319">
        <f t="shared" ca="1" si="1190"/>
        <v>6744.0545099999999</v>
      </c>
      <c r="EZ89" s="1319">
        <f t="shared" ca="1" si="1190"/>
        <v>6175.0876099999996</v>
      </c>
      <c r="FA89" s="1319">
        <f t="shared" ca="1" si="1190"/>
        <v>3247.6323400000001</v>
      </c>
      <c r="FB89" s="1319">
        <f t="shared" ca="1" si="1190"/>
        <v>641022.04599999997</v>
      </c>
      <c r="FN89" s="1319">
        <f t="shared" ref="FN89:FX104" ca="1" si="1191">VLOOKUP(FN$1,INDIRECT(LU_MAT),$A89,FALSE)</f>
        <v>19236.378700000001</v>
      </c>
      <c r="FO89" s="1319">
        <f t="shared" ca="1" si="1191"/>
        <v>187312.11499999999</v>
      </c>
      <c r="FP89" s="1319">
        <f t="shared" ca="1" si="1191"/>
        <v>3247.6323400000001</v>
      </c>
      <c r="FQ89" s="1319">
        <f t="shared" ca="1" si="1191"/>
        <v>641022.04599999997</v>
      </c>
      <c r="FR89" s="1319">
        <f t="shared" ca="1" si="1191"/>
        <v>219674.41699999999</v>
      </c>
      <c r="FS89" s="1319">
        <f t="shared" ca="1" si="1191"/>
        <v>679.188759</v>
      </c>
      <c r="FT89" s="1319">
        <f t="shared" ca="1" si="1191"/>
        <v>154.927525</v>
      </c>
      <c r="FU89" s="1319">
        <f t="shared" ca="1" si="1191"/>
        <v>213221.91099999999</v>
      </c>
      <c r="FV89" s="1319">
        <f t="shared" ca="1" si="1191"/>
        <v>453.43538100000001</v>
      </c>
      <c r="FW89" s="1319">
        <f t="shared" ca="1" si="1191"/>
        <v>235373.486</v>
      </c>
      <c r="FX89" s="1319">
        <f t="shared" ca="1" si="1191"/>
        <v>461.70022799999998</v>
      </c>
      <c r="GJ89" s="1319">
        <f t="shared" ref="GJ89:GQ104" ca="1" si="1192">VLOOKUP(GJ$1,INDIRECT(LU_MAT),$A89,FALSE)</f>
        <v>219674.41699999999</v>
      </c>
      <c r="GK89" s="1319">
        <f t="shared" ca="1" si="1192"/>
        <v>234940.18599999999</v>
      </c>
      <c r="GL89" s="1319">
        <f t="shared" ca="1" si="1192"/>
        <v>76214.313099999999</v>
      </c>
      <c r="GM89" s="1319">
        <f t="shared" ca="1" si="1192"/>
        <v>158725.87299999999</v>
      </c>
      <c r="GN89" s="1319">
        <f t="shared" ca="1" si="1192"/>
        <v>463.42916200000002</v>
      </c>
      <c r="GO89" s="1319">
        <f t="shared" ca="1" si="1192"/>
        <v>146.838044</v>
      </c>
      <c r="GP89" s="1319">
        <f t="shared" ca="1" si="1192"/>
        <v>165349.36499999999</v>
      </c>
      <c r="GQ89" s="1319">
        <f t="shared" ca="1" si="1192"/>
        <v>154.927525</v>
      </c>
      <c r="HC89" s="1319">
        <f t="shared" ref="HC89:HH104" ca="1" si="1193">VLOOKUP(HC$1,INDIRECT(LU_MAT),$A89,FALSE)</f>
        <v>6175.0876099999996</v>
      </c>
      <c r="HD89" s="1319">
        <f t="shared" ca="1" si="1193"/>
        <v>5947.6234199999999</v>
      </c>
      <c r="HE89" s="1319">
        <f t="shared" ca="1" si="1193"/>
        <v>29700.0461</v>
      </c>
      <c r="HF89" s="1319">
        <f t="shared" ca="1" si="1193"/>
        <v>27350.293900000001</v>
      </c>
      <c r="HG89" s="1319">
        <f t="shared" ca="1" si="1193"/>
        <v>232.94771800000001</v>
      </c>
      <c r="HH89" s="1319">
        <f t="shared" ca="1" si="1193"/>
        <v>5946.3398200000001</v>
      </c>
      <c r="HT89" s="1319">
        <f t="shared" ref="HT89:IE104" ca="1" si="1194">VLOOKUP(HT$1,INDIRECT(LU_MAT),$A89,FALSE)</f>
        <v>629.525576</v>
      </c>
      <c r="HU89" s="1319">
        <f t="shared" ca="1" si="1194"/>
        <v>5947.6234199999999</v>
      </c>
      <c r="HV89" s="1319">
        <f t="shared" ca="1" si="1194"/>
        <v>6942.10844</v>
      </c>
      <c r="HW89" s="1319">
        <f t="shared" ca="1" si="1194"/>
        <v>6824.3868599999996</v>
      </c>
      <c r="HX89" s="1319">
        <f t="shared" ca="1" si="1194"/>
        <v>6110.1011399999998</v>
      </c>
      <c r="HY89" s="1319">
        <f t="shared" ca="1" si="1194"/>
        <v>464.63792699999999</v>
      </c>
      <c r="HZ89" s="1319">
        <f t="shared" ca="1" si="1194"/>
        <v>307708.815</v>
      </c>
      <c r="IA89" s="1319">
        <f t="shared" ca="1" si="1194"/>
        <v>434.521367</v>
      </c>
      <c r="IB89" s="1319">
        <f t="shared" ca="1" si="1194"/>
        <v>81.442415400000002</v>
      </c>
      <c r="IC89" s="1319">
        <f t="shared" ca="1" si="1194"/>
        <v>2438.95667</v>
      </c>
      <c r="ID89" s="1319">
        <f t="shared" ca="1" si="1194"/>
        <v>2553.4536899999998</v>
      </c>
      <c r="IE89" s="1319">
        <f t="shared" ca="1" si="1194"/>
        <v>297.32125600000001</v>
      </c>
      <c r="IQ89" s="1319">
        <f t="shared" ref="IQ89:JH104" ca="1" si="1195">VLOOKUP(IQ$1,INDIRECT(LU_MAT),$A89,FALSE)</f>
        <v>6110.1011399999998</v>
      </c>
      <c r="IR89" s="1319">
        <f t="shared" ca="1" si="1195"/>
        <v>464.63792699999999</v>
      </c>
      <c r="IS89" s="1319">
        <f t="shared" ca="1" si="1195"/>
        <v>1519.43011</v>
      </c>
      <c r="IT89" s="1319">
        <f t="shared" ca="1" si="1195"/>
        <v>1987.8618200000001</v>
      </c>
      <c r="IU89" s="1319">
        <f t="shared" ca="1" si="1108"/>
        <v>1856.2924499999999</v>
      </c>
      <c r="IV89" s="1319">
        <f t="shared" ca="1" si="1195"/>
        <v>44533.586799999997</v>
      </c>
      <c r="IW89" s="1319">
        <f t="shared" ca="1" si="1195"/>
        <v>36466.322500000002</v>
      </c>
      <c r="IX89" s="1319">
        <f t="shared" ca="1" si="1109"/>
        <v>3149744.37</v>
      </c>
      <c r="IY89" s="1319">
        <f t="shared" ca="1" si="1195"/>
        <v>132.605503</v>
      </c>
      <c r="IZ89" s="1319">
        <f t="shared" ca="1" si="1195"/>
        <v>6554.3596200000002</v>
      </c>
      <c r="JA89" s="1319">
        <f t="shared" ca="1" si="1195"/>
        <v>37985.769699999997</v>
      </c>
      <c r="JB89" s="1319">
        <f t="shared" ca="1" si="1195"/>
        <v>6328.3357699999997</v>
      </c>
      <c r="JC89" s="1319">
        <f t="shared" ca="1" si="1195"/>
        <v>2391.88366</v>
      </c>
      <c r="JD89" s="1319">
        <f t="shared" ca="1" si="1195"/>
        <v>5120.1523800000004</v>
      </c>
      <c r="JE89" s="1319">
        <f t="shared" ca="1" si="1195"/>
        <v>1534.54377</v>
      </c>
      <c r="JF89" s="1319">
        <f t="shared" ca="1" si="1195"/>
        <v>3191474.92</v>
      </c>
      <c r="JG89" s="1319">
        <f t="shared" ca="1" si="1195"/>
        <v>68.034836799999994</v>
      </c>
      <c r="JH89" s="1319">
        <f t="shared" ca="1" si="1195"/>
        <v>434.521367</v>
      </c>
      <c r="JT89" s="1319">
        <f t="shared" ref="JT89:KC104" ca="1" si="1196">VLOOKUP(JT$1,INDIRECT(LU_MAT),$A89,FALSE)</f>
        <v>2.4726614200000001</v>
      </c>
      <c r="JU89" s="1319">
        <f t="shared" ca="1" si="1196"/>
        <v>11.1269764</v>
      </c>
      <c r="JV89" s="1319">
        <f t="shared" ca="1" si="1196"/>
        <v>9.2171209700000006E-2</v>
      </c>
      <c r="JW89" s="1319">
        <f t="shared" ca="1" si="1196"/>
        <v>1.8367207699999999</v>
      </c>
      <c r="JX89" s="1319">
        <f t="shared" ca="1" si="1196"/>
        <v>463.42916200000002</v>
      </c>
      <c r="JY89" s="1319">
        <f t="shared" ca="1" si="1196"/>
        <v>11.303125</v>
      </c>
      <c r="JZ89" s="1319">
        <f t="shared" ca="1" si="1196"/>
        <v>462.54512199999999</v>
      </c>
      <c r="KA89" s="1319">
        <f t="shared" ca="1" si="1196"/>
        <v>20.911270600000002</v>
      </c>
      <c r="KB89" s="1319">
        <f t="shared" ca="1" si="1196"/>
        <v>133.866288</v>
      </c>
      <c r="KC89" s="1319">
        <f t="shared" ca="1" si="1196"/>
        <v>15.523377200000001</v>
      </c>
      <c r="KL89" s="1319">
        <f t="shared" ref="KL89:KR104" ca="1" si="1197">VLOOKUP(KL$1,INDIRECT(LU_MAT),$A89,FALSE)</f>
        <v>28.7480783</v>
      </c>
      <c r="KM89" s="1319">
        <f t="shared" ca="1" si="1197"/>
        <v>0.432343166</v>
      </c>
      <c r="KN89" s="1319">
        <f t="shared" ca="1" si="1197"/>
        <v>1.91650627</v>
      </c>
      <c r="KO89" s="1319">
        <f t="shared" ca="1" si="1197"/>
        <v>15.369903100000002</v>
      </c>
      <c r="KP89" s="1319">
        <f t="shared" ca="1" si="1197"/>
        <v>293.56514900000002</v>
      </c>
      <c r="KQ89" s="1319">
        <f t="shared" ca="1" si="1197"/>
        <v>31.893492899999995</v>
      </c>
      <c r="KR89" s="1319">
        <f t="shared" ca="1" si="1197"/>
        <v>2.34884944</v>
      </c>
      <c r="LA89" s="1319">
        <f t="shared" ref="LA89:LK104" ca="1" si="1198">VLOOKUP(LA$1,INDIRECT(LU_MAT),$A89,FALSE)</f>
        <v>27350.293900000001</v>
      </c>
      <c r="LB89" s="1319">
        <f t="shared" ca="1" si="1198"/>
        <v>307708.815</v>
      </c>
      <c r="LC89" s="1319">
        <f t="shared" ca="1" si="1198"/>
        <v>4537956.7699999996</v>
      </c>
      <c r="LD89" s="1319">
        <f t="shared" ca="1" si="1198"/>
        <v>6989656.04</v>
      </c>
      <c r="LE89" s="1319">
        <f t="shared" ca="1" si="1198"/>
        <v>4068204.5699999994</v>
      </c>
      <c r="LF89" s="1319">
        <f t="shared" ca="1" si="1198"/>
        <v>10034934.1</v>
      </c>
      <c r="LG89" s="1319">
        <f t="shared" ca="1" si="1198"/>
        <v>7682013.7999999998</v>
      </c>
      <c r="LH89" s="1319">
        <f t="shared" ca="1" si="1198"/>
        <v>0</v>
      </c>
      <c r="LI89" s="1319">
        <f t="shared" ca="1" si="1198"/>
        <v>7398883.1699999999</v>
      </c>
      <c r="LJ89" s="1319">
        <f t="shared" ca="1" si="1198"/>
        <v>59.9304883</v>
      </c>
      <c r="LK89" s="1319">
        <f t="shared" ca="1" si="1198"/>
        <v>0</v>
      </c>
      <c r="LW89" s="1319">
        <f t="shared" ca="1" si="1113"/>
        <v>10516.9534</v>
      </c>
      <c r="LX89" s="1319">
        <f t="shared" ref="LX89:MO104" ca="1" si="1199">VLOOKUP(LX$1,INDIRECT(LU_MAT),$A89,FALSE)</f>
        <v>73973.952999999994</v>
      </c>
      <c r="LY89" s="1319">
        <f t="shared" ca="1" si="1199"/>
        <v>232.94771800000001</v>
      </c>
      <c r="LZ89" s="1319">
        <f t="shared" ca="1" si="1199"/>
        <v>132.605503</v>
      </c>
      <c r="MA89" s="1319">
        <f t="shared" ca="1" si="1199"/>
        <v>365.96871900000002</v>
      </c>
      <c r="MB89" s="1319">
        <f t="shared" ca="1" si="1199"/>
        <v>6989656.04</v>
      </c>
      <c r="MC89" s="1319">
        <f t="shared" ca="1" si="1199"/>
        <v>10034934.1</v>
      </c>
      <c r="MD89" s="1319">
        <f t="shared" ca="1" si="1199"/>
        <v>203128.022</v>
      </c>
      <c r="ME89" s="1319">
        <f t="shared" ca="1" si="1199"/>
        <v>90717.773700000005</v>
      </c>
      <c r="MF89" s="1319">
        <f t="shared" ca="1" si="1199"/>
        <v>4242.3712500000001</v>
      </c>
      <c r="MG89" s="1319">
        <f t="shared" ca="1" si="1199"/>
        <v>4509.6971000000003</v>
      </c>
      <c r="MH89" s="1319">
        <f t="shared" ref="MH89:MI104" ca="1" si="1200">VLOOKUP(MH$1,INDIRECT(LU_MAT),$A89,FALSE)</f>
        <v>291132.86800000002</v>
      </c>
      <c r="MI89" s="1319">
        <f t="shared" ca="1" si="1200"/>
        <v>409.24415900000002</v>
      </c>
      <c r="MJ89" s="1319">
        <f t="shared" ca="1" si="1199"/>
        <v>21455207.5</v>
      </c>
      <c r="MK89" s="1319">
        <f t="shared" ca="1" si="1199"/>
        <v>1709.0524499999999</v>
      </c>
      <c r="ML89" s="1319">
        <f t="shared" ca="1" si="1199"/>
        <v>1708.72642</v>
      </c>
      <c r="MM89" s="1319">
        <f t="shared" ca="1" si="1199"/>
        <v>81.442415400000002</v>
      </c>
      <c r="MN89" s="1319">
        <f t="shared" ca="1" si="1199"/>
        <v>574.52101600000003</v>
      </c>
      <c r="MO89" s="1319">
        <f t="shared" ca="1" si="1199"/>
        <v>2.5416463199999998E-6</v>
      </c>
      <c r="NA89" s="1319">
        <f t="shared" ref="NA89:NP104" ca="1" si="1201">VLOOKUP(NA$1,INDIRECT(LU_MAT),$A89,FALSE)</f>
        <v>225034.41500000001</v>
      </c>
      <c r="NB89" s="1319">
        <f t="shared" ca="1" si="1201"/>
        <v>444484.76699999999</v>
      </c>
      <c r="NC89" s="1319">
        <f t="shared" ca="1" si="1201"/>
        <v>71.170369300000004</v>
      </c>
      <c r="ND89" s="1319">
        <f t="shared" ca="1" si="1201"/>
        <v>591.40094399999998</v>
      </c>
      <c r="NE89" s="1319">
        <f t="shared" ca="1" si="1201"/>
        <v>3633.0766699999999</v>
      </c>
      <c r="NF89" s="1319">
        <f t="shared" ca="1" si="1201"/>
        <v>4244.6705199999997</v>
      </c>
      <c r="NG89" s="1319">
        <f t="shared" ca="1" si="1201"/>
        <v>611.75438099999997</v>
      </c>
      <c r="NH89" s="1319">
        <f t="shared" ca="1" si="1201"/>
        <v>0</v>
      </c>
      <c r="NI89" s="1319">
        <f t="shared" ca="1" si="1201"/>
        <v>4252.88951</v>
      </c>
      <c r="NJ89" s="1319">
        <f t="shared" ca="1" si="1201"/>
        <v>4242.3712500000001</v>
      </c>
      <c r="NK89" s="1319">
        <f t="shared" ca="1" si="1201"/>
        <v>409.24415900000002</v>
      </c>
      <c r="NL89" s="1319">
        <f t="shared" ca="1" si="1201"/>
        <v>1708.72642</v>
      </c>
      <c r="NM89" s="1319">
        <f t="shared" ca="1" si="1201"/>
        <v>81.442415400000002</v>
      </c>
      <c r="NN89" s="1319">
        <f t="shared" ca="1" si="1201"/>
        <v>71978.701000000001</v>
      </c>
      <c r="NO89" s="1319">
        <f t="shared" ca="1" si="1201"/>
        <v>574.52101600000003</v>
      </c>
      <c r="NP89" s="1319">
        <f t="shared" ca="1" si="1201"/>
        <v>1395.5788600000001</v>
      </c>
      <c r="OH89" s="1319">
        <f t="shared" ref="OH89:OO104" ca="1" si="1202">VLOOKUP(OH$1,INDIRECT(LU_MAT),$A89,FALSE)</f>
        <v>200536.935</v>
      </c>
      <c r="OI89" s="1319">
        <f t="shared" ca="1" si="1202"/>
        <v>2620.1222400000001</v>
      </c>
      <c r="OJ89" s="1319">
        <f t="shared" ca="1" si="1202"/>
        <v>297.298182</v>
      </c>
      <c r="OK89" s="1319">
        <f t="shared" ca="1" si="1202"/>
        <v>202286.285</v>
      </c>
      <c r="OL89" s="1319">
        <f t="shared" ca="1" si="1202"/>
        <v>93642590.299999997</v>
      </c>
      <c r="OM89" s="1319">
        <f t="shared" ca="1" si="1202"/>
        <v>100724808</v>
      </c>
      <c r="ON89" s="1319">
        <f t="shared" ca="1" si="1202"/>
        <v>22567.6718</v>
      </c>
      <c r="OO89" s="1319">
        <f t="shared" ca="1" si="1202"/>
        <v>22802.448</v>
      </c>
      <c r="PA89" s="1319">
        <f t="shared" ref="PA89:PK104" ca="1" si="1203">VLOOKUP(PA$1,INDIRECT(LU_MAT),$A89,FALSE)</f>
        <v>2383.1603</v>
      </c>
      <c r="PB89" s="1319">
        <f t="shared" ca="1" si="1203"/>
        <v>2543.03476</v>
      </c>
      <c r="PC89" s="1319">
        <f t="shared" ca="1" si="1203"/>
        <v>193.00646900000001</v>
      </c>
      <c r="PD89" s="1319">
        <f t="shared" ca="1" si="1203"/>
        <v>453.49274300000002</v>
      </c>
      <c r="PE89" s="1319">
        <f t="shared" ca="1" si="1203"/>
        <v>6328.3357699999997</v>
      </c>
      <c r="PF89" s="1319">
        <f t="shared" ca="1" si="1203"/>
        <v>596.752927</v>
      </c>
      <c r="PG89" s="1319">
        <f t="shared" ca="1" si="1203"/>
        <v>60.471751499999996</v>
      </c>
      <c r="PH89" s="1319">
        <f t="shared" ca="1" si="1203"/>
        <v>2553.4536899999998</v>
      </c>
      <c r="PI89" s="1319">
        <f t="shared" ca="1" si="1203"/>
        <v>8852.8234300000004</v>
      </c>
      <c r="PJ89" s="1319">
        <f t="shared" ca="1" si="1203"/>
        <v>2.4196495699999998</v>
      </c>
      <c r="PK89" s="1319">
        <f t="shared" ca="1" si="1203"/>
        <v>2620.1222400000001</v>
      </c>
      <c r="PW89" s="1319">
        <f t="shared" ref="PW89:PZ104" ca="1" si="1204">VLOOKUP(PW$1,INDIRECT(LU_MAT),$A89,FALSE)</f>
        <v>2.4196495699999998</v>
      </c>
      <c r="PX89" s="1319">
        <f t="shared" ca="1" si="1204"/>
        <v>4338.5829599999997</v>
      </c>
      <c r="PY89" s="1319">
        <f t="shared" ca="1" si="1204"/>
        <v>2.4196495699999998</v>
      </c>
      <c r="PZ89" s="1319">
        <f t="shared" ca="1" si="1204"/>
        <v>2.4196495699999998</v>
      </c>
    </row>
    <row r="90" spans="1:442" x14ac:dyDescent="0.25">
      <c r="A90" s="189">
        <v>69</v>
      </c>
      <c r="B90" s="189" t="s">
        <v>1256</v>
      </c>
      <c r="C90" s="1317" t="s">
        <v>1311</v>
      </c>
      <c r="D90" s="1317" t="s">
        <v>151</v>
      </c>
      <c r="J90" s="1319">
        <f t="shared" ca="1" si="1157"/>
        <v>25</v>
      </c>
      <c r="K90" s="1319">
        <f t="shared" ca="1" si="1185"/>
        <v>25</v>
      </c>
      <c r="T90" s="1319">
        <f t="shared" ca="1" si="1158"/>
        <v>25</v>
      </c>
      <c r="U90" s="1319">
        <f t="shared" ca="1" si="1158"/>
        <v>95</v>
      </c>
      <c r="V90" s="1319">
        <f t="shared" ca="1" si="1158"/>
        <v>112.531432</v>
      </c>
      <c r="W90" s="1319">
        <f t="shared" ca="1" si="1158"/>
        <v>268.1893</v>
      </c>
      <c r="X90" s="1319">
        <f t="shared" ca="1" si="1158"/>
        <v>268.1893</v>
      </c>
      <c r="Y90" s="1319">
        <f t="shared" ca="1" si="1158"/>
        <v>158</v>
      </c>
      <c r="Z90" s="1319">
        <f t="shared" ref="U90:AD95" ca="1" si="1205">VLOOKUP(Z$1,INDIRECT(LU_MAT),$A90,FALSE)</f>
        <v>130</v>
      </c>
      <c r="AA90" s="1319">
        <f t="shared" ca="1" si="1205"/>
        <v>130.12111600000003</v>
      </c>
      <c r="AB90" s="1319">
        <f t="shared" ca="1" si="1205"/>
        <v>21.714874099999975</v>
      </c>
      <c r="AC90" s="1319">
        <f t="shared" ca="1" si="1205"/>
        <v>113.73433899999998</v>
      </c>
      <c r="AD90" s="1319">
        <f t="shared" ca="1" si="1205"/>
        <v>20.905907300000024</v>
      </c>
      <c r="AM90" s="1319">
        <f t="shared" ca="1" si="1150"/>
        <v>33</v>
      </c>
      <c r="AN90" s="1319">
        <f t="shared" ca="1" si="1150"/>
        <v>95</v>
      </c>
      <c r="AO90" s="1319">
        <f t="shared" ca="1" si="1179"/>
        <v>130.12111600000003</v>
      </c>
      <c r="AP90" s="1319">
        <f t="shared" ca="1" si="1179"/>
        <v>130.61730799999998</v>
      </c>
      <c r="AQ90" s="1319">
        <f t="shared" ca="1" si="1179"/>
        <v>100.69906600000002</v>
      </c>
      <c r="AR90" s="1319">
        <f t="shared" ca="1" si="1179"/>
        <v>99.967246400000022</v>
      </c>
      <c r="AS90" s="1319">
        <f t="shared" ca="1" si="1179"/>
        <v>99.967246400000022</v>
      </c>
      <c r="AT90" s="1319">
        <f t="shared" ca="1" si="1150"/>
        <v>99.924796399999991</v>
      </c>
      <c r="AU90" s="1319">
        <f t="shared" ca="1" si="1150"/>
        <v>99.924796399999991</v>
      </c>
      <c r="AV90" s="1319">
        <f t="shared" ca="1" si="1150"/>
        <v>96.94172279999998</v>
      </c>
      <c r="AW90" s="1319">
        <f t="shared" ca="1" si="1150"/>
        <v>99.358396200000016</v>
      </c>
      <c r="AX90" s="1319">
        <f t="shared" ca="1" si="1150"/>
        <v>99.688555599999972</v>
      </c>
      <c r="AY90" s="1319">
        <f t="shared" ca="1" si="1150"/>
        <v>20</v>
      </c>
      <c r="AZ90" s="1319">
        <f t="shared" ca="1" si="1150"/>
        <v>33</v>
      </c>
      <c r="BA90" s="1319">
        <f t="shared" ca="1" si="1150"/>
        <v>35.989233300000024</v>
      </c>
      <c r="BB90" s="1319">
        <f t="shared" ca="1" si="1150"/>
        <v>77.575069900000017</v>
      </c>
      <c r="BN90" s="1319">
        <f t="shared" ca="1" si="1186"/>
        <v>32</v>
      </c>
      <c r="BO90" s="1319">
        <f t="shared" ca="1" si="1186"/>
        <v>32.709795999999983</v>
      </c>
      <c r="BP90" s="1319">
        <f t="shared" ca="1" si="1186"/>
        <v>32</v>
      </c>
      <c r="BQ90" s="1319">
        <f t="shared" ca="1" si="1186"/>
        <v>20</v>
      </c>
      <c r="BR90" s="1319">
        <f t="shared" ca="1" si="1186"/>
        <v>20</v>
      </c>
      <c r="CD90" s="1319">
        <f t="shared" ca="1" si="1187"/>
        <v>77.575069900000017</v>
      </c>
      <c r="CE90" s="1319">
        <f t="shared" ca="1" si="1187"/>
        <v>48.509076800000003</v>
      </c>
      <c r="CF90" s="1319">
        <f t="shared" ca="1" si="1187"/>
        <v>32</v>
      </c>
      <c r="CG90" s="1319">
        <f t="shared" ca="1" si="1187"/>
        <v>32.709795999999983</v>
      </c>
      <c r="CH90" s="1319">
        <f t="shared" ca="1" si="1187"/>
        <v>48.136181899999997</v>
      </c>
      <c r="CI90" s="1319">
        <f t="shared" ca="1" si="1187"/>
        <v>20</v>
      </c>
      <c r="CJ90" s="1319">
        <f t="shared" ca="1" si="1187"/>
        <v>20</v>
      </c>
      <c r="CK90" s="1319">
        <f t="shared" ca="1" si="1187"/>
        <v>32</v>
      </c>
      <c r="CL90" s="1319">
        <f t="shared" ca="1" si="1187"/>
        <v>32</v>
      </c>
      <c r="CM90" s="1319">
        <f t="shared" ca="1" si="1187"/>
        <v>28.655215699999985</v>
      </c>
      <c r="CN90" s="1319">
        <f t="shared" ca="1" si="1187"/>
        <v>32.398413199999993</v>
      </c>
      <c r="CO90" s="1319">
        <f t="shared" ca="1" si="1187"/>
        <v>34.233848000000023</v>
      </c>
      <c r="DA90" s="1319">
        <f t="shared" ca="1" si="1188"/>
        <v>62.107559400000014</v>
      </c>
      <c r="DB90" s="1319">
        <f t="shared" ca="1" si="1188"/>
        <v>20</v>
      </c>
      <c r="DC90" s="1319">
        <f t="shared" ca="1" si="1188"/>
        <v>28</v>
      </c>
      <c r="DD90" s="1319">
        <f t="shared" ca="1" si="1188"/>
        <v>28</v>
      </c>
      <c r="DE90" s="1319">
        <f t="shared" ca="1" si="1188"/>
        <v>28.089114499999994</v>
      </c>
      <c r="DF90" s="1319">
        <f t="shared" ca="1" si="1188"/>
        <v>28</v>
      </c>
      <c r="DG90" s="1319">
        <f t="shared" ca="1" si="1188"/>
        <v>25</v>
      </c>
      <c r="DH90" s="1319">
        <f t="shared" ca="1" si="1188"/>
        <v>40</v>
      </c>
      <c r="DI90" s="1319">
        <f t="shared" ca="1" si="1188"/>
        <v>40</v>
      </c>
      <c r="DJ90" s="1319">
        <f t="shared" ca="1" si="1188"/>
        <v>40</v>
      </c>
      <c r="DV90" s="1319">
        <f t="shared" ca="1" si="1189"/>
        <v>33</v>
      </c>
      <c r="DW90" s="1319">
        <f t="shared" ca="1" si="1189"/>
        <v>28</v>
      </c>
      <c r="DX90" s="1319">
        <f t="shared" ca="1" si="1189"/>
        <v>62.107559400000014</v>
      </c>
      <c r="DY90" s="1319">
        <f t="shared" ca="1" si="1189"/>
        <v>62.107559400000014</v>
      </c>
      <c r="DZ90" s="1319">
        <f t="shared" ca="1" si="1189"/>
        <v>28</v>
      </c>
      <c r="EA90" s="1319">
        <f t="shared" ca="1" si="1189"/>
        <v>28.089114499999994</v>
      </c>
      <c r="EB90" s="1319">
        <f t="shared" ca="1" si="1189"/>
        <v>62.107559400000014</v>
      </c>
      <c r="EC90" s="1319">
        <f t="shared" ca="1" si="1189"/>
        <v>33.86774459999998</v>
      </c>
      <c r="ED90" s="1319">
        <f t="shared" ca="1" si="1189"/>
        <v>28.655215699999985</v>
      </c>
      <c r="EE90" s="1319">
        <f t="shared" ca="1" si="1189"/>
        <v>28.000000499999999</v>
      </c>
      <c r="EF90" s="1319">
        <f t="shared" ca="1" si="1189"/>
        <v>20</v>
      </c>
      <c r="EG90" s="1319">
        <f t="shared" ca="1" si="1189"/>
        <v>28</v>
      </c>
      <c r="EH90" s="1319">
        <f t="shared" ca="1" si="1189"/>
        <v>28</v>
      </c>
      <c r="EI90" s="1319">
        <f t="shared" ca="1" si="1189"/>
        <v>20</v>
      </c>
      <c r="EJ90" s="1319">
        <f t="shared" ca="1" si="1101"/>
        <v>20.487321000000009</v>
      </c>
      <c r="EK90" s="1319">
        <f t="shared" ca="1" si="1189"/>
        <v>40</v>
      </c>
      <c r="EW90" s="1319">
        <f t="shared" ca="1" si="1190"/>
        <v>32.398413199999993</v>
      </c>
      <c r="EX90" s="1319">
        <f t="shared" ca="1" si="1190"/>
        <v>103.35927600000002</v>
      </c>
      <c r="EY90" s="1319">
        <f t="shared" ca="1" si="1190"/>
        <v>125.23962399999999</v>
      </c>
      <c r="EZ90" s="1319">
        <f t="shared" ca="1" si="1190"/>
        <v>47</v>
      </c>
      <c r="FA90" s="1319">
        <f t="shared" ca="1" si="1190"/>
        <v>59.999990700000012</v>
      </c>
      <c r="FB90" s="1319">
        <f t="shared" ca="1" si="1190"/>
        <v>116.52252900000002</v>
      </c>
      <c r="FN90" s="1319">
        <f t="shared" ca="1" si="1191"/>
        <v>32</v>
      </c>
      <c r="FO90" s="1319">
        <f t="shared" ca="1" si="1191"/>
        <v>32</v>
      </c>
      <c r="FP90" s="1319">
        <f t="shared" ca="1" si="1191"/>
        <v>59.999990700000012</v>
      </c>
      <c r="FQ90" s="1319">
        <f t="shared" ca="1" si="1191"/>
        <v>116.52252900000002</v>
      </c>
      <c r="FR90" s="1319">
        <f t="shared" ca="1" si="1191"/>
        <v>90.714099900000008</v>
      </c>
      <c r="FS90" s="1319">
        <f t="shared" ca="1" si="1191"/>
        <v>113.73433899999998</v>
      </c>
      <c r="FT90" s="1319">
        <f t="shared" ca="1" si="1191"/>
        <v>71.583530699999983</v>
      </c>
      <c r="FU90" s="1319">
        <f t="shared" ca="1" si="1191"/>
        <v>32.862494700000013</v>
      </c>
      <c r="FV90" s="1319">
        <f t="shared" ca="1" si="1191"/>
        <v>33</v>
      </c>
      <c r="FW90" s="1319">
        <f t="shared" ca="1" si="1191"/>
        <v>33.705198300000006</v>
      </c>
      <c r="FX90" s="1319">
        <f t="shared" ca="1" si="1191"/>
        <v>34.233848000000023</v>
      </c>
      <c r="GJ90" s="1319">
        <f t="shared" ca="1" si="1192"/>
        <v>90.714099900000008</v>
      </c>
      <c r="GK90" s="1319">
        <f t="shared" ca="1" si="1192"/>
        <v>116</v>
      </c>
      <c r="GL90" s="1319">
        <f t="shared" ca="1" si="1192"/>
        <v>116</v>
      </c>
      <c r="GM90" s="1319">
        <f t="shared" ca="1" si="1192"/>
        <v>116</v>
      </c>
      <c r="GN90" s="1319">
        <f t="shared" ca="1" si="1192"/>
        <v>38</v>
      </c>
      <c r="GO90" s="1319">
        <f t="shared" ca="1" si="1192"/>
        <v>35.222575899999981</v>
      </c>
      <c r="GP90" s="1319">
        <f t="shared" ca="1" si="1192"/>
        <v>91.699999999999989</v>
      </c>
      <c r="GQ90" s="1319">
        <f t="shared" ca="1" si="1192"/>
        <v>71.583530699999983</v>
      </c>
      <c r="HC90" s="1319">
        <f t="shared" ca="1" si="1193"/>
        <v>47</v>
      </c>
      <c r="HD90" s="1319">
        <f t="shared" ca="1" si="1193"/>
        <v>47.401204199999995</v>
      </c>
      <c r="HE90" s="1319">
        <f t="shared" ca="1" si="1193"/>
        <v>80</v>
      </c>
      <c r="HF90" s="1319">
        <f t="shared" ca="1" si="1193"/>
        <v>55.274737099999982</v>
      </c>
      <c r="HG90" s="1319">
        <f t="shared" ca="1" si="1193"/>
        <v>55.274737099999982</v>
      </c>
      <c r="HH90" s="1319">
        <f t="shared" ca="1" si="1193"/>
        <v>47.190559600000029</v>
      </c>
      <c r="HT90" s="1319">
        <f t="shared" ca="1" si="1194"/>
        <v>99.688555599999972</v>
      </c>
      <c r="HU90" s="1319">
        <f t="shared" ca="1" si="1194"/>
        <v>47.401204199999995</v>
      </c>
      <c r="HV90" s="1319">
        <f t="shared" ca="1" si="1194"/>
        <v>51.840398499999992</v>
      </c>
      <c r="HW90" s="1319">
        <f t="shared" ca="1" si="1194"/>
        <v>35</v>
      </c>
      <c r="HX90" s="1319">
        <f t="shared" ca="1" si="1194"/>
        <v>34.934752199999991</v>
      </c>
      <c r="HY90" s="1319">
        <f t="shared" ca="1" si="1194"/>
        <v>34.934752199999991</v>
      </c>
      <c r="HZ90" s="1319">
        <f t="shared" ca="1" si="1194"/>
        <v>38.274052900000015</v>
      </c>
      <c r="IA90" s="1319">
        <f t="shared" ca="1" si="1194"/>
        <v>86.413019500000019</v>
      </c>
      <c r="IB90" s="1319">
        <f t="shared" ca="1" si="1194"/>
        <v>100.27182199999999</v>
      </c>
      <c r="IC90" s="1319">
        <f t="shared" ca="1" si="1194"/>
        <v>13</v>
      </c>
      <c r="ID90" s="1319">
        <f t="shared" ca="1" si="1194"/>
        <v>59.151174400000002</v>
      </c>
      <c r="IE90" s="1319">
        <f t="shared" ca="1" si="1194"/>
        <v>28.126799099999971</v>
      </c>
      <c r="IQ90" s="1319">
        <f t="shared" ca="1" si="1195"/>
        <v>34.934752199999991</v>
      </c>
      <c r="IR90" s="1319">
        <f t="shared" ca="1" si="1195"/>
        <v>34.934752199999991</v>
      </c>
      <c r="IS90" s="1319">
        <f t="shared" ca="1" si="1195"/>
        <v>25.138527099999976</v>
      </c>
      <c r="IT90" s="1319">
        <f t="shared" ca="1" si="1195"/>
        <v>29.424044700000024</v>
      </c>
      <c r="IU90" s="1319">
        <f t="shared" ca="1" si="1108"/>
        <v>29.423973799999999</v>
      </c>
      <c r="IV90" s="1319">
        <f t="shared" ca="1" si="1195"/>
        <v>25</v>
      </c>
      <c r="IW90" s="1319">
        <f t="shared" ca="1" si="1195"/>
        <v>25.138527099999976</v>
      </c>
      <c r="IX90" s="1319">
        <f t="shared" ca="1" si="1109"/>
        <v>25</v>
      </c>
      <c r="IY90" s="1319">
        <f t="shared" ca="1" si="1195"/>
        <v>29.487460199999987</v>
      </c>
      <c r="IZ90" s="1319">
        <f t="shared" ca="1" si="1195"/>
        <v>25.221569999999986</v>
      </c>
      <c r="JA90" s="1319">
        <f t="shared" ca="1" si="1195"/>
        <v>25.107173299999999</v>
      </c>
      <c r="JB90" s="1319">
        <f t="shared" ca="1" si="1195"/>
        <v>27.087556000000006</v>
      </c>
      <c r="JC90" s="1319">
        <f t="shared" ca="1" si="1195"/>
        <v>100</v>
      </c>
      <c r="JD90" s="1319">
        <f t="shared" ca="1" si="1195"/>
        <v>25.221569999999986</v>
      </c>
      <c r="JE90" s="1319">
        <f t="shared" ca="1" si="1195"/>
        <v>25.261518700000011</v>
      </c>
      <c r="JF90" s="1319">
        <f t="shared" ca="1" si="1195"/>
        <v>25</v>
      </c>
      <c r="JG90" s="1319">
        <f t="shared" ca="1" si="1195"/>
        <v>20.251764499999979</v>
      </c>
      <c r="JH90" s="1319">
        <f t="shared" ca="1" si="1195"/>
        <v>86.413019500000019</v>
      </c>
      <c r="JT90" s="1319">
        <f t="shared" ca="1" si="1196"/>
        <v>20.379153500000029</v>
      </c>
      <c r="JU90" s="1319">
        <f t="shared" ca="1" si="1196"/>
        <v>20.379153500000029</v>
      </c>
      <c r="JV90" s="1319">
        <f t="shared" ca="1" si="1196"/>
        <v>20</v>
      </c>
      <c r="JW90" s="1319">
        <f t="shared" ca="1" si="1196"/>
        <v>20</v>
      </c>
      <c r="JX90" s="1319">
        <f t="shared" ca="1" si="1196"/>
        <v>38</v>
      </c>
      <c r="JY90" s="1319">
        <f t="shared" ca="1" si="1196"/>
        <v>21.338006199999995</v>
      </c>
      <c r="JZ90" s="1319">
        <f t="shared" ca="1" si="1196"/>
        <v>20.297981199999981</v>
      </c>
      <c r="KA90" s="1319">
        <f t="shared" ca="1" si="1196"/>
        <v>20.905907300000024</v>
      </c>
      <c r="KB90" s="1319">
        <f t="shared" ca="1" si="1196"/>
        <v>20</v>
      </c>
      <c r="KC90" s="1319">
        <f t="shared" ca="1" si="1196"/>
        <v>20</v>
      </c>
      <c r="KL90" s="1319">
        <f t="shared" ca="1" si="1197"/>
        <v>20</v>
      </c>
      <c r="KM90" s="1319">
        <f t="shared" ca="1" si="1197"/>
        <v>20</v>
      </c>
      <c r="KN90" s="1319">
        <f t="shared" ca="1" si="1197"/>
        <v>20</v>
      </c>
      <c r="KO90" s="1319">
        <f t="shared" ca="1" si="1197"/>
        <v>28</v>
      </c>
      <c r="KP90" s="1319">
        <f t="shared" ca="1" si="1197"/>
        <v>28</v>
      </c>
      <c r="KQ90" s="1319">
        <f t="shared" ca="1" si="1197"/>
        <v>20</v>
      </c>
      <c r="KR90" s="1319">
        <f t="shared" ca="1" si="1197"/>
        <v>20</v>
      </c>
      <c r="LA90" s="1319">
        <f t="shared" ca="1" si="1198"/>
        <v>55.274737099999982</v>
      </c>
      <c r="LB90" s="1319">
        <f t="shared" ca="1" si="1198"/>
        <v>38.274052900000015</v>
      </c>
      <c r="LC90" s="1319">
        <f t="shared" ca="1" si="1198"/>
        <v>28.694925300000023</v>
      </c>
      <c r="LD90" s="1319">
        <f t="shared" ca="1" si="1198"/>
        <v>191.77117799999996</v>
      </c>
      <c r="LE90" s="1319">
        <f t="shared" ca="1" si="1198"/>
        <v>25</v>
      </c>
      <c r="LF90" s="1319">
        <f t="shared" ca="1" si="1198"/>
        <v>278.30000000000007</v>
      </c>
      <c r="LG90" s="1319">
        <f t="shared" ca="1" si="1198"/>
        <v>149</v>
      </c>
      <c r="LH90" s="1319">
        <f t="shared" ca="1" si="1198"/>
        <v>0</v>
      </c>
      <c r="LI90" s="1319">
        <f t="shared" ca="1" si="1198"/>
        <v>145.31992700000001</v>
      </c>
      <c r="LJ90" s="1319">
        <f t="shared" ca="1" si="1198"/>
        <v>33</v>
      </c>
      <c r="LK90" s="1319">
        <f t="shared" ca="1" si="1198"/>
        <v>25</v>
      </c>
      <c r="LW90" s="1319">
        <f t="shared" ca="1" si="1113"/>
        <v>265.65910599999995</v>
      </c>
      <c r="LX90" s="1319">
        <f t="shared" ca="1" si="1199"/>
        <v>265.65910599999995</v>
      </c>
      <c r="LY90" s="1319">
        <f t="shared" ca="1" si="1199"/>
        <v>55.274737099999982</v>
      </c>
      <c r="LZ90" s="1319">
        <f t="shared" ca="1" si="1199"/>
        <v>29.487460199999987</v>
      </c>
      <c r="MA90" s="1319">
        <f t="shared" ca="1" si="1199"/>
        <v>47.052243200000021</v>
      </c>
      <c r="MB90" s="1319">
        <f t="shared" ca="1" si="1199"/>
        <v>191.77117799999996</v>
      </c>
      <c r="MC90" s="1319">
        <f t="shared" ca="1" si="1199"/>
        <v>278.30000000000007</v>
      </c>
      <c r="MD90" s="1319">
        <f t="shared" ca="1" si="1199"/>
        <v>454.44444600000008</v>
      </c>
      <c r="ME90" s="1319">
        <f t="shared" ca="1" si="1199"/>
        <v>265.65910599999995</v>
      </c>
      <c r="MF90" s="1319">
        <f t="shared" ca="1" si="1199"/>
        <v>113.56303100000002</v>
      </c>
      <c r="MG90" s="1319">
        <f t="shared" ca="1" si="1199"/>
        <v>176.03846299999998</v>
      </c>
      <c r="MH90" s="1319">
        <f t="shared" ca="1" si="1200"/>
        <v>232.83522500000004</v>
      </c>
      <c r="MI90" s="1319">
        <f t="shared" ca="1" si="1200"/>
        <v>232.83522500000004</v>
      </c>
      <c r="MJ90" s="1319">
        <f t="shared" ca="1" si="1199"/>
        <v>46.089356399999986</v>
      </c>
      <c r="MK90" s="1319">
        <f t="shared" ca="1" si="1199"/>
        <v>46.089356399999986</v>
      </c>
      <c r="ML90" s="1319">
        <f t="shared" ca="1" si="1199"/>
        <v>46.156680199999983</v>
      </c>
      <c r="MM90" s="1319">
        <f t="shared" ca="1" si="1199"/>
        <v>100.27182199999999</v>
      </c>
      <c r="MN90" s="1319">
        <f t="shared" ca="1" si="1199"/>
        <v>192.21641599999998</v>
      </c>
      <c r="MO90" s="1319">
        <f t="shared" ca="1" si="1199"/>
        <v>25</v>
      </c>
      <c r="NA90" s="1319">
        <f t="shared" ca="1" si="1201"/>
        <v>130</v>
      </c>
      <c r="NB90" s="1319">
        <f t="shared" ca="1" si="1201"/>
        <v>99.967246400000022</v>
      </c>
      <c r="NC90" s="1319">
        <f t="shared" ca="1" si="1201"/>
        <v>99.967246400000022</v>
      </c>
      <c r="ND90" s="1319">
        <f t="shared" ca="1" si="1201"/>
        <v>33</v>
      </c>
      <c r="NE90" s="1319">
        <f t="shared" ca="1" si="1201"/>
        <v>113.662352</v>
      </c>
      <c r="NF90" s="1319">
        <f t="shared" ca="1" si="1201"/>
        <v>110.99383599999999</v>
      </c>
      <c r="NG90" s="1319">
        <f t="shared" ca="1" si="1201"/>
        <v>95</v>
      </c>
      <c r="NH90" s="1319">
        <f t="shared" ca="1" si="1201"/>
        <v>0</v>
      </c>
      <c r="NI90" s="1319">
        <f t="shared" ca="1" si="1201"/>
        <v>112.64158299999997</v>
      </c>
      <c r="NJ90" s="1319">
        <f t="shared" ca="1" si="1201"/>
        <v>113.56303100000002</v>
      </c>
      <c r="NK90" s="1319">
        <f t="shared" ca="1" si="1201"/>
        <v>232.83522500000004</v>
      </c>
      <c r="NL90" s="1319">
        <f t="shared" ca="1" si="1201"/>
        <v>46.156680199999983</v>
      </c>
      <c r="NM90" s="1319">
        <f t="shared" ca="1" si="1201"/>
        <v>100.27182199999999</v>
      </c>
      <c r="NN90" s="1319">
        <f t="shared" ca="1" si="1201"/>
        <v>99.990642100000002</v>
      </c>
      <c r="NO90" s="1319">
        <f t="shared" ca="1" si="1201"/>
        <v>192.21641599999998</v>
      </c>
      <c r="NP90" s="1319">
        <f t="shared" ca="1" si="1201"/>
        <v>170.95566400000001</v>
      </c>
      <c r="OH90" s="1319">
        <f t="shared" ca="1" si="1202"/>
        <v>28.190450100000021</v>
      </c>
      <c r="OI90" s="1319">
        <f t="shared" ca="1" si="1202"/>
        <v>33</v>
      </c>
      <c r="OJ90" s="1319">
        <f t="shared" ca="1" si="1202"/>
        <v>28.126799099999971</v>
      </c>
      <c r="OK90" s="1319">
        <f t="shared" ca="1" si="1202"/>
        <v>37</v>
      </c>
      <c r="OL90" s="1319">
        <f t="shared" ca="1" si="1202"/>
        <v>25</v>
      </c>
      <c r="OM90" s="1319">
        <f t="shared" ca="1" si="1202"/>
        <v>37.177542200000005</v>
      </c>
      <c r="ON90" s="1319">
        <f t="shared" ca="1" si="1202"/>
        <v>4</v>
      </c>
      <c r="OO90" s="1319">
        <f t="shared" ca="1" si="1202"/>
        <v>15</v>
      </c>
      <c r="PA90" s="1319">
        <f t="shared" ca="1" si="1203"/>
        <v>33.128185400000007</v>
      </c>
      <c r="PB90" s="1319">
        <f t="shared" ca="1" si="1203"/>
        <v>33.128185400000007</v>
      </c>
      <c r="PC90" s="1319">
        <f t="shared" ca="1" si="1203"/>
        <v>33.128185400000007</v>
      </c>
      <c r="PD90" s="1319">
        <f t="shared" ca="1" si="1203"/>
        <v>33.128185400000007</v>
      </c>
      <c r="PE90" s="1319">
        <f t="shared" ca="1" si="1203"/>
        <v>27.087556000000006</v>
      </c>
      <c r="PF90" s="1319">
        <f t="shared" ca="1" si="1203"/>
        <v>33.128185400000007</v>
      </c>
      <c r="PG90" s="1319">
        <f t="shared" ca="1" si="1203"/>
        <v>33.128185400000007</v>
      </c>
      <c r="PH90" s="1319">
        <f t="shared" ca="1" si="1203"/>
        <v>59.151174400000002</v>
      </c>
      <c r="PI90" s="1319">
        <f t="shared" ca="1" si="1203"/>
        <v>33.128185400000007</v>
      </c>
      <c r="PJ90" s="1319">
        <f t="shared" ca="1" si="1203"/>
        <v>20</v>
      </c>
      <c r="PK90" s="1319">
        <f t="shared" ca="1" si="1203"/>
        <v>33</v>
      </c>
      <c r="PW90" s="1319">
        <f t="shared" ca="1" si="1204"/>
        <v>20</v>
      </c>
      <c r="PX90" s="1319">
        <f t="shared" ca="1" si="1204"/>
        <v>121</v>
      </c>
      <c r="PY90" s="1319">
        <f t="shared" ca="1" si="1204"/>
        <v>20</v>
      </c>
      <c r="PZ90" s="1319">
        <f t="shared" ca="1" si="1204"/>
        <v>20</v>
      </c>
    </row>
    <row r="91" spans="1:442" x14ac:dyDescent="0.25">
      <c r="A91" s="189">
        <v>70</v>
      </c>
      <c r="B91" s="189" t="s">
        <v>1256</v>
      </c>
      <c r="C91" s="1317" t="s">
        <v>1312</v>
      </c>
      <c r="D91" s="1317" t="s">
        <v>155</v>
      </c>
      <c r="J91" s="1319">
        <f t="shared" ca="1" si="1157"/>
        <v>1</v>
      </c>
      <c r="K91" s="1319">
        <f t="shared" ca="1" si="1185"/>
        <v>1</v>
      </c>
      <c r="T91" s="1319">
        <f t="shared" ca="1" si="1158"/>
        <v>1</v>
      </c>
      <c r="U91" s="1319">
        <f t="shared" ca="1" si="1205"/>
        <v>4.6597701799999998</v>
      </c>
      <c r="V91" s="1319">
        <f t="shared" ca="1" si="1205"/>
        <v>6.0910336200000001</v>
      </c>
      <c r="W91" s="1319">
        <f t="shared" ca="1" si="1205"/>
        <v>13</v>
      </c>
      <c r="X91" s="1319">
        <f t="shared" ca="1" si="1205"/>
        <v>13</v>
      </c>
      <c r="Y91" s="1319">
        <f t="shared" ca="1" si="1205"/>
        <v>5.67590605</v>
      </c>
      <c r="Z91" s="1319">
        <f t="shared" ca="1" si="1205"/>
        <v>2.60088886</v>
      </c>
      <c r="AA91" s="1319">
        <f t="shared" ca="1" si="1205"/>
        <v>9.6008888599999995</v>
      </c>
      <c r="AB91" s="1319">
        <f t="shared" ca="1" si="1205"/>
        <v>11.7811041</v>
      </c>
      <c r="AC91" s="1319">
        <f t="shared" ca="1" si="1205"/>
        <v>6.0910336200000001</v>
      </c>
      <c r="AD91" s="1319">
        <f t="shared" ca="1" si="1205"/>
        <v>5.4229876600000013</v>
      </c>
      <c r="AM91" s="1319">
        <f t="shared" ca="1" si="1150"/>
        <v>5</v>
      </c>
      <c r="AN91" s="1319">
        <f t="shared" ca="1" si="1150"/>
        <v>4.6597701799999998</v>
      </c>
      <c r="AO91" s="1319">
        <f t="shared" ca="1" si="1179"/>
        <v>9.6008888599999995</v>
      </c>
      <c r="AP91" s="1319">
        <f t="shared" ca="1" si="1179"/>
        <v>5.7</v>
      </c>
      <c r="AQ91" s="1319">
        <f t="shared" ca="1" si="1179"/>
        <v>1</v>
      </c>
      <c r="AR91" s="1319">
        <f t="shared" ca="1" si="1179"/>
        <v>1</v>
      </c>
      <c r="AS91" s="1319">
        <f t="shared" ca="1" si="1179"/>
        <v>1</v>
      </c>
      <c r="AT91" s="1319">
        <f t="shared" ca="1" si="1150"/>
        <v>1</v>
      </c>
      <c r="AU91" s="1319">
        <f t="shared" ca="1" si="1150"/>
        <v>1</v>
      </c>
      <c r="AV91" s="1319">
        <f t="shared" ca="1" si="1150"/>
        <v>1</v>
      </c>
      <c r="AW91" s="1319">
        <f t="shared" ca="1" si="1150"/>
        <v>1</v>
      </c>
      <c r="AX91" s="1319">
        <f t="shared" ca="1" si="1150"/>
        <v>1</v>
      </c>
      <c r="AY91" s="1319">
        <f t="shared" ca="1" si="1150"/>
        <v>9</v>
      </c>
      <c r="AZ91" s="1319">
        <f t="shared" ca="1" si="1150"/>
        <v>5</v>
      </c>
      <c r="BA91" s="1319">
        <f t="shared" ca="1" si="1150"/>
        <v>5</v>
      </c>
      <c r="BB91" s="1319">
        <f t="shared" ca="1" si="1150"/>
        <v>4.3365398500000003</v>
      </c>
      <c r="BN91" s="1319">
        <f t="shared" ca="1" si="1186"/>
        <v>1</v>
      </c>
      <c r="BO91" s="1319">
        <f t="shared" ca="1" si="1186"/>
        <v>4.99289761</v>
      </c>
      <c r="BP91" s="1319">
        <f t="shared" ca="1" si="1186"/>
        <v>1</v>
      </c>
      <c r="BQ91" s="1319">
        <f t="shared" ca="1" si="1186"/>
        <v>1</v>
      </c>
      <c r="BR91" s="1319">
        <f t="shared" ca="1" si="1186"/>
        <v>1</v>
      </c>
      <c r="CD91" s="1319">
        <f t="shared" ca="1" si="1187"/>
        <v>4.3365398500000003</v>
      </c>
      <c r="CE91" s="1319">
        <f t="shared" ca="1" si="1187"/>
        <v>2.5</v>
      </c>
      <c r="CF91" s="1319">
        <f t="shared" ca="1" si="1187"/>
        <v>1</v>
      </c>
      <c r="CG91" s="1319">
        <f t="shared" ca="1" si="1187"/>
        <v>4.99289761</v>
      </c>
      <c r="CH91" s="1319">
        <f t="shared" ca="1" si="1187"/>
        <v>5.0827578400000002</v>
      </c>
      <c r="CI91" s="1319">
        <f t="shared" ca="1" si="1187"/>
        <v>1</v>
      </c>
      <c r="CJ91" s="1319">
        <f t="shared" ca="1" si="1187"/>
        <v>1</v>
      </c>
      <c r="CK91" s="1319">
        <f t="shared" ca="1" si="1187"/>
        <v>1</v>
      </c>
      <c r="CL91" s="1319">
        <f t="shared" ca="1" si="1187"/>
        <v>1</v>
      </c>
      <c r="CM91" s="1319">
        <f t="shared" ca="1" si="1187"/>
        <v>1.9239300399999999</v>
      </c>
      <c r="CN91" s="1319">
        <f t="shared" ca="1" si="1187"/>
        <v>6.0149875499999998</v>
      </c>
      <c r="CO91" s="1319">
        <f t="shared" ca="1" si="1187"/>
        <v>4.3022982000000001</v>
      </c>
      <c r="DA91" s="1319">
        <f t="shared" ca="1" si="1188"/>
        <v>3.0413789199999997</v>
      </c>
      <c r="DB91" s="1319">
        <f t="shared" ca="1" si="1188"/>
        <v>1</v>
      </c>
      <c r="DC91" s="1319">
        <f t="shared" ca="1" si="1188"/>
        <v>3</v>
      </c>
      <c r="DD91" s="1319">
        <f t="shared" ca="1" si="1188"/>
        <v>9</v>
      </c>
      <c r="DE91" s="1319">
        <f t="shared" ca="1" si="1188"/>
        <v>2.0206894599999998</v>
      </c>
      <c r="DF91" s="1319">
        <f t="shared" ca="1" si="1188"/>
        <v>1</v>
      </c>
      <c r="DG91" s="1319">
        <f t="shared" ca="1" si="1188"/>
        <v>1</v>
      </c>
      <c r="DH91" s="1319">
        <f t="shared" ca="1" si="1188"/>
        <v>3</v>
      </c>
      <c r="DI91" s="1319">
        <f t="shared" ca="1" si="1188"/>
        <v>3</v>
      </c>
      <c r="DJ91" s="1319">
        <f t="shared" ca="1" si="1188"/>
        <v>3</v>
      </c>
      <c r="DV91" s="1319">
        <f t="shared" ca="1" si="1189"/>
        <v>5</v>
      </c>
      <c r="DW91" s="1319">
        <f t="shared" ca="1" si="1189"/>
        <v>1</v>
      </c>
      <c r="DX91" s="1319">
        <f t="shared" ca="1" si="1189"/>
        <v>3.0413789199999997</v>
      </c>
      <c r="DY91" s="1319">
        <f t="shared" ca="1" si="1189"/>
        <v>3.0413789199999997</v>
      </c>
      <c r="DZ91" s="1319">
        <f t="shared" ca="1" si="1189"/>
        <v>3</v>
      </c>
      <c r="EA91" s="1319">
        <f t="shared" ca="1" si="1189"/>
        <v>2.0206894599999998</v>
      </c>
      <c r="EB91" s="1319">
        <f t="shared" ca="1" si="1189"/>
        <v>3.0413789199999997</v>
      </c>
      <c r="EC91" s="1319">
        <f t="shared" ca="1" si="1189"/>
        <v>2.0206894599999998</v>
      </c>
      <c r="ED91" s="1319">
        <f t="shared" ca="1" si="1189"/>
        <v>1.9239300399999999</v>
      </c>
      <c r="EE91" s="1319">
        <f t="shared" ca="1" si="1189"/>
        <v>1</v>
      </c>
      <c r="EF91" s="1319">
        <f t="shared" ca="1" si="1189"/>
        <v>1</v>
      </c>
      <c r="EG91" s="1319">
        <f t="shared" ca="1" si="1189"/>
        <v>9</v>
      </c>
      <c r="EH91" s="1319">
        <f t="shared" ca="1" si="1189"/>
        <v>3</v>
      </c>
      <c r="EI91" s="1319">
        <f t="shared" ca="1" si="1189"/>
        <v>1</v>
      </c>
      <c r="EJ91" s="1319">
        <f t="shared" ca="1" si="1101"/>
        <v>3.2455168099999998</v>
      </c>
      <c r="EK91" s="1319">
        <f t="shared" ca="1" si="1189"/>
        <v>3</v>
      </c>
      <c r="EW91" s="1319">
        <f t="shared" ca="1" si="1190"/>
        <v>6.0149875499999998</v>
      </c>
      <c r="EX91" s="1319">
        <f t="shared" ca="1" si="1190"/>
        <v>6.0149875499999998</v>
      </c>
      <c r="EY91" s="1319">
        <f t="shared" ca="1" si="1190"/>
        <v>6.2592494700000012</v>
      </c>
      <c r="EZ91" s="1319">
        <f t="shared" ca="1" si="1190"/>
        <v>6.2592494700000012</v>
      </c>
      <c r="FA91" s="1319">
        <f t="shared" ca="1" si="1190"/>
        <v>2.0413789200000001</v>
      </c>
      <c r="FB91" s="1319">
        <f t="shared" ca="1" si="1190"/>
        <v>2.0899831799999999</v>
      </c>
      <c r="FN91" s="1319">
        <f t="shared" ca="1" si="1191"/>
        <v>1</v>
      </c>
      <c r="FO91" s="1319">
        <f t="shared" ca="1" si="1191"/>
        <v>1</v>
      </c>
      <c r="FP91" s="1319">
        <f t="shared" ca="1" si="1191"/>
        <v>2.0413789200000001</v>
      </c>
      <c r="FQ91" s="1319">
        <f t="shared" ca="1" si="1191"/>
        <v>2.0899831799999999</v>
      </c>
      <c r="FR91" s="1319">
        <f t="shared" ca="1" si="1191"/>
        <v>1.6</v>
      </c>
      <c r="FS91" s="1319">
        <f t="shared" ca="1" si="1191"/>
        <v>6.0910336200000001</v>
      </c>
      <c r="FT91" s="1319">
        <f t="shared" ca="1" si="1191"/>
        <v>1.65</v>
      </c>
      <c r="FU91" s="1319">
        <f t="shared" ca="1" si="1191"/>
        <v>1</v>
      </c>
      <c r="FV91" s="1319">
        <f t="shared" ca="1" si="1191"/>
        <v>5</v>
      </c>
      <c r="FW91" s="1319">
        <f t="shared" ca="1" si="1191"/>
        <v>0.9</v>
      </c>
      <c r="FX91" s="1319">
        <f t="shared" ca="1" si="1191"/>
        <v>4.3022982000000001</v>
      </c>
      <c r="GJ91" s="1319">
        <f t="shared" ca="1" si="1192"/>
        <v>1.6</v>
      </c>
      <c r="GK91" s="1319">
        <f t="shared" ca="1" si="1192"/>
        <v>1.6</v>
      </c>
      <c r="GL91" s="1319">
        <f t="shared" ca="1" si="1192"/>
        <v>1.6</v>
      </c>
      <c r="GM91" s="1319">
        <f t="shared" ca="1" si="1192"/>
        <v>1.6</v>
      </c>
      <c r="GN91" s="1319">
        <f t="shared" ca="1" si="1192"/>
        <v>1</v>
      </c>
      <c r="GO91" s="1319">
        <f t="shared" ca="1" si="1192"/>
        <v>2.5</v>
      </c>
      <c r="GP91" s="1319">
        <f t="shared" ca="1" si="1192"/>
        <v>1.44</v>
      </c>
      <c r="GQ91" s="1319">
        <f t="shared" ca="1" si="1192"/>
        <v>1.65</v>
      </c>
      <c r="HC91" s="1319">
        <f t="shared" ca="1" si="1193"/>
        <v>6.2592494700000012</v>
      </c>
      <c r="HD91" s="1319">
        <f t="shared" ca="1" si="1193"/>
        <v>3.94997957</v>
      </c>
      <c r="HE91" s="1319">
        <f t="shared" ca="1" si="1193"/>
        <v>6.9084628700000001</v>
      </c>
      <c r="HF91" s="1319">
        <f t="shared" ca="1" si="1193"/>
        <v>6.9084628700000001</v>
      </c>
      <c r="HG91" s="1319">
        <f t="shared" ca="1" si="1193"/>
        <v>6.9084628700000001</v>
      </c>
      <c r="HH91" s="1319">
        <f t="shared" ca="1" si="1193"/>
        <v>1</v>
      </c>
      <c r="HT91" s="1319">
        <f t="shared" ca="1" si="1194"/>
        <v>1</v>
      </c>
      <c r="HU91" s="1319">
        <f t="shared" ca="1" si="1194"/>
        <v>3.94997957</v>
      </c>
      <c r="HV91" s="1319">
        <f t="shared" ca="1" si="1194"/>
        <v>1.2949979599999999</v>
      </c>
      <c r="HW91" s="1319">
        <f t="shared" ca="1" si="1194"/>
        <v>1.2949979599999999</v>
      </c>
      <c r="HX91" s="1319">
        <f t="shared" ca="1" si="1194"/>
        <v>1</v>
      </c>
      <c r="HY91" s="1319">
        <f t="shared" ca="1" si="1194"/>
        <v>1</v>
      </c>
      <c r="HZ91" s="1319">
        <f t="shared" ca="1" si="1194"/>
        <v>1.03402298</v>
      </c>
      <c r="IA91" s="1319">
        <f t="shared" ca="1" si="1194"/>
        <v>1</v>
      </c>
      <c r="IB91" s="1319">
        <f t="shared" ca="1" si="1194"/>
        <v>5.4229876600000013</v>
      </c>
      <c r="IC91" s="1319">
        <f t="shared" ca="1" si="1194"/>
        <v>4</v>
      </c>
      <c r="ID91" s="1319">
        <f t="shared" ca="1" si="1194"/>
        <v>2</v>
      </c>
      <c r="IE91" s="1319">
        <f t="shared" ca="1" si="1194"/>
        <v>5.0999999999999996</v>
      </c>
      <c r="IQ91" s="1319">
        <f t="shared" ca="1" si="1195"/>
        <v>1</v>
      </c>
      <c r="IR91" s="1319">
        <f t="shared" ca="1" si="1195"/>
        <v>1</v>
      </c>
      <c r="IS91" s="1319">
        <f t="shared" ca="1" si="1195"/>
        <v>2</v>
      </c>
      <c r="IT91" s="1319">
        <f t="shared" ca="1" si="1195"/>
        <v>2</v>
      </c>
      <c r="IU91" s="1319">
        <f t="shared" ca="1" si="1108"/>
        <v>1</v>
      </c>
      <c r="IV91" s="1319">
        <f t="shared" ca="1" si="1195"/>
        <v>1</v>
      </c>
      <c r="IW91" s="1319">
        <f t="shared" ca="1" si="1195"/>
        <v>2</v>
      </c>
      <c r="IX91" s="1319">
        <f t="shared" ca="1" si="1109"/>
        <v>1</v>
      </c>
      <c r="IY91" s="1319">
        <f t="shared" ca="1" si="1195"/>
        <v>2</v>
      </c>
      <c r="IZ91" s="1319">
        <f t="shared" ca="1" si="1195"/>
        <v>4.4022981999999997</v>
      </c>
      <c r="JA91" s="1319">
        <f t="shared" ca="1" si="1195"/>
        <v>1</v>
      </c>
      <c r="JB91" s="1319">
        <f t="shared" ca="1" si="1195"/>
        <v>1</v>
      </c>
      <c r="JC91" s="1319">
        <f t="shared" ca="1" si="1195"/>
        <v>1</v>
      </c>
      <c r="JD91" s="1319">
        <f t="shared" ca="1" si="1195"/>
        <v>1</v>
      </c>
      <c r="JE91" s="1319">
        <f t="shared" ca="1" si="1195"/>
        <v>1</v>
      </c>
      <c r="JF91" s="1319">
        <f t="shared" ca="1" si="1195"/>
        <v>1</v>
      </c>
      <c r="JG91" s="1319">
        <f t="shared" ca="1" si="1195"/>
        <v>2</v>
      </c>
      <c r="JH91" s="1319">
        <f t="shared" ca="1" si="1195"/>
        <v>1</v>
      </c>
      <c r="JT91" s="1319">
        <f t="shared" ca="1" si="1196"/>
        <v>5.4229876600000013</v>
      </c>
      <c r="JU91" s="1319">
        <f t="shared" ca="1" si="1196"/>
        <v>5.4229876600000013</v>
      </c>
      <c r="JV91" s="1319">
        <f t="shared" ca="1" si="1196"/>
        <v>1</v>
      </c>
      <c r="JW91" s="1319">
        <f t="shared" ca="1" si="1196"/>
        <v>1</v>
      </c>
      <c r="JX91" s="1319">
        <f t="shared" ca="1" si="1196"/>
        <v>1</v>
      </c>
      <c r="JY91" s="1319">
        <f t="shared" ca="1" si="1196"/>
        <v>6.8995850799999996</v>
      </c>
      <c r="JZ91" s="1319">
        <f t="shared" ca="1" si="1196"/>
        <v>1</v>
      </c>
      <c r="KA91" s="1319">
        <f t="shared" ca="1" si="1196"/>
        <v>5.4229876600000013</v>
      </c>
      <c r="KB91" s="1319">
        <f t="shared" ca="1" si="1196"/>
        <v>1</v>
      </c>
      <c r="KC91" s="1319">
        <f t="shared" ca="1" si="1196"/>
        <v>1</v>
      </c>
      <c r="KL91" s="1319">
        <f t="shared" ca="1" si="1197"/>
        <v>17</v>
      </c>
      <c r="KM91" s="1319">
        <f t="shared" ca="1" si="1197"/>
        <v>1</v>
      </c>
      <c r="KN91" s="1319">
        <f t="shared" ca="1" si="1197"/>
        <v>1</v>
      </c>
      <c r="KO91" s="1319">
        <f t="shared" ca="1" si="1197"/>
        <v>9</v>
      </c>
      <c r="KP91" s="1319">
        <f t="shared" ca="1" si="1197"/>
        <v>9</v>
      </c>
      <c r="KQ91" s="1319">
        <f t="shared" ca="1" si="1197"/>
        <v>17</v>
      </c>
      <c r="KR91" s="1319">
        <f t="shared" ca="1" si="1197"/>
        <v>1</v>
      </c>
      <c r="LA91" s="1319">
        <f t="shared" ca="1" si="1198"/>
        <v>6.9084628700000001</v>
      </c>
      <c r="LB91" s="1319">
        <f t="shared" ca="1" si="1198"/>
        <v>1.03402298</v>
      </c>
      <c r="LC91" s="1319">
        <f t="shared" ca="1" si="1198"/>
        <v>1.0138849000000001</v>
      </c>
      <c r="LD91" s="1319">
        <f t="shared" ca="1" si="1198"/>
        <v>1.0138849000000001</v>
      </c>
      <c r="LE91" s="1319">
        <f t="shared" ca="1" si="1198"/>
        <v>1</v>
      </c>
      <c r="LF91" s="1319">
        <f t="shared" ca="1" si="1198"/>
        <v>0.96597701999999996</v>
      </c>
      <c r="LG91" s="1319">
        <f t="shared" ca="1" si="1198"/>
        <v>0.96597701999999996</v>
      </c>
      <c r="LH91" s="1319">
        <f t="shared" ca="1" si="1198"/>
        <v>0.96597701999999996</v>
      </c>
      <c r="LI91" s="1319">
        <f t="shared" ca="1" si="1198"/>
        <v>1</v>
      </c>
      <c r="LJ91" s="1319">
        <f t="shared" ca="1" si="1198"/>
        <v>5</v>
      </c>
      <c r="LK91" s="1319">
        <f t="shared" ca="1" si="1198"/>
        <v>1</v>
      </c>
      <c r="LW91" s="1319">
        <f t="shared" ca="1" si="1113"/>
        <v>13</v>
      </c>
      <c r="LX91" s="1319">
        <f t="shared" ca="1" si="1199"/>
        <v>13</v>
      </c>
      <c r="LY91" s="1319">
        <f t="shared" ca="1" si="1199"/>
        <v>6.9084628700000001</v>
      </c>
      <c r="LZ91" s="1319">
        <f t="shared" ca="1" si="1199"/>
        <v>2</v>
      </c>
      <c r="MA91" s="1319">
        <f t="shared" ca="1" si="1199"/>
        <v>1</v>
      </c>
      <c r="MB91" s="1319">
        <f t="shared" ca="1" si="1199"/>
        <v>1.0138849000000001</v>
      </c>
      <c r="MC91" s="1319">
        <f t="shared" ca="1" si="1199"/>
        <v>0.96597701999999996</v>
      </c>
      <c r="MD91" s="1319">
        <f t="shared" ca="1" si="1199"/>
        <v>59.861367599999994</v>
      </c>
      <c r="ME91" s="1319">
        <f t="shared" ca="1" si="1199"/>
        <v>13</v>
      </c>
      <c r="MF91" s="1319">
        <f t="shared" ca="1" si="1199"/>
        <v>62.241367599999997</v>
      </c>
      <c r="MG91" s="1319">
        <f t="shared" ca="1" si="1199"/>
        <v>62.241367599999997</v>
      </c>
      <c r="MH91" s="1319">
        <f t="shared" ca="1" si="1200"/>
        <v>9.5057454999999997</v>
      </c>
      <c r="MI91" s="1319">
        <f t="shared" ca="1" si="1200"/>
        <v>9.5057454999999997</v>
      </c>
      <c r="MJ91" s="1319">
        <f t="shared" ca="1" si="1199"/>
        <v>0.1</v>
      </c>
      <c r="MK91" s="1319">
        <f t="shared" ca="1" si="1199"/>
        <v>0.1</v>
      </c>
      <c r="ML91" s="1319">
        <f t="shared" ca="1" si="1199"/>
        <v>5</v>
      </c>
      <c r="MM91" s="1319">
        <f t="shared" ca="1" si="1199"/>
        <v>5.4229876600000013</v>
      </c>
      <c r="MN91" s="1319">
        <f t="shared" ca="1" si="1199"/>
        <v>13</v>
      </c>
      <c r="MO91" s="1319">
        <f t="shared" ca="1" si="1199"/>
        <v>1</v>
      </c>
      <c r="NA91" s="1319">
        <f t="shared" ca="1" si="1201"/>
        <v>2.60088886</v>
      </c>
      <c r="NB91" s="1319">
        <f t="shared" ca="1" si="1201"/>
        <v>1</v>
      </c>
      <c r="NC91" s="1319">
        <f t="shared" ca="1" si="1201"/>
        <v>1</v>
      </c>
      <c r="ND91" s="1319">
        <f t="shared" ca="1" si="1201"/>
        <v>5.4</v>
      </c>
      <c r="NE91" s="1319">
        <f t="shared" ca="1" si="1201"/>
        <v>5.2206894600000009</v>
      </c>
      <c r="NF91" s="1319">
        <f t="shared" ca="1" si="1201"/>
        <v>4.4206894600000002</v>
      </c>
      <c r="NG91" s="1319">
        <f t="shared" ca="1" si="1201"/>
        <v>5.4</v>
      </c>
      <c r="NH91" s="1319">
        <f t="shared" ca="1" si="1201"/>
        <v>1.5446433799999999</v>
      </c>
      <c r="NI91" s="1319">
        <f t="shared" ca="1" si="1201"/>
        <v>1.5446433799999999</v>
      </c>
      <c r="NJ91" s="1319">
        <f t="shared" ca="1" si="1201"/>
        <v>62.241367599999997</v>
      </c>
      <c r="NK91" s="1319">
        <f t="shared" ca="1" si="1201"/>
        <v>9.5057454999999997</v>
      </c>
      <c r="NL91" s="1319">
        <f t="shared" ca="1" si="1201"/>
        <v>5</v>
      </c>
      <c r="NM91" s="1319">
        <f t="shared" ca="1" si="1201"/>
        <v>5.4229876600000013</v>
      </c>
      <c r="NN91" s="1319">
        <f t="shared" ca="1" si="1201"/>
        <v>1</v>
      </c>
      <c r="NO91" s="1319">
        <f t="shared" ca="1" si="1201"/>
        <v>13</v>
      </c>
      <c r="NP91" s="1319">
        <f t="shared" ca="1" si="1201"/>
        <v>8</v>
      </c>
      <c r="OH91" s="1319">
        <f t="shared" ca="1" si="1202"/>
        <v>5</v>
      </c>
      <c r="OI91" s="1319">
        <f t="shared" ca="1" si="1202"/>
        <v>5</v>
      </c>
      <c r="OJ91" s="1319">
        <f t="shared" ca="1" si="1202"/>
        <v>5.0999999999999996</v>
      </c>
      <c r="OK91" s="1319">
        <f t="shared" ca="1" si="1202"/>
        <v>5</v>
      </c>
      <c r="OL91" s="1319">
        <f t="shared" ca="1" si="1202"/>
        <v>1</v>
      </c>
      <c r="OM91" s="1319">
        <f t="shared" ca="1" si="1202"/>
        <v>1</v>
      </c>
      <c r="ON91" s="1319">
        <f t="shared" ca="1" si="1202"/>
        <v>4.0827578000000004</v>
      </c>
      <c r="OO91" s="1319">
        <f t="shared" ca="1" si="1202"/>
        <v>4.0827578000000004</v>
      </c>
      <c r="PA91" s="1319">
        <f t="shared" ca="1" si="1203"/>
        <v>5</v>
      </c>
      <c r="PB91" s="1319">
        <f t="shared" ca="1" si="1203"/>
        <v>5</v>
      </c>
      <c r="PC91" s="1319">
        <f t="shared" ca="1" si="1203"/>
        <v>5</v>
      </c>
      <c r="PD91" s="1319">
        <f t="shared" ca="1" si="1203"/>
        <v>5</v>
      </c>
      <c r="PE91" s="1319">
        <f t="shared" ca="1" si="1203"/>
        <v>1</v>
      </c>
      <c r="PF91" s="1319">
        <f t="shared" ca="1" si="1203"/>
        <v>5</v>
      </c>
      <c r="PG91" s="1319">
        <f t="shared" ca="1" si="1203"/>
        <v>5</v>
      </c>
      <c r="PH91" s="1319">
        <f t="shared" ca="1" si="1203"/>
        <v>2</v>
      </c>
      <c r="PI91" s="1319">
        <f t="shared" ca="1" si="1203"/>
        <v>5</v>
      </c>
      <c r="PJ91" s="1319">
        <f t="shared" ca="1" si="1203"/>
        <v>1</v>
      </c>
      <c r="PK91" s="1319">
        <f t="shared" ca="1" si="1203"/>
        <v>5</v>
      </c>
      <c r="PW91" s="1319">
        <f t="shared" ca="1" si="1204"/>
        <v>1</v>
      </c>
      <c r="PX91" s="1319">
        <f t="shared" ca="1" si="1204"/>
        <v>1</v>
      </c>
      <c r="PY91" s="1319">
        <f t="shared" ca="1" si="1204"/>
        <v>1</v>
      </c>
      <c r="PZ91" s="1319">
        <f t="shared" ca="1" si="1204"/>
        <v>1</v>
      </c>
    </row>
    <row r="92" spans="1:442" x14ac:dyDescent="0.25">
      <c r="A92" s="189">
        <v>71</v>
      </c>
      <c r="B92" s="189" t="s">
        <v>1256</v>
      </c>
      <c r="C92" s="1317" t="s">
        <v>1313</v>
      </c>
      <c r="D92" s="1317"/>
      <c r="J92" s="1319">
        <f t="shared" ca="1" si="1157"/>
        <v>0</v>
      </c>
      <c r="K92" s="1319">
        <f t="shared" ca="1" si="1185"/>
        <v>0</v>
      </c>
      <c r="T92" s="1319">
        <f t="shared" ca="1" si="1158"/>
        <v>0</v>
      </c>
      <c r="U92" s="1319">
        <f t="shared" ca="1" si="1205"/>
        <v>0</v>
      </c>
      <c r="V92" s="1319">
        <f t="shared" ca="1" si="1205"/>
        <v>0</v>
      </c>
      <c r="W92" s="1319">
        <f t="shared" ca="1" si="1205"/>
        <v>1</v>
      </c>
      <c r="X92" s="1319">
        <f t="shared" ca="1" si="1205"/>
        <v>1</v>
      </c>
      <c r="Y92" s="1319">
        <f t="shared" ca="1" si="1205"/>
        <v>0</v>
      </c>
      <c r="Z92" s="1319">
        <f t="shared" ca="1" si="1205"/>
        <v>1</v>
      </c>
      <c r="AA92" s="1319">
        <f t="shared" ca="1" si="1205"/>
        <v>0</v>
      </c>
      <c r="AB92" s="1319">
        <f t="shared" ca="1" si="1205"/>
        <v>0</v>
      </c>
      <c r="AC92" s="1319">
        <f t="shared" ca="1" si="1205"/>
        <v>0</v>
      </c>
      <c r="AD92" s="1319">
        <f t="shared" ca="1" si="1205"/>
        <v>0</v>
      </c>
      <c r="AM92" s="1319">
        <f t="shared" ca="1" si="1150"/>
        <v>0</v>
      </c>
      <c r="AN92" s="1319">
        <f t="shared" ca="1" si="1150"/>
        <v>0</v>
      </c>
      <c r="AO92" s="1319">
        <f t="shared" ca="1" si="1179"/>
        <v>0</v>
      </c>
      <c r="AP92" s="1319">
        <f t="shared" ca="1" si="1179"/>
        <v>0</v>
      </c>
      <c r="AQ92" s="1319">
        <f t="shared" ca="1" si="1179"/>
        <v>1</v>
      </c>
      <c r="AR92" s="1319">
        <f t="shared" ca="1" si="1179"/>
        <v>1</v>
      </c>
      <c r="AS92" s="1319">
        <f t="shared" ca="1" si="1179"/>
        <v>0</v>
      </c>
      <c r="AT92" s="1319">
        <f t="shared" ca="1" si="1150"/>
        <v>1</v>
      </c>
      <c r="AU92" s="1319">
        <f t="shared" ca="1" si="1150"/>
        <v>0</v>
      </c>
      <c r="AV92" s="1319">
        <f t="shared" ca="1" si="1150"/>
        <v>0</v>
      </c>
      <c r="AW92" s="1319">
        <f t="shared" ca="1" si="1150"/>
        <v>0</v>
      </c>
      <c r="AX92" s="1319">
        <f t="shared" ca="1" si="1150"/>
        <v>2.0578398099999999E-5</v>
      </c>
      <c r="AY92" s="1319">
        <f t="shared" ca="1" si="1150"/>
        <v>0</v>
      </c>
      <c r="AZ92" s="1319">
        <f t="shared" ca="1" si="1150"/>
        <v>0</v>
      </c>
      <c r="BA92" s="1319">
        <f t="shared" ca="1" si="1150"/>
        <v>0</v>
      </c>
      <c r="BB92" s="1319">
        <f t="shared" ca="1" si="1150"/>
        <v>0</v>
      </c>
      <c r="BN92" s="1319">
        <f t="shared" ca="1" si="1186"/>
        <v>0</v>
      </c>
      <c r="BO92" s="1319">
        <f t="shared" ca="1" si="1186"/>
        <v>0</v>
      </c>
      <c r="BP92" s="1319">
        <f t="shared" ca="1" si="1186"/>
        <v>1</v>
      </c>
      <c r="BQ92" s="1319">
        <f t="shared" ca="1" si="1186"/>
        <v>0</v>
      </c>
      <c r="BR92" s="1319">
        <f t="shared" ca="1" si="1186"/>
        <v>0</v>
      </c>
      <c r="CD92" s="1319">
        <f t="shared" ca="1" si="1187"/>
        <v>0</v>
      </c>
      <c r="CE92" s="1319">
        <f t="shared" ca="1" si="1187"/>
        <v>0</v>
      </c>
      <c r="CF92" s="1319">
        <f t="shared" ca="1" si="1187"/>
        <v>0</v>
      </c>
      <c r="CG92" s="1319">
        <f t="shared" ca="1" si="1187"/>
        <v>0</v>
      </c>
      <c r="CH92" s="1319">
        <f t="shared" ca="1" si="1187"/>
        <v>0</v>
      </c>
      <c r="CI92" s="1319">
        <f t="shared" ca="1" si="1187"/>
        <v>0</v>
      </c>
      <c r="CJ92" s="1319">
        <f t="shared" ca="1" si="1187"/>
        <v>0</v>
      </c>
      <c r="CK92" s="1319">
        <f t="shared" ca="1" si="1187"/>
        <v>0</v>
      </c>
      <c r="CL92" s="1319">
        <f t="shared" ca="1" si="1187"/>
        <v>1</v>
      </c>
      <c r="CM92" s="1319">
        <f t="shared" ca="1" si="1187"/>
        <v>0</v>
      </c>
      <c r="CN92" s="1319">
        <f t="shared" ca="1" si="1187"/>
        <v>0</v>
      </c>
      <c r="CO92" s="1319">
        <f t="shared" ca="1" si="1187"/>
        <v>0</v>
      </c>
      <c r="DA92" s="1319">
        <f t="shared" ca="1" si="1188"/>
        <v>0</v>
      </c>
      <c r="DB92" s="1319">
        <f t="shared" ca="1" si="1188"/>
        <v>0</v>
      </c>
      <c r="DC92" s="1319">
        <f t="shared" ca="1" si="1188"/>
        <v>1</v>
      </c>
      <c r="DD92" s="1319">
        <f t="shared" ca="1" si="1188"/>
        <v>1</v>
      </c>
      <c r="DE92" s="1319">
        <f t="shared" ca="1" si="1188"/>
        <v>0</v>
      </c>
      <c r="DF92" s="1319">
        <f t="shared" ca="1" si="1188"/>
        <v>1</v>
      </c>
      <c r="DG92" s="1319">
        <f t="shared" ca="1" si="1188"/>
        <v>1</v>
      </c>
      <c r="DH92" s="1319">
        <f t="shared" ca="1" si="1188"/>
        <v>0.99313121100000001</v>
      </c>
      <c r="DI92" s="1319">
        <f t="shared" ca="1" si="1188"/>
        <v>0.99313121100000001</v>
      </c>
      <c r="DJ92" s="1319">
        <f t="shared" ca="1" si="1188"/>
        <v>0.99313121100000001</v>
      </c>
      <c r="DV92" s="1319">
        <f t="shared" ca="1" si="1189"/>
        <v>0</v>
      </c>
      <c r="DW92" s="1319">
        <f t="shared" ca="1" si="1189"/>
        <v>0</v>
      </c>
      <c r="DX92" s="1319">
        <f t="shared" ca="1" si="1189"/>
        <v>0</v>
      </c>
      <c r="DY92" s="1319">
        <f t="shared" ca="1" si="1189"/>
        <v>0</v>
      </c>
      <c r="DZ92" s="1319">
        <f t="shared" ca="1" si="1189"/>
        <v>1</v>
      </c>
      <c r="EA92" s="1319">
        <f t="shared" ca="1" si="1189"/>
        <v>0</v>
      </c>
      <c r="EB92" s="1319">
        <f t="shared" ca="1" si="1189"/>
        <v>0</v>
      </c>
      <c r="EC92" s="1319">
        <f t="shared" ca="1" si="1189"/>
        <v>0</v>
      </c>
      <c r="ED92" s="1319">
        <f t="shared" ca="1" si="1189"/>
        <v>0</v>
      </c>
      <c r="EE92" s="1319">
        <f t="shared" ca="1" si="1189"/>
        <v>1</v>
      </c>
      <c r="EF92" s="1319">
        <f t="shared" ca="1" si="1189"/>
        <v>0</v>
      </c>
      <c r="EG92" s="1319">
        <f t="shared" ca="1" si="1189"/>
        <v>1</v>
      </c>
      <c r="EH92" s="1319">
        <f t="shared" ca="1" si="1189"/>
        <v>1</v>
      </c>
      <c r="EI92" s="1319">
        <f t="shared" ca="1" si="1189"/>
        <v>0</v>
      </c>
      <c r="EJ92" s="1319">
        <f t="shared" ca="1" si="1101"/>
        <v>0</v>
      </c>
      <c r="EK92" s="1319">
        <f t="shared" ca="1" si="1189"/>
        <v>0.99313121100000001</v>
      </c>
      <c r="EW92" s="1319">
        <f t="shared" ca="1" si="1190"/>
        <v>0</v>
      </c>
      <c r="EX92" s="1319">
        <f t="shared" ca="1" si="1190"/>
        <v>0</v>
      </c>
      <c r="EY92" s="1319">
        <f t="shared" ca="1" si="1190"/>
        <v>0</v>
      </c>
      <c r="EZ92" s="1319">
        <f t="shared" ca="1" si="1190"/>
        <v>0</v>
      </c>
      <c r="FA92" s="1319">
        <f t="shared" ca="1" si="1190"/>
        <v>1</v>
      </c>
      <c r="FB92" s="1319">
        <f t="shared" ca="1" si="1190"/>
        <v>1</v>
      </c>
      <c r="FN92" s="1319">
        <f t="shared" ca="1" si="1191"/>
        <v>1</v>
      </c>
      <c r="FO92" s="1319">
        <f t="shared" ca="1" si="1191"/>
        <v>1</v>
      </c>
      <c r="FP92" s="1319">
        <f t="shared" ca="1" si="1191"/>
        <v>1</v>
      </c>
      <c r="FQ92" s="1319">
        <f t="shared" ca="1" si="1191"/>
        <v>1</v>
      </c>
      <c r="FR92" s="1319">
        <f t="shared" ca="1" si="1191"/>
        <v>1</v>
      </c>
      <c r="FS92" s="1319">
        <f t="shared" ca="1" si="1191"/>
        <v>0</v>
      </c>
      <c r="FT92" s="1319">
        <f t="shared" ca="1" si="1191"/>
        <v>0</v>
      </c>
      <c r="FU92" s="1319">
        <f t="shared" ca="1" si="1191"/>
        <v>1</v>
      </c>
      <c r="FV92" s="1319">
        <f t="shared" ca="1" si="1191"/>
        <v>0</v>
      </c>
      <c r="FW92" s="1319">
        <f t="shared" ca="1" si="1191"/>
        <v>1</v>
      </c>
      <c r="FX92" s="1319">
        <f t="shared" ca="1" si="1191"/>
        <v>0</v>
      </c>
      <c r="GJ92" s="1319">
        <f t="shared" ca="1" si="1192"/>
        <v>1</v>
      </c>
      <c r="GK92" s="1319">
        <f t="shared" ca="1" si="1192"/>
        <v>1</v>
      </c>
      <c r="GL92" s="1319">
        <f t="shared" ca="1" si="1192"/>
        <v>1</v>
      </c>
      <c r="GM92" s="1319">
        <f t="shared" ca="1" si="1192"/>
        <v>1</v>
      </c>
      <c r="GN92" s="1319">
        <f t="shared" ca="1" si="1192"/>
        <v>0</v>
      </c>
      <c r="GO92" s="1319">
        <f t="shared" ca="1" si="1192"/>
        <v>0</v>
      </c>
      <c r="GP92" s="1319">
        <f t="shared" ca="1" si="1192"/>
        <v>1</v>
      </c>
      <c r="GQ92" s="1319">
        <f t="shared" ca="1" si="1192"/>
        <v>0</v>
      </c>
      <c r="HC92" s="1319">
        <f t="shared" ca="1" si="1193"/>
        <v>0</v>
      </c>
      <c r="HD92" s="1319">
        <f t="shared" ca="1" si="1193"/>
        <v>0</v>
      </c>
      <c r="HE92" s="1319">
        <f t="shared" ca="1" si="1193"/>
        <v>1</v>
      </c>
      <c r="HF92" s="1319">
        <f t="shared" ca="1" si="1193"/>
        <v>1</v>
      </c>
      <c r="HG92" s="1319">
        <f t="shared" ca="1" si="1193"/>
        <v>0</v>
      </c>
      <c r="HH92" s="1319">
        <f t="shared" ca="1" si="1193"/>
        <v>0</v>
      </c>
      <c r="HT92" s="1319">
        <f t="shared" ca="1" si="1194"/>
        <v>2.0578398099999999E-5</v>
      </c>
      <c r="HU92" s="1319">
        <f t="shared" ca="1" si="1194"/>
        <v>0</v>
      </c>
      <c r="HV92" s="1319">
        <f t="shared" ca="1" si="1194"/>
        <v>0</v>
      </c>
      <c r="HW92" s="1319">
        <f t="shared" ca="1" si="1194"/>
        <v>0</v>
      </c>
      <c r="HX92" s="1319">
        <f t="shared" ca="1" si="1194"/>
        <v>0</v>
      </c>
      <c r="HY92" s="1319">
        <f t="shared" ca="1" si="1194"/>
        <v>0</v>
      </c>
      <c r="HZ92" s="1319">
        <f t="shared" ca="1" si="1194"/>
        <v>1</v>
      </c>
      <c r="IA92" s="1319">
        <f t="shared" ca="1" si="1194"/>
        <v>1</v>
      </c>
      <c r="IB92" s="1319">
        <f t="shared" ca="1" si="1194"/>
        <v>0</v>
      </c>
      <c r="IC92" s="1319">
        <f t="shared" ca="1" si="1194"/>
        <v>0</v>
      </c>
      <c r="ID92" s="1319">
        <f t="shared" ca="1" si="1194"/>
        <v>0</v>
      </c>
      <c r="IE92" s="1319">
        <f t="shared" ca="1" si="1194"/>
        <v>0</v>
      </c>
      <c r="IQ92" s="1319">
        <f t="shared" ca="1" si="1195"/>
        <v>0</v>
      </c>
      <c r="IR92" s="1319">
        <f t="shared" ca="1" si="1195"/>
        <v>0</v>
      </c>
      <c r="IS92" s="1319">
        <f t="shared" ca="1" si="1195"/>
        <v>0</v>
      </c>
      <c r="IT92" s="1319">
        <f t="shared" ca="1" si="1195"/>
        <v>0</v>
      </c>
      <c r="IU92" s="1319">
        <f t="shared" ca="1" si="1108"/>
        <v>4.1428491200000001E-7</v>
      </c>
      <c r="IV92" s="1319">
        <f t="shared" ca="1" si="1195"/>
        <v>0</v>
      </c>
      <c r="IW92" s="1319">
        <f t="shared" ca="1" si="1195"/>
        <v>0</v>
      </c>
      <c r="IX92" s="1319">
        <f t="shared" ca="1" si="1109"/>
        <v>1</v>
      </c>
      <c r="IY92" s="1319">
        <f t="shared" ca="1" si="1195"/>
        <v>0</v>
      </c>
      <c r="IZ92" s="1319">
        <f t="shared" ca="1" si="1195"/>
        <v>0</v>
      </c>
      <c r="JA92" s="1319">
        <f t="shared" ca="1" si="1195"/>
        <v>2.3248215699999998E-8</v>
      </c>
      <c r="JB92" s="1319">
        <f t="shared" ca="1" si="1195"/>
        <v>0</v>
      </c>
      <c r="JC92" s="1319">
        <f t="shared" ca="1" si="1195"/>
        <v>1.2557825099999999E-2</v>
      </c>
      <c r="JD92" s="1319">
        <f t="shared" ca="1" si="1195"/>
        <v>0</v>
      </c>
      <c r="JE92" s="1319">
        <f t="shared" ca="1" si="1195"/>
        <v>5.7214446500000003E-5</v>
      </c>
      <c r="JF92" s="1319">
        <f t="shared" ca="1" si="1195"/>
        <v>1</v>
      </c>
      <c r="JG92" s="1319">
        <f t="shared" ca="1" si="1195"/>
        <v>0</v>
      </c>
      <c r="JH92" s="1319">
        <f t="shared" ca="1" si="1195"/>
        <v>1</v>
      </c>
      <c r="JT92" s="1319">
        <f t="shared" ca="1" si="1196"/>
        <v>0</v>
      </c>
      <c r="JU92" s="1319">
        <f t="shared" ca="1" si="1196"/>
        <v>0</v>
      </c>
      <c r="JV92" s="1319">
        <f t="shared" ca="1" si="1196"/>
        <v>0</v>
      </c>
      <c r="JW92" s="1319">
        <f t="shared" ca="1" si="1196"/>
        <v>0</v>
      </c>
      <c r="JX92" s="1319">
        <f t="shared" ca="1" si="1196"/>
        <v>0</v>
      </c>
      <c r="JY92" s="1319">
        <f t="shared" ca="1" si="1196"/>
        <v>0</v>
      </c>
      <c r="JZ92" s="1319">
        <f t="shared" ca="1" si="1196"/>
        <v>0</v>
      </c>
      <c r="KA92" s="1319">
        <f t="shared" ca="1" si="1196"/>
        <v>0</v>
      </c>
      <c r="KB92" s="1319">
        <f t="shared" ca="1" si="1196"/>
        <v>0</v>
      </c>
      <c r="KC92" s="1319">
        <f t="shared" ca="1" si="1196"/>
        <v>0</v>
      </c>
      <c r="KL92" s="1319">
        <f t="shared" ca="1" si="1197"/>
        <v>0</v>
      </c>
      <c r="KM92" s="1319">
        <f t="shared" ca="1" si="1197"/>
        <v>0</v>
      </c>
      <c r="KN92" s="1319">
        <f t="shared" ca="1" si="1197"/>
        <v>0</v>
      </c>
      <c r="KO92" s="1319">
        <f t="shared" ca="1" si="1197"/>
        <v>1</v>
      </c>
      <c r="KP92" s="1319">
        <f t="shared" ca="1" si="1197"/>
        <v>1</v>
      </c>
      <c r="KQ92" s="1319">
        <f t="shared" ca="1" si="1197"/>
        <v>0</v>
      </c>
      <c r="KR92" s="1319">
        <f t="shared" ca="1" si="1197"/>
        <v>0</v>
      </c>
      <c r="LA92" s="1319">
        <f t="shared" ca="1" si="1198"/>
        <v>1</v>
      </c>
      <c r="LB92" s="1319">
        <f t="shared" ca="1" si="1198"/>
        <v>1</v>
      </c>
      <c r="LC92" s="1319">
        <f t="shared" ca="1" si="1198"/>
        <v>1</v>
      </c>
      <c r="LD92" s="1319">
        <f t="shared" ca="1" si="1198"/>
        <v>1</v>
      </c>
      <c r="LE92" s="1319">
        <f t="shared" ca="1" si="1198"/>
        <v>1</v>
      </c>
      <c r="LF92" s="1319">
        <f t="shared" ca="1" si="1198"/>
        <v>0.99999577299999998</v>
      </c>
      <c r="LG92" s="1319">
        <f t="shared" ca="1" si="1198"/>
        <v>0.99999556899999997</v>
      </c>
      <c r="LH92" s="1319">
        <f t="shared" ca="1" si="1198"/>
        <v>0</v>
      </c>
      <c r="LI92" s="1319">
        <f t="shared" ca="1" si="1198"/>
        <v>0.99997615100000004</v>
      </c>
      <c r="LJ92" s="1319">
        <f t="shared" ca="1" si="1198"/>
        <v>0</v>
      </c>
      <c r="LK92" s="1319">
        <f t="shared" ca="1" si="1198"/>
        <v>0</v>
      </c>
      <c r="LW92" s="1319">
        <f t="shared" ca="1" si="1113"/>
        <v>1</v>
      </c>
      <c r="LX92" s="1319">
        <f t="shared" ca="1" si="1199"/>
        <v>1</v>
      </c>
      <c r="LY92" s="1319">
        <f t="shared" ca="1" si="1199"/>
        <v>0</v>
      </c>
      <c r="LZ92" s="1319">
        <f t="shared" ca="1" si="1199"/>
        <v>0</v>
      </c>
      <c r="MA92" s="1319">
        <f t="shared" ca="1" si="1199"/>
        <v>0</v>
      </c>
      <c r="MB92" s="1319">
        <f t="shared" ca="1" si="1199"/>
        <v>1</v>
      </c>
      <c r="MC92" s="1319">
        <f t="shared" ca="1" si="1199"/>
        <v>0.99999577299999998</v>
      </c>
      <c r="MD92" s="1319">
        <f t="shared" ca="1" si="1199"/>
        <v>1</v>
      </c>
      <c r="ME92" s="1319">
        <f t="shared" ca="1" si="1199"/>
        <v>1</v>
      </c>
      <c r="MF92" s="1319">
        <f t="shared" ca="1" si="1199"/>
        <v>0</v>
      </c>
      <c r="MG92" s="1319">
        <f t="shared" ca="1" si="1199"/>
        <v>0</v>
      </c>
      <c r="MH92" s="1319">
        <f t="shared" ca="1" si="1200"/>
        <v>1</v>
      </c>
      <c r="MI92" s="1319">
        <f t="shared" ca="1" si="1200"/>
        <v>1</v>
      </c>
      <c r="MJ92" s="1319">
        <f t="shared" ca="1" si="1199"/>
        <v>0.87504087799999997</v>
      </c>
      <c r="MK92" s="1319">
        <f t="shared" ca="1" si="1199"/>
        <v>0</v>
      </c>
      <c r="ML92" s="1319">
        <f t="shared" ca="1" si="1199"/>
        <v>0</v>
      </c>
      <c r="MM92" s="1319">
        <f t="shared" ca="1" si="1199"/>
        <v>0</v>
      </c>
      <c r="MN92" s="1319">
        <f t="shared" ca="1" si="1199"/>
        <v>0</v>
      </c>
      <c r="MO92" s="1319">
        <f t="shared" ca="1" si="1199"/>
        <v>1</v>
      </c>
      <c r="NA92" s="1319">
        <f t="shared" ca="1" si="1201"/>
        <v>1</v>
      </c>
      <c r="NB92" s="1319">
        <f t="shared" ca="1" si="1201"/>
        <v>1</v>
      </c>
      <c r="NC92" s="1319">
        <f t="shared" ca="1" si="1201"/>
        <v>0</v>
      </c>
      <c r="ND92" s="1319">
        <f t="shared" ca="1" si="1201"/>
        <v>0</v>
      </c>
      <c r="NE92" s="1319">
        <f t="shared" ca="1" si="1201"/>
        <v>0</v>
      </c>
      <c r="NF92" s="1319">
        <f t="shared" ca="1" si="1201"/>
        <v>0</v>
      </c>
      <c r="NG92" s="1319">
        <f t="shared" ca="1" si="1201"/>
        <v>0</v>
      </c>
      <c r="NH92" s="1319">
        <f t="shared" ca="1" si="1201"/>
        <v>0</v>
      </c>
      <c r="NI92" s="1319">
        <f t="shared" ca="1" si="1201"/>
        <v>0</v>
      </c>
      <c r="NJ92" s="1319">
        <f t="shared" ca="1" si="1201"/>
        <v>0</v>
      </c>
      <c r="NK92" s="1319">
        <f t="shared" ca="1" si="1201"/>
        <v>1</v>
      </c>
      <c r="NL92" s="1319">
        <f t="shared" ca="1" si="1201"/>
        <v>0</v>
      </c>
      <c r="NM92" s="1319">
        <f t="shared" ca="1" si="1201"/>
        <v>0</v>
      </c>
      <c r="NN92" s="1319">
        <f t="shared" ca="1" si="1201"/>
        <v>1</v>
      </c>
      <c r="NO92" s="1319">
        <f t="shared" ca="1" si="1201"/>
        <v>0</v>
      </c>
      <c r="NP92" s="1319">
        <f t="shared" ca="1" si="1201"/>
        <v>0</v>
      </c>
      <c r="OH92" s="1319">
        <f t="shared" ca="1" si="1202"/>
        <v>0</v>
      </c>
      <c r="OI92" s="1319">
        <f t="shared" ca="1" si="1202"/>
        <v>0</v>
      </c>
      <c r="OJ92" s="1319">
        <f t="shared" ca="1" si="1202"/>
        <v>0</v>
      </c>
      <c r="OK92" s="1319">
        <f t="shared" ca="1" si="1202"/>
        <v>0</v>
      </c>
      <c r="OL92" s="1319">
        <f t="shared" ca="1" si="1202"/>
        <v>1</v>
      </c>
      <c r="OM92" s="1319">
        <f t="shared" ca="1" si="1202"/>
        <v>1</v>
      </c>
      <c r="ON92" s="1319">
        <f t="shared" ca="1" si="1202"/>
        <v>0</v>
      </c>
      <c r="OO92" s="1319">
        <f t="shared" ca="1" si="1202"/>
        <v>0</v>
      </c>
      <c r="PA92" s="1319">
        <f t="shared" ca="1" si="1203"/>
        <v>0</v>
      </c>
      <c r="PB92" s="1319">
        <f t="shared" ca="1" si="1203"/>
        <v>0</v>
      </c>
      <c r="PC92" s="1319">
        <f t="shared" ca="1" si="1203"/>
        <v>0</v>
      </c>
      <c r="PD92" s="1319">
        <f t="shared" ca="1" si="1203"/>
        <v>0</v>
      </c>
      <c r="PE92" s="1319">
        <f t="shared" ca="1" si="1203"/>
        <v>0</v>
      </c>
      <c r="PF92" s="1319">
        <f t="shared" ca="1" si="1203"/>
        <v>0</v>
      </c>
      <c r="PG92" s="1319">
        <f t="shared" ca="1" si="1203"/>
        <v>0</v>
      </c>
      <c r="PH92" s="1319">
        <f t="shared" ca="1" si="1203"/>
        <v>0</v>
      </c>
      <c r="PI92" s="1319">
        <f t="shared" ca="1" si="1203"/>
        <v>0</v>
      </c>
      <c r="PJ92" s="1319">
        <f t="shared" ca="1" si="1203"/>
        <v>0</v>
      </c>
      <c r="PK92" s="1319">
        <f t="shared" ca="1" si="1203"/>
        <v>0</v>
      </c>
      <c r="PW92" s="1319">
        <f t="shared" ca="1" si="1204"/>
        <v>0</v>
      </c>
      <c r="PX92" s="1319">
        <f t="shared" ca="1" si="1204"/>
        <v>1</v>
      </c>
      <c r="PY92" s="1319">
        <f t="shared" ca="1" si="1204"/>
        <v>0</v>
      </c>
      <c r="PZ92" s="1319">
        <f t="shared" ca="1" si="1204"/>
        <v>0</v>
      </c>
    </row>
    <row r="93" spans="1:442" x14ac:dyDescent="0.25">
      <c r="A93" s="189">
        <v>127</v>
      </c>
      <c r="B93" s="189" t="s">
        <v>1320</v>
      </c>
      <c r="C93" s="1317" t="s">
        <v>1258</v>
      </c>
      <c r="D93" s="1317" t="s">
        <v>206</v>
      </c>
      <c r="J93" s="1319">
        <f t="shared" ca="1" si="1157"/>
        <v>29204.880399999995</v>
      </c>
      <c r="K93" s="1319">
        <f t="shared" ca="1" si="1185"/>
        <v>29204.880399999995</v>
      </c>
      <c r="T93" s="1319">
        <f t="shared" ca="1" si="1158"/>
        <v>29204.880399999995</v>
      </c>
      <c r="U93" s="1319">
        <f t="shared" ca="1" si="1205"/>
        <v>0</v>
      </c>
      <c r="V93" s="1319">
        <f t="shared" ca="1" si="1205"/>
        <v>0</v>
      </c>
      <c r="W93" s="1319">
        <f t="shared" ca="1" si="1205"/>
        <v>0</v>
      </c>
      <c r="X93" s="1319">
        <f t="shared" ca="1" si="1205"/>
        <v>0</v>
      </c>
      <c r="Y93" s="1319">
        <f t="shared" ca="1" si="1205"/>
        <v>26138.367999999999</v>
      </c>
      <c r="Z93" s="1319">
        <f t="shared" ca="1" si="1205"/>
        <v>0</v>
      </c>
      <c r="AA93" s="1319">
        <f t="shared" ca="1" si="1205"/>
        <v>26138.367999999999</v>
      </c>
      <c r="AB93" s="1319">
        <f t="shared" ca="1" si="1205"/>
        <v>0</v>
      </c>
      <c r="AC93" s="1319">
        <f t="shared" ca="1" si="1205"/>
        <v>0</v>
      </c>
      <c r="AD93" s="1319">
        <f t="shared" ca="1" si="1205"/>
        <v>0</v>
      </c>
      <c r="AM93" s="1319">
        <f t="shared" ca="1" si="1150"/>
        <v>0</v>
      </c>
      <c r="AN93" s="1319">
        <f t="shared" ca="1" si="1150"/>
        <v>0</v>
      </c>
      <c r="AO93" s="1319">
        <f t="shared" ca="1" si="1179"/>
        <v>26138.367999999999</v>
      </c>
      <c r="AP93" s="1319">
        <f t="shared" ca="1" si="1179"/>
        <v>26138.367999999999</v>
      </c>
      <c r="AQ93" s="1319">
        <f t="shared" ca="1" si="1179"/>
        <v>0</v>
      </c>
      <c r="AR93" s="1319">
        <f t="shared" ca="1" si="1179"/>
        <v>0</v>
      </c>
      <c r="AS93" s="1319">
        <f t="shared" ca="1" si="1179"/>
        <v>0</v>
      </c>
      <c r="AT93" s="1319">
        <f t="shared" ca="1" si="1150"/>
        <v>0</v>
      </c>
      <c r="AU93" s="1319">
        <f t="shared" ca="1" si="1150"/>
        <v>0</v>
      </c>
      <c r="AV93" s="1319">
        <f t="shared" ca="1" si="1150"/>
        <v>26138.367999999999</v>
      </c>
      <c r="AW93" s="1319">
        <f t="shared" ca="1" si="1150"/>
        <v>0</v>
      </c>
      <c r="AX93" s="1319">
        <f t="shared" ca="1" si="1150"/>
        <v>0</v>
      </c>
      <c r="AY93" s="1319">
        <f t="shared" ca="1" si="1150"/>
        <v>0</v>
      </c>
      <c r="AZ93" s="1319">
        <f t="shared" ca="1" si="1150"/>
        <v>0</v>
      </c>
      <c r="BA93" s="1319">
        <f t="shared" ca="1" si="1150"/>
        <v>0</v>
      </c>
      <c r="BB93" s="1319">
        <f t="shared" ca="1" si="1150"/>
        <v>26138.367999999999</v>
      </c>
      <c r="BN93" s="1319">
        <f t="shared" ca="1" si="1186"/>
        <v>125.46416599999999</v>
      </c>
      <c r="BO93" s="1319">
        <f t="shared" ca="1" si="1186"/>
        <v>125.46416599999999</v>
      </c>
      <c r="BP93" s="1319">
        <f t="shared" ca="1" si="1186"/>
        <v>0</v>
      </c>
      <c r="BQ93" s="1319">
        <f t="shared" ca="1" si="1186"/>
        <v>0</v>
      </c>
      <c r="BR93" s="1319">
        <f t="shared" ca="1" si="1186"/>
        <v>0</v>
      </c>
      <c r="CD93" s="1319">
        <f t="shared" ca="1" si="1187"/>
        <v>26138.367999999999</v>
      </c>
      <c r="CE93" s="1319">
        <f t="shared" ca="1" si="1187"/>
        <v>26138.367999999999</v>
      </c>
      <c r="CF93" s="1319">
        <f t="shared" ca="1" si="1187"/>
        <v>125.46416599999999</v>
      </c>
      <c r="CG93" s="1319">
        <f t="shared" ca="1" si="1187"/>
        <v>125.46416599999999</v>
      </c>
      <c r="CH93" s="1319">
        <f t="shared" ca="1" si="1187"/>
        <v>26138.367999999999</v>
      </c>
      <c r="CI93" s="1319">
        <f t="shared" ca="1" si="1187"/>
        <v>0</v>
      </c>
      <c r="CJ93" s="1319">
        <f t="shared" ca="1" si="1187"/>
        <v>0</v>
      </c>
      <c r="CK93" s="1319">
        <f t="shared" ca="1" si="1187"/>
        <v>1254.64166</v>
      </c>
      <c r="CL93" s="1319">
        <f t="shared" ca="1" si="1187"/>
        <v>0</v>
      </c>
      <c r="CM93" s="1319">
        <f t="shared" ca="1" si="1187"/>
        <v>0</v>
      </c>
      <c r="CN93" s="1319">
        <f t="shared" ca="1" si="1187"/>
        <v>1254.64166</v>
      </c>
      <c r="CO93" s="1319">
        <f t="shared" ca="1" si="1187"/>
        <v>0</v>
      </c>
      <c r="DA93" s="1319">
        <f t="shared" ca="1" si="1188"/>
        <v>0</v>
      </c>
      <c r="DB93" s="1319">
        <f t="shared" ca="1" si="1188"/>
        <v>0</v>
      </c>
      <c r="DC93" s="1319">
        <f t="shared" ca="1" si="1188"/>
        <v>0</v>
      </c>
      <c r="DD93" s="1319">
        <f t="shared" ca="1" si="1188"/>
        <v>0</v>
      </c>
      <c r="DE93" s="1319">
        <f t="shared" ca="1" si="1188"/>
        <v>0</v>
      </c>
      <c r="DF93" s="1319">
        <f t="shared" ca="1" si="1188"/>
        <v>0</v>
      </c>
      <c r="DG93" s="1319">
        <f t="shared" ca="1" si="1188"/>
        <v>0</v>
      </c>
      <c r="DH93" s="1319">
        <f t="shared" ca="1" si="1188"/>
        <v>0</v>
      </c>
      <c r="DI93" s="1319">
        <f t="shared" ca="1" si="1188"/>
        <v>0</v>
      </c>
      <c r="DJ93" s="1319">
        <f t="shared" ca="1" si="1188"/>
        <v>0</v>
      </c>
      <c r="DV93" s="1319">
        <f t="shared" ca="1" si="1189"/>
        <v>0</v>
      </c>
      <c r="DW93" s="1319">
        <f t="shared" ca="1" si="1189"/>
        <v>0</v>
      </c>
      <c r="DX93" s="1319">
        <f t="shared" ca="1" si="1189"/>
        <v>0</v>
      </c>
      <c r="DY93" s="1319">
        <f t="shared" ca="1" si="1189"/>
        <v>0</v>
      </c>
      <c r="DZ93" s="1319">
        <f t="shared" ca="1" si="1189"/>
        <v>0</v>
      </c>
      <c r="EA93" s="1319">
        <f t="shared" ca="1" si="1189"/>
        <v>0</v>
      </c>
      <c r="EB93" s="1319">
        <f t="shared" ca="1" si="1189"/>
        <v>0</v>
      </c>
      <c r="EC93" s="1319">
        <f t="shared" ca="1" si="1189"/>
        <v>0</v>
      </c>
      <c r="ED93" s="1319">
        <f t="shared" ca="1" si="1189"/>
        <v>0</v>
      </c>
      <c r="EE93" s="1319">
        <f t="shared" ca="1" si="1189"/>
        <v>0</v>
      </c>
      <c r="EF93" s="1319">
        <f t="shared" ca="1" si="1189"/>
        <v>0</v>
      </c>
      <c r="EG93" s="1319">
        <f t="shared" ca="1" si="1189"/>
        <v>0</v>
      </c>
      <c r="EH93" s="1319">
        <f t="shared" ca="1" si="1189"/>
        <v>0</v>
      </c>
      <c r="EI93" s="1319">
        <f t="shared" ca="1" si="1189"/>
        <v>0</v>
      </c>
      <c r="EJ93" s="1319">
        <f t="shared" ca="1" si="1101"/>
        <v>0</v>
      </c>
      <c r="EK93" s="1319">
        <f t="shared" ca="1" si="1189"/>
        <v>0</v>
      </c>
      <c r="EW93" s="1319">
        <f t="shared" ca="1" si="1190"/>
        <v>1254.64166</v>
      </c>
      <c r="EX93" s="1319">
        <f t="shared" ca="1" si="1190"/>
        <v>1254.64166</v>
      </c>
      <c r="EY93" s="1319">
        <f t="shared" ca="1" si="1190"/>
        <v>1254.64166</v>
      </c>
      <c r="EZ93" s="1319">
        <f t="shared" ca="1" si="1190"/>
        <v>1254.64166</v>
      </c>
      <c r="FA93" s="1319">
        <f t="shared" ca="1" si="1190"/>
        <v>0</v>
      </c>
      <c r="FB93" s="1319">
        <f t="shared" ca="1" si="1190"/>
        <v>0</v>
      </c>
      <c r="FN93" s="1319">
        <f t="shared" ca="1" si="1191"/>
        <v>0</v>
      </c>
      <c r="FO93" s="1319">
        <f t="shared" ca="1" si="1191"/>
        <v>0</v>
      </c>
      <c r="FP93" s="1319">
        <f t="shared" ca="1" si="1191"/>
        <v>0</v>
      </c>
      <c r="FQ93" s="1319">
        <f t="shared" ca="1" si="1191"/>
        <v>0</v>
      </c>
      <c r="FR93" s="1319">
        <f t="shared" ca="1" si="1191"/>
        <v>0</v>
      </c>
      <c r="FS93" s="1319">
        <f t="shared" ca="1" si="1191"/>
        <v>0</v>
      </c>
      <c r="FT93" s="1319">
        <f t="shared" ca="1" si="1191"/>
        <v>0</v>
      </c>
      <c r="FU93" s="1319">
        <f t="shared" ca="1" si="1191"/>
        <v>0</v>
      </c>
      <c r="FV93" s="1319">
        <f t="shared" ca="1" si="1191"/>
        <v>0</v>
      </c>
      <c r="FW93" s="1319">
        <f t="shared" ca="1" si="1191"/>
        <v>0</v>
      </c>
      <c r="FX93" s="1319">
        <f t="shared" ca="1" si="1191"/>
        <v>0</v>
      </c>
      <c r="GJ93" s="1319">
        <f t="shared" ca="1" si="1192"/>
        <v>0</v>
      </c>
      <c r="GK93" s="1319">
        <f t="shared" ca="1" si="1192"/>
        <v>0</v>
      </c>
      <c r="GL93" s="1319">
        <f t="shared" ca="1" si="1192"/>
        <v>0</v>
      </c>
      <c r="GM93" s="1319">
        <f t="shared" ca="1" si="1192"/>
        <v>0</v>
      </c>
      <c r="GN93" s="1319">
        <f t="shared" ca="1" si="1192"/>
        <v>0</v>
      </c>
      <c r="GO93" s="1319">
        <f t="shared" ca="1" si="1192"/>
        <v>0</v>
      </c>
      <c r="GP93" s="1319">
        <f t="shared" ca="1" si="1192"/>
        <v>0</v>
      </c>
      <c r="GQ93" s="1319">
        <f t="shared" ca="1" si="1192"/>
        <v>0</v>
      </c>
      <c r="HC93" s="1319">
        <f t="shared" ca="1" si="1193"/>
        <v>1254.64166</v>
      </c>
      <c r="HD93" s="1319">
        <f t="shared" ca="1" si="1193"/>
        <v>25.092833200000001</v>
      </c>
      <c r="HE93" s="1319">
        <f t="shared" ca="1" si="1193"/>
        <v>0</v>
      </c>
      <c r="HF93" s="1319">
        <f t="shared" ca="1" si="1193"/>
        <v>0</v>
      </c>
      <c r="HG93" s="1319">
        <f t="shared" ca="1" si="1193"/>
        <v>1229.54883</v>
      </c>
      <c r="HH93" s="1319">
        <f t="shared" ca="1" si="1193"/>
        <v>25.092833200000001</v>
      </c>
      <c r="HT93" s="1319">
        <f t="shared" ca="1" si="1194"/>
        <v>0</v>
      </c>
      <c r="HU93" s="1319">
        <f t="shared" ca="1" si="1194"/>
        <v>25.092833200000001</v>
      </c>
      <c r="HV93" s="1319">
        <f t="shared" ca="1" si="1194"/>
        <v>25.092833200000001</v>
      </c>
      <c r="HW93" s="1319">
        <f t="shared" ca="1" si="1194"/>
        <v>25.092833200000001</v>
      </c>
      <c r="HX93" s="1319">
        <f t="shared" ca="1" si="1194"/>
        <v>6.4237653100000003</v>
      </c>
      <c r="HY93" s="1319">
        <f t="shared" ca="1" si="1194"/>
        <v>18.669067900000002</v>
      </c>
      <c r="HZ93" s="1319">
        <f t="shared" ca="1" si="1194"/>
        <v>0</v>
      </c>
      <c r="IA93" s="1319">
        <f t="shared" ca="1" si="1194"/>
        <v>0</v>
      </c>
      <c r="IB93" s="1319">
        <f t="shared" ca="1" si="1194"/>
        <v>0</v>
      </c>
      <c r="IC93" s="1319">
        <f t="shared" ca="1" si="1194"/>
        <v>0</v>
      </c>
      <c r="ID93" s="1319">
        <f t="shared" ca="1" si="1194"/>
        <v>0</v>
      </c>
      <c r="IE93" s="1319">
        <f t="shared" ca="1" si="1194"/>
        <v>0</v>
      </c>
      <c r="IQ93" s="1319">
        <f t="shared" ca="1" si="1195"/>
        <v>6.4237653100000003</v>
      </c>
      <c r="IR93" s="1319">
        <f t="shared" ca="1" si="1195"/>
        <v>18.669067900000002</v>
      </c>
      <c r="IS93" s="1319">
        <f t="shared" ca="1" si="1195"/>
        <v>7.7444407400000008</v>
      </c>
      <c r="IT93" s="1319">
        <f t="shared" ca="1" si="1195"/>
        <v>26.413508700000001</v>
      </c>
      <c r="IU93" s="1319">
        <f t="shared" ca="1" si="1108"/>
        <v>1.3206754300000001</v>
      </c>
      <c r="IV93" s="1319">
        <f t="shared" ca="1" si="1195"/>
        <v>193.611019</v>
      </c>
      <c r="IW93" s="1319">
        <f t="shared" ca="1" si="1195"/>
        <v>185.866578</v>
      </c>
      <c r="IX93" s="1319">
        <f t="shared" ca="1" si="1109"/>
        <v>0</v>
      </c>
      <c r="IY93" s="1319">
        <f t="shared" ca="1" si="1195"/>
        <v>25.092833200000001</v>
      </c>
      <c r="IZ93" s="1319">
        <f t="shared" ca="1" si="1195"/>
        <v>0</v>
      </c>
      <c r="JA93" s="1319">
        <f t="shared" ca="1" si="1195"/>
        <v>193.611019</v>
      </c>
      <c r="JB93" s="1319">
        <f t="shared" ca="1" si="1195"/>
        <v>0</v>
      </c>
      <c r="JC93" s="1319">
        <f t="shared" ca="1" si="1195"/>
        <v>0</v>
      </c>
      <c r="JD93" s="1319">
        <f t="shared" ca="1" si="1195"/>
        <v>0</v>
      </c>
      <c r="JE93" s="1319">
        <f t="shared" ca="1" si="1195"/>
        <v>0</v>
      </c>
      <c r="JF93" s="1319">
        <f t="shared" ca="1" si="1195"/>
        <v>0</v>
      </c>
      <c r="JG93" s="1319">
        <f t="shared" ca="1" si="1195"/>
        <v>0</v>
      </c>
      <c r="JH93" s="1319">
        <f t="shared" ca="1" si="1195"/>
        <v>0</v>
      </c>
      <c r="JT93" s="1319">
        <f t="shared" ca="1" si="1196"/>
        <v>0</v>
      </c>
      <c r="JU93" s="1319">
        <f t="shared" ca="1" si="1196"/>
        <v>0</v>
      </c>
      <c r="JV93" s="1319">
        <f t="shared" ca="1" si="1196"/>
        <v>0</v>
      </c>
      <c r="JW93" s="1319">
        <f t="shared" ca="1" si="1196"/>
        <v>0</v>
      </c>
      <c r="JX93" s="1319">
        <f t="shared" ca="1" si="1196"/>
        <v>0</v>
      </c>
      <c r="JY93" s="1319">
        <f t="shared" ca="1" si="1196"/>
        <v>0</v>
      </c>
      <c r="JZ93" s="1319">
        <f t="shared" ca="1" si="1196"/>
        <v>0</v>
      </c>
      <c r="KA93" s="1319">
        <f t="shared" ca="1" si="1196"/>
        <v>0</v>
      </c>
      <c r="KB93" s="1319">
        <f t="shared" ca="1" si="1196"/>
        <v>0</v>
      </c>
      <c r="KC93" s="1319">
        <f t="shared" ca="1" si="1196"/>
        <v>0</v>
      </c>
      <c r="KL93" s="1319">
        <f t="shared" ca="1" si="1197"/>
        <v>0</v>
      </c>
      <c r="KM93" s="1319">
        <f t="shared" ca="1" si="1197"/>
        <v>0</v>
      </c>
      <c r="KN93" s="1319">
        <f t="shared" ca="1" si="1197"/>
        <v>0</v>
      </c>
      <c r="KO93" s="1319">
        <f t="shared" ca="1" si="1197"/>
        <v>0</v>
      </c>
      <c r="KP93" s="1319">
        <f t="shared" ca="1" si="1197"/>
        <v>0</v>
      </c>
      <c r="KQ93" s="1319">
        <f t="shared" ca="1" si="1197"/>
        <v>0</v>
      </c>
      <c r="KR93" s="1319">
        <f t="shared" ca="1" si="1197"/>
        <v>0</v>
      </c>
      <c r="LA93" s="1319">
        <f t="shared" ca="1" si="1198"/>
        <v>0</v>
      </c>
      <c r="LB93" s="1319">
        <f t="shared" ca="1" si="1198"/>
        <v>0</v>
      </c>
      <c r="LC93" s="1319">
        <f t="shared" ca="1" si="1198"/>
        <v>0</v>
      </c>
      <c r="LD93" s="1319">
        <f t="shared" ca="1" si="1198"/>
        <v>0</v>
      </c>
      <c r="LE93" s="1319">
        <f t="shared" ca="1" si="1198"/>
        <v>0</v>
      </c>
      <c r="LF93" s="1319">
        <f t="shared" ca="1" si="1198"/>
        <v>0</v>
      </c>
      <c r="LG93" s="1319">
        <f t="shared" ca="1" si="1198"/>
        <v>0</v>
      </c>
      <c r="LH93" s="1319">
        <f t="shared" ca="1" si="1198"/>
        <v>0</v>
      </c>
      <c r="LI93" s="1319">
        <f t="shared" ca="1" si="1198"/>
        <v>0</v>
      </c>
      <c r="LJ93" s="1319">
        <f t="shared" ca="1" si="1198"/>
        <v>0</v>
      </c>
      <c r="LK93" s="1319">
        <f t="shared" ca="1" si="1198"/>
        <v>0</v>
      </c>
      <c r="LW93" s="1319">
        <f t="shared" ca="1" si="1113"/>
        <v>0</v>
      </c>
      <c r="LX93" s="1319">
        <f t="shared" ca="1" si="1199"/>
        <v>0</v>
      </c>
      <c r="LY93" s="1319">
        <f t="shared" ca="1" si="1199"/>
        <v>1229.54883</v>
      </c>
      <c r="LZ93" s="1319">
        <f t="shared" ca="1" si="1199"/>
        <v>25.092833200000001</v>
      </c>
      <c r="MA93" s="1319">
        <f t="shared" ca="1" si="1199"/>
        <v>1254.64166</v>
      </c>
      <c r="MB93" s="1319">
        <f t="shared" ca="1" si="1199"/>
        <v>0</v>
      </c>
      <c r="MC93" s="1319">
        <f t="shared" ca="1" si="1199"/>
        <v>0</v>
      </c>
      <c r="MD93" s="1319">
        <f t="shared" ca="1" si="1199"/>
        <v>0</v>
      </c>
      <c r="ME93" s="1319">
        <f t="shared" ca="1" si="1199"/>
        <v>0</v>
      </c>
      <c r="MF93" s="1319">
        <f t="shared" ca="1" si="1199"/>
        <v>0</v>
      </c>
      <c r="MG93" s="1319">
        <f t="shared" ca="1" si="1199"/>
        <v>0</v>
      </c>
      <c r="MH93" s="1319">
        <f t="shared" ca="1" si="1200"/>
        <v>0</v>
      </c>
      <c r="MI93" s="1319">
        <f t="shared" ca="1" si="1200"/>
        <v>0</v>
      </c>
      <c r="MJ93" s="1319">
        <f t="shared" ca="1" si="1199"/>
        <v>0</v>
      </c>
      <c r="MK93" s="1319">
        <f t="shared" ca="1" si="1199"/>
        <v>0</v>
      </c>
      <c r="ML93" s="1319">
        <f t="shared" ca="1" si="1199"/>
        <v>0</v>
      </c>
      <c r="MM93" s="1319">
        <f t="shared" ca="1" si="1199"/>
        <v>0</v>
      </c>
      <c r="MN93" s="1319">
        <f t="shared" ca="1" si="1199"/>
        <v>0</v>
      </c>
      <c r="MO93" s="1319">
        <f t="shared" ca="1" si="1199"/>
        <v>0</v>
      </c>
      <c r="NA93" s="1319">
        <f t="shared" ca="1" si="1201"/>
        <v>0</v>
      </c>
      <c r="NB93" s="1319">
        <f t="shared" ca="1" si="1201"/>
        <v>0</v>
      </c>
      <c r="NC93" s="1319">
        <f t="shared" ca="1" si="1201"/>
        <v>0</v>
      </c>
      <c r="ND93" s="1319">
        <f t="shared" ca="1" si="1201"/>
        <v>0</v>
      </c>
      <c r="NE93" s="1319">
        <f t="shared" ca="1" si="1201"/>
        <v>0</v>
      </c>
      <c r="NF93" s="1319">
        <f t="shared" ca="1" si="1201"/>
        <v>0</v>
      </c>
      <c r="NG93" s="1319">
        <f t="shared" ca="1" si="1201"/>
        <v>0</v>
      </c>
      <c r="NH93" s="1319">
        <f t="shared" ca="1" si="1201"/>
        <v>0</v>
      </c>
      <c r="NI93" s="1319">
        <f t="shared" ca="1" si="1201"/>
        <v>0</v>
      </c>
      <c r="NJ93" s="1319">
        <f t="shared" ca="1" si="1201"/>
        <v>0</v>
      </c>
      <c r="NK93" s="1319">
        <f t="shared" ca="1" si="1201"/>
        <v>0</v>
      </c>
      <c r="NL93" s="1319">
        <f t="shared" ca="1" si="1201"/>
        <v>0</v>
      </c>
      <c r="NM93" s="1319">
        <f t="shared" ca="1" si="1201"/>
        <v>0</v>
      </c>
      <c r="NN93" s="1319">
        <f t="shared" ca="1" si="1201"/>
        <v>0</v>
      </c>
      <c r="NO93" s="1319">
        <f t="shared" ca="1" si="1201"/>
        <v>0</v>
      </c>
      <c r="NP93" s="1319">
        <f t="shared" ca="1" si="1201"/>
        <v>0</v>
      </c>
      <c r="OH93" s="1319">
        <f t="shared" ca="1" si="1202"/>
        <v>0</v>
      </c>
      <c r="OI93" s="1319">
        <f t="shared" ca="1" si="1202"/>
        <v>0</v>
      </c>
      <c r="OJ93" s="1319">
        <f t="shared" ca="1" si="1202"/>
        <v>0</v>
      </c>
      <c r="OK93" s="1319">
        <f t="shared" ca="1" si="1202"/>
        <v>0</v>
      </c>
      <c r="OL93" s="1319">
        <f t="shared" ca="1" si="1202"/>
        <v>0</v>
      </c>
      <c r="OM93" s="1319">
        <f t="shared" ca="1" si="1202"/>
        <v>0</v>
      </c>
      <c r="ON93" s="1319">
        <f t="shared" ca="1" si="1202"/>
        <v>0</v>
      </c>
      <c r="OO93" s="1319">
        <f t="shared" ca="1" si="1202"/>
        <v>0</v>
      </c>
      <c r="PA93" s="1319">
        <f t="shared" ca="1" si="1203"/>
        <v>0</v>
      </c>
      <c r="PB93" s="1319">
        <f t="shared" ca="1" si="1203"/>
        <v>0</v>
      </c>
      <c r="PC93" s="1319">
        <f t="shared" ca="1" si="1203"/>
        <v>0</v>
      </c>
      <c r="PD93" s="1319">
        <f t="shared" ca="1" si="1203"/>
        <v>0</v>
      </c>
      <c r="PE93" s="1319">
        <f t="shared" ca="1" si="1203"/>
        <v>0</v>
      </c>
      <c r="PF93" s="1319">
        <f t="shared" ca="1" si="1203"/>
        <v>0</v>
      </c>
      <c r="PG93" s="1319">
        <f t="shared" ca="1" si="1203"/>
        <v>0</v>
      </c>
      <c r="PH93" s="1319">
        <f t="shared" ca="1" si="1203"/>
        <v>0</v>
      </c>
      <c r="PI93" s="1319">
        <f t="shared" ca="1" si="1203"/>
        <v>0</v>
      </c>
      <c r="PJ93" s="1319">
        <f t="shared" ca="1" si="1203"/>
        <v>0</v>
      </c>
      <c r="PK93" s="1319">
        <f t="shared" ca="1" si="1203"/>
        <v>0</v>
      </c>
      <c r="PW93" s="1319">
        <f t="shared" ca="1" si="1204"/>
        <v>0</v>
      </c>
      <c r="PX93" s="1319">
        <f t="shared" ca="1" si="1204"/>
        <v>0</v>
      </c>
      <c r="PY93" s="1319">
        <f t="shared" ca="1" si="1204"/>
        <v>0</v>
      </c>
      <c r="PZ93" s="1319">
        <f t="shared" ca="1" si="1204"/>
        <v>0</v>
      </c>
    </row>
    <row r="94" spans="1:442" x14ac:dyDescent="0.25">
      <c r="A94" s="189">
        <v>128</v>
      </c>
      <c r="B94" s="189" t="s">
        <v>1320</v>
      </c>
      <c r="C94" s="1317" t="s">
        <v>1272</v>
      </c>
      <c r="D94" s="1317" t="s">
        <v>206</v>
      </c>
      <c r="J94" s="1319">
        <f t="shared" ca="1" si="1157"/>
        <v>1191.5257899999999</v>
      </c>
      <c r="K94" s="1319">
        <f t="shared" ca="1" si="1185"/>
        <v>1191.5257899999999</v>
      </c>
      <c r="T94" s="1319">
        <f t="shared" ca="1" si="1158"/>
        <v>1191.5257899999999</v>
      </c>
      <c r="U94" s="1319">
        <f t="shared" ca="1" si="1205"/>
        <v>0</v>
      </c>
      <c r="V94" s="1319">
        <f t="shared" ca="1" si="1205"/>
        <v>0</v>
      </c>
      <c r="W94" s="1319">
        <f t="shared" ca="1" si="1205"/>
        <v>0</v>
      </c>
      <c r="X94" s="1319">
        <f t="shared" ca="1" si="1205"/>
        <v>0</v>
      </c>
      <c r="Y94" s="1319">
        <f t="shared" ca="1" si="1205"/>
        <v>30.979670600000002</v>
      </c>
      <c r="Z94" s="1319">
        <f t="shared" ca="1" si="1205"/>
        <v>0</v>
      </c>
      <c r="AA94" s="1319">
        <f t="shared" ca="1" si="1205"/>
        <v>30.979670600000002</v>
      </c>
      <c r="AB94" s="1319">
        <f t="shared" ca="1" si="1205"/>
        <v>0</v>
      </c>
      <c r="AC94" s="1319">
        <f t="shared" ca="1" si="1205"/>
        <v>0</v>
      </c>
      <c r="AD94" s="1319">
        <f t="shared" ca="1" si="1205"/>
        <v>0</v>
      </c>
      <c r="AM94" s="1319">
        <f t="shared" ca="1" si="1150"/>
        <v>0</v>
      </c>
      <c r="AN94" s="1319">
        <f t="shared" ca="1" si="1150"/>
        <v>0</v>
      </c>
      <c r="AO94" s="1319">
        <f t="shared" ca="1" si="1179"/>
        <v>30.979670600000002</v>
      </c>
      <c r="AP94" s="1319">
        <f t="shared" ca="1" si="1179"/>
        <v>30.979670600000002</v>
      </c>
      <c r="AQ94" s="1319">
        <f t="shared" ca="1" si="1179"/>
        <v>0</v>
      </c>
      <c r="AR94" s="1319">
        <f t="shared" ca="1" si="1179"/>
        <v>0</v>
      </c>
      <c r="AS94" s="1319">
        <f t="shared" ca="1" si="1179"/>
        <v>0</v>
      </c>
      <c r="AT94" s="1319">
        <f t="shared" ca="1" si="1150"/>
        <v>0</v>
      </c>
      <c r="AU94" s="1319">
        <f t="shared" ca="1" si="1150"/>
        <v>0</v>
      </c>
      <c r="AV94" s="1319">
        <f t="shared" ca="1" si="1150"/>
        <v>30.979670600000002</v>
      </c>
      <c r="AW94" s="1319">
        <f t="shared" ca="1" si="1150"/>
        <v>0</v>
      </c>
      <c r="AX94" s="1319">
        <f t="shared" ca="1" si="1150"/>
        <v>0</v>
      </c>
      <c r="AY94" s="1319">
        <f t="shared" ca="1" si="1150"/>
        <v>0</v>
      </c>
      <c r="AZ94" s="1319">
        <f t="shared" ca="1" si="1150"/>
        <v>0</v>
      </c>
      <c r="BA94" s="1319">
        <f t="shared" ca="1" si="1150"/>
        <v>0</v>
      </c>
      <c r="BB94" s="1319">
        <f t="shared" ca="1" si="1150"/>
        <v>30.979670600000002</v>
      </c>
      <c r="BN94" s="1319">
        <f t="shared" ca="1" si="1186"/>
        <v>3.0979670600000002</v>
      </c>
      <c r="BO94" s="1319">
        <f t="shared" ca="1" si="1186"/>
        <v>3.0979670600000002</v>
      </c>
      <c r="BP94" s="1319">
        <f t="shared" ca="1" si="1186"/>
        <v>0</v>
      </c>
      <c r="BQ94" s="1319">
        <f t="shared" ca="1" si="1186"/>
        <v>0</v>
      </c>
      <c r="BR94" s="1319">
        <f t="shared" ca="1" si="1186"/>
        <v>0</v>
      </c>
      <c r="CD94" s="1319">
        <f t="shared" ca="1" si="1187"/>
        <v>30.979670600000002</v>
      </c>
      <c r="CE94" s="1319">
        <f t="shared" ca="1" si="1187"/>
        <v>30.979670600000002</v>
      </c>
      <c r="CF94" s="1319">
        <f t="shared" ca="1" si="1187"/>
        <v>3.0979670600000002</v>
      </c>
      <c r="CG94" s="1319">
        <f t="shared" ca="1" si="1187"/>
        <v>3.0979670600000002</v>
      </c>
      <c r="CH94" s="1319">
        <f t="shared" ca="1" si="1187"/>
        <v>30.979670600000002</v>
      </c>
      <c r="CI94" s="1319">
        <f t="shared" ca="1" si="1187"/>
        <v>0</v>
      </c>
      <c r="CJ94" s="1319">
        <f t="shared" ca="1" si="1187"/>
        <v>0</v>
      </c>
      <c r="CK94" s="1319">
        <f t="shared" ca="1" si="1187"/>
        <v>30.979670600000002</v>
      </c>
      <c r="CL94" s="1319">
        <f t="shared" ca="1" si="1187"/>
        <v>0</v>
      </c>
      <c r="CM94" s="1319">
        <f t="shared" ca="1" si="1187"/>
        <v>0</v>
      </c>
      <c r="CN94" s="1319">
        <f t="shared" ca="1" si="1187"/>
        <v>30.979670600000002</v>
      </c>
      <c r="CO94" s="1319">
        <f t="shared" ca="1" si="1187"/>
        <v>0</v>
      </c>
      <c r="DA94" s="1319">
        <f t="shared" ca="1" si="1188"/>
        <v>0</v>
      </c>
      <c r="DB94" s="1319">
        <f t="shared" ca="1" si="1188"/>
        <v>0</v>
      </c>
      <c r="DC94" s="1319">
        <f t="shared" ca="1" si="1188"/>
        <v>0</v>
      </c>
      <c r="DD94" s="1319">
        <f t="shared" ca="1" si="1188"/>
        <v>0</v>
      </c>
      <c r="DE94" s="1319">
        <f t="shared" ca="1" si="1188"/>
        <v>0</v>
      </c>
      <c r="DF94" s="1319">
        <f t="shared" ca="1" si="1188"/>
        <v>0</v>
      </c>
      <c r="DG94" s="1319">
        <f t="shared" ca="1" si="1188"/>
        <v>0</v>
      </c>
      <c r="DH94" s="1319">
        <f t="shared" ca="1" si="1188"/>
        <v>0</v>
      </c>
      <c r="DI94" s="1319">
        <f t="shared" ca="1" si="1188"/>
        <v>0</v>
      </c>
      <c r="DJ94" s="1319">
        <f t="shared" ca="1" si="1188"/>
        <v>0</v>
      </c>
      <c r="DV94" s="1319">
        <f t="shared" ca="1" si="1189"/>
        <v>0</v>
      </c>
      <c r="DW94" s="1319">
        <f t="shared" ca="1" si="1189"/>
        <v>0</v>
      </c>
      <c r="DX94" s="1319">
        <f t="shared" ca="1" si="1189"/>
        <v>0</v>
      </c>
      <c r="DY94" s="1319">
        <f t="shared" ca="1" si="1189"/>
        <v>0</v>
      </c>
      <c r="DZ94" s="1319">
        <f t="shared" ca="1" si="1189"/>
        <v>0</v>
      </c>
      <c r="EA94" s="1319">
        <f t="shared" ca="1" si="1189"/>
        <v>0</v>
      </c>
      <c r="EB94" s="1319">
        <f t="shared" ca="1" si="1189"/>
        <v>0</v>
      </c>
      <c r="EC94" s="1319">
        <f t="shared" ca="1" si="1189"/>
        <v>0</v>
      </c>
      <c r="ED94" s="1319">
        <f t="shared" ca="1" si="1189"/>
        <v>0</v>
      </c>
      <c r="EE94" s="1319">
        <f t="shared" ca="1" si="1189"/>
        <v>0</v>
      </c>
      <c r="EF94" s="1319">
        <f t="shared" ca="1" si="1189"/>
        <v>0</v>
      </c>
      <c r="EG94" s="1319">
        <f t="shared" ca="1" si="1189"/>
        <v>0</v>
      </c>
      <c r="EH94" s="1319">
        <f t="shared" ca="1" si="1189"/>
        <v>0</v>
      </c>
      <c r="EI94" s="1319">
        <f t="shared" ca="1" si="1189"/>
        <v>0</v>
      </c>
      <c r="EJ94" s="1319">
        <f t="shared" ca="1" si="1101"/>
        <v>0</v>
      </c>
      <c r="EK94" s="1319">
        <f t="shared" ca="1" si="1189"/>
        <v>0</v>
      </c>
      <c r="EW94" s="1319">
        <f t="shared" ca="1" si="1190"/>
        <v>30.979670600000002</v>
      </c>
      <c r="EX94" s="1319">
        <f t="shared" ca="1" si="1190"/>
        <v>30.979670600000002</v>
      </c>
      <c r="EY94" s="1319">
        <f t="shared" ca="1" si="1190"/>
        <v>30.979670600000002</v>
      </c>
      <c r="EZ94" s="1319">
        <f t="shared" ca="1" si="1190"/>
        <v>30.979670600000002</v>
      </c>
      <c r="FA94" s="1319">
        <f t="shared" ca="1" si="1190"/>
        <v>0</v>
      </c>
      <c r="FB94" s="1319">
        <f t="shared" ca="1" si="1190"/>
        <v>0</v>
      </c>
      <c r="FN94" s="1319">
        <f t="shared" ca="1" si="1191"/>
        <v>0</v>
      </c>
      <c r="FO94" s="1319">
        <f t="shared" ca="1" si="1191"/>
        <v>0</v>
      </c>
      <c r="FP94" s="1319">
        <f t="shared" ca="1" si="1191"/>
        <v>0</v>
      </c>
      <c r="FQ94" s="1319">
        <f t="shared" ca="1" si="1191"/>
        <v>0</v>
      </c>
      <c r="FR94" s="1319">
        <f t="shared" ca="1" si="1191"/>
        <v>0</v>
      </c>
      <c r="FS94" s="1319">
        <f t="shared" ca="1" si="1191"/>
        <v>0</v>
      </c>
      <c r="FT94" s="1319">
        <f t="shared" ca="1" si="1191"/>
        <v>0</v>
      </c>
      <c r="FU94" s="1319">
        <f t="shared" ca="1" si="1191"/>
        <v>0</v>
      </c>
      <c r="FV94" s="1319">
        <f t="shared" ca="1" si="1191"/>
        <v>0</v>
      </c>
      <c r="FW94" s="1319">
        <f t="shared" ca="1" si="1191"/>
        <v>0</v>
      </c>
      <c r="FX94" s="1319">
        <f t="shared" ca="1" si="1191"/>
        <v>0</v>
      </c>
      <c r="GJ94" s="1319">
        <f t="shared" ca="1" si="1192"/>
        <v>0</v>
      </c>
      <c r="GK94" s="1319">
        <f t="shared" ca="1" si="1192"/>
        <v>0</v>
      </c>
      <c r="GL94" s="1319">
        <f t="shared" ca="1" si="1192"/>
        <v>0</v>
      </c>
      <c r="GM94" s="1319">
        <f t="shared" ca="1" si="1192"/>
        <v>0</v>
      </c>
      <c r="GN94" s="1319">
        <f t="shared" ca="1" si="1192"/>
        <v>0</v>
      </c>
      <c r="GO94" s="1319">
        <f t="shared" ca="1" si="1192"/>
        <v>0</v>
      </c>
      <c r="GP94" s="1319">
        <f t="shared" ca="1" si="1192"/>
        <v>0</v>
      </c>
      <c r="GQ94" s="1319">
        <f t="shared" ca="1" si="1192"/>
        <v>0</v>
      </c>
      <c r="HC94" s="1319">
        <f t="shared" ca="1" si="1193"/>
        <v>30.979670600000002</v>
      </c>
      <c r="HD94" s="1319">
        <f t="shared" ca="1" si="1193"/>
        <v>0.61959341099999998</v>
      </c>
      <c r="HE94" s="1319">
        <f t="shared" ca="1" si="1193"/>
        <v>0</v>
      </c>
      <c r="HF94" s="1319">
        <f t="shared" ca="1" si="1193"/>
        <v>0</v>
      </c>
      <c r="HG94" s="1319">
        <f t="shared" ca="1" si="1193"/>
        <v>30.360077199999999</v>
      </c>
      <c r="HH94" s="1319">
        <f t="shared" ca="1" si="1193"/>
        <v>0.61959341099999998</v>
      </c>
      <c r="HT94" s="1319">
        <f t="shared" ca="1" si="1194"/>
        <v>0</v>
      </c>
      <c r="HU94" s="1319">
        <f t="shared" ca="1" si="1194"/>
        <v>0.61959341099999998</v>
      </c>
      <c r="HV94" s="1319">
        <f t="shared" ca="1" si="1194"/>
        <v>0.61959341099999998</v>
      </c>
      <c r="HW94" s="1319">
        <f t="shared" ca="1" si="1194"/>
        <v>0.61959341099999998</v>
      </c>
      <c r="HX94" s="1319">
        <f t="shared" ca="1" si="1194"/>
        <v>0.158615913</v>
      </c>
      <c r="HY94" s="1319">
        <f t="shared" ca="1" si="1194"/>
        <v>0.46097749799999999</v>
      </c>
      <c r="HZ94" s="1319">
        <f t="shared" ca="1" si="1194"/>
        <v>0</v>
      </c>
      <c r="IA94" s="1319">
        <f t="shared" ca="1" si="1194"/>
        <v>0</v>
      </c>
      <c r="IB94" s="1319">
        <f t="shared" ca="1" si="1194"/>
        <v>0</v>
      </c>
      <c r="IC94" s="1319">
        <f t="shared" ca="1" si="1194"/>
        <v>0</v>
      </c>
      <c r="ID94" s="1319">
        <f t="shared" ca="1" si="1194"/>
        <v>0</v>
      </c>
      <c r="IE94" s="1319">
        <f t="shared" ca="1" si="1194"/>
        <v>0</v>
      </c>
      <c r="IQ94" s="1319">
        <f t="shared" ca="1" si="1195"/>
        <v>0.158615913</v>
      </c>
      <c r="IR94" s="1319">
        <f t="shared" ca="1" si="1195"/>
        <v>0.46097749799999999</v>
      </c>
      <c r="IS94" s="1319">
        <f t="shared" ca="1" si="1195"/>
        <v>0.19122609300000001</v>
      </c>
      <c r="IT94" s="1319">
        <f t="shared" ca="1" si="1195"/>
        <v>0.65220359100000003</v>
      </c>
      <c r="IU94" s="1319">
        <f t="shared" ca="1" si="1108"/>
        <v>3.2610179500000003E-2</v>
      </c>
      <c r="IV94" s="1319">
        <f t="shared" ca="1" si="1195"/>
        <v>4.7806523199999997</v>
      </c>
      <c r="IW94" s="1319">
        <f t="shared" ca="1" si="1195"/>
        <v>4.5894262299999999</v>
      </c>
      <c r="IX94" s="1319">
        <f t="shared" ca="1" si="1109"/>
        <v>0</v>
      </c>
      <c r="IY94" s="1319">
        <f t="shared" ca="1" si="1195"/>
        <v>0.61959341099999998</v>
      </c>
      <c r="IZ94" s="1319">
        <f t="shared" ca="1" si="1195"/>
        <v>0</v>
      </c>
      <c r="JA94" s="1319">
        <f t="shared" ca="1" si="1195"/>
        <v>4.7806523199999997</v>
      </c>
      <c r="JB94" s="1319">
        <f t="shared" ca="1" si="1195"/>
        <v>0</v>
      </c>
      <c r="JC94" s="1319">
        <f t="shared" ca="1" si="1195"/>
        <v>0</v>
      </c>
      <c r="JD94" s="1319">
        <f t="shared" ca="1" si="1195"/>
        <v>0</v>
      </c>
      <c r="JE94" s="1319">
        <f t="shared" ca="1" si="1195"/>
        <v>0</v>
      </c>
      <c r="JF94" s="1319">
        <f t="shared" ca="1" si="1195"/>
        <v>0</v>
      </c>
      <c r="JG94" s="1319">
        <f t="shared" ca="1" si="1195"/>
        <v>0</v>
      </c>
      <c r="JH94" s="1319">
        <f t="shared" ca="1" si="1195"/>
        <v>0</v>
      </c>
      <c r="JT94" s="1319">
        <f t="shared" ca="1" si="1196"/>
        <v>0</v>
      </c>
      <c r="JU94" s="1319">
        <f t="shared" ca="1" si="1196"/>
        <v>0</v>
      </c>
      <c r="JV94" s="1319">
        <f t="shared" ca="1" si="1196"/>
        <v>0</v>
      </c>
      <c r="JW94" s="1319">
        <f t="shared" ca="1" si="1196"/>
        <v>0</v>
      </c>
      <c r="JX94" s="1319">
        <f t="shared" ca="1" si="1196"/>
        <v>0</v>
      </c>
      <c r="JY94" s="1319">
        <f t="shared" ca="1" si="1196"/>
        <v>0</v>
      </c>
      <c r="JZ94" s="1319">
        <f t="shared" ca="1" si="1196"/>
        <v>0</v>
      </c>
      <c r="KA94" s="1319">
        <f t="shared" ca="1" si="1196"/>
        <v>0</v>
      </c>
      <c r="KB94" s="1319">
        <f t="shared" ca="1" si="1196"/>
        <v>0</v>
      </c>
      <c r="KC94" s="1319">
        <f t="shared" ca="1" si="1196"/>
        <v>0</v>
      </c>
      <c r="KL94" s="1319">
        <f t="shared" ca="1" si="1197"/>
        <v>0</v>
      </c>
      <c r="KM94" s="1319">
        <f t="shared" ca="1" si="1197"/>
        <v>0</v>
      </c>
      <c r="KN94" s="1319">
        <f t="shared" ca="1" si="1197"/>
        <v>0</v>
      </c>
      <c r="KO94" s="1319">
        <f t="shared" ca="1" si="1197"/>
        <v>0</v>
      </c>
      <c r="KP94" s="1319">
        <f t="shared" ca="1" si="1197"/>
        <v>0</v>
      </c>
      <c r="KQ94" s="1319">
        <f t="shared" ca="1" si="1197"/>
        <v>0</v>
      </c>
      <c r="KR94" s="1319">
        <f t="shared" ca="1" si="1197"/>
        <v>0</v>
      </c>
      <c r="LA94" s="1319">
        <f t="shared" ca="1" si="1198"/>
        <v>0</v>
      </c>
      <c r="LB94" s="1319">
        <f t="shared" ca="1" si="1198"/>
        <v>0</v>
      </c>
      <c r="LC94" s="1319">
        <f t="shared" ca="1" si="1198"/>
        <v>0</v>
      </c>
      <c r="LD94" s="1319">
        <f t="shared" ca="1" si="1198"/>
        <v>0</v>
      </c>
      <c r="LE94" s="1319">
        <f t="shared" ca="1" si="1198"/>
        <v>0</v>
      </c>
      <c r="LF94" s="1319">
        <f t="shared" ca="1" si="1198"/>
        <v>0</v>
      </c>
      <c r="LG94" s="1319">
        <f t="shared" ca="1" si="1198"/>
        <v>0</v>
      </c>
      <c r="LH94" s="1319">
        <f t="shared" ca="1" si="1198"/>
        <v>0</v>
      </c>
      <c r="LI94" s="1319">
        <f t="shared" ca="1" si="1198"/>
        <v>0</v>
      </c>
      <c r="LJ94" s="1319">
        <f t="shared" ca="1" si="1198"/>
        <v>0</v>
      </c>
      <c r="LK94" s="1319">
        <f t="shared" ca="1" si="1198"/>
        <v>0</v>
      </c>
      <c r="LW94" s="1319">
        <f t="shared" ca="1" si="1113"/>
        <v>0</v>
      </c>
      <c r="LX94" s="1319">
        <f t="shared" ca="1" si="1199"/>
        <v>0</v>
      </c>
      <c r="LY94" s="1319">
        <f t="shared" ca="1" si="1199"/>
        <v>30.360077199999999</v>
      </c>
      <c r="LZ94" s="1319">
        <f t="shared" ca="1" si="1199"/>
        <v>0.61959341099999998</v>
      </c>
      <c r="MA94" s="1319">
        <f t="shared" ca="1" si="1199"/>
        <v>30.979670600000002</v>
      </c>
      <c r="MB94" s="1319">
        <f t="shared" ca="1" si="1199"/>
        <v>0</v>
      </c>
      <c r="MC94" s="1319">
        <f t="shared" ca="1" si="1199"/>
        <v>0</v>
      </c>
      <c r="MD94" s="1319">
        <f t="shared" ca="1" si="1199"/>
        <v>0</v>
      </c>
      <c r="ME94" s="1319">
        <f t="shared" ca="1" si="1199"/>
        <v>0</v>
      </c>
      <c r="MF94" s="1319">
        <f t="shared" ca="1" si="1199"/>
        <v>0</v>
      </c>
      <c r="MG94" s="1319">
        <f t="shared" ca="1" si="1199"/>
        <v>0</v>
      </c>
      <c r="MH94" s="1319">
        <f t="shared" ca="1" si="1200"/>
        <v>0</v>
      </c>
      <c r="MI94" s="1319">
        <f t="shared" ca="1" si="1200"/>
        <v>0</v>
      </c>
      <c r="MJ94" s="1319">
        <f t="shared" ca="1" si="1199"/>
        <v>0</v>
      </c>
      <c r="MK94" s="1319">
        <f t="shared" ca="1" si="1199"/>
        <v>0</v>
      </c>
      <c r="ML94" s="1319">
        <f t="shared" ca="1" si="1199"/>
        <v>0</v>
      </c>
      <c r="MM94" s="1319">
        <f t="shared" ca="1" si="1199"/>
        <v>0</v>
      </c>
      <c r="MN94" s="1319">
        <f t="shared" ca="1" si="1199"/>
        <v>0</v>
      </c>
      <c r="MO94" s="1319">
        <f t="shared" ca="1" si="1199"/>
        <v>0</v>
      </c>
      <c r="NA94" s="1319">
        <f t="shared" ca="1" si="1201"/>
        <v>0</v>
      </c>
      <c r="NB94" s="1319">
        <f t="shared" ca="1" si="1201"/>
        <v>0</v>
      </c>
      <c r="NC94" s="1319">
        <f t="shared" ca="1" si="1201"/>
        <v>0</v>
      </c>
      <c r="ND94" s="1319">
        <f t="shared" ca="1" si="1201"/>
        <v>0</v>
      </c>
      <c r="NE94" s="1319">
        <f t="shared" ca="1" si="1201"/>
        <v>0</v>
      </c>
      <c r="NF94" s="1319">
        <f t="shared" ca="1" si="1201"/>
        <v>0</v>
      </c>
      <c r="NG94" s="1319">
        <f t="shared" ca="1" si="1201"/>
        <v>0</v>
      </c>
      <c r="NH94" s="1319">
        <f t="shared" ca="1" si="1201"/>
        <v>0</v>
      </c>
      <c r="NI94" s="1319">
        <f t="shared" ca="1" si="1201"/>
        <v>0</v>
      </c>
      <c r="NJ94" s="1319">
        <f t="shared" ca="1" si="1201"/>
        <v>0</v>
      </c>
      <c r="NK94" s="1319">
        <f t="shared" ca="1" si="1201"/>
        <v>0</v>
      </c>
      <c r="NL94" s="1319">
        <f t="shared" ca="1" si="1201"/>
        <v>0</v>
      </c>
      <c r="NM94" s="1319">
        <f t="shared" ca="1" si="1201"/>
        <v>0</v>
      </c>
      <c r="NN94" s="1319">
        <f t="shared" ca="1" si="1201"/>
        <v>0</v>
      </c>
      <c r="NO94" s="1319">
        <f t="shared" ca="1" si="1201"/>
        <v>0</v>
      </c>
      <c r="NP94" s="1319">
        <f t="shared" ca="1" si="1201"/>
        <v>0</v>
      </c>
      <c r="OH94" s="1319">
        <f t="shared" ca="1" si="1202"/>
        <v>0</v>
      </c>
      <c r="OI94" s="1319">
        <f t="shared" ca="1" si="1202"/>
        <v>0</v>
      </c>
      <c r="OJ94" s="1319">
        <f t="shared" ca="1" si="1202"/>
        <v>0</v>
      </c>
      <c r="OK94" s="1319">
        <f t="shared" ca="1" si="1202"/>
        <v>0</v>
      </c>
      <c r="OL94" s="1319">
        <f t="shared" ca="1" si="1202"/>
        <v>0</v>
      </c>
      <c r="OM94" s="1319">
        <f t="shared" ca="1" si="1202"/>
        <v>0</v>
      </c>
      <c r="ON94" s="1319">
        <f t="shared" ca="1" si="1202"/>
        <v>0</v>
      </c>
      <c r="OO94" s="1319">
        <f t="shared" ca="1" si="1202"/>
        <v>0</v>
      </c>
      <c r="PA94" s="1319">
        <f t="shared" ca="1" si="1203"/>
        <v>0</v>
      </c>
      <c r="PB94" s="1319">
        <f t="shared" ca="1" si="1203"/>
        <v>0</v>
      </c>
      <c r="PC94" s="1319">
        <f t="shared" ca="1" si="1203"/>
        <v>0</v>
      </c>
      <c r="PD94" s="1319">
        <f t="shared" ca="1" si="1203"/>
        <v>0</v>
      </c>
      <c r="PE94" s="1319">
        <f t="shared" ca="1" si="1203"/>
        <v>0</v>
      </c>
      <c r="PF94" s="1319">
        <f t="shared" ca="1" si="1203"/>
        <v>0</v>
      </c>
      <c r="PG94" s="1319">
        <f t="shared" ca="1" si="1203"/>
        <v>0</v>
      </c>
      <c r="PH94" s="1319">
        <f t="shared" ca="1" si="1203"/>
        <v>0</v>
      </c>
      <c r="PI94" s="1319">
        <f t="shared" ca="1" si="1203"/>
        <v>0</v>
      </c>
      <c r="PJ94" s="1319">
        <f t="shared" ca="1" si="1203"/>
        <v>0</v>
      </c>
      <c r="PK94" s="1319">
        <f t="shared" ca="1" si="1203"/>
        <v>0</v>
      </c>
      <c r="PW94" s="1319">
        <f t="shared" ca="1" si="1204"/>
        <v>0</v>
      </c>
      <c r="PX94" s="1319">
        <f t="shared" ca="1" si="1204"/>
        <v>0</v>
      </c>
      <c r="PY94" s="1319">
        <f t="shared" ca="1" si="1204"/>
        <v>0</v>
      </c>
      <c r="PZ94" s="1319">
        <f t="shared" ca="1" si="1204"/>
        <v>0</v>
      </c>
    </row>
    <row r="95" spans="1:442" x14ac:dyDescent="0.25">
      <c r="A95" s="189">
        <v>129</v>
      </c>
      <c r="B95" s="189" t="s">
        <v>1320</v>
      </c>
      <c r="C95" s="1317" t="s">
        <v>1271</v>
      </c>
      <c r="D95" s="1317" t="s">
        <v>206</v>
      </c>
      <c r="J95" s="1319">
        <f t="shared" ca="1" si="1157"/>
        <v>499.94089100000008</v>
      </c>
      <c r="K95" s="1319">
        <f t="shared" ca="1" si="1185"/>
        <v>499.94089100000008</v>
      </c>
      <c r="T95" s="1319">
        <f t="shared" ca="1" si="1158"/>
        <v>499.94089100000008</v>
      </c>
      <c r="U95" s="1319">
        <f t="shared" ca="1" si="1205"/>
        <v>0</v>
      </c>
      <c r="V95" s="1319">
        <f t="shared" ca="1" si="1205"/>
        <v>0</v>
      </c>
      <c r="W95" s="1319">
        <f t="shared" ca="1" si="1205"/>
        <v>0</v>
      </c>
      <c r="X95" s="1319">
        <f t="shared" ca="1" si="1205"/>
        <v>0</v>
      </c>
      <c r="Y95" s="1319">
        <f t="shared" ca="1" si="1205"/>
        <v>12.9984632</v>
      </c>
      <c r="Z95" s="1319">
        <f t="shared" ca="1" si="1205"/>
        <v>0</v>
      </c>
      <c r="AA95" s="1319">
        <f t="shared" ca="1" si="1205"/>
        <v>12.9984632</v>
      </c>
      <c r="AB95" s="1319">
        <f t="shared" ca="1" si="1205"/>
        <v>0</v>
      </c>
      <c r="AC95" s="1319">
        <f t="shared" ca="1" si="1205"/>
        <v>0</v>
      </c>
      <c r="AD95" s="1319">
        <f t="shared" ca="1" si="1205"/>
        <v>0</v>
      </c>
      <c r="AM95" s="1319">
        <f t="shared" ca="1" si="1150"/>
        <v>0</v>
      </c>
      <c r="AN95" s="1319">
        <f t="shared" ca="1" si="1150"/>
        <v>0</v>
      </c>
      <c r="AO95" s="1319">
        <f t="shared" ca="1" si="1179"/>
        <v>12.9984632</v>
      </c>
      <c r="AP95" s="1319">
        <f t="shared" ca="1" si="1179"/>
        <v>12.9984632</v>
      </c>
      <c r="AQ95" s="1319">
        <f t="shared" ca="1" si="1179"/>
        <v>0</v>
      </c>
      <c r="AR95" s="1319">
        <f t="shared" ca="1" si="1179"/>
        <v>0</v>
      </c>
      <c r="AS95" s="1319">
        <f t="shared" ca="1" si="1179"/>
        <v>0</v>
      </c>
      <c r="AT95" s="1319">
        <f t="shared" ca="1" si="1150"/>
        <v>0</v>
      </c>
      <c r="AU95" s="1319">
        <f t="shared" ca="1" si="1150"/>
        <v>0</v>
      </c>
      <c r="AV95" s="1319">
        <f t="shared" ca="1" si="1150"/>
        <v>12.9984632</v>
      </c>
      <c r="AW95" s="1319">
        <f t="shared" ref="AW95:BB95" ca="1" si="1206">VLOOKUP(AW$1,INDIRECT(LU_MAT),$A95,FALSE)</f>
        <v>0</v>
      </c>
      <c r="AX95" s="1319">
        <f t="shared" ca="1" si="1206"/>
        <v>0</v>
      </c>
      <c r="AY95" s="1319">
        <f t="shared" ca="1" si="1206"/>
        <v>0</v>
      </c>
      <c r="AZ95" s="1319">
        <f t="shared" ca="1" si="1206"/>
        <v>0</v>
      </c>
      <c r="BA95" s="1319">
        <f t="shared" ca="1" si="1206"/>
        <v>0</v>
      </c>
      <c r="BB95" s="1319">
        <f t="shared" ca="1" si="1206"/>
        <v>12.9984632</v>
      </c>
      <c r="BN95" s="1319">
        <f t="shared" ca="1" si="1186"/>
        <v>1.2998463200000001</v>
      </c>
      <c r="BO95" s="1319">
        <f t="shared" ca="1" si="1186"/>
        <v>1.2998463200000001</v>
      </c>
      <c r="BP95" s="1319">
        <f t="shared" ca="1" si="1186"/>
        <v>0</v>
      </c>
      <c r="BQ95" s="1319">
        <f t="shared" ca="1" si="1186"/>
        <v>0</v>
      </c>
      <c r="BR95" s="1319">
        <f t="shared" ca="1" si="1186"/>
        <v>0</v>
      </c>
      <c r="CD95" s="1319">
        <f t="shared" ca="1" si="1187"/>
        <v>12.9984632</v>
      </c>
      <c r="CE95" s="1319">
        <f t="shared" ca="1" si="1187"/>
        <v>12.9984632</v>
      </c>
      <c r="CF95" s="1319">
        <f t="shared" ca="1" si="1187"/>
        <v>1.2998463200000001</v>
      </c>
      <c r="CG95" s="1319">
        <f t="shared" ca="1" si="1187"/>
        <v>1.2998463200000001</v>
      </c>
      <c r="CH95" s="1319">
        <f t="shared" ca="1" si="1187"/>
        <v>12.9984632</v>
      </c>
      <c r="CI95" s="1319">
        <f t="shared" ca="1" si="1187"/>
        <v>0</v>
      </c>
      <c r="CJ95" s="1319">
        <f t="shared" ca="1" si="1187"/>
        <v>0</v>
      </c>
      <c r="CK95" s="1319">
        <f t="shared" ca="1" si="1187"/>
        <v>12.9984632</v>
      </c>
      <c r="CL95" s="1319">
        <f t="shared" ca="1" si="1187"/>
        <v>0</v>
      </c>
      <c r="CM95" s="1319">
        <f t="shared" ca="1" si="1187"/>
        <v>0</v>
      </c>
      <c r="CN95" s="1319">
        <f t="shared" ca="1" si="1187"/>
        <v>12.9984632</v>
      </c>
      <c r="CO95" s="1319">
        <f t="shared" ca="1" si="1187"/>
        <v>0</v>
      </c>
      <c r="DA95" s="1319">
        <f t="shared" ca="1" si="1188"/>
        <v>0</v>
      </c>
      <c r="DB95" s="1319">
        <f t="shared" ca="1" si="1188"/>
        <v>0</v>
      </c>
      <c r="DC95" s="1319">
        <f t="shared" ca="1" si="1188"/>
        <v>0</v>
      </c>
      <c r="DD95" s="1319">
        <f t="shared" ca="1" si="1188"/>
        <v>0</v>
      </c>
      <c r="DE95" s="1319">
        <f t="shared" ca="1" si="1188"/>
        <v>0</v>
      </c>
      <c r="DF95" s="1319">
        <f t="shared" ca="1" si="1188"/>
        <v>0</v>
      </c>
      <c r="DG95" s="1319">
        <f t="shared" ca="1" si="1188"/>
        <v>0</v>
      </c>
      <c r="DH95" s="1319">
        <f t="shared" ca="1" si="1188"/>
        <v>0</v>
      </c>
      <c r="DI95" s="1319">
        <f t="shared" ca="1" si="1188"/>
        <v>0</v>
      </c>
      <c r="DJ95" s="1319">
        <f t="shared" ca="1" si="1188"/>
        <v>0</v>
      </c>
      <c r="DV95" s="1319">
        <f t="shared" ca="1" si="1189"/>
        <v>0</v>
      </c>
      <c r="DW95" s="1319">
        <f t="shared" ca="1" si="1189"/>
        <v>0</v>
      </c>
      <c r="DX95" s="1319">
        <f t="shared" ca="1" si="1189"/>
        <v>0</v>
      </c>
      <c r="DY95" s="1319">
        <f t="shared" ca="1" si="1189"/>
        <v>0</v>
      </c>
      <c r="DZ95" s="1319">
        <f t="shared" ca="1" si="1189"/>
        <v>0</v>
      </c>
      <c r="EA95" s="1319">
        <f t="shared" ca="1" si="1189"/>
        <v>0</v>
      </c>
      <c r="EB95" s="1319">
        <f t="shared" ca="1" si="1189"/>
        <v>0</v>
      </c>
      <c r="EC95" s="1319">
        <f t="shared" ca="1" si="1189"/>
        <v>0</v>
      </c>
      <c r="ED95" s="1319">
        <f t="shared" ca="1" si="1189"/>
        <v>0</v>
      </c>
      <c r="EE95" s="1319">
        <f t="shared" ca="1" si="1189"/>
        <v>0</v>
      </c>
      <c r="EF95" s="1319">
        <f t="shared" ca="1" si="1189"/>
        <v>0</v>
      </c>
      <c r="EG95" s="1319">
        <f t="shared" ca="1" si="1189"/>
        <v>0</v>
      </c>
      <c r="EH95" s="1319">
        <f t="shared" ca="1" si="1189"/>
        <v>0</v>
      </c>
      <c r="EI95" s="1319">
        <f t="shared" ca="1" si="1189"/>
        <v>0</v>
      </c>
      <c r="EJ95" s="1319">
        <f t="shared" ca="1" si="1101"/>
        <v>0</v>
      </c>
      <c r="EK95" s="1319">
        <f t="shared" ca="1" si="1189"/>
        <v>0</v>
      </c>
      <c r="EW95" s="1319">
        <f t="shared" ca="1" si="1190"/>
        <v>12.9984632</v>
      </c>
      <c r="EX95" s="1319">
        <f t="shared" ca="1" si="1190"/>
        <v>12.9984632</v>
      </c>
      <c r="EY95" s="1319">
        <f t="shared" ca="1" si="1190"/>
        <v>12.9984632</v>
      </c>
      <c r="EZ95" s="1319">
        <f t="shared" ca="1" si="1190"/>
        <v>12.9984632</v>
      </c>
      <c r="FA95" s="1319">
        <f t="shared" ca="1" si="1190"/>
        <v>0</v>
      </c>
      <c r="FB95" s="1319">
        <f t="shared" ca="1" si="1190"/>
        <v>0</v>
      </c>
      <c r="FN95" s="1319">
        <f t="shared" ca="1" si="1191"/>
        <v>0</v>
      </c>
      <c r="FO95" s="1319">
        <f t="shared" ca="1" si="1191"/>
        <v>0</v>
      </c>
      <c r="FP95" s="1319">
        <f t="shared" ca="1" si="1191"/>
        <v>0</v>
      </c>
      <c r="FQ95" s="1319">
        <f t="shared" ca="1" si="1191"/>
        <v>0</v>
      </c>
      <c r="FR95" s="1319">
        <f t="shared" ca="1" si="1191"/>
        <v>0</v>
      </c>
      <c r="FS95" s="1319">
        <f t="shared" ca="1" si="1191"/>
        <v>0</v>
      </c>
      <c r="FT95" s="1319">
        <f t="shared" ca="1" si="1191"/>
        <v>0</v>
      </c>
      <c r="FU95" s="1319">
        <f t="shared" ca="1" si="1191"/>
        <v>0</v>
      </c>
      <c r="FV95" s="1319">
        <f t="shared" ca="1" si="1191"/>
        <v>0</v>
      </c>
      <c r="FW95" s="1319">
        <f t="shared" ca="1" si="1191"/>
        <v>0</v>
      </c>
      <c r="FX95" s="1319">
        <f t="shared" ca="1" si="1191"/>
        <v>0</v>
      </c>
      <c r="GJ95" s="1319">
        <f t="shared" ca="1" si="1192"/>
        <v>0</v>
      </c>
      <c r="GK95" s="1319">
        <f t="shared" ca="1" si="1192"/>
        <v>0</v>
      </c>
      <c r="GL95" s="1319">
        <f t="shared" ca="1" si="1192"/>
        <v>0</v>
      </c>
      <c r="GM95" s="1319">
        <f t="shared" ca="1" si="1192"/>
        <v>0</v>
      </c>
      <c r="GN95" s="1319">
        <f t="shared" ca="1" si="1192"/>
        <v>0</v>
      </c>
      <c r="GO95" s="1319">
        <f t="shared" ca="1" si="1192"/>
        <v>0</v>
      </c>
      <c r="GP95" s="1319">
        <f t="shared" ca="1" si="1192"/>
        <v>0</v>
      </c>
      <c r="GQ95" s="1319">
        <f t="shared" ca="1" si="1192"/>
        <v>0</v>
      </c>
      <c r="HC95" s="1319">
        <f t="shared" ca="1" si="1193"/>
        <v>12.9984632</v>
      </c>
      <c r="HD95" s="1319">
        <f t="shared" ca="1" si="1193"/>
        <v>0.25996926399999998</v>
      </c>
      <c r="HE95" s="1319">
        <f t="shared" ca="1" si="1193"/>
        <v>0</v>
      </c>
      <c r="HF95" s="1319">
        <f t="shared" ca="1" si="1193"/>
        <v>0</v>
      </c>
      <c r="HG95" s="1319">
        <f t="shared" ca="1" si="1193"/>
        <v>12.7384939</v>
      </c>
      <c r="HH95" s="1319">
        <f t="shared" ca="1" si="1193"/>
        <v>0.25996926399999998</v>
      </c>
      <c r="HT95" s="1319">
        <f t="shared" ca="1" si="1194"/>
        <v>0</v>
      </c>
      <c r="HU95" s="1319">
        <f t="shared" ca="1" si="1194"/>
        <v>0.25996926399999998</v>
      </c>
      <c r="HV95" s="1319">
        <f t="shared" ca="1" si="1194"/>
        <v>0.25996926399999998</v>
      </c>
      <c r="HW95" s="1319">
        <f t="shared" ca="1" si="1194"/>
        <v>0.25996926399999998</v>
      </c>
      <c r="HX95" s="1319">
        <f t="shared" ca="1" si="1194"/>
        <v>6.65521315E-2</v>
      </c>
      <c r="HY95" s="1319">
        <f t="shared" ca="1" si="1194"/>
        <v>0.19341713199999999</v>
      </c>
      <c r="HZ95" s="1319">
        <f t="shared" ca="1" si="1194"/>
        <v>0</v>
      </c>
      <c r="IA95" s="1319">
        <f t="shared" ca="1" si="1194"/>
        <v>0</v>
      </c>
      <c r="IB95" s="1319">
        <f t="shared" ca="1" si="1194"/>
        <v>0</v>
      </c>
      <c r="IC95" s="1319">
        <f t="shared" ca="1" si="1194"/>
        <v>0</v>
      </c>
      <c r="ID95" s="1319">
        <f t="shared" ca="1" si="1194"/>
        <v>0</v>
      </c>
      <c r="IE95" s="1319">
        <f t="shared" ca="1" si="1194"/>
        <v>0</v>
      </c>
      <c r="IQ95" s="1319">
        <f t="shared" ca="1" si="1195"/>
        <v>6.65521315E-2</v>
      </c>
      <c r="IR95" s="1319">
        <f t="shared" ca="1" si="1195"/>
        <v>0.19341713199999999</v>
      </c>
      <c r="IS95" s="1319">
        <f t="shared" ca="1" si="1195"/>
        <v>8.0234724199999996E-2</v>
      </c>
      <c r="IT95" s="1319">
        <f t="shared" ca="1" si="1195"/>
        <v>0.27365185600000003</v>
      </c>
      <c r="IU95" s="1319">
        <f t="shared" ca="1" si="1108"/>
        <v>1.3682592800000001E-2</v>
      </c>
      <c r="IV95" s="1319">
        <f t="shared" ca="1" si="1195"/>
        <v>2.0058681100000002</v>
      </c>
      <c r="IW95" s="1319">
        <f t="shared" ca="1" si="1195"/>
        <v>1.9256333799999998</v>
      </c>
      <c r="IX95" s="1319">
        <f t="shared" ca="1" si="1109"/>
        <v>0</v>
      </c>
      <c r="IY95" s="1319">
        <f t="shared" ca="1" si="1195"/>
        <v>0.25996926300000001</v>
      </c>
      <c r="IZ95" s="1319">
        <f t="shared" ca="1" si="1195"/>
        <v>0</v>
      </c>
      <c r="JA95" s="1319">
        <f t="shared" ca="1" si="1195"/>
        <v>2.0058681100000002</v>
      </c>
      <c r="JB95" s="1319">
        <f t="shared" ca="1" si="1195"/>
        <v>0</v>
      </c>
      <c r="JC95" s="1319">
        <f t="shared" ca="1" si="1195"/>
        <v>0</v>
      </c>
      <c r="JD95" s="1319">
        <f t="shared" ca="1" si="1195"/>
        <v>0</v>
      </c>
      <c r="JE95" s="1319">
        <f t="shared" ca="1" si="1195"/>
        <v>0</v>
      </c>
      <c r="JF95" s="1319">
        <f t="shared" ca="1" si="1195"/>
        <v>0</v>
      </c>
      <c r="JG95" s="1319">
        <f t="shared" ca="1" si="1195"/>
        <v>0</v>
      </c>
      <c r="JH95" s="1319">
        <f t="shared" ca="1" si="1195"/>
        <v>0</v>
      </c>
      <c r="JT95" s="1319">
        <f t="shared" ca="1" si="1196"/>
        <v>0</v>
      </c>
      <c r="JU95" s="1319">
        <f t="shared" ca="1" si="1196"/>
        <v>0</v>
      </c>
      <c r="JV95" s="1319">
        <f t="shared" ca="1" si="1196"/>
        <v>0</v>
      </c>
      <c r="JW95" s="1319">
        <f t="shared" ca="1" si="1196"/>
        <v>0</v>
      </c>
      <c r="JX95" s="1319">
        <f t="shared" ca="1" si="1196"/>
        <v>0</v>
      </c>
      <c r="JY95" s="1319">
        <f t="shared" ca="1" si="1196"/>
        <v>0</v>
      </c>
      <c r="JZ95" s="1319">
        <f t="shared" ca="1" si="1196"/>
        <v>0</v>
      </c>
      <c r="KA95" s="1319">
        <f t="shared" ca="1" si="1196"/>
        <v>0</v>
      </c>
      <c r="KB95" s="1319">
        <f t="shared" ca="1" si="1196"/>
        <v>0</v>
      </c>
      <c r="KC95" s="1319">
        <f t="shared" ca="1" si="1196"/>
        <v>0</v>
      </c>
      <c r="KL95" s="1319">
        <f t="shared" ca="1" si="1197"/>
        <v>0</v>
      </c>
      <c r="KM95" s="1319">
        <f t="shared" ca="1" si="1197"/>
        <v>0</v>
      </c>
      <c r="KN95" s="1319">
        <f t="shared" ca="1" si="1197"/>
        <v>0</v>
      </c>
      <c r="KO95" s="1319">
        <f t="shared" ca="1" si="1197"/>
        <v>0</v>
      </c>
      <c r="KP95" s="1319">
        <f t="shared" ca="1" si="1197"/>
        <v>0</v>
      </c>
      <c r="KQ95" s="1319">
        <f t="shared" ca="1" si="1197"/>
        <v>0</v>
      </c>
      <c r="KR95" s="1319">
        <f t="shared" ca="1" si="1197"/>
        <v>0</v>
      </c>
      <c r="LA95" s="1319">
        <f t="shared" ca="1" si="1198"/>
        <v>0</v>
      </c>
      <c r="LB95" s="1319">
        <f t="shared" ca="1" si="1198"/>
        <v>0</v>
      </c>
      <c r="LC95" s="1319">
        <f t="shared" ca="1" si="1198"/>
        <v>0</v>
      </c>
      <c r="LD95" s="1319">
        <f t="shared" ca="1" si="1198"/>
        <v>0</v>
      </c>
      <c r="LE95" s="1319">
        <f t="shared" ca="1" si="1198"/>
        <v>0</v>
      </c>
      <c r="LF95" s="1319">
        <f t="shared" ca="1" si="1198"/>
        <v>0</v>
      </c>
      <c r="LG95" s="1319">
        <f t="shared" ca="1" si="1198"/>
        <v>0</v>
      </c>
      <c r="LH95" s="1319">
        <f t="shared" ca="1" si="1198"/>
        <v>0</v>
      </c>
      <c r="LI95" s="1319">
        <f t="shared" ca="1" si="1198"/>
        <v>0</v>
      </c>
      <c r="LJ95" s="1319">
        <f t="shared" ca="1" si="1198"/>
        <v>0</v>
      </c>
      <c r="LK95" s="1319">
        <f t="shared" ca="1" si="1198"/>
        <v>0</v>
      </c>
      <c r="LW95" s="1319">
        <f t="shared" ca="1" si="1113"/>
        <v>0</v>
      </c>
      <c r="LX95" s="1319">
        <f t="shared" ca="1" si="1199"/>
        <v>0</v>
      </c>
      <c r="LY95" s="1319">
        <f t="shared" ca="1" si="1199"/>
        <v>12.7384939</v>
      </c>
      <c r="LZ95" s="1319">
        <f t="shared" ca="1" si="1199"/>
        <v>0.25996926300000001</v>
      </c>
      <c r="MA95" s="1319">
        <f t="shared" ca="1" si="1199"/>
        <v>12.9984632</v>
      </c>
      <c r="MB95" s="1319">
        <f t="shared" ca="1" si="1199"/>
        <v>0</v>
      </c>
      <c r="MC95" s="1319">
        <f t="shared" ca="1" si="1199"/>
        <v>0</v>
      </c>
      <c r="MD95" s="1319">
        <f t="shared" ca="1" si="1199"/>
        <v>0</v>
      </c>
      <c r="ME95" s="1319">
        <f t="shared" ca="1" si="1199"/>
        <v>0</v>
      </c>
      <c r="MF95" s="1319">
        <f t="shared" ca="1" si="1199"/>
        <v>0</v>
      </c>
      <c r="MG95" s="1319">
        <f t="shared" ca="1" si="1199"/>
        <v>0</v>
      </c>
      <c r="MH95" s="1319">
        <f t="shared" ca="1" si="1200"/>
        <v>0</v>
      </c>
      <c r="MI95" s="1319">
        <f t="shared" ca="1" si="1200"/>
        <v>0</v>
      </c>
      <c r="MJ95" s="1319">
        <f t="shared" ca="1" si="1199"/>
        <v>0</v>
      </c>
      <c r="MK95" s="1319">
        <f t="shared" ca="1" si="1199"/>
        <v>0</v>
      </c>
      <c r="ML95" s="1319">
        <f t="shared" ca="1" si="1199"/>
        <v>0</v>
      </c>
      <c r="MM95" s="1319">
        <f t="shared" ca="1" si="1199"/>
        <v>0</v>
      </c>
      <c r="MN95" s="1319">
        <f t="shared" ca="1" si="1199"/>
        <v>0</v>
      </c>
      <c r="MO95" s="1319">
        <f t="shared" ca="1" si="1199"/>
        <v>0</v>
      </c>
      <c r="NA95" s="1319">
        <f t="shared" ca="1" si="1201"/>
        <v>0</v>
      </c>
      <c r="NB95" s="1319">
        <f t="shared" ca="1" si="1201"/>
        <v>0</v>
      </c>
      <c r="NC95" s="1319">
        <f t="shared" ca="1" si="1201"/>
        <v>0</v>
      </c>
      <c r="ND95" s="1319">
        <f t="shared" ca="1" si="1201"/>
        <v>0</v>
      </c>
      <c r="NE95" s="1319">
        <f t="shared" ca="1" si="1201"/>
        <v>0</v>
      </c>
      <c r="NF95" s="1319">
        <f t="shared" ca="1" si="1201"/>
        <v>0</v>
      </c>
      <c r="NG95" s="1319">
        <f t="shared" ca="1" si="1201"/>
        <v>0</v>
      </c>
      <c r="NH95" s="1319">
        <f t="shared" ca="1" si="1201"/>
        <v>0</v>
      </c>
      <c r="NI95" s="1319">
        <f t="shared" ca="1" si="1201"/>
        <v>0</v>
      </c>
      <c r="NJ95" s="1319">
        <f t="shared" ca="1" si="1201"/>
        <v>0</v>
      </c>
      <c r="NK95" s="1319">
        <f t="shared" ca="1" si="1201"/>
        <v>0</v>
      </c>
      <c r="NL95" s="1319">
        <f t="shared" ca="1" si="1201"/>
        <v>0</v>
      </c>
      <c r="NM95" s="1319">
        <f t="shared" ca="1" si="1201"/>
        <v>0</v>
      </c>
      <c r="NN95" s="1319">
        <f t="shared" ca="1" si="1201"/>
        <v>0</v>
      </c>
      <c r="NO95" s="1319">
        <f t="shared" ca="1" si="1201"/>
        <v>0</v>
      </c>
      <c r="NP95" s="1319">
        <f t="shared" ca="1" si="1201"/>
        <v>0</v>
      </c>
      <c r="OH95" s="1319">
        <f t="shared" ca="1" si="1202"/>
        <v>0</v>
      </c>
      <c r="OI95" s="1319">
        <f t="shared" ca="1" si="1202"/>
        <v>0</v>
      </c>
      <c r="OJ95" s="1319">
        <f t="shared" ca="1" si="1202"/>
        <v>0</v>
      </c>
      <c r="OK95" s="1319">
        <f t="shared" ca="1" si="1202"/>
        <v>0</v>
      </c>
      <c r="OL95" s="1319">
        <f t="shared" ca="1" si="1202"/>
        <v>0</v>
      </c>
      <c r="OM95" s="1319">
        <f t="shared" ca="1" si="1202"/>
        <v>0</v>
      </c>
      <c r="ON95" s="1319">
        <f t="shared" ca="1" si="1202"/>
        <v>0</v>
      </c>
      <c r="OO95" s="1319">
        <f t="shared" ca="1" si="1202"/>
        <v>0</v>
      </c>
      <c r="PA95" s="1319">
        <f t="shared" ca="1" si="1203"/>
        <v>0</v>
      </c>
      <c r="PB95" s="1319">
        <f t="shared" ca="1" si="1203"/>
        <v>0</v>
      </c>
      <c r="PC95" s="1319">
        <f t="shared" ca="1" si="1203"/>
        <v>0</v>
      </c>
      <c r="PD95" s="1319">
        <f t="shared" ca="1" si="1203"/>
        <v>0</v>
      </c>
      <c r="PE95" s="1319">
        <f t="shared" ca="1" si="1203"/>
        <v>0</v>
      </c>
      <c r="PF95" s="1319">
        <f t="shared" ca="1" si="1203"/>
        <v>0</v>
      </c>
      <c r="PG95" s="1319">
        <f t="shared" ca="1" si="1203"/>
        <v>0</v>
      </c>
      <c r="PH95" s="1319">
        <f t="shared" ca="1" si="1203"/>
        <v>0</v>
      </c>
      <c r="PI95" s="1319">
        <f t="shared" ca="1" si="1203"/>
        <v>0</v>
      </c>
      <c r="PJ95" s="1319">
        <f t="shared" ca="1" si="1203"/>
        <v>0</v>
      </c>
      <c r="PK95" s="1319">
        <f t="shared" ca="1" si="1203"/>
        <v>0</v>
      </c>
      <c r="PW95" s="1319">
        <f t="shared" ca="1" si="1204"/>
        <v>0</v>
      </c>
      <c r="PX95" s="1319">
        <f t="shared" ca="1" si="1204"/>
        <v>0</v>
      </c>
      <c r="PY95" s="1319">
        <f t="shared" ca="1" si="1204"/>
        <v>0</v>
      </c>
      <c r="PZ95" s="1319">
        <f t="shared" ca="1" si="1204"/>
        <v>0</v>
      </c>
    </row>
    <row r="96" spans="1:442" x14ac:dyDescent="0.25">
      <c r="A96" s="189">
        <v>130</v>
      </c>
      <c r="B96" s="189" t="s">
        <v>1320</v>
      </c>
      <c r="C96" s="1317" t="s">
        <v>1260</v>
      </c>
      <c r="D96" s="1317" t="s">
        <v>206</v>
      </c>
      <c r="J96" s="1319">
        <f t="shared" ref="J96:K112" ca="1" si="1207">VLOOKUP(J$1,INDIRECT(LU_MAT),$A96,FALSE)</f>
        <v>16273.076000000001</v>
      </c>
      <c r="K96" s="1319">
        <f t="shared" ca="1" si="1207"/>
        <v>16273.076000000001</v>
      </c>
      <c r="T96" s="1319">
        <f t="shared" ref="T96:AD112" ca="1" si="1208">VLOOKUP(T$1,INDIRECT(LU_MAT),$A96,FALSE)</f>
        <v>16273.076000000001</v>
      </c>
      <c r="U96" s="1319">
        <f t="shared" ca="1" si="1208"/>
        <v>0</v>
      </c>
      <c r="V96" s="1319">
        <f t="shared" ca="1" si="1208"/>
        <v>0</v>
      </c>
      <c r="W96" s="1319">
        <f t="shared" ca="1" si="1208"/>
        <v>0</v>
      </c>
      <c r="X96" s="1319">
        <f t="shared" ca="1" si="1208"/>
        <v>0</v>
      </c>
      <c r="Y96" s="1319">
        <f t="shared" ca="1" si="1208"/>
        <v>423.09997600000003</v>
      </c>
      <c r="Z96" s="1319">
        <f t="shared" ca="1" si="1208"/>
        <v>0</v>
      </c>
      <c r="AA96" s="1319">
        <f t="shared" ca="1" si="1208"/>
        <v>423.09997600000003</v>
      </c>
      <c r="AB96" s="1319">
        <f t="shared" ca="1" si="1208"/>
        <v>0</v>
      </c>
      <c r="AC96" s="1319">
        <f t="shared" ca="1" si="1208"/>
        <v>0</v>
      </c>
      <c r="AD96" s="1319">
        <f t="shared" ca="1" si="1208"/>
        <v>0</v>
      </c>
      <c r="AM96" s="1319">
        <f t="shared" ref="AM96:BB112" ca="1" si="1209">VLOOKUP(AM$1,INDIRECT(LU_MAT),$A96,FALSE)</f>
        <v>0</v>
      </c>
      <c r="AN96" s="1319">
        <f t="shared" ca="1" si="1209"/>
        <v>0</v>
      </c>
      <c r="AO96" s="1319">
        <f t="shared" ca="1" si="1209"/>
        <v>423.09997600000003</v>
      </c>
      <c r="AP96" s="1319">
        <f t="shared" ca="1" si="1209"/>
        <v>423.09997600000003</v>
      </c>
      <c r="AQ96" s="1319">
        <f t="shared" ca="1" si="1209"/>
        <v>0</v>
      </c>
      <c r="AR96" s="1319">
        <f t="shared" ca="1" si="1209"/>
        <v>0</v>
      </c>
      <c r="AS96" s="1319">
        <f t="shared" ca="1" si="1209"/>
        <v>0</v>
      </c>
      <c r="AT96" s="1319">
        <f t="shared" ca="1" si="1209"/>
        <v>0</v>
      </c>
      <c r="AU96" s="1319">
        <f t="shared" ca="1" si="1209"/>
        <v>0</v>
      </c>
      <c r="AV96" s="1319">
        <f t="shared" ca="1" si="1209"/>
        <v>423.09997600000003</v>
      </c>
      <c r="AW96" s="1319">
        <f t="shared" ca="1" si="1209"/>
        <v>0</v>
      </c>
      <c r="AX96" s="1319">
        <f t="shared" ca="1" si="1209"/>
        <v>0</v>
      </c>
      <c r="AY96" s="1319">
        <f t="shared" ca="1" si="1209"/>
        <v>0</v>
      </c>
      <c r="AZ96" s="1319">
        <f t="shared" ca="1" si="1209"/>
        <v>0</v>
      </c>
      <c r="BA96" s="1319">
        <f t="shared" ca="1" si="1209"/>
        <v>0</v>
      </c>
      <c r="BB96" s="1319">
        <f t="shared" ca="1" si="1209"/>
        <v>423.09997600000003</v>
      </c>
      <c r="BN96" s="1319">
        <f t="shared" ca="1" si="1186"/>
        <v>42.309997600000003</v>
      </c>
      <c r="BO96" s="1319">
        <f t="shared" ca="1" si="1186"/>
        <v>42.309997600000003</v>
      </c>
      <c r="BP96" s="1319">
        <f t="shared" ca="1" si="1186"/>
        <v>0</v>
      </c>
      <c r="BQ96" s="1319">
        <f t="shared" ca="1" si="1186"/>
        <v>0</v>
      </c>
      <c r="BR96" s="1319">
        <f t="shared" ca="1" si="1186"/>
        <v>0</v>
      </c>
      <c r="CD96" s="1319">
        <f t="shared" ca="1" si="1187"/>
        <v>423.09997600000003</v>
      </c>
      <c r="CE96" s="1319">
        <f t="shared" ca="1" si="1187"/>
        <v>423.09997600000003</v>
      </c>
      <c r="CF96" s="1319">
        <f t="shared" ca="1" si="1187"/>
        <v>42.309997600000003</v>
      </c>
      <c r="CG96" s="1319">
        <f t="shared" ca="1" si="1187"/>
        <v>42.309997600000003</v>
      </c>
      <c r="CH96" s="1319">
        <f t="shared" ca="1" si="1187"/>
        <v>423.09997600000003</v>
      </c>
      <c r="CI96" s="1319">
        <f t="shared" ca="1" si="1187"/>
        <v>0</v>
      </c>
      <c r="CJ96" s="1319">
        <f t="shared" ca="1" si="1187"/>
        <v>0</v>
      </c>
      <c r="CK96" s="1319">
        <f t="shared" ca="1" si="1187"/>
        <v>423.09997600000003</v>
      </c>
      <c r="CL96" s="1319">
        <f t="shared" ca="1" si="1187"/>
        <v>0</v>
      </c>
      <c r="CM96" s="1319">
        <f t="shared" ca="1" si="1187"/>
        <v>0</v>
      </c>
      <c r="CN96" s="1319">
        <f t="shared" ca="1" si="1187"/>
        <v>423.09997600000003</v>
      </c>
      <c r="CO96" s="1319">
        <f t="shared" ca="1" si="1187"/>
        <v>0</v>
      </c>
      <c r="DA96" s="1319">
        <f t="shared" ca="1" si="1188"/>
        <v>0</v>
      </c>
      <c r="DB96" s="1319">
        <f t="shared" ca="1" si="1188"/>
        <v>0</v>
      </c>
      <c r="DC96" s="1319">
        <f t="shared" ca="1" si="1188"/>
        <v>0</v>
      </c>
      <c r="DD96" s="1319">
        <f t="shared" ca="1" si="1188"/>
        <v>0</v>
      </c>
      <c r="DE96" s="1319">
        <f t="shared" ca="1" si="1188"/>
        <v>0</v>
      </c>
      <c r="DF96" s="1319">
        <f t="shared" ca="1" si="1188"/>
        <v>0</v>
      </c>
      <c r="DG96" s="1319">
        <f t="shared" ca="1" si="1188"/>
        <v>0</v>
      </c>
      <c r="DH96" s="1319">
        <f t="shared" ca="1" si="1188"/>
        <v>0</v>
      </c>
      <c r="DI96" s="1319">
        <f t="shared" ca="1" si="1188"/>
        <v>0</v>
      </c>
      <c r="DJ96" s="1319">
        <f t="shared" ca="1" si="1188"/>
        <v>0</v>
      </c>
      <c r="DV96" s="1319">
        <f t="shared" ca="1" si="1189"/>
        <v>0</v>
      </c>
      <c r="DW96" s="1319">
        <f t="shared" ca="1" si="1189"/>
        <v>0</v>
      </c>
      <c r="DX96" s="1319">
        <f t="shared" ca="1" si="1189"/>
        <v>0</v>
      </c>
      <c r="DY96" s="1319">
        <f t="shared" ca="1" si="1189"/>
        <v>0</v>
      </c>
      <c r="DZ96" s="1319">
        <f t="shared" ca="1" si="1189"/>
        <v>0</v>
      </c>
      <c r="EA96" s="1319">
        <f t="shared" ca="1" si="1189"/>
        <v>0</v>
      </c>
      <c r="EB96" s="1319">
        <f t="shared" ca="1" si="1189"/>
        <v>0</v>
      </c>
      <c r="EC96" s="1319">
        <f t="shared" ca="1" si="1189"/>
        <v>0</v>
      </c>
      <c r="ED96" s="1319">
        <f t="shared" ca="1" si="1189"/>
        <v>0</v>
      </c>
      <c r="EE96" s="1319">
        <f t="shared" ca="1" si="1189"/>
        <v>0</v>
      </c>
      <c r="EF96" s="1319">
        <f t="shared" ca="1" si="1189"/>
        <v>0</v>
      </c>
      <c r="EG96" s="1319">
        <f t="shared" ca="1" si="1189"/>
        <v>0</v>
      </c>
      <c r="EH96" s="1319">
        <f t="shared" ca="1" si="1189"/>
        <v>0</v>
      </c>
      <c r="EI96" s="1319">
        <f t="shared" ca="1" si="1189"/>
        <v>0</v>
      </c>
      <c r="EJ96" s="1319">
        <f t="shared" ca="1" si="1101"/>
        <v>0</v>
      </c>
      <c r="EK96" s="1319">
        <f t="shared" ca="1" si="1189"/>
        <v>0</v>
      </c>
      <c r="EW96" s="1319">
        <f t="shared" ca="1" si="1190"/>
        <v>423.09997600000003</v>
      </c>
      <c r="EX96" s="1319">
        <f t="shared" ca="1" si="1190"/>
        <v>423.09997600000003</v>
      </c>
      <c r="EY96" s="1319">
        <f t="shared" ca="1" si="1190"/>
        <v>423.09997600000003</v>
      </c>
      <c r="EZ96" s="1319">
        <f t="shared" ca="1" si="1190"/>
        <v>423.09997600000003</v>
      </c>
      <c r="FA96" s="1319">
        <f t="shared" ca="1" si="1190"/>
        <v>0</v>
      </c>
      <c r="FB96" s="1319">
        <f t="shared" ca="1" si="1190"/>
        <v>0</v>
      </c>
      <c r="FN96" s="1319">
        <f t="shared" ca="1" si="1191"/>
        <v>0</v>
      </c>
      <c r="FO96" s="1319">
        <f t="shared" ca="1" si="1191"/>
        <v>0</v>
      </c>
      <c r="FP96" s="1319">
        <f t="shared" ca="1" si="1191"/>
        <v>0</v>
      </c>
      <c r="FQ96" s="1319">
        <f t="shared" ca="1" si="1191"/>
        <v>0</v>
      </c>
      <c r="FR96" s="1319">
        <f t="shared" ca="1" si="1191"/>
        <v>0</v>
      </c>
      <c r="FS96" s="1319">
        <f t="shared" ca="1" si="1191"/>
        <v>0</v>
      </c>
      <c r="FT96" s="1319">
        <f t="shared" ca="1" si="1191"/>
        <v>0</v>
      </c>
      <c r="FU96" s="1319">
        <f t="shared" ca="1" si="1191"/>
        <v>0</v>
      </c>
      <c r="FV96" s="1319">
        <f t="shared" ca="1" si="1191"/>
        <v>0</v>
      </c>
      <c r="FW96" s="1319">
        <f t="shared" ca="1" si="1191"/>
        <v>0</v>
      </c>
      <c r="FX96" s="1319">
        <f t="shared" ca="1" si="1191"/>
        <v>0</v>
      </c>
      <c r="GJ96" s="1319">
        <f t="shared" ca="1" si="1192"/>
        <v>0</v>
      </c>
      <c r="GK96" s="1319">
        <f t="shared" ca="1" si="1192"/>
        <v>0</v>
      </c>
      <c r="GL96" s="1319">
        <f t="shared" ca="1" si="1192"/>
        <v>0</v>
      </c>
      <c r="GM96" s="1319">
        <f t="shared" ca="1" si="1192"/>
        <v>0</v>
      </c>
      <c r="GN96" s="1319">
        <f t="shared" ca="1" si="1192"/>
        <v>0</v>
      </c>
      <c r="GO96" s="1319">
        <f t="shared" ca="1" si="1192"/>
        <v>0</v>
      </c>
      <c r="GP96" s="1319">
        <f t="shared" ca="1" si="1192"/>
        <v>0</v>
      </c>
      <c r="GQ96" s="1319">
        <f t="shared" ca="1" si="1192"/>
        <v>0</v>
      </c>
      <c r="HC96" s="1319">
        <f t="shared" ca="1" si="1193"/>
        <v>423.09997600000003</v>
      </c>
      <c r="HD96" s="1319">
        <f t="shared" ca="1" si="1193"/>
        <v>8.4619995299999999</v>
      </c>
      <c r="HE96" s="1319">
        <f t="shared" ca="1" si="1193"/>
        <v>0</v>
      </c>
      <c r="HF96" s="1319">
        <f t="shared" ca="1" si="1193"/>
        <v>0</v>
      </c>
      <c r="HG96" s="1319">
        <f t="shared" ca="1" si="1193"/>
        <v>414.63797699999998</v>
      </c>
      <c r="HH96" s="1319">
        <f t="shared" ca="1" si="1193"/>
        <v>8.4619995299999999</v>
      </c>
      <c r="HT96" s="1319">
        <f t="shared" ca="1" si="1194"/>
        <v>0</v>
      </c>
      <c r="HU96" s="1319">
        <f t="shared" ca="1" si="1194"/>
        <v>8.4619995299999999</v>
      </c>
      <c r="HV96" s="1319">
        <f t="shared" ca="1" si="1194"/>
        <v>8.4619995299999999</v>
      </c>
      <c r="HW96" s="1319">
        <f t="shared" ca="1" si="1194"/>
        <v>8.4619995299999999</v>
      </c>
      <c r="HX96" s="1319">
        <f t="shared" ca="1" si="1194"/>
        <v>2.16627188</v>
      </c>
      <c r="HY96" s="1319">
        <f t="shared" ca="1" si="1194"/>
        <v>6.2957276499999999</v>
      </c>
      <c r="HZ96" s="1319">
        <f t="shared" ca="1" si="1194"/>
        <v>0</v>
      </c>
      <c r="IA96" s="1319">
        <f t="shared" ca="1" si="1194"/>
        <v>0</v>
      </c>
      <c r="IB96" s="1319">
        <f t="shared" ca="1" si="1194"/>
        <v>0</v>
      </c>
      <c r="IC96" s="1319">
        <f t="shared" ca="1" si="1194"/>
        <v>0</v>
      </c>
      <c r="ID96" s="1319">
        <f t="shared" ca="1" si="1194"/>
        <v>0</v>
      </c>
      <c r="IE96" s="1319">
        <f t="shared" ca="1" si="1194"/>
        <v>0</v>
      </c>
      <c r="IQ96" s="1319">
        <f t="shared" ca="1" si="1195"/>
        <v>2.16627188</v>
      </c>
      <c r="IR96" s="1319">
        <f t="shared" ca="1" si="1195"/>
        <v>6.2957276499999999</v>
      </c>
      <c r="IS96" s="1319">
        <f t="shared" ca="1" si="1195"/>
        <v>2.61164028</v>
      </c>
      <c r="IT96" s="1319">
        <f t="shared" ca="1" si="1195"/>
        <v>8.9073679200000004</v>
      </c>
      <c r="IU96" s="1319">
        <f t="shared" ca="1" si="1108"/>
        <v>0.445368396</v>
      </c>
      <c r="IV96" s="1319">
        <f t="shared" ca="1" si="1195"/>
        <v>65.291006899999999</v>
      </c>
      <c r="IW96" s="1319">
        <f t="shared" ca="1" si="1195"/>
        <v>62.679366600000002</v>
      </c>
      <c r="IX96" s="1319">
        <f t="shared" ca="1" si="1109"/>
        <v>0</v>
      </c>
      <c r="IY96" s="1319">
        <f t="shared" ca="1" si="1195"/>
        <v>8.4619995299999999</v>
      </c>
      <c r="IZ96" s="1319">
        <f t="shared" ca="1" si="1195"/>
        <v>0</v>
      </c>
      <c r="JA96" s="1319">
        <f t="shared" ca="1" si="1195"/>
        <v>65.291006899999999</v>
      </c>
      <c r="JB96" s="1319">
        <f t="shared" ca="1" si="1195"/>
        <v>0</v>
      </c>
      <c r="JC96" s="1319">
        <f t="shared" ca="1" si="1195"/>
        <v>0</v>
      </c>
      <c r="JD96" s="1319">
        <f t="shared" ca="1" si="1195"/>
        <v>0</v>
      </c>
      <c r="JE96" s="1319">
        <f t="shared" ca="1" si="1195"/>
        <v>0</v>
      </c>
      <c r="JF96" s="1319">
        <f t="shared" ca="1" si="1195"/>
        <v>0</v>
      </c>
      <c r="JG96" s="1319">
        <f t="shared" ca="1" si="1195"/>
        <v>0</v>
      </c>
      <c r="JH96" s="1319">
        <f t="shared" ca="1" si="1195"/>
        <v>0</v>
      </c>
      <c r="JT96" s="1319">
        <f t="shared" ca="1" si="1196"/>
        <v>0</v>
      </c>
      <c r="JU96" s="1319">
        <f t="shared" ca="1" si="1196"/>
        <v>0</v>
      </c>
      <c r="JV96" s="1319">
        <f t="shared" ca="1" si="1196"/>
        <v>0</v>
      </c>
      <c r="JW96" s="1319">
        <f t="shared" ca="1" si="1196"/>
        <v>0</v>
      </c>
      <c r="JX96" s="1319">
        <f t="shared" ca="1" si="1196"/>
        <v>0</v>
      </c>
      <c r="JY96" s="1319">
        <f t="shared" ca="1" si="1196"/>
        <v>0</v>
      </c>
      <c r="JZ96" s="1319">
        <f t="shared" ca="1" si="1196"/>
        <v>0</v>
      </c>
      <c r="KA96" s="1319">
        <f t="shared" ca="1" si="1196"/>
        <v>0</v>
      </c>
      <c r="KB96" s="1319">
        <f t="shared" ca="1" si="1196"/>
        <v>0</v>
      </c>
      <c r="KC96" s="1319">
        <f t="shared" ca="1" si="1196"/>
        <v>0</v>
      </c>
      <c r="KL96" s="1319">
        <f t="shared" ca="1" si="1197"/>
        <v>0</v>
      </c>
      <c r="KM96" s="1319">
        <f t="shared" ca="1" si="1197"/>
        <v>0</v>
      </c>
      <c r="KN96" s="1319">
        <f t="shared" ca="1" si="1197"/>
        <v>0</v>
      </c>
      <c r="KO96" s="1319">
        <f t="shared" ca="1" si="1197"/>
        <v>0</v>
      </c>
      <c r="KP96" s="1319">
        <f t="shared" ca="1" si="1197"/>
        <v>0</v>
      </c>
      <c r="KQ96" s="1319">
        <f t="shared" ca="1" si="1197"/>
        <v>0</v>
      </c>
      <c r="KR96" s="1319">
        <f t="shared" ca="1" si="1197"/>
        <v>0</v>
      </c>
      <c r="LA96" s="1319">
        <f t="shared" ca="1" si="1198"/>
        <v>0</v>
      </c>
      <c r="LB96" s="1319">
        <f t="shared" ca="1" si="1198"/>
        <v>0</v>
      </c>
      <c r="LC96" s="1319">
        <f t="shared" ca="1" si="1198"/>
        <v>0</v>
      </c>
      <c r="LD96" s="1319">
        <f t="shared" ca="1" si="1198"/>
        <v>0</v>
      </c>
      <c r="LE96" s="1319">
        <f t="shared" ca="1" si="1198"/>
        <v>0</v>
      </c>
      <c r="LF96" s="1319">
        <f t="shared" ca="1" si="1198"/>
        <v>0</v>
      </c>
      <c r="LG96" s="1319">
        <f t="shared" ca="1" si="1198"/>
        <v>0</v>
      </c>
      <c r="LH96" s="1319">
        <f t="shared" ca="1" si="1198"/>
        <v>0</v>
      </c>
      <c r="LI96" s="1319">
        <f t="shared" ca="1" si="1198"/>
        <v>0</v>
      </c>
      <c r="LJ96" s="1319">
        <f t="shared" ca="1" si="1198"/>
        <v>0</v>
      </c>
      <c r="LK96" s="1319">
        <f t="shared" ca="1" si="1198"/>
        <v>0</v>
      </c>
      <c r="LW96" s="1319">
        <f t="shared" ca="1" si="1113"/>
        <v>0</v>
      </c>
      <c r="LX96" s="1319">
        <f t="shared" ca="1" si="1199"/>
        <v>0</v>
      </c>
      <c r="LY96" s="1319">
        <f t="shared" ca="1" si="1199"/>
        <v>414.63797699999998</v>
      </c>
      <c r="LZ96" s="1319">
        <f t="shared" ca="1" si="1199"/>
        <v>8.4619995299999999</v>
      </c>
      <c r="MA96" s="1319">
        <f t="shared" ca="1" si="1199"/>
        <v>423.09997600000003</v>
      </c>
      <c r="MB96" s="1319">
        <f t="shared" ca="1" si="1199"/>
        <v>0</v>
      </c>
      <c r="MC96" s="1319">
        <f t="shared" ca="1" si="1199"/>
        <v>0</v>
      </c>
      <c r="MD96" s="1319">
        <f t="shared" ca="1" si="1199"/>
        <v>0</v>
      </c>
      <c r="ME96" s="1319">
        <f t="shared" ca="1" si="1199"/>
        <v>0</v>
      </c>
      <c r="MF96" s="1319">
        <f t="shared" ca="1" si="1199"/>
        <v>0</v>
      </c>
      <c r="MG96" s="1319">
        <f t="shared" ca="1" si="1199"/>
        <v>0</v>
      </c>
      <c r="MH96" s="1319">
        <f t="shared" ca="1" si="1200"/>
        <v>0</v>
      </c>
      <c r="MI96" s="1319">
        <f t="shared" ca="1" si="1200"/>
        <v>0</v>
      </c>
      <c r="MJ96" s="1319">
        <f t="shared" ca="1" si="1199"/>
        <v>0</v>
      </c>
      <c r="MK96" s="1319">
        <f t="shared" ca="1" si="1199"/>
        <v>0</v>
      </c>
      <c r="ML96" s="1319">
        <f t="shared" ca="1" si="1199"/>
        <v>0</v>
      </c>
      <c r="MM96" s="1319">
        <f t="shared" ca="1" si="1199"/>
        <v>0</v>
      </c>
      <c r="MN96" s="1319">
        <f t="shared" ca="1" si="1199"/>
        <v>0</v>
      </c>
      <c r="MO96" s="1319">
        <f t="shared" ca="1" si="1199"/>
        <v>0</v>
      </c>
      <c r="NA96" s="1319">
        <f t="shared" ca="1" si="1201"/>
        <v>0</v>
      </c>
      <c r="NB96" s="1319">
        <f t="shared" ca="1" si="1201"/>
        <v>0</v>
      </c>
      <c r="NC96" s="1319">
        <f t="shared" ca="1" si="1201"/>
        <v>0</v>
      </c>
      <c r="ND96" s="1319">
        <f t="shared" ca="1" si="1201"/>
        <v>0</v>
      </c>
      <c r="NE96" s="1319">
        <f t="shared" ca="1" si="1201"/>
        <v>0</v>
      </c>
      <c r="NF96" s="1319">
        <f t="shared" ca="1" si="1201"/>
        <v>0</v>
      </c>
      <c r="NG96" s="1319">
        <f t="shared" ca="1" si="1201"/>
        <v>0</v>
      </c>
      <c r="NH96" s="1319">
        <f t="shared" ca="1" si="1201"/>
        <v>0</v>
      </c>
      <c r="NI96" s="1319">
        <f t="shared" ca="1" si="1201"/>
        <v>0</v>
      </c>
      <c r="NJ96" s="1319">
        <f t="shared" ca="1" si="1201"/>
        <v>0</v>
      </c>
      <c r="NK96" s="1319">
        <f t="shared" ca="1" si="1201"/>
        <v>0</v>
      </c>
      <c r="NL96" s="1319">
        <f t="shared" ca="1" si="1201"/>
        <v>0</v>
      </c>
      <c r="NM96" s="1319">
        <f t="shared" ca="1" si="1201"/>
        <v>0</v>
      </c>
      <c r="NN96" s="1319">
        <f t="shared" ca="1" si="1201"/>
        <v>0</v>
      </c>
      <c r="NO96" s="1319">
        <f t="shared" ca="1" si="1201"/>
        <v>0</v>
      </c>
      <c r="NP96" s="1319">
        <f t="shared" ca="1" si="1201"/>
        <v>0</v>
      </c>
      <c r="OH96" s="1319">
        <f t="shared" ca="1" si="1202"/>
        <v>0</v>
      </c>
      <c r="OI96" s="1319">
        <f t="shared" ca="1" si="1202"/>
        <v>0</v>
      </c>
      <c r="OJ96" s="1319">
        <f t="shared" ca="1" si="1202"/>
        <v>0</v>
      </c>
      <c r="OK96" s="1319">
        <f t="shared" ca="1" si="1202"/>
        <v>0</v>
      </c>
      <c r="OL96" s="1319">
        <f t="shared" ca="1" si="1202"/>
        <v>0</v>
      </c>
      <c r="OM96" s="1319">
        <f t="shared" ca="1" si="1202"/>
        <v>0</v>
      </c>
      <c r="ON96" s="1319">
        <f t="shared" ca="1" si="1202"/>
        <v>0</v>
      </c>
      <c r="OO96" s="1319">
        <f t="shared" ca="1" si="1202"/>
        <v>0</v>
      </c>
      <c r="PA96" s="1319">
        <f t="shared" ca="1" si="1203"/>
        <v>0</v>
      </c>
      <c r="PB96" s="1319">
        <f t="shared" ca="1" si="1203"/>
        <v>0</v>
      </c>
      <c r="PC96" s="1319">
        <f t="shared" ca="1" si="1203"/>
        <v>0</v>
      </c>
      <c r="PD96" s="1319">
        <f t="shared" ca="1" si="1203"/>
        <v>0</v>
      </c>
      <c r="PE96" s="1319">
        <f t="shared" ca="1" si="1203"/>
        <v>0</v>
      </c>
      <c r="PF96" s="1319">
        <f t="shared" ca="1" si="1203"/>
        <v>0</v>
      </c>
      <c r="PG96" s="1319">
        <f t="shared" ca="1" si="1203"/>
        <v>0</v>
      </c>
      <c r="PH96" s="1319">
        <f t="shared" ca="1" si="1203"/>
        <v>0</v>
      </c>
      <c r="PI96" s="1319">
        <f t="shared" ca="1" si="1203"/>
        <v>0</v>
      </c>
      <c r="PJ96" s="1319">
        <f t="shared" ca="1" si="1203"/>
        <v>0</v>
      </c>
      <c r="PK96" s="1319">
        <f t="shared" ca="1" si="1203"/>
        <v>0</v>
      </c>
      <c r="PW96" s="1319">
        <f t="shared" ca="1" si="1204"/>
        <v>0</v>
      </c>
      <c r="PX96" s="1319">
        <f t="shared" ca="1" si="1204"/>
        <v>0</v>
      </c>
      <c r="PY96" s="1319">
        <f t="shared" ca="1" si="1204"/>
        <v>0</v>
      </c>
      <c r="PZ96" s="1319">
        <f t="shared" ca="1" si="1204"/>
        <v>0</v>
      </c>
    </row>
    <row r="97" spans="1:442" x14ac:dyDescent="0.25">
      <c r="A97" s="189">
        <v>131</v>
      </c>
      <c r="B97" s="189" t="s">
        <v>1320</v>
      </c>
      <c r="C97" s="1317" t="s">
        <v>1270</v>
      </c>
      <c r="D97" s="1317" t="s">
        <v>206</v>
      </c>
      <c r="J97" s="1319">
        <f t="shared" ca="1" si="1207"/>
        <v>1983.09887</v>
      </c>
      <c r="K97" s="1319">
        <f t="shared" ref="K97:K103" ca="1" si="1210">VLOOKUP(K$1,INDIRECT(LU_MAT),$A97,FALSE)</f>
        <v>1983.09887</v>
      </c>
      <c r="T97" s="1319">
        <f t="shared" ca="1" si="1208"/>
        <v>1983.09887</v>
      </c>
      <c r="U97" s="1319">
        <f t="shared" ca="1" si="1208"/>
        <v>0</v>
      </c>
      <c r="V97" s="1319">
        <f t="shared" ca="1" si="1208"/>
        <v>0</v>
      </c>
      <c r="W97" s="1319">
        <f t="shared" ca="1" si="1208"/>
        <v>0</v>
      </c>
      <c r="X97" s="1319">
        <f t="shared" ca="1" si="1208"/>
        <v>0</v>
      </c>
      <c r="Y97" s="1319">
        <f t="shared" ca="1" si="1208"/>
        <v>51.560570599999998</v>
      </c>
      <c r="Z97" s="1319">
        <f t="shared" ca="1" si="1208"/>
        <v>0</v>
      </c>
      <c r="AA97" s="1319">
        <f t="shared" ca="1" si="1208"/>
        <v>51.560570599999998</v>
      </c>
      <c r="AB97" s="1319">
        <f t="shared" ca="1" si="1208"/>
        <v>0</v>
      </c>
      <c r="AC97" s="1319">
        <f t="shared" ca="1" si="1208"/>
        <v>0</v>
      </c>
      <c r="AD97" s="1319">
        <f t="shared" ca="1" si="1208"/>
        <v>0</v>
      </c>
      <c r="AM97" s="1319">
        <f t="shared" ca="1" si="1209"/>
        <v>0</v>
      </c>
      <c r="AN97" s="1319">
        <f t="shared" ca="1" si="1209"/>
        <v>0</v>
      </c>
      <c r="AO97" s="1319">
        <f t="shared" ca="1" si="1209"/>
        <v>51.560570599999998</v>
      </c>
      <c r="AP97" s="1319">
        <f t="shared" ca="1" si="1209"/>
        <v>51.560570599999998</v>
      </c>
      <c r="AQ97" s="1319">
        <f t="shared" ca="1" si="1209"/>
        <v>0</v>
      </c>
      <c r="AR97" s="1319">
        <f t="shared" ca="1" si="1209"/>
        <v>0</v>
      </c>
      <c r="AS97" s="1319">
        <f t="shared" ca="1" si="1209"/>
        <v>0</v>
      </c>
      <c r="AT97" s="1319">
        <f t="shared" ca="1" si="1209"/>
        <v>0</v>
      </c>
      <c r="AU97" s="1319">
        <f t="shared" ca="1" si="1209"/>
        <v>0</v>
      </c>
      <c r="AV97" s="1319">
        <f t="shared" ca="1" si="1209"/>
        <v>51.560570599999998</v>
      </c>
      <c r="AW97" s="1319">
        <f t="shared" ca="1" si="1209"/>
        <v>0</v>
      </c>
      <c r="AX97" s="1319">
        <f t="shared" ca="1" si="1209"/>
        <v>0</v>
      </c>
      <c r="AY97" s="1319">
        <f t="shared" ca="1" si="1209"/>
        <v>0</v>
      </c>
      <c r="AZ97" s="1319">
        <f t="shared" ca="1" si="1209"/>
        <v>0</v>
      </c>
      <c r="BA97" s="1319">
        <f t="shared" ca="1" si="1209"/>
        <v>0</v>
      </c>
      <c r="BB97" s="1319">
        <f t="shared" ca="1" si="1209"/>
        <v>51.560570599999998</v>
      </c>
      <c r="BN97" s="1319">
        <f t="shared" ca="1" si="1186"/>
        <v>5.1560570600000002</v>
      </c>
      <c r="BO97" s="1319">
        <f t="shared" ca="1" si="1186"/>
        <v>5.1560570600000002</v>
      </c>
      <c r="BP97" s="1319">
        <f t="shared" ca="1" si="1186"/>
        <v>0</v>
      </c>
      <c r="BQ97" s="1319">
        <f t="shared" ca="1" si="1186"/>
        <v>0</v>
      </c>
      <c r="BR97" s="1319">
        <f t="shared" ca="1" si="1186"/>
        <v>0</v>
      </c>
      <c r="CD97" s="1319">
        <f t="shared" ca="1" si="1187"/>
        <v>51.560570599999998</v>
      </c>
      <c r="CE97" s="1319">
        <f t="shared" ca="1" si="1187"/>
        <v>51.560570599999998</v>
      </c>
      <c r="CF97" s="1319">
        <f t="shared" ca="1" si="1187"/>
        <v>5.1560570600000002</v>
      </c>
      <c r="CG97" s="1319">
        <f t="shared" ca="1" si="1187"/>
        <v>5.1560570600000002</v>
      </c>
      <c r="CH97" s="1319">
        <f t="shared" ca="1" si="1187"/>
        <v>51.560570599999998</v>
      </c>
      <c r="CI97" s="1319">
        <f t="shared" ca="1" si="1187"/>
        <v>0</v>
      </c>
      <c r="CJ97" s="1319">
        <f t="shared" ca="1" si="1187"/>
        <v>0</v>
      </c>
      <c r="CK97" s="1319">
        <f t="shared" ca="1" si="1187"/>
        <v>51.560570599999998</v>
      </c>
      <c r="CL97" s="1319">
        <f t="shared" ca="1" si="1187"/>
        <v>0</v>
      </c>
      <c r="CM97" s="1319">
        <f t="shared" ca="1" si="1187"/>
        <v>0</v>
      </c>
      <c r="CN97" s="1319">
        <f t="shared" ca="1" si="1187"/>
        <v>51.560570599999998</v>
      </c>
      <c r="CO97" s="1319">
        <f t="shared" ca="1" si="1187"/>
        <v>0</v>
      </c>
      <c r="DA97" s="1319">
        <f t="shared" ca="1" si="1188"/>
        <v>0</v>
      </c>
      <c r="DB97" s="1319">
        <f t="shared" ca="1" si="1188"/>
        <v>0</v>
      </c>
      <c r="DC97" s="1319">
        <f t="shared" ca="1" si="1188"/>
        <v>0</v>
      </c>
      <c r="DD97" s="1319">
        <f t="shared" ca="1" si="1188"/>
        <v>0</v>
      </c>
      <c r="DE97" s="1319">
        <f t="shared" ca="1" si="1188"/>
        <v>0</v>
      </c>
      <c r="DF97" s="1319">
        <f t="shared" ca="1" si="1188"/>
        <v>0</v>
      </c>
      <c r="DG97" s="1319">
        <f t="shared" ca="1" si="1188"/>
        <v>0</v>
      </c>
      <c r="DH97" s="1319">
        <f t="shared" ca="1" si="1188"/>
        <v>0</v>
      </c>
      <c r="DI97" s="1319">
        <f t="shared" ca="1" si="1188"/>
        <v>0</v>
      </c>
      <c r="DJ97" s="1319">
        <f t="shared" ca="1" si="1188"/>
        <v>0</v>
      </c>
      <c r="DV97" s="1319">
        <f t="shared" ca="1" si="1189"/>
        <v>0</v>
      </c>
      <c r="DW97" s="1319">
        <f t="shared" ca="1" si="1189"/>
        <v>0</v>
      </c>
      <c r="DX97" s="1319">
        <f t="shared" ca="1" si="1189"/>
        <v>0</v>
      </c>
      <c r="DY97" s="1319">
        <f t="shared" ca="1" si="1189"/>
        <v>0</v>
      </c>
      <c r="DZ97" s="1319">
        <f t="shared" ca="1" si="1189"/>
        <v>0</v>
      </c>
      <c r="EA97" s="1319">
        <f t="shared" ca="1" si="1189"/>
        <v>0</v>
      </c>
      <c r="EB97" s="1319">
        <f t="shared" ca="1" si="1189"/>
        <v>0</v>
      </c>
      <c r="EC97" s="1319">
        <f t="shared" ca="1" si="1189"/>
        <v>0</v>
      </c>
      <c r="ED97" s="1319">
        <f t="shared" ca="1" si="1189"/>
        <v>0</v>
      </c>
      <c r="EE97" s="1319">
        <f t="shared" ca="1" si="1189"/>
        <v>0</v>
      </c>
      <c r="EF97" s="1319">
        <f t="shared" ca="1" si="1189"/>
        <v>0</v>
      </c>
      <c r="EG97" s="1319">
        <f t="shared" ca="1" si="1189"/>
        <v>0</v>
      </c>
      <c r="EH97" s="1319">
        <f t="shared" ca="1" si="1189"/>
        <v>0</v>
      </c>
      <c r="EI97" s="1319">
        <f t="shared" ca="1" si="1189"/>
        <v>0</v>
      </c>
      <c r="EJ97" s="1319">
        <f t="shared" ca="1" si="1101"/>
        <v>0</v>
      </c>
      <c r="EK97" s="1319">
        <f t="shared" ca="1" si="1189"/>
        <v>0</v>
      </c>
      <c r="EW97" s="1319">
        <f t="shared" ca="1" si="1190"/>
        <v>51.560570599999998</v>
      </c>
      <c r="EX97" s="1319">
        <f t="shared" ca="1" si="1190"/>
        <v>51.560570599999998</v>
      </c>
      <c r="EY97" s="1319">
        <f t="shared" ca="1" si="1190"/>
        <v>51.560570599999998</v>
      </c>
      <c r="EZ97" s="1319">
        <f t="shared" ca="1" si="1190"/>
        <v>51.560570599999998</v>
      </c>
      <c r="FA97" s="1319">
        <f t="shared" ca="1" si="1190"/>
        <v>0</v>
      </c>
      <c r="FB97" s="1319">
        <f t="shared" ca="1" si="1190"/>
        <v>0</v>
      </c>
      <c r="FN97" s="1319">
        <f t="shared" ca="1" si="1191"/>
        <v>0</v>
      </c>
      <c r="FO97" s="1319">
        <f t="shared" ca="1" si="1191"/>
        <v>0</v>
      </c>
      <c r="FP97" s="1319">
        <f t="shared" ca="1" si="1191"/>
        <v>0</v>
      </c>
      <c r="FQ97" s="1319">
        <f t="shared" ca="1" si="1191"/>
        <v>0</v>
      </c>
      <c r="FR97" s="1319">
        <f t="shared" ca="1" si="1191"/>
        <v>0</v>
      </c>
      <c r="FS97" s="1319">
        <f t="shared" ca="1" si="1191"/>
        <v>0</v>
      </c>
      <c r="FT97" s="1319">
        <f t="shared" ca="1" si="1191"/>
        <v>0</v>
      </c>
      <c r="FU97" s="1319">
        <f t="shared" ca="1" si="1191"/>
        <v>0</v>
      </c>
      <c r="FV97" s="1319">
        <f t="shared" ca="1" si="1191"/>
        <v>0</v>
      </c>
      <c r="FW97" s="1319">
        <f t="shared" ca="1" si="1191"/>
        <v>0</v>
      </c>
      <c r="FX97" s="1319">
        <f t="shared" ca="1" si="1191"/>
        <v>0</v>
      </c>
      <c r="GJ97" s="1319">
        <f t="shared" ca="1" si="1192"/>
        <v>0</v>
      </c>
      <c r="GK97" s="1319">
        <f t="shared" ca="1" si="1192"/>
        <v>0</v>
      </c>
      <c r="GL97" s="1319">
        <f t="shared" ca="1" si="1192"/>
        <v>0</v>
      </c>
      <c r="GM97" s="1319">
        <f t="shared" ca="1" si="1192"/>
        <v>0</v>
      </c>
      <c r="GN97" s="1319">
        <f t="shared" ca="1" si="1192"/>
        <v>0</v>
      </c>
      <c r="GO97" s="1319">
        <f t="shared" ca="1" si="1192"/>
        <v>0</v>
      </c>
      <c r="GP97" s="1319">
        <f t="shared" ca="1" si="1192"/>
        <v>0</v>
      </c>
      <c r="GQ97" s="1319">
        <f t="shared" ca="1" si="1192"/>
        <v>0</v>
      </c>
      <c r="HC97" s="1319">
        <f t="shared" ca="1" si="1193"/>
        <v>51.560570599999998</v>
      </c>
      <c r="HD97" s="1319">
        <f t="shared" ca="1" si="1193"/>
        <v>1.0312114100000001</v>
      </c>
      <c r="HE97" s="1319">
        <f t="shared" ca="1" si="1193"/>
        <v>0</v>
      </c>
      <c r="HF97" s="1319">
        <f t="shared" ca="1" si="1193"/>
        <v>0</v>
      </c>
      <c r="HG97" s="1319">
        <f t="shared" ca="1" si="1193"/>
        <v>50.529359200000002</v>
      </c>
      <c r="HH97" s="1319">
        <f t="shared" ca="1" si="1193"/>
        <v>1.0312114100000001</v>
      </c>
      <c r="HT97" s="1319">
        <f t="shared" ca="1" si="1194"/>
        <v>0</v>
      </c>
      <c r="HU97" s="1319">
        <f t="shared" ca="1" si="1194"/>
        <v>1.0312114100000001</v>
      </c>
      <c r="HV97" s="1319">
        <f t="shared" ca="1" si="1194"/>
        <v>1.0312114100000001</v>
      </c>
      <c r="HW97" s="1319">
        <f t="shared" ca="1" si="1194"/>
        <v>1.0312114100000001</v>
      </c>
      <c r="HX97" s="1319">
        <f t="shared" ca="1" si="1194"/>
        <v>0.26399012100000002</v>
      </c>
      <c r="HY97" s="1319">
        <f t="shared" ca="1" si="1194"/>
        <v>0.76722128999999994</v>
      </c>
      <c r="HZ97" s="1319">
        <f t="shared" ca="1" si="1194"/>
        <v>0</v>
      </c>
      <c r="IA97" s="1319">
        <f t="shared" ca="1" si="1194"/>
        <v>0</v>
      </c>
      <c r="IB97" s="1319">
        <f t="shared" ca="1" si="1194"/>
        <v>0</v>
      </c>
      <c r="IC97" s="1319">
        <f t="shared" ca="1" si="1194"/>
        <v>0</v>
      </c>
      <c r="ID97" s="1319">
        <f t="shared" ca="1" si="1194"/>
        <v>0</v>
      </c>
      <c r="IE97" s="1319">
        <f t="shared" ca="1" si="1194"/>
        <v>0</v>
      </c>
      <c r="IQ97" s="1319">
        <f t="shared" ca="1" si="1195"/>
        <v>0.26399012100000002</v>
      </c>
      <c r="IR97" s="1319">
        <f t="shared" ca="1" si="1195"/>
        <v>0.76722128999999994</v>
      </c>
      <c r="IS97" s="1319">
        <f t="shared" ca="1" si="1195"/>
        <v>0.318264406</v>
      </c>
      <c r="IT97" s="1319">
        <f t="shared" ca="1" si="1195"/>
        <v>1.0854857</v>
      </c>
      <c r="IU97" s="1319">
        <f t="shared" ca="1" si="1108"/>
        <v>5.4274284800000003E-2</v>
      </c>
      <c r="IV97" s="1319">
        <f t="shared" ca="1" si="1195"/>
        <v>7.9566101600000003</v>
      </c>
      <c r="IW97" s="1319">
        <f t="shared" ca="1" si="1195"/>
        <v>7.6383457500000009</v>
      </c>
      <c r="IX97" s="1319">
        <f t="shared" ca="1" si="1109"/>
        <v>0</v>
      </c>
      <c r="IY97" s="1319">
        <f t="shared" ca="1" si="1195"/>
        <v>1.0312114100000001</v>
      </c>
      <c r="IZ97" s="1319">
        <f t="shared" ca="1" si="1195"/>
        <v>0</v>
      </c>
      <c r="JA97" s="1319">
        <f t="shared" ca="1" si="1195"/>
        <v>7.9566101600000003</v>
      </c>
      <c r="JB97" s="1319">
        <f t="shared" ca="1" si="1195"/>
        <v>0</v>
      </c>
      <c r="JC97" s="1319">
        <f t="shared" ca="1" si="1195"/>
        <v>0</v>
      </c>
      <c r="JD97" s="1319">
        <f t="shared" ca="1" si="1195"/>
        <v>0</v>
      </c>
      <c r="JE97" s="1319">
        <f t="shared" ca="1" si="1195"/>
        <v>0</v>
      </c>
      <c r="JF97" s="1319">
        <f t="shared" ca="1" si="1195"/>
        <v>0</v>
      </c>
      <c r="JG97" s="1319">
        <f t="shared" ca="1" si="1195"/>
        <v>0</v>
      </c>
      <c r="JH97" s="1319">
        <f t="shared" ca="1" si="1195"/>
        <v>0</v>
      </c>
      <c r="JT97" s="1319">
        <f t="shared" ca="1" si="1196"/>
        <v>0</v>
      </c>
      <c r="JU97" s="1319">
        <f t="shared" ca="1" si="1196"/>
        <v>0</v>
      </c>
      <c r="JV97" s="1319">
        <f t="shared" ca="1" si="1196"/>
        <v>0</v>
      </c>
      <c r="JW97" s="1319">
        <f t="shared" ca="1" si="1196"/>
        <v>0</v>
      </c>
      <c r="JX97" s="1319">
        <f t="shared" ca="1" si="1196"/>
        <v>0</v>
      </c>
      <c r="JY97" s="1319">
        <f t="shared" ca="1" si="1196"/>
        <v>0</v>
      </c>
      <c r="JZ97" s="1319">
        <f t="shared" ca="1" si="1196"/>
        <v>0</v>
      </c>
      <c r="KA97" s="1319">
        <f t="shared" ca="1" si="1196"/>
        <v>0</v>
      </c>
      <c r="KB97" s="1319">
        <f t="shared" ca="1" si="1196"/>
        <v>0</v>
      </c>
      <c r="KC97" s="1319">
        <f t="shared" ca="1" si="1196"/>
        <v>0</v>
      </c>
      <c r="KL97" s="1319">
        <f t="shared" ca="1" si="1197"/>
        <v>0</v>
      </c>
      <c r="KM97" s="1319">
        <f t="shared" ca="1" si="1197"/>
        <v>0</v>
      </c>
      <c r="KN97" s="1319">
        <f t="shared" ca="1" si="1197"/>
        <v>0</v>
      </c>
      <c r="KO97" s="1319">
        <f t="shared" ca="1" si="1197"/>
        <v>0</v>
      </c>
      <c r="KP97" s="1319">
        <f t="shared" ca="1" si="1197"/>
        <v>0</v>
      </c>
      <c r="KQ97" s="1319">
        <f t="shared" ca="1" si="1197"/>
        <v>0</v>
      </c>
      <c r="KR97" s="1319">
        <f t="shared" ca="1" si="1197"/>
        <v>0</v>
      </c>
      <c r="LA97" s="1319">
        <f t="shared" ca="1" si="1198"/>
        <v>0</v>
      </c>
      <c r="LB97" s="1319">
        <f t="shared" ca="1" si="1198"/>
        <v>0</v>
      </c>
      <c r="LC97" s="1319">
        <f t="shared" ca="1" si="1198"/>
        <v>0</v>
      </c>
      <c r="LD97" s="1319">
        <f t="shared" ca="1" si="1198"/>
        <v>0</v>
      </c>
      <c r="LE97" s="1319">
        <f t="shared" ca="1" si="1198"/>
        <v>0</v>
      </c>
      <c r="LF97" s="1319">
        <f t="shared" ca="1" si="1198"/>
        <v>0</v>
      </c>
      <c r="LG97" s="1319">
        <f t="shared" ca="1" si="1198"/>
        <v>0</v>
      </c>
      <c r="LH97" s="1319">
        <f t="shared" ca="1" si="1198"/>
        <v>0</v>
      </c>
      <c r="LI97" s="1319">
        <f t="shared" ca="1" si="1198"/>
        <v>0</v>
      </c>
      <c r="LJ97" s="1319">
        <f t="shared" ca="1" si="1198"/>
        <v>0</v>
      </c>
      <c r="LK97" s="1319">
        <f t="shared" ca="1" si="1198"/>
        <v>0</v>
      </c>
      <c r="LW97" s="1319">
        <f t="shared" ca="1" si="1113"/>
        <v>0</v>
      </c>
      <c r="LX97" s="1319">
        <f t="shared" ca="1" si="1199"/>
        <v>0</v>
      </c>
      <c r="LY97" s="1319">
        <f t="shared" ca="1" si="1199"/>
        <v>50.529359200000002</v>
      </c>
      <c r="LZ97" s="1319">
        <f t="shared" ca="1" si="1199"/>
        <v>1.0312114100000001</v>
      </c>
      <c r="MA97" s="1319">
        <f t="shared" ca="1" si="1199"/>
        <v>51.560570599999998</v>
      </c>
      <c r="MB97" s="1319">
        <f t="shared" ca="1" si="1199"/>
        <v>0</v>
      </c>
      <c r="MC97" s="1319">
        <f t="shared" ca="1" si="1199"/>
        <v>0</v>
      </c>
      <c r="MD97" s="1319">
        <f t="shared" ca="1" si="1199"/>
        <v>0</v>
      </c>
      <c r="ME97" s="1319">
        <f t="shared" ca="1" si="1199"/>
        <v>0</v>
      </c>
      <c r="MF97" s="1319">
        <f t="shared" ca="1" si="1199"/>
        <v>0</v>
      </c>
      <c r="MG97" s="1319">
        <f t="shared" ca="1" si="1199"/>
        <v>0</v>
      </c>
      <c r="MH97" s="1319">
        <f t="shared" ca="1" si="1200"/>
        <v>0</v>
      </c>
      <c r="MI97" s="1319">
        <f t="shared" ca="1" si="1200"/>
        <v>0</v>
      </c>
      <c r="MJ97" s="1319">
        <f t="shared" ca="1" si="1199"/>
        <v>0</v>
      </c>
      <c r="MK97" s="1319">
        <f t="shared" ca="1" si="1199"/>
        <v>0</v>
      </c>
      <c r="ML97" s="1319">
        <f t="shared" ca="1" si="1199"/>
        <v>0</v>
      </c>
      <c r="MM97" s="1319">
        <f t="shared" ca="1" si="1199"/>
        <v>0</v>
      </c>
      <c r="MN97" s="1319">
        <f t="shared" ca="1" si="1199"/>
        <v>0</v>
      </c>
      <c r="MO97" s="1319">
        <f t="shared" ca="1" si="1199"/>
        <v>0</v>
      </c>
      <c r="NA97" s="1319">
        <f t="shared" ca="1" si="1201"/>
        <v>0</v>
      </c>
      <c r="NB97" s="1319">
        <f t="shared" ca="1" si="1201"/>
        <v>0</v>
      </c>
      <c r="NC97" s="1319">
        <f t="shared" ca="1" si="1201"/>
        <v>0</v>
      </c>
      <c r="ND97" s="1319">
        <f t="shared" ca="1" si="1201"/>
        <v>0</v>
      </c>
      <c r="NE97" s="1319">
        <f t="shared" ca="1" si="1201"/>
        <v>0</v>
      </c>
      <c r="NF97" s="1319">
        <f t="shared" ca="1" si="1201"/>
        <v>0</v>
      </c>
      <c r="NG97" s="1319">
        <f t="shared" ca="1" si="1201"/>
        <v>0</v>
      </c>
      <c r="NH97" s="1319">
        <f t="shared" ca="1" si="1201"/>
        <v>0</v>
      </c>
      <c r="NI97" s="1319">
        <f t="shared" ca="1" si="1201"/>
        <v>0</v>
      </c>
      <c r="NJ97" s="1319">
        <f t="shared" ca="1" si="1201"/>
        <v>0</v>
      </c>
      <c r="NK97" s="1319">
        <f t="shared" ca="1" si="1201"/>
        <v>0</v>
      </c>
      <c r="NL97" s="1319">
        <f t="shared" ca="1" si="1201"/>
        <v>0</v>
      </c>
      <c r="NM97" s="1319">
        <f t="shared" ca="1" si="1201"/>
        <v>0</v>
      </c>
      <c r="NN97" s="1319">
        <f t="shared" ca="1" si="1201"/>
        <v>0</v>
      </c>
      <c r="NO97" s="1319">
        <f t="shared" ca="1" si="1201"/>
        <v>0</v>
      </c>
      <c r="NP97" s="1319">
        <f t="shared" ca="1" si="1201"/>
        <v>0</v>
      </c>
      <c r="OH97" s="1319">
        <f t="shared" ca="1" si="1202"/>
        <v>0</v>
      </c>
      <c r="OI97" s="1319">
        <f t="shared" ca="1" si="1202"/>
        <v>0</v>
      </c>
      <c r="OJ97" s="1319">
        <f t="shared" ca="1" si="1202"/>
        <v>0</v>
      </c>
      <c r="OK97" s="1319">
        <f t="shared" ca="1" si="1202"/>
        <v>0</v>
      </c>
      <c r="OL97" s="1319">
        <f t="shared" ca="1" si="1202"/>
        <v>0</v>
      </c>
      <c r="OM97" s="1319">
        <f t="shared" ca="1" si="1202"/>
        <v>0</v>
      </c>
      <c r="ON97" s="1319">
        <f t="shared" ca="1" si="1202"/>
        <v>0</v>
      </c>
      <c r="OO97" s="1319">
        <f t="shared" ca="1" si="1202"/>
        <v>0</v>
      </c>
      <c r="PA97" s="1319">
        <f t="shared" ca="1" si="1203"/>
        <v>0</v>
      </c>
      <c r="PB97" s="1319">
        <f t="shared" ca="1" si="1203"/>
        <v>0</v>
      </c>
      <c r="PC97" s="1319">
        <f t="shared" ca="1" si="1203"/>
        <v>0</v>
      </c>
      <c r="PD97" s="1319">
        <f t="shared" ca="1" si="1203"/>
        <v>0</v>
      </c>
      <c r="PE97" s="1319">
        <f t="shared" ca="1" si="1203"/>
        <v>0</v>
      </c>
      <c r="PF97" s="1319">
        <f t="shared" ca="1" si="1203"/>
        <v>0</v>
      </c>
      <c r="PG97" s="1319">
        <f t="shared" ca="1" si="1203"/>
        <v>0</v>
      </c>
      <c r="PH97" s="1319">
        <f t="shared" ca="1" si="1203"/>
        <v>0</v>
      </c>
      <c r="PI97" s="1319">
        <f t="shared" ca="1" si="1203"/>
        <v>0</v>
      </c>
      <c r="PJ97" s="1319">
        <f t="shared" ca="1" si="1203"/>
        <v>0</v>
      </c>
      <c r="PK97" s="1319">
        <f t="shared" ca="1" si="1203"/>
        <v>0</v>
      </c>
      <c r="PW97" s="1319">
        <f t="shared" ca="1" si="1204"/>
        <v>0</v>
      </c>
      <c r="PX97" s="1319">
        <f t="shared" ca="1" si="1204"/>
        <v>0</v>
      </c>
      <c r="PY97" s="1319">
        <f t="shared" ca="1" si="1204"/>
        <v>0</v>
      </c>
      <c r="PZ97" s="1319">
        <f t="shared" ca="1" si="1204"/>
        <v>0</v>
      </c>
    </row>
    <row r="98" spans="1:442" x14ac:dyDescent="0.25">
      <c r="A98" s="189">
        <v>132</v>
      </c>
      <c r="B98" s="189" t="s">
        <v>1320</v>
      </c>
      <c r="C98" s="1317" t="s">
        <v>1261</v>
      </c>
      <c r="D98" s="1317" t="s">
        <v>206</v>
      </c>
      <c r="J98" s="1319">
        <f t="shared" ca="1" si="1207"/>
        <v>13131.780699999999</v>
      </c>
      <c r="K98" s="1319">
        <f t="shared" ca="1" si="1210"/>
        <v>13131.780699999999</v>
      </c>
      <c r="T98" s="1319">
        <f t="shared" ca="1" si="1208"/>
        <v>13131.780699999999</v>
      </c>
      <c r="U98" s="1319">
        <f t="shared" ca="1" si="1208"/>
        <v>0</v>
      </c>
      <c r="V98" s="1319">
        <f t="shared" ca="1" si="1208"/>
        <v>0</v>
      </c>
      <c r="W98" s="1319">
        <f t="shared" ca="1" si="1208"/>
        <v>0</v>
      </c>
      <c r="X98" s="1319">
        <f t="shared" ca="1" si="1208"/>
        <v>0</v>
      </c>
      <c r="Y98" s="1319">
        <f t="shared" ca="1" si="1208"/>
        <v>12475.191699999999</v>
      </c>
      <c r="Z98" s="1319">
        <f t="shared" ca="1" si="1208"/>
        <v>0</v>
      </c>
      <c r="AA98" s="1319">
        <f t="shared" ca="1" si="1208"/>
        <v>12475.191699999999</v>
      </c>
      <c r="AB98" s="1319">
        <f t="shared" ca="1" si="1208"/>
        <v>0</v>
      </c>
      <c r="AC98" s="1319">
        <f t="shared" ca="1" si="1208"/>
        <v>0</v>
      </c>
      <c r="AD98" s="1319">
        <f t="shared" ca="1" si="1208"/>
        <v>0</v>
      </c>
      <c r="AM98" s="1319">
        <f t="shared" ca="1" si="1209"/>
        <v>0</v>
      </c>
      <c r="AN98" s="1319">
        <f t="shared" ca="1" si="1209"/>
        <v>0</v>
      </c>
      <c r="AO98" s="1319">
        <f t="shared" ca="1" si="1209"/>
        <v>12475.191699999999</v>
      </c>
      <c r="AP98" s="1319">
        <f t="shared" ca="1" si="1209"/>
        <v>12475.191699999999</v>
      </c>
      <c r="AQ98" s="1319">
        <f t="shared" ca="1" si="1209"/>
        <v>0</v>
      </c>
      <c r="AR98" s="1319">
        <f t="shared" ca="1" si="1209"/>
        <v>0</v>
      </c>
      <c r="AS98" s="1319">
        <f t="shared" ca="1" si="1209"/>
        <v>0</v>
      </c>
      <c r="AT98" s="1319">
        <f t="shared" ca="1" si="1209"/>
        <v>0</v>
      </c>
      <c r="AU98" s="1319">
        <f t="shared" ca="1" si="1209"/>
        <v>0</v>
      </c>
      <c r="AV98" s="1319">
        <f t="shared" ca="1" si="1209"/>
        <v>12475.191699999999</v>
      </c>
      <c r="AW98" s="1319">
        <f t="shared" ca="1" si="1209"/>
        <v>0</v>
      </c>
      <c r="AX98" s="1319">
        <f t="shared" ca="1" si="1209"/>
        <v>0</v>
      </c>
      <c r="AY98" s="1319">
        <f t="shared" ca="1" si="1209"/>
        <v>0</v>
      </c>
      <c r="AZ98" s="1319">
        <f t="shared" ca="1" si="1209"/>
        <v>0</v>
      </c>
      <c r="BA98" s="1319">
        <f t="shared" ca="1" si="1209"/>
        <v>0</v>
      </c>
      <c r="BB98" s="1319">
        <f t="shared" ca="1" si="1209"/>
        <v>12475.191699999999</v>
      </c>
      <c r="BN98" s="1319">
        <f t="shared" ca="1" si="1186"/>
        <v>1247.51917</v>
      </c>
      <c r="BO98" s="1319">
        <f t="shared" ca="1" si="1186"/>
        <v>1247.51917</v>
      </c>
      <c r="BP98" s="1319">
        <f t="shared" ca="1" si="1186"/>
        <v>0</v>
      </c>
      <c r="BQ98" s="1319">
        <f t="shared" ca="1" si="1186"/>
        <v>0</v>
      </c>
      <c r="BR98" s="1319">
        <f t="shared" ca="1" si="1186"/>
        <v>0</v>
      </c>
      <c r="CD98" s="1319">
        <f t="shared" ca="1" si="1187"/>
        <v>12475.191699999999</v>
      </c>
      <c r="CE98" s="1319">
        <f t="shared" ca="1" si="1187"/>
        <v>12475.191699999999</v>
      </c>
      <c r="CF98" s="1319">
        <f t="shared" ca="1" si="1187"/>
        <v>1247.51917</v>
      </c>
      <c r="CG98" s="1319">
        <f t="shared" ca="1" si="1187"/>
        <v>1247.51917</v>
      </c>
      <c r="CH98" s="1319">
        <f t="shared" ca="1" si="1187"/>
        <v>12475.191699999999</v>
      </c>
      <c r="CI98" s="1319">
        <f t="shared" ca="1" si="1187"/>
        <v>0</v>
      </c>
      <c r="CJ98" s="1319">
        <f t="shared" ca="1" si="1187"/>
        <v>0</v>
      </c>
      <c r="CK98" s="1319">
        <f t="shared" ca="1" si="1187"/>
        <v>12475.191699999999</v>
      </c>
      <c r="CL98" s="1319">
        <f t="shared" ca="1" si="1187"/>
        <v>0</v>
      </c>
      <c r="CM98" s="1319">
        <f t="shared" ca="1" si="1187"/>
        <v>0</v>
      </c>
      <c r="CN98" s="1319">
        <f t="shared" ca="1" si="1187"/>
        <v>12475.191699999999</v>
      </c>
      <c r="CO98" s="1319">
        <f t="shared" ca="1" si="1187"/>
        <v>0</v>
      </c>
      <c r="DA98" s="1319">
        <f t="shared" ca="1" si="1188"/>
        <v>0</v>
      </c>
      <c r="DB98" s="1319">
        <f t="shared" ca="1" si="1188"/>
        <v>0</v>
      </c>
      <c r="DC98" s="1319">
        <f t="shared" ca="1" si="1188"/>
        <v>0</v>
      </c>
      <c r="DD98" s="1319">
        <f t="shared" ca="1" si="1188"/>
        <v>0</v>
      </c>
      <c r="DE98" s="1319">
        <f t="shared" ca="1" si="1188"/>
        <v>0</v>
      </c>
      <c r="DF98" s="1319">
        <f t="shared" ca="1" si="1188"/>
        <v>0</v>
      </c>
      <c r="DG98" s="1319">
        <f t="shared" ca="1" si="1188"/>
        <v>0</v>
      </c>
      <c r="DH98" s="1319">
        <f t="shared" ca="1" si="1188"/>
        <v>0</v>
      </c>
      <c r="DI98" s="1319">
        <f t="shared" ca="1" si="1188"/>
        <v>0</v>
      </c>
      <c r="DJ98" s="1319">
        <f t="shared" ca="1" si="1188"/>
        <v>0</v>
      </c>
      <c r="DV98" s="1319">
        <f t="shared" ca="1" si="1189"/>
        <v>0</v>
      </c>
      <c r="DW98" s="1319">
        <f t="shared" ca="1" si="1189"/>
        <v>0</v>
      </c>
      <c r="DX98" s="1319">
        <f t="shared" ca="1" si="1189"/>
        <v>0</v>
      </c>
      <c r="DY98" s="1319">
        <f t="shared" ca="1" si="1189"/>
        <v>0</v>
      </c>
      <c r="DZ98" s="1319">
        <f t="shared" ca="1" si="1189"/>
        <v>0</v>
      </c>
      <c r="EA98" s="1319">
        <f t="shared" ca="1" si="1189"/>
        <v>0</v>
      </c>
      <c r="EB98" s="1319">
        <f t="shared" ca="1" si="1189"/>
        <v>0</v>
      </c>
      <c r="EC98" s="1319">
        <f t="shared" ca="1" si="1189"/>
        <v>0</v>
      </c>
      <c r="ED98" s="1319">
        <f t="shared" ca="1" si="1189"/>
        <v>0</v>
      </c>
      <c r="EE98" s="1319">
        <f t="shared" ca="1" si="1189"/>
        <v>0</v>
      </c>
      <c r="EF98" s="1319">
        <f t="shared" ca="1" si="1189"/>
        <v>0</v>
      </c>
      <c r="EG98" s="1319">
        <f t="shared" ca="1" si="1189"/>
        <v>0</v>
      </c>
      <c r="EH98" s="1319">
        <f t="shared" ca="1" si="1189"/>
        <v>0</v>
      </c>
      <c r="EI98" s="1319">
        <f t="shared" ca="1" si="1189"/>
        <v>0</v>
      </c>
      <c r="EJ98" s="1319">
        <f t="shared" ca="1" si="1101"/>
        <v>0</v>
      </c>
      <c r="EK98" s="1319">
        <f t="shared" ca="1" si="1189"/>
        <v>0</v>
      </c>
      <c r="EW98" s="1319">
        <f t="shared" ca="1" si="1190"/>
        <v>12475.191699999999</v>
      </c>
      <c r="EX98" s="1319">
        <f t="shared" ca="1" si="1190"/>
        <v>12475.191699999999</v>
      </c>
      <c r="EY98" s="1319">
        <f t="shared" ca="1" si="1190"/>
        <v>12475.191699999999</v>
      </c>
      <c r="EZ98" s="1319">
        <f t="shared" ca="1" si="1190"/>
        <v>12475.191699999999</v>
      </c>
      <c r="FA98" s="1319">
        <f t="shared" ca="1" si="1190"/>
        <v>0</v>
      </c>
      <c r="FB98" s="1319">
        <f t="shared" ca="1" si="1190"/>
        <v>0</v>
      </c>
      <c r="FN98" s="1319">
        <f t="shared" ca="1" si="1191"/>
        <v>0</v>
      </c>
      <c r="FO98" s="1319">
        <f t="shared" ca="1" si="1191"/>
        <v>0</v>
      </c>
      <c r="FP98" s="1319">
        <f t="shared" ca="1" si="1191"/>
        <v>0</v>
      </c>
      <c r="FQ98" s="1319">
        <f t="shared" ca="1" si="1191"/>
        <v>0</v>
      </c>
      <c r="FR98" s="1319">
        <f t="shared" ca="1" si="1191"/>
        <v>0</v>
      </c>
      <c r="FS98" s="1319">
        <f t="shared" ca="1" si="1191"/>
        <v>0</v>
      </c>
      <c r="FT98" s="1319">
        <f t="shared" ca="1" si="1191"/>
        <v>0</v>
      </c>
      <c r="FU98" s="1319">
        <f t="shared" ca="1" si="1191"/>
        <v>0</v>
      </c>
      <c r="FV98" s="1319">
        <f t="shared" ca="1" si="1191"/>
        <v>0</v>
      </c>
      <c r="FW98" s="1319">
        <f t="shared" ca="1" si="1191"/>
        <v>0</v>
      </c>
      <c r="FX98" s="1319">
        <f t="shared" ca="1" si="1191"/>
        <v>0</v>
      </c>
      <c r="GJ98" s="1319">
        <f t="shared" ca="1" si="1192"/>
        <v>0</v>
      </c>
      <c r="GK98" s="1319">
        <f t="shared" ca="1" si="1192"/>
        <v>0</v>
      </c>
      <c r="GL98" s="1319">
        <f t="shared" ca="1" si="1192"/>
        <v>0</v>
      </c>
      <c r="GM98" s="1319">
        <f t="shared" ca="1" si="1192"/>
        <v>0</v>
      </c>
      <c r="GN98" s="1319">
        <f t="shared" ca="1" si="1192"/>
        <v>0</v>
      </c>
      <c r="GO98" s="1319">
        <f t="shared" ca="1" si="1192"/>
        <v>0</v>
      </c>
      <c r="GP98" s="1319">
        <f t="shared" ca="1" si="1192"/>
        <v>0</v>
      </c>
      <c r="GQ98" s="1319">
        <f t="shared" ca="1" si="1192"/>
        <v>0</v>
      </c>
      <c r="HC98" s="1319">
        <f t="shared" ca="1" si="1193"/>
        <v>12475.191699999999</v>
      </c>
      <c r="HD98" s="1319">
        <f t="shared" ca="1" si="1193"/>
        <v>249.50383400000001</v>
      </c>
      <c r="HE98" s="1319">
        <f t="shared" ca="1" si="1193"/>
        <v>0</v>
      </c>
      <c r="HF98" s="1319">
        <f t="shared" ca="1" si="1193"/>
        <v>0</v>
      </c>
      <c r="HG98" s="1319">
        <f t="shared" ca="1" si="1193"/>
        <v>12225.687900000001</v>
      </c>
      <c r="HH98" s="1319">
        <f t="shared" ca="1" si="1193"/>
        <v>249.50383400000001</v>
      </c>
      <c r="HT98" s="1319">
        <f t="shared" ca="1" si="1194"/>
        <v>0</v>
      </c>
      <c r="HU98" s="1319">
        <f t="shared" ca="1" si="1194"/>
        <v>249.50383400000001</v>
      </c>
      <c r="HV98" s="1319">
        <f t="shared" ca="1" si="1194"/>
        <v>249.50383400000001</v>
      </c>
      <c r="HW98" s="1319">
        <f t="shared" ca="1" si="1194"/>
        <v>249.50383400000001</v>
      </c>
      <c r="HX98" s="1319">
        <f t="shared" ca="1" si="1194"/>
        <v>63.872981600000003</v>
      </c>
      <c r="HY98" s="1319">
        <f t="shared" ca="1" si="1194"/>
        <v>185.630853</v>
      </c>
      <c r="HZ98" s="1319">
        <f t="shared" ca="1" si="1194"/>
        <v>0</v>
      </c>
      <c r="IA98" s="1319">
        <f t="shared" ca="1" si="1194"/>
        <v>0</v>
      </c>
      <c r="IB98" s="1319">
        <f t="shared" ca="1" si="1194"/>
        <v>0</v>
      </c>
      <c r="IC98" s="1319">
        <f t="shared" ca="1" si="1194"/>
        <v>0</v>
      </c>
      <c r="ID98" s="1319">
        <f t="shared" ca="1" si="1194"/>
        <v>0</v>
      </c>
      <c r="IE98" s="1319">
        <f t="shared" ca="1" si="1194"/>
        <v>0</v>
      </c>
      <c r="IQ98" s="1319">
        <f t="shared" ca="1" si="1195"/>
        <v>63.872981600000003</v>
      </c>
      <c r="IR98" s="1319">
        <f t="shared" ca="1" si="1195"/>
        <v>185.630853</v>
      </c>
      <c r="IS98" s="1319">
        <f t="shared" ca="1" si="1195"/>
        <v>77.004762299999996</v>
      </c>
      <c r="IT98" s="1319">
        <f t="shared" ca="1" si="1195"/>
        <v>262.63561499999997</v>
      </c>
      <c r="IU98" s="1319">
        <f t="shared" ca="1" si="1108"/>
        <v>13.1317807</v>
      </c>
      <c r="IV98" s="1319">
        <f t="shared" ca="1" si="1195"/>
        <v>1925.11906</v>
      </c>
      <c r="IW98" s="1319">
        <f t="shared" ca="1" si="1195"/>
        <v>1848.1143</v>
      </c>
      <c r="IX98" s="1319">
        <f t="shared" ca="1" si="1109"/>
        <v>0</v>
      </c>
      <c r="IY98" s="1319">
        <f t="shared" ca="1" si="1195"/>
        <v>249.50383400000001</v>
      </c>
      <c r="IZ98" s="1319">
        <f t="shared" ca="1" si="1195"/>
        <v>0</v>
      </c>
      <c r="JA98" s="1319">
        <f t="shared" ca="1" si="1195"/>
        <v>1925.11906</v>
      </c>
      <c r="JB98" s="1319">
        <f t="shared" ca="1" si="1195"/>
        <v>0</v>
      </c>
      <c r="JC98" s="1319">
        <f t="shared" ca="1" si="1195"/>
        <v>0</v>
      </c>
      <c r="JD98" s="1319">
        <f t="shared" ca="1" si="1195"/>
        <v>0</v>
      </c>
      <c r="JE98" s="1319">
        <f t="shared" ca="1" si="1195"/>
        <v>0</v>
      </c>
      <c r="JF98" s="1319">
        <f t="shared" ca="1" si="1195"/>
        <v>0</v>
      </c>
      <c r="JG98" s="1319">
        <f t="shared" ca="1" si="1195"/>
        <v>0</v>
      </c>
      <c r="JH98" s="1319">
        <f t="shared" ca="1" si="1195"/>
        <v>0</v>
      </c>
      <c r="JT98" s="1319">
        <f t="shared" ca="1" si="1196"/>
        <v>0</v>
      </c>
      <c r="JU98" s="1319">
        <f t="shared" ca="1" si="1196"/>
        <v>0</v>
      </c>
      <c r="JV98" s="1319">
        <f t="shared" ca="1" si="1196"/>
        <v>0</v>
      </c>
      <c r="JW98" s="1319">
        <f t="shared" ca="1" si="1196"/>
        <v>0</v>
      </c>
      <c r="JX98" s="1319">
        <f t="shared" ca="1" si="1196"/>
        <v>0</v>
      </c>
      <c r="JY98" s="1319">
        <f t="shared" ca="1" si="1196"/>
        <v>0</v>
      </c>
      <c r="JZ98" s="1319">
        <f t="shared" ca="1" si="1196"/>
        <v>0</v>
      </c>
      <c r="KA98" s="1319">
        <f t="shared" ca="1" si="1196"/>
        <v>0</v>
      </c>
      <c r="KB98" s="1319">
        <f t="shared" ca="1" si="1196"/>
        <v>0</v>
      </c>
      <c r="KC98" s="1319">
        <f t="shared" ca="1" si="1196"/>
        <v>0</v>
      </c>
      <c r="KL98" s="1319">
        <f t="shared" ca="1" si="1197"/>
        <v>0</v>
      </c>
      <c r="KM98" s="1319">
        <f t="shared" ca="1" si="1197"/>
        <v>0</v>
      </c>
      <c r="KN98" s="1319">
        <f t="shared" ca="1" si="1197"/>
        <v>0</v>
      </c>
      <c r="KO98" s="1319">
        <f t="shared" ca="1" si="1197"/>
        <v>0</v>
      </c>
      <c r="KP98" s="1319">
        <f t="shared" ca="1" si="1197"/>
        <v>0</v>
      </c>
      <c r="KQ98" s="1319">
        <f t="shared" ca="1" si="1197"/>
        <v>0</v>
      </c>
      <c r="KR98" s="1319">
        <f t="shared" ca="1" si="1197"/>
        <v>0</v>
      </c>
      <c r="LA98" s="1319">
        <f t="shared" ca="1" si="1198"/>
        <v>0</v>
      </c>
      <c r="LB98" s="1319">
        <f t="shared" ca="1" si="1198"/>
        <v>0</v>
      </c>
      <c r="LC98" s="1319">
        <f t="shared" ca="1" si="1198"/>
        <v>0</v>
      </c>
      <c r="LD98" s="1319">
        <f t="shared" ca="1" si="1198"/>
        <v>0</v>
      </c>
      <c r="LE98" s="1319">
        <f t="shared" ca="1" si="1198"/>
        <v>0</v>
      </c>
      <c r="LF98" s="1319">
        <f t="shared" ca="1" si="1198"/>
        <v>0</v>
      </c>
      <c r="LG98" s="1319">
        <f t="shared" ca="1" si="1198"/>
        <v>0</v>
      </c>
      <c r="LH98" s="1319">
        <f t="shared" ca="1" si="1198"/>
        <v>0</v>
      </c>
      <c r="LI98" s="1319">
        <f t="shared" ca="1" si="1198"/>
        <v>0</v>
      </c>
      <c r="LJ98" s="1319">
        <f t="shared" ca="1" si="1198"/>
        <v>0</v>
      </c>
      <c r="LK98" s="1319">
        <f t="shared" ca="1" si="1198"/>
        <v>0</v>
      </c>
      <c r="LW98" s="1319">
        <f t="shared" ca="1" si="1113"/>
        <v>0</v>
      </c>
      <c r="LX98" s="1319">
        <f t="shared" ca="1" si="1199"/>
        <v>0</v>
      </c>
      <c r="LY98" s="1319">
        <f t="shared" ca="1" si="1199"/>
        <v>12225.687900000001</v>
      </c>
      <c r="LZ98" s="1319">
        <f t="shared" ca="1" si="1199"/>
        <v>249.50383400000001</v>
      </c>
      <c r="MA98" s="1319">
        <f t="shared" ca="1" si="1199"/>
        <v>12475.191699999999</v>
      </c>
      <c r="MB98" s="1319">
        <f t="shared" ca="1" si="1199"/>
        <v>0</v>
      </c>
      <c r="MC98" s="1319">
        <f t="shared" ca="1" si="1199"/>
        <v>0</v>
      </c>
      <c r="MD98" s="1319">
        <f t="shared" ca="1" si="1199"/>
        <v>0</v>
      </c>
      <c r="ME98" s="1319">
        <f t="shared" ca="1" si="1199"/>
        <v>0</v>
      </c>
      <c r="MF98" s="1319">
        <f t="shared" ca="1" si="1199"/>
        <v>0</v>
      </c>
      <c r="MG98" s="1319">
        <f t="shared" ca="1" si="1199"/>
        <v>0</v>
      </c>
      <c r="MH98" s="1319">
        <f t="shared" ca="1" si="1200"/>
        <v>0</v>
      </c>
      <c r="MI98" s="1319">
        <f t="shared" ca="1" si="1200"/>
        <v>0</v>
      </c>
      <c r="MJ98" s="1319">
        <f t="shared" ca="1" si="1199"/>
        <v>0</v>
      </c>
      <c r="MK98" s="1319">
        <f t="shared" ca="1" si="1199"/>
        <v>0</v>
      </c>
      <c r="ML98" s="1319">
        <f t="shared" ca="1" si="1199"/>
        <v>0</v>
      </c>
      <c r="MM98" s="1319">
        <f t="shared" ca="1" si="1199"/>
        <v>0</v>
      </c>
      <c r="MN98" s="1319">
        <f t="shared" ca="1" si="1199"/>
        <v>0</v>
      </c>
      <c r="MO98" s="1319">
        <f t="shared" ca="1" si="1199"/>
        <v>0</v>
      </c>
      <c r="NA98" s="1319">
        <f t="shared" ca="1" si="1201"/>
        <v>0</v>
      </c>
      <c r="NB98" s="1319">
        <f t="shared" ca="1" si="1201"/>
        <v>0</v>
      </c>
      <c r="NC98" s="1319">
        <f t="shared" ca="1" si="1201"/>
        <v>0</v>
      </c>
      <c r="ND98" s="1319">
        <f t="shared" ca="1" si="1201"/>
        <v>0</v>
      </c>
      <c r="NE98" s="1319">
        <f t="shared" ca="1" si="1201"/>
        <v>0</v>
      </c>
      <c r="NF98" s="1319">
        <f t="shared" ca="1" si="1201"/>
        <v>0</v>
      </c>
      <c r="NG98" s="1319">
        <f t="shared" ca="1" si="1201"/>
        <v>0</v>
      </c>
      <c r="NH98" s="1319">
        <f t="shared" ca="1" si="1201"/>
        <v>0</v>
      </c>
      <c r="NI98" s="1319">
        <f t="shared" ca="1" si="1201"/>
        <v>0</v>
      </c>
      <c r="NJ98" s="1319">
        <f t="shared" ca="1" si="1201"/>
        <v>0</v>
      </c>
      <c r="NK98" s="1319">
        <f t="shared" ca="1" si="1201"/>
        <v>0</v>
      </c>
      <c r="NL98" s="1319">
        <f t="shared" ca="1" si="1201"/>
        <v>0</v>
      </c>
      <c r="NM98" s="1319">
        <f t="shared" ca="1" si="1201"/>
        <v>0</v>
      </c>
      <c r="NN98" s="1319">
        <f t="shared" ca="1" si="1201"/>
        <v>0</v>
      </c>
      <c r="NO98" s="1319">
        <f t="shared" ca="1" si="1201"/>
        <v>0</v>
      </c>
      <c r="NP98" s="1319">
        <f t="shared" ca="1" si="1201"/>
        <v>0</v>
      </c>
      <c r="OH98" s="1319">
        <f t="shared" ca="1" si="1202"/>
        <v>0</v>
      </c>
      <c r="OI98" s="1319">
        <f t="shared" ca="1" si="1202"/>
        <v>0</v>
      </c>
      <c r="OJ98" s="1319">
        <f t="shared" ca="1" si="1202"/>
        <v>0</v>
      </c>
      <c r="OK98" s="1319">
        <f t="shared" ca="1" si="1202"/>
        <v>0</v>
      </c>
      <c r="OL98" s="1319">
        <f t="shared" ca="1" si="1202"/>
        <v>0</v>
      </c>
      <c r="OM98" s="1319">
        <f t="shared" ca="1" si="1202"/>
        <v>0</v>
      </c>
      <c r="ON98" s="1319">
        <f t="shared" ca="1" si="1202"/>
        <v>0</v>
      </c>
      <c r="OO98" s="1319">
        <f t="shared" ca="1" si="1202"/>
        <v>0</v>
      </c>
      <c r="PA98" s="1319">
        <f t="shared" ca="1" si="1203"/>
        <v>0</v>
      </c>
      <c r="PB98" s="1319">
        <f t="shared" ca="1" si="1203"/>
        <v>0</v>
      </c>
      <c r="PC98" s="1319">
        <f t="shared" ca="1" si="1203"/>
        <v>0</v>
      </c>
      <c r="PD98" s="1319">
        <f t="shared" ca="1" si="1203"/>
        <v>0</v>
      </c>
      <c r="PE98" s="1319">
        <f t="shared" ca="1" si="1203"/>
        <v>0</v>
      </c>
      <c r="PF98" s="1319">
        <f t="shared" ca="1" si="1203"/>
        <v>0</v>
      </c>
      <c r="PG98" s="1319">
        <f t="shared" ca="1" si="1203"/>
        <v>0</v>
      </c>
      <c r="PH98" s="1319">
        <f t="shared" ca="1" si="1203"/>
        <v>0</v>
      </c>
      <c r="PI98" s="1319">
        <f t="shared" ca="1" si="1203"/>
        <v>0</v>
      </c>
      <c r="PJ98" s="1319">
        <f t="shared" ca="1" si="1203"/>
        <v>0</v>
      </c>
      <c r="PK98" s="1319">
        <f t="shared" ca="1" si="1203"/>
        <v>0</v>
      </c>
      <c r="PW98" s="1319">
        <f t="shared" ca="1" si="1204"/>
        <v>0</v>
      </c>
      <c r="PX98" s="1319">
        <f t="shared" ca="1" si="1204"/>
        <v>0</v>
      </c>
      <c r="PY98" s="1319">
        <f t="shared" ca="1" si="1204"/>
        <v>0</v>
      </c>
      <c r="PZ98" s="1319">
        <f t="shared" ca="1" si="1204"/>
        <v>0</v>
      </c>
    </row>
    <row r="99" spans="1:442" x14ac:dyDescent="0.25">
      <c r="A99" s="189">
        <v>133</v>
      </c>
      <c r="B99" s="189" t="s">
        <v>1320</v>
      </c>
      <c r="C99" s="1317" t="s">
        <v>1264</v>
      </c>
      <c r="D99" s="1317" t="s">
        <v>206</v>
      </c>
      <c r="J99" s="1319">
        <f t="shared" ca="1" si="1207"/>
        <v>1508.1550199999999</v>
      </c>
      <c r="K99" s="1319">
        <f t="shared" ca="1" si="1210"/>
        <v>1508.1550199999999</v>
      </c>
      <c r="T99" s="1319">
        <f t="shared" ca="1" si="1208"/>
        <v>1508.1550199999999</v>
      </c>
      <c r="U99" s="1319">
        <f t="shared" ca="1" si="1208"/>
        <v>0</v>
      </c>
      <c r="V99" s="1319">
        <f t="shared" ca="1" si="1208"/>
        <v>0</v>
      </c>
      <c r="W99" s="1319">
        <f t="shared" ca="1" si="1208"/>
        <v>0</v>
      </c>
      <c r="X99" s="1319">
        <f t="shared" ca="1" si="1208"/>
        <v>0</v>
      </c>
      <c r="Y99" s="1319">
        <f t="shared" ca="1" si="1208"/>
        <v>0</v>
      </c>
      <c r="Z99" s="1319">
        <f t="shared" ca="1" si="1208"/>
        <v>0</v>
      </c>
      <c r="AA99" s="1319">
        <f t="shared" ca="1" si="1208"/>
        <v>0</v>
      </c>
      <c r="AB99" s="1319">
        <f t="shared" ca="1" si="1208"/>
        <v>0</v>
      </c>
      <c r="AC99" s="1319">
        <f t="shared" ca="1" si="1208"/>
        <v>0</v>
      </c>
      <c r="AD99" s="1319">
        <f t="shared" ca="1" si="1208"/>
        <v>0</v>
      </c>
      <c r="AM99" s="1319">
        <f t="shared" ca="1" si="1209"/>
        <v>0</v>
      </c>
      <c r="AN99" s="1319">
        <f t="shared" ca="1" si="1209"/>
        <v>0</v>
      </c>
      <c r="AO99" s="1319">
        <f t="shared" ca="1" si="1209"/>
        <v>0</v>
      </c>
      <c r="AP99" s="1319">
        <f t="shared" ca="1" si="1209"/>
        <v>0</v>
      </c>
      <c r="AQ99" s="1319">
        <f t="shared" ca="1" si="1209"/>
        <v>0</v>
      </c>
      <c r="AR99" s="1319">
        <f t="shared" ca="1" si="1209"/>
        <v>0</v>
      </c>
      <c r="AS99" s="1319">
        <f t="shared" ca="1" si="1209"/>
        <v>0</v>
      </c>
      <c r="AT99" s="1319">
        <f t="shared" ca="1" si="1209"/>
        <v>0</v>
      </c>
      <c r="AU99" s="1319">
        <f t="shared" ca="1" si="1209"/>
        <v>0</v>
      </c>
      <c r="AV99" s="1319">
        <f t="shared" ca="1" si="1209"/>
        <v>0</v>
      </c>
      <c r="AW99" s="1319">
        <f t="shared" ca="1" si="1209"/>
        <v>0</v>
      </c>
      <c r="AX99" s="1319">
        <f t="shared" ca="1" si="1209"/>
        <v>0</v>
      </c>
      <c r="AY99" s="1319">
        <f t="shared" ca="1" si="1209"/>
        <v>0</v>
      </c>
      <c r="AZ99" s="1319">
        <f t="shared" ca="1" si="1209"/>
        <v>0</v>
      </c>
      <c r="BA99" s="1319">
        <f t="shared" ca="1" si="1209"/>
        <v>0</v>
      </c>
      <c r="BB99" s="1319">
        <f t="shared" ca="1" si="1209"/>
        <v>0</v>
      </c>
      <c r="BN99" s="1319">
        <f t="shared" ca="1" si="1186"/>
        <v>0</v>
      </c>
      <c r="BO99" s="1319">
        <f t="shared" ca="1" si="1186"/>
        <v>0</v>
      </c>
      <c r="BP99" s="1319">
        <f t="shared" ca="1" si="1186"/>
        <v>0</v>
      </c>
      <c r="BQ99" s="1319">
        <f t="shared" ca="1" si="1186"/>
        <v>0</v>
      </c>
      <c r="BR99" s="1319">
        <f t="shared" ca="1" si="1186"/>
        <v>0</v>
      </c>
      <c r="CD99" s="1319">
        <f t="shared" ca="1" si="1187"/>
        <v>0</v>
      </c>
      <c r="CE99" s="1319">
        <f t="shared" ca="1" si="1187"/>
        <v>0</v>
      </c>
      <c r="CF99" s="1319">
        <f t="shared" ca="1" si="1187"/>
        <v>0</v>
      </c>
      <c r="CG99" s="1319">
        <f t="shared" ca="1" si="1187"/>
        <v>0</v>
      </c>
      <c r="CH99" s="1319">
        <f t="shared" ca="1" si="1187"/>
        <v>0</v>
      </c>
      <c r="CI99" s="1319">
        <f t="shared" ca="1" si="1187"/>
        <v>0</v>
      </c>
      <c r="CJ99" s="1319">
        <f t="shared" ca="1" si="1187"/>
        <v>0</v>
      </c>
      <c r="CK99" s="1319">
        <f t="shared" ca="1" si="1187"/>
        <v>0</v>
      </c>
      <c r="CL99" s="1319">
        <f t="shared" ca="1" si="1187"/>
        <v>0</v>
      </c>
      <c r="CM99" s="1319">
        <f t="shared" ca="1" si="1187"/>
        <v>0</v>
      </c>
      <c r="CN99" s="1319">
        <f t="shared" ca="1" si="1187"/>
        <v>0</v>
      </c>
      <c r="CO99" s="1319">
        <f t="shared" ca="1" si="1187"/>
        <v>0</v>
      </c>
      <c r="DA99" s="1319">
        <f t="shared" ca="1" si="1188"/>
        <v>0</v>
      </c>
      <c r="DB99" s="1319">
        <f t="shared" ca="1" si="1188"/>
        <v>0</v>
      </c>
      <c r="DC99" s="1319">
        <f t="shared" ca="1" si="1188"/>
        <v>0</v>
      </c>
      <c r="DD99" s="1319">
        <f t="shared" ca="1" si="1188"/>
        <v>0</v>
      </c>
      <c r="DE99" s="1319">
        <f t="shared" ca="1" si="1188"/>
        <v>0</v>
      </c>
      <c r="DF99" s="1319">
        <f t="shared" ca="1" si="1188"/>
        <v>0</v>
      </c>
      <c r="DG99" s="1319">
        <f t="shared" ca="1" si="1188"/>
        <v>0</v>
      </c>
      <c r="DH99" s="1319">
        <f t="shared" ca="1" si="1188"/>
        <v>0</v>
      </c>
      <c r="DI99" s="1319">
        <f t="shared" ca="1" si="1188"/>
        <v>0</v>
      </c>
      <c r="DJ99" s="1319">
        <f t="shared" ca="1" si="1188"/>
        <v>0</v>
      </c>
      <c r="DV99" s="1319">
        <f t="shared" ca="1" si="1189"/>
        <v>0</v>
      </c>
      <c r="DW99" s="1319">
        <f t="shared" ca="1" si="1189"/>
        <v>0</v>
      </c>
      <c r="DX99" s="1319">
        <f t="shared" ca="1" si="1189"/>
        <v>0</v>
      </c>
      <c r="DY99" s="1319">
        <f t="shared" ca="1" si="1189"/>
        <v>0</v>
      </c>
      <c r="DZ99" s="1319">
        <f t="shared" ca="1" si="1189"/>
        <v>0</v>
      </c>
      <c r="EA99" s="1319">
        <f t="shared" ca="1" si="1189"/>
        <v>0</v>
      </c>
      <c r="EB99" s="1319">
        <f t="shared" ca="1" si="1189"/>
        <v>0</v>
      </c>
      <c r="EC99" s="1319">
        <f t="shared" ca="1" si="1189"/>
        <v>0</v>
      </c>
      <c r="ED99" s="1319">
        <f t="shared" ca="1" si="1189"/>
        <v>0</v>
      </c>
      <c r="EE99" s="1319">
        <f t="shared" ca="1" si="1189"/>
        <v>0</v>
      </c>
      <c r="EF99" s="1319">
        <f t="shared" ca="1" si="1189"/>
        <v>0</v>
      </c>
      <c r="EG99" s="1319">
        <f t="shared" ca="1" si="1189"/>
        <v>0</v>
      </c>
      <c r="EH99" s="1319">
        <f t="shared" ca="1" si="1189"/>
        <v>0</v>
      </c>
      <c r="EI99" s="1319">
        <f t="shared" ca="1" si="1189"/>
        <v>0</v>
      </c>
      <c r="EJ99" s="1319">
        <f t="shared" ca="1" si="1101"/>
        <v>0</v>
      </c>
      <c r="EK99" s="1319">
        <f t="shared" ca="1" si="1189"/>
        <v>0</v>
      </c>
      <c r="EW99" s="1319">
        <f t="shared" ca="1" si="1190"/>
        <v>0</v>
      </c>
      <c r="EX99" s="1319">
        <f t="shared" ca="1" si="1190"/>
        <v>0</v>
      </c>
      <c r="EY99" s="1319">
        <f t="shared" ca="1" si="1190"/>
        <v>0</v>
      </c>
      <c r="EZ99" s="1319">
        <f t="shared" ca="1" si="1190"/>
        <v>0</v>
      </c>
      <c r="FA99" s="1319">
        <f t="shared" ca="1" si="1190"/>
        <v>0</v>
      </c>
      <c r="FB99" s="1319">
        <f t="shared" ca="1" si="1190"/>
        <v>0</v>
      </c>
      <c r="FN99" s="1319">
        <f t="shared" ca="1" si="1191"/>
        <v>0</v>
      </c>
      <c r="FO99" s="1319">
        <f t="shared" ca="1" si="1191"/>
        <v>0</v>
      </c>
      <c r="FP99" s="1319">
        <f t="shared" ca="1" si="1191"/>
        <v>0</v>
      </c>
      <c r="FQ99" s="1319">
        <f t="shared" ca="1" si="1191"/>
        <v>0</v>
      </c>
      <c r="FR99" s="1319">
        <f t="shared" ca="1" si="1191"/>
        <v>0</v>
      </c>
      <c r="FS99" s="1319">
        <f t="shared" ca="1" si="1191"/>
        <v>0</v>
      </c>
      <c r="FT99" s="1319">
        <f t="shared" ca="1" si="1191"/>
        <v>0</v>
      </c>
      <c r="FU99" s="1319">
        <f t="shared" ca="1" si="1191"/>
        <v>0</v>
      </c>
      <c r="FV99" s="1319">
        <f t="shared" ca="1" si="1191"/>
        <v>0</v>
      </c>
      <c r="FW99" s="1319">
        <f t="shared" ca="1" si="1191"/>
        <v>0</v>
      </c>
      <c r="FX99" s="1319">
        <f t="shared" ca="1" si="1191"/>
        <v>0</v>
      </c>
      <c r="GJ99" s="1319">
        <f t="shared" ca="1" si="1192"/>
        <v>0</v>
      </c>
      <c r="GK99" s="1319">
        <f t="shared" ca="1" si="1192"/>
        <v>0</v>
      </c>
      <c r="GL99" s="1319">
        <f t="shared" ca="1" si="1192"/>
        <v>0</v>
      </c>
      <c r="GM99" s="1319">
        <f t="shared" ca="1" si="1192"/>
        <v>0</v>
      </c>
      <c r="GN99" s="1319">
        <f t="shared" ca="1" si="1192"/>
        <v>0</v>
      </c>
      <c r="GO99" s="1319">
        <f t="shared" ca="1" si="1192"/>
        <v>0</v>
      </c>
      <c r="GP99" s="1319">
        <f t="shared" ca="1" si="1192"/>
        <v>0</v>
      </c>
      <c r="GQ99" s="1319">
        <f t="shared" ca="1" si="1192"/>
        <v>0</v>
      </c>
      <c r="HC99" s="1319">
        <f t="shared" ca="1" si="1193"/>
        <v>0</v>
      </c>
      <c r="HD99" s="1319">
        <f t="shared" ca="1" si="1193"/>
        <v>0</v>
      </c>
      <c r="HE99" s="1319">
        <f t="shared" ca="1" si="1193"/>
        <v>0</v>
      </c>
      <c r="HF99" s="1319">
        <f t="shared" ca="1" si="1193"/>
        <v>0</v>
      </c>
      <c r="HG99" s="1319">
        <f t="shared" ca="1" si="1193"/>
        <v>0</v>
      </c>
      <c r="HH99" s="1319">
        <f t="shared" ca="1" si="1193"/>
        <v>0</v>
      </c>
      <c r="HT99" s="1319">
        <f t="shared" ca="1" si="1194"/>
        <v>0</v>
      </c>
      <c r="HU99" s="1319">
        <f t="shared" ca="1" si="1194"/>
        <v>0</v>
      </c>
      <c r="HV99" s="1319">
        <f t="shared" ca="1" si="1194"/>
        <v>0</v>
      </c>
      <c r="HW99" s="1319">
        <f t="shared" ca="1" si="1194"/>
        <v>0</v>
      </c>
      <c r="HX99" s="1319">
        <f t="shared" ca="1" si="1194"/>
        <v>0</v>
      </c>
      <c r="HY99" s="1319">
        <f t="shared" ca="1" si="1194"/>
        <v>0</v>
      </c>
      <c r="HZ99" s="1319">
        <f t="shared" ca="1" si="1194"/>
        <v>0</v>
      </c>
      <c r="IA99" s="1319">
        <f t="shared" ca="1" si="1194"/>
        <v>0</v>
      </c>
      <c r="IB99" s="1319">
        <f t="shared" ca="1" si="1194"/>
        <v>0</v>
      </c>
      <c r="IC99" s="1319">
        <f t="shared" ca="1" si="1194"/>
        <v>0</v>
      </c>
      <c r="ID99" s="1319">
        <f t="shared" ca="1" si="1194"/>
        <v>0</v>
      </c>
      <c r="IE99" s="1319">
        <f t="shared" ca="1" si="1194"/>
        <v>0</v>
      </c>
      <c r="IQ99" s="1319">
        <f t="shared" ca="1" si="1195"/>
        <v>0</v>
      </c>
      <c r="IR99" s="1319">
        <f t="shared" ca="1" si="1195"/>
        <v>0</v>
      </c>
      <c r="IS99" s="1319">
        <f t="shared" ca="1" si="1195"/>
        <v>0</v>
      </c>
      <c r="IT99" s="1319">
        <f t="shared" ca="1" si="1195"/>
        <v>0</v>
      </c>
      <c r="IU99" s="1319">
        <f t="shared" ca="1" si="1108"/>
        <v>0</v>
      </c>
      <c r="IV99" s="1319">
        <f t="shared" ca="1" si="1195"/>
        <v>0</v>
      </c>
      <c r="IW99" s="1319">
        <f t="shared" ca="1" si="1195"/>
        <v>0</v>
      </c>
      <c r="IX99" s="1319">
        <f t="shared" ca="1" si="1109"/>
        <v>0</v>
      </c>
      <c r="IY99" s="1319">
        <f t="shared" ca="1" si="1195"/>
        <v>0</v>
      </c>
      <c r="IZ99" s="1319">
        <f t="shared" ca="1" si="1195"/>
        <v>0</v>
      </c>
      <c r="JA99" s="1319">
        <f t="shared" ca="1" si="1195"/>
        <v>0</v>
      </c>
      <c r="JB99" s="1319">
        <f t="shared" ca="1" si="1195"/>
        <v>0</v>
      </c>
      <c r="JC99" s="1319">
        <f t="shared" ca="1" si="1195"/>
        <v>0</v>
      </c>
      <c r="JD99" s="1319">
        <f t="shared" ca="1" si="1195"/>
        <v>0</v>
      </c>
      <c r="JE99" s="1319">
        <f t="shared" ca="1" si="1195"/>
        <v>0</v>
      </c>
      <c r="JF99" s="1319">
        <f t="shared" ca="1" si="1195"/>
        <v>0</v>
      </c>
      <c r="JG99" s="1319">
        <f t="shared" ca="1" si="1195"/>
        <v>0</v>
      </c>
      <c r="JH99" s="1319">
        <f t="shared" ca="1" si="1195"/>
        <v>0</v>
      </c>
      <c r="JT99" s="1319">
        <f t="shared" ca="1" si="1196"/>
        <v>0</v>
      </c>
      <c r="JU99" s="1319">
        <f t="shared" ca="1" si="1196"/>
        <v>0</v>
      </c>
      <c r="JV99" s="1319">
        <f t="shared" ca="1" si="1196"/>
        <v>0</v>
      </c>
      <c r="JW99" s="1319">
        <f t="shared" ca="1" si="1196"/>
        <v>0</v>
      </c>
      <c r="JX99" s="1319">
        <f t="shared" ca="1" si="1196"/>
        <v>0</v>
      </c>
      <c r="JY99" s="1319">
        <f t="shared" ca="1" si="1196"/>
        <v>0</v>
      </c>
      <c r="JZ99" s="1319">
        <f t="shared" ca="1" si="1196"/>
        <v>0</v>
      </c>
      <c r="KA99" s="1319">
        <f t="shared" ca="1" si="1196"/>
        <v>0</v>
      </c>
      <c r="KB99" s="1319">
        <f t="shared" ca="1" si="1196"/>
        <v>0</v>
      </c>
      <c r="KC99" s="1319">
        <f t="shared" ca="1" si="1196"/>
        <v>0</v>
      </c>
      <c r="KL99" s="1319">
        <f t="shared" ca="1" si="1197"/>
        <v>0</v>
      </c>
      <c r="KM99" s="1319">
        <f t="shared" ca="1" si="1197"/>
        <v>0</v>
      </c>
      <c r="KN99" s="1319">
        <f t="shared" ca="1" si="1197"/>
        <v>0</v>
      </c>
      <c r="KO99" s="1319">
        <f t="shared" ca="1" si="1197"/>
        <v>0</v>
      </c>
      <c r="KP99" s="1319">
        <f t="shared" ca="1" si="1197"/>
        <v>0</v>
      </c>
      <c r="KQ99" s="1319">
        <f t="shared" ca="1" si="1197"/>
        <v>0</v>
      </c>
      <c r="KR99" s="1319">
        <f t="shared" ca="1" si="1197"/>
        <v>0</v>
      </c>
      <c r="LA99" s="1319">
        <f t="shared" ca="1" si="1198"/>
        <v>0</v>
      </c>
      <c r="LB99" s="1319">
        <f t="shared" ca="1" si="1198"/>
        <v>0</v>
      </c>
      <c r="LC99" s="1319">
        <f t="shared" ca="1" si="1198"/>
        <v>0</v>
      </c>
      <c r="LD99" s="1319">
        <f t="shared" ca="1" si="1198"/>
        <v>0</v>
      </c>
      <c r="LE99" s="1319">
        <f t="shared" ca="1" si="1198"/>
        <v>0</v>
      </c>
      <c r="LF99" s="1319">
        <f t="shared" ca="1" si="1198"/>
        <v>0</v>
      </c>
      <c r="LG99" s="1319">
        <f t="shared" ca="1" si="1198"/>
        <v>0</v>
      </c>
      <c r="LH99" s="1319">
        <f t="shared" ca="1" si="1198"/>
        <v>0</v>
      </c>
      <c r="LI99" s="1319">
        <f t="shared" ca="1" si="1198"/>
        <v>0</v>
      </c>
      <c r="LJ99" s="1319">
        <f t="shared" ca="1" si="1198"/>
        <v>0</v>
      </c>
      <c r="LK99" s="1319">
        <f t="shared" ca="1" si="1198"/>
        <v>0</v>
      </c>
      <c r="LW99" s="1319">
        <f t="shared" ca="1" si="1113"/>
        <v>0</v>
      </c>
      <c r="LX99" s="1319">
        <f t="shared" ca="1" si="1199"/>
        <v>0</v>
      </c>
      <c r="LY99" s="1319">
        <f t="shared" ca="1" si="1199"/>
        <v>0</v>
      </c>
      <c r="LZ99" s="1319">
        <f t="shared" ca="1" si="1199"/>
        <v>0</v>
      </c>
      <c r="MA99" s="1319">
        <f t="shared" ca="1" si="1199"/>
        <v>0</v>
      </c>
      <c r="MB99" s="1319">
        <f t="shared" ca="1" si="1199"/>
        <v>0</v>
      </c>
      <c r="MC99" s="1319">
        <f t="shared" ca="1" si="1199"/>
        <v>0</v>
      </c>
      <c r="MD99" s="1319">
        <f t="shared" ca="1" si="1199"/>
        <v>0</v>
      </c>
      <c r="ME99" s="1319">
        <f t="shared" ca="1" si="1199"/>
        <v>0</v>
      </c>
      <c r="MF99" s="1319">
        <f t="shared" ca="1" si="1199"/>
        <v>0</v>
      </c>
      <c r="MG99" s="1319">
        <f t="shared" ca="1" si="1199"/>
        <v>0</v>
      </c>
      <c r="MH99" s="1319">
        <f t="shared" ca="1" si="1200"/>
        <v>0</v>
      </c>
      <c r="MI99" s="1319">
        <f t="shared" ca="1" si="1200"/>
        <v>0</v>
      </c>
      <c r="MJ99" s="1319">
        <f t="shared" ca="1" si="1199"/>
        <v>0</v>
      </c>
      <c r="MK99" s="1319">
        <f t="shared" ca="1" si="1199"/>
        <v>0</v>
      </c>
      <c r="ML99" s="1319">
        <f t="shared" ca="1" si="1199"/>
        <v>0</v>
      </c>
      <c r="MM99" s="1319">
        <f t="shared" ca="1" si="1199"/>
        <v>0</v>
      </c>
      <c r="MN99" s="1319">
        <f t="shared" ca="1" si="1199"/>
        <v>0</v>
      </c>
      <c r="MO99" s="1319">
        <f t="shared" ca="1" si="1199"/>
        <v>0</v>
      </c>
      <c r="NA99" s="1319">
        <f t="shared" ca="1" si="1201"/>
        <v>0</v>
      </c>
      <c r="NB99" s="1319">
        <f t="shared" ca="1" si="1201"/>
        <v>0</v>
      </c>
      <c r="NC99" s="1319">
        <f t="shared" ca="1" si="1201"/>
        <v>0</v>
      </c>
      <c r="ND99" s="1319">
        <f t="shared" ca="1" si="1201"/>
        <v>0</v>
      </c>
      <c r="NE99" s="1319">
        <f t="shared" ca="1" si="1201"/>
        <v>0</v>
      </c>
      <c r="NF99" s="1319">
        <f t="shared" ca="1" si="1201"/>
        <v>0</v>
      </c>
      <c r="NG99" s="1319">
        <f t="shared" ca="1" si="1201"/>
        <v>0</v>
      </c>
      <c r="NH99" s="1319">
        <f t="shared" ca="1" si="1201"/>
        <v>0</v>
      </c>
      <c r="NI99" s="1319">
        <f t="shared" ca="1" si="1201"/>
        <v>0</v>
      </c>
      <c r="NJ99" s="1319">
        <f t="shared" ca="1" si="1201"/>
        <v>0</v>
      </c>
      <c r="NK99" s="1319">
        <f t="shared" ca="1" si="1201"/>
        <v>0</v>
      </c>
      <c r="NL99" s="1319">
        <f t="shared" ca="1" si="1201"/>
        <v>0</v>
      </c>
      <c r="NM99" s="1319">
        <f t="shared" ca="1" si="1201"/>
        <v>0</v>
      </c>
      <c r="NN99" s="1319">
        <f t="shared" ca="1" si="1201"/>
        <v>0</v>
      </c>
      <c r="NO99" s="1319">
        <f t="shared" ca="1" si="1201"/>
        <v>0</v>
      </c>
      <c r="NP99" s="1319">
        <f t="shared" ca="1" si="1201"/>
        <v>0</v>
      </c>
      <c r="OH99" s="1319">
        <f t="shared" ca="1" si="1202"/>
        <v>0</v>
      </c>
      <c r="OI99" s="1319">
        <f t="shared" ca="1" si="1202"/>
        <v>0</v>
      </c>
      <c r="OJ99" s="1319">
        <f t="shared" ca="1" si="1202"/>
        <v>0</v>
      </c>
      <c r="OK99" s="1319">
        <f t="shared" ca="1" si="1202"/>
        <v>0</v>
      </c>
      <c r="OL99" s="1319">
        <f t="shared" ca="1" si="1202"/>
        <v>0</v>
      </c>
      <c r="OM99" s="1319">
        <f t="shared" ca="1" si="1202"/>
        <v>0</v>
      </c>
      <c r="ON99" s="1319">
        <f t="shared" ca="1" si="1202"/>
        <v>0</v>
      </c>
      <c r="OO99" s="1319">
        <f t="shared" ca="1" si="1202"/>
        <v>0</v>
      </c>
      <c r="PA99" s="1319">
        <f t="shared" ca="1" si="1203"/>
        <v>0</v>
      </c>
      <c r="PB99" s="1319">
        <f t="shared" ca="1" si="1203"/>
        <v>0</v>
      </c>
      <c r="PC99" s="1319">
        <f t="shared" ca="1" si="1203"/>
        <v>0</v>
      </c>
      <c r="PD99" s="1319">
        <f t="shared" ca="1" si="1203"/>
        <v>0</v>
      </c>
      <c r="PE99" s="1319">
        <f t="shared" ca="1" si="1203"/>
        <v>0</v>
      </c>
      <c r="PF99" s="1319">
        <f t="shared" ca="1" si="1203"/>
        <v>0</v>
      </c>
      <c r="PG99" s="1319">
        <f t="shared" ca="1" si="1203"/>
        <v>0</v>
      </c>
      <c r="PH99" s="1319">
        <f t="shared" ca="1" si="1203"/>
        <v>0</v>
      </c>
      <c r="PI99" s="1319">
        <f t="shared" ca="1" si="1203"/>
        <v>0</v>
      </c>
      <c r="PJ99" s="1319">
        <f t="shared" ca="1" si="1203"/>
        <v>0</v>
      </c>
      <c r="PK99" s="1319">
        <f t="shared" ca="1" si="1203"/>
        <v>0</v>
      </c>
      <c r="PW99" s="1319">
        <f t="shared" ca="1" si="1204"/>
        <v>0</v>
      </c>
      <c r="PX99" s="1319">
        <f t="shared" ca="1" si="1204"/>
        <v>0</v>
      </c>
      <c r="PY99" s="1319">
        <f t="shared" ca="1" si="1204"/>
        <v>0</v>
      </c>
      <c r="PZ99" s="1319">
        <f t="shared" ca="1" si="1204"/>
        <v>0</v>
      </c>
    </row>
    <row r="100" spans="1:442" x14ac:dyDescent="0.25">
      <c r="A100" s="189">
        <v>134</v>
      </c>
      <c r="B100" s="189" t="s">
        <v>1320</v>
      </c>
      <c r="C100" s="1317" t="s">
        <v>1282</v>
      </c>
      <c r="D100" s="1317" t="s">
        <v>206</v>
      </c>
      <c r="J100" s="1319">
        <f t="shared" ca="1" si="1207"/>
        <v>2583.0279399999999</v>
      </c>
      <c r="K100" s="1319">
        <f t="shared" ca="1" si="1210"/>
        <v>2583.0279399999999</v>
      </c>
      <c r="T100" s="1319">
        <f t="shared" ca="1" si="1208"/>
        <v>2583.0279399999999</v>
      </c>
      <c r="U100" s="1319">
        <f t="shared" ca="1" si="1208"/>
        <v>0</v>
      </c>
      <c r="V100" s="1319">
        <f t="shared" ca="1" si="1208"/>
        <v>0</v>
      </c>
      <c r="W100" s="1319">
        <f t="shared" ca="1" si="1208"/>
        <v>0</v>
      </c>
      <c r="X100" s="1319">
        <f t="shared" ca="1" si="1208"/>
        <v>0</v>
      </c>
      <c r="Y100" s="1319">
        <f t="shared" ca="1" si="1208"/>
        <v>2583.0279399999999</v>
      </c>
      <c r="Z100" s="1319">
        <f t="shared" ca="1" si="1208"/>
        <v>0</v>
      </c>
      <c r="AA100" s="1319">
        <f t="shared" ca="1" si="1208"/>
        <v>2583.0279399999999</v>
      </c>
      <c r="AB100" s="1319">
        <f t="shared" ca="1" si="1208"/>
        <v>0</v>
      </c>
      <c r="AC100" s="1319">
        <f t="shared" ca="1" si="1208"/>
        <v>0</v>
      </c>
      <c r="AD100" s="1319">
        <f t="shared" ca="1" si="1208"/>
        <v>0</v>
      </c>
      <c r="AM100" s="1319">
        <f t="shared" ca="1" si="1209"/>
        <v>0</v>
      </c>
      <c r="AN100" s="1319">
        <f t="shared" ca="1" si="1209"/>
        <v>0</v>
      </c>
      <c r="AO100" s="1319">
        <f t="shared" ca="1" si="1209"/>
        <v>2583.0279399999999</v>
      </c>
      <c r="AP100" s="1319">
        <f t="shared" ca="1" si="1209"/>
        <v>2583.0279399999999</v>
      </c>
      <c r="AQ100" s="1319">
        <f t="shared" ca="1" si="1209"/>
        <v>0</v>
      </c>
      <c r="AR100" s="1319">
        <f t="shared" ca="1" si="1209"/>
        <v>0</v>
      </c>
      <c r="AS100" s="1319">
        <f t="shared" ca="1" si="1209"/>
        <v>0</v>
      </c>
      <c r="AT100" s="1319">
        <f t="shared" ca="1" si="1209"/>
        <v>0</v>
      </c>
      <c r="AU100" s="1319">
        <f t="shared" ca="1" si="1209"/>
        <v>0</v>
      </c>
      <c r="AV100" s="1319">
        <f t="shared" ca="1" si="1209"/>
        <v>2583.0279399999999</v>
      </c>
      <c r="AW100" s="1319">
        <f t="shared" ca="1" si="1209"/>
        <v>0</v>
      </c>
      <c r="AX100" s="1319">
        <f t="shared" ca="1" si="1209"/>
        <v>0</v>
      </c>
      <c r="AY100" s="1319">
        <f t="shared" ca="1" si="1209"/>
        <v>0</v>
      </c>
      <c r="AZ100" s="1319">
        <f t="shared" ca="1" si="1209"/>
        <v>0</v>
      </c>
      <c r="BA100" s="1319">
        <f t="shared" ca="1" si="1209"/>
        <v>0</v>
      </c>
      <c r="BB100" s="1319">
        <f t="shared" ca="1" si="1209"/>
        <v>2583.0279399999999</v>
      </c>
      <c r="BN100" s="1319">
        <f t="shared" ca="1" si="1186"/>
        <v>262.41497600000002</v>
      </c>
      <c r="BO100" s="1319">
        <f t="shared" ca="1" si="1186"/>
        <v>306.439662</v>
      </c>
      <c r="BP100" s="1319">
        <f t="shared" ca="1" si="1186"/>
        <v>0</v>
      </c>
      <c r="BQ100" s="1319">
        <f t="shared" ca="1" si="1186"/>
        <v>52.6961972</v>
      </c>
      <c r="BR100" s="1319">
        <f t="shared" ca="1" si="1186"/>
        <v>0</v>
      </c>
      <c r="CD100" s="1319">
        <f t="shared" ca="1" si="1187"/>
        <v>2583.0279399999999</v>
      </c>
      <c r="CE100" s="1319">
        <f t="shared" ca="1" si="1187"/>
        <v>2583.0279399999999</v>
      </c>
      <c r="CF100" s="1319">
        <f t="shared" ca="1" si="1187"/>
        <v>262.41497600000002</v>
      </c>
      <c r="CG100" s="1319">
        <f t="shared" ca="1" si="1187"/>
        <v>306.439662</v>
      </c>
      <c r="CH100" s="1319">
        <f t="shared" ca="1" si="1187"/>
        <v>2624.1516000000001</v>
      </c>
      <c r="CI100" s="1319">
        <f t="shared" ca="1" si="1187"/>
        <v>237.13288700000004</v>
      </c>
      <c r="CJ100" s="1319">
        <f t="shared" ca="1" si="1187"/>
        <v>0</v>
      </c>
      <c r="CK100" s="1319">
        <f t="shared" ca="1" si="1187"/>
        <v>2866.1133199999999</v>
      </c>
      <c r="CL100" s="1319">
        <f t="shared" ca="1" si="1187"/>
        <v>0</v>
      </c>
      <c r="CM100" s="1319">
        <f t="shared" ca="1" si="1187"/>
        <v>41.123660100000002</v>
      </c>
      <c r="CN100" s="1319">
        <f t="shared" ca="1" si="1187"/>
        <v>2866.1133199999999</v>
      </c>
      <c r="CO100" s="1319">
        <f t="shared" ca="1" si="1187"/>
        <v>0</v>
      </c>
      <c r="DA100" s="1319">
        <f t="shared" ca="1" si="1188"/>
        <v>0.228454569</v>
      </c>
      <c r="DB100" s="1319">
        <f t="shared" ca="1" si="1188"/>
        <v>1.9650539799999998</v>
      </c>
      <c r="DC100" s="1319">
        <f t="shared" ca="1" si="1188"/>
        <v>0</v>
      </c>
      <c r="DD100" s="1319">
        <f t="shared" ca="1" si="1188"/>
        <v>0</v>
      </c>
      <c r="DE100" s="1319">
        <f t="shared" ca="1" si="1188"/>
        <v>2.1935085499999998</v>
      </c>
      <c r="DF100" s="1319">
        <f t="shared" ca="1" si="1188"/>
        <v>0</v>
      </c>
      <c r="DG100" s="1319">
        <f t="shared" ca="1" si="1188"/>
        <v>0</v>
      </c>
      <c r="DH100" s="1319">
        <f t="shared" ca="1" si="1188"/>
        <v>0</v>
      </c>
      <c r="DI100" s="1319">
        <f t="shared" ca="1" si="1188"/>
        <v>0</v>
      </c>
      <c r="DJ100" s="1319">
        <f t="shared" ca="1" si="1188"/>
        <v>0</v>
      </c>
      <c r="DV100" s="1319">
        <f t="shared" ca="1" si="1189"/>
        <v>0</v>
      </c>
      <c r="DW100" s="1319">
        <f t="shared" ca="1" si="1189"/>
        <v>0</v>
      </c>
      <c r="DX100" s="1319">
        <f t="shared" ca="1" si="1189"/>
        <v>4.5690913699999998</v>
      </c>
      <c r="DY100" s="1319">
        <f t="shared" ca="1" si="1189"/>
        <v>0.228454569</v>
      </c>
      <c r="DZ100" s="1319">
        <f t="shared" ca="1" si="1189"/>
        <v>0</v>
      </c>
      <c r="EA100" s="1319">
        <f t="shared" ca="1" si="1189"/>
        <v>2.1935085499999998</v>
      </c>
      <c r="EB100" s="1319">
        <f t="shared" ca="1" si="1189"/>
        <v>4.3406368000000004</v>
      </c>
      <c r="EC100" s="1319">
        <f t="shared" ca="1" si="1189"/>
        <v>39.158165099999998</v>
      </c>
      <c r="ED100" s="1319">
        <f t="shared" ca="1" si="1189"/>
        <v>41.123660100000002</v>
      </c>
      <c r="EE100" s="1319">
        <f t="shared" ca="1" si="1189"/>
        <v>0</v>
      </c>
      <c r="EF100" s="1319">
        <f t="shared" ca="1" si="1189"/>
        <v>0</v>
      </c>
      <c r="EG100" s="1319">
        <f t="shared" ca="1" si="1189"/>
        <v>0</v>
      </c>
      <c r="EH100" s="1319">
        <f t="shared" ca="1" si="1189"/>
        <v>0</v>
      </c>
      <c r="EI100" s="1319">
        <f t="shared" ca="1" si="1189"/>
        <v>39.158165099999998</v>
      </c>
      <c r="EJ100" s="1319">
        <f t="shared" ca="1" si="1101"/>
        <v>0</v>
      </c>
      <c r="EK100" s="1319">
        <f t="shared" ca="1" si="1189"/>
        <v>0</v>
      </c>
      <c r="EW100" s="1319">
        <f t="shared" ca="1" si="1190"/>
        <v>2866.1133199999999</v>
      </c>
      <c r="EX100" s="1319">
        <f t="shared" ca="1" si="1190"/>
        <v>2866.1133199999999</v>
      </c>
      <c r="EY100" s="1319">
        <f t="shared" ca="1" si="1190"/>
        <v>2866.1133199999999</v>
      </c>
      <c r="EZ100" s="1319">
        <f t="shared" ca="1" si="1190"/>
        <v>2866.1133199999999</v>
      </c>
      <c r="FA100" s="1319">
        <f t="shared" ca="1" si="1190"/>
        <v>0</v>
      </c>
      <c r="FB100" s="1319">
        <f t="shared" ca="1" si="1190"/>
        <v>0</v>
      </c>
      <c r="FN100" s="1319">
        <f t="shared" ca="1" si="1191"/>
        <v>0</v>
      </c>
      <c r="FO100" s="1319">
        <f t="shared" ca="1" si="1191"/>
        <v>0</v>
      </c>
      <c r="FP100" s="1319">
        <f t="shared" ca="1" si="1191"/>
        <v>0</v>
      </c>
      <c r="FQ100" s="1319">
        <f t="shared" ca="1" si="1191"/>
        <v>0</v>
      </c>
      <c r="FR100" s="1319">
        <f t="shared" ca="1" si="1191"/>
        <v>0</v>
      </c>
      <c r="FS100" s="1319">
        <f t="shared" ca="1" si="1191"/>
        <v>0</v>
      </c>
      <c r="FT100" s="1319">
        <f t="shared" ca="1" si="1191"/>
        <v>0</v>
      </c>
      <c r="FU100" s="1319">
        <f t="shared" ca="1" si="1191"/>
        <v>0</v>
      </c>
      <c r="FV100" s="1319">
        <f t="shared" ca="1" si="1191"/>
        <v>0</v>
      </c>
      <c r="FW100" s="1319">
        <f t="shared" ca="1" si="1191"/>
        <v>0</v>
      </c>
      <c r="FX100" s="1319">
        <f t="shared" ca="1" si="1191"/>
        <v>0</v>
      </c>
      <c r="GJ100" s="1319">
        <f t="shared" ca="1" si="1192"/>
        <v>0</v>
      </c>
      <c r="GK100" s="1319">
        <f t="shared" ca="1" si="1192"/>
        <v>0</v>
      </c>
      <c r="GL100" s="1319">
        <f t="shared" ca="1" si="1192"/>
        <v>0</v>
      </c>
      <c r="GM100" s="1319">
        <f t="shared" ca="1" si="1192"/>
        <v>0</v>
      </c>
      <c r="GN100" s="1319">
        <f t="shared" ca="1" si="1192"/>
        <v>0</v>
      </c>
      <c r="GO100" s="1319">
        <f t="shared" ca="1" si="1192"/>
        <v>0</v>
      </c>
      <c r="GP100" s="1319">
        <f t="shared" ca="1" si="1192"/>
        <v>0</v>
      </c>
      <c r="GQ100" s="1319">
        <f t="shared" ca="1" si="1192"/>
        <v>0</v>
      </c>
      <c r="HC100" s="1319">
        <f t="shared" ca="1" si="1193"/>
        <v>2866.1133199999999</v>
      </c>
      <c r="HD100" s="1319">
        <f t="shared" ca="1" si="1193"/>
        <v>57.32226639999999</v>
      </c>
      <c r="HE100" s="1319">
        <f t="shared" ca="1" si="1193"/>
        <v>0</v>
      </c>
      <c r="HF100" s="1319">
        <f t="shared" ca="1" si="1193"/>
        <v>0</v>
      </c>
      <c r="HG100" s="1319">
        <f t="shared" ca="1" si="1193"/>
        <v>2808.7910499999998</v>
      </c>
      <c r="HH100" s="1319">
        <f t="shared" ca="1" si="1193"/>
        <v>57.32226639999999</v>
      </c>
      <c r="HT100" s="1319">
        <f t="shared" ca="1" si="1194"/>
        <v>0</v>
      </c>
      <c r="HU100" s="1319">
        <f t="shared" ca="1" si="1194"/>
        <v>57.32226639999999</v>
      </c>
      <c r="HV100" s="1319">
        <f t="shared" ca="1" si="1194"/>
        <v>57.32226639999999</v>
      </c>
      <c r="HW100" s="1319">
        <f t="shared" ca="1" si="1194"/>
        <v>57.32226639999999</v>
      </c>
      <c r="HX100" s="1319">
        <f t="shared" ca="1" si="1194"/>
        <v>14.674500200000001</v>
      </c>
      <c r="HY100" s="1319">
        <f t="shared" ca="1" si="1194"/>
        <v>42.6477662</v>
      </c>
      <c r="HZ100" s="1319">
        <f t="shared" ca="1" si="1194"/>
        <v>0</v>
      </c>
      <c r="IA100" s="1319">
        <f t="shared" ca="1" si="1194"/>
        <v>0</v>
      </c>
      <c r="IB100" s="1319">
        <f t="shared" ca="1" si="1194"/>
        <v>0</v>
      </c>
      <c r="IC100" s="1319">
        <f t="shared" ca="1" si="1194"/>
        <v>0</v>
      </c>
      <c r="ID100" s="1319">
        <f t="shared" ca="1" si="1194"/>
        <v>0</v>
      </c>
      <c r="IE100" s="1319">
        <f t="shared" ca="1" si="1194"/>
        <v>0</v>
      </c>
      <c r="IQ100" s="1319">
        <f t="shared" ca="1" si="1195"/>
        <v>14.674500200000001</v>
      </c>
      <c r="IR100" s="1319">
        <f t="shared" ca="1" si="1195"/>
        <v>42.6477662</v>
      </c>
      <c r="IS100" s="1319">
        <f t="shared" ca="1" si="1195"/>
        <v>2.7967199499999998E-2</v>
      </c>
      <c r="IT100" s="1319">
        <f t="shared" ca="1" si="1195"/>
        <v>42.675733399999999</v>
      </c>
      <c r="IU100" s="1319">
        <f t="shared" ca="1" si="1108"/>
        <v>2.1337866700000001</v>
      </c>
      <c r="IV100" s="1319">
        <f t="shared" ca="1" si="1195"/>
        <v>0.69917998599999998</v>
      </c>
      <c r="IW100" s="1319">
        <f t="shared" ca="1" si="1195"/>
        <v>0.67121278699999998</v>
      </c>
      <c r="IX100" s="1319">
        <f t="shared" ca="1" si="1109"/>
        <v>0</v>
      </c>
      <c r="IY100" s="1319">
        <f t="shared" ca="1" si="1195"/>
        <v>40.541946699999997</v>
      </c>
      <c r="IZ100" s="1319">
        <f t="shared" ca="1" si="1195"/>
        <v>0</v>
      </c>
      <c r="JA100" s="1319">
        <f t="shared" ca="1" si="1195"/>
        <v>0.69917998599999998</v>
      </c>
      <c r="JB100" s="1319">
        <f t="shared" ca="1" si="1195"/>
        <v>0</v>
      </c>
      <c r="JC100" s="1319">
        <f t="shared" ca="1" si="1195"/>
        <v>0</v>
      </c>
      <c r="JD100" s="1319">
        <f t="shared" ca="1" si="1195"/>
        <v>0</v>
      </c>
      <c r="JE100" s="1319">
        <f t="shared" ca="1" si="1195"/>
        <v>0</v>
      </c>
      <c r="JF100" s="1319">
        <f t="shared" ca="1" si="1195"/>
        <v>0</v>
      </c>
      <c r="JG100" s="1319">
        <f t="shared" ca="1" si="1195"/>
        <v>0</v>
      </c>
      <c r="JH100" s="1319">
        <f t="shared" ca="1" si="1195"/>
        <v>0</v>
      </c>
      <c r="JT100" s="1319">
        <f t="shared" ca="1" si="1196"/>
        <v>52.6961972</v>
      </c>
      <c r="JU100" s="1319">
        <f t="shared" ca="1" si="1196"/>
        <v>237.13288700000004</v>
      </c>
      <c r="JV100" s="1319">
        <f t="shared" ca="1" si="1196"/>
        <v>1.9650539799999998</v>
      </c>
      <c r="JW100" s="1319">
        <f t="shared" ca="1" si="1196"/>
        <v>39.158165099999998</v>
      </c>
      <c r="JX100" s="1319">
        <f t="shared" ca="1" si="1196"/>
        <v>0</v>
      </c>
      <c r="JY100" s="1319">
        <f t="shared" ca="1" si="1196"/>
        <v>0</v>
      </c>
      <c r="JZ100" s="1319">
        <f t="shared" ca="1" si="1196"/>
        <v>0</v>
      </c>
      <c r="KA100" s="1319">
        <f t="shared" ca="1" si="1196"/>
        <v>0</v>
      </c>
      <c r="KB100" s="1319">
        <f t="shared" ca="1" si="1196"/>
        <v>0</v>
      </c>
      <c r="KC100" s="1319">
        <f t="shared" ca="1" si="1196"/>
        <v>330.95230400000003</v>
      </c>
      <c r="KL100" s="1319">
        <f t="shared" ca="1" si="1197"/>
        <v>0</v>
      </c>
      <c r="KM100" s="1319">
        <f t="shared" ca="1" si="1197"/>
        <v>0</v>
      </c>
      <c r="KN100" s="1319">
        <f t="shared" ca="1" si="1197"/>
        <v>0</v>
      </c>
      <c r="KO100" s="1319">
        <f t="shared" ca="1" si="1197"/>
        <v>0</v>
      </c>
      <c r="KP100" s="1319">
        <f t="shared" ca="1" si="1197"/>
        <v>0</v>
      </c>
      <c r="KQ100" s="1319">
        <f t="shared" ca="1" si="1197"/>
        <v>0</v>
      </c>
      <c r="KR100" s="1319">
        <f t="shared" ca="1" si="1197"/>
        <v>0</v>
      </c>
      <c r="LA100" s="1319">
        <f t="shared" ca="1" si="1198"/>
        <v>0</v>
      </c>
      <c r="LB100" s="1319">
        <f t="shared" ca="1" si="1198"/>
        <v>0</v>
      </c>
      <c r="LC100" s="1319">
        <f t="shared" ca="1" si="1198"/>
        <v>0</v>
      </c>
      <c r="LD100" s="1319">
        <f t="shared" ca="1" si="1198"/>
        <v>0</v>
      </c>
      <c r="LE100" s="1319">
        <f t="shared" ca="1" si="1198"/>
        <v>0</v>
      </c>
      <c r="LF100" s="1319">
        <f t="shared" ca="1" si="1198"/>
        <v>0</v>
      </c>
      <c r="LG100" s="1319">
        <f t="shared" ca="1" si="1198"/>
        <v>0</v>
      </c>
      <c r="LH100" s="1319">
        <f t="shared" ca="1" si="1198"/>
        <v>0</v>
      </c>
      <c r="LI100" s="1319">
        <f t="shared" ca="1" si="1198"/>
        <v>0</v>
      </c>
      <c r="LJ100" s="1319">
        <f t="shared" ca="1" si="1198"/>
        <v>0</v>
      </c>
      <c r="LK100" s="1319">
        <f t="shared" ca="1" si="1198"/>
        <v>0</v>
      </c>
      <c r="LW100" s="1319">
        <f t="shared" ca="1" si="1113"/>
        <v>0</v>
      </c>
      <c r="LX100" s="1319">
        <f t="shared" ca="1" si="1199"/>
        <v>0</v>
      </c>
      <c r="LY100" s="1319">
        <f t="shared" ca="1" si="1199"/>
        <v>2808.7910499999998</v>
      </c>
      <c r="LZ100" s="1319">
        <f t="shared" ca="1" si="1199"/>
        <v>40.541946699999997</v>
      </c>
      <c r="MA100" s="1319">
        <f t="shared" ca="1" si="1199"/>
        <v>2849.3330000000001</v>
      </c>
      <c r="MB100" s="1319">
        <f t="shared" ca="1" si="1199"/>
        <v>0</v>
      </c>
      <c r="MC100" s="1319">
        <f t="shared" ca="1" si="1199"/>
        <v>0</v>
      </c>
      <c r="MD100" s="1319">
        <f t="shared" ca="1" si="1199"/>
        <v>0</v>
      </c>
      <c r="ME100" s="1319">
        <f t="shared" ca="1" si="1199"/>
        <v>0</v>
      </c>
      <c r="MF100" s="1319">
        <f t="shared" ca="1" si="1199"/>
        <v>0</v>
      </c>
      <c r="MG100" s="1319">
        <f t="shared" ca="1" si="1199"/>
        <v>0</v>
      </c>
      <c r="MH100" s="1319">
        <f t="shared" ca="1" si="1200"/>
        <v>0</v>
      </c>
      <c r="MI100" s="1319">
        <f t="shared" ca="1" si="1200"/>
        <v>0</v>
      </c>
      <c r="MJ100" s="1319">
        <f t="shared" ca="1" si="1199"/>
        <v>0</v>
      </c>
      <c r="MK100" s="1319">
        <f t="shared" ca="1" si="1199"/>
        <v>0</v>
      </c>
      <c r="ML100" s="1319">
        <f t="shared" ca="1" si="1199"/>
        <v>0</v>
      </c>
      <c r="MM100" s="1319">
        <f t="shared" ca="1" si="1199"/>
        <v>0</v>
      </c>
      <c r="MN100" s="1319">
        <f t="shared" ca="1" si="1199"/>
        <v>0</v>
      </c>
      <c r="MO100" s="1319">
        <f t="shared" ca="1" si="1199"/>
        <v>0</v>
      </c>
      <c r="NA100" s="1319">
        <f t="shared" ca="1" si="1201"/>
        <v>0</v>
      </c>
      <c r="NB100" s="1319">
        <f t="shared" ca="1" si="1201"/>
        <v>0</v>
      </c>
      <c r="NC100" s="1319">
        <f t="shared" ca="1" si="1201"/>
        <v>0</v>
      </c>
      <c r="ND100" s="1319">
        <f t="shared" ca="1" si="1201"/>
        <v>0</v>
      </c>
      <c r="NE100" s="1319">
        <f t="shared" ca="1" si="1201"/>
        <v>0</v>
      </c>
      <c r="NF100" s="1319">
        <f t="shared" ca="1" si="1201"/>
        <v>0</v>
      </c>
      <c r="NG100" s="1319">
        <f t="shared" ca="1" si="1201"/>
        <v>0</v>
      </c>
      <c r="NH100" s="1319">
        <f t="shared" ca="1" si="1201"/>
        <v>0</v>
      </c>
      <c r="NI100" s="1319">
        <f t="shared" ca="1" si="1201"/>
        <v>0</v>
      </c>
      <c r="NJ100" s="1319">
        <f t="shared" ca="1" si="1201"/>
        <v>0</v>
      </c>
      <c r="NK100" s="1319">
        <f t="shared" ca="1" si="1201"/>
        <v>0</v>
      </c>
      <c r="NL100" s="1319">
        <f t="shared" ca="1" si="1201"/>
        <v>0</v>
      </c>
      <c r="NM100" s="1319">
        <f t="shared" ca="1" si="1201"/>
        <v>0</v>
      </c>
      <c r="NN100" s="1319">
        <f t="shared" ca="1" si="1201"/>
        <v>0</v>
      </c>
      <c r="NO100" s="1319">
        <f t="shared" ca="1" si="1201"/>
        <v>0</v>
      </c>
      <c r="NP100" s="1319">
        <f t="shared" ca="1" si="1201"/>
        <v>0</v>
      </c>
      <c r="OH100" s="1319">
        <f t="shared" ca="1" si="1202"/>
        <v>0</v>
      </c>
      <c r="OI100" s="1319">
        <f t="shared" ca="1" si="1202"/>
        <v>0</v>
      </c>
      <c r="OJ100" s="1319">
        <f t="shared" ca="1" si="1202"/>
        <v>0</v>
      </c>
      <c r="OK100" s="1319">
        <f t="shared" ca="1" si="1202"/>
        <v>0</v>
      </c>
      <c r="OL100" s="1319">
        <f t="shared" ca="1" si="1202"/>
        <v>0</v>
      </c>
      <c r="OM100" s="1319">
        <f t="shared" ca="1" si="1202"/>
        <v>0</v>
      </c>
      <c r="ON100" s="1319">
        <f t="shared" ca="1" si="1202"/>
        <v>0</v>
      </c>
      <c r="OO100" s="1319">
        <f t="shared" ca="1" si="1202"/>
        <v>0</v>
      </c>
      <c r="PA100" s="1319">
        <f t="shared" ca="1" si="1203"/>
        <v>0</v>
      </c>
      <c r="PB100" s="1319">
        <f t="shared" ca="1" si="1203"/>
        <v>0</v>
      </c>
      <c r="PC100" s="1319">
        <f t="shared" ca="1" si="1203"/>
        <v>0</v>
      </c>
      <c r="PD100" s="1319">
        <f t="shared" ca="1" si="1203"/>
        <v>0</v>
      </c>
      <c r="PE100" s="1319">
        <f t="shared" ca="1" si="1203"/>
        <v>0</v>
      </c>
      <c r="PF100" s="1319">
        <f t="shared" ca="1" si="1203"/>
        <v>0</v>
      </c>
      <c r="PG100" s="1319">
        <f t="shared" ca="1" si="1203"/>
        <v>0</v>
      </c>
      <c r="PH100" s="1319">
        <f t="shared" ca="1" si="1203"/>
        <v>0</v>
      </c>
      <c r="PI100" s="1319">
        <f t="shared" ca="1" si="1203"/>
        <v>0</v>
      </c>
      <c r="PJ100" s="1319">
        <f t="shared" ca="1" si="1203"/>
        <v>0</v>
      </c>
      <c r="PK100" s="1319">
        <f t="shared" ca="1" si="1203"/>
        <v>0</v>
      </c>
      <c r="PW100" s="1319">
        <f t="shared" ca="1" si="1204"/>
        <v>0</v>
      </c>
      <c r="PX100" s="1319">
        <f t="shared" ca="1" si="1204"/>
        <v>0</v>
      </c>
      <c r="PY100" s="1319">
        <f t="shared" ca="1" si="1204"/>
        <v>0</v>
      </c>
      <c r="PZ100" s="1319">
        <f t="shared" ca="1" si="1204"/>
        <v>0</v>
      </c>
    </row>
    <row r="101" spans="1:442" x14ac:dyDescent="0.25">
      <c r="A101" s="189">
        <v>135</v>
      </c>
      <c r="B101" s="189" t="s">
        <v>1320</v>
      </c>
      <c r="C101" s="1317" t="s">
        <v>1283</v>
      </c>
      <c r="D101" s="1317" t="s">
        <v>206</v>
      </c>
      <c r="J101" s="1319">
        <f t="shared" ca="1" si="1207"/>
        <v>4107.8476600000004</v>
      </c>
      <c r="K101" s="1319">
        <f t="shared" ca="1" si="1210"/>
        <v>4107.8476600000004</v>
      </c>
      <c r="T101" s="1319">
        <f t="shared" ca="1" si="1208"/>
        <v>4107.8476600000004</v>
      </c>
      <c r="U101" s="1319">
        <f t="shared" ca="1" si="1208"/>
        <v>0</v>
      </c>
      <c r="V101" s="1319">
        <f t="shared" ca="1" si="1208"/>
        <v>0</v>
      </c>
      <c r="W101" s="1319">
        <f t="shared" ca="1" si="1208"/>
        <v>0</v>
      </c>
      <c r="X101" s="1319">
        <f t="shared" ca="1" si="1208"/>
        <v>0</v>
      </c>
      <c r="Y101" s="1319">
        <f t="shared" ca="1" si="1208"/>
        <v>4107.8476600000004</v>
      </c>
      <c r="Z101" s="1319">
        <f t="shared" ca="1" si="1208"/>
        <v>0</v>
      </c>
      <c r="AA101" s="1319">
        <f t="shared" ca="1" si="1208"/>
        <v>4107.8476600000004</v>
      </c>
      <c r="AB101" s="1319">
        <f t="shared" ca="1" si="1208"/>
        <v>0</v>
      </c>
      <c r="AC101" s="1319">
        <f t="shared" ca="1" si="1208"/>
        <v>0</v>
      </c>
      <c r="AD101" s="1319">
        <f t="shared" ca="1" si="1208"/>
        <v>0</v>
      </c>
      <c r="AM101" s="1319">
        <f t="shared" ca="1" si="1209"/>
        <v>0</v>
      </c>
      <c r="AN101" s="1319">
        <f t="shared" ca="1" si="1209"/>
        <v>0</v>
      </c>
      <c r="AO101" s="1319">
        <f t="shared" ca="1" si="1209"/>
        <v>4107.8476600000004</v>
      </c>
      <c r="AP101" s="1319">
        <f t="shared" ca="1" si="1209"/>
        <v>4107.8476600000004</v>
      </c>
      <c r="AQ101" s="1319">
        <f t="shared" ca="1" si="1209"/>
        <v>0</v>
      </c>
      <c r="AR101" s="1319">
        <f t="shared" ca="1" si="1209"/>
        <v>0</v>
      </c>
      <c r="AS101" s="1319">
        <f t="shared" ca="1" si="1209"/>
        <v>0</v>
      </c>
      <c r="AT101" s="1319">
        <f t="shared" ca="1" si="1209"/>
        <v>0</v>
      </c>
      <c r="AU101" s="1319">
        <f t="shared" ca="1" si="1209"/>
        <v>0</v>
      </c>
      <c r="AV101" s="1319">
        <f t="shared" ca="1" si="1209"/>
        <v>4107.8476600000004</v>
      </c>
      <c r="AW101" s="1319">
        <f t="shared" ca="1" si="1209"/>
        <v>0</v>
      </c>
      <c r="AX101" s="1319">
        <f t="shared" ca="1" si="1209"/>
        <v>0</v>
      </c>
      <c r="AY101" s="1319">
        <f t="shared" ca="1" si="1209"/>
        <v>0</v>
      </c>
      <c r="AZ101" s="1319">
        <f t="shared" ca="1" si="1209"/>
        <v>0</v>
      </c>
      <c r="BA101" s="1319">
        <f t="shared" ca="1" si="1209"/>
        <v>0</v>
      </c>
      <c r="BB101" s="1319">
        <f t="shared" ca="1" si="1209"/>
        <v>4107.8476600000004</v>
      </c>
      <c r="BN101" s="1319">
        <f t="shared" ca="1" si="1186"/>
        <v>410.78476599999999</v>
      </c>
      <c r="BO101" s="1319">
        <f t="shared" ca="1" si="1186"/>
        <v>410.78476599999999</v>
      </c>
      <c r="BP101" s="1319">
        <f t="shared" ca="1" si="1186"/>
        <v>0</v>
      </c>
      <c r="BQ101" s="1319">
        <f t="shared" ca="1" si="1186"/>
        <v>0</v>
      </c>
      <c r="BR101" s="1319">
        <f t="shared" ca="1" si="1186"/>
        <v>0</v>
      </c>
      <c r="CD101" s="1319">
        <f t="shared" ca="1" si="1187"/>
        <v>4107.8476600000004</v>
      </c>
      <c r="CE101" s="1319">
        <f t="shared" ca="1" si="1187"/>
        <v>4107.8476600000004</v>
      </c>
      <c r="CF101" s="1319">
        <f t="shared" ca="1" si="1187"/>
        <v>410.78476599999999</v>
      </c>
      <c r="CG101" s="1319">
        <f t="shared" ca="1" si="1187"/>
        <v>410.78476599999999</v>
      </c>
      <c r="CH101" s="1319">
        <f t="shared" ca="1" si="1187"/>
        <v>4107.8476600000004</v>
      </c>
      <c r="CI101" s="1319">
        <f t="shared" ca="1" si="1187"/>
        <v>0</v>
      </c>
      <c r="CJ101" s="1319">
        <f t="shared" ca="1" si="1187"/>
        <v>0</v>
      </c>
      <c r="CK101" s="1319">
        <f t="shared" ca="1" si="1187"/>
        <v>4107.8476600000004</v>
      </c>
      <c r="CL101" s="1319">
        <f t="shared" ca="1" si="1187"/>
        <v>0</v>
      </c>
      <c r="CM101" s="1319">
        <f t="shared" ca="1" si="1187"/>
        <v>0</v>
      </c>
      <c r="CN101" s="1319">
        <f t="shared" ca="1" si="1187"/>
        <v>4107.8476600000004</v>
      </c>
      <c r="CO101" s="1319">
        <f t="shared" ca="1" si="1187"/>
        <v>0</v>
      </c>
      <c r="DA101" s="1319">
        <f t="shared" ca="1" si="1188"/>
        <v>0</v>
      </c>
      <c r="DB101" s="1319">
        <f t="shared" ca="1" si="1188"/>
        <v>0</v>
      </c>
      <c r="DC101" s="1319">
        <f t="shared" ca="1" si="1188"/>
        <v>0</v>
      </c>
      <c r="DD101" s="1319">
        <f t="shared" ca="1" si="1188"/>
        <v>0</v>
      </c>
      <c r="DE101" s="1319">
        <f t="shared" ca="1" si="1188"/>
        <v>0</v>
      </c>
      <c r="DF101" s="1319">
        <f t="shared" ca="1" si="1188"/>
        <v>0</v>
      </c>
      <c r="DG101" s="1319">
        <f t="shared" ca="1" si="1188"/>
        <v>0</v>
      </c>
      <c r="DH101" s="1319">
        <f t="shared" ca="1" si="1188"/>
        <v>0</v>
      </c>
      <c r="DI101" s="1319">
        <f t="shared" ca="1" si="1188"/>
        <v>0</v>
      </c>
      <c r="DJ101" s="1319">
        <f t="shared" ca="1" si="1188"/>
        <v>0</v>
      </c>
      <c r="DV101" s="1319">
        <f t="shared" ca="1" si="1189"/>
        <v>0</v>
      </c>
      <c r="DW101" s="1319">
        <f t="shared" ca="1" si="1189"/>
        <v>0</v>
      </c>
      <c r="DX101" s="1319">
        <f t="shared" ca="1" si="1189"/>
        <v>0</v>
      </c>
      <c r="DY101" s="1319">
        <f t="shared" ca="1" si="1189"/>
        <v>0</v>
      </c>
      <c r="DZ101" s="1319">
        <f t="shared" ca="1" si="1189"/>
        <v>0</v>
      </c>
      <c r="EA101" s="1319">
        <f t="shared" ca="1" si="1189"/>
        <v>0</v>
      </c>
      <c r="EB101" s="1319">
        <f t="shared" ca="1" si="1189"/>
        <v>0</v>
      </c>
      <c r="EC101" s="1319">
        <f t="shared" ca="1" si="1189"/>
        <v>0</v>
      </c>
      <c r="ED101" s="1319">
        <f t="shared" ca="1" si="1189"/>
        <v>0</v>
      </c>
      <c r="EE101" s="1319">
        <f t="shared" ca="1" si="1189"/>
        <v>0</v>
      </c>
      <c r="EF101" s="1319">
        <f t="shared" ca="1" si="1189"/>
        <v>0</v>
      </c>
      <c r="EG101" s="1319">
        <f t="shared" ca="1" si="1189"/>
        <v>0</v>
      </c>
      <c r="EH101" s="1319">
        <f t="shared" ca="1" si="1189"/>
        <v>0</v>
      </c>
      <c r="EI101" s="1319">
        <f t="shared" ca="1" si="1189"/>
        <v>0</v>
      </c>
      <c r="EJ101" s="1319">
        <f t="shared" ca="1" si="1101"/>
        <v>0</v>
      </c>
      <c r="EK101" s="1319">
        <f t="shared" ca="1" si="1189"/>
        <v>0</v>
      </c>
      <c r="EW101" s="1319">
        <f t="shared" ca="1" si="1190"/>
        <v>4107.8476600000004</v>
      </c>
      <c r="EX101" s="1319">
        <f t="shared" ca="1" si="1190"/>
        <v>4107.8476600000004</v>
      </c>
      <c r="EY101" s="1319">
        <f t="shared" ca="1" si="1190"/>
        <v>4107.8476600000004</v>
      </c>
      <c r="EZ101" s="1319">
        <f t="shared" ca="1" si="1190"/>
        <v>4107.8476600000004</v>
      </c>
      <c r="FA101" s="1319">
        <f t="shared" ca="1" si="1190"/>
        <v>0</v>
      </c>
      <c r="FB101" s="1319">
        <f t="shared" ca="1" si="1190"/>
        <v>0</v>
      </c>
      <c r="FN101" s="1319">
        <f t="shared" ca="1" si="1191"/>
        <v>0</v>
      </c>
      <c r="FO101" s="1319">
        <f t="shared" ca="1" si="1191"/>
        <v>0</v>
      </c>
      <c r="FP101" s="1319">
        <f t="shared" ca="1" si="1191"/>
        <v>0</v>
      </c>
      <c r="FQ101" s="1319">
        <f t="shared" ca="1" si="1191"/>
        <v>0</v>
      </c>
      <c r="FR101" s="1319">
        <f t="shared" ca="1" si="1191"/>
        <v>0</v>
      </c>
      <c r="FS101" s="1319">
        <f t="shared" ca="1" si="1191"/>
        <v>0</v>
      </c>
      <c r="FT101" s="1319">
        <f t="shared" ca="1" si="1191"/>
        <v>0</v>
      </c>
      <c r="FU101" s="1319">
        <f t="shared" ca="1" si="1191"/>
        <v>0</v>
      </c>
      <c r="FV101" s="1319">
        <f t="shared" ca="1" si="1191"/>
        <v>0</v>
      </c>
      <c r="FW101" s="1319">
        <f t="shared" ca="1" si="1191"/>
        <v>0</v>
      </c>
      <c r="FX101" s="1319">
        <f t="shared" ca="1" si="1191"/>
        <v>0</v>
      </c>
      <c r="GJ101" s="1319">
        <f t="shared" ca="1" si="1192"/>
        <v>0</v>
      </c>
      <c r="GK101" s="1319">
        <f t="shared" ca="1" si="1192"/>
        <v>0</v>
      </c>
      <c r="GL101" s="1319">
        <f t="shared" ca="1" si="1192"/>
        <v>0</v>
      </c>
      <c r="GM101" s="1319">
        <f t="shared" ca="1" si="1192"/>
        <v>0</v>
      </c>
      <c r="GN101" s="1319">
        <f t="shared" ca="1" si="1192"/>
        <v>0</v>
      </c>
      <c r="GO101" s="1319">
        <f t="shared" ca="1" si="1192"/>
        <v>0</v>
      </c>
      <c r="GP101" s="1319">
        <f t="shared" ca="1" si="1192"/>
        <v>0</v>
      </c>
      <c r="GQ101" s="1319">
        <f t="shared" ca="1" si="1192"/>
        <v>0</v>
      </c>
      <c r="HC101" s="1319">
        <f t="shared" ca="1" si="1193"/>
        <v>4107.8476600000004</v>
      </c>
      <c r="HD101" s="1319">
        <f t="shared" ca="1" si="1193"/>
        <v>82.156953099999996</v>
      </c>
      <c r="HE101" s="1319">
        <f t="shared" ca="1" si="1193"/>
        <v>0</v>
      </c>
      <c r="HF101" s="1319">
        <f t="shared" ca="1" si="1193"/>
        <v>0</v>
      </c>
      <c r="HG101" s="1319">
        <f t="shared" ca="1" si="1193"/>
        <v>4025.6906999999997</v>
      </c>
      <c r="HH101" s="1319">
        <f t="shared" ca="1" si="1193"/>
        <v>82.156953099999996</v>
      </c>
      <c r="HT101" s="1319">
        <f t="shared" ca="1" si="1194"/>
        <v>0</v>
      </c>
      <c r="HU101" s="1319">
        <f t="shared" ca="1" si="1194"/>
        <v>82.156953099999996</v>
      </c>
      <c r="HV101" s="1319">
        <f t="shared" ca="1" si="1194"/>
        <v>82.156953099999996</v>
      </c>
      <c r="HW101" s="1319">
        <f t="shared" ca="1" si="1194"/>
        <v>82.156953099999996</v>
      </c>
      <c r="HX101" s="1319">
        <f t="shared" ca="1" si="1194"/>
        <v>21.03218</v>
      </c>
      <c r="HY101" s="1319">
        <f t="shared" ca="1" si="1194"/>
        <v>61.124773099999999</v>
      </c>
      <c r="HZ101" s="1319">
        <f t="shared" ca="1" si="1194"/>
        <v>0</v>
      </c>
      <c r="IA101" s="1319">
        <f t="shared" ca="1" si="1194"/>
        <v>0</v>
      </c>
      <c r="IB101" s="1319">
        <f t="shared" ca="1" si="1194"/>
        <v>0</v>
      </c>
      <c r="IC101" s="1319">
        <f t="shared" ca="1" si="1194"/>
        <v>0</v>
      </c>
      <c r="ID101" s="1319">
        <f t="shared" ca="1" si="1194"/>
        <v>0</v>
      </c>
      <c r="IE101" s="1319">
        <f t="shared" ca="1" si="1194"/>
        <v>0</v>
      </c>
      <c r="IQ101" s="1319">
        <f t="shared" ca="1" si="1195"/>
        <v>21.03218</v>
      </c>
      <c r="IR101" s="1319">
        <f t="shared" ca="1" si="1195"/>
        <v>61.124773099999999</v>
      </c>
      <c r="IS101" s="1319">
        <f t="shared" ca="1" si="1195"/>
        <v>25.356230199999999</v>
      </c>
      <c r="IT101" s="1319">
        <f t="shared" ca="1" si="1195"/>
        <v>86.481003299999998</v>
      </c>
      <c r="IU101" s="1319">
        <f t="shared" ca="1" si="1108"/>
        <v>4.3240501699999996</v>
      </c>
      <c r="IV101" s="1319">
        <f t="shared" ca="1" si="1195"/>
        <v>633.905754</v>
      </c>
      <c r="IW101" s="1319">
        <f t="shared" ca="1" si="1195"/>
        <v>608.54952400000002</v>
      </c>
      <c r="IX101" s="1319">
        <f t="shared" ca="1" si="1109"/>
        <v>0</v>
      </c>
      <c r="IY101" s="1319">
        <f t="shared" ca="1" si="1195"/>
        <v>82.156953099999996</v>
      </c>
      <c r="IZ101" s="1319">
        <f t="shared" ca="1" si="1195"/>
        <v>0</v>
      </c>
      <c r="JA101" s="1319">
        <f t="shared" ca="1" si="1195"/>
        <v>633.905754</v>
      </c>
      <c r="JB101" s="1319">
        <f t="shared" ca="1" si="1195"/>
        <v>0</v>
      </c>
      <c r="JC101" s="1319">
        <f t="shared" ca="1" si="1195"/>
        <v>0</v>
      </c>
      <c r="JD101" s="1319">
        <f t="shared" ca="1" si="1195"/>
        <v>0</v>
      </c>
      <c r="JE101" s="1319">
        <f t="shared" ca="1" si="1195"/>
        <v>0</v>
      </c>
      <c r="JF101" s="1319">
        <f t="shared" ca="1" si="1195"/>
        <v>0</v>
      </c>
      <c r="JG101" s="1319">
        <f t="shared" ca="1" si="1195"/>
        <v>0</v>
      </c>
      <c r="JH101" s="1319">
        <f t="shared" ca="1" si="1195"/>
        <v>0</v>
      </c>
      <c r="JT101" s="1319">
        <f t="shared" ca="1" si="1196"/>
        <v>0</v>
      </c>
      <c r="JU101" s="1319">
        <f t="shared" ca="1" si="1196"/>
        <v>0</v>
      </c>
      <c r="JV101" s="1319">
        <f t="shared" ca="1" si="1196"/>
        <v>0</v>
      </c>
      <c r="JW101" s="1319">
        <f t="shared" ca="1" si="1196"/>
        <v>0</v>
      </c>
      <c r="JX101" s="1319">
        <f t="shared" ca="1" si="1196"/>
        <v>0</v>
      </c>
      <c r="JY101" s="1319">
        <f t="shared" ca="1" si="1196"/>
        <v>0</v>
      </c>
      <c r="JZ101" s="1319">
        <f t="shared" ca="1" si="1196"/>
        <v>0</v>
      </c>
      <c r="KA101" s="1319">
        <f t="shared" ca="1" si="1196"/>
        <v>0</v>
      </c>
      <c r="KB101" s="1319">
        <f t="shared" ca="1" si="1196"/>
        <v>0</v>
      </c>
      <c r="KC101" s="1319">
        <f t="shared" ca="1" si="1196"/>
        <v>0</v>
      </c>
      <c r="KL101" s="1319">
        <f t="shared" ca="1" si="1197"/>
        <v>0</v>
      </c>
      <c r="KM101" s="1319">
        <f t="shared" ca="1" si="1197"/>
        <v>0</v>
      </c>
      <c r="KN101" s="1319">
        <f t="shared" ca="1" si="1197"/>
        <v>0</v>
      </c>
      <c r="KO101" s="1319">
        <f t="shared" ca="1" si="1197"/>
        <v>0</v>
      </c>
      <c r="KP101" s="1319">
        <f t="shared" ca="1" si="1197"/>
        <v>0</v>
      </c>
      <c r="KQ101" s="1319">
        <f t="shared" ca="1" si="1197"/>
        <v>0</v>
      </c>
      <c r="KR101" s="1319">
        <f t="shared" ca="1" si="1197"/>
        <v>0</v>
      </c>
      <c r="LA101" s="1319">
        <f t="shared" ca="1" si="1198"/>
        <v>0</v>
      </c>
      <c r="LB101" s="1319">
        <f t="shared" ca="1" si="1198"/>
        <v>0</v>
      </c>
      <c r="LC101" s="1319">
        <f t="shared" ca="1" si="1198"/>
        <v>0</v>
      </c>
      <c r="LD101" s="1319">
        <f t="shared" ca="1" si="1198"/>
        <v>0</v>
      </c>
      <c r="LE101" s="1319">
        <f t="shared" ca="1" si="1198"/>
        <v>0</v>
      </c>
      <c r="LF101" s="1319">
        <f t="shared" ca="1" si="1198"/>
        <v>4107.8476600000004</v>
      </c>
      <c r="LG101" s="1319">
        <f t="shared" ca="1" si="1198"/>
        <v>4107.8476600000004</v>
      </c>
      <c r="LH101" s="1319">
        <f t="shared" ca="1" si="1198"/>
        <v>4107.8476600000004</v>
      </c>
      <c r="LI101" s="1319">
        <f t="shared" ca="1" si="1198"/>
        <v>0</v>
      </c>
      <c r="LJ101" s="1319">
        <f t="shared" ca="1" si="1198"/>
        <v>0</v>
      </c>
      <c r="LK101" s="1319">
        <f t="shared" ca="1" si="1198"/>
        <v>0</v>
      </c>
      <c r="LW101" s="1319">
        <f t="shared" ca="1" si="1113"/>
        <v>0</v>
      </c>
      <c r="LX101" s="1319">
        <f t="shared" ca="1" si="1199"/>
        <v>0</v>
      </c>
      <c r="LY101" s="1319">
        <f t="shared" ca="1" si="1199"/>
        <v>4025.6906999999997</v>
      </c>
      <c r="LZ101" s="1319">
        <f t="shared" ca="1" si="1199"/>
        <v>82.156953099999996</v>
      </c>
      <c r="MA101" s="1319">
        <f t="shared" ca="1" si="1199"/>
        <v>4107.8476600000004</v>
      </c>
      <c r="MB101" s="1319">
        <f t="shared" ca="1" si="1199"/>
        <v>0</v>
      </c>
      <c r="MC101" s="1319">
        <f t="shared" ca="1" si="1199"/>
        <v>4107.8476600000004</v>
      </c>
      <c r="MD101" s="1319">
        <f t="shared" ca="1" si="1199"/>
        <v>0</v>
      </c>
      <c r="ME101" s="1319">
        <f t="shared" ca="1" si="1199"/>
        <v>0</v>
      </c>
      <c r="MF101" s="1319">
        <f t="shared" ca="1" si="1199"/>
        <v>0</v>
      </c>
      <c r="MG101" s="1319">
        <f t="shared" ca="1" si="1199"/>
        <v>0</v>
      </c>
      <c r="MH101" s="1319">
        <f t="shared" ca="1" si="1200"/>
        <v>0</v>
      </c>
      <c r="MI101" s="1319">
        <f t="shared" ca="1" si="1200"/>
        <v>0</v>
      </c>
      <c r="MJ101" s="1319">
        <f t="shared" ca="1" si="1199"/>
        <v>0</v>
      </c>
      <c r="MK101" s="1319">
        <f t="shared" ca="1" si="1199"/>
        <v>0</v>
      </c>
      <c r="ML101" s="1319">
        <f t="shared" ca="1" si="1199"/>
        <v>0</v>
      </c>
      <c r="MM101" s="1319">
        <f t="shared" ca="1" si="1199"/>
        <v>0</v>
      </c>
      <c r="MN101" s="1319">
        <f t="shared" ca="1" si="1199"/>
        <v>0</v>
      </c>
      <c r="MO101" s="1319">
        <f t="shared" ca="1" si="1199"/>
        <v>0</v>
      </c>
      <c r="NA101" s="1319">
        <f t="shared" ca="1" si="1201"/>
        <v>0</v>
      </c>
      <c r="NB101" s="1319">
        <f t="shared" ca="1" si="1201"/>
        <v>0</v>
      </c>
      <c r="NC101" s="1319">
        <f t="shared" ca="1" si="1201"/>
        <v>0</v>
      </c>
      <c r="ND101" s="1319">
        <f t="shared" ca="1" si="1201"/>
        <v>0</v>
      </c>
      <c r="NE101" s="1319">
        <f t="shared" ca="1" si="1201"/>
        <v>0</v>
      </c>
      <c r="NF101" s="1319">
        <f t="shared" ca="1" si="1201"/>
        <v>0</v>
      </c>
      <c r="NG101" s="1319">
        <f t="shared" ca="1" si="1201"/>
        <v>0</v>
      </c>
      <c r="NH101" s="1319">
        <f t="shared" ca="1" si="1201"/>
        <v>0</v>
      </c>
      <c r="NI101" s="1319">
        <f t="shared" ca="1" si="1201"/>
        <v>0</v>
      </c>
      <c r="NJ101" s="1319">
        <f t="shared" ca="1" si="1201"/>
        <v>0</v>
      </c>
      <c r="NK101" s="1319">
        <f t="shared" ca="1" si="1201"/>
        <v>0</v>
      </c>
      <c r="NL101" s="1319">
        <f t="shared" ca="1" si="1201"/>
        <v>0</v>
      </c>
      <c r="NM101" s="1319">
        <f t="shared" ca="1" si="1201"/>
        <v>0</v>
      </c>
      <c r="NN101" s="1319">
        <f t="shared" ca="1" si="1201"/>
        <v>0</v>
      </c>
      <c r="NO101" s="1319">
        <f t="shared" ca="1" si="1201"/>
        <v>0</v>
      </c>
      <c r="NP101" s="1319">
        <f t="shared" ca="1" si="1201"/>
        <v>0</v>
      </c>
      <c r="OH101" s="1319">
        <f t="shared" ca="1" si="1202"/>
        <v>0</v>
      </c>
      <c r="OI101" s="1319">
        <f t="shared" ca="1" si="1202"/>
        <v>0</v>
      </c>
      <c r="OJ101" s="1319">
        <f t="shared" ca="1" si="1202"/>
        <v>0</v>
      </c>
      <c r="OK101" s="1319">
        <f t="shared" ca="1" si="1202"/>
        <v>0</v>
      </c>
      <c r="OL101" s="1319">
        <f t="shared" ca="1" si="1202"/>
        <v>0</v>
      </c>
      <c r="OM101" s="1319">
        <f t="shared" ca="1" si="1202"/>
        <v>0</v>
      </c>
      <c r="ON101" s="1319">
        <f t="shared" ca="1" si="1202"/>
        <v>0</v>
      </c>
      <c r="OO101" s="1319">
        <f t="shared" ca="1" si="1202"/>
        <v>0</v>
      </c>
      <c r="PA101" s="1319">
        <f t="shared" ca="1" si="1203"/>
        <v>0</v>
      </c>
      <c r="PB101" s="1319">
        <f t="shared" ca="1" si="1203"/>
        <v>0</v>
      </c>
      <c r="PC101" s="1319">
        <f t="shared" ca="1" si="1203"/>
        <v>0</v>
      </c>
      <c r="PD101" s="1319">
        <f t="shared" ca="1" si="1203"/>
        <v>0</v>
      </c>
      <c r="PE101" s="1319">
        <f t="shared" ca="1" si="1203"/>
        <v>0</v>
      </c>
      <c r="PF101" s="1319">
        <f t="shared" ca="1" si="1203"/>
        <v>0</v>
      </c>
      <c r="PG101" s="1319">
        <f t="shared" ca="1" si="1203"/>
        <v>0</v>
      </c>
      <c r="PH101" s="1319">
        <f t="shared" ca="1" si="1203"/>
        <v>0</v>
      </c>
      <c r="PI101" s="1319">
        <f t="shared" ca="1" si="1203"/>
        <v>0</v>
      </c>
      <c r="PJ101" s="1319">
        <f t="shared" ca="1" si="1203"/>
        <v>0</v>
      </c>
      <c r="PK101" s="1319">
        <f t="shared" ca="1" si="1203"/>
        <v>0</v>
      </c>
      <c r="PW101" s="1319">
        <f t="shared" ca="1" si="1204"/>
        <v>0</v>
      </c>
      <c r="PX101" s="1319">
        <f t="shared" ca="1" si="1204"/>
        <v>0</v>
      </c>
      <c r="PY101" s="1319">
        <f t="shared" ca="1" si="1204"/>
        <v>0</v>
      </c>
      <c r="PZ101" s="1319">
        <f t="shared" ca="1" si="1204"/>
        <v>0</v>
      </c>
    </row>
    <row r="102" spans="1:442" x14ac:dyDescent="0.25">
      <c r="A102" s="189">
        <v>136</v>
      </c>
      <c r="B102" s="189" t="s">
        <v>1320</v>
      </c>
      <c r="C102" s="1317" t="s">
        <v>1308</v>
      </c>
      <c r="D102" s="1317" t="s">
        <v>206</v>
      </c>
      <c r="J102" s="1319">
        <f t="shared" ca="1" si="1207"/>
        <v>0</v>
      </c>
      <c r="K102" s="1319">
        <f t="shared" ca="1" si="1210"/>
        <v>0</v>
      </c>
      <c r="T102" s="1319">
        <f t="shared" ca="1" si="1208"/>
        <v>0</v>
      </c>
      <c r="U102" s="1319">
        <f t="shared" ca="1" si="1208"/>
        <v>0</v>
      </c>
      <c r="V102" s="1319">
        <f t="shared" ca="1" si="1208"/>
        <v>0</v>
      </c>
      <c r="W102" s="1319">
        <f t="shared" ca="1" si="1208"/>
        <v>0</v>
      </c>
      <c r="X102" s="1319">
        <f t="shared" ca="1" si="1208"/>
        <v>0</v>
      </c>
      <c r="Y102" s="1319">
        <f t="shared" ca="1" si="1208"/>
        <v>0</v>
      </c>
      <c r="Z102" s="1319">
        <f t="shared" ca="1" si="1208"/>
        <v>0</v>
      </c>
      <c r="AA102" s="1319">
        <f t="shared" ca="1" si="1208"/>
        <v>0</v>
      </c>
      <c r="AB102" s="1319">
        <f t="shared" ca="1" si="1208"/>
        <v>0</v>
      </c>
      <c r="AC102" s="1319">
        <f t="shared" ca="1" si="1208"/>
        <v>0</v>
      </c>
      <c r="AD102" s="1319">
        <f t="shared" ca="1" si="1208"/>
        <v>0</v>
      </c>
      <c r="AM102" s="1319">
        <f t="shared" ca="1" si="1209"/>
        <v>0</v>
      </c>
      <c r="AN102" s="1319">
        <f t="shared" ca="1" si="1209"/>
        <v>0</v>
      </c>
      <c r="AO102" s="1319">
        <f t="shared" ca="1" si="1209"/>
        <v>0</v>
      </c>
      <c r="AP102" s="1319">
        <f t="shared" ca="1" si="1209"/>
        <v>0</v>
      </c>
      <c r="AQ102" s="1319">
        <f t="shared" ca="1" si="1209"/>
        <v>0</v>
      </c>
      <c r="AR102" s="1319">
        <f t="shared" ca="1" si="1209"/>
        <v>0</v>
      </c>
      <c r="AS102" s="1319">
        <f t="shared" ca="1" si="1209"/>
        <v>0</v>
      </c>
      <c r="AT102" s="1319">
        <f t="shared" ca="1" si="1209"/>
        <v>0</v>
      </c>
      <c r="AU102" s="1319">
        <f t="shared" ca="1" si="1209"/>
        <v>0</v>
      </c>
      <c r="AV102" s="1319">
        <f t="shared" ca="1" si="1209"/>
        <v>0</v>
      </c>
      <c r="AW102" s="1319">
        <f t="shared" ca="1" si="1209"/>
        <v>0</v>
      </c>
      <c r="AX102" s="1319">
        <f t="shared" ca="1" si="1209"/>
        <v>0</v>
      </c>
      <c r="AY102" s="1319">
        <f t="shared" ca="1" si="1209"/>
        <v>0</v>
      </c>
      <c r="AZ102" s="1319">
        <f t="shared" ca="1" si="1209"/>
        <v>0</v>
      </c>
      <c r="BA102" s="1319">
        <f t="shared" ca="1" si="1209"/>
        <v>0</v>
      </c>
      <c r="BB102" s="1319">
        <f t="shared" ca="1" si="1209"/>
        <v>0</v>
      </c>
      <c r="BN102" s="1319">
        <f t="shared" ca="1" si="1186"/>
        <v>52.080320399999998</v>
      </c>
      <c r="BO102" s="1319">
        <f t="shared" ca="1" si="1186"/>
        <v>52.080320399999998</v>
      </c>
      <c r="BP102" s="1319">
        <f t="shared" ca="1" si="1186"/>
        <v>0</v>
      </c>
      <c r="BQ102" s="1319">
        <f t="shared" ca="1" si="1186"/>
        <v>0</v>
      </c>
      <c r="BR102" s="1319">
        <f t="shared" ca="1" si="1186"/>
        <v>0</v>
      </c>
      <c r="CD102" s="1319">
        <f t="shared" ca="1" si="1187"/>
        <v>0</v>
      </c>
      <c r="CE102" s="1319">
        <f t="shared" ca="1" si="1187"/>
        <v>0</v>
      </c>
      <c r="CF102" s="1319">
        <f t="shared" ca="1" si="1187"/>
        <v>52.080320399999998</v>
      </c>
      <c r="CG102" s="1319">
        <f t="shared" ca="1" si="1187"/>
        <v>52.080320399999998</v>
      </c>
      <c r="CH102" s="1319">
        <f t="shared" ca="1" si="1187"/>
        <v>520.80320400000005</v>
      </c>
      <c r="CI102" s="1319">
        <f t="shared" ca="1" si="1187"/>
        <v>0</v>
      </c>
      <c r="CJ102" s="1319">
        <f t="shared" ca="1" si="1187"/>
        <v>0</v>
      </c>
      <c r="CK102" s="1319">
        <f t="shared" ca="1" si="1187"/>
        <v>520.80320400000005</v>
      </c>
      <c r="CL102" s="1319">
        <f t="shared" ca="1" si="1187"/>
        <v>0</v>
      </c>
      <c r="CM102" s="1319">
        <f t="shared" ca="1" si="1187"/>
        <v>520.80320400000005</v>
      </c>
      <c r="CN102" s="1319">
        <f t="shared" ca="1" si="1187"/>
        <v>520.80320400000005</v>
      </c>
      <c r="CO102" s="1319">
        <f t="shared" ca="1" si="1187"/>
        <v>0</v>
      </c>
      <c r="DA102" s="1319">
        <f t="shared" ca="1" si="1188"/>
        <v>0</v>
      </c>
      <c r="DB102" s="1319">
        <f t="shared" ca="1" si="1188"/>
        <v>0</v>
      </c>
      <c r="DC102" s="1319">
        <f t="shared" ca="1" si="1188"/>
        <v>0</v>
      </c>
      <c r="DD102" s="1319">
        <f t="shared" ca="1" si="1188"/>
        <v>0</v>
      </c>
      <c r="DE102" s="1319">
        <f t="shared" ca="1" si="1188"/>
        <v>1.5108883200000001</v>
      </c>
      <c r="DF102" s="1319">
        <f t="shared" ca="1" si="1188"/>
        <v>0</v>
      </c>
      <c r="DG102" s="1319">
        <f t="shared" ca="1" si="1188"/>
        <v>0</v>
      </c>
      <c r="DH102" s="1319">
        <f t="shared" ca="1" si="1188"/>
        <v>0</v>
      </c>
      <c r="DI102" s="1319">
        <f t="shared" ca="1" si="1188"/>
        <v>0</v>
      </c>
      <c r="DJ102" s="1319">
        <f t="shared" ca="1" si="1188"/>
        <v>0</v>
      </c>
      <c r="DV102" s="1319">
        <f t="shared" ca="1" si="1189"/>
        <v>0</v>
      </c>
      <c r="DW102" s="1319">
        <f t="shared" ca="1" si="1189"/>
        <v>0</v>
      </c>
      <c r="DX102" s="1319">
        <f t="shared" ca="1" si="1189"/>
        <v>0</v>
      </c>
      <c r="DY102" s="1319">
        <f t="shared" ca="1" si="1189"/>
        <v>0</v>
      </c>
      <c r="DZ102" s="1319">
        <f t="shared" ca="1" si="1189"/>
        <v>0</v>
      </c>
      <c r="EA102" s="1319">
        <f t="shared" ca="1" si="1189"/>
        <v>1.5108883200000001</v>
      </c>
      <c r="EB102" s="1319">
        <f t="shared" ca="1" si="1189"/>
        <v>0</v>
      </c>
      <c r="EC102" s="1319">
        <f t="shared" ca="1" si="1189"/>
        <v>0</v>
      </c>
      <c r="ED102" s="1319">
        <f t="shared" ca="1" si="1189"/>
        <v>520.80320400000005</v>
      </c>
      <c r="EE102" s="1319">
        <f t="shared" ca="1" si="1189"/>
        <v>0</v>
      </c>
      <c r="EF102" s="1319">
        <f t="shared" ca="1" si="1189"/>
        <v>0</v>
      </c>
      <c r="EG102" s="1319">
        <f t="shared" ca="1" si="1189"/>
        <v>0</v>
      </c>
      <c r="EH102" s="1319">
        <f t="shared" ca="1" si="1189"/>
        <v>0</v>
      </c>
      <c r="EI102" s="1319">
        <f t="shared" ca="1" si="1189"/>
        <v>0</v>
      </c>
      <c r="EJ102" s="1319">
        <f t="shared" ca="1" si="1101"/>
        <v>0</v>
      </c>
      <c r="EK102" s="1319">
        <f t="shared" ca="1" si="1189"/>
        <v>0</v>
      </c>
      <c r="EW102" s="1319">
        <f t="shared" ca="1" si="1190"/>
        <v>520.80320400000005</v>
      </c>
      <c r="EX102" s="1319">
        <f t="shared" ca="1" si="1190"/>
        <v>520.80320400000005</v>
      </c>
      <c r="EY102" s="1319">
        <f t="shared" ca="1" si="1190"/>
        <v>520.80320400000005</v>
      </c>
      <c r="EZ102" s="1319">
        <f t="shared" ca="1" si="1190"/>
        <v>520.80320400000005</v>
      </c>
      <c r="FA102" s="1319">
        <f t="shared" ca="1" si="1190"/>
        <v>0</v>
      </c>
      <c r="FB102" s="1319">
        <f t="shared" ca="1" si="1190"/>
        <v>0</v>
      </c>
      <c r="FN102" s="1319">
        <f t="shared" ca="1" si="1191"/>
        <v>0</v>
      </c>
      <c r="FO102" s="1319">
        <f t="shared" ca="1" si="1191"/>
        <v>0</v>
      </c>
      <c r="FP102" s="1319">
        <f t="shared" ca="1" si="1191"/>
        <v>0</v>
      </c>
      <c r="FQ102" s="1319">
        <f t="shared" ca="1" si="1191"/>
        <v>0</v>
      </c>
      <c r="FR102" s="1319">
        <f t="shared" ca="1" si="1191"/>
        <v>0</v>
      </c>
      <c r="FS102" s="1319">
        <f t="shared" ca="1" si="1191"/>
        <v>0</v>
      </c>
      <c r="FT102" s="1319">
        <f t="shared" ca="1" si="1191"/>
        <v>0</v>
      </c>
      <c r="FU102" s="1319">
        <f t="shared" ca="1" si="1191"/>
        <v>0</v>
      </c>
      <c r="FV102" s="1319">
        <f t="shared" ca="1" si="1191"/>
        <v>0</v>
      </c>
      <c r="FW102" s="1319">
        <f t="shared" ca="1" si="1191"/>
        <v>0</v>
      </c>
      <c r="FX102" s="1319">
        <f t="shared" ca="1" si="1191"/>
        <v>0</v>
      </c>
      <c r="GJ102" s="1319">
        <f t="shared" ca="1" si="1192"/>
        <v>0</v>
      </c>
      <c r="GK102" s="1319">
        <f t="shared" ca="1" si="1192"/>
        <v>0</v>
      </c>
      <c r="GL102" s="1319">
        <f t="shared" ca="1" si="1192"/>
        <v>0</v>
      </c>
      <c r="GM102" s="1319">
        <f t="shared" ca="1" si="1192"/>
        <v>0</v>
      </c>
      <c r="GN102" s="1319">
        <f t="shared" ca="1" si="1192"/>
        <v>0</v>
      </c>
      <c r="GO102" s="1319">
        <f t="shared" ca="1" si="1192"/>
        <v>0</v>
      </c>
      <c r="GP102" s="1319">
        <f t="shared" ca="1" si="1192"/>
        <v>0</v>
      </c>
      <c r="GQ102" s="1319">
        <f t="shared" ca="1" si="1192"/>
        <v>0</v>
      </c>
      <c r="HC102" s="1319">
        <f t="shared" ca="1" si="1193"/>
        <v>520.80320400000005</v>
      </c>
      <c r="HD102" s="1319">
        <f t="shared" ca="1" si="1193"/>
        <v>10.4160641</v>
      </c>
      <c r="HE102" s="1319">
        <f t="shared" ca="1" si="1193"/>
        <v>0</v>
      </c>
      <c r="HF102" s="1319">
        <f t="shared" ca="1" si="1193"/>
        <v>0</v>
      </c>
      <c r="HG102" s="1319">
        <f t="shared" ca="1" si="1193"/>
        <v>510.38714000000004</v>
      </c>
      <c r="HH102" s="1319">
        <f t="shared" ca="1" si="1193"/>
        <v>10.4160641</v>
      </c>
      <c r="HT102" s="1319">
        <f t="shared" ca="1" si="1194"/>
        <v>0</v>
      </c>
      <c r="HU102" s="1319">
        <f t="shared" ca="1" si="1194"/>
        <v>10.4160641</v>
      </c>
      <c r="HV102" s="1319">
        <f t="shared" ca="1" si="1194"/>
        <v>10.4160641</v>
      </c>
      <c r="HW102" s="1319">
        <f t="shared" ca="1" si="1194"/>
        <v>10.4160641</v>
      </c>
      <c r="HX102" s="1319">
        <f t="shared" ca="1" si="1194"/>
        <v>2.6665124100000002</v>
      </c>
      <c r="HY102" s="1319">
        <f t="shared" ca="1" si="1194"/>
        <v>7.7495516799999997</v>
      </c>
      <c r="HZ102" s="1319">
        <f t="shared" ca="1" si="1194"/>
        <v>0</v>
      </c>
      <c r="IA102" s="1319">
        <f t="shared" ca="1" si="1194"/>
        <v>0</v>
      </c>
      <c r="IB102" s="1319">
        <f t="shared" ca="1" si="1194"/>
        <v>0</v>
      </c>
      <c r="IC102" s="1319">
        <f t="shared" ca="1" si="1194"/>
        <v>0</v>
      </c>
      <c r="ID102" s="1319">
        <f t="shared" ca="1" si="1194"/>
        <v>0</v>
      </c>
      <c r="IE102" s="1319">
        <f t="shared" ca="1" si="1194"/>
        <v>0</v>
      </c>
      <c r="IQ102" s="1319">
        <f t="shared" ca="1" si="1195"/>
        <v>2.6665124100000002</v>
      </c>
      <c r="IR102" s="1319">
        <f t="shared" ca="1" si="1195"/>
        <v>7.7495516799999997</v>
      </c>
      <c r="IS102" s="1319">
        <f t="shared" ca="1" si="1195"/>
        <v>3.2147263100000001</v>
      </c>
      <c r="IT102" s="1319">
        <f t="shared" ca="1" si="1195"/>
        <v>10.964278</v>
      </c>
      <c r="IU102" s="1319">
        <f t="shared" ca="1" si="1108"/>
        <v>0.54821389899999995</v>
      </c>
      <c r="IV102" s="1319">
        <f t="shared" ca="1" si="1195"/>
        <v>80.368157600000004</v>
      </c>
      <c r="IW102" s="1319">
        <f t="shared" ca="1" si="1195"/>
        <v>77.153431299999994</v>
      </c>
      <c r="IX102" s="1319">
        <f t="shared" ca="1" si="1109"/>
        <v>0</v>
      </c>
      <c r="IY102" s="1319">
        <f t="shared" ca="1" si="1195"/>
        <v>10.4160641</v>
      </c>
      <c r="IZ102" s="1319">
        <f t="shared" ca="1" si="1195"/>
        <v>0</v>
      </c>
      <c r="JA102" s="1319">
        <f t="shared" ca="1" si="1195"/>
        <v>80.368157600000004</v>
      </c>
      <c r="JB102" s="1319">
        <f t="shared" ca="1" si="1195"/>
        <v>0</v>
      </c>
      <c r="JC102" s="1319">
        <f t="shared" ca="1" si="1195"/>
        <v>0</v>
      </c>
      <c r="JD102" s="1319">
        <f t="shared" ca="1" si="1195"/>
        <v>0</v>
      </c>
      <c r="JE102" s="1319">
        <f t="shared" ca="1" si="1195"/>
        <v>0</v>
      </c>
      <c r="JF102" s="1319">
        <f t="shared" ca="1" si="1195"/>
        <v>0</v>
      </c>
      <c r="JG102" s="1319">
        <f t="shared" ca="1" si="1195"/>
        <v>0</v>
      </c>
      <c r="JH102" s="1319">
        <f t="shared" ca="1" si="1195"/>
        <v>0</v>
      </c>
      <c r="JT102" s="1319">
        <f t="shared" ca="1" si="1196"/>
        <v>0</v>
      </c>
      <c r="JU102" s="1319">
        <f t="shared" ca="1" si="1196"/>
        <v>0</v>
      </c>
      <c r="JV102" s="1319">
        <f t="shared" ca="1" si="1196"/>
        <v>0</v>
      </c>
      <c r="JW102" s="1319">
        <f t="shared" ca="1" si="1196"/>
        <v>0</v>
      </c>
      <c r="JX102" s="1319">
        <f t="shared" ca="1" si="1196"/>
        <v>0</v>
      </c>
      <c r="JY102" s="1319">
        <f t="shared" ca="1" si="1196"/>
        <v>0</v>
      </c>
      <c r="JZ102" s="1319">
        <f t="shared" ca="1" si="1196"/>
        <v>0</v>
      </c>
      <c r="KA102" s="1319">
        <f t="shared" ca="1" si="1196"/>
        <v>0</v>
      </c>
      <c r="KB102" s="1319">
        <f t="shared" ca="1" si="1196"/>
        <v>0</v>
      </c>
      <c r="KC102" s="1319">
        <f t="shared" ca="1" si="1196"/>
        <v>0</v>
      </c>
      <c r="KL102" s="1319">
        <f t="shared" ca="1" si="1197"/>
        <v>0</v>
      </c>
      <c r="KM102" s="1319">
        <f t="shared" ca="1" si="1197"/>
        <v>0</v>
      </c>
      <c r="KN102" s="1319">
        <f t="shared" ca="1" si="1197"/>
        <v>0</v>
      </c>
      <c r="KO102" s="1319">
        <f t="shared" ca="1" si="1197"/>
        <v>0</v>
      </c>
      <c r="KP102" s="1319">
        <f t="shared" ca="1" si="1197"/>
        <v>0</v>
      </c>
      <c r="KQ102" s="1319">
        <f t="shared" ca="1" si="1197"/>
        <v>0</v>
      </c>
      <c r="KR102" s="1319">
        <f t="shared" ca="1" si="1197"/>
        <v>0</v>
      </c>
      <c r="LA102" s="1319">
        <f t="shared" ca="1" si="1198"/>
        <v>0</v>
      </c>
      <c r="LB102" s="1319">
        <f t="shared" ca="1" si="1198"/>
        <v>0</v>
      </c>
      <c r="LC102" s="1319">
        <f t="shared" ca="1" si="1198"/>
        <v>0</v>
      </c>
      <c r="LD102" s="1319">
        <f t="shared" ca="1" si="1198"/>
        <v>0</v>
      </c>
      <c r="LE102" s="1319">
        <f t="shared" ca="1" si="1198"/>
        <v>0</v>
      </c>
      <c r="LF102" s="1319">
        <f t="shared" ca="1" si="1198"/>
        <v>0</v>
      </c>
      <c r="LG102" s="1319">
        <f t="shared" ca="1" si="1198"/>
        <v>0</v>
      </c>
      <c r="LH102" s="1319">
        <f t="shared" ca="1" si="1198"/>
        <v>0</v>
      </c>
      <c r="LI102" s="1319">
        <f t="shared" ca="1" si="1198"/>
        <v>0</v>
      </c>
      <c r="LJ102" s="1319">
        <f t="shared" ca="1" si="1198"/>
        <v>0</v>
      </c>
      <c r="LK102" s="1319">
        <f t="shared" ca="1" si="1198"/>
        <v>0</v>
      </c>
      <c r="LW102" s="1319">
        <f t="shared" ca="1" si="1113"/>
        <v>0</v>
      </c>
      <c r="LX102" s="1319">
        <f t="shared" ca="1" si="1199"/>
        <v>0</v>
      </c>
      <c r="LY102" s="1319">
        <f t="shared" ca="1" si="1199"/>
        <v>510.38714000000004</v>
      </c>
      <c r="LZ102" s="1319">
        <f t="shared" ca="1" si="1199"/>
        <v>10.4160641</v>
      </c>
      <c r="MA102" s="1319">
        <f t="shared" ca="1" si="1199"/>
        <v>520.80320400000005</v>
      </c>
      <c r="MB102" s="1319">
        <f t="shared" ca="1" si="1199"/>
        <v>0</v>
      </c>
      <c r="MC102" s="1319">
        <f t="shared" ca="1" si="1199"/>
        <v>0</v>
      </c>
      <c r="MD102" s="1319">
        <f t="shared" ca="1" si="1199"/>
        <v>0</v>
      </c>
      <c r="ME102" s="1319">
        <f t="shared" ca="1" si="1199"/>
        <v>0</v>
      </c>
      <c r="MF102" s="1319">
        <f t="shared" ca="1" si="1199"/>
        <v>0</v>
      </c>
      <c r="MG102" s="1319">
        <f t="shared" ca="1" si="1199"/>
        <v>0</v>
      </c>
      <c r="MH102" s="1319">
        <f t="shared" ca="1" si="1200"/>
        <v>0</v>
      </c>
      <c r="MI102" s="1319">
        <f t="shared" ca="1" si="1200"/>
        <v>0</v>
      </c>
      <c r="MJ102" s="1319">
        <f t="shared" ca="1" si="1199"/>
        <v>0</v>
      </c>
      <c r="MK102" s="1319">
        <f t="shared" ca="1" si="1199"/>
        <v>0</v>
      </c>
      <c r="ML102" s="1319">
        <f t="shared" ca="1" si="1199"/>
        <v>0</v>
      </c>
      <c r="MM102" s="1319">
        <f t="shared" ca="1" si="1199"/>
        <v>0</v>
      </c>
      <c r="MN102" s="1319">
        <f t="shared" ca="1" si="1199"/>
        <v>0</v>
      </c>
      <c r="MO102" s="1319">
        <f t="shared" ca="1" si="1199"/>
        <v>0</v>
      </c>
      <c r="NA102" s="1319">
        <f t="shared" ca="1" si="1201"/>
        <v>0</v>
      </c>
      <c r="NB102" s="1319">
        <f t="shared" ca="1" si="1201"/>
        <v>0</v>
      </c>
      <c r="NC102" s="1319">
        <f t="shared" ca="1" si="1201"/>
        <v>0</v>
      </c>
      <c r="ND102" s="1319">
        <f t="shared" ca="1" si="1201"/>
        <v>0</v>
      </c>
      <c r="NE102" s="1319">
        <f t="shared" ca="1" si="1201"/>
        <v>0</v>
      </c>
      <c r="NF102" s="1319">
        <f t="shared" ca="1" si="1201"/>
        <v>0</v>
      </c>
      <c r="NG102" s="1319">
        <f t="shared" ca="1" si="1201"/>
        <v>0</v>
      </c>
      <c r="NH102" s="1319">
        <f t="shared" ca="1" si="1201"/>
        <v>0</v>
      </c>
      <c r="NI102" s="1319">
        <f t="shared" ca="1" si="1201"/>
        <v>0</v>
      </c>
      <c r="NJ102" s="1319">
        <f t="shared" ca="1" si="1201"/>
        <v>0</v>
      </c>
      <c r="NK102" s="1319">
        <f t="shared" ca="1" si="1201"/>
        <v>0</v>
      </c>
      <c r="NL102" s="1319">
        <f t="shared" ca="1" si="1201"/>
        <v>0</v>
      </c>
      <c r="NM102" s="1319">
        <f t="shared" ca="1" si="1201"/>
        <v>0</v>
      </c>
      <c r="NN102" s="1319">
        <f t="shared" ca="1" si="1201"/>
        <v>0</v>
      </c>
      <c r="NO102" s="1319">
        <f t="shared" ca="1" si="1201"/>
        <v>0</v>
      </c>
      <c r="NP102" s="1319">
        <f t="shared" ca="1" si="1201"/>
        <v>0</v>
      </c>
      <c r="OH102" s="1319">
        <f t="shared" ca="1" si="1202"/>
        <v>0</v>
      </c>
      <c r="OI102" s="1319">
        <f t="shared" ca="1" si="1202"/>
        <v>0</v>
      </c>
      <c r="OJ102" s="1319">
        <f t="shared" ca="1" si="1202"/>
        <v>0</v>
      </c>
      <c r="OK102" s="1319">
        <f t="shared" ca="1" si="1202"/>
        <v>0</v>
      </c>
      <c r="OL102" s="1319">
        <f t="shared" ca="1" si="1202"/>
        <v>0</v>
      </c>
      <c r="OM102" s="1319">
        <f t="shared" ca="1" si="1202"/>
        <v>0</v>
      </c>
      <c r="ON102" s="1319">
        <f t="shared" ca="1" si="1202"/>
        <v>0</v>
      </c>
      <c r="OO102" s="1319">
        <f t="shared" ca="1" si="1202"/>
        <v>0</v>
      </c>
      <c r="PA102" s="1319">
        <f t="shared" ca="1" si="1203"/>
        <v>0</v>
      </c>
      <c r="PB102" s="1319">
        <f t="shared" ca="1" si="1203"/>
        <v>0</v>
      </c>
      <c r="PC102" s="1319">
        <f t="shared" ca="1" si="1203"/>
        <v>0</v>
      </c>
      <c r="PD102" s="1319">
        <f t="shared" ca="1" si="1203"/>
        <v>0</v>
      </c>
      <c r="PE102" s="1319">
        <f t="shared" ca="1" si="1203"/>
        <v>0</v>
      </c>
      <c r="PF102" s="1319">
        <f t="shared" ca="1" si="1203"/>
        <v>0</v>
      </c>
      <c r="PG102" s="1319">
        <f t="shared" ca="1" si="1203"/>
        <v>0</v>
      </c>
      <c r="PH102" s="1319">
        <f t="shared" ca="1" si="1203"/>
        <v>0</v>
      </c>
      <c r="PI102" s="1319">
        <f t="shared" ca="1" si="1203"/>
        <v>0</v>
      </c>
      <c r="PJ102" s="1319">
        <f t="shared" ca="1" si="1203"/>
        <v>0</v>
      </c>
      <c r="PK102" s="1319">
        <f t="shared" ca="1" si="1203"/>
        <v>0</v>
      </c>
      <c r="PW102" s="1319">
        <f t="shared" ca="1" si="1204"/>
        <v>0</v>
      </c>
      <c r="PX102" s="1319">
        <f t="shared" ca="1" si="1204"/>
        <v>0</v>
      </c>
      <c r="PY102" s="1319">
        <f t="shared" ca="1" si="1204"/>
        <v>0</v>
      </c>
      <c r="PZ102" s="1319">
        <f t="shared" ca="1" si="1204"/>
        <v>0</v>
      </c>
    </row>
    <row r="103" spans="1:442" x14ac:dyDescent="0.25">
      <c r="A103" s="189">
        <v>137</v>
      </c>
      <c r="B103" s="189" t="s">
        <v>1320</v>
      </c>
      <c r="C103" s="1317" t="s">
        <v>2306</v>
      </c>
      <c r="D103" s="1317" t="s">
        <v>206</v>
      </c>
      <c r="J103" s="1319">
        <f t="shared" ca="1" si="1207"/>
        <v>0</v>
      </c>
      <c r="K103" s="1319">
        <f t="shared" ca="1" si="1210"/>
        <v>0</v>
      </c>
      <c r="T103" s="1319">
        <f t="shared" ca="1" si="1208"/>
        <v>0</v>
      </c>
      <c r="U103" s="1319">
        <f t="shared" ca="1" si="1208"/>
        <v>0</v>
      </c>
      <c r="V103" s="1319">
        <f t="shared" ca="1" si="1208"/>
        <v>0</v>
      </c>
      <c r="W103" s="1319">
        <f t="shared" ca="1" si="1208"/>
        <v>0</v>
      </c>
      <c r="X103" s="1319">
        <f t="shared" ca="1" si="1208"/>
        <v>0</v>
      </c>
      <c r="Y103" s="1319">
        <f t="shared" ca="1" si="1208"/>
        <v>0</v>
      </c>
      <c r="Z103" s="1319">
        <f t="shared" ca="1" si="1208"/>
        <v>0</v>
      </c>
      <c r="AA103" s="1319">
        <f t="shared" ca="1" si="1208"/>
        <v>0</v>
      </c>
      <c r="AB103" s="1319">
        <f t="shared" ca="1" si="1208"/>
        <v>0</v>
      </c>
      <c r="AC103" s="1319">
        <f t="shared" ca="1" si="1208"/>
        <v>0</v>
      </c>
      <c r="AD103" s="1319">
        <f t="shared" ca="1" si="1208"/>
        <v>0</v>
      </c>
      <c r="AM103" s="1319">
        <f t="shared" ca="1" si="1209"/>
        <v>0</v>
      </c>
      <c r="AN103" s="1319">
        <f t="shared" ca="1" si="1209"/>
        <v>0</v>
      </c>
      <c r="AO103" s="1319">
        <f t="shared" ca="1" si="1209"/>
        <v>0</v>
      </c>
      <c r="AP103" s="1319">
        <f t="shared" ca="1" si="1209"/>
        <v>0</v>
      </c>
      <c r="AQ103" s="1319">
        <f t="shared" ca="1" si="1209"/>
        <v>0</v>
      </c>
      <c r="AR103" s="1319">
        <f t="shared" ca="1" si="1209"/>
        <v>0</v>
      </c>
      <c r="AS103" s="1319">
        <f t="shared" ca="1" si="1209"/>
        <v>0</v>
      </c>
      <c r="AT103" s="1319">
        <f t="shared" ca="1" si="1209"/>
        <v>0</v>
      </c>
      <c r="AU103" s="1319">
        <f t="shared" ca="1" si="1209"/>
        <v>0</v>
      </c>
      <c r="AV103" s="1319">
        <f t="shared" ca="1" si="1209"/>
        <v>0</v>
      </c>
      <c r="AW103" s="1319">
        <f t="shared" ca="1" si="1209"/>
        <v>0</v>
      </c>
      <c r="AX103" s="1319">
        <f t="shared" ca="1" si="1209"/>
        <v>0</v>
      </c>
      <c r="AY103" s="1319">
        <f t="shared" ca="1" si="1209"/>
        <v>0</v>
      </c>
      <c r="AZ103" s="1319">
        <f t="shared" ca="1" si="1209"/>
        <v>0</v>
      </c>
      <c r="BA103" s="1319">
        <f t="shared" ca="1" si="1209"/>
        <v>0</v>
      </c>
      <c r="BB103" s="1319">
        <f t="shared" ca="1" si="1209"/>
        <v>0</v>
      </c>
      <c r="BN103" s="1319">
        <f t="shared" ca="1" si="1186"/>
        <v>5.78671062</v>
      </c>
      <c r="BO103" s="1319">
        <f t="shared" ca="1" si="1186"/>
        <v>5.78671062</v>
      </c>
      <c r="BP103" s="1319">
        <f t="shared" ca="1" si="1186"/>
        <v>0</v>
      </c>
      <c r="BQ103" s="1319">
        <f t="shared" ca="1" si="1186"/>
        <v>0</v>
      </c>
      <c r="BR103" s="1319">
        <f t="shared" ca="1" si="1186"/>
        <v>0</v>
      </c>
      <c r="CD103" s="1319">
        <f t="shared" ca="1" si="1187"/>
        <v>0</v>
      </c>
      <c r="CE103" s="1319">
        <f t="shared" ca="1" si="1187"/>
        <v>0</v>
      </c>
      <c r="CF103" s="1319">
        <f t="shared" ca="1" si="1187"/>
        <v>5.78671062</v>
      </c>
      <c r="CG103" s="1319">
        <f t="shared" ca="1" si="1187"/>
        <v>5.78671062</v>
      </c>
      <c r="CH103" s="1319">
        <f t="shared" ca="1" si="1187"/>
        <v>57.867214300000001</v>
      </c>
      <c r="CI103" s="1319">
        <f t="shared" ca="1" si="1187"/>
        <v>0</v>
      </c>
      <c r="CJ103" s="1319">
        <f t="shared" ca="1" si="1187"/>
        <v>0</v>
      </c>
      <c r="CK103" s="1319">
        <f t="shared" ca="1" si="1187"/>
        <v>57.867106200000009</v>
      </c>
      <c r="CL103" s="1319">
        <f t="shared" ca="1" si="1187"/>
        <v>0</v>
      </c>
      <c r="CM103" s="1319">
        <f t="shared" ca="1" si="1187"/>
        <v>57.867214300000001</v>
      </c>
      <c r="CN103" s="1319">
        <f t="shared" ca="1" si="1187"/>
        <v>57.867106200000009</v>
      </c>
      <c r="CO103" s="1319">
        <f t="shared" ca="1" si="1187"/>
        <v>0</v>
      </c>
      <c r="DA103" s="1319">
        <f t="shared" ca="1" si="1188"/>
        <v>3.21483506</v>
      </c>
      <c r="DB103" s="1319">
        <f t="shared" ca="1" si="1188"/>
        <v>0</v>
      </c>
      <c r="DC103" s="1319">
        <f t="shared" ca="1" si="1188"/>
        <v>0</v>
      </c>
      <c r="DD103" s="1319">
        <f t="shared" ca="1" si="1188"/>
        <v>0</v>
      </c>
      <c r="DE103" s="1319">
        <f t="shared" ca="1" si="1188"/>
        <v>3.21483506</v>
      </c>
      <c r="DF103" s="1319">
        <f t="shared" ca="1" si="1188"/>
        <v>0</v>
      </c>
      <c r="DG103" s="1319">
        <f t="shared" ca="1" si="1188"/>
        <v>0</v>
      </c>
      <c r="DH103" s="1319">
        <f t="shared" ca="1" si="1188"/>
        <v>0</v>
      </c>
      <c r="DI103" s="1319">
        <f t="shared" ca="1" si="1188"/>
        <v>0</v>
      </c>
      <c r="DJ103" s="1319">
        <f t="shared" ca="1" si="1188"/>
        <v>0</v>
      </c>
      <c r="DV103" s="1319">
        <f t="shared" ca="1" si="1189"/>
        <v>0</v>
      </c>
      <c r="DW103" s="1319">
        <f t="shared" ca="1" si="1189"/>
        <v>0</v>
      </c>
      <c r="DX103" s="1319">
        <f t="shared" ca="1" si="1189"/>
        <v>64.296701200000001</v>
      </c>
      <c r="DY103" s="1319">
        <f t="shared" ca="1" si="1189"/>
        <v>3.21483506</v>
      </c>
      <c r="DZ103" s="1319">
        <f t="shared" ca="1" si="1189"/>
        <v>0</v>
      </c>
      <c r="EA103" s="1319">
        <f t="shared" ca="1" si="1189"/>
        <v>3.21483506</v>
      </c>
      <c r="EB103" s="1319">
        <f t="shared" ca="1" si="1189"/>
        <v>61.081866099999999</v>
      </c>
      <c r="EC103" s="1319">
        <f t="shared" ca="1" si="1189"/>
        <v>0</v>
      </c>
      <c r="ED103" s="1319">
        <f t="shared" ca="1" si="1189"/>
        <v>57.867214300000001</v>
      </c>
      <c r="EE103" s="1319">
        <f t="shared" ca="1" si="1189"/>
        <v>0</v>
      </c>
      <c r="EF103" s="1319">
        <f t="shared" ca="1" si="1189"/>
        <v>0</v>
      </c>
      <c r="EG103" s="1319">
        <f t="shared" ca="1" si="1189"/>
        <v>0</v>
      </c>
      <c r="EH103" s="1319">
        <f t="shared" ca="1" si="1189"/>
        <v>0</v>
      </c>
      <c r="EI103" s="1319">
        <f t="shared" ca="1" si="1189"/>
        <v>0</v>
      </c>
      <c r="EJ103" s="1319">
        <f t="shared" ca="1" si="1101"/>
        <v>0</v>
      </c>
      <c r="EK103" s="1319">
        <f t="shared" ca="1" si="1189"/>
        <v>0</v>
      </c>
      <c r="EW103" s="1319">
        <f t="shared" ca="1" si="1190"/>
        <v>57.867106200000009</v>
      </c>
      <c r="EX103" s="1319">
        <f t="shared" ca="1" si="1190"/>
        <v>57.867106200000009</v>
      </c>
      <c r="EY103" s="1319">
        <f t="shared" ca="1" si="1190"/>
        <v>57.867106200000009</v>
      </c>
      <c r="EZ103" s="1319">
        <f t="shared" ca="1" si="1190"/>
        <v>57.867106200000009</v>
      </c>
      <c r="FA103" s="1319">
        <f t="shared" ca="1" si="1190"/>
        <v>0</v>
      </c>
      <c r="FB103" s="1319">
        <f t="shared" ca="1" si="1190"/>
        <v>0</v>
      </c>
      <c r="FN103" s="1319">
        <f t="shared" ca="1" si="1191"/>
        <v>0</v>
      </c>
      <c r="FO103" s="1319">
        <f t="shared" ca="1" si="1191"/>
        <v>0</v>
      </c>
      <c r="FP103" s="1319">
        <f t="shared" ca="1" si="1191"/>
        <v>0</v>
      </c>
      <c r="FQ103" s="1319">
        <f t="shared" ca="1" si="1191"/>
        <v>0</v>
      </c>
      <c r="FR103" s="1319">
        <f t="shared" ca="1" si="1191"/>
        <v>0</v>
      </c>
      <c r="FS103" s="1319">
        <f t="shared" ca="1" si="1191"/>
        <v>0</v>
      </c>
      <c r="FT103" s="1319">
        <f t="shared" ca="1" si="1191"/>
        <v>0</v>
      </c>
      <c r="FU103" s="1319">
        <f t="shared" ca="1" si="1191"/>
        <v>0</v>
      </c>
      <c r="FV103" s="1319">
        <f t="shared" ca="1" si="1191"/>
        <v>0</v>
      </c>
      <c r="FW103" s="1319">
        <f t="shared" ca="1" si="1191"/>
        <v>0</v>
      </c>
      <c r="FX103" s="1319">
        <f t="shared" ca="1" si="1191"/>
        <v>0</v>
      </c>
      <c r="GJ103" s="1319">
        <f t="shared" ca="1" si="1192"/>
        <v>0</v>
      </c>
      <c r="GK103" s="1319">
        <f t="shared" ca="1" si="1192"/>
        <v>0</v>
      </c>
      <c r="GL103" s="1319">
        <f t="shared" ca="1" si="1192"/>
        <v>0</v>
      </c>
      <c r="GM103" s="1319">
        <f t="shared" ca="1" si="1192"/>
        <v>0</v>
      </c>
      <c r="GN103" s="1319">
        <f t="shared" ca="1" si="1192"/>
        <v>0</v>
      </c>
      <c r="GO103" s="1319">
        <f t="shared" ca="1" si="1192"/>
        <v>0</v>
      </c>
      <c r="GP103" s="1319">
        <f t="shared" ca="1" si="1192"/>
        <v>0</v>
      </c>
      <c r="GQ103" s="1319">
        <f t="shared" ca="1" si="1192"/>
        <v>0</v>
      </c>
      <c r="HC103" s="1319">
        <f t="shared" ca="1" si="1193"/>
        <v>57.867106200000009</v>
      </c>
      <c r="HD103" s="1319">
        <f t="shared" ca="1" si="1193"/>
        <v>1.15734212</v>
      </c>
      <c r="HE103" s="1319">
        <f t="shared" ca="1" si="1193"/>
        <v>0</v>
      </c>
      <c r="HF103" s="1319">
        <f t="shared" ca="1" si="1193"/>
        <v>0</v>
      </c>
      <c r="HG103" s="1319">
        <f t="shared" ca="1" si="1193"/>
        <v>56.709764099999994</v>
      </c>
      <c r="HH103" s="1319">
        <f t="shared" ca="1" si="1193"/>
        <v>1.15734212</v>
      </c>
      <c r="HT103" s="1319">
        <f t="shared" ca="1" si="1194"/>
        <v>0</v>
      </c>
      <c r="HU103" s="1319">
        <f t="shared" ca="1" si="1194"/>
        <v>1.15734212</v>
      </c>
      <c r="HV103" s="1319">
        <f t="shared" ca="1" si="1194"/>
        <v>1.15734212</v>
      </c>
      <c r="HW103" s="1319">
        <f t="shared" ca="1" si="1194"/>
        <v>1.15734212</v>
      </c>
      <c r="HX103" s="1319">
        <f t="shared" ca="1" si="1194"/>
        <v>0.29627958399999998</v>
      </c>
      <c r="HY103" s="1319">
        <f t="shared" ca="1" si="1194"/>
        <v>0.86106254000000004</v>
      </c>
      <c r="HZ103" s="1319">
        <f t="shared" ca="1" si="1194"/>
        <v>0</v>
      </c>
      <c r="IA103" s="1319">
        <f t="shared" ca="1" si="1194"/>
        <v>0</v>
      </c>
      <c r="IB103" s="1319">
        <f t="shared" ca="1" si="1194"/>
        <v>0</v>
      </c>
      <c r="IC103" s="1319">
        <f t="shared" ca="1" si="1194"/>
        <v>0</v>
      </c>
      <c r="ID103" s="1319">
        <f t="shared" ca="1" si="1194"/>
        <v>0</v>
      </c>
      <c r="IE103" s="1319">
        <f t="shared" ca="1" si="1194"/>
        <v>0</v>
      </c>
      <c r="IQ103" s="1319">
        <f t="shared" ca="1" si="1195"/>
        <v>0.29627958399999998</v>
      </c>
      <c r="IR103" s="1319">
        <f t="shared" ca="1" si="1195"/>
        <v>0.86106254000000004</v>
      </c>
      <c r="IS103" s="1319">
        <f t="shared" ca="1" si="1195"/>
        <v>0.35719232699999998</v>
      </c>
      <c r="IT103" s="1319">
        <f t="shared" ca="1" si="1195"/>
        <v>1.21825487</v>
      </c>
      <c r="IU103" s="1319">
        <f t="shared" ca="1" si="1108"/>
        <v>6.0912743300000002E-2</v>
      </c>
      <c r="IV103" s="1319">
        <f t="shared" ca="1" si="1195"/>
        <v>8.9298081699999994</v>
      </c>
      <c r="IW103" s="1319">
        <f t="shared" ca="1" si="1195"/>
        <v>8.57261585</v>
      </c>
      <c r="IX103" s="1319">
        <f t="shared" ca="1" si="1109"/>
        <v>0</v>
      </c>
      <c r="IY103" s="1319">
        <f t="shared" ca="1" si="1195"/>
        <v>1.15734212</v>
      </c>
      <c r="IZ103" s="1319">
        <f t="shared" ca="1" si="1195"/>
        <v>0</v>
      </c>
      <c r="JA103" s="1319">
        <f t="shared" ca="1" si="1195"/>
        <v>8.9298081699999994</v>
      </c>
      <c r="JB103" s="1319">
        <f t="shared" ca="1" si="1195"/>
        <v>0</v>
      </c>
      <c r="JC103" s="1319">
        <f t="shared" ca="1" si="1195"/>
        <v>0</v>
      </c>
      <c r="JD103" s="1319">
        <f t="shared" ca="1" si="1195"/>
        <v>0</v>
      </c>
      <c r="JE103" s="1319">
        <f t="shared" ca="1" si="1195"/>
        <v>0</v>
      </c>
      <c r="JF103" s="1319">
        <f t="shared" ca="1" si="1195"/>
        <v>0</v>
      </c>
      <c r="JG103" s="1319">
        <f t="shared" ca="1" si="1195"/>
        <v>0</v>
      </c>
      <c r="JH103" s="1319">
        <f t="shared" ca="1" si="1195"/>
        <v>0</v>
      </c>
      <c r="JT103" s="1319">
        <f t="shared" ca="1" si="1196"/>
        <v>0</v>
      </c>
      <c r="JU103" s="1319">
        <f t="shared" ca="1" si="1196"/>
        <v>0</v>
      </c>
      <c r="JV103" s="1319">
        <f t="shared" ca="1" si="1196"/>
        <v>0</v>
      </c>
      <c r="JW103" s="1319">
        <f t="shared" ca="1" si="1196"/>
        <v>0</v>
      </c>
      <c r="JX103" s="1319">
        <f t="shared" ca="1" si="1196"/>
        <v>0</v>
      </c>
      <c r="JY103" s="1319">
        <f t="shared" ca="1" si="1196"/>
        <v>0</v>
      </c>
      <c r="JZ103" s="1319">
        <f t="shared" ca="1" si="1196"/>
        <v>0</v>
      </c>
      <c r="KA103" s="1319">
        <f t="shared" ca="1" si="1196"/>
        <v>0</v>
      </c>
      <c r="KB103" s="1319">
        <f t="shared" ca="1" si="1196"/>
        <v>0</v>
      </c>
      <c r="KC103" s="1319">
        <f t="shared" ca="1" si="1196"/>
        <v>0</v>
      </c>
      <c r="KL103" s="1319">
        <f t="shared" ca="1" si="1197"/>
        <v>0</v>
      </c>
      <c r="KM103" s="1319">
        <f t="shared" ca="1" si="1197"/>
        <v>0</v>
      </c>
      <c r="KN103" s="1319">
        <f t="shared" ca="1" si="1197"/>
        <v>0</v>
      </c>
      <c r="KO103" s="1319">
        <f t="shared" ca="1" si="1197"/>
        <v>0</v>
      </c>
      <c r="KP103" s="1319">
        <f t="shared" ca="1" si="1197"/>
        <v>0</v>
      </c>
      <c r="KQ103" s="1319">
        <f t="shared" ca="1" si="1197"/>
        <v>0</v>
      </c>
      <c r="KR103" s="1319">
        <f t="shared" ca="1" si="1197"/>
        <v>0</v>
      </c>
      <c r="LA103" s="1319">
        <f t="shared" ca="1" si="1198"/>
        <v>0</v>
      </c>
      <c r="LB103" s="1319">
        <f t="shared" ca="1" si="1198"/>
        <v>0</v>
      </c>
      <c r="LC103" s="1319">
        <f t="shared" ca="1" si="1198"/>
        <v>0</v>
      </c>
      <c r="LD103" s="1319">
        <f t="shared" ca="1" si="1198"/>
        <v>0</v>
      </c>
      <c r="LE103" s="1319">
        <f t="shared" ca="1" si="1198"/>
        <v>0</v>
      </c>
      <c r="LF103" s="1319">
        <f t="shared" ca="1" si="1198"/>
        <v>0</v>
      </c>
      <c r="LG103" s="1319">
        <f t="shared" ca="1" si="1198"/>
        <v>0</v>
      </c>
      <c r="LH103" s="1319">
        <f t="shared" ca="1" si="1198"/>
        <v>0</v>
      </c>
      <c r="LI103" s="1319">
        <f t="shared" ca="1" si="1198"/>
        <v>0</v>
      </c>
      <c r="LJ103" s="1319">
        <f t="shared" ca="1" si="1198"/>
        <v>0</v>
      </c>
      <c r="LK103" s="1319">
        <f t="shared" ca="1" si="1198"/>
        <v>0</v>
      </c>
      <c r="LW103" s="1319">
        <f t="shared" ca="1" si="1113"/>
        <v>0</v>
      </c>
      <c r="LX103" s="1319">
        <f t="shared" ca="1" si="1199"/>
        <v>0</v>
      </c>
      <c r="LY103" s="1319">
        <f t="shared" ca="1" si="1199"/>
        <v>56.709764099999994</v>
      </c>
      <c r="LZ103" s="1319">
        <f t="shared" ca="1" si="1199"/>
        <v>1.15734212</v>
      </c>
      <c r="MA103" s="1319">
        <f t="shared" ca="1" si="1199"/>
        <v>57.867106200000009</v>
      </c>
      <c r="MB103" s="1319">
        <f t="shared" ca="1" si="1199"/>
        <v>0</v>
      </c>
      <c r="MC103" s="1319">
        <f t="shared" ca="1" si="1199"/>
        <v>0</v>
      </c>
      <c r="MD103" s="1319">
        <f t="shared" ca="1" si="1199"/>
        <v>0</v>
      </c>
      <c r="ME103" s="1319">
        <f t="shared" ca="1" si="1199"/>
        <v>0</v>
      </c>
      <c r="MF103" s="1319">
        <f t="shared" ca="1" si="1199"/>
        <v>0</v>
      </c>
      <c r="MG103" s="1319">
        <f t="shared" ca="1" si="1199"/>
        <v>0</v>
      </c>
      <c r="MH103" s="1319">
        <f t="shared" ca="1" si="1200"/>
        <v>0</v>
      </c>
      <c r="MI103" s="1319">
        <f t="shared" ca="1" si="1200"/>
        <v>0</v>
      </c>
      <c r="MJ103" s="1319">
        <f t="shared" ca="1" si="1199"/>
        <v>0</v>
      </c>
      <c r="MK103" s="1319">
        <f t="shared" ca="1" si="1199"/>
        <v>0</v>
      </c>
      <c r="ML103" s="1319">
        <f t="shared" ca="1" si="1199"/>
        <v>0</v>
      </c>
      <c r="MM103" s="1319">
        <f t="shared" ca="1" si="1199"/>
        <v>0</v>
      </c>
      <c r="MN103" s="1319">
        <f t="shared" ca="1" si="1199"/>
        <v>0</v>
      </c>
      <c r="MO103" s="1319">
        <f t="shared" ca="1" si="1199"/>
        <v>0</v>
      </c>
      <c r="NA103" s="1319">
        <f t="shared" ca="1" si="1201"/>
        <v>0</v>
      </c>
      <c r="NB103" s="1319">
        <f t="shared" ca="1" si="1201"/>
        <v>0</v>
      </c>
      <c r="NC103" s="1319">
        <f t="shared" ca="1" si="1201"/>
        <v>0</v>
      </c>
      <c r="ND103" s="1319">
        <f t="shared" ca="1" si="1201"/>
        <v>0</v>
      </c>
      <c r="NE103" s="1319">
        <f t="shared" ca="1" si="1201"/>
        <v>0</v>
      </c>
      <c r="NF103" s="1319">
        <f t="shared" ca="1" si="1201"/>
        <v>0</v>
      </c>
      <c r="NG103" s="1319">
        <f t="shared" ca="1" si="1201"/>
        <v>0</v>
      </c>
      <c r="NH103" s="1319">
        <f t="shared" ca="1" si="1201"/>
        <v>0</v>
      </c>
      <c r="NI103" s="1319">
        <f t="shared" ca="1" si="1201"/>
        <v>0</v>
      </c>
      <c r="NJ103" s="1319">
        <f t="shared" ca="1" si="1201"/>
        <v>0</v>
      </c>
      <c r="NK103" s="1319">
        <f t="shared" ca="1" si="1201"/>
        <v>0</v>
      </c>
      <c r="NL103" s="1319">
        <f t="shared" ca="1" si="1201"/>
        <v>0</v>
      </c>
      <c r="NM103" s="1319">
        <f t="shared" ca="1" si="1201"/>
        <v>0</v>
      </c>
      <c r="NN103" s="1319">
        <f t="shared" ca="1" si="1201"/>
        <v>0</v>
      </c>
      <c r="NO103" s="1319">
        <f t="shared" ca="1" si="1201"/>
        <v>0</v>
      </c>
      <c r="NP103" s="1319">
        <f t="shared" ca="1" si="1201"/>
        <v>0</v>
      </c>
      <c r="OH103" s="1319">
        <f t="shared" ca="1" si="1202"/>
        <v>0</v>
      </c>
      <c r="OI103" s="1319">
        <f t="shared" ca="1" si="1202"/>
        <v>0</v>
      </c>
      <c r="OJ103" s="1319">
        <f t="shared" ca="1" si="1202"/>
        <v>0</v>
      </c>
      <c r="OK103" s="1319">
        <f t="shared" ca="1" si="1202"/>
        <v>0</v>
      </c>
      <c r="OL103" s="1319">
        <f t="shared" ca="1" si="1202"/>
        <v>0</v>
      </c>
      <c r="OM103" s="1319">
        <f t="shared" ca="1" si="1202"/>
        <v>0</v>
      </c>
      <c r="ON103" s="1319">
        <f t="shared" ca="1" si="1202"/>
        <v>0</v>
      </c>
      <c r="OO103" s="1319">
        <f t="shared" ca="1" si="1202"/>
        <v>0</v>
      </c>
      <c r="PA103" s="1319">
        <f t="shared" ca="1" si="1203"/>
        <v>0</v>
      </c>
      <c r="PB103" s="1319">
        <f t="shared" ca="1" si="1203"/>
        <v>0</v>
      </c>
      <c r="PC103" s="1319">
        <f t="shared" ca="1" si="1203"/>
        <v>0</v>
      </c>
      <c r="PD103" s="1319">
        <f t="shared" ca="1" si="1203"/>
        <v>0</v>
      </c>
      <c r="PE103" s="1319">
        <f t="shared" ca="1" si="1203"/>
        <v>0</v>
      </c>
      <c r="PF103" s="1319">
        <f t="shared" ca="1" si="1203"/>
        <v>0</v>
      </c>
      <c r="PG103" s="1319">
        <f t="shared" ca="1" si="1203"/>
        <v>0</v>
      </c>
      <c r="PH103" s="1319">
        <f t="shared" ca="1" si="1203"/>
        <v>0</v>
      </c>
      <c r="PI103" s="1319">
        <f t="shared" ca="1" si="1203"/>
        <v>0</v>
      </c>
      <c r="PJ103" s="1319">
        <f t="shared" ca="1" si="1203"/>
        <v>0</v>
      </c>
      <c r="PK103" s="1319">
        <f t="shared" ca="1" si="1203"/>
        <v>0</v>
      </c>
      <c r="PW103" s="1319">
        <f t="shared" ca="1" si="1204"/>
        <v>0</v>
      </c>
      <c r="PX103" s="1319">
        <f t="shared" ca="1" si="1204"/>
        <v>0</v>
      </c>
      <c r="PY103" s="1319">
        <f t="shared" ca="1" si="1204"/>
        <v>0</v>
      </c>
      <c r="PZ103" s="1319">
        <f t="shared" ca="1" si="1204"/>
        <v>0</v>
      </c>
    </row>
    <row r="104" spans="1:442" x14ac:dyDescent="0.25">
      <c r="A104" s="189">
        <v>138</v>
      </c>
      <c r="B104" s="189" t="s">
        <v>1320</v>
      </c>
      <c r="C104" s="1317" t="s">
        <v>1263</v>
      </c>
      <c r="D104" s="1317" t="s">
        <v>206</v>
      </c>
      <c r="J104" s="1319">
        <f t="shared" ca="1" si="1207"/>
        <v>0</v>
      </c>
      <c r="K104" s="1319">
        <f t="shared" ref="K104:K109" ca="1" si="1211">VLOOKUP(K$1,INDIRECT(LU_MAT),$A104,FALSE)</f>
        <v>0</v>
      </c>
      <c r="T104" s="1319">
        <f t="shared" ca="1" si="1208"/>
        <v>0</v>
      </c>
      <c r="U104" s="1319">
        <f t="shared" ca="1" si="1208"/>
        <v>0</v>
      </c>
      <c r="V104" s="1319">
        <f t="shared" ca="1" si="1208"/>
        <v>0</v>
      </c>
      <c r="W104" s="1319">
        <f t="shared" ca="1" si="1208"/>
        <v>0</v>
      </c>
      <c r="X104" s="1319">
        <f t="shared" ca="1" si="1208"/>
        <v>0</v>
      </c>
      <c r="Y104" s="1319">
        <f t="shared" ca="1" si="1208"/>
        <v>0</v>
      </c>
      <c r="Z104" s="1319">
        <f t="shared" ca="1" si="1208"/>
        <v>0</v>
      </c>
      <c r="AA104" s="1319">
        <f t="shared" ca="1" si="1208"/>
        <v>0</v>
      </c>
      <c r="AB104" s="1319">
        <f t="shared" ca="1" si="1208"/>
        <v>0</v>
      </c>
      <c r="AC104" s="1319">
        <f t="shared" ca="1" si="1208"/>
        <v>0</v>
      </c>
      <c r="AD104" s="1319">
        <f t="shared" ca="1" si="1208"/>
        <v>0</v>
      </c>
      <c r="AM104" s="1319">
        <f t="shared" ca="1" si="1209"/>
        <v>0</v>
      </c>
      <c r="AN104" s="1319">
        <f t="shared" ca="1" si="1209"/>
        <v>0</v>
      </c>
      <c r="AO104" s="1319">
        <f t="shared" ca="1" si="1209"/>
        <v>0</v>
      </c>
      <c r="AP104" s="1319">
        <f t="shared" ca="1" si="1209"/>
        <v>0</v>
      </c>
      <c r="AQ104" s="1319">
        <f t="shared" ca="1" si="1209"/>
        <v>0</v>
      </c>
      <c r="AR104" s="1319">
        <f t="shared" ref="AO104:AS112" ca="1" si="1212">VLOOKUP(AR$1,INDIRECT(LU_MAT),$A104,FALSE)</f>
        <v>0</v>
      </c>
      <c r="AS104" s="1319">
        <f t="shared" ca="1" si="1212"/>
        <v>0</v>
      </c>
      <c r="AT104" s="1319">
        <f t="shared" ca="1" si="1209"/>
        <v>0</v>
      </c>
      <c r="AU104" s="1319">
        <f t="shared" ca="1" si="1209"/>
        <v>0</v>
      </c>
      <c r="AV104" s="1319">
        <f t="shared" ca="1" si="1209"/>
        <v>0</v>
      </c>
      <c r="AW104" s="1319">
        <f t="shared" ca="1" si="1209"/>
        <v>0</v>
      </c>
      <c r="AX104" s="1319">
        <f t="shared" ca="1" si="1209"/>
        <v>0</v>
      </c>
      <c r="AY104" s="1319">
        <f t="shared" ca="1" si="1209"/>
        <v>0</v>
      </c>
      <c r="AZ104" s="1319">
        <f t="shared" ca="1" si="1209"/>
        <v>0</v>
      </c>
      <c r="BA104" s="1319">
        <f t="shared" ca="1" si="1209"/>
        <v>0</v>
      </c>
      <c r="BB104" s="1319">
        <f t="shared" ca="1" si="1209"/>
        <v>0</v>
      </c>
      <c r="BN104" s="1319">
        <f t="shared" ca="1" si="1186"/>
        <v>0</v>
      </c>
      <c r="BO104" s="1319">
        <f t="shared" ca="1" si="1186"/>
        <v>151.45052699999999</v>
      </c>
      <c r="BP104" s="1319">
        <f t="shared" ca="1" si="1186"/>
        <v>0</v>
      </c>
      <c r="BQ104" s="1319">
        <f t="shared" ca="1" si="1186"/>
        <v>0</v>
      </c>
      <c r="BR104" s="1319">
        <f t="shared" ca="1" si="1186"/>
        <v>0</v>
      </c>
      <c r="CD104" s="1319">
        <f t="shared" ca="1" si="1187"/>
        <v>0</v>
      </c>
      <c r="CE104" s="1319">
        <f t="shared" ca="1" si="1187"/>
        <v>0</v>
      </c>
      <c r="CF104" s="1319">
        <f t="shared" ca="1" si="1187"/>
        <v>0</v>
      </c>
      <c r="CG104" s="1319">
        <f t="shared" ca="1" si="1187"/>
        <v>151.45052699999999</v>
      </c>
      <c r="CH104" s="1319">
        <f t="shared" ca="1" si="1187"/>
        <v>0</v>
      </c>
      <c r="CI104" s="1319">
        <f t="shared" ca="1" si="1187"/>
        <v>0</v>
      </c>
      <c r="CJ104" s="1319">
        <f t="shared" ca="1" si="1187"/>
        <v>0</v>
      </c>
      <c r="CK104" s="1319">
        <f t="shared" ca="1" si="1187"/>
        <v>835.98422900000003</v>
      </c>
      <c r="CL104" s="1319">
        <f t="shared" ca="1" si="1187"/>
        <v>0</v>
      </c>
      <c r="CM104" s="1319">
        <f t="shared" ca="1" si="1187"/>
        <v>0</v>
      </c>
      <c r="CN104" s="1319">
        <f t="shared" ca="1" si="1187"/>
        <v>835.98422900000003</v>
      </c>
      <c r="CO104" s="1319">
        <f t="shared" ca="1" si="1187"/>
        <v>0</v>
      </c>
      <c r="DA104" s="1319">
        <f t="shared" ca="1" si="1188"/>
        <v>0</v>
      </c>
      <c r="DB104" s="1319">
        <f t="shared" ca="1" si="1188"/>
        <v>0</v>
      </c>
      <c r="DC104" s="1319">
        <f t="shared" ca="1" si="1188"/>
        <v>0</v>
      </c>
      <c r="DD104" s="1319">
        <f t="shared" ca="1" si="1188"/>
        <v>0</v>
      </c>
      <c r="DE104" s="1319">
        <f t="shared" ca="1" si="1188"/>
        <v>0</v>
      </c>
      <c r="DF104" s="1319">
        <f t="shared" ca="1" si="1188"/>
        <v>0</v>
      </c>
      <c r="DG104" s="1319">
        <f t="shared" ca="1" si="1188"/>
        <v>0</v>
      </c>
      <c r="DH104" s="1319">
        <f t="shared" ca="1" si="1188"/>
        <v>0</v>
      </c>
      <c r="DI104" s="1319">
        <f t="shared" ca="1" si="1188"/>
        <v>0</v>
      </c>
      <c r="DJ104" s="1319">
        <f t="shared" ca="1" si="1188"/>
        <v>0</v>
      </c>
      <c r="DV104" s="1319">
        <f t="shared" ca="1" si="1189"/>
        <v>0</v>
      </c>
      <c r="DW104" s="1319">
        <f t="shared" ca="1" si="1189"/>
        <v>0</v>
      </c>
      <c r="DX104" s="1319">
        <f t="shared" ca="1" si="1189"/>
        <v>0</v>
      </c>
      <c r="DY104" s="1319">
        <f t="shared" ca="1" si="1189"/>
        <v>0</v>
      </c>
      <c r="DZ104" s="1319">
        <f t="shared" ca="1" si="1189"/>
        <v>0</v>
      </c>
      <c r="EA104" s="1319">
        <f t="shared" ca="1" si="1189"/>
        <v>0</v>
      </c>
      <c r="EB104" s="1319">
        <f t="shared" ca="1" si="1189"/>
        <v>0</v>
      </c>
      <c r="EC104" s="1319">
        <f t="shared" ca="1" si="1189"/>
        <v>0</v>
      </c>
      <c r="ED104" s="1319">
        <f t="shared" ca="1" si="1189"/>
        <v>0</v>
      </c>
      <c r="EE104" s="1319">
        <f t="shared" ca="1" si="1189"/>
        <v>0</v>
      </c>
      <c r="EF104" s="1319">
        <f t="shared" ca="1" si="1189"/>
        <v>0</v>
      </c>
      <c r="EG104" s="1319">
        <f t="shared" ca="1" si="1189"/>
        <v>0</v>
      </c>
      <c r="EH104" s="1319">
        <f t="shared" ca="1" si="1189"/>
        <v>0</v>
      </c>
      <c r="EI104" s="1319">
        <f t="shared" ca="1" si="1189"/>
        <v>0</v>
      </c>
      <c r="EJ104" s="1319">
        <f t="shared" ca="1" si="1101"/>
        <v>0</v>
      </c>
      <c r="EK104" s="1319">
        <f t="shared" ref="EK104" ca="1" si="1213">VLOOKUP(EK$1,INDIRECT(LU_MAT),$A104,FALSE)</f>
        <v>0</v>
      </c>
      <c r="EW104" s="1319">
        <f t="shared" ca="1" si="1190"/>
        <v>835.98422900000003</v>
      </c>
      <c r="EX104" s="1319">
        <f t="shared" ca="1" si="1190"/>
        <v>835.98422900000003</v>
      </c>
      <c r="EY104" s="1319">
        <f t="shared" ca="1" si="1190"/>
        <v>835.98422900000003</v>
      </c>
      <c r="EZ104" s="1319">
        <f t="shared" ca="1" si="1190"/>
        <v>835.98422900000003</v>
      </c>
      <c r="FA104" s="1319">
        <f t="shared" ca="1" si="1190"/>
        <v>0</v>
      </c>
      <c r="FB104" s="1319">
        <f t="shared" ca="1" si="1190"/>
        <v>0</v>
      </c>
      <c r="FN104" s="1319">
        <f t="shared" ca="1" si="1191"/>
        <v>0</v>
      </c>
      <c r="FO104" s="1319">
        <f t="shared" ca="1" si="1191"/>
        <v>0</v>
      </c>
      <c r="FP104" s="1319">
        <f t="shared" ca="1" si="1191"/>
        <v>0</v>
      </c>
      <c r="FQ104" s="1319">
        <f t="shared" ca="1" si="1191"/>
        <v>0</v>
      </c>
      <c r="FR104" s="1319">
        <f t="shared" ca="1" si="1191"/>
        <v>0</v>
      </c>
      <c r="FS104" s="1319">
        <f t="shared" ca="1" si="1191"/>
        <v>0</v>
      </c>
      <c r="FT104" s="1319">
        <f t="shared" ca="1" si="1191"/>
        <v>0</v>
      </c>
      <c r="FU104" s="1319">
        <f t="shared" ca="1" si="1191"/>
        <v>0</v>
      </c>
      <c r="FV104" s="1319">
        <f t="shared" ca="1" si="1191"/>
        <v>0</v>
      </c>
      <c r="FW104" s="1319">
        <f t="shared" ca="1" si="1191"/>
        <v>0</v>
      </c>
      <c r="FX104" s="1319">
        <f t="shared" ca="1" si="1191"/>
        <v>0</v>
      </c>
      <c r="GJ104" s="1319">
        <f t="shared" ca="1" si="1192"/>
        <v>0</v>
      </c>
      <c r="GK104" s="1319">
        <f t="shared" ca="1" si="1192"/>
        <v>0</v>
      </c>
      <c r="GL104" s="1319">
        <f t="shared" ca="1" si="1192"/>
        <v>0</v>
      </c>
      <c r="GM104" s="1319">
        <f t="shared" ca="1" si="1192"/>
        <v>0</v>
      </c>
      <c r="GN104" s="1319">
        <f t="shared" ca="1" si="1192"/>
        <v>0</v>
      </c>
      <c r="GO104" s="1319">
        <f t="shared" ca="1" si="1192"/>
        <v>0</v>
      </c>
      <c r="GP104" s="1319">
        <f t="shared" ca="1" si="1192"/>
        <v>0</v>
      </c>
      <c r="GQ104" s="1319">
        <f t="shared" ca="1" si="1192"/>
        <v>0</v>
      </c>
      <c r="HC104" s="1319">
        <f t="shared" ca="1" si="1193"/>
        <v>835.98422900000003</v>
      </c>
      <c r="HD104" s="1319">
        <f t="shared" ca="1" si="1193"/>
        <v>16.719684600000001</v>
      </c>
      <c r="HE104" s="1319">
        <f t="shared" ca="1" si="1193"/>
        <v>0</v>
      </c>
      <c r="HF104" s="1319">
        <f t="shared" ca="1" si="1193"/>
        <v>0</v>
      </c>
      <c r="HG104" s="1319">
        <f t="shared" ca="1" si="1193"/>
        <v>819.264544</v>
      </c>
      <c r="HH104" s="1319">
        <f t="shared" ca="1" si="1193"/>
        <v>16.719684600000001</v>
      </c>
      <c r="HT104" s="1319">
        <f t="shared" ca="1" si="1194"/>
        <v>0</v>
      </c>
      <c r="HU104" s="1319">
        <f t="shared" ca="1" si="1194"/>
        <v>16.719684600000001</v>
      </c>
      <c r="HV104" s="1319">
        <f t="shared" ca="1" si="1194"/>
        <v>16.719684600000001</v>
      </c>
      <c r="HW104" s="1319">
        <f t="shared" ca="1" si="1194"/>
        <v>16.719684600000001</v>
      </c>
      <c r="HX104" s="1319">
        <f t="shared" ca="1" si="1194"/>
        <v>4.2802392500000002</v>
      </c>
      <c r="HY104" s="1319">
        <f t="shared" ca="1" si="1194"/>
        <v>12.439445299999999</v>
      </c>
      <c r="HZ104" s="1319">
        <f t="shared" ca="1" si="1194"/>
        <v>0</v>
      </c>
      <c r="IA104" s="1319">
        <f t="shared" ca="1" si="1194"/>
        <v>0</v>
      </c>
      <c r="IB104" s="1319">
        <f t="shared" ca="1" si="1194"/>
        <v>0</v>
      </c>
      <c r="IC104" s="1319">
        <f t="shared" ca="1" si="1194"/>
        <v>0</v>
      </c>
      <c r="ID104" s="1319">
        <f t="shared" ca="1" si="1194"/>
        <v>0</v>
      </c>
      <c r="IE104" s="1319">
        <f t="shared" ca="1" si="1194"/>
        <v>0</v>
      </c>
      <c r="IQ104" s="1319">
        <f t="shared" ca="1" si="1195"/>
        <v>4.2802392500000002</v>
      </c>
      <c r="IR104" s="1319">
        <f t="shared" ca="1" si="1195"/>
        <v>12.439445299999999</v>
      </c>
      <c r="IS104" s="1319">
        <f t="shared" ca="1" si="1195"/>
        <v>5.1602226499999997</v>
      </c>
      <c r="IT104" s="1319">
        <f t="shared" ca="1" si="1195"/>
        <v>17.599668000000001</v>
      </c>
      <c r="IU104" s="1319">
        <f t="shared" ca="1" si="1108"/>
        <v>0.879983399</v>
      </c>
      <c r="IV104" s="1319">
        <f t="shared" ca="1" si="1195"/>
        <v>129.00556599999999</v>
      </c>
      <c r="IW104" s="1319">
        <f t="shared" ca="1" si="1195"/>
        <v>123.845344</v>
      </c>
      <c r="IX104" s="1319">
        <f t="shared" ca="1" si="1109"/>
        <v>0</v>
      </c>
      <c r="IY104" s="1319">
        <f t="shared" ca="1" si="1195"/>
        <v>16.719684600000001</v>
      </c>
      <c r="IZ104" s="1319">
        <f t="shared" ca="1" si="1195"/>
        <v>0</v>
      </c>
      <c r="JA104" s="1319">
        <f t="shared" ca="1" si="1195"/>
        <v>129.00556599999999</v>
      </c>
      <c r="JB104" s="1319">
        <f t="shared" ca="1" si="1195"/>
        <v>0</v>
      </c>
      <c r="JC104" s="1319">
        <f t="shared" ca="1" si="1195"/>
        <v>0</v>
      </c>
      <c r="JD104" s="1319">
        <f t="shared" ca="1" si="1195"/>
        <v>0</v>
      </c>
      <c r="JE104" s="1319">
        <f t="shared" ca="1" si="1195"/>
        <v>0</v>
      </c>
      <c r="JF104" s="1319">
        <f t="shared" ca="1" si="1195"/>
        <v>0</v>
      </c>
      <c r="JG104" s="1319">
        <f t="shared" ca="1" si="1195"/>
        <v>0</v>
      </c>
      <c r="JH104" s="1319">
        <f t="shared" ref="JH104" ca="1" si="1214">VLOOKUP(JH$1,INDIRECT(LU_MAT),$A104,FALSE)</f>
        <v>0</v>
      </c>
      <c r="JT104" s="1319">
        <f t="shared" ca="1" si="1196"/>
        <v>0</v>
      </c>
      <c r="JU104" s="1319">
        <f t="shared" ca="1" si="1196"/>
        <v>0</v>
      </c>
      <c r="JV104" s="1319">
        <f t="shared" ca="1" si="1196"/>
        <v>0</v>
      </c>
      <c r="JW104" s="1319">
        <f t="shared" ca="1" si="1196"/>
        <v>0</v>
      </c>
      <c r="JX104" s="1319">
        <f t="shared" ca="1" si="1196"/>
        <v>0</v>
      </c>
      <c r="JY104" s="1319">
        <f t="shared" ca="1" si="1196"/>
        <v>0</v>
      </c>
      <c r="JZ104" s="1319">
        <f t="shared" ca="1" si="1196"/>
        <v>0</v>
      </c>
      <c r="KA104" s="1319">
        <f t="shared" ca="1" si="1196"/>
        <v>0</v>
      </c>
      <c r="KB104" s="1319">
        <f t="shared" ca="1" si="1196"/>
        <v>0</v>
      </c>
      <c r="KC104" s="1319">
        <f t="shared" ca="1" si="1196"/>
        <v>0</v>
      </c>
      <c r="KL104" s="1319">
        <f t="shared" ca="1" si="1197"/>
        <v>0</v>
      </c>
      <c r="KM104" s="1319">
        <f t="shared" ca="1" si="1197"/>
        <v>0</v>
      </c>
      <c r="KN104" s="1319">
        <f t="shared" ca="1" si="1197"/>
        <v>0</v>
      </c>
      <c r="KO104" s="1319">
        <f t="shared" ca="1" si="1197"/>
        <v>0</v>
      </c>
      <c r="KP104" s="1319">
        <f t="shared" ca="1" si="1197"/>
        <v>0</v>
      </c>
      <c r="KQ104" s="1319">
        <f t="shared" ca="1" si="1197"/>
        <v>0</v>
      </c>
      <c r="KR104" s="1319">
        <f t="shared" ca="1" si="1197"/>
        <v>0</v>
      </c>
      <c r="LA104" s="1319">
        <f t="shared" ca="1" si="1198"/>
        <v>0</v>
      </c>
      <c r="LB104" s="1319">
        <f t="shared" ca="1" si="1198"/>
        <v>0</v>
      </c>
      <c r="LC104" s="1319">
        <f t="shared" ca="1" si="1198"/>
        <v>0</v>
      </c>
      <c r="LD104" s="1319">
        <f t="shared" ca="1" si="1198"/>
        <v>0</v>
      </c>
      <c r="LE104" s="1319">
        <f t="shared" ca="1" si="1198"/>
        <v>0</v>
      </c>
      <c r="LF104" s="1319">
        <f t="shared" ca="1" si="1198"/>
        <v>0</v>
      </c>
      <c r="LG104" s="1319">
        <f t="shared" ca="1" si="1198"/>
        <v>0</v>
      </c>
      <c r="LH104" s="1319">
        <f t="shared" ca="1" si="1198"/>
        <v>0</v>
      </c>
      <c r="LI104" s="1319">
        <f t="shared" ca="1" si="1198"/>
        <v>0</v>
      </c>
      <c r="LJ104" s="1319">
        <f t="shared" ca="1" si="1198"/>
        <v>0</v>
      </c>
      <c r="LK104" s="1319">
        <f t="shared" ca="1" si="1198"/>
        <v>0</v>
      </c>
      <c r="LW104" s="1319">
        <f t="shared" ca="1" si="1113"/>
        <v>0</v>
      </c>
      <c r="LX104" s="1319">
        <f t="shared" ca="1" si="1199"/>
        <v>0</v>
      </c>
      <c r="LY104" s="1319">
        <f t="shared" ca="1" si="1199"/>
        <v>819.264544</v>
      </c>
      <c r="LZ104" s="1319">
        <f t="shared" ca="1" si="1199"/>
        <v>16.719684600000001</v>
      </c>
      <c r="MA104" s="1319">
        <f t="shared" ca="1" si="1199"/>
        <v>835.98422900000003</v>
      </c>
      <c r="MB104" s="1319">
        <f t="shared" ca="1" si="1199"/>
        <v>0</v>
      </c>
      <c r="MC104" s="1319">
        <f t="shared" ca="1" si="1199"/>
        <v>0</v>
      </c>
      <c r="MD104" s="1319">
        <f t="shared" ca="1" si="1199"/>
        <v>0</v>
      </c>
      <c r="ME104" s="1319">
        <f t="shared" ca="1" si="1199"/>
        <v>0</v>
      </c>
      <c r="MF104" s="1319">
        <f t="shared" ca="1" si="1199"/>
        <v>0</v>
      </c>
      <c r="MG104" s="1319">
        <f t="shared" ca="1" si="1199"/>
        <v>0</v>
      </c>
      <c r="MH104" s="1319">
        <f t="shared" ca="1" si="1200"/>
        <v>0</v>
      </c>
      <c r="MI104" s="1319">
        <f t="shared" ca="1" si="1200"/>
        <v>0</v>
      </c>
      <c r="MJ104" s="1319">
        <f t="shared" ca="1" si="1199"/>
        <v>0</v>
      </c>
      <c r="MK104" s="1319">
        <f t="shared" ca="1" si="1199"/>
        <v>0</v>
      </c>
      <c r="ML104" s="1319">
        <f t="shared" ca="1" si="1199"/>
        <v>0</v>
      </c>
      <c r="MM104" s="1319">
        <f t="shared" ca="1" si="1199"/>
        <v>0</v>
      </c>
      <c r="MN104" s="1319">
        <f t="shared" ca="1" si="1199"/>
        <v>0</v>
      </c>
      <c r="MO104" s="1319">
        <f t="shared" ref="MO104" ca="1" si="1215">VLOOKUP(MO$1,INDIRECT(LU_MAT),$A104,FALSE)</f>
        <v>0</v>
      </c>
      <c r="NA104" s="1319">
        <f t="shared" ca="1" si="1201"/>
        <v>0</v>
      </c>
      <c r="NB104" s="1319">
        <f t="shared" ca="1" si="1201"/>
        <v>0</v>
      </c>
      <c r="NC104" s="1319">
        <f t="shared" ca="1" si="1201"/>
        <v>0</v>
      </c>
      <c r="ND104" s="1319">
        <f t="shared" ca="1" si="1201"/>
        <v>0</v>
      </c>
      <c r="NE104" s="1319">
        <f t="shared" ca="1" si="1201"/>
        <v>0</v>
      </c>
      <c r="NF104" s="1319">
        <f t="shared" ca="1" si="1201"/>
        <v>0</v>
      </c>
      <c r="NG104" s="1319">
        <f t="shared" ca="1" si="1201"/>
        <v>0</v>
      </c>
      <c r="NH104" s="1319">
        <f t="shared" ca="1" si="1201"/>
        <v>0</v>
      </c>
      <c r="NI104" s="1319">
        <f t="shared" ca="1" si="1201"/>
        <v>0</v>
      </c>
      <c r="NJ104" s="1319">
        <f t="shared" ca="1" si="1201"/>
        <v>0</v>
      </c>
      <c r="NK104" s="1319">
        <f t="shared" ca="1" si="1201"/>
        <v>0</v>
      </c>
      <c r="NL104" s="1319">
        <f t="shared" ca="1" si="1201"/>
        <v>0</v>
      </c>
      <c r="NM104" s="1319">
        <f t="shared" ca="1" si="1201"/>
        <v>0</v>
      </c>
      <c r="NN104" s="1319">
        <f t="shared" ca="1" si="1201"/>
        <v>0</v>
      </c>
      <c r="NO104" s="1319">
        <f t="shared" ca="1" si="1201"/>
        <v>0</v>
      </c>
      <c r="NP104" s="1319">
        <f t="shared" ref="NP104" ca="1" si="1216">VLOOKUP(NP$1,INDIRECT(LU_MAT),$A104,FALSE)</f>
        <v>0</v>
      </c>
      <c r="OH104" s="1319">
        <f t="shared" ca="1" si="1202"/>
        <v>0</v>
      </c>
      <c r="OI104" s="1319">
        <f t="shared" ca="1" si="1202"/>
        <v>0</v>
      </c>
      <c r="OJ104" s="1319">
        <f t="shared" ca="1" si="1202"/>
        <v>0</v>
      </c>
      <c r="OK104" s="1319">
        <f t="shared" ca="1" si="1202"/>
        <v>0</v>
      </c>
      <c r="OL104" s="1319">
        <f t="shared" ca="1" si="1202"/>
        <v>0</v>
      </c>
      <c r="OM104" s="1319">
        <f t="shared" ca="1" si="1202"/>
        <v>0</v>
      </c>
      <c r="ON104" s="1319">
        <f t="shared" ca="1" si="1202"/>
        <v>0</v>
      </c>
      <c r="OO104" s="1319">
        <f t="shared" ca="1" si="1202"/>
        <v>0</v>
      </c>
      <c r="PA104" s="1319">
        <f t="shared" ca="1" si="1203"/>
        <v>0</v>
      </c>
      <c r="PB104" s="1319">
        <f t="shared" ca="1" si="1203"/>
        <v>0</v>
      </c>
      <c r="PC104" s="1319">
        <f t="shared" ca="1" si="1203"/>
        <v>0</v>
      </c>
      <c r="PD104" s="1319">
        <f t="shared" ca="1" si="1203"/>
        <v>0</v>
      </c>
      <c r="PE104" s="1319">
        <f t="shared" ca="1" si="1203"/>
        <v>0</v>
      </c>
      <c r="PF104" s="1319">
        <f t="shared" ca="1" si="1203"/>
        <v>0</v>
      </c>
      <c r="PG104" s="1319">
        <f t="shared" ca="1" si="1203"/>
        <v>0</v>
      </c>
      <c r="PH104" s="1319">
        <f t="shared" ca="1" si="1203"/>
        <v>0</v>
      </c>
      <c r="PI104" s="1319">
        <f t="shared" ca="1" si="1203"/>
        <v>0</v>
      </c>
      <c r="PJ104" s="1319">
        <f t="shared" ca="1" si="1203"/>
        <v>0</v>
      </c>
      <c r="PK104" s="1319">
        <f t="shared" ca="1" si="1203"/>
        <v>0</v>
      </c>
      <c r="PW104" s="1319">
        <f t="shared" ca="1" si="1204"/>
        <v>0</v>
      </c>
      <c r="PX104" s="1319">
        <f t="shared" ca="1" si="1204"/>
        <v>0</v>
      </c>
      <c r="PY104" s="1319">
        <f t="shared" ca="1" si="1204"/>
        <v>0</v>
      </c>
      <c r="PZ104" s="1319">
        <f t="shared" ca="1" si="1204"/>
        <v>0</v>
      </c>
    </row>
    <row r="105" spans="1:442" x14ac:dyDescent="0.25">
      <c r="A105" s="189">
        <v>139</v>
      </c>
      <c r="B105" s="189" t="s">
        <v>1320</v>
      </c>
      <c r="C105" s="1317" t="s">
        <v>1307</v>
      </c>
      <c r="D105" s="1317" t="s">
        <v>206</v>
      </c>
      <c r="J105" s="1319">
        <f t="shared" ca="1" si="1207"/>
        <v>0</v>
      </c>
      <c r="K105" s="1319">
        <f t="shared" ca="1" si="1211"/>
        <v>0</v>
      </c>
      <c r="T105" s="1319">
        <f t="shared" ca="1" si="1208"/>
        <v>0</v>
      </c>
      <c r="U105" s="1319">
        <f t="shared" ca="1" si="1208"/>
        <v>0</v>
      </c>
      <c r="V105" s="1319">
        <f t="shared" ca="1" si="1208"/>
        <v>0</v>
      </c>
      <c r="W105" s="1319">
        <f t="shared" ca="1" si="1208"/>
        <v>0</v>
      </c>
      <c r="X105" s="1319">
        <f t="shared" ca="1" si="1208"/>
        <v>0</v>
      </c>
      <c r="Y105" s="1319">
        <f t="shared" ca="1" si="1208"/>
        <v>0</v>
      </c>
      <c r="Z105" s="1319">
        <f t="shared" ca="1" si="1208"/>
        <v>0</v>
      </c>
      <c r="AA105" s="1319">
        <f t="shared" ca="1" si="1208"/>
        <v>0</v>
      </c>
      <c r="AB105" s="1319">
        <f t="shared" ca="1" si="1208"/>
        <v>0</v>
      </c>
      <c r="AC105" s="1319">
        <f t="shared" ca="1" si="1208"/>
        <v>0</v>
      </c>
      <c r="AD105" s="1319">
        <f t="shared" ca="1" si="1208"/>
        <v>0</v>
      </c>
      <c r="AM105" s="1319">
        <f t="shared" ca="1" si="1209"/>
        <v>0</v>
      </c>
      <c r="AN105" s="1319">
        <f t="shared" ca="1" si="1209"/>
        <v>0</v>
      </c>
      <c r="AO105" s="1319">
        <f t="shared" ca="1" si="1212"/>
        <v>0</v>
      </c>
      <c r="AP105" s="1319">
        <f t="shared" ca="1" si="1212"/>
        <v>0</v>
      </c>
      <c r="AQ105" s="1319">
        <f t="shared" ca="1" si="1212"/>
        <v>0</v>
      </c>
      <c r="AR105" s="1319">
        <f t="shared" ca="1" si="1212"/>
        <v>0</v>
      </c>
      <c r="AS105" s="1319">
        <f t="shared" ca="1" si="1212"/>
        <v>0</v>
      </c>
      <c r="AT105" s="1319">
        <f t="shared" ca="1" si="1209"/>
        <v>0</v>
      </c>
      <c r="AU105" s="1319">
        <f t="shared" ca="1" si="1209"/>
        <v>0</v>
      </c>
      <c r="AV105" s="1319">
        <f t="shared" ca="1" si="1209"/>
        <v>0</v>
      </c>
      <c r="AW105" s="1319">
        <f t="shared" ca="1" si="1209"/>
        <v>0</v>
      </c>
      <c r="AX105" s="1319">
        <f t="shared" ca="1" si="1209"/>
        <v>0</v>
      </c>
      <c r="AY105" s="1319">
        <f t="shared" ca="1" si="1209"/>
        <v>0</v>
      </c>
      <c r="AZ105" s="1319">
        <f t="shared" ca="1" si="1209"/>
        <v>0</v>
      </c>
      <c r="BA105" s="1319">
        <f t="shared" ca="1" si="1209"/>
        <v>0</v>
      </c>
      <c r="BB105" s="1319">
        <f t="shared" ca="1" si="1209"/>
        <v>0</v>
      </c>
      <c r="BN105" s="1319">
        <f t="shared" ref="BN105:BR113" ca="1" si="1217">VLOOKUP(BN$1,INDIRECT(LU_MAT),$A105,FALSE)</f>
        <v>10.780222800000001</v>
      </c>
      <c r="BO105" s="1319">
        <f t="shared" ca="1" si="1217"/>
        <v>10.780222800000001</v>
      </c>
      <c r="BP105" s="1319">
        <f t="shared" ca="1" si="1217"/>
        <v>0</v>
      </c>
      <c r="BQ105" s="1319">
        <f t="shared" ca="1" si="1217"/>
        <v>0</v>
      </c>
      <c r="BR105" s="1319">
        <f t="shared" ca="1" si="1217"/>
        <v>0</v>
      </c>
      <c r="CD105" s="1319">
        <f t="shared" ref="CD105:CO113" ca="1" si="1218">VLOOKUP(CD$1,INDIRECT(LU_MAT),$A105,FALSE)</f>
        <v>0</v>
      </c>
      <c r="CE105" s="1319">
        <f t="shared" ca="1" si="1218"/>
        <v>0</v>
      </c>
      <c r="CF105" s="1319">
        <f t="shared" ca="1" si="1218"/>
        <v>10.780222800000001</v>
      </c>
      <c r="CG105" s="1319">
        <f t="shared" ca="1" si="1218"/>
        <v>10.780222800000001</v>
      </c>
      <c r="CH105" s="1319">
        <f t="shared" ca="1" si="1218"/>
        <v>107.802228</v>
      </c>
      <c r="CI105" s="1319">
        <f t="shared" ca="1" si="1218"/>
        <v>0</v>
      </c>
      <c r="CJ105" s="1319">
        <f t="shared" ca="1" si="1218"/>
        <v>0</v>
      </c>
      <c r="CK105" s="1319">
        <f t="shared" ca="1" si="1218"/>
        <v>107.802228</v>
      </c>
      <c r="CL105" s="1319">
        <f t="shared" ca="1" si="1218"/>
        <v>0</v>
      </c>
      <c r="CM105" s="1319">
        <f t="shared" ca="1" si="1218"/>
        <v>107.802228</v>
      </c>
      <c r="CN105" s="1319">
        <f t="shared" ca="1" si="1218"/>
        <v>107.802228</v>
      </c>
      <c r="CO105" s="1319">
        <f t="shared" ca="1" si="1218"/>
        <v>0</v>
      </c>
      <c r="DA105" s="1319">
        <f t="shared" ref="DA105:DJ113" ca="1" si="1219">VLOOKUP(DA$1,INDIRECT(LU_MAT),$A105,FALSE)</f>
        <v>0.59890126600000004</v>
      </c>
      <c r="DB105" s="1319">
        <f t="shared" ca="1" si="1219"/>
        <v>0</v>
      </c>
      <c r="DC105" s="1319">
        <f t="shared" ca="1" si="1219"/>
        <v>0</v>
      </c>
      <c r="DD105" s="1319">
        <f t="shared" ca="1" si="1219"/>
        <v>0</v>
      </c>
      <c r="DE105" s="1319">
        <f t="shared" ca="1" si="1219"/>
        <v>33.933767400000001</v>
      </c>
      <c r="DF105" s="1319">
        <f t="shared" ca="1" si="1219"/>
        <v>0</v>
      </c>
      <c r="DG105" s="1319">
        <f t="shared" ca="1" si="1219"/>
        <v>0</v>
      </c>
      <c r="DH105" s="1319">
        <f t="shared" ca="1" si="1219"/>
        <v>0</v>
      </c>
      <c r="DI105" s="1319">
        <f t="shared" ca="1" si="1219"/>
        <v>0</v>
      </c>
      <c r="DJ105" s="1319">
        <f t="shared" ca="1" si="1219"/>
        <v>0</v>
      </c>
      <c r="DV105" s="1319">
        <f t="shared" ref="DV105:EK113" ca="1" si="1220">VLOOKUP(DV$1,INDIRECT(LU_MAT),$A105,FALSE)</f>
        <v>0</v>
      </c>
      <c r="DW105" s="1319">
        <f t="shared" ca="1" si="1220"/>
        <v>0</v>
      </c>
      <c r="DX105" s="1319">
        <f t="shared" ca="1" si="1220"/>
        <v>11.978025300000001</v>
      </c>
      <c r="DY105" s="1319">
        <f t="shared" ca="1" si="1220"/>
        <v>0.59890126600000004</v>
      </c>
      <c r="DZ105" s="1319">
        <f t="shared" ca="1" si="1220"/>
        <v>0</v>
      </c>
      <c r="EA105" s="1319">
        <f t="shared" ca="1" si="1220"/>
        <v>33.933767400000001</v>
      </c>
      <c r="EB105" s="1319">
        <f t="shared" ca="1" si="1220"/>
        <v>11.3791241</v>
      </c>
      <c r="EC105" s="1319">
        <f t="shared" ca="1" si="1220"/>
        <v>0</v>
      </c>
      <c r="ED105" s="1319">
        <f t="shared" ca="1" si="1220"/>
        <v>107.802228</v>
      </c>
      <c r="EE105" s="1319">
        <f t="shared" ca="1" si="1220"/>
        <v>0</v>
      </c>
      <c r="EF105" s="1319">
        <f t="shared" ca="1" si="1220"/>
        <v>0</v>
      </c>
      <c r="EG105" s="1319">
        <f t="shared" ca="1" si="1220"/>
        <v>0</v>
      </c>
      <c r="EH105" s="1319">
        <f t="shared" ca="1" si="1220"/>
        <v>0</v>
      </c>
      <c r="EI105" s="1319">
        <f t="shared" ca="1" si="1220"/>
        <v>0</v>
      </c>
      <c r="EJ105" s="1319">
        <f t="shared" ca="1" si="1220"/>
        <v>0</v>
      </c>
      <c r="EK105" s="1319">
        <f t="shared" ca="1" si="1220"/>
        <v>0</v>
      </c>
      <c r="EW105" s="1319">
        <f t="shared" ref="EW105:FB113" ca="1" si="1221">VLOOKUP(EW$1,INDIRECT(LU_MAT),$A105,FALSE)</f>
        <v>107.802228</v>
      </c>
      <c r="EX105" s="1319">
        <f t="shared" ca="1" si="1221"/>
        <v>107.802228</v>
      </c>
      <c r="EY105" s="1319">
        <f t="shared" ca="1" si="1221"/>
        <v>107.802228</v>
      </c>
      <c r="EZ105" s="1319">
        <f t="shared" ca="1" si="1221"/>
        <v>107.802228</v>
      </c>
      <c r="FA105" s="1319">
        <f t="shared" ca="1" si="1221"/>
        <v>0</v>
      </c>
      <c r="FB105" s="1319">
        <f t="shared" ca="1" si="1221"/>
        <v>0</v>
      </c>
      <c r="FN105" s="1319">
        <f t="shared" ref="FN105:FX113" ca="1" si="1222">VLOOKUP(FN$1,INDIRECT(LU_MAT),$A105,FALSE)</f>
        <v>0</v>
      </c>
      <c r="FO105" s="1319">
        <f t="shared" ca="1" si="1222"/>
        <v>0</v>
      </c>
      <c r="FP105" s="1319">
        <f t="shared" ca="1" si="1222"/>
        <v>0</v>
      </c>
      <c r="FQ105" s="1319">
        <f t="shared" ca="1" si="1222"/>
        <v>0</v>
      </c>
      <c r="FR105" s="1319">
        <f t="shared" ca="1" si="1222"/>
        <v>0</v>
      </c>
      <c r="FS105" s="1319">
        <f t="shared" ca="1" si="1222"/>
        <v>0</v>
      </c>
      <c r="FT105" s="1319">
        <f t="shared" ca="1" si="1222"/>
        <v>0</v>
      </c>
      <c r="FU105" s="1319">
        <f t="shared" ca="1" si="1222"/>
        <v>0</v>
      </c>
      <c r="FV105" s="1319">
        <f t="shared" ca="1" si="1222"/>
        <v>0</v>
      </c>
      <c r="FW105" s="1319">
        <f t="shared" ca="1" si="1222"/>
        <v>0</v>
      </c>
      <c r="FX105" s="1319">
        <f t="shared" ca="1" si="1222"/>
        <v>0</v>
      </c>
      <c r="GJ105" s="1319">
        <f t="shared" ref="GJ105:GQ113" ca="1" si="1223">VLOOKUP(GJ$1,INDIRECT(LU_MAT),$A105,FALSE)</f>
        <v>0</v>
      </c>
      <c r="GK105" s="1319">
        <f t="shared" ca="1" si="1223"/>
        <v>0</v>
      </c>
      <c r="GL105" s="1319">
        <f t="shared" ca="1" si="1223"/>
        <v>0</v>
      </c>
      <c r="GM105" s="1319">
        <f t="shared" ca="1" si="1223"/>
        <v>0</v>
      </c>
      <c r="GN105" s="1319">
        <f t="shared" ca="1" si="1223"/>
        <v>0</v>
      </c>
      <c r="GO105" s="1319">
        <f t="shared" ca="1" si="1223"/>
        <v>0</v>
      </c>
      <c r="GP105" s="1319">
        <f t="shared" ca="1" si="1223"/>
        <v>0</v>
      </c>
      <c r="GQ105" s="1319">
        <f t="shared" ca="1" si="1223"/>
        <v>0</v>
      </c>
      <c r="HC105" s="1319">
        <f t="shared" ref="HC105:HH113" ca="1" si="1224">VLOOKUP(HC$1,INDIRECT(LU_MAT),$A105,FALSE)</f>
        <v>107.802228</v>
      </c>
      <c r="HD105" s="1319">
        <f t="shared" ca="1" si="1224"/>
        <v>2.1560445600000002</v>
      </c>
      <c r="HE105" s="1319">
        <f t="shared" ca="1" si="1224"/>
        <v>0</v>
      </c>
      <c r="HF105" s="1319">
        <f t="shared" ca="1" si="1224"/>
        <v>0</v>
      </c>
      <c r="HG105" s="1319">
        <f t="shared" ca="1" si="1224"/>
        <v>105.64618299999999</v>
      </c>
      <c r="HH105" s="1319">
        <f t="shared" ca="1" si="1224"/>
        <v>2.1560445600000002</v>
      </c>
      <c r="HT105" s="1319">
        <f t="shared" ref="HT105:IE113" ca="1" si="1225">VLOOKUP(HT$1,INDIRECT(LU_MAT),$A105,FALSE)</f>
        <v>0</v>
      </c>
      <c r="HU105" s="1319">
        <f t="shared" ca="1" si="1225"/>
        <v>2.1560445600000002</v>
      </c>
      <c r="HV105" s="1319">
        <f t="shared" ca="1" si="1225"/>
        <v>2.1560445600000002</v>
      </c>
      <c r="HW105" s="1319">
        <f t="shared" ca="1" si="1225"/>
        <v>2.1560445600000002</v>
      </c>
      <c r="HX105" s="1319">
        <f t="shared" ca="1" si="1225"/>
        <v>0.551947407</v>
      </c>
      <c r="HY105" s="1319">
        <f t="shared" ca="1" si="1225"/>
        <v>1.6040971500000001</v>
      </c>
      <c r="HZ105" s="1319">
        <f t="shared" ca="1" si="1225"/>
        <v>0</v>
      </c>
      <c r="IA105" s="1319">
        <f t="shared" ca="1" si="1225"/>
        <v>0</v>
      </c>
      <c r="IB105" s="1319">
        <f t="shared" ca="1" si="1225"/>
        <v>0</v>
      </c>
      <c r="IC105" s="1319">
        <f t="shared" ca="1" si="1225"/>
        <v>0</v>
      </c>
      <c r="ID105" s="1319">
        <f t="shared" ca="1" si="1225"/>
        <v>0</v>
      </c>
      <c r="IE105" s="1319">
        <f t="shared" ca="1" si="1225"/>
        <v>0</v>
      </c>
      <c r="IQ105" s="1319">
        <f t="shared" ref="IQ105:JH113" ca="1" si="1226">VLOOKUP(IQ$1,INDIRECT(LU_MAT),$A105,FALSE)</f>
        <v>0.551947407</v>
      </c>
      <c r="IR105" s="1319">
        <f t="shared" ca="1" si="1226"/>
        <v>1.6040971500000001</v>
      </c>
      <c r="IS105" s="1319">
        <f t="shared" ca="1" si="1226"/>
        <v>0.66542343599999998</v>
      </c>
      <c r="IT105" s="1319">
        <f t="shared" ca="1" si="1226"/>
        <v>2.2695205899999999</v>
      </c>
      <c r="IU105" s="1319">
        <f t="shared" ca="1" si="1226"/>
        <v>0.11347602900000001</v>
      </c>
      <c r="IV105" s="1319">
        <f t="shared" ca="1" si="1226"/>
        <v>16.635585899999999</v>
      </c>
      <c r="IW105" s="1319">
        <f t="shared" ca="1" si="1226"/>
        <v>15.970162500000001</v>
      </c>
      <c r="IX105" s="1319">
        <f t="shared" ca="1" si="1226"/>
        <v>0</v>
      </c>
      <c r="IY105" s="1319">
        <f t="shared" ca="1" si="1226"/>
        <v>2.1560445600000002</v>
      </c>
      <c r="IZ105" s="1319">
        <f t="shared" ca="1" si="1226"/>
        <v>0</v>
      </c>
      <c r="JA105" s="1319">
        <f t="shared" ca="1" si="1226"/>
        <v>16.635585899999999</v>
      </c>
      <c r="JB105" s="1319">
        <f t="shared" ca="1" si="1226"/>
        <v>0</v>
      </c>
      <c r="JC105" s="1319">
        <f t="shared" ca="1" si="1226"/>
        <v>0</v>
      </c>
      <c r="JD105" s="1319">
        <f t="shared" ca="1" si="1226"/>
        <v>0</v>
      </c>
      <c r="JE105" s="1319">
        <f t="shared" ca="1" si="1226"/>
        <v>0</v>
      </c>
      <c r="JF105" s="1319">
        <f t="shared" ca="1" si="1226"/>
        <v>0</v>
      </c>
      <c r="JG105" s="1319">
        <f t="shared" ca="1" si="1226"/>
        <v>0</v>
      </c>
      <c r="JH105" s="1319">
        <f t="shared" ca="1" si="1226"/>
        <v>0</v>
      </c>
      <c r="JT105" s="1319">
        <f t="shared" ref="JT105:KC113" ca="1" si="1227">VLOOKUP(JT$1,INDIRECT(LU_MAT),$A105,FALSE)</f>
        <v>0</v>
      </c>
      <c r="JU105" s="1319">
        <f t="shared" ca="1" si="1227"/>
        <v>0</v>
      </c>
      <c r="JV105" s="1319">
        <f t="shared" ca="1" si="1227"/>
        <v>0</v>
      </c>
      <c r="JW105" s="1319">
        <f t="shared" ca="1" si="1227"/>
        <v>0</v>
      </c>
      <c r="JX105" s="1319">
        <f t="shared" ca="1" si="1227"/>
        <v>0</v>
      </c>
      <c r="JY105" s="1319">
        <f t="shared" ca="1" si="1227"/>
        <v>0</v>
      </c>
      <c r="JZ105" s="1319">
        <f t="shared" ca="1" si="1227"/>
        <v>0</v>
      </c>
      <c r="KA105" s="1319">
        <f t="shared" ca="1" si="1227"/>
        <v>0</v>
      </c>
      <c r="KB105" s="1319">
        <f t="shared" ca="1" si="1227"/>
        <v>0</v>
      </c>
      <c r="KC105" s="1319">
        <f t="shared" ca="1" si="1227"/>
        <v>0</v>
      </c>
      <c r="KL105" s="1319">
        <f t="shared" ref="KL105:KR113" ca="1" si="1228">VLOOKUP(KL$1,INDIRECT(LU_MAT),$A105,FALSE)</f>
        <v>0</v>
      </c>
      <c r="KM105" s="1319">
        <f t="shared" ca="1" si="1228"/>
        <v>0</v>
      </c>
      <c r="KN105" s="1319">
        <f t="shared" ca="1" si="1228"/>
        <v>0</v>
      </c>
      <c r="KO105" s="1319">
        <f t="shared" ca="1" si="1228"/>
        <v>0</v>
      </c>
      <c r="KP105" s="1319">
        <f t="shared" ca="1" si="1228"/>
        <v>0</v>
      </c>
      <c r="KQ105" s="1319">
        <f t="shared" ca="1" si="1228"/>
        <v>0</v>
      </c>
      <c r="KR105" s="1319">
        <f t="shared" ca="1" si="1228"/>
        <v>0</v>
      </c>
      <c r="LA105" s="1319">
        <f t="shared" ref="LA105:LK113" ca="1" si="1229">VLOOKUP(LA$1,INDIRECT(LU_MAT),$A105,FALSE)</f>
        <v>0</v>
      </c>
      <c r="LB105" s="1319">
        <f t="shared" ca="1" si="1229"/>
        <v>0</v>
      </c>
      <c r="LC105" s="1319">
        <f t="shared" ca="1" si="1229"/>
        <v>0</v>
      </c>
      <c r="LD105" s="1319">
        <f t="shared" ca="1" si="1229"/>
        <v>0</v>
      </c>
      <c r="LE105" s="1319">
        <f t="shared" ca="1" si="1229"/>
        <v>0</v>
      </c>
      <c r="LF105" s="1319">
        <f t="shared" ca="1" si="1229"/>
        <v>0</v>
      </c>
      <c r="LG105" s="1319">
        <f t="shared" ca="1" si="1229"/>
        <v>0</v>
      </c>
      <c r="LH105" s="1319">
        <f t="shared" ca="1" si="1229"/>
        <v>0</v>
      </c>
      <c r="LI105" s="1319">
        <f t="shared" ca="1" si="1229"/>
        <v>0</v>
      </c>
      <c r="LJ105" s="1319">
        <f t="shared" ca="1" si="1229"/>
        <v>0</v>
      </c>
      <c r="LK105" s="1319">
        <f t="shared" ca="1" si="1229"/>
        <v>0</v>
      </c>
      <c r="LW105" s="1319">
        <f t="shared" ref="LW105:MO113" ca="1" si="1230">VLOOKUP(LW$1,INDIRECT(LU_MAT),$A105,FALSE)</f>
        <v>0</v>
      </c>
      <c r="LX105" s="1319">
        <f t="shared" ca="1" si="1230"/>
        <v>0</v>
      </c>
      <c r="LY105" s="1319">
        <f t="shared" ca="1" si="1230"/>
        <v>105.64618299999999</v>
      </c>
      <c r="LZ105" s="1319">
        <f t="shared" ca="1" si="1230"/>
        <v>2.1560445600000002</v>
      </c>
      <c r="MA105" s="1319">
        <f t="shared" ca="1" si="1230"/>
        <v>107.802228</v>
      </c>
      <c r="MB105" s="1319">
        <f t="shared" ca="1" si="1230"/>
        <v>0</v>
      </c>
      <c r="MC105" s="1319">
        <f t="shared" ca="1" si="1230"/>
        <v>0</v>
      </c>
      <c r="MD105" s="1319">
        <f t="shared" ca="1" si="1230"/>
        <v>0</v>
      </c>
      <c r="ME105" s="1319">
        <f t="shared" ca="1" si="1230"/>
        <v>0</v>
      </c>
      <c r="MF105" s="1319">
        <f t="shared" ca="1" si="1230"/>
        <v>0</v>
      </c>
      <c r="MG105" s="1319">
        <f t="shared" ca="1" si="1230"/>
        <v>0</v>
      </c>
      <c r="MH105" s="1319">
        <f t="shared" ca="1" si="1230"/>
        <v>0</v>
      </c>
      <c r="MI105" s="1319">
        <f t="shared" ca="1" si="1230"/>
        <v>0</v>
      </c>
      <c r="MJ105" s="1319">
        <f t="shared" ca="1" si="1230"/>
        <v>0</v>
      </c>
      <c r="MK105" s="1319">
        <f t="shared" ca="1" si="1230"/>
        <v>0</v>
      </c>
      <c r="ML105" s="1319">
        <f t="shared" ca="1" si="1230"/>
        <v>0</v>
      </c>
      <c r="MM105" s="1319">
        <f t="shared" ca="1" si="1230"/>
        <v>0</v>
      </c>
      <c r="MN105" s="1319">
        <f t="shared" ca="1" si="1230"/>
        <v>0</v>
      </c>
      <c r="MO105" s="1319">
        <f t="shared" ca="1" si="1230"/>
        <v>0</v>
      </c>
      <c r="NA105" s="1319">
        <f t="shared" ref="NA105:NP113" ca="1" si="1231">VLOOKUP(NA$1,INDIRECT(LU_MAT),$A105,FALSE)</f>
        <v>0</v>
      </c>
      <c r="NB105" s="1319">
        <f t="shared" ca="1" si="1231"/>
        <v>0</v>
      </c>
      <c r="NC105" s="1319">
        <f t="shared" ca="1" si="1231"/>
        <v>0</v>
      </c>
      <c r="ND105" s="1319">
        <f t="shared" ca="1" si="1231"/>
        <v>0</v>
      </c>
      <c r="NE105" s="1319">
        <f t="shared" ca="1" si="1231"/>
        <v>0</v>
      </c>
      <c r="NF105" s="1319">
        <f t="shared" ca="1" si="1231"/>
        <v>0</v>
      </c>
      <c r="NG105" s="1319">
        <f t="shared" ca="1" si="1231"/>
        <v>0</v>
      </c>
      <c r="NH105" s="1319">
        <f t="shared" ca="1" si="1231"/>
        <v>0</v>
      </c>
      <c r="NI105" s="1319">
        <f t="shared" ca="1" si="1231"/>
        <v>0</v>
      </c>
      <c r="NJ105" s="1319">
        <f t="shared" ca="1" si="1231"/>
        <v>0</v>
      </c>
      <c r="NK105" s="1319">
        <f t="shared" ca="1" si="1231"/>
        <v>0</v>
      </c>
      <c r="NL105" s="1319">
        <f t="shared" ca="1" si="1231"/>
        <v>0</v>
      </c>
      <c r="NM105" s="1319">
        <f t="shared" ca="1" si="1231"/>
        <v>0</v>
      </c>
      <c r="NN105" s="1319">
        <f t="shared" ca="1" si="1231"/>
        <v>0</v>
      </c>
      <c r="NO105" s="1319">
        <f t="shared" ca="1" si="1231"/>
        <v>0</v>
      </c>
      <c r="NP105" s="1319">
        <f t="shared" ca="1" si="1231"/>
        <v>0</v>
      </c>
      <c r="OH105" s="1319">
        <f t="shared" ref="OH105:OO113" ca="1" si="1232">VLOOKUP(OH$1,INDIRECT(LU_MAT),$A105,FALSE)</f>
        <v>0</v>
      </c>
      <c r="OI105" s="1319">
        <f t="shared" ca="1" si="1232"/>
        <v>0</v>
      </c>
      <c r="OJ105" s="1319">
        <f t="shared" ca="1" si="1232"/>
        <v>0</v>
      </c>
      <c r="OK105" s="1319">
        <f t="shared" ca="1" si="1232"/>
        <v>0</v>
      </c>
      <c r="OL105" s="1319">
        <f t="shared" ca="1" si="1232"/>
        <v>0</v>
      </c>
      <c r="OM105" s="1319">
        <f t="shared" ca="1" si="1232"/>
        <v>0</v>
      </c>
      <c r="ON105" s="1319">
        <f t="shared" ca="1" si="1232"/>
        <v>0</v>
      </c>
      <c r="OO105" s="1319">
        <f t="shared" ca="1" si="1232"/>
        <v>0</v>
      </c>
      <c r="PA105" s="1319">
        <f t="shared" ref="PA105:PK113" ca="1" si="1233">VLOOKUP(PA$1,INDIRECT(LU_MAT),$A105,FALSE)</f>
        <v>0</v>
      </c>
      <c r="PB105" s="1319">
        <f t="shared" ca="1" si="1233"/>
        <v>0</v>
      </c>
      <c r="PC105" s="1319">
        <f t="shared" ca="1" si="1233"/>
        <v>0</v>
      </c>
      <c r="PD105" s="1319">
        <f t="shared" ca="1" si="1233"/>
        <v>0</v>
      </c>
      <c r="PE105" s="1319">
        <f t="shared" ca="1" si="1233"/>
        <v>0</v>
      </c>
      <c r="PF105" s="1319">
        <f t="shared" ca="1" si="1233"/>
        <v>0</v>
      </c>
      <c r="PG105" s="1319">
        <f t="shared" ca="1" si="1233"/>
        <v>0</v>
      </c>
      <c r="PH105" s="1319">
        <f t="shared" ca="1" si="1233"/>
        <v>0</v>
      </c>
      <c r="PI105" s="1319">
        <f t="shared" ca="1" si="1233"/>
        <v>0</v>
      </c>
      <c r="PJ105" s="1319">
        <f t="shared" ca="1" si="1233"/>
        <v>0</v>
      </c>
      <c r="PK105" s="1319">
        <f t="shared" ca="1" si="1233"/>
        <v>0</v>
      </c>
      <c r="PW105" s="1319">
        <f t="shared" ref="PW105:PZ113" ca="1" si="1234">VLOOKUP(PW$1,INDIRECT(LU_MAT),$A105,FALSE)</f>
        <v>0</v>
      </c>
      <c r="PX105" s="1319">
        <f t="shared" ca="1" si="1234"/>
        <v>0</v>
      </c>
      <c r="PY105" s="1319">
        <f t="shared" ca="1" si="1234"/>
        <v>0</v>
      </c>
      <c r="PZ105" s="1319">
        <f t="shared" ca="1" si="1234"/>
        <v>0</v>
      </c>
    </row>
    <row r="106" spans="1:442" x14ac:dyDescent="0.25">
      <c r="A106" s="189">
        <v>140</v>
      </c>
      <c r="B106" s="189" t="s">
        <v>1320</v>
      </c>
      <c r="C106" s="1317" t="s">
        <v>1262</v>
      </c>
      <c r="D106" s="1317" t="s">
        <v>206</v>
      </c>
      <c r="J106" s="1319">
        <f t="shared" ca="1" si="1207"/>
        <v>0</v>
      </c>
      <c r="K106" s="1319">
        <f t="shared" ca="1" si="1211"/>
        <v>0</v>
      </c>
      <c r="T106" s="1319">
        <f t="shared" ca="1" si="1208"/>
        <v>0</v>
      </c>
      <c r="U106" s="1319">
        <f t="shared" ca="1" si="1208"/>
        <v>0</v>
      </c>
      <c r="V106" s="1319">
        <f t="shared" ca="1" si="1208"/>
        <v>0</v>
      </c>
      <c r="W106" s="1319">
        <f t="shared" ca="1" si="1208"/>
        <v>0</v>
      </c>
      <c r="X106" s="1319">
        <f t="shared" ca="1" si="1208"/>
        <v>0</v>
      </c>
      <c r="Y106" s="1319">
        <f t="shared" ca="1" si="1208"/>
        <v>0</v>
      </c>
      <c r="Z106" s="1319">
        <f t="shared" ca="1" si="1208"/>
        <v>0</v>
      </c>
      <c r="AA106" s="1319">
        <f t="shared" ca="1" si="1208"/>
        <v>0</v>
      </c>
      <c r="AB106" s="1319">
        <f t="shared" ca="1" si="1208"/>
        <v>0</v>
      </c>
      <c r="AC106" s="1319">
        <f t="shared" ca="1" si="1208"/>
        <v>0</v>
      </c>
      <c r="AD106" s="1319">
        <f t="shared" ca="1" si="1208"/>
        <v>0</v>
      </c>
      <c r="AM106" s="1319">
        <f t="shared" ca="1" si="1209"/>
        <v>0</v>
      </c>
      <c r="AN106" s="1319">
        <f t="shared" ca="1" si="1209"/>
        <v>0</v>
      </c>
      <c r="AO106" s="1319">
        <f t="shared" ca="1" si="1212"/>
        <v>0</v>
      </c>
      <c r="AP106" s="1319">
        <f t="shared" ca="1" si="1212"/>
        <v>0</v>
      </c>
      <c r="AQ106" s="1319">
        <f t="shared" ca="1" si="1212"/>
        <v>0</v>
      </c>
      <c r="AR106" s="1319">
        <f t="shared" ca="1" si="1212"/>
        <v>0</v>
      </c>
      <c r="AS106" s="1319">
        <f t="shared" ca="1" si="1212"/>
        <v>0</v>
      </c>
      <c r="AT106" s="1319">
        <f t="shared" ca="1" si="1209"/>
        <v>0</v>
      </c>
      <c r="AU106" s="1319">
        <f t="shared" ca="1" si="1209"/>
        <v>0</v>
      </c>
      <c r="AV106" s="1319">
        <f t="shared" ca="1" si="1209"/>
        <v>0</v>
      </c>
      <c r="AW106" s="1319">
        <f t="shared" ca="1" si="1209"/>
        <v>0</v>
      </c>
      <c r="AX106" s="1319">
        <f t="shared" ca="1" si="1209"/>
        <v>0</v>
      </c>
      <c r="AY106" s="1319">
        <f t="shared" ca="1" si="1209"/>
        <v>0</v>
      </c>
      <c r="AZ106" s="1319">
        <f t="shared" ca="1" si="1209"/>
        <v>0</v>
      </c>
      <c r="BA106" s="1319">
        <f t="shared" ca="1" si="1209"/>
        <v>0</v>
      </c>
      <c r="BB106" s="1319">
        <f t="shared" ca="1" si="1209"/>
        <v>0</v>
      </c>
      <c r="BN106" s="1319">
        <f t="shared" ca="1" si="1217"/>
        <v>0</v>
      </c>
      <c r="BO106" s="1319">
        <f t="shared" ca="1" si="1217"/>
        <v>0</v>
      </c>
      <c r="BP106" s="1319">
        <f t="shared" ca="1" si="1217"/>
        <v>0</v>
      </c>
      <c r="BQ106" s="1319">
        <f t="shared" ca="1" si="1217"/>
        <v>0</v>
      </c>
      <c r="BR106" s="1319">
        <f t="shared" ca="1" si="1217"/>
        <v>0</v>
      </c>
      <c r="CD106" s="1319">
        <f t="shared" ca="1" si="1218"/>
        <v>0</v>
      </c>
      <c r="CE106" s="1319">
        <f t="shared" ca="1" si="1218"/>
        <v>0</v>
      </c>
      <c r="CF106" s="1319">
        <f t="shared" ca="1" si="1218"/>
        <v>0</v>
      </c>
      <c r="CG106" s="1319">
        <f t="shared" ca="1" si="1218"/>
        <v>0</v>
      </c>
      <c r="CH106" s="1319">
        <f t="shared" ca="1" si="1218"/>
        <v>0</v>
      </c>
      <c r="CI106" s="1319">
        <f t="shared" ca="1" si="1218"/>
        <v>0</v>
      </c>
      <c r="CJ106" s="1319">
        <f t="shared" ca="1" si="1218"/>
        <v>0</v>
      </c>
      <c r="CK106" s="1319">
        <f t="shared" ca="1" si="1218"/>
        <v>0</v>
      </c>
      <c r="CL106" s="1319">
        <f t="shared" ca="1" si="1218"/>
        <v>0</v>
      </c>
      <c r="CM106" s="1319">
        <f t="shared" ca="1" si="1218"/>
        <v>0</v>
      </c>
      <c r="CN106" s="1319">
        <f t="shared" ca="1" si="1218"/>
        <v>0</v>
      </c>
      <c r="CO106" s="1319">
        <f t="shared" ca="1" si="1218"/>
        <v>0</v>
      </c>
      <c r="DA106" s="1319">
        <f t="shared" ca="1" si="1219"/>
        <v>0</v>
      </c>
      <c r="DB106" s="1319">
        <f t="shared" ca="1" si="1219"/>
        <v>0</v>
      </c>
      <c r="DC106" s="1319">
        <f t="shared" ca="1" si="1219"/>
        <v>0</v>
      </c>
      <c r="DD106" s="1319">
        <f t="shared" ca="1" si="1219"/>
        <v>0</v>
      </c>
      <c r="DE106" s="1319">
        <f t="shared" ca="1" si="1219"/>
        <v>0</v>
      </c>
      <c r="DF106" s="1319">
        <f t="shared" ca="1" si="1219"/>
        <v>0</v>
      </c>
      <c r="DG106" s="1319">
        <f t="shared" ca="1" si="1219"/>
        <v>0</v>
      </c>
      <c r="DH106" s="1319">
        <f t="shared" ca="1" si="1219"/>
        <v>0</v>
      </c>
      <c r="DI106" s="1319">
        <f t="shared" ca="1" si="1219"/>
        <v>0</v>
      </c>
      <c r="DJ106" s="1319">
        <f t="shared" ca="1" si="1219"/>
        <v>0</v>
      </c>
      <c r="DV106" s="1319">
        <f t="shared" ca="1" si="1220"/>
        <v>0</v>
      </c>
      <c r="DW106" s="1319">
        <f t="shared" ca="1" si="1220"/>
        <v>0</v>
      </c>
      <c r="DX106" s="1319">
        <f t="shared" ca="1" si="1220"/>
        <v>0</v>
      </c>
      <c r="DY106" s="1319">
        <f t="shared" ca="1" si="1220"/>
        <v>0</v>
      </c>
      <c r="DZ106" s="1319">
        <f t="shared" ca="1" si="1220"/>
        <v>0</v>
      </c>
      <c r="EA106" s="1319">
        <f t="shared" ca="1" si="1220"/>
        <v>0</v>
      </c>
      <c r="EB106" s="1319">
        <f t="shared" ca="1" si="1220"/>
        <v>0</v>
      </c>
      <c r="EC106" s="1319">
        <f t="shared" ca="1" si="1220"/>
        <v>0</v>
      </c>
      <c r="ED106" s="1319">
        <f t="shared" ca="1" si="1220"/>
        <v>0</v>
      </c>
      <c r="EE106" s="1319">
        <f t="shared" ca="1" si="1220"/>
        <v>0</v>
      </c>
      <c r="EF106" s="1319">
        <f t="shared" ca="1" si="1220"/>
        <v>0</v>
      </c>
      <c r="EG106" s="1319">
        <f t="shared" ca="1" si="1220"/>
        <v>0</v>
      </c>
      <c r="EH106" s="1319">
        <f t="shared" ca="1" si="1220"/>
        <v>0</v>
      </c>
      <c r="EI106" s="1319">
        <f t="shared" ca="1" si="1220"/>
        <v>0</v>
      </c>
      <c r="EJ106" s="1319">
        <f t="shared" ca="1" si="1220"/>
        <v>0</v>
      </c>
      <c r="EK106" s="1319">
        <f t="shared" ca="1" si="1220"/>
        <v>0</v>
      </c>
      <c r="EW106" s="1319">
        <f t="shared" ca="1" si="1221"/>
        <v>0</v>
      </c>
      <c r="EX106" s="1319">
        <f t="shared" ca="1" si="1221"/>
        <v>0</v>
      </c>
      <c r="EY106" s="1319">
        <f t="shared" ca="1" si="1221"/>
        <v>0</v>
      </c>
      <c r="EZ106" s="1319">
        <f t="shared" ca="1" si="1221"/>
        <v>0</v>
      </c>
      <c r="FA106" s="1319">
        <f t="shared" ca="1" si="1221"/>
        <v>0</v>
      </c>
      <c r="FB106" s="1319">
        <f t="shared" ca="1" si="1221"/>
        <v>0</v>
      </c>
      <c r="FN106" s="1319">
        <f t="shared" ca="1" si="1222"/>
        <v>0</v>
      </c>
      <c r="FO106" s="1319">
        <f t="shared" ca="1" si="1222"/>
        <v>0</v>
      </c>
      <c r="FP106" s="1319">
        <f t="shared" ca="1" si="1222"/>
        <v>0</v>
      </c>
      <c r="FQ106" s="1319">
        <f t="shared" ca="1" si="1222"/>
        <v>0</v>
      </c>
      <c r="FR106" s="1319">
        <f t="shared" ca="1" si="1222"/>
        <v>0</v>
      </c>
      <c r="FS106" s="1319">
        <f t="shared" ca="1" si="1222"/>
        <v>0</v>
      </c>
      <c r="FT106" s="1319">
        <f t="shared" ca="1" si="1222"/>
        <v>0</v>
      </c>
      <c r="FU106" s="1319">
        <f t="shared" ca="1" si="1222"/>
        <v>0</v>
      </c>
      <c r="FV106" s="1319">
        <f t="shared" ca="1" si="1222"/>
        <v>0</v>
      </c>
      <c r="FW106" s="1319">
        <f t="shared" ca="1" si="1222"/>
        <v>0</v>
      </c>
      <c r="FX106" s="1319">
        <f t="shared" ca="1" si="1222"/>
        <v>0</v>
      </c>
      <c r="GJ106" s="1319">
        <f t="shared" ca="1" si="1223"/>
        <v>0</v>
      </c>
      <c r="GK106" s="1319">
        <f t="shared" ca="1" si="1223"/>
        <v>0</v>
      </c>
      <c r="GL106" s="1319">
        <f t="shared" ca="1" si="1223"/>
        <v>0</v>
      </c>
      <c r="GM106" s="1319">
        <f t="shared" ca="1" si="1223"/>
        <v>0</v>
      </c>
      <c r="GN106" s="1319">
        <f t="shared" ca="1" si="1223"/>
        <v>0</v>
      </c>
      <c r="GO106" s="1319">
        <f t="shared" ca="1" si="1223"/>
        <v>0</v>
      </c>
      <c r="GP106" s="1319">
        <f t="shared" ca="1" si="1223"/>
        <v>0</v>
      </c>
      <c r="GQ106" s="1319">
        <f t="shared" ca="1" si="1223"/>
        <v>0</v>
      </c>
      <c r="HC106" s="1319">
        <f t="shared" ca="1" si="1224"/>
        <v>0</v>
      </c>
      <c r="HD106" s="1319">
        <f t="shared" ca="1" si="1224"/>
        <v>0</v>
      </c>
      <c r="HE106" s="1319">
        <f t="shared" ca="1" si="1224"/>
        <v>0</v>
      </c>
      <c r="HF106" s="1319">
        <f t="shared" ca="1" si="1224"/>
        <v>0</v>
      </c>
      <c r="HG106" s="1319">
        <f t="shared" ca="1" si="1224"/>
        <v>0</v>
      </c>
      <c r="HH106" s="1319">
        <f t="shared" ca="1" si="1224"/>
        <v>0</v>
      </c>
      <c r="HT106" s="1319">
        <f t="shared" ca="1" si="1225"/>
        <v>0</v>
      </c>
      <c r="HU106" s="1319">
        <f t="shared" ca="1" si="1225"/>
        <v>0</v>
      </c>
      <c r="HV106" s="1319">
        <f t="shared" ca="1" si="1225"/>
        <v>0</v>
      </c>
      <c r="HW106" s="1319">
        <f t="shared" ca="1" si="1225"/>
        <v>0</v>
      </c>
      <c r="HX106" s="1319">
        <f t="shared" ca="1" si="1225"/>
        <v>274.75932299999999</v>
      </c>
      <c r="HY106" s="1319">
        <f t="shared" ca="1" si="1225"/>
        <v>798.51928199999998</v>
      </c>
      <c r="HZ106" s="1319">
        <f t="shared" ca="1" si="1225"/>
        <v>0</v>
      </c>
      <c r="IA106" s="1319">
        <f t="shared" ca="1" si="1225"/>
        <v>0</v>
      </c>
      <c r="IB106" s="1319">
        <f t="shared" ca="1" si="1225"/>
        <v>0</v>
      </c>
      <c r="IC106" s="1319">
        <f t="shared" ca="1" si="1225"/>
        <v>0</v>
      </c>
      <c r="ID106" s="1319">
        <f t="shared" ca="1" si="1225"/>
        <v>0</v>
      </c>
      <c r="IE106" s="1319">
        <f t="shared" ca="1" si="1225"/>
        <v>0</v>
      </c>
      <c r="IQ106" s="1319">
        <f t="shared" ca="1" si="1226"/>
        <v>274.75932299999999</v>
      </c>
      <c r="IR106" s="1319">
        <f t="shared" ca="1" si="1226"/>
        <v>798.51928199999998</v>
      </c>
      <c r="IS106" s="1319">
        <f t="shared" ca="1" si="1226"/>
        <v>785.29852500000004</v>
      </c>
      <c r="IT106" s="1319">
        <f t="shared" ca="1" si="1226"/>
        <v>1583.81781</v>
      </c>
      <c r="IU106" s="1319">
        <f t="shared" ca="1" si="1226"/>
        <v>79.190890400000001</v>
      </c>
      <c r="IV106" s="1319">
        <f t="shared" ca="1" si="1226"/>
        <v>19632.463</v>
      </c>
      <c r="IW106" s="1319">
        <f t="shared" ca="1" si="1226"/>
        <v>18847.1646</v>
      </c>
      <c r="IX106" s="1319">
        <f t="shared" ca="1" si="1226"/>
        <v>0</v>
      </c>
      <c r="IY106" s="1319">
        <f t="shared" ca="1" si="1226"/>
        <v>1504.6269199999999</v>
      </c>
      <c r="IZ106" s="1319">
        <f t="shared" ca="1" si="1226"/>
        <v>0</v>
      </c>
      <c r="JA106" s="1319">
        <f t="shared" ca="1" si="1226"/>
        <v>19632.463100000001</v>
      </c>
      <c r="JB106" s="1319">
        <f t="shared" ca="1" si="1226"/>
        <v>0</v>
      </c>
      <c r="JC106" s="1319">
        <f t="shared" ca="1" si="1226"/>
        <v>0</v>
      </c>
      <c r="JD106" s="1319">
        <f t="shared" ca="1" si="1226"/>
        <v>0</v>
      </c>
      <c r="JE106" s="1319">
        <f t="shared" ca="1" si="1226"/>
        <v>0</v>
      </c>
      <c r="JF106" s="1319">
        <f t="shared" ca="1" si="1226"/>
        <v>0</v>
      </c>
      <c r="JG106" s="1319">
        <f t="shared" ca="1" si="1226"/>
        <v>0</v>
      </c>
      <c r="JH106" s="1319">
        <f t="shared" ca="1" si="1226"/>
        <v>0</v>
      </c>
      <c r="JT106" s="1319">
        <f t="shared" ca="1" si="1227"/>
        <v>0</v>
      </c>
      <c r="JU106" s="1319">
        <f t="shared" ca="1" si="1227"/>
        <v>0</v>
      </c>
      <c r="JV106" s="1319">
        <f t="shared" ca="1" si="1227"/>
        <v>0</v>
      </c>
      <c r="JW106" s="1319">
        <f t="shared" ca="1" si="1227"/>
        <v>0</v>
      </c>
      <c r="JX106" s="1319">
        <f t="shared" ca="1" si="1227"/>
        <v>0</v>
      </c>
      <c r="JY106" s="1319">
        <f t="shared" ca="1" si="1227"/>
        <v>0</v>
      </c>
      <c r="JZ106" s="1319">
        <f t="shared" ca="1" si="1227"/>
        <v>0</v>
      </c>
      <c r="KA106" s="1319">
        <f t="shared" ca="1" si="1227"/>
        <v>0</v>
      </c>
      <c r="KB106" s="1319">
        <f t="shared" ca="1" si="1227"/>
        <v>0</v>
      </c>
      <c r="KC106" s="1319">
        <f t="shared" ca="1" si="1227"/>
        <v>0</v>
      </c>
      <c r="KL106" s="1319">
        <f t="shared" ca="1" si="1228"/>
        <v>0</v>
      </c>
      <c r="KM106" s="1319">
        <f t="shared" ca="1" si="1228"/>
        <v>0</v>
      </c>
      <c r="KN106" s="1319">
        <f t="shared" ca="1" si="1228"/>
        <v>0</v>
      </c>
      <c r="KO106" s="1319">
        <f t="shared" ca="1" si="1228"/>
        <v>0</v>
      </c>
      <c r="KP106" s="1319">
        <f t="shared" ca="1" si="1228"/>
        <v>0</v>
      </c>
      <c r="KQ106" s="1319">
        <f t="shared" ca="1" si="1228"/>
        <v>0</v>
      </c>
      <c r="KR106" s="1319">
        <f t="shared" ca="1" si="1228"/>
        <v>0</v>
      </c>
      <c r="LA106" s="1319">
        <f t="shared" ca="1" si="1229"/>
        <v>0</v>
      </c>
      <c r="LB106" s="1319">
        <f t="shared" ca="1" si="1229"/>
        <v>0</v>
      </c>
      <c r="LC106" s="1319">
        <f t="shared" ca="1" si="1229"/>
        <v>0</v>
      </c>
      <c r="LD106" s="1319">
        <f t="shared" ca="1" si="1229"/>
        <v>0</v>
      </c>
      <c r="LE106" s="1319">
        <f t="shared" ca="1" si="1229"/>
        <v>0</v>
      </c>
      <c r="LF106" s="1319">
        <f t="shared" ca="1" si="1229"/>
        <v>0</v>
      </c>
      <c r="LG106" s="1319">
        <f t="shared" ca="1" si="1229"/>
        <v>0</v>
      </c>
      <c r="LH106" s="1319">
        <f t="shared" ca="1" si="1229"/>
        <v>0</v>
      </c>
      <c r="LI106" s="1319">
        <f t="shared" ca="1" si="1229"/>
        <v>0</v>
      </c>
      <c r="LJ106" s="1319">
        <f t="shared" ca="1" si="1229"/>
        <v>0</v>
      </c>
      <c r="LK106" s="1319">
        <f t="shared" ca="1" si="1229"/>
        <v>0</v>
      </c>
      <c r="LW106" s="1319">
        <f t="shared" ca="1" si="1230"/>
        <v>0</v>
      </c>
      <c r="LX106" s="1319">
        <f t="shared" ca="1" si="1230"/>
        <v>0</v>
      </c>
      <c r="LY106" s="1319">
        <f t="shared" ca="1" si="1230"/>
        <v>0</v>
      </c>
      <c r="LZ106" s="1319">
        <f t="shared" ca="1" si="1230"/>
        <v>1504.6269199999999</v>
      </c>
      <c r="MA106" s="1319">
        <f t="shared" ca="1" si="1230"/>
        <v>1504.6269199999999</v>
      </c>
      <c r="MB106" s="1319">
        <f t="shared" ca="1" si="1230"/>
        <v>0</v>
      </c>
      <c r="MC106" s="1319">
        <f t="shared" ca="1" si="1230"/>
        <v>0</v>
      </c>
      <c r="MD106" s="1319">
        <f t="shared" ca="1" si="1230"/>
        <v>0</v>
      </c>
      <c r="ME106" s="1319">
        <f t="shared" ca="1" si="1230"/>
        <v>0</v>
      </c>
      <c r="MF106" s="1319">
        <f t="shared" ca="1" si="1230"/>
        <v>0</v>
      </c>
      <c r="MG106" s="1319">
        <f t="shared" ca="1" si="1230"/>
        <v>0</v>
      </c>
      <c r="MH106" s="1319">
        <f t="shared" ca="1" si="1230"/>
        <v>0</v>
      </c>
      <c r="MI106" s="1319">
        <f t="shared" ca="1" si="1230"/>
        <v>0</v>
      </c>
      <c r="MJ106" s="1319">
        <f t="shared" ca="1" si="1230"/>
        <v>0</v>
      </c>
      <c r="MK106" s="1319">
        <f t="shared" ca="1" si="1230"/>
        <v>0</v>
      </c>
      <c r="ML106" s="1319">
        <f t="shared" ca="1" si="1230"/>
        <v>0</v>
      </c>
      <c r="MM106" s="1319">
        <f t="shared" ca="1" si="1230"/>
        <v>0</v>
      </c>
      <c r="MN106" s="1319">
        <f t="shared" ca="1" si="1230"/>
        <v>0</v>
      </c>
      <c r="MO106" s="1319">
        <f t="shared" ca="1" si="1230"/>
        <v>0</v>
      </c>
      <c r="NA106" s="1319">
        <f t="shared" ca="1" si="1231"/>
        <v>0</v>
      </c>
      <c r="NB106" s="1319">
        <f t="shared" ca="1" si="1231"/>
        <v>0</v>
      </c>
      <c r="NC106" s="1319">
        <f t="shared" ca="1" si="1231"/>
        <v>0</v>
      </c>
      <c r="ND106" s="1319">
        <f t="shared" ca="1" si="1231"/>
        <v>0</v>
      </c>
      <c r="NE106" s="1319">
        <f t="shared" ca="1" si="1231"/>
        <v>0</v>
      </c>
      <c r="NF106" s="1319">
        <f t="shared" ca="1" si="1231"/>
        <v>0</v>
      </c>
      <c r="NG106" s="1319">
        <f t="shared" ca="1" si="1231"/>
        <v>0</v>
      </c>
      <c r="NH106" s="1319">
        <f t="shared" ca="1" si="1231"/>
        <v>0</v>
      </c>
      <c r="NI106" s="1319">
        <f t="shared" ca="1" si="1231"/>
        <v>0</v>
      </c>
      <c r="NJ106" s="1319">
        <f t="shared" ca="1" si="1231"/>
        <v>0</v>
      </c>
      <c r="NK106" s="1319">
        <f t="shared" ca="1" si="1231"/>
        <v>0</v>
      </c>
      <c r="NL106" s="1319">
        <f t="shared" ca="1" si="1231"/>
        <v>0</v>
      </c>
      <c r="NM106" s="1319">
        <f t="shared" ca="1" si="1231"/>
        <v>0</v>
      </c>
      <c r="NN106" s="1319">
        <f t="shared" ca="1" si="1231"/>
        <v>0</v>
      </c>
      <c r="NO106" s="1319">
        <f t="shared" ca="1" si="1231"/>
        <v>0</v>
      </c>
      <c r="NP106" s="1319">
        <f t="shared" ca="1" si="1231"/>
        <v>0</v>
      </c>
      <c r="OH106" s="1319">
        <f t="shared" ca="1" si="1232"/>
        <v>0</v>
      </c>
      <c r="OI106" s="1319">
        <f t="shared" ca="1" si="1232"/>
        <v>0</v>
      </c>
      <c r="OJ106" s="1319">
        <f t="shared" ca="1" si="1232"/>
        <v>0</v>
      </c>
      <c r="OK106" s="1319">
        <f t="shared" ca="1" si="1232"/>
        <v>0</v>
      </c>
      <c r="OL106" s="1319">
        <f t="shared" ca="1" si="1232"/>
        <v>0</v>
      </c>
      <c r="OM106" s="1319">
        <f t="shared" ca="1" si="1232"/>
        <v>0</v>
      </c>
      <c r="ON106" s="1319">
        <f t="shared" ca="1" si="1232"/>
        <v>0</v>
      </c>
      <c r="OO106" s="1319">
        <f t="shared" ca="1" si="1232"/>
        <v>0</v>
      </c>
      <c r="PA106" s="1319">
        <f t="shared" ca="1" si="1233"/>
        <v>0</v>
      </c>
      <c r="PB106" s="1319">
        <f t="shared" ca="1" si="1233"/>
        <v>0</v>
      </c>
      <c r="PC106" s="1319">
        <f t="shared" ca="1" si="1233"/>
        <v>0</v>
      </c>
      <c r="PD106" s="1319">
        <f t="shared" ca="1" si="1233"/>
        <v>0</v>
      </c>
      <c r="PE106" s="1319">
        <f t="shared" ca="1" si="1233"/>
        <v>0</v>
      </c>
      <c r="PF106" s="1319">
        <f t="shared" ca="1" si="1233"/>
        <v>0</v>
      </c>
      <c r="PG106" s="1319">
        <f t="shared" ca="1" si="1233"/>
        <v>0</v>
      </c>
      <c r="PH106" s="1319">
        <f t="shared" ca="1" si="1233"/>
        <v>0</v>
      </c>
      <c r="PI106" s="1319">
        <f t="shared" ca="1" si="1233"/>
        <v>0</v>
      </c>
      <c r="PJ106" s="1319">
        <f t="shared" ca="1" si="1233"/>
        <v>0</v>
      </c>
      <c r="PK106" s="1319">
        <f t="shared" ca="1" si="1233"/>
        <v>0</v>
      </c>
      <c r="PW106" s="1319">
        <f t="shared" ca="1" si="1234"/>
        <v>0</v>
      </c>
      <c r="PX106" s="1319">
        <f t="shared" ca="1" si="1234"/>
        <v>0</v>
      </c>
      <c r="PY106" s="1319">
        <f t="shared" ca="1" si="1234"/>
        <v>0</v>
      </c>
      <c r="PZ106" s="1319">
        <f t="shared" ca="1" si="1234"/>
        <v>0</v>
      </c>
    </row>
    <row r="107" spans="1:442" x14ac:dyDescent="0.25">
      <c r="A107" s="189">
        <v>141</v>
      </c>
      <c r="B107" s="189" t="s">
        <v>1320</v>
      </c>
      <c r="C107" s="1317" t="s">
        <v>1276</v>
      </c>
      <c r="D107" s="1317" t="s">
        <v>206</v>
      </c>
      <c r="J107" s="1319">
        <f t="shared" ca="1" si="1207"/>
        <v>0</v>
      </c>
      <c r="K107" s="1319">
        <f t="shared" ca="1" si="1211"/>
        <v>0</v>
      </c>
      <c r="T107" s="1319">
        <f t="shared" ca="1" si="1208"/>
        <v>0</v>
      </c>
      <c r="U107" s="1319">
        <f t="shared" ca="1" si="1208"/>
        <v>0</v>
      </c>
      <c r="V107" s="1319">
        <f t="shared" ca="1" si="1208"/>
        <v>0</v>
      </c>
      <c r="W107" s="1319">
        <f t="shared" ca="1" si="1208"/>
        <v>0</v>
      </c>
      <c r="X107" s="1319">
        <f t="shared" ca="1" si="1208"/>
        <v>0</v>
      </c>
      <c r="Y107" s="1319">
        <f t="shared" ca="1" si="1208"/>
        <v>269.47290700000002</v>
      </c>
      <c r="Z107" s="1319">
        <f t="shared" ca="1" si="1208"/>
        <v>0</v>
      </c>
      <c r="AA107" s="1319">
        <f t="shared" ca="1" si="1208"/>
        <v>269.47290700000002</v>
      </c>
      <c r="AB107" s="1319">
        <f t="shared" ca="1" si="1208"/>
        <v>0</v>
      </c>
      <c r="AC107" s="1319">
        <f t="shared" ca="1" si="1208"/>
        <v>0</v>
      </c>
      <c r="AD107" s="1319">
        <f t="shared" ca="1" si="1208"/>
        <v>0</v>
      </c>
      <c r="AM107" s="1319">
        <f t="shared" ca="1" si="1209"/>
        <v>0</v>
      </c>
      <c r="AN107" s="1319">
        <f t="shared" ca="1" si="1209"/>
        <v>0</v>
      </c>
      <c r="AO107" s="1319">
        <f t="shared" ca="1" si="1212"/>
        <v>269.47290700000002</v>
      </c>
      <c r="AP107" s="1319">
        <f t="shared" ca="1" si="1212"/>
        <v>269.47290700000002</v>
      </c>
      <c r="AQ107" s="1319">
        <f t="shared" ca="1" si="1212"/>
        <v>0</v>
      </c>
      <c r="AR107" s="1319">
        <f t="shared" ca="1" si="1212"/>
        <v>0</v>
      </c>
      <c r="AS107" s="1319">
        <f t="shared" ca="1" si="1212"/>
        <v>0</v>
      </c>
      <c r="AT107" s="1319">
        <f t="shared" ca="1" si="1209"/>
        <v>0</v>
      </c>
      <c r="AU107" s="1319">
        <f t="shared" ca="1" si="1209"/>
        <v>0</v>
      </c>
      <c r="AV107" s="1319">
        <f t="shared" ca="1" si="1209"/>
        <v>269.47290700000002</v>
      </c>
      <c r="AW107" s="1319">
        <f t="shared" ca="1" si="1209"/>
        <v>0</v>
      </c>
      <c r="AX107" s="1319">
        <f t="shared" ca="1" si="1209"/>
        <v>0</v>
      </c>
      <c r="AY107" s="1319">
        <f t="shared" ca="1" si="1209"/>
        <v>0</v>
      </c>
      <c r="AZ107" s="1319">
        <f t="shared" ca="1" si="1209"/>
        <v>0</v>
      </c>
      <c r="BA107" s="1319">
        <f t="shared" ca="1" si="1209"/>
        <v>0</v>
      </c>
      <c r="BB107" s="1319">
        <f t="shared" ca="1" si="1209"/>
        <v>473.096384</v>
      </c>
      <c r="BN107" s="1319">
        <f t="shared" ca="1" si="1217"/>
        <v>47.309631600000003</v>
      </c>
      <c r="BO107" s="1319">
        <f t="shared" ca="1" si="1217"/>
        <v>47.309631600000003</v>
      </c>
      <c r="BP107" s="1319">
        <f t="shared" ca="1" si="1217"/>
        <v>0</v>
      </c>
      <c r="BQ107" s="1319">
        <f t="shared" ca="1" si="1217"/>
        <v>0</v>
      </c>
      <c r="BR107" s="1319">
        <f t="shared" ca="1" si="1217"/>
        <v>0</v>
      </c>
      <c r="CD107" s="1319">
        <f t="shared" ca="1" si="1218"/>
        <v>473.096384</v>
      </c>
      <c r="CE107" s="1319">
        <f t="shared" ca="1" si="1218"/>
        <v>473.096384</v>
      </c>
      <c r="CF107" s="1319">
        <f t="shared" ca="1" si="1218"/>
        <v>47.309631600000003</v>
      </c>
      <c r="CG107" s="1319">
        <f t="shared" ca="1" si="1218"/>
        <v>47.309631600000003</v>
      </c>
      <c r="CH107" s="1319">
        <f t="shared" ca="1" si="1218"/>
        <v>473.096384</v>
      </c>
      <c r="CI107" s="1319">
        <f t="shared" ca="1" si="1218"/>
        <v>0</v>
      </c>
      <c r="CJ107" s="1319">
        <f t="shared" ca="1" si="1218"/>
        <v>0</v>
      </c>
      <c r="CK107" s="1319">
        <f t="shared" ca="1" si="1218"/>
        <v>473.096316</v>
      </c>
      <c r="CL107" s="1319">
        <f t="shared" ca="1" si="1218"/>
        <v>0</v>
      </c>
      <c r="CM107" s="1319">
        <f t="shared" ca="1" si="1218"/>
        <v>0</v>
      </c>
      <c r="CN107" s="1319">
        <f t="shared" ca="1" si="1218"/>
        <v>473.096316</v>
      </c>
      <c r="CO107" s="1319">
        <f t="shared" ca="1" si="1218"/>
        <v>0</v>
      </c>
      <c r="DA107" s="1319">
        <f t="shared" ca="1" si="1219"/>
        <v>0</v>
      </c>
      <c r="DB107" s="1319">
        <f t="shared" ca="1" si="1219"/>
        <v>0</v>
      </c>
      <c r="DC107" s="1319">
        <f t="shared" ca="1" si="1219"/>
        <v>0</v>
      </c>
      <c r="DD107" s="1319">
        <f t="shared" ca="1" si="1219"/>
        <v>0</v>
      </c>
      <c r="DE107" s="1319">
        <f t="shared" ca="1" si="1219"/>
        <v>0</v>
      </c>
      <c r="DF107" s="1319">
        <f t="shared" ca="1" si="1219"/>
        <v>0</v>
      </c>
      <c r="DG107" s="1319">
        <f t="shared" ca="1" si="1219"/>
        <v>0</v>
      </c>
      <c r="DH107" s="1319">
        <f t="shared" ca="1" si="1219"/>
        <v>0</v>
      </c>
      <c r="DI107" s="1319">
        <f t="shared" ca="1" si="1219"/>
        <v>0</v>
      </c>
      <c r="DJ107" s="1319">
        <f t="shared" ca="1" si="1219"/>
        <v>0</v>
      </c>
      <c r="DV107" s="1319">
        <f t="shared" ca="1" si="1220"/>
        <v>0</v>
      </c>
      <c r="DW107" s="1319">
        <f t="shared" ca="1" si="1220"/>
        <v>0</v>
      </c>
      <c r="DX107" s="1319">
        <f t="shared" ca="1" si="1220"/>
        <v>0</v>
      </c>
      <c r="DY107" s="1319">
        <f t="shared" ca="1" si="1220"/>
        <v>0</v>
      </c>
      <c r="DZ107" s="1319">
        <f t="shared" ca="1" si="1220"/>
        <v>0</v>
      </c>
      <c r="EA107" s="1319">
        <f t="shared" ca="1" si="1220"/>
        <v>0</v>
      </c>
      <c r="EB107" s="1319">
        <f t="shared" ca="1" si="1220"/>
        <v>0</v>
      </c>
      <c r="EC107" s="1319">
        <f t="shared" ca="1" si="1220"/>
        <v>0</v>
      </c>
      <c r="ED107" s="1319">
        <f t="shared" ca="1" si="1220"/>
        <v>0</v>
      </c>
      <c r="EE107" s="1319">
        <f t="shared" ca="1" si="1220"/>
        <v>0</v>
      </c>
      <c r="EF107" s="1319">
        <f t="shared" ca="1" si="1220"/>
        <v>0</v>
      </c>
      <c r="EG107" s="1319">
        <f t="shared" ca="1" si="1220"/>
        <v>0</v>
      </c>
      <c r="EH107" s="1319">
        <f t="shared" ca="1" si="1220"/>
        <v>0</v>
      </c>
      <c r="EI107" s="1319">
        <f t="shared" ca="1" si="1220"/>
        <v>0</v>
      </c>
      <c r="EJ107" s="1319">
        <f t="shared" ca="1" si="1220"/>
        <v>0</v>
      </c>
      <c r="EK107" s="1319">
        <f t="shared" ca="1" si="1220"/>
        <v>0</v>
      </c>
      <c r="EW107" s="1319">
        <f t="shared" ca="1" si="1221"/>
        <v>473.096316</v>
      </c>
      <c r="EX107" s="1319">
        <f t="shared" ca="1" si="1221"/>
        <v>473.096316</v>
      </c>
      <c r="EY107" s="1319">
        <f t="shared" ca="1" si="1221"/>
        <v>473.096316</v>
      </c>
      <c r="EZ107" s="1319">
        <f t="shared" ca="1" si="1221"/>
        <v>473.096316</v>
      </c>
      <c r="FA107" s="1319">
        <f t="shared" ca="1" si="1221"/>
        <v>0</v>
      </c>
      <c r="FB107" s="1319">
        <f t="shared" ca="1" si="1221"/>
        <v>0</v>
      </c>
      <c r="FN107" s="1319">
        <f t="shared" ca="1" si="1222"/>
        <v>0</v>
      </c>
      <c r="FO107" s="1319">
        <f t="shared" ca="1" si="1222"/>
        <v>0</v>
      </c>
      <c r="FP107" s="1319">
        <f t="shared" ca="1" si="1222"/>
        <v>0</v>
      </c>
      <c r="FQ107" s="1319">
        <f t="shared" ca="1" si="1222"/>
        <v>0</v>
      </c>
      <c r="FR107" s="1319">
        <f t="shared" ca="1" si="1222"/>
        <v>0</v>
      </c>
      <c r="FS107" s="1319">
        <f t="shared" ca="1" si="1222"/>
        <v>0</v>
      </c>
      <c r="FT107" s="1319">
        <f t="shared" ca="1" si="1222"/>
        <v>0</v>
      </c>
      <c r="FU107" s="1319">
        <f t="shared" ca="1" si="1222"/>
        <v>0</v>
      </c>
      <c r="FV107" s="1319">
        <f t="shared" ca="1" si="1222"/>
        <v>0</v>
      </c>
      <c r="FW107" s="1319">
        <f t="shared" ca="1" si="1222"/>
        <v>0</v>
      </c>
      <c r="FX107" s="1319">
        <f t="shared" ca="1" si="1222"/>
        <v>0</v>
      </c>
      <c r="GJ107" s="1319">
        <f t="shared" ca="1" si="1223"/>
        <v>0</v>
      </c>
      <c r="GK107" s="1319">
        <f t="shared" ca="1" si="1223"/>
        <v>0</v>
      </c>
      <c r="GL107" s="1319">
        <f t="shared" ca="1" si="1223"/>
        <v>0</v>
      </c>
      <c r="GM107" s="1319">
        <f t="shared" ca="1" si="1223"/>
        <v>0</v>
      </c>
      <c r="GN107" s="1319">
        <f t="shared" ca="1" si="1223"/>
        <v>0</v>
      </c>
      <c r="GO107" s="1319">
        <f t="shared" ca="1" si="1223"/>
        <v>0</v>
      </c>
      <c r="GP107" s="1319">
        <f t="shared" ca="1" si="1223"/>
        <v>0</v>
      </c>
      <c r="GQ107" s="1319">
        <f t="shared" ca="1" si="1223"/>
        <v>0</v>
      </c>
      <c r="HC107" s="1319">
        <f t="shared" ca="1" si="1224"/>
        <v>473.096316</v>
      </c>
      <c r="HD107" s="1319">
        <f t="shared" ca="1" si="1224"/>
        <v>9.4619263199999999</v>
      </c>
      <c r="HE107" s="1319">
        <f t="shared" ca="1" si="1224"/>
        <v>0</v>
      </c>
      <c r="HF107" s="1319">
        <f t="shared" ca="1" si="1224"/>
        <v>0</v>
      </c>
      <c r="HG107" s="1319">
        <f t="shared" ca="1" si="1224"/>
        <v>463.63439</v>
      </c>
      <c r="HH107" s="1319">
        <f t="shared" ca="1" si="1224"/>
        <v>9.4619263199999999</v>
      </c>
      <c r="HT107" s="1319">
        <f t="shared" ca="1" si="1225"/>
        <v>0</v>
      </c>
      <c r="HU107" s="1319">
        <f t="shared" ca="1" si="1225"/>
        <v>9.4619263199999999</v>
      </c>
      <c r="HV107" s="1319">
        <f t="shared" ca="1" si="1225"/>
        <v>9.4619263199999999</v>
      </c>
      <c r="HW107" s="1319">
        <f t="shared" ca="1" si="1225"/>
        <v>9.4619263199999999</v>
      </c>
      <c r="HX107" s="1319">
        <f t="shared" ca="1" si="1225"/>
        <v>2.42225314</v>
      </c>
      <c r="HY107" s="1319">
        <f t="shared" ca="1" si="1225"/>
        <v>7.0396731800000003</v>
      </c>
      <c r="HZ107" s="1319">
        <f t="shared" ca="1" si="1225"/>
        <v>0</v>
      </c>
      <c r="IA107" s="1319">
        <f t="shared" ca="1" si="1225"/>
        <v>0</v>
      </c>
      <c r="IB107" s="1319">
        <f t="shared" ca="1" si="1225"/>
        <v>0</v>
      </c>
      <c r="IC107" s="1319">
        <f t="shared" ca="1" si="1225"/>
        <v>0</v>
      </c>
      <c r="ID107" s="1319">
        <f t="shared" ca="1" si="1225"/>
        <v>0</v>
      </c>
      <c r="IE107" s="1319">
        <f t="shared" ca="1" si="1225"/>
        <v>0</v>
      </c>
      <c r="IQ107" s="1319">
        <f t="shared" ca="1" si="1226"/>
        <v>2.42225314</v>
      </c>
      <c r="IR107" s="1319">
        <f t="shared" ca="1" si="1226"/>
        <v>7.0396731800000003</v>
      </c>
      <c r="IS107" s="1319">
        <f t="shared" ca="1" si="1226"/>
        <v>2.9202492599999998</v>
      </c>
      <c r="IT107" s="1319">
        <f t="shared" ca="1" si="1226"/>
        <v>9.9599224399999997</v>
      </c>
      <c r="IU107" s="1319">
        <f t="shared" ca="1" si="1226"/>
        <v>0.49799612199999993</v>
      </c>
      <c r="IV107" s="1319">
        <f t="shared" ca="1" si="1226"/>
        <v>73.006231499999998</v>
      </c>
      <c r="IW107" s="1319">
        <f t="shared" ca="1" si="1226"/>
        <v>70.085982200000004</v>
      </c>
      <c r="IX107" s="1319">
        <f t="shared" ca="1" si="1226"/>
        <v>0</v>
      </c>
      <c r="IY107" s="1319">
        <f t="shared" ca="1" si="1226"/>
        <v>9.4619263199999999</v>
      </c>
      <c r="IZ107" s="1319">
        <f t="shared" ca="1" si="1226"/>
        <v>0</v>
      </c>
      <c r="JA107" s="1319">
        <f t="shared" ca="1" si="1226"/>
        <v>73.006231499999998</v>
      </c>
      <c r="JB107" s="1319">
        <f t="shared" ca="1" si="1226"/>
        <v>0</v>
      </c>
      <c r="JC107" s="1319">
        <f t="shared" ca="1" si="1226"/>
        <v>0</v>
      </c>
      <c r="JD107" s="1319">
        <f t="shared" ca="1" si="1226"/>
        <v>0</v>
      </c>
      <c r="JE107" s="1319">
        <f t="shared" ca="1" si="1226"/>
        <v>0</v>
      </c>
      <c r="JF107" s="1319">
        <f t="shared" ca="1" si="1226"/>
        <v>0</v>
      </c>
      <c r="JG107" s="1319">
        <f t="shared" ca="1" si="1226"/>
        <v>0</v>
      </c>
      <c r="JH107" s="1319">
        <f t="shared" ca="1" si="1226"/>
        <v>0</v>
      </c>
      <c r="JT107" s="1319">
        <f t="shared" ca="1" si="1227"/>
        <v>0</v>
      </c>
      <c r="JU107" s="1319">
        <f t="shared" ca="1" si="1227"/>
        <v>0</v>
      </c>
      <c r="JV107" s="1319">
        <f t="shared" ca="1" si="1227"/>
        <v>0</v>
      </c>
      <c r="JW107" s="1319">
        <f t="shared" ca="1" si="1227"/>
        <v>0</v>
      </c>
      <c r="JX107" s="1319">
        <f t="shared" ca="1" si="1227"/>
        <v>0</v>
      </c>
      <c r="JY107" s="1319">
        <f t="shared" ca="1" si="1227"/>
        <v>0</v>
      </c>
      <c r="JZ107" s="1319">
        <f t="shared" ca="1" si="1227"/>
        <v>0</v>
      </c>
      <c r="KA107" s="1319">
        <f t="shared" ca="1" si="1227"/>
        <v>0</v>
      </c>
      <c r="KB107" s="1319">
        <f t="shared" ca="1" si="1227"/>
        <v>0</v>
      </c>
      <c r="KC107" s="1319">
        <f t="shared" ca="1" si="1227"/>
        <v>0</v>
      </c>
      <c r="KL107" s="1319">
        <f t="shared" ca="1" si="1228"/>
        <v>0</v>
      </c>
      <c r="KM107" s="1319">
        <f t="shared" ca="1" si="1228"/>
        <v>0</v>
      </c>
      <c r="KN107" s="1319">
        <f t="shared" ca="1" si="1228"/>
        <v>0</v>
      </c>
      <c r="KO107" s="1319">
        <f t="shared" ca="1" si="1228"/>
        <v>0</v>
      </c>
      <c r="KP107" s="1319">
        <f t="shared" ca="1" si="1228"/>
        <v>0</v>
      </c>
      <c r="KQ107" s="1319">
        <f t="shared" ca="1" si="1228"/>
        <v>0</v>
      </c>
      <c r="KR107" s="1319">
        <f t="shared" ca="1" si="1228"/>
        <v>0</v>
      </c>
      <c r="LA107" s="1319">
        <f t="shared" ca="1" si="1229"/>
        <v>0</v>
      </c>
      <c r="LB107" s="1319">
        <f t="shared" ca="1" si="1229"/>
        <v>0</v>
      </c>
      <c r="LC107" s="1319">
        <f t="shared" ca="1" si="1229"/>
        <v>0</v>
      </c>
      <c r="LD107" s="1319">
        <f t="shared" ca="1" si="1229"/>
        <v>0</v>
      </c>
      <c r="LE107" s="1319">
        <f t="shared" ca="1" si="1229"/>
        <v>0</v>
      </c>
      <c r="LF107" s="1319">
        <f t="shared" ca="1" si="1229"/>
        <v>0</v>
      </c>
      <c r="LG107" s="1319">
        <f t="shared" ca="1" si="1229"/>
        <v>0</v>
      </c>
      <c r="LH107" s="1319">
        <f t="shared" ca="1" si="1229"/>
        <v>0</v>
      </c>
      <c r="LI107" s="1319">
        <f t="shared" ca="1" si="1229"/>
        <v>0</v>
      </c>
      <c r="LJ107" s="1319">
        <f t="shared" ca="1" si="1229"/>
        <v>0</v>
      </c>
      <c r="LK107" s="1319">
        <f t="shared" ca="1" si="1229"/>
        <v>0</v>
      </c>
      <c r="LW107" s="1319">
        <f t="shared" ca="1" si="1230"/>
        <v>0</v>
      </c>
      <c r="LX107" s="1319">
        <f t="shared" ca="1" si="1230"/>
        <v>0</v>
      </c>
      <c r="LY107" s="1319">
        <f t="shared" ca="1" si="1230"/>
        <v>463.63439</v>
      </c>
      <c r="LZ107" s="1319">
        <f t="shared" ca="1" si="1230"/>
        <v>9.4619263199999999</v>
      </c>
      <c r="MA107" s="1319">
        <f t="shared" ca="1" si="1230"/>
        <v>473.096316</v>
      </c>
      <c r="MB107" s="1319">
        <f t="shared" ca="1" si="1230"/>
        <v>0</v>
      </c>
      <c r="MC107" s="1319">
        <f t="shared" ca="1" si="1230"/>
        <v>0</v>
      </c>
      <c r="MD107" s="1319">
        <f t="shared" ca="1" si="1230"/>
        <v>0</v>
      </c>
      <c r="ME107" s="1319">
        <f t="shared" ca="1" si="1230"/>
        <v>0</v>
      </c>
      <c r="MF107" s="1319">
        <f t="shared" ca="1" si="1230"/>
        <v>0</v>
      </c>
      <c r="MG107" s="1319">
        <f t="shared" ca="1" si="1230"/>
        <v>0</v>
      </c>
      <c r="MH107" s="1319">
        <f t="shared" ca="1" si="1230"/>
        <v>0</v>
      </c>
      <c r="MI107" s="1319">
        <f t="shared" ca="1" si="1230"/>
        <v>0</v>
      </c>
      <c r="MJ107" s="1319">
        <f t="shared" ca="1" si="1230"/>
        <v>0</v>
      </c>
      <c r="MK107" s="1319">
        <f t="shared" ca="1" si="1230"/>
        <v>0</v>
      </c>
      <c r="ML107" s="1319">
        <f t="shared" ca="1" si="1230"/>
        <v>0</v>
      </c>
      <c r="MM107" s="1319">
        <f t="shared" ca="1" si="1230"/>
        <v>0</v>
      </c>
      <c r="MN107" s="1319">
        <f t="shared" ca="1" si="1230"/>
        <v>0</v>
      </c>
      <c r="MO107" s="1319">
        <f t="shared" ca="1" si="1230"/>
        <v>0</v>
      </c>
      <c r="NA107" s="1319">
        <f t="shared" ca="1" si="1231"/>
        <v>0</v>
      </c>
      <c r="NB107" s="1319">
        <f t="shared" ca="1" si="1231"/>
        <v>0</v>
      </c>
      <c r="NC107" s="1319">
        <f t="shared" ca="1" si="1231"/>
        <v>0</v>
      </c>
      <c r="ND107" s="1319">
        <f t="shared" ca="1" si="1231"/>
        <v>0</v>
      </c>
      <c r="NE107" s="1319">
        <f t="shared" ca="1" si="1231"/>
        <v>0</v>
      </c>
      <c r="NF107" s="1319">
        <f t="shared" ca="1" si="1231"/>
        <v>0</v>
      </c>
      <c r="NG107" s="1319">
        <f t="shared" ca="1" si="1231"/>
        <v>0</v>
      </c>
      <c r="NH107" s="1319">
        <f t="shared" ca="1" si="1231"/>
        <v>0</v>
      </c>
      <c r="NI107" s="1319">
        <f t="shared" ca="1" si="1231"/>
        <v>0</v>
      </c>
      <c r="NJ107" s="1319">
        <f t="shared" ca="1" si="1231"/>
        <v>0</v>
      </c>
      <c r="NK107" s="1319">
        <f t="shared" ca="1" si="1231"/>
        <v>0</v>
      </c>
      <c r="NL107" s="1319">
        <f t="shared" ca="1" si="1231"/>
        <v>0</v>
      </c>
      <c r="NM107" s="1319">
        <f t="shared" ca="1" si="1231"/>
        <v>0</v>
      </c>
      <c r="NN107" s="1319">
        <f t="shared" ca="1" si="1231"/>
        <v>0</v>
      </c>
      <c r="NO107" s="1319">
        <f t="shared" ca="1" si="1231"/>
        <v>0</v>
      </c>
      <c r="NP107" s="1319">
        <f t="shared" ca="1" si="1231"/>
        <v>0</v>
      </c>
      <c r="OH107" s="1319">
        <f t="shared" ca="1" si="1232"/>
        <v>0</v>
      </c>
      <c r="OI107" s="1319">
        <f t="shared" ca="1" si="1232"/>
        <v>0</v>
      </c>
      <c r="OJ107" s="1319">
        <f t="shared" ca="1" si="1232"/>
        <v>0</v>
      </c>
      <c r="OK107" s="1319">
        <f t="shared" ca="1" si="1232"/>
        <v>0</v>
      </c>
      <c r="OL107" s="1319">
        <f t="shared" ca="1" si="1232"/>
        <v>0</v>
      </c>
      <c r="OM107" s="1319">
        <f t="shared" ca="1" si="1232"/>
        <v>0</v>
      </c>
      <c r="ON107" s="1319">
        <f t="shared" ca="1" si="1232"/>
        <v>0</v>
      </c>
      <c r="OO107" s="1319">
        <f t="shared" ca="1" si="1232"/>
        <v>0</v>
      </c>
      <c r="PA107" s="1319">
        <f t="shared" ca="1" si="1233"/>
        <v>0</v>
      </c>
      <c r="PB107" s="1319">
        <f t="shared" ca="1" si="1233"/>
        <v>0</v>
      </c>
      <c r="PC107" s="1319">
        <f t="shared" ca="1" si="1233"/>
        <v>0</v>
      </c>
      <c r="PD107" s="1319">
        <f t="shared" ca="1" si="1233"/>
        <v>0</v>
      </c>
      <c r="PE107" s="1319">
        <f t="shared" ca="1" si="1233"/>
        <v>0</v>
      </c>
      <c r="PF107" s="1319">
        <f t="shared" ca="1" si="1233"/>
        <v>0</v>
      </c>
      <c r="PG107" s="1319">
        <f t="shared" ca="1" si="1233"/>
        <v>0</v>
      </c>
      <c r="PH107" s="1319">
        <f t="shared" ca="1" si="1233"/>
        <v>0</v>
      </c>
      <c r="PI107" s="1319">
        <f t="shared" ca="1" si="1233"/>
        <v>0</v>
      </c>
      <c r="PJ107" s="1319">
        <f t="shared" ca="1" si="1233"/>
        <v>0</v>
      </c>
      <c r="PK107" s="1319">
        <f t="shared" ca="1" si="1233"/>
        <v>0</v>
      </c>
      <c r="PW107" s="1319">
        <f t="shared" ca="1" si="1234"/>
        <v>0</v>
      </c>
      <c r="PX107" s="1319">
        <f t="shared" ca="1" si="1234"/>
        <v>0</v>
      </c>
      <c r="PY107" s="1319">
        <f t="shared" ca="1" si="1234"/>
        <v>0</v>
      </c>
      <c r="PZ107" s="1319">
        <f t="shared" ca="1" si="1234"/>
        <v>0</v>
      </c>
    </row>
    <row r="108" spans="1:442" x14ac:dyDescent="0.25">
      <c r="A108" s="189">
        <v>142</v>
      </c>
      <c r="B108" s="189" t="s">
        <v>1320</v>
      </c>
      <c r="C108" s="1317" t="s">
        <v>2868</v>
      </c>
      <c r="D108" s="1317" t="s">
        <v>206</v>
      </c>
      <c r="J108" s="1319">
        <f t="shared" ca="1" si="1207"/>
        <v>0</v>
      </c>
      <c r="K108" s="1319">
        <f t="shared" ca="1" si="1211"/>
        <v>0</v>
      </c>
      <c r="T108" s="1319">
        <f t="shared" ca="1" si="1208"/>
        <v>0</v>
      </c>
      <c r="U108" s="1319">
        <f t="shared" ca="1" si="1208"/>
        <v>0</v>
      </c>
      <c r="V108" s="1319">
        <f t="shared" ca="1" si="1208"/>
        <v>0</v>
      </c>
      <c r="W108" s="1319">
        <f t="shared" ca="1" si="1208"/>
        <v>0</v>
      </c>
      <c r="X108" s="1319">
        <f t="shared" ca="1" si="1208"/>
        <v>0</v>
      </c>
      <c r="Y108" s="1319">
        <f t="shared" ca="1" si="1208"/>
        <v>0</v>
      </c>
      <c r="Z108" s="1319">
        <f t="shared" ca="1" si="1208"/>
        <v>0</v>
      </c>
      <c r="AA108" s="1319">
        <f t="shared" ca="1" si="1208"/>
        <v>0</v>
      </c>
      <c r="AB108" s="1319">
        <f t="shared" ca="1" si="1208"/>
        <v>0</v>
      </c>
      <c r="AC108" s="1319">
        <f t="shared" ca="1" si="1208"/>
        <v>0</v>
      </c>
      <c r="AD108" s="1319">
        <f t="shared" ca="1" si="1208"/>
        <v>0</v>
      </c>
      <c r="AM108" s="1319">
        <f t="shared" ca="1" si="1209"/>
        <v>0</v>
      </c>
      <c r="AN108" s="1319">
        <f t="shared" ca="1" si="1209"/>
        <v>0</v>
      </c>
      <c r="AO108" s="1319">
        <f t="shared" ca="1" si="1212"/>
        <v>0</v>
      </c>
      <c r="AP108" s="1319">
        <f t="shared" ca="1" si="1212"/>
        <v>0</v>
      </c>
      <c r="AQ108" s="1319">
        <f t="shared" ca="1" si="1212"/>
        <v>0</v>
      </c>
      <c r="AR108" s="1319">
        <f t="shared" ca="1" si="1212"/>
        <v>0</v>
      </c>
      <c r="AS108" s="1319">
        <f t="shared" ca="1" si="1212"/>
        <v>0</v>
      </c>
      <c r="AT108" s="1319">
        <f t="shared" ca="1" si="1209"/>
        <v>0</v>
      </c>
      <c r="AU108" s="1319">
        <f t="shared" ca="1" si="1209"/>
        <v>0</v>
      </c>
      <c r="AV108" s="1319">
        <f t="shared" ca="1" si="1209"/>
        <v>0</v>
      </c>
      <c r="AW108" s="1319">
        <f t="shared" ca="1" si="1209"/>
        <v>0</v>
      </c>
      <c r="AX108" s="1319">
        <f t="shared" ca="1" si="1209"/>
        <v>0</v>
      </c>
      <c r="AY108" s="1319">
        <f t="shared" ca="1" si="1209"/>
        <v>0</v>
      </c>
      <c r="AZ108" s="1319">
        <f t="shared" ca="1" si="1209"/>
        <v>0</v>
      </c>
      <c r="BA108" s="1319">
        <f t="shared" ca="1" si="1209"/>
        <v>0</v>
      </c>
      <c r="BB108" s="1319">
        <f t="shared" ca="1" si="1209"/>
        <v>0</v>
      </c>
      <c r="BN108" s="1319">
        <f t="shared" ca="1" si="1217"/>
        <v>0</v>
      </c>
      <c r="BO108" s="1319">
        <f t="shared" ca="1" si="1217"/>
        <v>0</v>
      </c>
      <c r="BP108" s="1319">
        <f t="shared" ca="1" si="1217"/>
        <v>0</v>
      </c>
      <c r="BQ108" s="1319">
        <f t="shared" ca="1" si="1217"/>
        <v>0</v>
      </c>
      <c r="BR108" s="1319">
        <f t="shared" ca="1" si="1217"/>
        <v>0</v>
      </c>
      <c r="CD108" s="1319">
        <f t="shared" ca="1" si="1218"/>
        <v>0</v>
      </c>
      <c r="CE108" s="1319">
        <f t="shared" ca="1" si="1218"/>
        <v>0</v>
      </c>
      <c r="CF108" s="1319">
        <f t="shared" ca="1" si="1218"/>
        <v>0</v>
      </c>
      <c r="CG108" s="1319">
        <f t="shared" ca="1" si="1218"/>
        <v>0</v>
      </c>
      <c r="CH108" s="1319">
        <f t="shared" ca="1" si="1218"/>
        <v>0</v>
      </c>
      <c r="CI108" s="1319">
        <f t="shared" ca="1" si="1218"/>
        <v>0</v>
      </c>
      <c r="CJ108" s="1319">
        <f t="shared" ca="1" si="1218"/>
        <v>0</v>
      </c>
      <c r="CK108" s="1319">
        <f t="shared" ca="1" si="1218"/>
        <v>0</v>
      </c>
      <c r="CL108" s="1319">
        <f t="shared" ca="1" si="1218"/>
        <v>0</v>
      </c>
      <c r="CM108" s="1319">
        <f t="shared" ca="1" si="1218"/>
        <v>0</v>
      </c>
      <c r="CN108" s="1319">
        <f t="shared" ca="1" si="1218"/>
        <v>0</v>
      </c>
      <c r="CO108" s="1319">
        <f t="shared" ca="1" si="1218"/>
        <v>0</v>
      </c>
      <c r="DA108" s="1319">
        <f t="shared" ca="1" si="1219"/>
        <v>0</v>
      </c>
      <c r="DB108" s="1319">
        <f t="shared" ca="1" si="1219"/>
        <v>0</v>
      </c>
      <c r="DC108" s="1319">
        <f t="shared" ca="1" si="1219"/>
        <v>0</v>
      </c>
      <c r="DD108" s="1319">
        <f t="shared" ca="1" si="1219"/>
        <v>0</v>
      </c>
      <c r="DE108" s="1319">
        <f t="shared" ca="1" si="1219"/>
        <v>0</v>
      </c>
      <c r="DF108" s="1319">
        <f t="shared" ca="1" si="1219"/>
        <v>0</v>
      </c>
      <c r="DG108" s="1319">
        <f t="shared" ca="1" si="1219"/>
        <v>0</v>
      </c>
      <c r="DH108" s="1319">
        <f t="shared" ca="1" si="1219"/>
        <v>0</v>
      </c>
      <c r="DI108" s="1319">
        <f t="shared" ca="1" si="1219"/>
        <v>0</v>
      </c>
      <c r="DJ108" s="1319">
        <f t="shared" ca="1" si="1219"/>
        <v>0</v>
      </c>
      <c r="DV108" s="1319">
        <f t="shared" ca="1" si="1220"/>
        <v>0</v>
      </c>
      <c r="DW108" s="1319">
        <f t="shared" ca="1" si="1220"/>
        <v>0</v>
      </c>
      <c r="DX108" s="1319">
        <f t="shared" ca="1" si="1220"/>
        <v>0</v>
      </c>
      <c r="DY108" s="1319">
        <f t="shared" ca="1" si="1220"/>
        <v>0</v>
      </c>
      <c r="DZ108" s="1319">
        <f t="shared" ca="1" si="1220"/>
        <v>0</v>
      </c>
      <c r="EA108" s="1319">
        <f t="shared" ca="1" si="1220"/>
        <v>0</v>
      </c>
      <c r="EB108" s="1319">
        <f t="shared" ca="1" si="1220"/>
        <v>0</v>
      </c>
      <c r="EC108" s="1319">
        <f t="shared" ca="1" si="1220"/>
        <v>0</v>
      </c>
      <c r="ED108" s="1319">
        <f t="shared" ca="1" si="1220"/>
        <v>0</v>
      </c>
      <c r="EE108" s="1319">
        <f t="shared" ca="1" si="1220"/>
        <v>0</v>
      </c>
      <c r="EF108" s="1319">
        <f t="shared" ca="1" si="1220"/>
        <v>0</v>
      </c>
      <c r="EG108" s="1319">
        <f t="shared" ca="1" si="1220"/>
        <v>0</v>
      </c>
      <c r="EH108" s="1319">
        <f t="shared" ca="1" si="1220"/>
        <v>0</v>
      </c>
      <c r="EI108" s="1319">
        <f t="shared" ca="1" si="1220"/>
        <v>0</v>
      </c>
      <c r="EJ108" s="1319">
        <f t="shared" ca="1" si="1220"/>
        <v>0</v>
      </c>
      <c r="EK108" s="1319">
        <f t="shared" ca="1" si="1220"/>
        <v>0</v>
      </c>
      <c r="EW108" s="1319">
        <f t="shared" ca="1" si="1221"/>
        <v>0</v>
      </c>
      <c r="EX108" s="1319">
        <f t="shared" ca="1" si="1221"/>
        <v>0</v>
      </c>
      <c r="EY108" s="1319">
        <f t="shared" ca="1" si="1221"/>
        <v>0</v>
      </c>
      <c r="EZ108" s="1319">
        <f t="shared" ca="1" si="1221"/>
        <v>0</v>
      </c>
      <c r="FA108" s="1319">
        <f t="shared" ca="1" si="1221"/>
        <v>0</v>
      </c>
      <c r="FB108" s="1319">
        <f t="shared" ca="1" si="1221"/>
        <v>0</v>
      </c>
      <c r="FN108" s="1319">
        <f t="shared" ca="1" si="1222"/>
        <v>0</v>
      </c>
      <c r="FO108" s="1319">
        <f t="shared" ca="1" si="1222"/>
        <v>0</v>
      </c>
      <c r="FP108" s="1319">
        <f t="shared" ca="1" si="1222"/>
        <v>0</v>
      </c>
      <c r="FQ108" s="1319">
        <f t="shared" ca="1" si="1222"/>
        <v>0</v>
      </c>
      <c r="FR108" s="1319">
        <f t="shared" ca="1" si="1222"/>
        <v>0</v>
      </c>
      <c r="FS108" s="1319">
        <f t="shared" ca="1" si="1222"/>
        <v>0</v>
      </c>
      <c r="FT108" s="1319">
        <f t="shared" ca="1" si="1222"/>
        <v>0</v>
      </c>
      <c r="FU108" s="1319">
        <f t="shared" ca="1" si="1222"/>
        <v>0</v>
      </c>
      <c r="FV108" s="1319">
        <f t="shared" ca="1" si="1222"/>
        <v>0</v>
      </c>
      <c r="FW108" s="1319">
        <f t="shared" ca="1" si="1222"/>
        <v>0</v>
      </c>
      <c r="FX108" s="1319">
        <f t="shared" ca="1" si="1222"/>
        <v>0</v>
      </c>
      <c r="GJ108" s="1319">
        <f t="shared" ca="1" si="1223"/>
        <v>0</v>
      </c>
      <c r="GK108" s="1319">
        <f t="shared" ca="1" si="1223"/>
        <v>0</v>
      </c>
      <c r="GL108" s="1319">
        <f t="shared" ca="1" si="1223"/>
        <v>0</v>
      </c>
      <c r="GM108" s="1319">
        <f t="shared" ca="1" si="1223"/>
        <v>0</v>
      </c>
      <c r="GN108" s="1319">
        <f t="shared" ca="1" si="1223"/>
        <v>0</v>
      </c>
      <c r="GO108" s="1319">
        <f t="shared" ca="1" si="1223"/>
        <v>0</v>
      </c>
      <c r="GP108" s="1319">
        <f t="shared" ca="1" si="1223"/>
        <v>0</v>
      </c>
      <c r="GQ108" s="1319">
        <f t="shared" ca="1" si="1223"/>
        <v>0</v>
      </c>
      <c r="HC108" s="1319">
        <f t="shared" ca="1" si="1224"/>
        <v>0</v>
      </c>
      <c r="HD108" s="1319">
        <f t="shared" ca="1" si="1224"/>
        <v>0</v>
      </c>
      <c r="HE108" s="1319">
        <f t="shared" ca="1" si="1224"/>
        <v>0</v>
      </c>
      <c r="HF108" s="1319">
        <f t="shared" ca="1" si="1224"/>
        <v>0</v>
      </c>
      <c r="HG108" s="1319">
        <f t="shared" ca="1" si="1224"/>
        <v>0</v>
      </c>
      <c r="HH108" s="1319">
        <f t="shared" ca="1" si="1224"/>
        <v>0</v>
      </c>
      <c r="HT108" s="1319">
        <f t="shared" ca="1" si="1225"/>
        <v>0</v>
      </c>
      <c r="HU108" s="1319">
        <f t="shared" ca="1" si="1225"/>
        <v>0</v>
      </c>
      <c r="HV108" s="1319">
        <f t="shared" ca="1" si="1225"/>
        <v>0</v>
      </c>
      <c r="HW108" s="1319">
        <f t="shared" ca="1" si="1225"/>
        <v>0</v>
      </c>
      <c r="HX108" s="1319">
        <f t="shared" ca="1" si="1225"/>
        <v>0</v>
      </c>
      <c r="HY108" s="1319">
        <f t="shared" ca="1" si="1225"/>
        <v>0</v>
      </c>
      <c r="HZ108" s="1319">
        <f t="shared" ca="1" si="1225"/>
        <v>0</v>
      </c>
      <c r="IA108" s="1319">
        <f t="shared" ca="1" si="1225"/>
        <v>0</v>
      </c>
      <c r="IB108" s="1319">
        <f t="shared" ca="1" si="1225"/>
        <v>0</v>
      </c>
      <c r="IC108" s="1319">
        <f t="shared" ca="1" si="1225"/>
        <v>0</v>
      </c>
      <c r="ID108" s="1319">
        <f t="shared" ca="1" si="1225"/>
        <v>0</v>
      </c>
      <c r="IE108" s="1319">
        <f t="shared" ca="1" si="1225"/>
        <v>0</v>
      </c>
      <c r="IQ108" s="1319">
        <f t="shared" ca="1" si="1226"/>
        <v>0</v>
      </c>
      <c r="IR108" s="1319">
        <f t="shared" ca="1" si="1226"/>
        <v>0</v>
      </c>
      <c r="IS108" s="1319">
        <f t="shared" ca="1" si="1226"/>
        <v>0</v>
      </c>
      <c r="IT108" s="1319">
        <f t="shared" ca="1" si="1226"/>
        <v>0</v>
      </c>
      <c r="IU108" s="1319">
        <f t="shared" ca="1" si="1226"/>
        <v>0</v>
      </c>
      <c r="IV108" s="1319">
        <f t="shared" ca="1" si="1226"/>
        <v>0</v>
      </c>
      <c r="IW108" s="1319">
        <f t="shared" ca="1" si="1226"/>
        <v>0</v>
      </c>
      <c r="IX108" s="1319">
        <f t="shared" ca="1" si="1226"/>
        <v>0</v>
      </c>
      <c r="IY108" s="1319">
        <f t="shared" ca="1" si="1226"/>
        <v>0</v>
      </c>
      <c r="IZ108" s="1319">
        <f t="shared" ca="1" si="1226"/>
        <v>0</v>
      </c>
      <c r="JA108" s="1319">
        <f t="shared" ca="1" si="1226"/>
        <v>0</v>
      </c>
      <c r="JB108" s="1319">
        <f t="shared" ca="1" si="1226"/>
        <v>0</v>
      </c>
      <c r="JC108" s="1319">
        <f t="shared" ca="1" si="1226"/>
        <v>0</v>
      </c>
      <c r="JD108" s="1319">
        <f t="shared" ca="1" si="1226"/>
        <v>0</v>
      </c>
      <c r="JE108" s="1319">
        <f t="shared" ca="1" si="1226"/>
        <v>0</v>
      </c>
      <c r="JF108" s="1319">
        <f t="shared" ca="1" si="1226"/>
        <v>0</v>
      </c>
      <c r="JG108" s="1319">
        <f t="shared" ca="1" si="1226"/>
        <v>0</v>
      </c>
      <c r="JH108" s="1319">
        <f t="shared" ca="1" si="1226"/>
        <v>0</v>
      </c>
      <c r="JT108" s="1319">
        <f t="shared" ca="1" si="1227"/>
        <v>0</v>
      </c>
      <c r="JU108" s="1319">
        <f t="shared" ca="1" si="1227"/>
        <v>0</v>
      </c>
      <c r="JV108" s="1319">
        <f t="shared" ca="1" si="1227"/>
        <v>0</v>
      </c>
      <c r="JW108" s="1319">
        <f t="shared" ca="1" si="1227"/>
        <v>0</v>
      </c>
      <c r="JX108" s="1319">
        <f t="shared" ca="1" si="1227"/>
        <v>0</v>
      </c>
      <c r="JY108" s="1319">
        <f t="shared" ca="1" si="1227"/>
        <v>0</v>
      </c>
      <c r="JZ108" s="1319">
        <f t="shared" ca="1" si="1227"/>
        <v>0</v>
      </c>
      <c r="KA108" s="1319">
        <f t="shared" ca="1" si="1227"/>
        <v>0</v>
      </c>
      <c r="KB108" s="1319">
        <f t="shared" ca="1" si="1227"/>
        <v>0</v>
      </c>
      <c r="KC108" s="1319">
        <f t="shared" ca="1" si="1227"/>
        <v>0</v>
      </c>
      <c r="KL108" s="1319">
        <f t="shared" ca="1" si="1228"/>
        <v>0</v>
      </c>
      <c r="KM108" s="1319">
        <f t="shared" ca="1" si="1228"/>
        <v>0</v>
      </c>
      <c r="KN108" s="1319">
        <f t="shared" ca="1" si="1228"/>
        <v>0</v>
      </c>
      <c r="KO108" s="1319">
        <f t="shared" ca="1" si="1228"/>
        <v>0</v>
      </c>
      <c r="KP108" s="1319">
        <f t="shared" ca="1" si="1228"/>
        <v>0</v>
      </c>
      <c r="KQ108" s="1319">
        <f t="shared" ca="1" si="1228"/>
        <v>0</v>
      </c>
      <c r="KR108" s="1319">
        <f t="shared" ca="1" si="1228"/>
        <v>0</v>
      </c>
      <c r="LA108" s="1319">
        <f t="shared" ca="1" si="1229"/>
        <v>0</v>
      </c>
      <c r="LB108" s="1319">
        <f t="shared" ca="1" si="1229"/>
        <v>0</v>
      </c>
      <c r="LC108" s="1319">
        <f t="shared" ca="1" si="1229"/>
        <v>0</v>
      </c>
      <c r="LD108" s="1319">
        <f t="shared" ca="1" si="1229"/>
        <v>0</v>
      </c>
      <c r="LE108" s="1319">
        <f t="shared" ca="1" si="1229"/>
        <v>0</v>
      </c>
      <c r="LF108" s="1319">
        <f t="shared" ca="1" si="1229"/>
        <v>0</v>
      </c>
      <c r="LG108" s="1319">
        <f t="shared" ca="1" si="1229"/>
        <v>0</v>
      </c>
      <c r="LH108" s="1319">
        <f t="shared" ca="1" si="1229"/>
        <v>178.89025899999999</v>
      </c>
      <c r="LI108" s="1319">
        <f t="shared" ca="1" si="1229"/>
        <v>0</v>
      </c>
      <c r="LJ108" s="1319">
        <f t="shared" ca="1" si="1229"/>
        <v>0</v>
      </c>
      <c r="LK108" s="1319">
        <f t="shared" ca="1" si="1229"/>
        <v>894.45129599999996</v>
      </c>
      <c r="LW108" s="1319">
        <f t="shared" ca="1" si="1230"/>
        <v>0</v>
      </c>
      <c r="LX108" s="1319">
        <f t="shared" ca="1" si="1230"/>
        <v>0</v>
      </c>
      <c r="LY108" s="1319">
        <f t="shared" ca="1" si="1230"/>
        <v>0</v>
      </c>
      <c r="LZ108" s="1319">
        <f t="shared" ca="1" si="1230"/>
        <v>0</v>
      </c>
      <c r="MA108" s="1319">
        <f t="shared" ca="1" si="1230"/>
        <v>0</v>
      </c>
      <c r="MB108" s="1319">
        <f t="shared" ca="1" si="1230"/>
        <v>0</v>
      </c>
      <c r="MC108" s="1319">
        <f t="shared" ca="1" si="1230"/>
        <v>0</v>
      </c>
      <c r="MD108" s="1319">
        <f t="shared" ca="1" si="1230"/>
        <v>0</v>
      </c>
      <c r="ME108" s="1319">
        <f t="shared" ca="1" si="1230"/>
        <v>0</v>
      </c>
      <c r="MF108" s="1319">
        <f t="shared" ca="1" si="1230"/>
        <v>0</v>
      </c>
      <c r="MG108" s="1319">
        <f t="shared" ca="1" si="1230"/>
        <v>0</v>
      </c>
      <c r="MH108" s="1319">
        <f t="shared" ca="1" si="1230"/>
        <v>0</v>
      </c>
      <c r="MI108" s="1319">
        <f t="shared" ca="1" si="1230"/>
        <v>0</v>
      </c>
      <c r="MJ108" s="1319">
        <f t="shared" ca="1" si="1230"/>
        <v>0</v>
      </c>
      <c r="MK108" s="1319">
        <f t="shared" ca="1" si="1230"/>
        <v>0</v>
      </c>
      <c r="ML108" s="1319">
        <f t="shared" ca="1" si="1230"/>
        <v>0</v>
      </c>
      <c r="MM108" s="1319">
        <f t="shared" ca="1" si="1230"/>
        <v>0</v>
      </c>
      <c r="MN108" s="1319">
        <f t="shared" ca="1" si="1230"/>
        <v>0</v>
      </c>
      <c r="MO108" s="1319">
        <f t="shared" ca="1" si="1230"/>
        <v>0</v>
      </c>
      <c r="NA108" s="1319">
        <f t="shared" ca="1" si="1231"/>
        <v>0</v>
      </c>
      <c r="NB108" s="1319">
        <f t="shared" ca="1" si="1231"/>
        <v>0</v>
      </c>
      <c r="NC108" s="1319">
        <f t="shared" ca="1" si="1231"/>
        <v>0</v>
      </c>
      <c r="ND108" s="1319">
        <f t="shared" ca="1" si="1231"/>
        <v>0</v>
      </c>
      <c r="NE108" s="1319">
        <f t="shared" ca="1" si="1231"/>
        <v>0</v>
      </c>
      <c r="NF108" s="1319">
        <f t="shared" ca="1" si="1231"/>
        <v>0</v>
      </c>
      <c r="NG108" s="1319">
        <f t="shared" ca="1" si="1231"/>
        <v>0</v>
      </c>
      <c r="NH108" s="1319">
        <f t="shared" ca="1" si="1231"/>
        <v>0</v>
      </c>
      <c r="NI108" s="1319">
        <f t="shared" ca="1" si="1231"/>
        <v>0</v>
      </c>
      <c r="NJ108" s="1319">
        <f t="shared" ca="1" si="1231"/>
        <v>0</v>
      </c>
      <c r="NK108" s="1319">
        <f t="shared" ca="1" si="1231"/>
        <v>0</v>
      </c>
      <c r="NL108" s="1319">
        <f t="shared" ca="1" si="1231"/>
        <v>0</v>
      </c>
      <c r="NM108" s="1319">
        <f t="shared" ca="1" si="1231"/>
        <v>0</v>
      </c>
      <c r="NN108" s="1319">
        <f t="shared" ca="1" si="1231"/>
        <v>0</v>
      </c>
      <c r="NO108" s="1319">
        <f t="shared" ca="1" si="1231"/>
        <v>0</v>
      </c>
      <c r="NP108" s="1319">
        <f t="shared" ca="1" si="1231"/>
        <v>0</v>
      </c>
      <c r="OH108" s="1319">
        <f t="shared" ca="1" si="1232"/>
        <v>0</v>
      </c>
      <c r="OI108" s="1319">
        <f t="shared" ca="1" si="1232"/>
        <v>0</v>
      </c>
      <c r="OJ108" s="1319">
        <f t="shared" ca="1" si="1232"/>
        <v>0</v>
      </c>
      <c r="OK108" s="1319">
        <f t="shared" ca="1" si="1232"/>
        <v>0</v>
      </c>
      <c r="OL108" s="1319">
        <f t="shared" ca="1" si="1232"/>
        <v>0</v>
      </c>
      <c r="OM108" s="1319">
        <f t="shared" ca="1" si="1232"/>
        <v>0</v>
      </c>
      <c r="ON108" s="1319">
        <f t="shared" ca="1" si="1232"/>
        <v>0</v>
      </c>
      <c r="OO108" s="1319">
        <f t="shared" ca="1" si="1232"/>
        <v>0</v>
      </c>
      <c r="PA108" s="1319">
        <f t="shared" ca="1" si="1233"/>
        <v>0</v>
      </c>
      <c r="PB108" s="1319">
        <f t="shared" ca="1" si="1233"/>
        <v>0</v>
      </c>
      <c r="PC108" s="1319">
        <f t="shared" ca="1" si="1233"/>
        <v>0</v>
      </c>
      <c r="PD108" s="1319">
        <f t="shared" ca="1" si="1233"/>
        <v>0</v>
      </c>
      <c r="PE108" s="1319">
        <f t="shared" ca="1" si="1233"/>
        <v>0</v>
      </c>
      <c r="PF108" s="1319">
        <f t="shared" ca="1" si="1233"/>
        <v>0</v>
      </c>
      <c r="PG108" s="1319">
        <f t="shared" ca="1" si="1233"/>
        <v>0</v>
      </c>
      <c r="PH108" s="1319">
        <f t="shared" ca="1" si="1233"/>
        <v>0</v>
      </c>
      <c r="PI108" s="1319">
        <f t="shared" ca="1" si="1233"/>
        <v>0</v>
      </c>
      <c r="PJ108" s="1319">
        <f t="shared" ca="1" si="1233"/>
        <v>0</v>
      </c>
      <c r="PK108" s="1319">
        <f t="shared" ca="1" si="1233"/>
        <v>0</v>
      </c>
      <c r="PW108" s="1319">
        <f t="shared" ca="1" si="1234"/>
        <v>0</v>
      </c>
      <c r="PX108" s="1319">
        <f t="shared" ca="1" si="1234"/>
        <v>0</v>
      </c>
      <c r="PY108" s="1319">
        <f t="shared" ca="1" si="1234"/>
        <v>0</v>
      </c>
      <c r="PZ108" s="1319">
        <f t="shared" ca="1" si="1234"/>
        <v>0</v>
      </c>
    </row>
    <row r="109" spans="1:442" x14ac:dyDescent="0.25">
      <c r="A109" s="189">
        <v>143</v>
      </c>
      <c r="B109" s="189" t="s">
        <v>1320</v>
      </c>
      <c r="C109" s="1317" t="s">
        <v>3000</v>
      </c>
      <c r="D109" s="1317" t="s">
        <v>206</v>
      </c>
      <c r="J109" s="1319">
        <f t="shared" ca="1" si="1207"/>
        <v>0</v>
      </c>
      <c r="K109" s="1319">
        <f t="shared" ca="1" si="1211"/>
        <v>0</v>
      </c>
      <c r="T109" s="1319">
        <f t="shared" ca="1" si="1208"/>
        <v>0</v>
      </c>
      <c r="U109" s="1319">
        <f t="shared" ca="1" si="1208"/>
        <v>0</v>
      </c>
      <c r="V109" s="1319">
        <f t="shared" ca="1" si="1208"/>
        <v>0</v>
      </c>
      <c r="W109" s="1319">
        <f t="shared" ca="1" si="1208"/>
        <v>0</v>
      </c>
      <c r="X109" s="1319">
        <f t="shared" ca="1" si="1208"/>
        <v>0</v>
      </c>
      <c r="Y109" s="1319">
        <f t="shared" ca="1" si="1208"/>
        <v>0</v>
      </c>
      <c r="Z109" s="1319">
        <f t="shared" ca="1" si="1208"/>
        <v>0</v>
      </c>
      <c r="AA109" s="1319">
        <f t="shared" ca="1" si="1208"/>
        <v>0</v>
      </c>
      <c r="AB109" s="1319">
        <f t="shared" ca="1" si="1208"/>
        <v>0</v>
      </c>
      <c r="AC109" s="1319">
        <f t="shared" ca="1" si="1208"/>
        <v>0</v>
      </c>
      <c r="AD109" s="1319">
        <f t="shared" ca="1" si="1208"/>
        <v>0</v>
      </c>
      <c r="AM109" s="1319">
        <f t="shared" ca="1" si="1209"/>
        <v>0</v>
      </c>
      <c r="AN109" s="1319">
        <f t="shared" ca="1" si="1209"/>
        <v>0</v>
      </c>
      <c r="AO109" s="1319">
        <f t="shared" ca="1" si="1212"/>
        <v>0</v>
      </c>
      <c r="AP109" s="1319">
        <f t="shared" ca="1" si="1212"/>
        <v>0</v>
      </c>
      <c r="AQ109" s="1319">
        <f t="shared" ca="1" si="1212"/>
        <v>0</v>
      </c>
      <c r="AR109" s="1319">
        <f t="shared" ca="1" si="1212"/>
        <v>0</v>
      </c>
      <c r="AS109" s="1319">
        <f t="shared" ca="1" si="1212"/>
        <v>0</v>
      </c>
      <c r="AT109" s="1319">
        <f t="shared" ca="1" si="1209"/>
        <v>0</v>
      </c>
      <c r="AU109" s="1319">
        <f t="shared" ca="1" si="1209"/>
        <v>0</v>
      </c>
      <c r="AV109" s="1319">
        <f t="shared" ca="1" si="1209"/>
        <v>0</v>
      </c>
      <c r="AW109" s="1319">
        <f t="shared" ca="1" si="1209"/>
        <v>0</v>
      </c>
      <c r="AX109" s="1319">
        <f t="shared" ca="1" si="1209"/>
        <v>0</v>
      </c>
      <c r="AY109" s="1319">
        <f t="shared" ca="1" si="1209"/>
        <v>0</v>
      </c>
      <c r="AZ109" s="1319">
        <f t="shared" ca="1" si="1209"/>
        <v>0</v>
      </c>
      <c r="BA109" s="1319">
        <f t="shared" ca="1" si="1209"/>
        <v>0</v>
      </c>
      <c r="BB109" s="1319">
        <f t="shared" ca="1" si="1209"/>
        <v>0</v>
      </c>
      <c r="BN109" s="1319">
        <f t="shared" ca="1" si="1217"/>
        <v>0</v>
      </c>
      <c r="BO109" s="1319">
        <f t="shared" ca="1" si="1217"/>
        <v>0</v>
      </c>
      <c r="BP109" s="1319">
        <f t="shared" ca="1" si="1217"/>
        <v>0</v>
      </c>
      <c r="BQ109" s="1319">
        <f t="shared" ca="1" si="1217"/>
        <v>0</v>
      </c>
      <c r="BR109" s="1319">
        <f t="shared" ca="1" si="1217"/>
        <v>0</v>
      </c>
      <c r="CD109" s="1319">
        <f t="shared" ca="1" si="1218"/>
        <v>0</v>
      </c>
      <c r="CE109" s="1319">
        <f t="shared" ca="1" si="1218"/>
        <v>0</v>
      </c>
      <c r="CF109" s="1319">
        <f t="shared" ca="1" si="1218"/>
        <v>0</v>
      </c>
      <c r="CG109" s="1319">
        <f t="shared" ca="1" si="1218"/>
        <v>0</v>
      </c>
      <c r="CH109" s="1319">
        <f t="shared" ca="1" si="1218"/>
        <v>0</v>
      </c>
      <c r="CI109" s="1319">
        <f t="shared" ca="1" si="1218"/>
        <v>0</v>
      </c>
      <c r="CJ109" s="1319">
        <f t="shared" ca="1" si="1218"/>
        <v>0</v>
      </c>
      <c r="CK109" s="1319">
        <f t="shared" ca="1" si="1218"/>
        <v>0</v>
      </c>
      <c r="CL109" s="1319">
        <f t="shared" ca="1" si="1218"/>
        <v>0</v>
      </c>
      <c r="CM109" s="1319">
        <f t="shared" ca="1" si="1218"/>
        <v>0</v>
      </c>
      <c r="CN109" s="1319">
        <f t="shared" ca="1" si="1218"/>
        <v>0</v>
      </c>
      <c r="CO109" s="1319">
        <f t="shared" ca="1" si="1218"/>
        <v>0</v>
      </c>
      <c r="DA109" s="1319">
        <f t="shared" ca="1" si="1219"/>
        <v>0</v>
      </c>
      <c r="DB109" s="1319">
        <f t="shared" ca="1" si="1219"/>
        <v>0</v>
      </c>
      <c r="DC109" s="1319">
        <f t="shared" ca="1" si="1219"/>
        <v>0</v>
      </c>
      <c r="DD109" s="1319">
        <f t="shared" ca="1" si="1219"/>
        <v>0</v>
      </c>
      <c r="DE109" s="1319">
        <f t="shared" ca="1" si="1219"/>
        <v>0</v>
      </c>
      <c r="DF109" s="1319">
        <f t="shared" ca="1" si="1219"/>
        <v>0</v>
      </c>
      <c r="DG109" s="1319">
        <f t="shared" ca="1" si="1219"/>
        <v>0</v>
      </c>
      <c r="DH109" s="1319">
        <f t="shared" ca="1" si="1219"/>
        <v>0</v>
      </c>
      <c r="DI109" s="1319">
        <f t="shared" ca="1" si="1219"/>
        <v>0</v>
      </c>
      <c r="DJ109" s="1319">
        <f t="shared" ca="1" si="1219"/>
        <v>0</v>
      </c>
      <c r="DV109" s="1319">
        <f t="shared" ca="1" si="1220"/>
        <v>0</v>
      </c>
      <c r="DW109" s="1319">
        <f t="shared" ca="1" si="1220"/>
        <v>0</v>
      </c>
      <c r="DX109" s="1319">
        <f t="shared" ca="1" si="1220"/>
        <v>0</v>
      </c>
      <c r="DY109" s="1319">
        <f t="shared" ca="1" si="1220"/>
        <v>0</v>
      </c>
      <c r="DZ109" s="1319">
        <f t="shared" ca="1" si="1220"/>
        <v>0</v>
      </c>
      <c r="EA109" s="1319">
        <f t="shared" ca="1" si="1220"/>
        <v>0</v>
      </c>
      <c r="EB109" s="1319">
        <f t="shared" ca="1" si="1220"/>
        <v>0</v>
      </c>
      <c r="EC109" s="1319">
        <f t="shared" ca="1" si="1220"/>
        <v>0</v>
      </c>
      <c r="ED109" s="1319">
        <f t="shared" ca="1" si="1220"/>
        <v>0</v>
      </c>
      <c r="EE109" s="1319">
        <f t="shared" ca="1" si="1220"/>
        <v>0</v>
      </c>
      <c r="EF109" s="1319">
        <f t="shared" ca="1" si="1220"/>
        <v>0</v>
      </c>
      <c r="EG109" s="1319">
        <f t="shared" ca="1" si="1220"/>
        <v>0</v>
      </c>
      <c r="EH109" s="1319">
        <f t="shared" ca="1" si="1220"/>
        <v>0</v>
      </c>
      <c r="EI109" s="1319">
        <f t="shared" ca="1" si="1220"/>
        <v>0</v>
      </c>
      <c r="EJ109" s="1319">
        <f t="shared" ca="1" si="1220"/>
        <v>0</v>
      </c>
      <c r="EK109" s="1319">
        <f t="shared" ca="1" si="1220"/>
        <v>0</v>
      </c>
      <c r="EW109" s="1319">
        <f t="shared" ca="1" si="1221"/>
        <v>0</v>
      </c>
      <c r="EX109" s="1319">
        <f t="shared" ca="1" si="1221"/>
        <v>0</v>
      </c>
      <c r="EY109" s="1319">
        <f t="shared" ca="1" si="1221"/>
        <v>0</v>
      </c>
      <c r="EZ109" s="1319">
        <f t="shared" ca="1" si="1221"/>
        <v>0</v>
      </c>
      <c r="FA109" s="1319">
        <f t="shared" ca="1" si="1221"/>
        <v>0</v>
      </c>
      <c r="FB109" s="1319">
        <f t="shared" ca="1" si="1221"/>
        <v>0</v>
      </c>
      <c r="FN109" s="1319">
        <f t="shared" ca="1" si="1222"/>
        <v>0</v>
      </c>
      <c r="FO109" s="1319">
        <f t="shared" ca="1" si="1222"/>
        <v>0</v>
      </c>
      <c r="FP109" s="1319">
        <f t="shared" ca="1" si="1222"/>
        <v>0</v>
      </c>
      <c r="FQ109" s="1319">
        <f t="shared" ca="1" si="1222"/>
        <v>0</v>
      </c>
      <c r="FR109" s="1319">
        <f t="shared" ca="1" si="1222"/>
        <v>0</v>
      </c>
      <c r="FS109" s="1319">
        <f t="shared" ca="1" si="1222"/>
        <v>0</v>
      </c>
      <c r="FT109" s="1319">
        <f t="shared" ca="1" si="1222"/>
        <v>0</v>
      </c>
      <c r="FU109" s="1319">
        <f t="shared" ca="1" si="1222"/>
        <v>0</v>
      </c>
      <c r="FV109" s="1319">
        <f t="shared" ca="1" si="1222"/>
        <v>0</v>
      </c>
      <c r="FW109" s="1319">
        <f t="shared" ca="1" si="1222"/>
        <v>0</v>
      </c>
      <c r="FX109" s="1319">
        <f t="shared" ca="1" si="1222"/>
        <v>0</v>
      </c>
      <c r="GJ109" s="1319">
        <f t="shared" ca="1" si="1223"/>
        <v>0</v>
      </c>
      <c r="GK109" s="1319">
        <f t="shared" ca="1" si="1223"/>
        <v>0</v>
      </c>
      <c r="GL109" s="1319">
        <f t="shared" ca="1" si="1223"/>
        <v>0</v>
      </c>
      <c r="GM109" s="1319">
        <f t="shared" ca="1" si="1223"/>
        <v>0</v>
      </c>
      <c r="GN109" s="1319">
        <f t="shared" ca="1" si="1223"/>
        <v>0</v>
      </c>
      <c r="GO109" s="1319">
        <f t="shared" ca="1" si="1223"/>
        <v>0</v>
      </c>
      <c r="GP109" s="1319">
        <f t="shared" ca="1" si="1223"/>
        <v>0</v>
      </c>
      <c r="GQ109" s="1319">
        <f t="shared" ca="1" si="1223"/>
        <v>0</v>
      </c>
      <c r="HC109" s="1319">
        <f t="shared" ca="1" si="1224"/>
        <v>0</v>
      </c>
      <c r="HD109" s="1319">
        <f t="shared" ca="1" si="1224"/>
        <v>0</v>
      </c>
      <c r="HE109" s="1319">
        <f t="shared" ca="1" si="1224"/>
        <v>0</v>
      </c>
      <c r="HF109" s="1319">
        <f t="shared" ca="1" si="1224"/>
        <v>0</v>
      </c>
      <c r="HG109" s="1319">
        <f t="shared" ca="1" si="1224"/>
        <v>0</v>
      </c>
      <c r="HH109" s="1319">
        <f t="shared" ca="1" si="1224"/>
        <v>0</v>
      </c>
      <c r="HT109" s="1319">
        <f t="shared" ca="1" si="1225"/>
        <v>0</v>
      </c>
      <c r="HU109" s="1319">
        <f t="shared" ca="1" si="1225"/>
        <v>0</v>
      </c>
      <c r="HV109" s="1319">
        <f t="shared" ca="1" si="1225"/>
        <v>0</v>
      </c>
      <c r="HW109" s="1319">
        <f t="shared" ca="1" si="1225"/>
        <v>0</v>
      </c>
      <c r="HX109" s="1319">
        <f t="shared" ca="1" si="1225"/>
        <v>0</v>
      </c>
      <c r="HY109" s="1319">
        <f t="shared" ca="1" si="1225"/>
        <v>0</v>
      </c>
      <c r="HZ109" s="1319">
        <f t="shared" ca="1" si="1225"/>
        <v>0</v>
      </c>
      <c r="IA109" s="1319">
        <f t="shared" ca="1" si="1225"/>
        <v>0</v>
      </c>
      <c r="IB109" s="1319">
        <f t="shared" ca="1" si="1225"/>
        <v>0</v>
      </c>
      <c r="IC109" s="1319">
        <f t="shared" ca="1" si="1225"/>
        <v>0</v>
      </c>
      <c r="ID109" s="1319">
        <f t="shared" ca="1" si="1225"/>
        <v>0</v>
      </c>
      <c r="IE109" s="1319">
        <f t="shared" ca="1" si="1225"/>
        <v>0</v>
      </c>
      <c r="IQ109" s="1319">
        <f t="shared" ca="1" si="1226"/>
        <v>0</v>
      </c>
      <c r="IR109" s="1319">
        <f t="shared" ca="1" si="1226"/>
        <v>0</v>
      </c>
      <c r="IS109" s="1319">
        <f t="shared" ca="1" si="1226"/>
        <v>0</v>
      </c>
      <c r="IT109" s="1319">
        <f t="shared" ca="1" si="1226"/>
        <v>0</v>
      </c>
      <c r="IU109" s="1319">
        <f t="shared" ca="1" si="1226"/>
        <v>0</v>
      </c>
      <c r="IV109" s="1319">
        <f t="shared" ca="1" si="1226"/>
        <v>0</v>
      </c>
      <c r="IW109" s="1319">
        <f t="shared" ca="1" si="1226"/>
        <v>0</v>
      </c>
      <c r="IX109" s="1319">
        <f t="shared" ca="1" si="1226"/>
        <v>0</v>
      </c>
      <c r="IY109" s="1319">
        <f t="shared" ca="1" si="1226"/>
        <v>0</v>
      </c>
      <c r="IZ109" s="1319">
        <f t="shared" ca="1" si="1226"/>
        <v>0</v>
      </c>
      <c r="JA109" s="1319">
        <f t="shared" ca="1" si="1226"/>
        <v>0</v>
      </c>
      <c r="JB109" s="1319">
        <f t="shared" ca="1" si="1226"/>
        <v>0</v>
      </c>
      <c r="JC109" s="1319">
        <f t="shared" ca="1" si="1226"/>
        <v>0</v>
      </c>
      <c r="JD109" s="1319">
        <f t="shared" ca="1" si="1226"/>
        <v>0</v>
      </c>
      <c r="JE109" s="1319">
        <f t="shared" ca="1" si="1226"/>
        <v>0</v>
      </c>
      <c r="JF109" s="1319">
        <f t="shared" ca="1" si="1226"/>
        <v>0</v>
      </c>
      <c r="JG109" s="1319">
        <f t="shared" ca="1" si="1226"/>
        <v>0</v>
      </c>
      <c r="JH109" s="1319">
        <f t="shared" ca="1" si="1226"/>
        <v>0</v>
      </c>
      <c r="JT109" s="1319">
        <f t="shared" ca="1" si="1227"/>
        <v>0</v>
      </c>
      <c r="JU109" s="1319">
        <f t="shared" ca="1" si="1227"/>
        <v>0</v>
      </c>
      <c r="JV109" s="1319">
        <f t="shared" ca="1" si="1227"/>
        <v>0</v>
      </c>
      <c r="JW109" s="1319">
        <f t="shared" ca="1" si="1227"/>
        <v>0</v>
      </c>
      <c r="JX109" s="1319">
        <f t="shared" ca="1" si="1227"/>
        <v>0</v>
      </c>
      <c r="JY109" s="1319">
        <f t="shared" ca="1" si="1227"/>
        <v>0</v>
      </c>
      <c r="JZ109" s="1319">
        <f t="shared" ca="1" si="1227"/>
        <v>0</v>
      </c>
      <c r="KA109" s="1319">
        <f t="shared" ca="1" si="1227"/>
        <v>0</v>
      </c>
      <c r="KB109" s="1319">
        <f t="shared" ca="1" si="1227"/>
        <v>0</v>
      </c>
      <c r="KC109" s="1319">
        <f t="shared" ca="1" si="1227"/>
        <v>0</v>
      </c>
      <c r="KL109" s="1319">
        <f t="shared" ca="1" si="1228"/>
        <v>0</v>
      </c>
      <c r="KM109" s="1319">
        <f t="shared" ca="1" si="1228"/>
        <v>0</v>
      </c>
      <c r="KN109" s="1319">
        <f t="shared" ca="1" si="1228"/>
        <v>0</v>
      </c>
      <c r="KO109" s="1319">
        <f t="shared" ca="1" si="1228"/>
        <v>0</v>
      </c>
      <c r="KP109" s="1319">
        <f t="shared" ca="1" si="1228"/>
        <v>0</v>
      </c>
      <c r="KQ109" s="1319">
        <f t="shared" ca="1" si="1228"/>
        <v>0</v>
      </c>
      <c r="KR109" s="1319">
        <f t="shared" ca="1" si="1228"/>
        <v>0</v>
      </c>
      <c r="LA109" s="1319">
        <f t="shared" ca="1" si="1229"/>
        <v>0</v>
      </c>
      <c r="LB109" s="1319">
        <f t="shared" ca="1" si="1229"/>
        <v>0</v>
      </c>
      <c r="LC109" s="1319">
        <f t="shared" ca="1" si="1229"/>
        <v>0</v>
      </c>
      <c r="LD109" s="1319">
        <f t="shared" ca="1" si="1229"/>
        <v>0</v>
      </c>
      <c r="LE109" s="1319">
        <f t="shared" ca="1" si="1229"/>
        <v>0</v>
      </c>
      <c r="LF109" s="1319">
        <f t="shared" ca="1" si="1229"/>
        <v>0</v>
      </c>
      <c r="LG109" s="1319">
        <f t="shared" ca="1" si="1229"/>
        <v>0</v>
      </c>
      <c r="LH109" s="1319">
        <f t="shared" ca="1" si="1229"/>
        <v>1314.8076799999999</v>
      </c>
      <c r="LI109" s="1319">
        <f t="shared" ca="1" si="1229"/>
        <v>0</v>
      </c>
      <c r="LJ109" s="1319">
        <f t="shared" ca="1" si="1229"/>
        <v>0</v>
      </c>
      <c r="LK109" s="1319">
        <f t="shared" ca="1" si="1229"/>
        <v>0</v>
      </c>
      <c r="LW109" s="1319">
        <f t="shared" ca="1" si="1230"/>
        <v>0</v>
      </c>
      <c r="LX109" s="1319">
        <f t="shared" ca="1" si="1230"/>
        <v>0</v>
      </c>
      <c r="LY109" s="1319">
        <f t="shared" ca="1" si="1230"/>
        <v>0</v>
      </c>
      <c r="LZ109" s="1319">
        <f t="shared" ca="1" si="1230"/>
        <v>0</v>
      </c>
      <c r="MA109" s="1319">
        <f t="shared" ca="1" si="1230"/>
        <v>0</v>
      </c>
      <c r="MB109" s="1319">
        <f t="shared" ca="1" si="1230"/>
        <v>0</v>
      </c>
      <c r="MC109" s="1319">
        <f t="shared" ca="1" si="1230"/>
        <v>0</v>
      </c>
      <c r="MD109" s="1319">
        <f t="shared" ca="1" si="1230"/>
        <v>0</v>
      </c>
      <c r="ME109" s="1319">
        <f t="shared" ca="1" si="1230"/>
        <v>0</v>
      </c>
      <c r="MF109" s="1319">
        <f t="shared" ca="1" si="1230"/>
        <v>0</v>
      </c>
      <c r="MG109" s="1319">
        <f t="shared" ca="1" si="1230"/>
        <v>0</v>
      </c>
      <c r="MH109" s="1319">
        <f t="shared" ca="1" si="1230"/>
        <v>0</v>
      </c>
      <c r="MI109" s="1319">
        <f t="shared" ca="1" si="1230"/>
        <v>0</v>
      </c>
      <c r="MJ109" s="1319">
        <f t="shared" ca="1" si="1230"/>
        <v>0</v>
      </c>
      <c r="MK109" s="1319">
        <f t="shared" ca="1" si="1230"/>
        <v>0</v>
      </c>
      <c r="ML109" s="1319">
        <f t="shared" ca="1" si="1230"/>
        <v>0</v>
      </c>
      <c r="MM109" s="1319">
        <f t="shared" ca="1" si="1230"/>
        <v>0</v>
      </c>
      <c r="MN109" s="1319">
        <f t="shared" ca="1" si="1230"/>
        <v>0</v>
      </c>
      <c r="MO109" s="1319">
        <f t="shared" ca="1" si="1230"/>
        <v>0</v>
      </c>
      <c r="NA109" s="1319">
        <f t="shared" ca="1" si="1231"/>
        <v>0</v>
      </c>
      <c r="NB109" s="1319">
        <f t="shared" ca="1" si="1231"/>
        <v>0</v>
      </c>
      <c r="NC109" s="1319">
        <f t="shared" ca="1" si="1231"/>
        <v>0</v>
      </c>
      <c r="ND109" s="1319">
        <f t="shared" ca="1" si="1231"/>
        <v>0</v>
      </c>
      <c r="NE109" s="1319">
        <f t="shared" ca="1" si="1231"/>
        <v>0</v>
      </c>
      <c r="NF109" s="1319">
        <f t="shared" ca="1" si="1231"/>
        <v>0</v>
      </c>
      <c r="NG109" s="1319">
        <f t="shared" ca="1" si="1231"/>
        <v>0</v>
      </c>
      <c r="NH109" s="1319">
        <f t="shared" ca="1" si="1231"/>
        <v>0</v>
      </c>
      <c r="NI109" s="1319">
        <f t="shared" ca="1" si="1231"/>
        <v>0</v>
      </c>
      <c r="NJ109" s="1319">
        <f t="shared" ca="1" si="1231"/>
        <v>0</v>
      </c>
      <c r="NK109" s="1319">
        <f t="shared" ca="1" si="1231"/>
        <v>0</v>
      </c>
      <c r="NL109" s="1319">
        <f t="shared" ca="1" si="1231"/>
        <v>0</v>
      </c>
      <c r="NM109" s="1319">
        <f t="shared" ca="1" si="1231"/>
        <v>0</v>
      </c>
      <c r="NN109" s="1319">
        <f t="shared" ca="1" si="1231"/>
        <v>0</v>
      </c>
      <c r="NO109" s="1319">
        <f t="shared" ca="1" si="1231"/>
        <v>0</v>
      </c>
      <c r="NP109" s="1319">
        <f t="shared" ca="1" si="1231"/>
        <v>0</v>
      </c>
      <c r="OH109" s="1319">
        <f t="shared" ca="1" si="1232"/>
        <v>0</v>
      </c>
      <c r="OI109" s="1319">
        <f t="shared" ca="1" si="1232"/>
        <v>0</v>
      </c>
      <c r="OJ109" s="1319">
        <f t="shared" ca="1" si="1232"/>
        <v>0</v>
      </c>
      <c r="OK109" s="1319">
        <f t="shared" ca="1" si="1232"/>
        <v>0</v>
      </c>
      <c r="OL109" s="1319">
        <f t="shared" ca="1" si="1232"/>
        <v>0</v>
      </c>
      <c r="OM109" s="1319">
        <f t="shared" ca="1" si="1232"/>
        <v>0</v>
      </c>
      <c r="ON109" s="1319">
        <f t="shared" ca="1" si="1232"/>
        <v>0</v>
      </c>
      <c r="OO109" s="1319">
        <f t="shared" ca="1" si="1232"/>
        <v>0</v>
      </c>
      <c r="PA109" s="1319">
        <f t="shared" ca="1" si="1233"/>
        <v>0</v>
      </c>
      <c r="PB109" s="1319">
        <f t="shared" ca="1" si="1233"/>
        <v>0</v>
      </c>
      <c r="PC109" s="1319">
        <f t="shared" ca="1" si="1233"/>
        <v>0</v>
      </c>
      <c r="PD109" s="1319">
        <f t="shared" ca="1" si="1233"/>
        <v>0</v>
      </c>
      <c r="PE109" s="1319">
        <f t="shared" ca="1" si="1233"/>
        <v>0</v>
      </c>
      <c r="PF109" s="1319">
        <f t="shared" ca="1" si="1233"/>
        <v>0</v>
      </c>
      <c r="PG109" s="1319">
        <f t="shared" ca="1" si="1233"/>
        <v>0</v>
      </c>
      <c r="PH109" s="1319">
        <f t="shared" ca="1" si="1233"/>
        <v>0</v>
      </c>
      <c r="PI109" s="1319">
        <f t="shared" ca="1" si="1233"/>
        <v>0</v>
      </c>
      <c r="PJ109" s="1319">
        <f t="shared" ca="1" si="1233"/>
        <v>0</v>
      </c>
      <c r="PK109" s="1319">
        <f t="shared" ca="1" si="1233"/>
        <v>0</v>
      </c>
      <c r="PW109" s="1319">
        <f t="shared" ca="1" si="1234"/>
        <v>0</v>
      </c>
      <c r="PX109" s="1319">
        <f t="shared" ca="1" si="1234"/>
        <v>0</v>
      </c>
      <c r="PY109" s="1319">
        <f t="shared" ca="1" si="1234"/>
        <v>0</v>
      </c>
      <c r="PZ109" s="1319">
        <f t="shared" ca="1" si="1234"/>
        <v>0</v>
      </c>
    </row>
    <row r="110" spans="1:442" x14ac:dyDescent="0.25">
      <c r="A110" s="189">
        <v>144</v>
      </c>
      <c r="B110" s="189" t="s">
        <v>1320</v>
      </c>
      <c r="C110" s="1317" t="s">
        <v>151</v>
      </c>
      <c r="D110" s="1317" t="s">
        <v>206</v>
      </c>
      <c r="J110" s="1319">
        <f t="shared" ca="1" si="1207"/>
        <v>0</v>
      </c>
      <c r="K110" s="1319">
        <f t="shared" ref="K110:K112" ca="1" si="1235">VLOOKUP(K$1,INDIRECT(LU_MAT),$A110,FALSE)</f>
        <v>0</v>
      </c>
      <c r="T110" s="1319">
        <f t="shared" ca="1" si="1208"/>
        <v>0</v>
      </c>
      <c r="U110" s="1319">
        <f t="shared" ca="1" si="1208"/>
        <v>0</v>
      </c>
      <c r="V110" s="1319">
        <f t="shared" ca="1" si="1208"/>
        <v>0</v>
      </c>
      <c r="W110" s="1319">
        <f t="shared" ca="1" si="1208"/>
        <v>0</v>
      </c>
      <c r="X110" s="1319">
        <f t="shared" ca="1" si="1208"/>
        <v>0</v>
      </c>
      <c r="Y110" s="1319">
        <f t="shared" ca="1" si="1208"/>
        <v>0</v>
      </c>
      <c r="Z110" s="1319">
        <f t="shared" ca="1" si="1208"/>
        <v>0</v>
      </c>
      <c r="AA110" s="1319">
        <f t="shared" ca="1" si="1208"/>
        <v>0</v>
      </c>
      <c r="AB110" s="1319">
        <f t="shared" ca="1" si="1208"/>
        <v>0</v>
      </c>
      <c r="AC110" s="1319">
        <f t="shared" ca="1" si="1208"/>
        <v>0</v>
      </c>
      <c r="AD110" s="1319">
        <f t="shared" ca="1" si="1208"/>
        <v>0</v>
      </c>
      <c r="AM110" s="1319">
        <f t="shared" ca="1" si="1209"/>
        <v>0</v>
      </c>
      <c r="AN110" s="1319">
        <f t="shared" ca="1" si="1209"/>
        <v>0</v>
      </c>
      <c r="AO110" s="1319">
        <f t="shared" ca="1" si="1212"/>
        <v>0</v>
      </c>
      <c r="AP110" s="1319">
        <f t="shared" ca="1" si="1212"/>
        <v>0</v>
      </c>
      <c r="AQ110" s="1319">
        <f t="shared" ca="1" si="1212"/>
        <v>0</v>
      </c>
      <c r="AR110" s="1319">
        <f t="shared" ca="1" si="1212"/>
        <v>0</v>
      </c>
      <c r="AS110" s="1319">
        <f t="shared" ca="1" si="1212"/>
        <v>0</v>
      </c>
      <c r="AT110" s="1319">
        <f t="shared" ca="1" si="1209"/>
        <v>0</v>
      </c>
      <c r="AU110" s="1319">
        <f t="shared" ca="1" si="1209"/>
        <v>0</v>
      </c>
      <c r="AV110" s="1319">
        <f t="shared" ca="1" si="1209"/>
        <v>0</v>
      </c>
      <c r="AW110" s="1319">
        <f t="shared" ca="1" si="1209"/>
        <v>0</v>
      </c>
      <c r="AX110" s="1319">
        <f t="shared" ca="1" si="1209"/>
        <v>0</v>
      </c>
      <c r="AY110" s="1319">
        <f t="shared" ca="1" si="1209"/>
        <v>0</v>
      </c>
      <c r="AZ110" s="1319">
        <f t="shared" ca="1" si="1209"/>
        <v>0</v>
      </c>
      <c r="BA110" s="1319">
        <f t="shared" ca="1" si="1209"/>
        <v>0</v>
      </c>
      <c r="BB110" s="1319">
        <f t="shared" ca="1" si="1209"/>
        <v>0</v>
      </c>
      <c r="BN110" s="1319">
        <f t="shared" ca="1" si="1217"/>
        <v>0</v>
      </c>
      <c r="BO110" s="1319">
        <f t="shared" ca="1" si="1217"/>
        <v>0</v>
      </c>
      <c r="BP110" s="1319">
        <f t="shared" ca="1" si="1217"/>
        <v>0</v>
      </c>
      <c r="BQ110" s="1319">
        <f t="shared" ca="1" si="1217"/>
        <v>0</v>
      </c>
      <c r="BR110" s="1319">
        <f t="shared" ca="1" si="1217"/>
        <v>0</v>
      </c>
      <c r="CD110" s="1319">
        <f t="shared" ca="1" si="1218"/>
        <v>0</v>
      </c>
      <c r="CE110" s="1319">
        <f t="shared" ca="1" si="1218"/>
        <v>0</v>
      </c>
      <c r="CF110" s="1319">
        <f t="shared" ca="1" si="1218"/>
        <v>0</v>
      </c>
      <c r="CG110" s="1319">
        <f t="shared" ca="1" si="1218"/>
        <v>0</v>
      </c>
      <c r="CH110" s="1319">
        <f t="shared" ca="1" si="1218"/>
        <v>0</v>
      </c>
      <c r="CI110" s="1319">
        <f t="shared" ca="1" si="1218"/>
        <v>0</v>
      </c>
      <c r="CJ110" s="1319">
        <f t="shared" ca="1" si="1218"/>
        <v>0</v>
      </c>
      <c r="CK110" s="1319">
        <f t="shared" ca="1" si="1218"/>
        <v>0</v>
      </c>
      <c r="CL110" s="1319">
        <f t="shared" ca="1" si="1218"/>
        <v>0</v>
      </c>
      <c r="CM110" s="1319">
        <f t="shared" ca="1" si="1218"/>
        <v>0</v>
      </c>
      <c r="CN110" s="1319">
        <f t="shared" ca="1" si="1218"/>
        <v>0</v>
      </c>
      <c r="CO110" s="1319">
        <f t="shared" ca="1" si="1218"/>
        <v>0</v>
      </c>
      <c r="DA110" s="1319">
        <f t="shared" ca="1" si="1219"/>
        <v>0</v>
      </c>
      <c r="DB110" s="1319">
        <f t="shared" ca="1" si="1219"/>
        <v>0</v>
      </c>
      <c r="DC110" s="1319">
        <f t="shared" ca="1" si="1219"/>
        <v>0</v>
      </c>
      <c r="DD110" s="1319">
        <f t="shared" ca="1" si="1219"/>
        <v>0</v>
      </c>
      <c r="DE110" s="1319">
        <f t="shared" ca="1" si="1219"/>
        <v>0</v>
      </c>
      <c r="DF110" s="1319">
        <f t="shared" ca="1" si="1219"/>
        <v>0</v>
      </c>
      <c r="DG110" s="1319">
        <f t="shared" ca="1" si="1219"/>
        <v>0</v>
      </c>
      <c r="DH110" s="1319">
        <f t="shared" ca="1" si="1219"/>
        <v>0</v>
      </c>
      <c r="DI110" s="1319">
        <f t="shared" ca="1" si="1219"/>
        <v>0</v>
      </c>
      <c r="DJ110" s="1319">
        <f t="shared" ca="1" si="1219"/>
        <v>0</v>
      </c>
      <c r="DV110" s="1319">
        <f t="shared" ca="1" si="1220"/>
        <v>0</v>
      </c>
      <c r="DW110" s="1319">
        <f t="shared" ca="1" si="1220"/>
        <v>0</v>
      </c>
      <c r="DX110" s="1319">
        <f t="shared" ca="1" si="1220"/>
        <v>0</v>
      </c>
      <c r="DY110" s="1319">
        <f t="shared" ca="1" si="1220"/>
        <v>0</v>
      </c>
      <c r="DZ110" s="1319">
        <f t="shared" ca="1" si="1220"/>
        <v>0</v>
      </c>
      <c r="EA110" s="1319">
        <f t="shared" ca="1" si="1220"/>
        <v>0</v>
      </c>
      <c r="EB110" s="1319">
        <f t="shared" ca="1" si="1220"/>
        <v>0</v>
      </c>
      <c r="EC110" s="1319">
        <f t="shared" ca="1" si="1220"/>
        <v>0</v>
      </c>
      <c r="ED110" s="1319">
        <f t="shared" ca="1" si="1220"/>
        <v>0</v>
      </c>
      <c r="EE110" s="1319">
        <f t="shared" ca="1" si="1220"/>
        <v>0</v>
      </c>
      <c r="EF110" s="1319">
        <f t="shared" ca="1" si="1220"/>
        <v>0</v>
      </c>
      <c r="EG110" s="1319">
        <f t="shared" ca="1" si="1220"/>
        <v>0</v>
      </c>
      <c r="EH110" s="1319">
        <f t="shared" ca="1" si="1220"/>
        <v>0</v>
      </c>
      <c r="EI110" s="1319">
        <f t="shared" ca="1" si="1220"/>
        <v>0</v>
      </c>
      <c r="EJ110" s="1319">
        <f t="shared" ca="1" si="1220"/>
        <v>0</v>
      </c>
      <c r="EK110" s="1319">
        <f t="shared" ca="1" si="1220"/>
        <v>0</v>
      </c>
      <c r="EW110" s="1319">
        <f t="shared" ca="1" si="1221"/>
        <v>0</v>
      </c>
      <c r="EX110" s="1319">
        <f t="shared" ca="1" si="1221"/>
        <v>0</v>
      </c>
      <c r="EY110" s="1319">
        <f t="shared" ca="1" si="1221"/>
        <v>0</v>
      </c>
      <c r="EZ110" s="1319">
        <f t="shared" ca="1" si="1221"/>
        <v>0</v>
      </c>
      <c r="FA110" s="1319">
        <f t="shared" ca="1" si="1221"/>
        <v>0</v>
      </c>
      <c r="FB110" s="1319">
        <f t="shared" ca="1" si="1221"/>
        <v>0</v>
      </c>
      <c r="FN110" s="1319">
        <f t="shared" ca="1" si="1222"/>
        <v>0</v>
      </c>
      <c r="FO110" s="1319">
        <f t="shared" ca="1" si="1222"/>
        <v>0</v>
      </c>
      <c r="FP110" s="1319">
        <f t="shared" ca="1" si="1222"/>
        <v>0</v>
      </c>
      <c r="FQ110" s="1319">
        <f t="shared" ca="1" si="1222"/>
        <v>0</v>
      </c>
      <c r="FR110" s="1319">
        <f t="shared" ca="1" si="1222"/>
        <v>0</v>
      </c>
      <c r="FS110" s="1319">
        <f t="shared" ca="1" si="1222"/>
        <v>0</v>
      </c>
      <c r="FT110" s="1319">
        <f t="shared" ca="1" si="1222"/>
        <v>0</v>
      </c>
      <c r="FU110" s="1319">
        <f t="shared" ca="1" si="1222"/>
        <v>0</v>
      </c>
      <c r="FV110" s="1319">
        <f t="shared" ca="1" si="1222"/>
        <v>0</v>
      </c>
      <c r="FW110" s="1319">
        <f t="shared" ca="1" si="1222"/>
        <v>0</v>
      </c>
      <c r="FX110" s="1319">
        <f t="shared" ca="1" si="1222"/>
        <v>0</v>
      </c>
      <c r="GJ110" s="1319">
        <f t="shared" ca="1" si="1223"/>
        <v>0</v>
      </c>
      <c r="GK110" s="1319">
        <f t="shared" ca="1" si="1223"/>
        <v>0</v>
      </c>
      <c r="GL110" s="1319">
        <f t="shared" ca="1" si="1223"/>
        <v>0</v>
      </c>
      <c r="GM110" s="1319">
        <f t="shared" ca="1" si="1223"/>
        <v>0</v>
      </c>
      <c r="GN110" s="1319">
        <f t="shared" ca="1" si="1223"/>
        <v>0</v>
      </c>
      <c r="GO110" s="1319">
        <f t="shared" ca="1" si="1223"/>
        <v>0</v>
      </c>
      <c r="GP110" s="1319">
        <f t="shared" ca="1" si="1223"/>
        <v>0</v>
      </c>
      <c r="GQ110" s="1319">
        <f t="shared" ca="1" si="1223"/>
        <v>0</v>
      </c>
      <c r="HC110" s="1319">
        <f t="shared" ca="1" si="1224"/>
        <v>0</v>
      </c>
      <c r="HD110" s="1319">
        <f t="shared" ca="1" si="1224"/>
        <v>0</v>
      </c>
      <c r="HE110" s="1319">
        <f t="shared" ca="1" si="1224"/>
        <v>0</v>
      </c>
      <c r="HF110" s="1319">
        <f t="shared" ca="1" si="1224"/>
        <v>0</v>
      </c>
      <c r="HG110" s="1319">
        <f t="shared" ca="1" si="1224"/>
        <v>0</v>
      </c>
      <c r="HH110" s="1319">
        <f t="shared" ca="1" si="1224"/>
        <v>0</v>
      </c>
      <c r="HT110" s="1319">
        <f t="shared" ca="1" si="1225"/>
        <v>0</v>
      </c>
      <c r="HU110" s="1319">
        <f t="shared" ca="1" si="1225"/>
        <v>0</v>
      </c>
      <c r="HV110" s="1319">
        <f t="shared" ca="1" si="1225"/>
        <v>0</v>
      </c>
      <c r="HW110" s="1319">
        <f t="shared" ca="1" si="1225"/>
        <v>0</v>
      </c>
      <c r="HX110" s="1319">
        <f t="shared" ca="1" si="1225"/>
        <v>0</v>
      </c>
      <c r="HY110" s="1319">
        <f t="shared" ca="1" si="1225"/>
        <v>0</v>
      </c>
      <c r="HZ110" s="1319">
        <f t="shared" ca="1" si="1225"/>
        <v>0</v>
      </c>
      <c r="IA110" s="1319">
        <f t="shared" ca="1" si="1225"/>
        <v>0</v>
      </c>
      <c r="IB110" s="1319">
        <f t="shared" ca="1" si="1225"/>
        <v>0</v>
      </c>
      <c r="IC110" s="1319">
        <f t="shared" ca="1" si="1225"/>
        <v>0</v>
      </c>
      <c r="ID110" s="1319">
        <f t="shared" ca="1" si="1225"/>
        <v>0</v>
      </c>
      <c r="IE110" s="1319">
        <f t="shared" ca="1" si="1225"/>
        <v>0</v>
      </c>
      <c r="IQ110" s="1319">
        <f t="shared" ca="1" si="1226"/>
        <v>0</v>
      </c>
      <c r="IR110" s="1319">
        <f t="shared" ca="1" si="1226"/>
        <v>0</v>
      </c>
      <c r="IS110" s="1319">
        <f t="shared" ca="1" si="1226"/>
        <v>0</v>
      </c>
      <c r="IT110" s="1319">
        <f t="shared" ca="1" si="1226"/>
        <v>0</v>
      </c>
      <c r="IU110" s="1319">
        <f t="shared" ca="1" si="1226"/>
        <v>0</v>
      </c>
      <c r="IV110" s="1319">
        <f t="shared" ca="1" si="1226"/>
        <v>0</v>
      </c>
      <c r="IW110" s="1319">
        <f t="shared" ca="1" si="1226"/>
        <v>0</v>
      </c>
      <c r="IX110" s="1319">
        <f t="shared" ca="1" si="1226"/>
        <v>0</v>
      </c>
      <c r="IY110" s="1319">
        <f t="shared" ca="1" si="1226"/>
        <v>0</v>
      </c>
      <c r="IZ110" s="1319">
        <f t="shared" ca="1" si="1226"/>
        <v>0</v>
      </c>
      <c r="JA110" s="1319">
        <f t="shared" ca="1" si="1226"/>
        <v>0</v>
      </c>
      <c r="JB110" s="1319">
        <f t="shared" ca="1" si="1226"/>
        <v>0</v>
      </c>
      <c r="JC110" s="1319">
        <f t="shared" ca="1" si="1226"/>
        <v>0</v>
      </c>
      <c r="JD110" s="1319">
        <f t="shared" ca="1" si="1226"/>
        <v>0</v>
      </c>
      <c r="JE110" s="1319">
        <f t="shared" ca="1" si="1226"/>
        <v>0</v>
      </c>
      <c r="JF110" s="1319">
        <f t="shared" ca="1" si="1226"/>
        <v>0</v>
      </c>
      <c r="JG110" s="1319">
        <f t="shared" ca="1" si="1226"/>
        <v>0</v>
      </c>
      <c r="JH110" s="1319">
        <f t="shared" ca="1" si="1226"/>
        <v>0</v>
      </c>
      <c r="JT110" s="1319">
        <f t="shared" ca="1" si="1227"/>
        <v>0</v>
      </c>
      <c r="JU110" s="1319">
        <f t="shared" ca="1" si="1227"/>
        <v>0</v>
      </c>
      <c r="JV110" s="1319">
        <f t="shared" ca="1" si="1227"/>
        <v>0</v>
      </c>
      <c r="JW110" s="1319">
        <f t="shared" ca="1" si="1227"/>
        <v>0</v>
      </c>
      <c r="JX110" s="1319">
        <f t="shared" ca="1" si="1227"/>
        <v>0</v>
      </c>
      <c r="JY110" s="1319">
        <f t="shared" ca="1" si="1227"/>
        <v>0</v>
      </c>
      <c r="JZ110" s="1319">
        <f t="shared" ca="1" si="1227"/>
        <v>0</v>
      </c>
      <c r="KA110" s="1319">
        <f t="shared" ca="1" si="1227"/>
        <v>0</v>
      </c>
      <c r="KB110" s="1319">
        <f t="shared" ca="1" si="1227"/>
        <v>0</v>
      </c>
      <c r="KC110" s="1319">
        <f t="shared" ca="1" si="1227"/>
        <v>0</v>
      </c>
      <c r="KL110" s="1319">
        <f t="shared" ca="1" si="1228"/>
        <v>0</v>
      </c>
      <c r="KM110" s="1319">
        <f t="shared" ca="1" si="1228"/>
        <v>0</v>
      </c>
      <c r="KN110" s="1319">
        <f t="shared" ca="1" si="1228"/>
        <v>0</v>
      </c>
      <c r="KO110" s="1319">
        <f t="shared" ca="1" si="1228"/>
        <v>0</v>
      </c>
      <c r="KP110" s="1319">
        <f t="shared" ca="1" si="1228"/>
        <v>0</v>
      </c>
      <c r="KQ110" s="1319">
        <f t="shared" ca="1" si="1228"/>
        <v>0</v>
      </c>
      <c r="KR110" s="1319">
        <f t="shared" ca="1" si="1228"/>
        <v>0</v>
      </c>
      <c r="LA110" s="1319">
        <f t="shared" ca="1" si="1229"/>
        <v>0</v>
      </c>
      <c r="LB110" s="1319">
        <f t="shared" ca="1" si="1229"/>
        <v>0</v>
      </c>
      <c r="LC110" s="1319">
        <f t="shared" ca="1" si="1229"/>
        <v>0</v>
      </c>
      <c r="LD110" s="1319">
        <f t="shared" ca="1" si="1229"/>
        <v>0</v>
      </c>
      <c r="LE110" s="1319">
        <f t="shared" ca="1" si="1229"/>
        <v>0</v>
      </c>
      <c r="LF110" s="1319">
        <f t="shared" ca="1" si="1229"/>
        <v>122.52014800000001</v>
      </c>
      <c r="LG110" s="1319">
        <f t="shared" ca="1" si="1229"/>
        <v>122.52014800000001</v>
      </c>
      <c r="LH110" s="1319">
        <f t="shared" ca="1" si="1229"/>
        <v>122.52014800000001</v>
      </c>
      <c r="LI110" s="1319">
        <f t="shared" ca="1" si="1229"/>
        <v>0</v>
      </c>
      <c r="LJ110" s="1319">
        <f t="shared" ca="1" si="1229"/>
        <v>0</v>
      </c>
      <c r="LK110" s="1319">
        <f t="shared" ca="1" si="1229"/>
        <v>0</v>
      </c>
      <c r="LW110" s="1319">
        <f t="shared" ca="1" si="1230"/>
        <v>0</v>
      </c>
      <c r="LX110" s="1319">
        <f t="shared" ca="1" si="1230"/>
        <v>0</v>
      </c>
      <c r="LY110" s="1319">
        <f t="shared" ca="1" si="1230"/>
        <v>0</v>
      </c>
      <c r="LZ110" s="1319">
        <f t="shared" ca="1" si="1230"/>
        <v>0</v>
      </c>
      <c r="MA110" s="1319">
        <f t="shared" ca="1" si="1230"/>
        <v>0</v>
      </c>
      <c r="MB110" s="1319">
        <f t="shared" ca="1" si="1230"/>
        <v>0</v>
      </c>
      <c r="MC110" s="1319">
        <f t="shared" ca="1" si="1230"/>
        <v>122.52014800000001</v>
      </c>
      <c r="MD110" s="1319">
        <f t="shared" ca="1" si="1230"/>
        <v>0</v>
      </c>
      <c r="ME110" s="1319">
        <f t="shared" ca="1" si="1230"/>
        <v>0</v>
      </c>
      <c r="MF110" s="1319">
        <f t="shared" ca="1" si="1230"/>
        <v>0</v>
      </c>
      <c r="MG110" s="1319">
        <f t="shared" ca="1" si="1230"/>
        <v>0</v>
      </c>
      <c r="MH110" s="1319">
        <f t="shared" ca="1" si="1230"/>
        <v>0</v>
      </c>
      <c r="MI110" s="1319">
        <f t="shared" ca="1" si="1230"/>
        <v>0</v>
      </c>
      <c r="MJ110" s="1319">
        <f t="shared" ca="1" si="1230"/>
        <v>0</v>
      </c>
      <c r="MK110" s="1319">
        <f t="shared" ca="1" si="1230"/>
        <v>0</v>
      </c>
      <c r="ML110" s="1319">
        <f t="shared" ca="1" si="1230"/>
        <v>0</v>
      </c>
      <c r="MM110" s="1319">
        <f t="shared" ca="1" si="1230"/>
        <v>0</v>
      </c>
      <c r="MN110" s="1319">
        <f t="shared" ca="1" si="1230"/>
        <v>0</v>
      </c>
      <c r="MO110" s="1319">
        <f t="shared" ca="1" si="1230"/>
        <v>0</v>
      </c>
      <c r="NA110" s="1319">
        <f t="shared" ca="1" si="1231"/>
        <v>0</v>
      </c>
      <c r="NB110" s="1319">
        <f t="shared" ca="1" si="1231"/>
        <v>0</v>
      </c>
      <c r="NC110" s="1319">
        <f t="shared" ca="1" si="1231"/>
        <v>0</v>
      </c>
      <c r="ND110" s="1319">
        <f t="shared" ca="1" si="1231"/>
        <v>0</v>
      </c>
      <c r="NE110" s="1319">
        <f t="shared" ca="1" si="1231"/>
        <v>0</v>
      </c>
      <c r="NF110" s="1319">
        <f t="shared" ca="1" si="1231"/>
        <v>0</v>
      </c>
      <c r="NG110" s="1319">
        <f t="shared" ca="1" si="1231"/>
        <v>0</v>
      </c>
      <c r="NH110" s="1319">
        <f t="shared" ca="1" si="1231"/>
        <v>0</v>
      </c>
      <c r="NI110" s="1319">
        <f t="shared" ca="1" si="1231"/>
        <v>0</v>
      </c>
      <c r="NJ110" s="1319">
        <f t="shared" ca="1" si="1231"/>
        <v>0</v>
      </c>
      <c r="NK110" s="1319">
        <f t="shared" ca="1" si="1231"/>
        <v>0</v>
      </c>
      <c r="NL110" s="1319">
        <f t="shared" ca="1" si="1231"/>
        <v>0</v>
      </c>
      <c r="NM110" s="1319">
        <f t="shared" ca="1" si="1231"/>
        <v>0</v>
      </c>
      <c r="NN110" s="1319">
        <f t="shared" ca="1" si="1231"/>
        <v>0</v>
      </c>
      <c r="NO110" s="1319">
        <f t="shared" ca="1" si="1231"/>
        <v>0</v>
      </c>
      <c r="NP110" s="1319">
        <f t="shared" ca="1" si="1231"/>
        <v>0</v>
      </c>
      <c r="OH110" s="1319">
        <f t="shared" ca="1" si="1232"/>
        <v>0</v>
      </c>
      <c r="OI110" s="1319">
        <f t="shared" ca="1" si="1232"/>
        <v>0</v>
      </c>
      <c r="OJ110" s="1319">
        <f t="shared" ca="1" si="1232"/>
        <v>0</v>
      </c>
      <c r="OK110" s="1319">
        <f t="shared" ca="1" si="1232"/>
        <v>0</v>
      </c>
      <c r="OL110" s="1319">
        <f t="shared" ca="1" si="1232"/>
        <v>0</v>
      </c>
      <c r="OM110" s="1319">
        <f t="shared" ca="1" si="1232"/>
        <v>0</v>
      </c>
      <c r="ON110" s="1319">
        <f t="shared" ca="1" si="1232"/>
        <v>0</v>
      </c>
      <c r="OO110" s="1319">
        <f t="shared" ca="1" si="1232"/>
        <v>0</v>
      </c>
      <c r="PA110" s="1319">
        <f t="shared" ca="1" si="1233"/>
        <v>0</v>
      </c>
      <c r="PB110" s="1319">
        <f t="shared" ca="1" si="1233"/>
        <v>0</v>
      </c>
      <c r="PC110" s="1319">
        <f t="shared" ca="1" si="1233"/>
        <v>0</v>
      </c>
      <c r="PD110" s="1319">
        <f t="shared" ca="1" si="1233"/>
        <v>0</v>
      </c>
      <c r="PE110" s="1319">
        <f t="shared" ca="1" si="1233"/>
        <v>0</v>
      </c>
      <c r="PF110" s="1319">
        <f t="shared" ca="1" si="1233"/>
        <v>0</v>
      </c>
      <c r="PG110" s="1319">
        <f t="shared" ca="1" si="1233"/>
        <v>0</v>
      </c>
      <c r="PH110" s="1319">
        <f t="shared" ca="1" si="1233"/>
        <v>0</v>
      </c>
      <c r="PI110" s="1319">
        <f t="shared" ca="1" si="1233"/>
        <v>0</v>
      </c>
      <c r="PJ110" s="1319">
        <f t="shared" ca="1" si="1233"/>
        <v>0</v>
      </c>
      <c r="PK110" s="1319">
        <f t="shared" ca="1" si="1233"/>
        <v>0</v>
      </c>
      <c r="PW110" s="1319">
        <f t="shared" ca="1" si="1234"/>
        <v>0</v>
      </c>
      <c r="PX110" s="1319">
        <f t="shared" ca="1" si="1234"/>
        <v>0</v>
      </c>
      <c r="PY110" s="1319">
        <f t="shared" ca="1" si="1234"/>
        <v>0</v>
      </c>
      <c r="PZ110" s="1319">
        <f t="shared" ca="1" si="1234"/>
        <v>0</v>
      </c>
    </row>
    <row r="111" spans="1:442" x14ac:dyDescent="0.25">
      <c r="A111" s="189">
        <v>162</v>
      </c>
      <c r="B111" s="189" t="s">
        <v>1253</v>
      </c>
      <c r="C111" s="1317" t="s">
        <v>3203</v>
      </c>
      <c r="D111" s="1317" t="s">
        <v>3204</v>
      </c>
      <c r="J111" s="1319">
        <f t="shared" ca="1" si="1207"/>
        <v>0.97188512999999999</v>
      </c>
      <c r="K111" s="1319">
        <f t="shared" ca="1" si="1235"/>
        <v>0.97188512999999999</v>
      </c>
      <c r="T111" s="1319">
        <f t="shared" ca="1" si="1208"/>
        <v>0.97188512999999999</v>
      </c>
      <c r="U111" s="1319">
        <f t="shared" ca="1" si="1208"/>
        <v>0</v>
      </c>
      <c r="V111" s="1319">
        <f t="shared" ca="1" si="1208"/>
        <v>8.4165240100000007E-3</v>
      </c>
      <c r="W111" s="1319">
        <f t="shared" ca="1" si="1208"/>
        <v>0</v>
      </c>
      <c r="X111" s="1319">
        <f t="shared" ca="1" si="1208"/>
        <v>0</v>
      </c>
      <c r="Y111" s="1319">
        <f t="shared" ca="1" si="1208"/>
        <v>0.32548917500000002</v>
      </c>
      <c r="Z111" s="1319">
        <f t="shared" ca="1" si="1208"/>
        <v>2.0025372100000001E-2</v>
      </c>
      <c r="AA111" s="1319">
        <f t="shared" ca="1" si="1208"/>
        <v>0.346181723</v>
      </c>
      <c r="AB111" s="1319">
        <f t="shared" ca="1" si="1208"/>
        <v>0</v>
      </c>
      <c r="AC111" s="1319">
        <f t="shared" ca="1" si="1208"/>
        <v>8.86888087E-3</v>
      </c>
      <c r="AD111" s="1319">
        <f t="shared" ca="1" si="1208"/>
        <v>0</v>
      </c>
      <c r="AM111" s="1319">
        <f t="shared" ca="1" si="1209"/>
        <v>0</v>
      </c>
      <c r="AN111" s="1319">
        <f t="shared" ca="1" si="1209"/>
        <v>0</v>
      </c>
      <c r="AO111" s="1319">
        <f t="shared" ca="1" si="1212"/>
        <v>0.346181723</v>
      </c>
      <c r="AP111" s="1319">
        <f t="shared" ca="1" si="1212"/>
        <v>0.346181723</v>
      </c>
      <c r="AQ111" s="1319">
        <f t="shared" ca="1" si="1212"/>
        <v>1.7255671399999999E-2</v>
      </c>
      <c r="AR111" s="1319">
        <f t="shared" ca="1" si="1212"/>
        <v>2.3394506799999999E-2</v>
      </c>
      <c r="AS111" s="1319">
        <f t="shared" ca="1" si="1212"/>
        <v>6.38799513E-3</v>
      </c>
      <c r="AT111" s="1319">
        <f t="shared" ca="1" si="1209"/>
        <v>3.6292574500000001E-2</v>
      </c>
      <c r="AU111" s="1319">
        <f t="shared" ca="1" si="1209"/>
        <v>7.2274777699999999E-3</v>
      </c>
      <c r="AV111" s="1319">
        <f t="shared" ca="1" si="1209"/>
        <v>0.36257905200000001</v>
      </c>
      <c r="AW111" s="1319">
        <f t="shared" ca="1" si="1209"/>
        <v>3.6292574500000001E-2</v>
      </c>
      <c r="AX111" s="1319">
        <f t="shared" ca="1" si="1209"/>
        <v>1.8883988099999999E-2</v>
      </c>
      <c r="AY111" s="1319">
        <f t="shared" ca="1" si="1209"/>
        <v>0</v>
      </c>
      <c r="AZ111" s="1319">
        <f t="shared" ca="1" si="1209"/>
        <v>0</v>
      </c>
      <c r="BA111" s="1319">
        <f t="shared" ca="1" si="1209"/>
        <v>0</v>
      </c>
      <c r="BB111" s="1319">
        <f t="shared" ca="1" si="1209"/>
        <v>0.234787518</v>
      </c>
      <c r="BN111" s="1319">
        <f t="shared" ca="1" si="1217"/>
        <v>0.229901824</v>
      </c>
      <c r="BO111" s="1319">
        <f t="shared" ca="1" si="1217"/>
        <v>0.241090585</v>
      </c>
      <c r="BP111" s="1319">
        <f t="shared" ca="1" si="1217"/>
        <v>3.4037353700000002E-2</v>
      </c>
      <c r="BQ111" s="1319">
        <f t="shared" ca="1" si="1217"/>
        <v>0.62472096899999996</v>
      </c>
      <c r="BR111" s="1319">
        <f t="shared" ca="1" si="1217"/>
        <v>0</v>
      </c>
      <c r="CD111" s="1319">
        <f t="shared" ca="1" si="1218"/>
        <v>0.234787518</v>
      </c>
      <c r="CE111" s="1319">
        <f t="shared" ca="1" si="1218"/>
        <v>0.234787518</v>
      </c>
      <c r="CF111" s="1319">
        <f t="shared" ca="1" si="1218"/>
        <v>0.229901824</v>
      </c>
      <c r="CG111" s="1319">
        <f t="shared" ca="1" si="1218"/>
        <v>0.241090585</v>
      </c>
      <c r="CH111" s="1319">
        <f t="shared" ca="1" si="1218"/>
        <v>0.22990165800000001</v>
      </c>
      <c r="CI111" s="1319">
        <f t="shared" ca="1" si="1218"/>
        <v>0.62472096899999996</v>
      </c>
      <c r="CJ111" s="1319">
        <f t="shared" ca="1" si="1218"/>
        <v>0</v>
      </c>
      <c r="CK111" s="1319">
        <f t="shared" ca="1" si="1218"/>
        <v>0.24095371900000001</v>
      </c>
      <c r="CL111" s="1319">
        <f t="shared" ca="1" si="1218"/>
        <v>3.6106843299999997E-2</v>
      </c>
      <c r="CM111" s="1319">
        <f t="shared" ca="1" si="1218"/>
        <v>7.8107423999999995E-2</v>
      </c>
      <c r="CN111" s="1319">
        <f t="shared" ca="1" si="1218"/>
        <v>0.22839479600000001</v>
      </c>
      <c r="CO111" s="1319">
        <f t="shared" ca="1" si="1218"/>
        <v>3.2632053600000002E-2</v>
      </c>
      <c r="DA111" s="1319">
        <f t="shared" ca="1" si="1219"/>
        <v>0.17068159499999999</v>
      </c>
      <c r="DB111" s="1319">
        <f t="shared" ca="1" si="1219"/>
        <v>0.62472096899999996</v>
      </c>
      <c r="DC111" s="1319">
        <f t="shared" ca="1" si="1219"/>
        <v>0.24974713100000001</v>
      </c>
      <c r="DD111" s="1319">
        <f t="shared" ca="1" si="1219"/>
        <v>0</v>
      </c>
      <c r="DE111" s="1319">
        <f t="shared" ca="1" si="1219"/>
        <v>9.42464898E-2</v>
      </c>
      <c r="DF111" s="1319">
        <f t="shared" ca="1" si="1219"/>
        <v>8.1136786599999995E-8</v>
      </c>
      <c r="DG111" s="1319">
        <f t="shared" ca="1" si="1219"/>
        <v>0</v>
      </c>
      <c r="DH111" s="1319">
        <f t="shared" ca="1" si="1219"/>
        <v>0</v>
      </c>
      <c r="DI111" s="1319">
        <f t="shared" ca="1" si="1219"/>
        <v>0</v>
      </c>
      <c r="DJ111" s="1319">
        <f t="shared" ca="1" si="1219"/>
        <v>0</v>
      </c>
      <c r="DV111" s="1319">
        <f t="shared" ca="1" si="1220"/>
        <v>0</v>
      </c>
      <c r="DW111" s="1319">
        <f t="shared" ca="1" si="1220"/>
        <v>0.90587312200000003</v>
      </c>
      <c r="DX111" s="1319">
        <f t="shared" ca="1" si="1220"/>
        <v>0.17068159499999999</v>
      </c>
      <c r="DY111" s="1319">
        <f t="shared" ca="1" si="1220"/>
        <v>0.17068159499999999</v>
      </c>
      <c r="DZ111" s="1319">
        <f t="shared" ca="1" si="1220"/>
        <v>0.24974713100000001</v>
      </c>
      <c r="EA111" s="1319">
        <f t="shared" ca="1" si="1220"/>
        <v>9.42464898E-2</v>
      </c>
      <c r="EB111" s="1319">
        <f t="shared" ca="1" si="1220"/>
        <v>0.17068159499999999</v>
      </c>
      <c r="EC111" s="1319">
        <f t="shared" ca="1" si="1220"/>
        <v>0.75733300400000003</v>
      </c>
      <c r="ED111" s="1319">
        <f t="shared" ca="1" si="1220"/>
        <v>7.8107423999999995E-2</v>
      </c>
      <c r="EE111" s="1319">
        <f t="shared" ca="1" si="1220"/>
        <v>1.2608376100000001E-7</v>
      </c>
      <c r="EF111" s="1319">
        <f t="shared" ca="1" si="1220"/>
        <v>1.06573308</v>
      </c>
      <c r="EG111" s="1319">
        <f t="shared" ca="1" si="1220"/>
        <v>0</v>
      </c>
      <c r="EH111" s="1319">
        <f t="shared" ca="1" si="1220"/>
        <v>0.24974713100000001</v>
      </c>
      <c r="EI111" s="1319">
        <f t="shared" ca="1" si="1220"/>
        <v>0.62472096899999996</v>
      </c>
      <c r="EJ111" s="1319">
        <f t="shared" ca="1" si="1220"/>
        <v>2.88883549</v>
      </c>
      <c r="EK111" s="1319">
        <f t="shared" ca="1" si="1220"/>
        <v>0</v>
      </c>
      <c r="EW111" s="1319">
        <f t="shared" ca="1" si="1221"/>
        <v>0.22839479600000001</v>
      </c>
      <c r="EX111" s="1319">
        <f t="shared" ca="1" si="1221"/>
        <v>0.22839479600000001</v>
      </c>
      <c r="EY111" s="1319">
        <f t="shared" ca="1" si="1221"/>
        <v>0.146490551</v>
      </c>
      <c r="EZ111" s="1319">
        <f t="shared" ca="1" si="1221"/>
        <v>0.146490551</v>
      </c>
      <c r="FA111" s="1319">
        <f t="shared" ca="1" si="1221"/>
        <v>0.22405402699999999</v>
      </c>
      <c r="FB111" s="1319">
        <f t="shared" ca="1" si="1221"/>
        <v>0.77552319300000006</v>
      </c>
      <c r="FN111" s="1319">
        <f t="shared" ca="1" si="1222"/>
        <v>3.4037353700000002E-2</v>
      </c>
      <c r="FO111" s="1319">
        <f t="shared" ca="1" si="1222"/>
        <v>3.6106843299999997E-2</v>
      </c>
      <c r="FP111" s="1319">
        <f t="shared" ca="1" si="1222"/>
        <v>0.22405402699999999</v>
      </c>
      <c r="FQ111" s="1319">
        <f t="shared" ca="1" si="1222"/>
        <v>0.77552319300000006</v>
      </c>
      <c r="FR111" s="1319">
        <f t="shared" ca="1" si="1222"/>
        <v>1.9275420599999999</v>
      </c>
      <c r="FS111" s="1319">
        <f t="shared" ca="1" si="1222"/>
        <v>8.86888087E-3</v>
      </c>
      <c r="FT111" s="1319">
        <f t="shared" ca="1" si="1222"/>
        <v>1.5035303799999999</v>
      </c>
      <c r="FU111" s="1319">
        <f t="shared" ca="1" si="1222"/>
        <v>4.1193880000000002E-2</v>
      </c>
      <c r="FV111" s="1319">
        <f t="shared" ca="1" si="1222"/>
        <v>0</v>
      </c>
      <c r="FW111" s="1319">
        <f t="shared" ca="1" si="1222"/>
        <v>4.2076417199999998E-4</v>
      </c>
      <c r="FX111" s="1319">
        <f t="shared" ca="1" si="1222"/>
        <v>3.2632053600000002E-2</v>
      </c>
      <c r="GJ111" s="1319">
        <f t="shared" ca="1" si="1223"/>
        <v>1.9275420599999999</v>
      </c>
      <c r="GK111" s="1319">
        <f t="shared" ca="1" si="1223"/>
        <v>1.9275420599999999</v>
      </c>
      <c r="GL111" s="1319">
        <f t="shared" ca="1" si="1223"/>
        <v>1.5035315199999999</v>
      </c>
      <c r="GM111" s="1319">
        <f t="shared" ca="1" si="1223"/>
        <v>2.07068422</v>
      </c>
      <c r="GN111" s="1319">
        <f t="shared" ca="1" si="1223"/>
        <v>2.07068422</v>
      </c>
      <c r="GO111" s="1319">
        <f t="shared" ca="1" si="1223"/>
        <v>1.5035315199999999</v>
      </c>
      <c r="GP111" s="1319">
        <f t="shared" ca="1" si="1223"/>
        <v>2.07068422</v>
      </c>
      <c r="GQ111" s="1319">
        <f t="shared" ca="1" si="1223"/>
        <v>1.5035303799999999</v>
      </c>
      <c r="HC111" s="1319">
        <f t="shared" ca="1" si="1224"/>
        <v>0.146490551</v>
      </c>
      <c r="HD111" s="1319">
        <f t="shared" ca="1" si="1224"/>
        <v>7.2898075300000004E-2</v>
      </c>
      <c r="HE111" s="1319">
        <f t="shared" ca="1" si="1224"/>
        <v>0</v>
      </c>
      <c r="HF111" s="1319">
        <f t="shared" ca="1" si="1224"/>
        <v>2.9303655799999998E-4</v>
      </c>
      <c r="HG111" s="1319">
        <f t="shared" ca="1" si="1224"/>
        <v>0.86180874399999996</v>
      </c>
      <c r="HH111" s="1319">
        <f t="shared" ca="1" si="1224"/>
        <v>7.2898075300000004E-2</v>
      </c>
      <c r="HT111" s="1319">
        <f t="shared" ca="1" si="1225"/>
        <v>1.8883988099999999E-2</v>
      </c>
      <c r="HU111" s="1319">
        <f t="shared" ca="1" si="1225"/>
        <v>7.2898075300000004E-2</v>
      </c>
      <c r="HV111" s="1319">
        <f t="shared" ca="1" si="1225"/>
        <v>6.4491133699999995E-2</v>
      </c>
      <c r="HW111" s="1319">
        <f t="shared" ca="1" si="1225"/>
        <v>6.4491133699999995E-2</v>
      </c>
      <c r="HX111" s="1319">
        <f t="shared" ca="1" si="1225"/>
        <v>1.15802458E-2</v>
      </c>
      <c r="HY111" s="1319">
        <f t="shared" ca="1" si="1225"/>
        <v>6.6188083600000003E-2</v>
      </c>
      <c r="HZ111" s="1319">
        <f t="shared" ca="1" si="1225"/>
        <v>1.00611936</v>
      </c>
      <c r="IA111" s="1319">
        <f t="shared" ca="1" si="1225"/>
        <v>4.9401912499999999E-2</v>
      </c>
      <c r="IB111" s="1319">
        <f t="shared" ca="1" si="1225"/>
        <v>0</v>
      </c>
      <c r="IC111" s="1319">
        <f t="shared" ca="1" si="1225"/>
        <v>0</v>
      </c>
      <c r="ID111" s="1319">
        <f t="shared" ca="1" si="1225"/>
        <v>0</v>
      </c>
      <c r="IE111" s="1319">
        <f t="shared" ca="1" si="1225"/>
        <v>0</v>
      </c>
      <c r="IQ111" s="1319">
        <f t="shared" ca="1" si="1226"/>
        <v>1.15802458E-2</v>
      </c>
      <c r="IR111" s="1319">
        <f t="shared" ca="1" si="1226"/>
        <v>6.6188083600000003E-2</v>
      </c>
      <c r="IS111" s="1319">
        <f t="shared" ca="1" si="1226"/>
        <v>1.48693961E-2</v>
      </c>
      <c r="IT111" s="1319">
        <f t="shared" ca="1" si="1226"/>
        <v>2.71799361E-2</v>
      </c>
      <c r="IU111" s="1319">
        <f t="shared" ca="1" si="1226"/>
        <v>4.0828435900000003E-3</v>
      </c>
      <c r="IV111" s="1319">
        <f t="shared" ca="1" si="1226"/>
        <v>1.2775893300000001E-2</v>
      </c>
      <c r="IW111" s="1319">
        <f t="shared" ca="1" si="1226"/>
        <v>1.48693961E-2</v>
      </c>
      <c r="IX111" s="1319">
        <f t="shared" ca="1" si="1226"/>
        <v>2.4548993000000001E-3</v>
      </c>
      <c r="IY111" s="1319">
        <f t="shared" ca="1" si="1226"/>
        <v>0.28595098499999999</v>
      </c>
      <c r="IZ111" s="1319">
        <f t="shared" ca="1" si="1226"/>
        <v>5.1861772200000001E-4</v>
      </c>
      <c r="JA111" s="1319">
        <f t="shared" ca="1" si="1226"/>
        <v>1.4869396E-2</v>
      </c>
      <c r="JB111" s="1319">
        <f t="shared" ca="1" si="1226"/>
        <v>0</v>
      </c>
      <c r="JC111" s="1319">
        <f t="shared" ca="1" si="1226"/>
        <v>2.0102124700000001E-2</v>
      </c>
      <c r="JD111" s="1319">
        <f t="shared" ca="1" si="1226"/>
        <v>0</v>
      </c>
      <c r="JE111" s="1319">
        <f t="shared" ca="1" si="1226"/>
        <v>2.46616028E-3</v>
      </c>
      <c r="JF111" s="1319">
        <f t="shared" ca="1" si="1226"/>
        <v>0</v>
      </c>
      <c r="JG111" s="1319">
        <f t="shared" ca="1" si="1226"/>
        <v>0</v>
      </c>
      <c r="JH111" s="1319">
        <f t="shared" ca="1" si="1226"/>
        <v>4.9401912499999999E-2</v>
      </c>
      <c r="JT111" s="1319">
        <f t="shared" ca="1" si="1227"/>
        <v>0.62472096899999996</v>
      </c>
      <c r="JU111" s="1319">
        <f t="shared" ca="1" si="1227"/>
        <v>0.62472096899999996</v>
      </c>
      <c r="JV111" s="1319">
        <f t="shared" ca="1" si="1227"/>
        <v>0.62472096899999996</v>
      </c>
      <c r="JW111" s="1319">
        <f t="shared" ca="1" si="1227"/>
        <v>0.62472096899999996</v>
      </c>
      <c r="JX111" s="1319">
        <f t="shared" ca="1" si="1227"/>
        <v>2.07068422</v>
      </c>
      <c r="JY111" s="1319">
        <f t="shared" ca="1" si="1227"/>
        <v>3.5128324200000001</v>
      </c>
      <c r="JZ111" s="1319">
        <f t="shared" ca="1" si="1227"/>
        <v>2.10078655</v>
      </c>
      <c r="KA111" s="1319">
        <f t="shared" ca="1" si="1227"/>
        <v>0</v>
      </c>
      <c r="KB111" s="1319">
        <f t="shared" ca="1" si="1227"/>
        <v>0</v>
      </c>
      <c r="KC111" s="1319">
        <f t="shared" ca="1" si="1227"/>
        <v>0.62472096899999996</v>
      </c>
      <c r="KL111" s="1319">
        <f t="shared" ca="1" si="1228"/>
        <v>0</v>
      </c>
      <c r="KM111" s="1319">
        <f t="shared" ca="1" si="1228"/>
        <v>0</v>
      </c>
      <c r="KN111" s="1319">
        <f t="shared" ca="1" si="1228"/>
        <v>0</v>
      </c>
      <c r="KO111" s="1319">
        <f t="shared" ca="1" si="1228"/>
        <v>0</v>
      </c>
      <c r="KP111" s="1319">
        <f t="shared" ca="1" si="1228"/>
        <v>0</v>
      </c>
      <c r="KQ111" s="1319">
        <f t="shared" ca="1" si="1228"/>
        <v>0</v>
      </c>
      <c r="KR111" s="1319">
        <f t="shared" ca="1" si="1228"/>
        <v>0</v>
      </c>
      <c r="LA111" s="1319">
        <f t="shared" ca="1" si="1229"/>
        <v>2.9303655799999998E-4</v>
      </c>
      <c r="LB111" s="1319">
        <f t="shared" ca="1" si="1229"/>
        <v>1.00611936</v>
      </c>
      <c r="LC111" s="1319">
        <f t="shared" ca="1" si="1229"/>
        <v>6.9088324800000003E-2</v>
      </c>
      <c r="LD111" s="1319">
        <f t="shared" ca="1" si="1229"/>
        <v>6.9088324800000003E-2</v>
      </c>
      <c r="LE111" s="1319">
        <f t="shared" ca="1" si="1229"/>
        <v>0</v>
      </c>
      <c r="LF111" s="1319">
        <f t="shared" ca="1" si="1229"/>
        <v>1.4526057399999999E-3</v>
      </c>
      <c r="LG111" s="1319">
        <f t="shared" ca="1" si="1229"/>
        <v>1.4526057399999999E-3</v>
      </c>
      <c r="LH111" s="1319">
        <f t="shared" ca="1" si="1229"/>
        <v>5.7026105200000003E-2</v>
      </c>
      <c r="LI111" s="1319">
        <f t="shared" ca="1" si="1229"/>
        <v>1.3435107300000001E-4</v>
      </c>
      <c r="LJ111" s="1319">
        <f t="shared" ca="1" si="1229"/>
        <v>0</v>
      </c>
      <c r="LK111" s="1319">
        <f t="shared" ca="1" si="1229"/>
        <v>0</v>
      </c>
      <c r="LW111" s="1319">
        <f t="shared" ca="1" si="1230"/>
        <v>0</v>
      </c>
      <c r="LX111" s="1319">
        <f t="shared" ca="1" si="1230"/>
        <v>0</v>
      </c>
      <c r="LY111" s="1319">
        <f t="shared" ca="1" si="1230"/>
        <v>0.86180874399999996</v>
      </c>
      <c r="LZ111" s="1319">
        <f t="shared" ca="1" si="1230"/>
        <v>0.28595098499999999</v>
      </c>
      <c r="MA111" s="1319">
        <f t="shared" ca="1" si="1230"/>
        <v>0.74041126499999999</v>
      </c>
      <c r="MB111" s="1319">
        <f t="shared" ca="1" si="1230"/>
        <v>6.9088324800000003E-2</v>
      </c>
      <c r="MC111" s="1319">
        <f t="shared" ca="1" si="1230"/>
        <v>1.4526057399999999E-3</v>
      </c>
      <c r="MD111" s="1319">
        <f t="shared" ca="1" si="1230"/>
        <v>0</v>
      </c>
      <c r="ME111" s="1319">
        <f t="shared" ca="1" si="1230"/>
        <v>0</v>
      </c>
      <c r="MF111" s="1319">
        <f t="shared" ca="1" si="1230"/>
        <v>0</v>
      </c>
      <c r="MG111" s="1319">
        <f t="shared" ca="1" si="1230"/>
        <v>0</v>
      </c>
      <c r="MH111" s="1319">
        <f t="shared" ca="1" si="1230"/>
        <v>0</v>
      </c>
      <c r="MI111" s="1319">
        <f t="shared" ca="1" si="1230"/>
        <v>0</v>
      </c>
      <c r="MJ111" s="1319">
        <f t="shared" ca="1" si="1230"/>
        <v>0</v>
      </c>
      <c r="MK111" s="1319">
        <f t="shared" ca="1" si="1230"/>
        <v>0</v>
      </c>
      <c r="ML111" s="1319">
        <f t="shared" ca="1" si="1230"/>
        <v>0</v>
      </c>
      <c r="MM111" s="1319">
        <f t="shared" ca="1" si="1230"/>
        <v>0</v>
      </c>
      <c r="MN111" s="1319">
        <f t="shared" ca="1" si="1230"/>
        <v>0</v>
      </c>
      <c r="MO111" s="1319">
        <f t="shared" ca="1" si="1230"/>
        <v>3.9893384900000002</v>
      </c>
      <c r="NA111" s="1319">
        <f t="shared" ca="1" si="1231"/>
        <v>2.0025372100000001E-2</v>
      </c>
      <c r="NB111" s="1319">
        <f t="shared" ca="1" si="1231"/>
        <v>2.3394506799999999E-2</v>
      </c>
      <c r="NC111" s="1319">
        <f t="shared" ca="1" si="1231"/>
        <v>6.38799513E-3</v>
      </c>
      <c r="ND111" s="1319">
        <f t="shared" ca="1" si="1231"/>
        <v>0</v>
      </c>
      <c r="NE111" s="1319">
        <f t="shared" ca="1" si="1231"/>
        <v>0</v>
      </c>
      <c r="NF111" s="1319">
        <f t="shared" ca="1" si="1231"/>
        <v>0</v>
      </c>
      <c r="NG111" s="1319">
        <f t="shared" ca="1" si="1231"/>
        <v>0</v>
      </c>
      <c r="NH111" s="1319">
        <f t="shared" ca="1" si="1231"/>
        <v>0</v>
      </c>
      <c r="NI111" s="1319">
        <f t="shared" ca="1" si="1231"/>
        <v>0</v>
      </c>
      <c r="NJ111" s="1319">
        <f t="shared" ca="1" si="1231"/>
        <v>0</v>
      </c>
      <c r="NK111" s="1319">
        <f t="shared" ca="1" si="1231"/>
        <v>0</v>
      </c>
      <c r="NL111" s="1319">
        <f t="shared" ca="1" si="1231"/>
        <v>0</v>
      </c>
      <c r="NM111" s="1319">
        <f t="shared" ca="1" si="1231"/>
        <v>0</v>
      </c>
      <c r="NN111" s="1319">
        <f t="shared" ca="1" si="1231"/>
        <v>0</v>
      </c>
      <c r="NO111" s="1319">
        <f t="shared" ca="1" si="1231"/>
        <v>0</v>
      </c>
      <c r="NP111" s="1319">
        <f t="shared" ca="1" si="1231"/>
        <v>0</v>
      </c>
      <c r="OH111" s="1319">
        <f t="shared" ca="1" si="1232"/>
        <v>0</v>
      </c>
      <c r="OI111" s="1319">
        <f t="shared" ca="1" si="1232"/>
        <v>0</v>
      </c>
      <c r="OJ111" s="1319">
        <f t="shared" ca="1" si="1232"/>
        <v>0</v>
      </c>
      <c r="OK111" s="1319">
        <f t="shared" ca="1" si="1232"/>
        <v>0</v>
      </c>
      <c r="OL111" s="1319">
        <f t="shared" ca="1" si="1232"/>
        <v>0</v>
      </c>
      <c r="OM111" s="1319">
        <f t="shared" ca="1" si="1232"/>
        <v>0</v>
      </c>
      <c r="ON111" s="1319">
        <f t="shared" ca="1" si="1232"/>
        <v>0</v>
      </c>
      <c r="OO111" s="1319">
        <f t="shared" ca="1" si="1232"/>
        <v>0</v>
      </c>
      <c r="PA111" s="1319">
        <f t="shared" ca="1" si="1233"/>
        <v>0</v>
      </c>
      <c r="PB111" s="1319">
        <f t="shared" ca="1" si="1233"/>
        <v>0</v>
      </c>
      <c r="PC111" s="1319">
        <f t="shared" ca="1" si="1233"/>
        <v>0</v>
      </c>
      <c r="PD111" s="1319">
        <f t="shared" ca="1" si="1233"/>
        <v>0</v>
      </c>
      <c r="PE111" s="1319">
        <f t="shared" ca="1" si="1233"/>
        <v>0</v>
      </c>
      <c r="PF111" s="1319">
        <f t="shared" ca="1" si="1233"/>
        <v>0</v>
      </c>
      <c r="PG111" s="1319">
        <f t="shared" ca="1" si="1233"/>
        <v>0</v>
      </c>
      <c r="PH111" s="1319">
        <f t="shared" ca="1" si="1233"/>
        <v>0</v>
      </c>
      <c r="PI111" s="1319">
        <f t="shared" ca="1" si="1233"/>
        <v>0</v>
      </c>
      <c r="PJ111" s="1319">
        <f t="shared" ca="1" si="1233"/>
        <v>0</v>
      </c>
      <c r="PK111" s="1319">
        <f t="shared" ca="1" si="1233"/>
        <v>0</v>
      </c>
      <c r="PW111" s="1319">
        <f t="shared" ca="1" si="1234"/>
        <v>0</v>
      </c>
      <c r="PX111" s="1319">
        <f t="shared" ca="1" si="1234"/>
        <v>0</v>
      </c>
      <c r="PY111" s="1319">
        <f t="shared" ca="1" si="1234"/>
        <v>0</v>
      </c>
      <c r="PZ111" s="1319">
        <f t="shared" ca="1" si="1234"/>
        <v>0</v>
      </c>
    </row>
    <row r="112" spans="1:442" x14ac:dyDescent="0.25">
      <c r="A112" s="189">
        <v>164</v>
      </c>
      <c r="B112" s="189" t="s">
        <v>1256</v>
      </c>
      <c r="C112" s="1317" t="s">
        <v>2995</v>
      </c>
      <c r="D112" s="1317" t="s">
        <v>1490</v>
      </c>
      <c r="J112" s="1319">
        <f t="shared" ca="1" si="1207"/>
        <v>0.1191897662312959</v>
      </c>
      <c r="K112" s="1319">
        <f t="shared" ca="1" si="1235"/>
        <v>0.1191897662312959</v>
      </c>
      <c r="T112" s="1319">
        <f t="shared" ca="1" si="1208"/>
        <v>0.1191897662312959</v>
      </c>
      <c r="U112" s="1319">
        <f t="shared" ca="1" si="1208"/>
        <v>0</v>
      </c>
      <c r="V112" s="1319">
        <f t="shared" ca="1" si="1208"/>
        <v>2.725480149581619E-3</v>
      </c>
      <c r="W112" s="1319">
        <f t="shared" ca="1" si="1208"/>
        <v>0</v>
      </c>
      <c r="X112" s="1319">
        <f t="shared" ca="1" si="1208"/>
        <v>0</v>
      </c>
      <c r="Y112" s="1319">
        <f t="shared" ca="1" si="1208"/>
        <v>0.37834902802679221</v>
      </c>
      <c r="Z112" s="1319">
        <f t="shared" ca="1" si="1208"/>
        <v>3.3914888326874665E-3</v>
      </c>
      <c r="AA112" s="1319">
        <f t="shared" ca="1" si="1208"/>
        <v>0.37495753911077145</v>
      </c>
      <c r="AB112" s="1319">
        <f t="shared" ca="1" si="1208"/>
        <v>0</v>
      </c>
      <c r="AC112" s="1319">
        <f t="shared" ca="1" si="1208"/>
        <v>2.725480149581619E-3</v>
      </c>
      <c r="AD112" s="1319">
        <f t="shared" ca="1" si="1208"/>
        <v>0</v>
      </c>
      <c r="AM112" s="1319">
        <f t="shared" ca="1" si="1209"/>
        <v>0</v>
      </c>
      <c r="AN112" s="1319">
        <f t="shared" ca="1" si="1209"/>
        <v>0</v>
      </c>
      <c r="AO112" s="1319">
        <f t="shared" ca="1" si="1212"/>
        <v>0.37495753911077145</v>
      </c>
      <c r="AP112" s="1319">
        <f t="shared" ca="1" si="1212"/>
        <v>0.37495753911077145</v>
      </c>
      <c r="AQ112" s="1319">
        <f t="shared" ca="1" si="1212"/>
        <v>2.0526876636437234E-3</v>
      </c>
      <c r="AR112" s="1319">
        <f t="shared" ca="1" si="1212"/>
        <v>3.1751449420678261E-3</v>
      </c>
      <c r="AS112" s="1319">
        <f t="shared" ca="1" si="1212"/>
        <v>2.1634387811963991E-4</v>
      </c>
      <c r="AT112" s="1319">
        <f t="shared" ca="1" si="1209"/>
        <v>4.2228047004491042E-3</v>
      </c>
      <c r="AU112" s="1319">
        <f t="shared" ca="1" si="1209"/>
        <v>1.005027910818001E-3</v>
      </c>
      <c r="AV112" s="1319">
        <f t="shared" ca="1" si="1209"/>
        <v>0.37290485298323883</v>
      </c>
      <c r="AW112" s="1319">
        <f t="shared" ca="1" si="1209"/>
        <v>4.2228047004491042E-3</v>
      </c>
      <c r="AX112" s="1319">
        <f t="shared" ca="1" si="1209"/>
        <v>5.4441764879978559E-3</v>
      </c>
      <c r="AY112" s="1319">
        <f t="shared" ca="1" si="1209"/>
        <v>0</v>
      </c>
      <c r="AZ112" s="1319">
        <f t="shared" ca="1" si="1209"/>
        <v>0</v>
      </c>
      <c r="BA112" s="1319">
        <f t="shared" ca="1" si="1209"/>
        <v>0</v>
      </c>
      <c r="BB112" s="1319">
        <f t="shared" ca="1" si="1209"/>
        <v>0.37102110019039103</v>
      </c>
      <c r="BN112" s="1319">
        <f t="shared" ca="1" si="1217"/>
        <v>6.2742014668602783E-2</v>
      </c>
      <c r="BO112" s="1319">
        <f t="shared" ca="1" si="1217"/>
        <v>4.924729511620058E-2</v>
      </c>
      <c r="BP112" s="1319">
        <f t="shared" ca="1" si="1217"/>
        <v>1.2269032681485595E-2</v>
      </c>
      <c r="BQ112" s="1319">
        <f t="shared" ca="1" si="1217"/>
        <v>4.8262569830545007E-4</v>
      </c>
      <c r="BR112" s="1319">
        <f t="shared" ca="1" si="1217"/>
        <v>0</v>
      </c>
      <c r="CD112" s="1319">
        <f t="shared" ca="1" si="1218"/>
        <v>0.37102110019039103</v>
      </c>
      <c r="CE112" s="1319">
        <f t="shared" ca="1" si="1218"/>
        <v>0.37102110019039103</v>
      </c>
      <c r="CF112" s="1319">
        <f t="shared" ca="1" si="1218"/>
        <v>6.2742014668602783E-2</v>
      </c>
      <c r="CG112" s="1319">
        <f t="shared" ca="1" si="1218"/>
        <v>4.924729511620058E-2</v>
      </c>
      <c r="CH112" s="1319">
        <f t="shared" ca="1" si="1218"/>
        <v>0.37163955852867203</v>
      </c>
      <c r="CI112" s="1319">
        <f t="shared" ca="1" si="1218"/>
        <v>2.1718156423745252E-3</v>
      </c>
      <c r="CJ112" s="1319">
        <f t="shared" ca="1" si="1218"/>
        <v>0</v>
      </c>
      <c r="CK112" s="1319">
        <f t="shared" ca="1" si="1218"/>
        <v>0.48870652057631886</v>
      </c>
      <c r="CL112" s="1319">
        <f t="shared" ca="1" si="1218"/>
        <v>0.11966940484624412</v>
      </c>
      <c r="CM112" s="1319">
        <f t="shared" ca="1" si="1218"/>
        <v>6.1845966883656623E-4</v>
      </c>
      <c r="CN112" s="1319">
        <f t="shared" ca="1" si="1218"/>
        <v>0.49403261784114982</v>
      </c>
      <c r="CO112" s="1319">
        <f t="shared" ca="1" si="1218"/>
        <v>5.3260965148309936E-3</v>
      </c>
      <c r="DA112" s="1319">
        <f t="shared" ca="1" si="1219"/>
        <v>1.1218845478639654E-3</v>
      </c>
      <c r="DB112" s="1319">
        <f t="shared" ca="1" si="1219"/>
        <v>1.7997229366200058E-5</v>
      </c>
      <c r="DC112" s="1319">
        <f t="shared" ca="1" si="1219"/>
        <v>0</v>
      </c>
      <c r="DD112" s="1319">
        <f t="shared" ca="1" si="1219"/>
        <v>0</v>
      </c>
      <c r="DE112" s="1319">
        <f t="shared" ca="1" si="1219"/>
        <v>1.3349291967905446E-4</v>
      </c>
      <c r="DF112" s="1319">
        <f t="shared" ca="1" si="1219"/>
        <v>6.0018375480147003E-4</v>
      </c>
      <c r="DG112" s="1319">
        <f t="shared" ca="1" si="1219"/>
        <v>0</v>
      </c>
      <c r="DH112" s="1319">
        <f t="shared" ca="1" si="1219"/>
        <v>0</v>
      </c>
      <c r="DI112" s="1319">
        <f t="shared" ca="1" si="1219"/>
        <v>0</v>
      </c>
      <c r="DJ112" s="1319">
        <f t="shared" ca="1" si="1219"/>
        <v>0</v>
      </c>
      <c r="DV112" s="1319">
        <f t="shared" ca="1" si="1220"/>
        <v>0</v>
      </c>
      <c r="DW112" s="1319">
        <f t="shared" ca="1" si="1220"/>
        <v>2.2368973123396231E-2</v>
      </c>
      <c r="DX112" s="1319">
        <f t="shared" ca="1" si="1220"/>
        <v>2.2437690957279308E-2</v>
      </c>
      <c r="DY112" s="1319">
        <f t="shared" ca="1" si="1220"/>
        <v>1.1218845478639654E-3</v>
      </c>
      <c r="DZ112" s="1319">
        <f t="shared" ca="1" si="1220"/>
        <v>0</v>
      </c>
      <c r="EA112" s="1319">
        <f t="shared" ca="1" si="1220"/>
        <v>1.3349291967905446E-4</v>
      </c>
      <c r="EB112" s="1319">
        <f t="shared" ca="1" si="1220"/>
        <v>2.131580642052645E-2</v>
      </c>
      <c r="EC112" s="1319">
        <f t="shared" ca="1" si="1220"/>
        <v>9.8171990507598143E-4</v>
      </c>
      <c r="ED112" s="1319">
        <f t="shared" ca="1" si="1220"/>
        <v>6.1845966883656623E-4</v>
      </c>
      <c r="EE112" s="1319">
        <f t="shared" ca="1" si="1220"/>
        <v>1.443610472659995E-2</v>
      </c>
      <c r="EF112" s="1319">
        <f t="shared" ca="1" si="1220"/>
        <v>6.230842188735626E-4</v>
      </c>
      <c r="EG112" s="1319">
        <f t="shared" ca="1" si="1220"/>
        <v>0</v>
      </c>
      <c r="EH112" s="1319">
        <f t="shared" ca="1" si="1220"/>
        <v>0</v>
      </c>
      <c r="EI112" s="1319">
        <f t="shared" ca="1" si="1220"/>
        <v>3.5863568342464099E-4</v>
      </c>
      <c r="EJ112" s="1319">
        <f t="shared" ca="1" si="1220"/>
        <v>2.3644407022488587E-4</v>
      </c>
      <c r="EK112" s="1319">
        <f t="shared" ca="1" si="1220"/>
        <v>0</v>
      </c>
      <c r="EW112" s="1319">
        <f t="shared" ca="1" si="1221"/>
        <v>0.49403261784114982</v>
      </c>
      <c r="EX112" s="1319">
        <f t="shared" ca="1" si="1221"/>
        <v>0.49403261784114982</v>
      </c>
      <c r="EY112" s="1319">
        <f t="shared" ca="1" si="1221"/>
        <v>0.22569806986114013</v>
      </c>
      <c r="EZ112" s="1319">
        <f t="shared" ca="1" si="1221"/>
        <v>0.22569806986114013</v>
      </c>
      <c r="FA112" s="1319">
        <f t="shared" ca="1" si="1221"/>
        <v>4.0877151715906102E-3</v>
      </c>
      <c r="FB112" s="1319">
        <f t="shared" ca="1" si="1221"/>
        <v>0.26424683850286357</v>
      </c>
      <c r="FN112" s="1319">
        <f t="shared" ca="1" si="1222"/>
        <v>1.2269032681485595E-2</v>
      </c>
      <c r="FO112" s="1319">
        <f t="shared" ca="1" si="1222"/>
        <v>0.11966940484624412</v>
      </c>
      <c r="FP112" s="1319">
        <f t="shared" ca="1" si="1222"/>
        <v>4.0877151715906102E-3</v>
      </c>
      <c r="FQ112" s="1319">
        <f t="shared" ca="1" si="1222"/>
        <v>0.26424683850286357</v>
      </c>
      <c r="FR112" s="1319">
        <f t="shared" ca="1" si="1222"/>
        <v>0.32558550816023962</v>
      </c>
      <c r="FS112" s="1319">
        <f t="shared" ca="1" si="1222"/>
        <v>2.725480149581619E-3</v>
      </c>
      <c r="FT112" s="1319">
        <f t="shared" ca="1" si="1222"/>
        <v>6.4064153290291012E-2</v>
      </c>
      <c r="FU112" s="1319">
        <f t="shared" ca="1" si="1222"/>
        <v>0.1360261527548759</v>
      </c>
      <c r="FV112" s="1319">
        <f t="shared" ca="1" si="1222"/>
        <v>0</v>
      </c>
      <c r="FW112" s="1319">
        <f t="shared" ca="1" si="1222"/>
        <v>0.13070005604560045</v>
      </c>
      <c r="FX112" s="1319">
        <f t="shared" ca="1" si="1222"/>
        <v>5.3260965148309936E-3</v>
      </c>
      <c r="GJ112" s="1319">
        <f t="shared" ca="1" si="1223"/>
        <v>0.32558550816023962</v>
      </c>
      <c r="GK112" s="1319">
        <f t="shared" ca="1" si="1223"/>
        <v>0.32558550816023962</v>
      </c>
      <c r="GL112" s="1319">
        <f t="shared" ca="1" si="1223"/>
        <v>6.4064160234735504E-2</v>
      </c>
      <c r="GM112" s="1319">
        <f t="shared" ca="1" si="1223"/>
        <v>0.26152134709217079</v>
      </c>
      <c r="GN112" s="1319">
        <f t="shared" ca="1" si="1223"/>
        <v>0.26152134709217079</v>
      </c>
      <c r="GO112" s="1319">
        <f t="shared" ca="1" si="1223"/>
        <v>6.4064160234735504E-2</v>
      </c>
      <c r="GP112" s="1319">
        <f t="shared" ca="1" si="1223"/>
        <v>0.26152134709217079</v>
      </c>
      <c r="GQ112" s="1319">
        <f t="shared" ca="1" si="1223"/>
        <v>6.4064153290291012E-2</v>
      </c>
      <c r="HC112" s="1319">
        <f t="shared" ca="1" si="1224"/>
        <v>0.22569806986114013</v>
      </c>
      <c r="HD112" s="1319">
        <f t="shared" ca="1" si="1224"/>
        <v>0.21729497479391535</v>
      </c>
      <c r="HE112" s="1319">
        <f t="shared" ca="1" si="1224"/>
        <v>0</v>
      </c>
      <c r="HF112" s="1319">
        <f t="shared" ca="1" si="1224"/>
        <v>2.3601914438815315E-5</v>
      </c>
      <c r="HG112" s="1319">
        <f t="shared" ca="1" si="1224"/>
        <v>8.3794931225915012E-3</v>
      </c>
      <c r="HH112" s="1319">
        <f t="shared" ca="1" si="1224"/>
        <v>0.21729497479391535</v>
      </c>
      <c r="HT112" s="1319">
        <f t="shared" ca="1" si="1225"/>
        <v>5.4441764879978559E-3</v>
      </c>
      <c r="HU112" s="1319">
        <f t="shared" ca="1" si="1225"/>
        <v>0.21729497479391535</v>
      </c>
      <c r="HV112" s="1319">
        <f t="shared" ca="1" si="1225"/>
        <v>0.22273915122635768</v>
      </c>
      <c r="HW112" s="1319">
        <f t="shared" ca="1" si="1225"/>
        <v>0.22273915122635768</v>
      </c>
      <c r="HX112" s="1319">
        <f t="shared" ca="1" si="1225"/>
        <v>2.7485471692105995E-2</v>
      </c>
      <c r="HY112" s="1319">
        <f t="shared" ca="1" si="1225"/>
        <v>2.0901114889431143E-3</v>
      </c>
      <c r="HZ112" s="1319">
        <f t="shared" ca="1" si="1225"/>
        <v>0.18320957591012108</v>
      </c>
      <c r="IA112" s="1319">
        <f t="shared" ca="1" si="1225"/>
        <v>2.0175282716957815E-5</v>
      </c>
      <c r="IB112" s="1319">
        <f t="shared" ca="1" si="1225"/>
        <v>0</v>
      </c>
      <c r="IC112" s="1319">
        <f t="shared" ca="1" si="1225"/>
        <v>0</v>
      </c>
      <c r="ID112" s="1319">
        <f t="shared" ca="1" si="1225"/>
        <v>0</v>
      </c>
      <c r="IE112" s="1319">
        <f t="shared" ca="1" si="1225"/>
        <v>0</v>
      </c>
      <c r="IQ112" s="1319">
        <f t="shared" ca="1" si="1226"/>
        <v>2.7485471692105995E-2</v>
      </c>
      <c r="IR112" s="1319">
        <f t="shared" ca="1" si="1226"/>
        <v>2.0901114889431143E-3</v>
      </c>
      <c r="IS112" s="1319">
        <f t="shared" ca="1" si="1226"/>
        <v>2.53091013413617E-4</v>
      </c>
      <c r="IT112" s="1319">
        <f t="shared" ca="1" si="1226"/>
        <v>2.343202502078953E-3</v>
      </c>
      <c r="IU112" s="1319">
        <f t="shared" ca="1" si="1226"/>
        <v>2.1869027536063333E-3</v>
      </c>
      <c r="IV112" s="1319">
        <f t="shared" ca="1" si="1226"/>
        <v>7.4189446704626691E-3</v>
      </c>
      <c r="IW112" s="1319">
        <f t="shared" ca="1" si="1226"/>
        <v>6.0741843263712519E-3</v>
      </c>
      <c r="IX112" s="1319">
        <f t="shared" ca="1" si="1226"/>
        <v>2.4398509972965856E-2</v>
      </c>
      <c r="IY112" s="1319">
        <f t="shared" ca="1" si="1226"/>
        <v>1.5629974819484241E-4</v>
      </c>
      <c r="IZ112" s="1319">
        <f t="shared" ca="1" si="1226"/>
        <v>1.0916712698444812E-3</v>
      </c>
      <c r="JA112" s="1319">
        <f t="shared" ca="1" si="1226"/>
        <v>6.3272815783960304E-3</v>
      </c>
      <c r="JB112" s="1319">
        <f t="shared" ca="1" si="1226"/>
        <v>0</v>
      </c>
      <c r="JC112" s="1319">
        <f t="shared" ca="1" si="1226"/>
        <v>1.0714959863497456E-3</v>
      </c>
      <c r="JD112" s="1319">
        <f t="shared" ca="1" si="1226"/>
        <v>0</v>
      </c>
      <c r="JE112" s="1319">
        <f t="shared" ca="1" si="1226"/>
        <v>1.0916712698444812E-3</v>
      </c>
      <c r="JF112" s="1319">
        <f t="shared" ca="1" si="1226"/>
        <v>0</v>
      </c>
      <c r="JG112" s="1319">
        <f t="shared" ca="1" si="1226"/>
        <v>0</v>
      </c>
      <c r="JH112" s="1319">
        <f t="shared" ca="1" si="1226"/>
        <v>2.0175282716957815E-5</v>
      </c>
      <c r="JT112" s="1319">
        <f t="shared" ca="1" si="1227"/>
        <v>4.8262569830545007E-4</v>
      </c>
      <c r="JU112" s="1319">
        <f t="shared" ca="1" si="1227"/>
        <v>2.1718156423745252E-3</v>
      </c>
      <c r="JV112" s="1319">
        <f t="shared" ca="1" si="1227"/>
        <v>1.7997229366200058E-5</v>
      </c>
      <c r="JW112" s="1319">
        <f t="shared" ca="1" si="1227"/>
        <v>3.5863568342464099E-4</v>
      </c>
      <c r="JX112" s="1319">
        <f t="shared" ca="1" si="1227"/>
        <v>0.26152134709217079</v>
      </c>
      <c r="JY112" s="1319">
        <f t="shared" ca="1" si="1227"/>
        <v>9.0222950166228052E-3</v>
      </c>
      <c r="JZ112" s="1319">
        <f t="shared" ca="1" si="1227"/>
        <v>0.27054364216434912</v>
      </c>
      <c r="KA112" s="1319">
        <f t="shared" ca="1" si="1227"/>
        <v>0</v>
      </c>
      <c r="KB112" s="1319">
        <f t="shared" ca="1" si="1227"/>
        <v>0</v>
      </c>
      <c r="KC112" s="1319">
        <f t="shared" ca="1" si="1227"/>
        <v>3.0310742464708163E-3</v>
      </c>
      <c r="KL112" s="1319">
        <f t="shared" ca="1" si="1228"/>
        <v>0</v>
      </c>
      <c r="KM112" s="1319">
        <f t="shared" ca="1" si="1228"/>
        <v>0</v>
      </c>
      <c r="KN112" s="1319">
        <f t="shared" ca="1" si="1228"/>
        <v>0</v>
      </c>
      <c r="KO112" s="1319">
        <f t="shared" ca="1" si="1228"/>
        <v>0</v>
      </c>
      <c r="KP112" s="1319">
        <f t="shared" ca="1" si="1228"/>
        <v>0</v>
      </c>
      <c r="KQ112" s="1319">
        <f t="shared" ca="1" si="1228"/>
        <v>0</v>
      </c>
      <c r="KR112" s="1319">
        <f t="shared" ca="1" si="1228"/>
        <v>0</v>
      </c>
      <c r="LA112" s="1319">
        <f t="shared" ca="1" si="1229"/>
        <v>2.3601914438815315E-5</v>
      </c>
      <c r="LB112" s="1319">
        <f t="shared" ca="1" si="1229"/>
        <v>0.18320957591012108</v>
      </c>
      <c r="LC112" s="1319">
        <f t="shared" ca="1" si="1229"/>
        <v>0.18323317785475432</v>
      </c>
      <c r="LD112" s="1319">
        <f t="shared" ca="1" si="1229"/>
        <v>0.18323317785475432</v>
      </c>
      <c r="LE112" s="1319">
        <f t="shared" ca="1" si="1229"/>
        <v>0</v>
      </c>
      <c r="LF112" s="1319">
        <f t="shared" ca="1" si="1229"/>
        <v>0.46387655648879023</v>
      </c>
      <c r="LG112" s="1319">
        <f t="shared" ca="1" si="1229"/>
        <v>0.46387655648879023</v>
      </c>
      <c r="LH112" s="1319">
        <f t="shared" ca="1" si="1229"/>
        <v>0</v>
      </c>
      <c r="LI112" s="1319">
        <f t="shared" ca="1" si="1229"/>
        <v>0.46387655648879023</v>
      </c>
      <c r="LJ112" s="1319">
        <f t="shared" ca="1" si="1229"/>
        <v>0</v>
      </c>
      <c r="LK112" s="1319">
        <f t="shared" ca="1" si="1229"/>
        <v>0</v>
      </c>
      <c r="LW112" s="1319">
        <f t="shared" ca="1" si="1230"/>
        <v>0</v>
      </c>
      <c r="LX112" s="1319">
        <f t="shared" ca="1" si="1230"/>
        <v>0</v>
      </c>
      <c r="LY112" s="1319">
        <f t="shared" ca="1" si="1230"/>
        <v>8.3794931225915012E-3</v>
      </c>
      <c r="LZ112" s="1319">
        <f t="shared" ca="1" si="1230"/>
        <v>1.5629974819484241E-4</v>
      </c>
      <c r="MA112" s="1319">
        <f t="shared" ca="1" si="1230"/>
        <v>8.5357928738418985E-3</v>
      </c>
      <c r="MB112" s="1319">
        <f t="shared" ca="1" si="1230"/>
        <v>0.18323317785475432</v>
      </c>
      <c r="MC112" s="1319">
        <f t="shared" ca="1" si="1230"/>
        <v>0.46387655648879023</v>
      </c>
      <c r="MD112" s="1319">
        <f t="shared" ca="1" si="1230"/>
        <v>0</v>
      </c>
      <c r="ME112" s="1319">
        <f t="shared" ca="1" si="1230"/>
        <v>0</v>
      </c>
      <c r="MF112" s="1319">
        <f t="shared" ca="1" si="1230"/>
        <v>0</v>
      </c>
      <c r="MG112" s="1319">
        <f t="shared" ca="1" si="1230"/>
        <v>0</v>
      </c>
      <c r="MH112" s="1319">
        <f t="shared" ca="1" si="1230"/>
        <v>0</v>
      </c>
      <c r="MI112" s="1319">
        <f t="shared" ca="1" si="1230"/>
        <v>0</v>
      </c>
      <c r="MJ112" s="1319">
        <f t="shared" ca="1" si="1230"/>
        <v>0</v>
      </c>
      <c r="MK112" s="1319">
        <f t="shared" ca="1" si="1230"/>
        <v>0</v>
      </c>
      <c r="ML112" s="1319">
        <f t="shared" ca="1" si="1230"/>
        <v>0</v>
      </c>
      <c r="MM112" s="1319">
        <f t="shared" ca="1" si="1230"/>
        <v>0</v>
      </c>
      <c r="MN112" s="1319">
        <f t="shared" ca="1" si="1230"/>
        <v>0</v>
      </c>
      <c r="MO112" s="1319">
        <f t="shared" ca="1" si="1230"/>
        <v>1.731483736074092E-12</v>
      </c>
      <c r="NA112" s="1319">
        <f t="shared" ca="1" si="1231"/>
        <v>3.3914888326874665E-3</v>
      </c>
      <c r="NB112" s="1319">
        <f t="shared" ca="1" si="1231"/>
        <v>3.1751449420678261E-3</v>
      </c>
      <c r="NC112" s="1319">
        <f t="shared" ca="1" si="1231"/>
        <v>2.1634387811963991E-4</v>
      </c>
      <c r="ND112" s="1319">
        <f t="shared" ca="1" si="1231"/>
        <v>0</v>
      </c>
      <c r="NE112" s="1319">
        <f t="shared" ca="1" si="1231"/>
        <v>0</v>
      </c>
      <c r="NF112" s="1319">
        <f t="shared" ca="1" si="1231"/>
        <v>0</v>
      </c>
      <c r="NG112" s="1319">
        <f t="shared" ca="1" si="1231"/>
        <v>0</v>
      </c>
      <c r="NH112" s="1319">
        <f t="shared" ca="1" si="1231"/>
        <v>0</v>
      </c>
      <c r="NI112" s="1319">
        <f t="shared" ca="1" si="1231"/>
        <v>0</v>
      </c>
      <c r="NJ112" s="1319">
        <f t="shared" ca="1" si="1231"/>
        <v>0</v>
      </c>
      <c r="NK112" s="1319">
        <f t="shared" ca="1" si="1231"/>
        <v>0</v>
      </c>
      <c r="NL112" s="1319">
        <f t="shared" ca="1" si="1231"/>
        <v>0</v>
      </c>
      <c r="NM112" s="1319">
        <f t="shared" ca="1" si="1231"/>
        <v>0</v>
      </c>
      <c r="NN112" s="1319">
        <f t="shared" ca="1" si="1231"/>
        <v>0</v>
      </c>
      <c r="NO112" s="1319">
        <f t="shared" ca="1" si="1231"/>
        <v>0</v>
      </c>
      <c r="NP112" s="1319">
        <f t="shared" ca="1" si="1231"/>
        <v>0</v>
      </c>
      <c r="OH112" s="1319">
        <f t="shared" ca="1" si="1232"/>
        <v>0</v>
      </c>
      <c r="OI112" s="1319">
        <f t="shared" ca="1" si="1232"/>
        <v>0</v>
      </c>
      <c r="OJ112" s="1319">
        <f t="shared" ca="1" si="1232"/>
        <v>0</v>
      </c>
      <c r="OK112" s="1319">
        <f t="shared" ca="1" si="1232"/>
        <v>0</v>
      </c>
      <c r="OL112" s="1319">
        <f t="shared" ca="1" si="1232"/>
        <v>0</v>
      </c>
      <c r="OM112" s="1319">
        <f t="shared" ca="1" si="1232"/>
        <v>0</v>
      </c>
      <c r="ON112" s="1319">
        <f t="shared" ca="1" si="1232"/>
        <v>0</v>
      </c>
      <c r="OO112" s="1319">
        <f t="shared" ca="1" si="1232"/>
        <v>0</v>
      </c>
      <c r="PA112" s="1319">
        <f t="shared" ca="1" si="1233"/>
        <v>0</v>
      </c>
      <c r="PB112" s="1319">
        <f t="shared" ca="1" si="1233"/>
        <v>0</v>
      </c>
      <c r="PC112" s="1319">
        <f t="shared" ca="1" si="1233"/>
        <v>0</v>
      </c>
      <c r="PD112" s="1319">
        <f t="shared" ca="1" si="1233"/>
        <v>0</v>
      </c>
      <c r="PE112" s="1319">
        <f t="shared" ca="1" si="1233"/>
        <v>0</v>
      </c>
      <c r="PF112" s="1319">
        <f t="shared" ca="1" si="1233"/>
        <v>0</v>
      </c>
      <c r="PG112" s="1319">
        <f t="shared" ca="1" si="1233"/>
        <v>0</v>
      </c>
      <c r="PH112" s="1319">
        <f t="shared" ca="1" si="1233"/>
        <v>0</v>
      </c>
      <c r="PI112" s="1319">
        <f t="shared" ca="1" si="1233"/>
        <v>0</v>
      </c>
      <c r="PJ112" s="1319">
        <f t="shared" ca="1" si="1233"/>
        <v>0</v>
      </c>
      <c r="PK112" s="1319">
        <f t="shared" ca="1" si="1233"/>
        <v>0</v>
      </c>
      <c r="PW112" s="1319">
        <f t="shared" ca="1" si="1234"/>
        <v>0</v>
      </c>
      <c r="PX112" s="1319">
        <f t="shared" ca="1" si="1234"/>
        <v>0</v>
      </c>
      <c r="PY112" s="1319">
        <f t="shared" ca="1" si="1234"/>
        <v>0</v>
      </c>
      <c r="PZ112" s="1319">
        <f t="shared" ca="1" si="1234"/>
        <v>0</v>
      </c>
    </row>
    <row r="113" spans="1:442" x14ac:dyDescent="0.25">
      <c r="A113" s="189">
        <v>227</v>
      </c>
      <c r="B113" s="189" t="s">
        <v>1320</v>
      </c>
      <c r="C113" s="1317" t="s">
        <v>2995</v>
      </c>
      <c r="D113" s="1317" t="s">
        <v>1490</v>
      </c>
      <c r="J113" s="1319">
        <f t="shared" ref="J113:K113" ca="1" si="1236">VLOOKUP(J$1,INDIRECT(LU_MAT),$A113,FALSE)</f>
        <v>0.74666720041778212</v>
      </c>
      <c r="K113" s="1319">
        <f t="shared" ca="1" si="1236"/>
        <v>0.74666720041778212</v>
      </c>
      <c r="T113" s="1319">
        <f t="shared" ref="T113:AD113" ca="1" si="1237">VLOOKUP(T$1,INDIRECT(LU_MAT),$A113,FALSE)</f>
        <v>0.74666720041778212</v>
      </c>
      <c r="U113" s="1319">
        <f t="shared" ca="1" si="1237"/>
        <v>0</v>
      </c>
      <c r="V113" s="1319">
        <f t="shared" ca="1" si="1237"/>
        <v>0</v>
      </c>
      <c r="W113" s="1319">
        <f t="shared" ca="1" si="1237"/>
        <v>0</v>
      </c>
      <c r="X113" s="1319">
        <f t="shared" ca="1" si="1237"/>
        <v>0</v>
      </c>
      <c r="Y113" s="1319">
        <f t="shared" ca="1" si="1237"/>
        <v>0.49023342058853403</v>
      </c>
      <c r="Z113" s="1319">
        <f t="shared" ca="1" si="1237"/>
        <v>0</v>
      </c>
      <c r="AA113" s="1319">
        <f t="shared" ca="1" si="1237"/>
        <v>0.49023342058853403</v>
      </c>
      <c r="AB113" s="1319">
        <f t="shared" ca="1" si="1237"/>
        <v>0</v>
      </c>
      <c r="AC113" s="1319">
        <f t="shared" ca="1" si="1237"/>
        <v>0</v>
      </c>
      <c r="AD113" s="1319">
        <f t="shared" ca="1" si="1237"/>
        <v>0</v>
      </c>
      <c r="AM113" s="1319">
        <f t="shared" ref="AM113:BB113" ca="1" si="1238">VLOOKUP(AM$1,INDIRECT(LU_MAT),$A113,FALSE)</f>
        <v>0</v>
      </c>
      <c r="AN113" s="1319">
        <f t="shared" ca="1" si="1238"/>
        <v>0</v>
      </c>
      <c r="AO113" s="1319">
        <f t="shared" ca="1" si="1238"/>
        <v>0.49023342058853403</v>
      </c>
      <c r="AP113" s="1319">
        <f t="shared" ca="1" si="1238"/>
        <v>0.49023342058853403</v>
      </c>
      <c r="AQ113" s="1319">
        <f t="shared" ca="1" si="1238"/>
        <v>0</v>
      </c>
      <c r="AR113" s="1319">
        <f t="shared" ca="1" si="1238"/>
        <v>0</v>
      </c>
      <c r="AS113" s="1319">
        <f t="shared" ca="1" si="1238"/>
        <v>0</v>
      </c>
      <c r="AT113" s="1319">
        <f t="shared" ca="1" si="1238"/>
        <v>0</v>
      </c>
      <c r="AU113" s="1319">
        <f t="shared" ca="1" si="1238"/>
        <v>0</v>
      </c>
      <c r="AV113" s="1319">
        <f t="shared" ca="1" si="1238"/>
        <v>0.49023342058853403</v>
      </c>
      <c r="AW113" s="1319">
        <f t="shared" ca="1" si="1238"/>
        <v>0</v>
      </c>
      <c r="AX113" s="1319">
        <f t="shared" ca="1" si="1238"/>
        <v>0</v>
      </c>
      <c r="AY113" s="1319">
        <f t="shared" ca="1" si="1238"/>
        <v>0</v>
      </c>
      <c r="AZ113" s="1319">
        <f t="shared" ca="1" si="1238"/>
        <v>0</v>
      </c>
      <c r="BA113" s="1319">
        <f t="shared" ca="1" si="1238"/>
        <v>0</v>
      </c>
      <c r="BB113" s="1319">
        <f t="shared" ca="1" si="1238"/>
        <v>0.49211717060360399</v>
      </c>
      <c r="BN113" s="1319">
        <f t="shared" ca="1" si="1217"/>
        <v>2.4478705806940757E-2</v>
      </c>
      <c r="BO113" s="1319">
        <f t="shared" ca="1" si="1217"/>
        <v>2.672245163044628E-2</v>
      </c>
      <c r="BP113" s="1319">
        <f t="shared" ca="1" si="1217"/>
        <v>0</v>
      </c>
      <c r="BQ113" s="1319">
        <f t="shared" ca="1" si="1217"/>
        <v>6.408970690160654E-4</v>
      </c>
      <c r="BR113" s="1319">
        <f t="shared" ca="1" si="1217"/>
        <v>0</v>
      </c>
      <c r="CD113" s="1319">
        <f t="shared" ca="1" si="1218"/>
        <v>0.49211717060360399</v>
      </c>
      <c r="CE113" s="1319">
        <f t="shared" ca="1" si="1218"/>
        <v>0.49211717060360399</v>
      </c>
      <c r="CF113" s="1319">
        <f t="shared" ca="1" si="1218"/>
        <v>2.4478705806940757E-2</v>
      </c>
      <c r="CG113" s="1319">
        <f t="shared" ca="1" si="1218"/>
        <v>2.672245163044628E-2</v>
      </c>
      <c r="CH113" s="1319">
        <f t="shared" ca="1" si="1218"/>
        <v>0.50056766511565243</v>
      </c>
      <c r="CI113" s="1319">
        <f t="shared" ca="1" si="1218"/>
        <v>2.8840368008500724E-3</v>
      </c>
      <c r="CJ113" s="1319">
        <f t="shared" ca="1" si="1218"/>
        <v>0</v>
      </c>
      <c r="CK113" s="1319">
        <f t="shared" ca="1" si="1218"/>
        <v>0.25715947622394247</v>
      </c>
      <c r="CL113" s="1319">
        <f t="shared" ca="1" si="1218"/>
        <v>0</v>
      </c>
      <c r="CM113" s="1319">
        <f t="shared" ca="1" si="1218"/>
        <v>8.4504927342706083E-3</v>
      </c>
      <c r="CN113" s="1319">
        <f t="shared" ca="1" si="1218"/>
        <v>0.25715947622394247</v>
      </c>
      <c r="CO113" s="1319">
        <f t="shared" ca="1" si="1218"/>
        <v>0</v>
      </c>
      <c r="DA113" s="1319">
        <f t="shared" ca="1" si="1219"/>
        <v>4.6947050653354181E-5</v>
      </c>
      <c r="DB113" s="1319">
        <f t="shared" ca="1" si="1219"/>
        <v>2.3899207135638102E-5</v>
      </c>
      <c r="DC113" s="1319">
        <f t="shared" ca="1" si="1219"/>
        <v>0</v>
      </c>
      <c r="DD113" s="1319">
        <f t="shared" ca="1" si="1219"/>
        <v>0</v>
      </c>
      <c r="DE113" s="1319">
        <f t="shared" ca="1" si="1219"/>
        <v>4.7705123437196545E-4</v>
      </c>
      <c r="DF113" s="1319">
        <f t="shared" ca="1" si="1219"/>
        <v>0</v>
      </c>
      <c r="DG113" s="1319">
        <f t="shared" ca="1" si="1219"/>
        <v>0</v>
      </c>
      <c r="DH113" s="1319">
        <f t="shared" ca="1" si="1219"/>
        <v>0</v>
      </c>
      <c r="DI113" s="1319">
        <f t="shared" ca="1" si="1219"/>
        <v>0</v>
      </c>
      <c r="DJ113" s="1319">
        <f t="shared" ca="1" si="1219"/>
        <v>0</v>
      </c>
      <c r="DV113" s="1319">
        <f t="shared" ca="1" si="1220"/>
        <v>0</v>
      </c>
      <c r="DW113" s="1319">
        <f t="shared" ca="1" si="1220"/>
        <v>0</v>
      </c>
      <c r="DX113" s="1319">
        <f t="shared" ca="1" si="1220"/>
        <v>9.3894101584486144E-4</v>
      </c>
      <c r="DY113" s="1319">
        <f t="shared" ca="1" si="1220"/>
        <v>4.6947050653354181E-5</v>
      </c>
      <c r="DZ113" s="1319">
        <f t="shared" ca="1" si="1220"/>
        <v>0</v>
      </c>
      <c r="EA113" s="1319">
        <f t="shared" ca="1" si="1220"/>
        <v>4.7705123437196545E-4</v>
      </c>
      <c r="EB113" s="1319">
        <f t="shared" ca="1" si="1220"/>
        <v>8.9199396546928514E-4</v>
      </c>
      <c r="EC113" s="1319">
        <f t="shared" ca="1" si="1220"/>
        <v>4.7624600103219022E-4</v>
      </c>
      <c r="ED113" s="1319">
        <f t="shared" ca="1" si="1220"/>
        <v>8.4504927342706083E-3</v>
      </c>
      <c r="EE113" s="1319">
        <f t="shared" ca="1" si="1220"/>
        <v>0</v>
      </c>
      <c r="EF113" s="1319">
        <f t="shared" ca="1" si="1220"/>
        <v>0</v>
      </c>
      <c r="EG113" s="1319">
        <f t="shared" ca="1" si="1220"/>
        <v>0</v>
      </c>
      <c r="EH113" s="1319">
        <f t="shared" ca="1" si="1220"/>
        <v>0</v>
      </c>
      <c r="EI113" s="1319">
        <f t="shared" ca="1" si="1220"/>
        <v>4.7624600103219022E-4</v>
      </c>
      <c r="EJ113" s="1319">
        <f t="shared" ca="1" si="1220"/>
        <v>0</v>
      </c>
      <c r="EK113" s="1319">
        <f t="shared" ca="1" si="1220"/>
        <v>0</v>
      </c>
      <c r="EW113" s="1319">
        <f t="shared" ca="1" si="1221"/>
        <v>0.25715947622394247</v>
      </c>
      <c r="EX113" s="1319">
        <f t="shared" ca="1" si="1221"/>
        <v>0.25715947622394247</v>
      </c>
      <c r="EY113" s="1319">
        <f t="shared" ca="1" si="1221"/>
        <v>0.25715947622394247</v>
      </c>
      <c r="EZ113" s="1319">
        <f t="shared" ca="1" si="1221"/>
        <v>0.25715947622394247</v>
      </c>
      <c r="FA113" s="1319">
        <f t="shared" ca="1" si="1221"/>
        <v>0</v>
      </c>
      <c r="FB113" s="1319">
        <f t="shared" ca="1" si="1221"/>
        <v>0</v>
      </c>
      <c r="FN113" s="1319">
        <f t="shared" ca="1" si="1222"/>
        <v>0</v>
      </c>
      <c r="FO113" s="1319">
        <f t="shared" ca="1" si="1222"/>
        <v>0</v>
      </c>
      <c r="FP113" s="1319">
        <f t="shared" ca="1" si="1222"/>
        <v>0</v>
      </c>
      <c r="FQ113" s="1319">
        <f t="shared" ca="1" si="1222"/>
        <v>0</v>
      </c>
      <c r="FR113" s="1319">
        <f t="shared" ca="1" si="1222"/>
        <v>0</v>
      </c>
      <c r="FS113" s="1319">
        <f t="shared" ca="1" si="1222"/>
        <v>0</v>
      </c>
      <c r="FT113" s="1319">
        <f t="shared" ca="1" si="1222"/>
        <v>0</v>
      </c>
      <c r="FU113" s="1319">
        <f t="shared" ca="1" si="1222"/>
        <v>0</v>
      </c>
      <c r="FV113" s="1319">
        <f t="shared" ca="1" si="1222"/>
        <v>0</v>
      </c>
      <c r="FW113" s="1319">
        <f t="shared" ca="1" si="1222"/>
        <v>0</v>
      </c>
      <c r="FX113" s="1319">
        <f t="shared" ca="1" si="1222"/>
        <v>0</v>
      </c>
      <c r="GJ113" s="1319">
        <f t="shared" ca="1" si="1223"/>
        <v>0</v>
      </c>
      <c r="GK113" s="1319">
        <f t="shared" ca="1" si="1223"/>
        <v>0</v>
      </c>
      <c r="GL113" s="1319">
        <f t="shared" ca="1" si="1223"/>
        <v>0</v>
      </c>
      <c r="GM113" s="1319">
        <f t="shared" ca="1" si="1223"/>
        <v>0</v>
      </c>
      <c r="GN113" s="1319">
        <f t="shared" ca="1" si="1223"/>
        <v>0</v>
      </c>
      <c r="GO113" s="1319">
        <f t="shared" ca="1" si="1223"/>
        <v>0</v>
      </c>
      <c r="GP113" s="1319">
        <f t="shared" ca="1" si="1223"/>
        <v>0</v>
      </c>
      <c r="GQ113" s="1319">
        <f t="shared" ca="1" si="1223"/>
        <v>0</v>
      </c>
      <c r="HC113" s="1319">
        <f t="shared" ca="1" si="1224"/>
        <v>0.25715947622394247</v>
      </c>
      <c r="HD113" s="1319">
        <f t="shared" ca="1" si="1224"/>
        <v>5.1431895133677383E-3</v>
      </c>
      <c r="HE113" s="1319">
        <f t="shared" ca="1" si="1224"/>
        <v>0</v>
      </c>
      <c r="HF113" s="1319">
        <f t="shared" ca="1" si="1224"/>
        <v>0</v>
      </c>
      <c r="HG113" s="1319">
        <f t="shared" ca="1" si="1224"/>
        <v>0.25201628646057478</v>
      </c>
      <c r="HH113" s="1319">
        <f t="shared" ca="1" si="1224"/>
        <v>5.1431895133677383E-3</v>
      </c>
      <c r="HT113" s="1319">
        <f t="shared" ca="1" si="1225"/>
        <v>0</v>
      </c>
      <c r="HU113" s="1319">
        <f t="shared" ca="1" si="1225"/>
        <v>5.1431895133677383E-3</v>
      </c>
      <c r="HV113" s="1319">
        <f t="shared" ca="1" si="1225"/>
        <v>5.1431895133677383E-3</v>
      </c>
      <c r="HW113" s="1319">
        <f t="shared" ca="1" si="1225"/>
        <v>5.1431895133677383E-3</v>
      </c>
      <c r="HX113" s="1319">
        <f t="shared" ca="1" si="1225"/>
        <v>4.601019842363714E-3</v>
      </c>
      <c r="HY113" s="1319">
        <f t="shared" ca="1" si="1225"/>
        <v>1.3371713884751488E-2</v>
      </c>
      <c r="HZ113" s="1319">
        <f t="shared" ca="1" si="1225"/>
        <v>0</v>
      </c>
      <c r="IA113" s="1319">
        <f t="shared" ca="1" si="1225"/>
        <v>0</v>
      </c>
      <c r="IB113" s="1319">
        <f t="shared" ca="1" si="1225"/>
        <v>0</v>
      </c>
      <c r="IC113" s="1319">
        <f t="shared" ca="1" si="1225"/>
        <v>0</v>
      </c>
      <c r="ID113" s="1319">
        <f t="shared" ca="1" si="1225"/>
        <v>0</v>
      </c>
      <c r="IE113" s="1319">
        <f t="shared" ca="1" si="1225"/>
        <v>0</v>
      </c>
      <c r="IQ113" s="1319">
        <f t="shared" ca="1" si="1226"/>
        <v>4.601019842363714E-3</v>
      </c>
      <c r="IR113" s="1319">
        <f t="shared" ca="1" si="1226"/>
        <v>1.3371713884751488E-2</v>
      </c>
      <c r="IS113" s="1319">
        <f t="shared" ca="1" si="1226"/>
        <v>1.0759670530521809E-2</v>
      </c>
      <c r="IT113" s="1319">
        <f t="shared" ca="1" si="1226"/>
        <v>2.4131384443051077E-2</v>
      </c>
      <c r="IU113" s="1319">
        <f t="shared" ca="1" si="1226"/>
        <v>1.2065692207636649E-3</v>
      </c>
      <c r="IV113" s="1319">
        <f t="shared" ca="1" si="1226"/>
        <v>0.26899176242971184</v>
      </c>
      <c r="IW113" s="1319">
        <f t="shared" ca="1" si="1226"/>
        <v>0.25823209289919008</v>
      </c>
      <c r="IX113" s="1319">
        <f t="shared" ca="1" si="1226"/>
        <v>0</v>
      </c>
      <c r="IY113" s="1319">
        <f t="shared" ca="1" si="1226"/>
        <v>2.29248152111763E-2</v>
      </c>
      <c r="IZ113" s="1319">
        <f t="shared" ca="1" si="1226"/>
        <v>0</v>
      </c>
      <c r="JA113" s="1319">
        <f t="shared" ca="1" si="1226"/>
        <v>0.26899176326304525</v>
      </c>
      <c r="JB113" s="1319">
        <f t="shared" ca="1" si="1226"/>
        <v>0</v>
      </c>
      <c r="JC113" s="1319">
        <f t="shared" ca="1" si="1226"/>
        <v>0</v>
      </c>
      <c r="JD113" s="1319">
        <f t="shared" ca="1" si="1226"/>
        <v>0</v>
      </c>
      <c r="JE113" s="1319">
        <f t="shared" ca="1" si="1226"/>
        <v>0</v>
      </c>
      <c r="JF113" s="1319">
        <f t="shared" ca="1" si="1226"/>
        <v>0</v>
      </c>
      <c r="JG113" s="1319">
        <f t="shared" ca="1" si="1226"/>
        <v>0</v>
      </c>
      <c r="JH113" s="1319">
        <f t="shared" ca="1" si="1226"/>
        <v>0</v>
      </c>
      <c r="JT113" s="1319">
        <f t="shared" ca="1" si="1227"/>
        <v>6.408970690160654E-4</v>
      </c>
      <c r="JU113" s="1319">
        <f t="shared" ca="1" si="1227"/>
        <v>2.8840368008500724E-3</v>
      </c>
      <c r="JV113" s="1319">
        <f t="shared" ca="1" si="1227"/>
        <v>2.3899207135638102E-5</v>
      </c>
      <c r="JW113" s="1319">
        <f t="shared" ca="1" si="1227"/>
        <v>4.7624600103219022E-4</v>
      </c>
      <c r="JX113" s="1319">
        <f t="shared" ca="1" si="1227"/>
        <v>0</v>
      </c>
      <c r="JY113" s="1319">
        <f t="shared" ca="1" si="1227"/>
        <v>0</v>
      </c>
      <c r="JZ113" s="1319">
        <f t="shared" ca="1" si="1227"/>
        <v>0</v>
      </c>
      <c r="KA113" s="1319">
        <f t="shared" ca="1" si="1227"/>
        <v>0</v>
      </c>
      <c r="KB113" s="1319">
        <f t="shared" ca="1" si="1227"/>
        <v>0</v>
      </c>
      <c r="KC113" s="1319">
        <f t="shared" ca="1" si="1227"/>
        <v>4.0250790877561886E-3</v>
      </c>
      <c r="KL113" s="1319">
        <f t="shared" ca="1" si="1228"/>
        <v>0</v>
      </c>
      <c r="KM113" s="1319">
        <f t="shared" ca="1" si="1228"/>
        <v>0</v>
      </c>
      <c r="KN113" s="1319">
        <f t="shared" ca="1" si="1228"/>
        <v>0</v>
      </c>
      <c r="KO113" s="1319">
        <f t="shared" ca="1" si="1228"/>
        <v>0</v>
      </c>
      <c r="KP113" s="1319">
        <f t="shared" ca="1" si="1228"/>
        <v>0</v>
      </c>
      <c r="KQ113" s="1319">
        <f t="shared" ca="1" si="1228"/>
        <v>0</v>
      </c>
      <c r="KR113" s="1319">
        <f t="shared" ca="1" si="1228"/>
        <v>0</v>
      </c>
      <c r="LA113" s="1319">
        <f t="shared" ca="1" si="1229"/>
        <v>0</v>
      </c>
      <c r="LB113" s="1319">
        <f t="shared" ca="1" si="1229"/>
        <v>0</v>
      </c>
      <c r="LC113" s="1319">
        <f t="shared" ca="1" si="1229"/>
        <v>0</v>
      </c>
      <c r="LD113" s="1319">
        <f t="shared" ca="1" si="1229"/>
        <v>0</v>
      </c>
      <c r="LE113" s="1319">
        <f t="shared" ca="1" si="1229"/>
        <v>0</v>
      </c>
      <c r="LF113" s="1319">
        <f t="shared" ca="1" si="1229"/>
        <v>2.8335171615570262E-3</v>
      </c>
      <c r="LG113" s="1319">
        <f t="shared" ca="1" si="1229"/>
        <v>2.8335171615570262E-3</v>
      </c>
      <c r="LH113" s="1319">
        <f t="shared" ca="1" si="1229"/>
        <v>2.8335171615570262E-3</v>
      </c>
      <c r="LI113" s="1319">
        <f t="shared" ca="1" si="1229"/>
        <v>0</v>
      </c>
      <c r="LJ113" s="1319">
        <f t="shared" ca="1" si="1229"/>
        <v>0</v>
      </c>
      <c r="LK113" s="1319">
        <f t="shared" ca="1" si="1229"/>
        <v>0</v>
      </c>
      <c r="LW113" s="1319">
        <f t="shared" ca="1" si="1230"/>
        <v>0</v>
      </c>
      <c r="LX113" s="1319">
        <f t="shared" ca="1" si="1230"/>
        <v>0</v>
      </c>
      <c r="LY113" s="1319">
        <f t="shared" ca="1" si="1230"/>
        <v>0.25201628646057478</v>
      </c>
      <c r="LZ113" s="1319">
        <f t="shared" ca="1" si="1230"/>
        <v>2.29248152111763E-2</v>
      </c>
      <c r="MA113" s="1319">
        <f t="shared" ca="1" si="1230"/>
        <v>0.27494110192175103</v>
      </c>
      <c r="MB113" s="1319">
        <f t="shared" ca="1" si="1230"/>
        <v>0</v>
      </c>
      <c r="MC113" s="1319">
        <f t="shared" ca="1" si="1230"/>
        <v>2.8335171615570262E-3</v>
      </c>
      <c r="MD113" s="1319">
        <f t="shared" ca="1" si="1230"/>
        <v>0</v>
      </c>
      <c r="ME113" s="1319">
        <f t="shared" ca="1" si="1230"/>
        <v>0</v>
      </c>
      <c r="MF113" s="1319">
        <f t="shared" ca="1" si="1230"/>
        <v>0</v>
      </c>
      <c r="MG113" s="1319">
        <f t="shared" ca="1" si="1230"/>
        <v>0</v>
      </c>
      <c r="MH113" s="1319">
        <f t="shared" ca="1" si="1230"/>
        <v>0</v>
      </c>
      <c r="MI113" s="1319">
        <f t="shared" ca="1" si="1230"/>
        <v>0</v>
      </c>
      <c r="MJ113" s="1319">
        <f t="shared" ca="1" si="1230"/>
        <v>0</v>
      </c>
      <c r="MK113" s="1319">
        <f t="shared" ca="1" si="1230"/>
        <v>0</v>
      </c>
      <c r="ML113" s="1319">
        <f t="shared" ca="1" si="1230"/>
        <v>0</v>
      </c>
      <c r="MM113" s="1319">
        <f t="shared" ca="1" si="1230"/>
        <v>0</v>
      </c>
      <c r="MN113" s="1319">
        <f t="shared" ca="1" si="1230"/>
        <v>0</v>
      </c>
      <c r="MO113" s="1319">
        <f t="shared" ca="1" si="1230"/>
        <v>0</v>
      </c>
      <c r="NA113" s="1319">
        <f t="shared" ca="1" si="1231"/>
        <v>0</v>
      </c>
      <c r="NB113" s="1319">
        <f t="shared" ca="1" si="1231"/>
        <v>0</v>
      </c>
      <c r="NC113" s="1319">
        <f t="shared" ca="1" si="1231"/>
        <v>0</v>
      </c>
      <c r="ND113" s="1319">
        <f t="shared" ca="1" si="1231"/>
        <v>0</v>
      </c>
      <c r="NE113" s="1319">
        <f t="shared" ca="1" si="1231"/>
        <v>0</v>
      </c>
      <c r="NF113" s="1319">
        <f t="shared" ca="1" si="1231"/>
        <v>0</v>
      </c>
      <c r="NG113" s="1319">
        <f t="shared" ca="1" si="1231"/>
        <v>0</v>
      </c>
      <c r="NH113" s="1319">
        <f t="shared" ca="1" si="1231"/>
        <v>0</v>
      </c>
      <c r="NI113" s="1319">
        <f t="shared" ca="1" si="1231"/>
        <v>0</v>
      </c>
      <c r="NJ113" s="1319">
        <f t="shared" ca="1" si="1231"/>
        <v>0</v>
      </c>
      <c r="NK113" s="1319">
        <f t="shared" ca="1" si="1231"/>
        <v>0</v>
      </c>
      <c r="NL113" s="1319">
        <f t="shared" ca="1" si="1231"/>
        <v>0</v>
      </c>
      <c r="NM113" s="1319">
        <f t="shared" ca="1" si="1231"/>
        <v>0</v>
      </c>
      <c r="NN113" s="1319">
        <f t="shared" ca="1" si="1231"/>
        <v>0</v>
      </c>
      <c r="NO113" s="1319">
        <f t="shared" ca="1" si="1231"/>
        <v>0</v>
      </c>
      <c r="NP113" s="1319">
        <f t="shared" ca="1" si="1231"/>
        <v>0</v>
      </c>
      <c r="OH113" s="1319">
        <f t="shared" ca="1" si="1232"/>
        <v>0</v>
      </c>
      <c r="OI113" s="1319">
        <f t="shared" ca="1" si="1232"/>
        <v>0</v>
      </c>
      <c r="OJ113" s="1319">
        <f t="shared" ca="1" si="1232"/>
        <v>0</v>
      </c>
      <c r="OK113" s="1319">
        <f t="shared" ca="1" si="1232"/>
        <v>0</v>
      </c>
      <c r="OL113" s="1319">
        <f t="shared" ca="1" si="1232"/>
        <v>0</v>
      </c>
      <c r="OM113" s="1319">
        <f t="shared" ca="1" si="1232"/>
        <v>0</v>
      </c>
      <c r="ON113" s="1319">
        <f t="shared" ca="1" si="1232"/>
        <v>0</v>
      </c>
      <c r="OO113" s="1319">
        <f t="shared" ca="1" si="1232"/>
        <v>0</v>
      </c>
      <c r="PA113" s="1319">
        <f t="shared" ca="1" si="1233"/>
        <v>0</v>
      </c>
      <c r="PB113" s="1319">
        <f t="shared" ca="1" si="1233"/>
        <v>0</v>
      </c>
      <c r="PC113" s="1319">
        <f t="shared" ca="1" si="1233"/>
        <v>0</v>
      </c>
      <c r="PD113" s="1319">
        <f t="shared" ca="1" si="1233"/>
        <v>0</v>
      </c>
      <c r="PE113" s="1319">
        <f t="shared" ca="1" si="1233"/>
        <v>0</v>
      </c>
      <c r="PF113" s="1319">
        <f t="shared" ca="1" si="1233"/>
        <v>0</v>
      </c>
      <c r="PG113" s="1319">
        <f t="shared" ca="1" si="1233"/>
        <v>0</v>
      </c>
      <c r="PH113" s="1319">
        <f t="shared" ca="1" si="1233"/>
        <v>0</v>
      </c>
      <c r="PI113" s="1319">
        <f t="shared" ca="1" si="1233"/>
        <v>0</v>
      </c>
      <c r="PJ113" s="1319">
        <f t="shared" ca="1" si="1233"/>
        <v>0</v>
      </c>
      <c r="PK113" s="1319">
        <f t="shared" ca="1" si="1233"/>
        <v>0</v>
      </c>
      <c r="PW113" s="1319">
        <f t="shared" ca="1" si="1234"/>
        <v>0</v>
      </c>
      <c r="PX113" s="1319">
        <f t="shared" ca="1" si="1234"/>
        <v>0</v>
      </c>
      <c r="PY113" s="1319">
        <f t="shared" ca="1" si="1234"/>
        <v>0</v>
      </c>
      <c r="PZ113" s="1319">
        <f t="shared" ca="1" si="1234"/>
        <v>0</v>
      </c>
    </row>
    <row r="114" spans="1:442" x14ac:dyDescent="0.25">
      <c r="A114" s="1315"/>
    </row>
    <row r="115" spans="1:442" x14ac:dyDescent="0.25">
      <c r="A115" s="189">
        <v>4</v>
      </c>
      <c r="B115" s="189" t="s">
        <v>1256</v>
      </c>
      <c r="C115" s="1317" t="s">
        <v>1285</v>
      </c>
      <c r="D115" s="1317" t="s">
        <v>206</v>
      </c>
      <c r="E115" s="1318">
        <v>18.015279999999997</v>
      </c>
      <c r="F115" s="1316">
        <v>0</v>
      </c>
      <c r="G115" s="1334"/>
      <c r="J115" s="1319">
        <f t="shared" ref="J115:K134" ca="1" si="1239">VLOOKUP(J$1,INDIRECT(LU_MAT),$A115,FALSE)*$F115/$E115</f>
        <v>0</v>
      </c>
      <c r="K115" s="1319">
        <f t="shared" ca="1" si="1239"/>
        <v>0</v>
      </c>
      <c r="Q115" s="1334"/>
      <c r="T115" s="1319">
        <f t="shared" ref="T115:AD124" ca="1" si="1240">VLOOKUP(T$1,INDIRECT(LU_MAT),$A115,FALSE)*$F115/$E115</f>
        <v>0</v>
      </c>
      <c r="U115" s="1319">
        <f t="shared" ca="1" si="1240"/>
        <v>0</v>
      </c>
      <c r="V115" s="1319">
        <f t="shared" ca="1" si="1240"/>
        <v>0</v>
      </c>
      <c r="W115" s="1319">
        <f t="shared" ca="1" si="1240"/>
        <v>0</v>
      </c>
      <c r="X115" s="1319">
        <f t="shared" ca="1" si="1240"/>
        <v>0</v>
      </c>
      <c r="Y115" s="1319">
        <f t="shared" ca="1" si="1240"/>
        <v>0</v>
      </c>
      <c r="Z115" s="1319">
        <f t="shared" ca="1" si="1240"/>
        <v>0</v>
      </c>
      <c r="AA115" s="1319">
        <f t="shared" ca="1" si="1240"/>
        <v>0</v>
      </c>
      <c r="AB115" s="1319">
        <f t="shared" ca="1" si="1240"/>
        <v>0</v>
      </c>
      <c r="AC115" s="1319">
        <f t="shared" ca="1" si="1240"/>
        <v>0</v>
      </c>
      <c r="AD115" s="1319">
        <f t="shared" ca="1" si="1240"/>
        <v>0</v>
      </c>
      <c r="AJ115" s="1334"/>
      <c r="AM115" s="1319">
        <f t="shared" ref="AM115:BB124" ca="1" si="1241">VLOOKUP(AM$1,INDIRECT(LU_MAT),$A115,FALSE)*$F115/$E115</f>
        <v>0</v>
      </c>
      <c r="AN115" s="1319">
        <f t="shared" ca="1" si="1241"/>
        <v>0</v>
      </c>
      <c r="AO115" s="1319">
        <f t="shared" ca="1" si="1241"/>
        <v>0</v>
      </c>
      <c r="AP115" s="1319">
        <f t="shared" ca="1" si="1241"/>
        <v>0</v>
      </c>
      <c r="AQ115" s="1319">
        <f t="shared" ca="1" si="1241"/>
        <v>0</v>
      </c>
      <c r="AR115" s="1319">
        <f t="shared" ca="1" si="1241"/>
        <v>0</v>
      </c>
      <c r="AS115" s="1319">
        <f t="shared" ca="1" si="1241"/>
        <v>0</v>
      </c>
      <c r="AT115" s="1319">
        <f t="shared" ca="1" si="1241"/>
        <v>0</v>
      </c>
      <c r="AU115" s="1319">
        <f t="shared" ca="1" si="1241"/>
        <v>0</v>
      </c>
      <c r="AV115" s="1319">
        <f t="shared" ca="1" si="1241"/>
        <v>0</v>
      </c>
      <c r="AW115" s="1319">
        <f t="shared" ca="1" si="1241"/>
        <v>0</v>
      </c>
      <c r="AX115" s="1319">
        <f t="shared" ca="1" si="1241"/>
        <v>0</v>
      </c>
      <c r="AY115" s="1319">
        <f t="shared" ca="1" si="1241"/>
        <v>0</v>
      </c>
      <c r="AZ115" s="1319">
        <f t="shared" ca="1" si="1241"/>
        <v>0</v>
      </c>
      <c r="BA115" s="1319">
        <f t="shared" ca="1" si="1241"/>
        <v>0</v>
      </c>
      <c r="BB115" s="1319">
        <f t="shared" ca="1" si="1241"/>
        <v>0</v>
      </c>
      <c r="BK115" s="1334"/>
      <c r="BN115" s="1319">
        <f t="shared" ref="BN115:BR124" ca="1" si="1242">VLOOKUP(BN$1,INDIRECT(LU_MAT),$A115,FALSE)*$F115/$E115</f>
        <v>0</v>
      </c>
      <c r="BO115" s="1319">
        <f t="shared" ca="1" si="1242"/>
        <v>0</v>
      </c>
      <c r="BP115" s="1319">
        <f t="shared" ca="1" si="1242"/>
        <v>0</v>
      </c>
      <c r="BQ115" s="1319">
        <f t="shared" ca="1" si="1242"/>
        <v>0</v>
      </c>
      <c r="BR115" s="1319">
        <f t="shared" ca="1" si="1242"/>
        <v>0</v>
      </c>
      <c r="CA115" s="1334"/>
      <c r="CD115" s="1319">
        <f t="shared" ref="CD115:CO124" ca="1" si="1243">VLOOKUP(CD$1,INDIRECT(LU_MAT),$A115,FALSE)*$F115/$E115</f>
        <v>0</v>
      </c>
      <c r="CE115" s="1319">
        <f t="shared" ca="1" si="1243"/>
        <v>0</v>
      </c>
      <c r="CF115" s="1319">
        <f t="shared" ca="1" si="1243"/>
        <v>0</v>
      </c>
      <c r="CG115" s="1319">
        <f t="shared" ca="1" si="1243"/>
        <v>0</v>
      </c>
      <c r="CH115" s="1319">
        <f t="shared" ca="1" si="1243"/>
        <v>0</v>
      </c>
      <c r="CI115" s="1319">
        <f t="shared" ca="1" si="1243"/>
        <v>0</v>
      </c>
      <c r="CJ115" s="1319">
        <f t="shared" ca="1" si="1243"/>
        <v>0</v>
      </c>
      <c r="CK115" s="1319">
        <f t="shared" ca="1" si="1243"/>
        <v>0</v>
      </c>
      <c r="CL115" s="1319">
        <f t="shared" ca="1" si="1243"/>
        <v>0</v>
      </c>
      <c r="CM115" s="1319">
        <f t="shared" ca="1" si="1243"/>
        <v>0</v>
      </c>
      <c r="CN115" s="1319">
        <f t="shared" ca="1" si="1243"/>
        <v>0</v>
      </c>
      <c r="CO115" s="1319">
        <f t="shared" ca="1" si="1243"/>
        <v>0</v>
      </c>
      <c r="CX115" s="1334"/>
      <c r="DA115" s="1319">
        <f t="shared" ref="DA115:DJ124" ca="1" si="1244">VLOOKUP(DA$1,INDIRECT(LU_MAT),$A115,FALSE)*$F115/$E115</f>
        <v>0</v>
      </c>
      <c r="DB115" s="1319">
        <f t="shared" ca="1" si="1244"/>
        <v>0</v>
      </c>
      <c r="DC115" s="1319">
        <f t="shared" ca="1" si="1244"/>
        <v>0</v>
      </c>
      <c r="DD115" s="1319">
        <f t="shared" ca="1" si="1244"/>
        <v>0</v>
      </c>
      <c r="DE115" s="1319">
        <f t="shared" ca="1" si="1244"/>
        <v>0</v>
      </c>
      <c r="DF115" s="1319">
        <f t="shared" ca="1" si="1244"/>
        <v>0</v>
      </c>
      <c r="DG115" s="1319">
        <f t="shared" ca="1" si="1244"/>
        <v>0</v>
      </c>
      <c r="DH115" s="1319">
        <f t="shared" ca="1" si="1244"/>
        <v>0</v>
      </c>
      <c r="DI115" s="1319">
        <f t="shared" ca="1" si="1244"/>
        <v>0</v>
      </c>
      <c r="DJ115" s="1319">
        <f t="shared" ca="1" si="1244"/>
        <v>0</v>
      </c>
      <c r="DS115" s="1334"/>
      <c r="DV115" s="1319">
        <f t="shared" ref="DV115:EK124" ca="1" si="1245">VLOOKUP(DV$1,INDIRECT(LU_MAT),$A115,FALSE)*$F115/$E115</f>
        <v>0</v>
      </c>
      <c r="DW115" s="1319">
        <f t="shared" ca="1" si="1245"/>
        <v>0</v>
      </c>
      <c r="DX115" s="1319">
        <f t="shared" ca="1" si="1245"/>
        <v>0</v>
      </c>
      <c r="DY115" s="1319">
        <f t="shared" ca="1" si="1245"/>
        <v>0</v>
      </c>
      <c r="DZ115" s="1319">
        <f t="shared" ca="1" si="1245"/>
        <v>0</v>
      </c>
      <c r="EA115" s="1319">
        <f t="shared" ca="1" si="1245"/>
        <v>0</v>
      </c>
      <c r="EB115" s="1319">
        <f t="shared" ca="1" si="1245"/>
        <v>0</v>
      </c>
      <c r="EC115" s="1319">
        <f t="shared" ca="1" si="1245"/>
        <v>0</v>
      </c>
      <c r="ED115" s="1319">
        <f t="shared" ca="1" si="1245"/>
        <v>0</v>
      </c>
      <c r="EE115" s="1319">
        <f t="shared" ca="1" si="1245"/>
        <v>0</v>
      </c>
      <c r="EF115" s="1319">
        <f t="shared" ca="1" si="1245"/>
        <v>0</v>
      </c>
      <c r="EG115" s="1319">
        <f t="shared" ca="1" si="1245"/>
        <v>0</v>
      </c>
      <c r="EH115" s="1319">
        <f t="shared" ca="1" si="1245"/>
        <v>0</v>
      </c>
      <c r="EI115" s="1319">
        <f t="shared" ca="1" si="1245"/>
        <v>0</v>
      </c>
      <c r="EJ115" s="1319">
        <f t="shared" ca="1" si="1245"/>
        <v>0</v>
      </c>
      <c r="EK115" s="1319">
        <f t="shared" ca="1" si="1245"/>
        <v>0</v>
      </c>
      <c r="ET115" s="1334"/>
      <c r="EW115" s="1319">
        <f t="shared" ref="EW115:FB124" ca="1" si="1246">VLOOKUP(EW$1,INDIRECT(LU_MAT),$A115,FALSE)*$F115/$E115</f>
        <v>0</v>
      </c>
      <c r="EX115" s="1319">
        <f t="shared" ca="1" si="1246"/>
        <v>0</v>
      </c>
      <c r="EY115" s="1319">
        <f t="shared" ca="1" si="1246"/>
        <v>0</v>
      </c>
      <c r="EZ115" s="1319">
        <f t="shared" ca="1" si="1246"/>
        <v>0</v>
      </c>
      <c r="FA115" s="1319">
        <f t="shared" ca="1" si="1246"/>
        <v>0</v>
      </c>
      <c r="FB115" s="1319">
        <f t="shared" ca="1" si="1246"/>
        <v>0</v>
      </c>
      <c r="FK115" s="1334"/>
      <c r="FN115" s="1319">
        <f t="shared" ref="FN115:FX124" ca="1" si="1247">VLOOKUP(FN$1,INDIRECT(LU_MAT),$A115,FALSE)*$F115/$E115</f>
        <v>0</v>
      </c>
      <c r="FO115" s="1319">
        <f t="shared" ca="1" si="1247"/>
        <v>0</v>
      </c>
      <c r="FP115" s="1319">
        <f t="shared" ca="1" si="1247"/>
        <v>0</v>
      </c>
      <c r="FQ115" s="1319">
        <f t="shared" ca="1" si="1247"/>
        <v>0</v>
      </c>
      <c r="FR115" s="1319">
        <f t="shared" ca="1" si="1247"/>
        <v>0</v>
      </c>
      <c r="FS115" s="1319">
        <f t="shared" ca="1" si="1247"/>
        <v>0</v>
      </c>
      <c r="FT115" s="1319">
        <f t="shared" ca="1" si="1247"/>
        <v>0</v>
      </c>
      <c r="FU115" s="1319">
        <f t="shared" ca="1" si="1247"/>
        <v>0</v>
      </c>
      <c r="FV115" s="1319">
        <f t="shared" ca="1" si="1247"/>
        <v>0</v>
      </c>
      <c r="FW115" s="1319">
        <f t="shared" ca="1" si="1247"/>
        <v>0</v>
      </c>
      <c r="FX115" s="1319">
        <f t="shared" ca="1" si="1247"/>
        <v>0</v>
      </c>
      <c r="GG115" s="1334"/>
      <c r="GJ115" s="1319">
        <f t="shared" ref="GJ115:GQ124" ca="1" si="1248">VLOOKUP(GJ$1,INDIRECT(LU_MAT),$A115,FALSE)*$F115/$E115</f>
        <v>0</v>
      </c>
      <c r="GK115" s="1319">
        <f t="shared" ca="1" si="1248"/>
        <v>0</v>
      </c>
      <c r="GL115" s="1319">
        <f t="shared" ca="1" si="1248"/>
        <v>0</v>
      </c>
      <c r="GM115" s="1319">
        <f t="shared" ca="1" si="1248"/>
        <v>0</v>
      </c>
      <c r="GN115" s="1319">
        <f t="shared" ca="1" si="1248"/>
        <v>0</v>
      </c>
      <c r="GO115" s="1319">
        <f t="shared" ca="1" si="1248"/>
        <v>0</v>
      </c>
      <c r="GP115" s="1319">
        <f t="shared" ca="1" si="1248"/>
        <v>0</v>
      </c>
      <c r="GQ115" s="1319">
        <f t="shared" ca="1" si="1248"/>
        <v>0</v>
      </c>
      <c r="GZ115" s="1334"/>
      <c r="HC115" s="1319">
        <f t="shared" ref="HC115:HH124" ca="1" si="1249">VLOOKUP(HC$1,INDIRECT(LU_MAT),$A115,FALSE)*$F115/$E115</f>
        <v>0</v>
      </c>
      <c r="HD115" s="1319">
        <f t="shared" ca="1" si="1249"/>
        <v>0</v>
      </c>
      <c r="HE115" s="1319">
        <f t="shared" ca="1" si="1249"/>
        <v>0</v>
      </c>
      <c r="HF115" s="1319">
        <f t="shared" ca="1" si="1249"/>
        <v>0</v>
      </c>
      <c r="HG115" s="1319">
        <f t="shared" ca="1" si="1249"/>
        <v>0</v>
      </c>
      <c r="HH115" s="1319">
        <f t="shared" ca="1" si="1249"/>
        <v>0</v>
      </c>
      <c r="HQ115" s="1334"/>
      <c r="HT115" s="1319">
        <f t="shared" ref="HT115:IE124" ca="1" si="1250">VLOOKUP(HT$1,INDIRECT(LU_MAT),$A115,FALSE)*$F115/$E115</f>
        <v>0</v>
      </c>
      <c r="HU115" s="1319">
        <f t="shared" ca="1" si="1250"/>
        <v>0</v>
      </c>
      <c r="HV115" s="1319">
        <f t="shared" ca="1" si="1250"/>
        <v>0</v>
      </c>
      <c r="HW115" s="1319">
        <f t="shared" ca="1" si="1250"/>
        <v>0</v>
      </c>
      <c r="HX115" s="1319">
        <f t="shared" ca="1" si="1250"/>
        <v>0</v>
      </c>
      <c r="HY115" s="1319">
        <f t="shared" ca="1" si="1250"/>
        <v>0</v>
      </c>
      <c r="HZ115" s="1319">
        <f t="shared" ca="1" si="1250"/>
        <v>0</v>
      </c>
      <c r="IA115" s="1319">
        <f t="shared" ca="1" si="1250"/>
        <v>0</v>
      </c>
      <c r="IB115" s="1319">
        <f t="shared" ca="1" si="1250"/>
        <v>0</v>
      </c>
      <c r="IC115" s="1319">
        <f t="shared" ca="1" si="1250"/>
        <v>0</v>
      </c>
      <c r="ID115" s="1319">
        <f t="shared" ca="1" si="1250"/>
        <v>0</v>
      </c>
      <c r="IE115" s="1319">
        <f t="shared" ca="1" si="1250"/>
        <v>0</v>
      </c>
      <c r="IN115" s="1334"/>
      <c r="IQ115" s="1319">
        <f t="shared" ref="IQ115:JA124" ca="1" si="1251">VLOOKUP(IQ$1,INDIRECT(LU_MAT),$A115,FALSE)*$F115/$E115</f>
        <v>0</v>
      </c>
      <c r="IR115" s="1319">
        <f t="shared" ca="1" si="1251"/>
        <v>0</v>
      </c>
      <c r="IS115" s="1319">
        <f t="shared" ca="1" si="1251"/>
        <v>0</v>
      </c>
      <c r="IT115" s="1319">
        <f t="shared" ca="1" si="1251"/>
        <v>0</v>
      </c>
      <c r="IU115" s="1319">
        <f t="shared" ca="1" si="1251"/>
        <v>0</v>
      </c>
      <c r="IV115" s="1319">
        <f t="shared" ca="1" si="1251"/>
        <v>0</v>
      </c>
      <c r="IW115" s="1319">
        <f t="shared" ca="1" si="1251"/>
        <v>0</v>
      </c>
      <c r="IX115" s="1319">
        <f t="shared" ca="1" si="1251"/>
        <v>0</v>
      </c>
      <c r="IY115" s="1319">
        <f t="shared" ca="1" si="1251"/>
        <v>0</v>
      </c>
      <c r="IZ115" s="1319">
        <f t="shared" ca="1" si="1251"/>
        <v>0</v>
      </c>
      <c r="JA115" s="1319">
        <f t="shared" ca="1" si="1251"/>
        <v>0</v>
      </c>
      <c r="JB115" s="1319">
        <f t="shared" ref="JB115:JH124" ca="1" si="1252">VLOOKUP(JB$1,INDIRECT(LU_MAT),$A115,FALSE)*$F115/$E115</f>
        <v>0</v>
      </c>
      <c r="JC115" s="1319">
        <f t="shared" ca="1" si="1252"/>
        <v>0</v>
      </c>
      <c r="JD115" s="1319">
        <f t="shared" ca="1" si="1252"/>
        <v>0</v>
      </c>
      <c r="JE115" s="1319">
        <f t="shared" ca="1" si="1252"/>
        <v>0</v>
      </c>
      <c r="JF115" s="1319">
        <f t="shared" ca="1" si="1252"/>
        <v>0</v>
      </c>
      <c r="JG115" s="1319">
        <f t="shared" ca="1" si="1252"/>
        <v>0</v>
      </c>
      <c r="JH115" s="1319">
        <f t="shared" ca="1" si="1252"/>
        <v>0</v>
      </c>
      <c r="JQ115" s="1334"/>
      <c r="JT115" s="1319">
        <f t="shared" ref="JT115:KC124" ca="1" si="1253">VLOOKUP(JT$1,INDIRECT(LU_MAT),$A115,FALSE)*$F115/$E115</f>
        <v>0</v>
      </c>
      <c r="JU115" s="1319">
        <f t="shared" ca="1" si="1253"/>
        <v>0</v>
      </c>
      <c r="JV115" s="1319">
        <f t="shared" ca="1" si="1253"/>
        <v>0</v>
      </c>
      <c r="JW115" s="1319">
        <f t="shared" ca="1" si="1253"/>
        <v>0</v>
      </c>
      <c r="JX115" s="1319">
        <f t="shared" ca="1" si="1253"/>
        <v>0</v>
      </c>
      <c r="JY115" s="1319">
        <f t="shared" ca="1" si="1253"/>
        <v>0</v>
      </c>
      <c r="JZ115" s="1319">
        <f t="shared" ca="1" si="1253"/>
        <v>0</v>
      </c>
      <c r="KA115" s="1319">
        <f t="shared" ca="1" si="1253"/>
        <v>0</v>
      </c>
      <c r="KB115" s="1319">
        <f t="shared" ca="1" si="1253"/>
        <v>0</v>
      </c>
      <c r="KC115" s="1319">
        <f t="shared" ca="1" si="1253"/>
        <v>0</v>
      </c>
      <c r="KI115" s="1334"/>
      <c r="KL115" s="1319">
        <f t="shared" ref="KL115:KR124" ca="1" si="1254">VLOOKUP(KL$1,INDIRECT(LU_MAT),$A115,FALSE)*$F115/$E115</f>
        <v>0</v>
      </c>
      <c r="KM115" s="1319">
        <f t="shared" ca="1" si="1254"/>
        <v>0</v>
      </c>
      <c r="KN115" s="1319">
        <f t="shared" ca="1" si="1254"/>
        <v>0</v>
      </c>
      <c r="KO115" s="1319">
        <f t="shared" ca="1" si="1254"/>
        <v>0</v>
      </c>
      <c r="KP115" s="1319">
        <f t="shared" ca="1" si="1254"/>
        <v>0</v>
      </c>
      <c r="KQ115" s="1319">
        <f t="shared" ca="1" si="1254"/>
        <v>0</v>
      </c>
      <c r="KR115" s="1319">
        <f t="shared" ca="1" si="1254"/>
        <v>0</v>
      </c>
      <c r="KX115" s="1334"/>
      <c r="LA115" s="1319">
        <f t="shared" ref="LA115:LK124" ca="1" si="1255">VLOOKUP(LA$1,INDIRECT(LU_MAT),$A115,FALSE)*$F115/$E115</f>
        <v>0</v>
      </c>
      <c r="LB115" s="1319">
        <f t="shared" ca="1" si="1255"/>
        <v>0</v>
      </c>
      <c r="LC115" s="1319">
        <f t="shared" ca="1" si="1255"/>
        <v>0</v>
      </c>
      <c r="LD115" s="1319">
        <f t="shared" ca="1" si="1255"/>
        <v>0</v>
      </c>
      <c r="LE115" s="1319">
        <f t="shared" ca="1" si="1255"/>
        <v>0</v>
      </c>
      <c r="LF115" s="1319">
        <f t="shared" ca="1" si="1255"/>
        <v>0</v>
      </c>
      <c r="LG115" s="1319">
        <f t="shared" ca="1" si="1255"/>
        <v>0</v>
      </c>
      <c r="LH115" s="1319">
        <f t="shared" ca="1" si="1255"/>
        <v>0</v>
      </c>
      <c r="LI115" s="1319">
        <f t="shared" ca="1" si="1255"/>
        <v>0</v>
      </c>
      <c r="LJ115" s="1319">
        <f t="shared" ca="1" si="1255"/>
        <v>0</v>
      </c>
      <c r="LK115" s="1319">
        <f t="shared" ca="1" si="1255"/>
        <v>0</v>
      </c>
      <c r="LT115" s="1334"/>
      <c r="LW115" s="1319">
        <f t="shared" ref="LW115:MF124" ca="1" si="1256">VLOOKUP(LW$1,INDIRECT(LU_MAT),$A115,FALSE)*$F115/$E115</f>
        <v>0</v>
      </c>
      <c r="LX115" s="1319">
        <f t="shared" ca="1" si="1256"/>
        <v>0</v>
      </c>
      <c r="LY115" s="1319">
        <f t="shared" ca="1" si="1256"/>
        <v>0</v>
      </c>
      <c r="LZ115" s="1319">
        <f t="shared" ca="1" si="1256"/>
        <v>0</v>
      </c>
      <c r="MA115" s="1319">
        <f t="shared" ca="1" si="1256"/>
        <v>0</v>
      </c>
      <c r="MB115" s="1319">
        <f t="shared" ca="1" si="1256"/>
        <v>0</v>
      </c>
      <c r="MC115" s="1319">
        <f t="shared" ca="1" si="1256"/>
        <v>0</v>
      </c>
      <c r="MD115" s="1319">
        <f t="shared" ca="1" si="1256"/>
        <v>0</v>
      </c>
      <c r="ME115" s="1319">
        <f t="shared" ca="1" si="1256"/>
        <v>0</v>
      </c>
      <c r="MF115" s="1319">
        <f t="shared" ca="1" si="1256"/>
        <v>0</v>
      </c>
      <c r="MG115" s="1319">
        <f t="shared" ref="MG115:MO124" ca="1" si="1257">VLOOKUP(MG$1,INDIRECT(LU_MAT),$A115,FALSE)*$F115/$E115</f>
        <v>0</v>
      </c>
      <c r="MH115" s="1319">
        <f t="shared" ca="1" si="1257"/>
        <v>0</v>
      </c>
      <c r="MI115" s="1319">
        <f t="shared" ca="1" si="1257"/>
        <v>0</v>
      </c>
      <c r="MJ115" s="1319">
        <f t="shared" ca="1" si="1257"/>
        <v>0</v>
      </c>
      <c r="MK115" s="1319">
        <f t="shared" ca="1" si="1257"/>
        <v>0</v>
      </c>
      <c r="ML115" s="1319">
        <f t="shared" ca="1" si="1257"/>
        <v>0</v>
      </c>
      <c r="MM115" s="1319">
        <f t="shared" ca="1" si="1257"/>
        <v>0</v>
      </c>
      <c r="MN115" s="1319">
        <f t="shared" ca="1" si="1257"/>
        <v>0</v>
      </c>
      <c r="MO115" s="1319">
        <f t="shared" ca="1" si="1257"/>
        <v>0</v>
      </c>
      <c r="MX115" s="1334"/>
      <c r="NA115" s="1319">
        <f t="shared" ref="NA115:NP124" ca="1" si="1258">VLOOKUP(NA$1,INDIRECT(LU_MAT),$A115,FALSE)*$F115/$E115</f>
        <v>0</v>
      </c>
      <c r="NB115" s="1319">
        <f t="shared" ca="1" si="1258"/>
        <v>0</v>
      </c>
      <c r="NC115" s="1319">
        <f t="shared" ca="1" si="1258"/>
        <v>0</v>
      </c>
      <c r="ND115" s="1319">
        <f t="shared" ca="1" si="1258"/>
        <v>0</v>
      </c>
      <c r="NE115" s="1319">
        <f t="shared" ca="1" si="1258"/>
        <v>0</v>
      </c>
      <c r="NF115" s="1319">
        <f t="shared" ca="1" si="1258"/>
        <v>0</v>
      </c>
      <c r="NG115" s="1319">
        <f t="shared" ca="1" si="1258"/>
        <v>0</v>
      </c>
      <c r="NH115" s="1319">
        <f t="shared" ca="1" si="1258"/>
        <v>0</v>
      </c>
      <c r="NI115" s="1319">
        <f t="shared" ca="1" si="1258"/>
        <v>0</v>
      </c>
      <c r="NJ115" s="1319">
        <f t="shared" ca="1" si="1258"/>
        <v>0</v>
      </c>
      <c r="NK115" s="1319">
        <f t="shared" ca="1" si="1258"/>
        <v>0</v>
      </c>
      <c r="NL115" s="1319">
        <f t="shared" ca="1" si="1258"/>
        <v>0</v>
      </c>
      <c r="NM115" s="1319">
        <f t="shared" ca="1" si="1258"/>
        <v>0</v>
      </c>
      <c r="NN115" s="1319">
        <f t="shared" ca="1" si="1258"/>
        <v>0</v>
      </c>
      <c r="NO115" s="1319">
        <f t="shared" ca="1" si="1258"/>
        <v>0</v>
      </c>
      <c r="NP115" s="1319">
        <f t="shared" ca="1" si="1258"/>
        <v>0</v>
      </c>
      <c r="NY115" s="1334"/>
      <c r="OE115" s="1334"/>
      <c r="OH115" s="1319">
        <f t="shared" ref="OH115:OO124" ca="1" si="1259">VLOOKUP(OH$1,INDIRECT(LU_MAT),$A115,FALSE)*$F115/$E115</f>
        <v>0</v>
      </c>
      <c r="OI115" s="1319">
        <f t="shared" ca="1" si="1259"/>
        <v>0</v>
      </c>
      <c r="OJ115" s="1319">
        <f t="shared" ca="1" si="1259"/>
        <v>0</v>
      </c>
      <c r="OK115" s="1319">
        <f t="shared" ca="1" si="1259"/>
        <v>0</v>
      </c>
      <c r="OL115" s="1319">
        <f t="shared" ca="1" si="1259"/>
        <v>0</v>
      </c>
      <c r="OM115" s="1319">
        <f t="shared" ca="1" si="1259"/>
        <v>0</v>
      </c>
      <c r="ON115" s="1319">
        <f t="shared" ca="1" si="1259"/>
        <v>0</v>
      </c>
      <c r="OO115" s="1319">
        <f t="shared" ca="1" si="1259"/>
        <v>0</v>
      </c>
      <c r="OX115" s="1334"/>
      <c r="PA115" s="1319">
        <f t="shared" ref="PA115:PK124" ca="1" si="1260">VLOOKUP(PA$1,INDIRECT(LU_MAT),$A115,FALSE)*$F115/$E115</f>
        <v>0</v>
      </c>
      <c r="PB115" s="1319">
        <f t="shared" ca="1" si="1260"/>
        <v>0</v>
      </c>
      <c r="PC115" s="1319">
        <f t="shared" ca="1" si="1260"/>
        <v>0</v>
      </c>
      <c r="PD115" s="1319">
        <f t="shared" ca="1" si="1260"/>
        <v>0</v>
      </c>
      <c r="PE115" s="1319">
        <f t="shared" ca="1" si="1260"/>
        <v>0</v>
      </c>
      <c r="PF115" s="1319">
        <f t="shared" ca="1" si="1260"/>
        <v>0</v>
      </c>
      <c r="PG115" s="1319">
        <f t="shared" ca="1" si="1260"/>
        <v>0</v>
      </c>
      <c r="PH115" s="1319">
        <f t="shared" ca="1" si="1260"/>
        <v>0</v>
      </c>
      <c r="PI115" s="1319">
        <f t="shared" ca="1" si="1260"/>
        <v>0</v>
      </c>
      <c r="PJ115" s="1319">
        <f t="shared" ca="1" si="1260"/>
        <v>0</v>
      </c>
      <c r="PK115" s="1319">
        <f t="shared" ca="1" si="1260"/>
        <v>0</v>
      </c>
      <c r="PT115" s="1334"/>
      <c r="PW115" s="1319">
        <f t="shared" ref="PW115:PZ134" ca="1" si="1261">VLOOKUP(PW$1,INDIRECT(LU_MAT),$A115,FALSE)*$F115/$E115</f>
        <v>0</v>
      </c>
      <c r="PX115" s="1319">
        <f t="shared" ca="1" si="1261"/>
        <v>0</v>
      </c>
      <c r="PY115" s="1319">
        <f t="shared" ca="1" si="1261"/>
        <v>0</v>
      </c>
      <c r="PZ115" s="1319">
        <f t="shared" ca="1" si="1261"/>
        <v>0</v>
      </c>
    </row>
    <row r="116" spans="1:442" x14ac:dyDescent="0.25">
      <c r="A116" s="189">
        <v>5</v>
      </c>
      <c r="B116" s="189" t="s">
        <v>1256</v>
      </c>
      <c r="C116" s="1317" t="s">
        <v>1284</v>
      </c>
      <c r="D116" s="1317" t="s">
        <v>206</v>
      </c>
      <c r="E116" s="1318">
        <v>46.069040000000001</v>
      </c>
      <c r="F116" s="1316">
        <v>-0.29496760951000001</v>
      </c>
      <c r="G116" s="1334"/>
      <c r="J116" s="1319">
        <f t="shared" ca="1" si="1239"/>
        <v>0</v>
      </c>
      <c r="K116" s="1319">
        <f t="shared" ca="1" si="1239"/>
        <v>0</v>
      </c>
      <c r="Q116" s="1334"/>
      <c r="T116" s="1319">
        <f t="shared" ca="1" si="1240"/>
        <v>0</v>
      </c>
      <c r="U116" s="1319">
        <f t="shared" ca="1" si="1240"/>
        <v>0</v>
      </c>
      <c r="V116" s="1319">
        <f t="shared" ca="1" si="1240"/>
        <v>-0.11793979165899797</v>
      </c>
      <c r="W116" s="1319">
        <f t="shared" ca="1" si="1240"/>
        <v>0</v>
      </c>
      <c r="X116" s="1319">
        <f t="shared" ca="1" si="1240"/>
        <v>0</v>
      </c>
      <c r="Y116" s="1319">
        <f t="shared" ca="1" si="1240"/>
        <v>-0.11793979165899797</v>
      </c>
      <c r="Z116" s="1319">
        <f t="shared" ca="1" si="1240"/>
        <v>-5.2829366706362485E-2</v>
      </c>
      <c r="AA116" s="1319">
        <f t="shared" ca="1" si="1240"/>
        <v>-6.5110424760553606E-2</v>
      </c>
      <c r="AB116" s="1319">
        <f t="shared" ca="1" si="1240"/>
        <v>0</v>
      </c>
      <c r="AC116" s="1319">
        <f t="shared" ca="1" si="1240"/>
        <v>-0.11793979165899797</v>
      </c>
      <c r="AD116" s="1319">
        <f t="shared" ca="1" si="1240"/>
        <v>0</v>
      </c>
      <c r="AJ116" s="1334"/>
      <c r="AM116" s="1319">
        <f t="shared" ca="1" si="1241"/>
        <v>0</v>
      </c>
      <c r="AN116" s="1319">
        <f t="shared" ca="1" si="1241"/>
        <v>0</v>
      </c>
      <c r="AO116" s="1319">
        <f t="shared" ca="1" si="1241"/>
        <v>-6.5110424760553606E-2</v>
      </c>
      <c r="AP116" s="1319">
        <f t="shared" ca="1" si="1241"/>
        <v>-6.5110424760553606E-2</v>
      </c>
      <c r="AQ116" s="1319">
        <f t="shared" ca="1" si="1241"/>
        <v>-2.7475796505440065E-2</v>
      </c>
      <c r="AR116" s="1319">
        <f t="shared" ca="1" si="1241"/>
        <v>-5.1695605141913716E-2</v>
      </c>
      <c r="AS116" s="1319">
        <f t="shared" ca="1" si="1241"/>
        <v>-1.1337615836569507E-3</v>
      </c>
      <c r="AT116" s="1319">
        <f t="shared" ca="1" si="1241"/>
        <v>-7.1576024118849335E-2</v>
      </c>
      <c r="AU116" s="1319">
        <f t="shared" ca="1" si="1241"/>
        <v>-7.5953774004498559E-3</v>
      </c>
      <c r="AV116" s="1319">
        <f t="shared" ca="1" si="1241"/>
        <v>-3.7634628319140835E-2</v>
      </c>
      <c r="AW116" s="1319">
        <f t="shared" ca="1" si="1241"/>
        <v>-7.1576024118849335E-2</v>
      </c>
      <c r="AX116" s="1319">
        <f t="shared" ca="1" si="1241"/>
        <v>-8.0305163211802547E-2</v>
      </c>
      <c r="AY116" s="1319">
        <f t="shared" ca="1" si="1241"/>
        <v>0</v>
      </c>
      <c r="AZ116" s="1319">
        <f t="shared" ca="1" si="1241"/>
        <v>0</v>
      </c>
      <c r="BA116" s="1319">
        <f t="shared" ca="1" si="1241"/>
        <v>0</v>
      </c>
      <c r="BB116" s="1319">
        <f t="shared" ca="1" si="1241"/>
        <v>-3.7634628319140835E-2</v>
      </c>
      <c r="BK116" s="1334"/>
      <c r="BN116" s="1319">
        <f t="shared" ca="1" si="1242"/>
        <v>-3.7636464814093536E-3</v>
      </c>
      <c r="BO116" s="1319">
        <f t="shared" ca="1" si="1242"/>
        <v>-12.865410092934454</v>
      </c>
      <c r="BP116" s="1319">
        <f t="shared" ca="1" si="1242"/>
        <v>-0.20470240163340098</v>
      </c>
      <c r="BQ116" s="1319">
        <f t="shared" ca="1" si="1242"/>
        <v>0</v>
      </c>
      <c r="BR116" s="1319">
        <f t="shared" ca="1" si="1242"/>
        <v>0</v>
      </c>
      <c r="CA116" s="1334"/>
      <c r="CD116" s="1319">
        <f t="shared" ca="1" si="1243"/>
        <v>-3.7634628319140835E-2</v>
      </c>
      <c r="CE116" s="1319">
        <f t="shared" ca="1" si="1243"/>
        <v>-3.7634628319140835E-2</v>
      </c>
      <c r="CF116" s="1319">
        <f t="shared" ca="1" si="1243"/>
        <v>-3.7636464814093536E-3</v>
      </c>
      <c r="CG116" s="1319">
        <f t="shared" ca="1" si="1243"/>
        <v>-12.865410092934454</v>
      </c>
      <c r="CH116" s="1319">
        <f t="shared" ca="1" si="1243"/>
        <v>-3.7634628319140835E-2</v>
      </c>
      <c r="CI116" s="1319">
        <f t="shared" ca="1" si="1243"/>
        <v>0</v>
      </c>
      <c r="CJ116" s="1319">
        <f t="shared" ca="1" si="1243"/>
        <v>0</v>
      </c>
      <c r="CK116" s="1319">
        <f t="shared" ca="1" si="1243"/>
        <v>-137.76748703828775</v>
      </c>
      <c r="CL116" s="1319">
        <f t="shared" ca="1" si="1243"/>
        <v>-2.1158988133189789</v>
      </c>
      <c r="CM116" s="1319">
        <f t="shared" ca="1" si="1243"/>
        <v>0</v>
      </c>
      <c r="CN116" s="1319">
        <f t="shared" ca="1" si="1243"/>
        <v>-140.48006301051726</v>
      </c>
      <c r="CO116" s="1319">
        <f t="shared" ca="1" si="1243"/>
        <v>-2.7125764204205822</v>
      </c>
      <c r="CX116" s="1334"/>
      <c r="DA116" s="1319">
        <f t="shared" ca="1" si="1244"/>
        <v>0</v>
      </c>
      <c r="DB116" s="1319">
        <f t="shared" ca="1" si="1244"/>
        <v>0</v>
      </c>
      <c r="DC116" s="1319">
        <f t="shared" ca="1" si="1244"/>
        <v>0</v>
      </c>
      <c r="DD116" s="1319">
        <f t="shared" ca="1" si="1244"/>
        <v>0</v>
      </c>
      <c r="DE116" s="1319">
        <f t="shared" ca="1" si="1244"/>
        <v>0</v>
      </c>
      <c r="DF116" s="1319">
        <f t="shared" ca="1" si="1244"/>
        <v>0</v>
      </c>
      <c r="DG116" s="1319">
        <f t="shared" ca="1" si="1244"/>
        <v>0</v>
      </c>
      <c r="DH116" s="1319">
        <f t="shared" ca="1" si="1244"/>
        <v>0</v>
      </c>
      <c r="DI116" s="1319">
        <f t="shared" ca="1" si="1244"/>
        <v>0</v>
      </c>
      <c r="DJ116" s="1319">
        <f t="shared" ca="1" si="1244"/>
        <v>0</v>
      </c>
      <c r="DS116" s="1334"/>
      <c r="DV116" s="1319">
        <f t="shared" ca="1" si="1245"/>
        <v>0</v>
      </c>
      <c r="DW116" s="1319">
        <f t="shared" ca="1" si="1245"/>
        <v>0</v>
      </c>
      <c r="DX116" s="1319">
        <f t="shared" ca="1" si="1245"/>
        <v>0</v>
      </c>
      <c r="DY116" s="1319">
        <f t="shared" ca="1" si="1245"/>
        <v>0</v>
      </c>
      <c r="DZ116" s="1319">
        <f t="shared" ca="1" si="1245"/>
        <v>0</v>
      </c>
      <c r="EA116" s="1319">
        <f t="shared" ca="1" si="1245"/>
        <v>0</v>
      </c>
      <c r="EB116" s="1319">
        <f t="shared" ca="1" si="1245"/>
        <v>0</v>
      </c>
      <c r="EC116" s="1319">
        <f t="shared" ca="1" si="1245"/>
        <v>0</v>
      </c>
      <c r="ED116" s="1319">
        <f t="shared" ca="1" si="1245"/>
        <v>0</v>
      </c>
      <c r="EE116" s="1319">
        <f t="shared" ca="1" si="1245"/>
        <v>0</v>
      </c>
      <c r="EF116" s="1319">
        <f t="shared" ca="1" si="1245"/>
        <v>0</v>
      </c>
      <c r="EG116" s="1319">
        <f t="shared" ca="1" si="1245"/>
        <v>0</v>
      </c>
      <c r="EH116" s="1319">
        <f t="shared" ca="1" si="1245"/>
        <v>0</v>
      </c>
      <c r="EI116" s="1319">
        <f t="shared" ca="1" si="1245"/>
        <v>0</v>
      </c>
      <c r="EJ116" s="1319">
        <f t="shared" ca="1" si="1245"/>
        <v>0</v>
      </c>
      <c r="EK116" s="1319">
        <f t="shared" ca="1" si="1245"/>
        <v>0</v>
      </c>
      <c r="ET116" s="1334"/>
      <c r="EW116" s="1319">
        <f t="shared" ca="1" si="1246"/>
        <v>-140.48006301051726</v>
      </c>
      <c r="EX116" s="1319">
        <f t="shared" ca="1" si="1246"/>
        <v>-140.48006301051726</v>
      </c>
      <c r="EY116" s="1319">
        <f t="shared" ca="1" si="1246"/>
        <v>-1.1799294263884963</v>
      </c>
      <c r="EZ116" s="1319">
        <f t="shared" ca="1" si="1246"/>
        <v>-1.1799294263884963</v>
      </c>
      <c r="FA116" s="1319">
        <f t="shared" ca="1" si="1246"/>
        <v>-0.4196091549669913</v>
      </c>
      <c r="FB116" s="1319">
        <f t="shared" ca="1" si="1246"/>
        <v>-138.88052539981555</v>
      </c>
      <c r="FK116" s="1334"/>
      <c r="FN116" s="1319">
        <f t="shared" ca="1" si="1247"/>
        <v>-0.20470240163340098</v>
      </c>
      <c r="FO116" s="1319">
        <f t="shared" ca="1" si="1247"/>
        <v>-2.1158988133189789</v>
      </c>
      <c r="FP116" s="1319">
        <f t="shared" ca="1" si="1247"/>
        <v>-0.4196091549669913</v>
      </c>
      <c r="FQ116" s="1319">
        <f t="shared" ca="1" si="1247"/>
        <v>-138.88052539981555</v>
      </c>
      <c r="FR116" s="1319">
        <f t="shared" ca="1" si="1247"/>
        <v>-172.77691308321857</v>
      </c>
      <c r="FS116" s="1319">
        <f t="shared" ca="1" si="1247"/>
        <v>-0.11793979165899797</v>
      </c>
      <c r="FT116" s="1319">
        <f t="shared" ca="1" si="1247"/>
        <v>-34.014330061764788</v>
      </c>
      <c r="FU116" s="1319">
        <f t="shared" ca="1" si="1247"/>
        <v>-2.7402103711999168</v>
      </c>
      <c r="FV116" s="1319">
        <f t="shared" ca="1" si="1247"/>
        <v>0</v>
      </c>
      <c r="FW116" s="1319">
        <f t="shared" ca="1" si="1247"/>
        <v>-2.7633955389300417E-2</v>
      </c>
      <c r="FX116" s="1319">
        <f t="shared" ca="1" si="1247"/>
        <v>-2.7125764204205822</v>
      </c>
      <c r="GG116" s="1334"/>
      <c r="GJ116" s="1319">
        <f t="shared" ca="1" si="1248"/>
        <v>-172.77691308321857</v>
      </c>
      <c r="GK116" s="1319">
        <f t="shared" ca="1" si="1248"/>
        <v>-172.77691308321857</v>
      </c>
      <c r="GL116" s="1319">
        <f t="shared" ca="1" si="1248"/>
        <v>-34.014333647293405</v>
      </c>
      <c r="GM116" s="1319">
        <f t="shared" ca="1" si="1248"/>
        <v>-138.76257943592518</v>
      </c>
      <c r="GN116" s="1319">
        <f t="shared" ca="1" si="1248"/>
        <v>-138.76257943592518</v>
      </c>
      <c r="GO116" s="1319">
        <f t="shared" ca="1" si="1248"/>
        <v>-34.014333647293405</v>
      </c>
      <c r="GP116" s="1319">
        <f t="shared" ca="1" si="1248"/>
        <v>-138.76257943592518</v>
      </c>
      <c r="GQ116" s="1319">
        <f t="shared" ca="1" si="1248"/>
        <v>-34.014330061764788</v>
      </c>
      <c r="GZ116" s="1334"/>
      <c r="HC116" s="1319">
        <f t="shared" ca="1" si="1249"/>
        <v>-1.1799294263884963</v>
      </c>
      <c r="HD116" s="1319">
        <f t="shared" ca="1" si="1249"/>
        <v>-1.1359987934463656</v>
      </c>
      <c r="HE116" s="1319">
        <f t="shared" ca="1" si="1249"/>
        <v>0</v>
      </c>
      <c r="HF116" s="1319">
        <f t="shared" ca="1" si="1249"/>
        <v>-7.4933637970010063E-3</v>
      </c>
      <c r="HG116" s="1319">
        <f t="shared" ca="1" si="1249"/>
        <v>-3.6437269465266348E-2</v>
      </c>
      <c r="HH116" s="1319">
        <f t="shared" ca="1" si="1249"/>
        <v>-1.1359987934463656</v>
      </c>
      <c r="HQ116" s="1334"/>
      <c r="HT116" s="1319">
        <f t="shared" ca="1" si="1250"/>
        <v>-8.0305163211802547E-2</v>
      </c>
      <c r="HU116" s="1319">
        <f t="shared" ca="1" si="1250"/>
        <v>-1.1359987934463656</v>
      </c>
      <c r="HV116" s="1319">
        <f t="shared" ca="1" si="1250"/>
        <v>-1.216303961140079</v>
      </c>
      <c r="HW116" s="1319">
        <f t="shared" ca="1" si="1250"/>
        <v>-1.216303961140079</v>
      </c>
      <c r="HX116" s="1319">
        <f t="shared" ca="1" si="1250"/>
        <v>-9.8369419424257407E-2</v>
      </c>
      <c r="HY116" s="1319">
        <f t="shared" ca="1" si="1250"/>
        <v>-7.4804265694741528E-3</v>
      </c>
      <c r="HZ116" s="1319">
        <f t="shared" ca="1" si="1250"/>
        <v>-3.6184277319151253E-3</v>
      </c>
      <c r="IA116" s="1319">
        <f t="shared" ca="1" si="1250"/>
        <v>-9.1724735076676991E-7</v>
      </c>
      <c r="IB116" s="1319">
        <f t="shared" ca="1" si="1250"/>
        <v>0</v>
      </c>
      <c r="IC116" s="1319">
        <f t="shared" ca="1" si="1250"/>
        <v>0</v>
      </c>
      <c r="ID116" s="1319">
        <f t="shared" ca="1" si="1250"/>
        <v>0</v>
      </c>
      <c r="IE116" s="1319">
        <f t="shared" ca="1" si="1250"/>
        <v>0</v>
      </c>
      <c r="IN116" s="1334"/>
      <c r="IQ116" s="1319">
        <f t="shared" ca="1" si="1251"/>
        <v>-9.8369419424257407E-2</v>
      </c>
      <c r="IR116" s="1319">
        <f t="shared" ca="1" si="1251"/>
        <v>-7.4804265694741528E-3</v>
      </c>
      <c r="IS116" s="1319">
        <f t="shared" ca="1" si="1251"/>
        <v>-1.4401787912729096E-4</v>
      </c>
      <c r="IT116" s="1319">
        <f t="shared" ca="1" si="1251"/>
        <v>-7.6244444486014444E-3</v>
      </c>
      <c r="IU116" s="1319">
        <f t="shared" ca="1" si="1251"/>
        <v>-7.1158675630712195E-3</v>
      </c>
      <c r="IV116" s="1319">
        <f t="shared" ca="1" si="1251"/>
        <v>-4.2216468286493166E-3</v>
      </c>
      <c r="IW116" s="1319">
        <f t="shared" ca="1" si="1251"/>
        <v>-3.4564290990549825E-3</v>
      </c>
      <c r="IX116" s="1319">
        <f t="shared" ca="1" si="1251"/>
        <v>-1.3602180904357148E-4</v>
      </c>
      <c r="IY116" s="1319">
        <f t="shared" ca="1" si="1251"/>
        <v>-5.0857693675206074E-4</v>
      </c>
      <c r="IZ116" s="1319">
        <f t="shared" ca="1" si="1251"/>
        <v>-6.212002864929339E-4</v>
      </c>
      <c r="JA116" s="1319">
        <f t="shared" ca="1" si="1251"/>
        <v>-3.6004469781822737E-3</v>
      </c>
      <c r="JB116" s="1319">
        <f t="shared" ca="1" si="1252"/>
        <v>0</v>
      </c>
      <c r="JC116" s="1319">
        <f t="shared" ca="1" si="1252"/>
        <v>-6.202830391229589E-4</v>
      </c>
      <c r="JD116" s="1319">
        <f t="shared" ca="1" si="1252"/>
        <v>0</v>
      </c>
      <c r="JE116" s="1319">
        <f t="shared" ca="1" si="1252"/>
        <v>-6.212002864929339E-4</v>
      </c>
      <c r="JF116" s="1319">
        <f t="shared" ca="1" si="1252"/>
        <v>0</v>
      </c>
      <c r="JG116" s="1319">
        <f t="shared" ca="1" si="1252"/>
        <v>0</v>
      </c>
      <c r="JH116" s="1319">
        <f t="shared" ca="1" si="1252"/>
        <v>-9.1724735076676991E-7</v>
      </c>
      <c r="JQ116" s="1334"/>
      <c r="JT116" s="1319">
        <f t="shared" ca="1" si="1253"/>
        <v>0</v>
      </c>
      <c r="JU116" s="1319">
        <f t="shared" ca="1" si="1253"/>
        <v>0</v>
      </c>
      <c r="JV116" s="1319">
        <f t="shared" ca="1" si="1253"/>
        <v>0</v>
      </c>
      <c r="JW116" s="1319">
        <f t="shared" ca="1" si="1253"/>
        <v>0</v>
      </c>
      <c r="JX116" s="1319">
        <f t="shared" ca="1" si="1253"/>
        <v>-138.76257943592518</v>
      </c>
      <c r="JY116" s="1319">
        <f t="shared" ca="1" si="1253"/>
        <v>0</v>
      </c>
      <c r="JZ116" s="1319">
        <f t="shared" ca="1" si="1253"/>
        <v>-138.76257943592518</v>
      </c>
      <c r="KA116" s="1319">
        <f t="shared" ca="1" si="1253"/>
        <v>0</v>
      </c>
      <c r="KB116" s="1319">
        <f t="shared" ca="1" si="1253"/>
        <v>0</v>
      </c>
      <c r="KC116" s="1319">
        <f t="shared" ca="1" si="1253"/>
        <v>0</v>
      </c>
      <c r="KI116" s="1334"/>
      <c r="KL116" s="1319">
        <f t="shared" ca="1" si="1254"/>
        <v>0</v>
      </c>
      <c r="KM116" s="1319">
        <f t="shared" ca="1" si="1254"/>
        <v>0</v>
      </c>
      <c r="KN116" s="1319">
        <f t="shared" ca="1" si="1254"/>
        <v>0</v>
      </c>
      <c r="KO116" s="1319">
        <f t="shared" ca="1" si="1254"/>
        <v>0</v>
      </c>
      <c r="KP116" s="1319">
        <f t="shared" ca="1" si="1254"/>
        <v>0</v>
      </c>
      <c r="KQ116" s="1319">
        <f t="shared" ca="1" si="1254"/>
        <v>0</v>
      </c>
      <c r="KR116" s="1319">
        <f t="shared" ca="1" si="1254"/>
        <v>0</v>
      </c>
      <c r="KX116" s="1334"/>
      <c r="LA116" s="1319">
        <f t="shared" ca="1" si="1255"/>
        <v>-7.4933637970010063E-3</v>
      </c>
      <c r="LB116" s="1319">
        <f t="shared" ca="1" si="1255"/>
        <v>-3.6184277319151253E-3</v>
      </c>
      <c r="LC116" s="1319">
        <f t="shared" ca="1" si="1255"/>
        <v>-1.1111791496902482E-2</v>
      </c>
      <c r="LD116" s="1319">
        <f t="shared" ca="1" si="1255"/>
        <v>-1.1111791496902482E-2</v>
      </c>
      <c r="LE116" s="1319">
        <f t="shared" ca="1" si="1255"/>
        <v>0</v>
      </c>
      <c r="LF116" s="1319">
        <f t="shared" ca="1" si="1255"/>
        <v>0</v>
      </c>
      <c r="LG116" s="1319">
        <f t="shared" ca="1" si="1255"/>
        <v>0</v>
      </c>
      <c r="LH116" s="1319">
        <f t="shared" ca="1" si="1255"/>
        <v>0</v>
      </c>
      <c r="LI116" s="1319">
        <f t="shared" ca="1" si="1255"/>
        <v>0</v>
      </c>
      <c r="LJ116" s="1319">
        <f t="shared" ca="1" si="1255"/>
        <v>0</v>
      </c>
      <c r="LK116" s="1319">
        <f t="shared" ca="1" si="1255"/>
        <v>0</v>
      </c>
      <c r="LT116" s="1334"/>
      <c r="LW116" s="1319">
        <f t="shared" ca="1" si="1256"/>
        <v>0</v>
      </c>
      <c r="LX116" s="1319">
        <f t="shared" ca="1" si="1256"/>
        <v>0</v>
      </c>
      <c r="LY116" s="1319">
        <f t="shared" ca="1" si="1256"/>
        <v>-3.6437269465266348E-2</v>
      </c>
      <c r="LZ116" s="1319">
        <f t="shared" ca="1" si="1256"/>
        <v>-5.0857693675206074E-4</v>
      </c>
      <c r="MA116" s="1319">
        <f t="shared" ca="1" si="1256"/>
        <v>-3.6945846350796577E-2</v>
      </c>
      <c r="MB116" s="1319">
        <f t="shared" ca="1" si="1256"/>
        <v>-1.1111791496902482E-2</v>
      </c>
      <c r="MC116" s="1319">
        <f t="shared" ca="1" si="1256"/>
        <v>0</v>
      </c>
      <c r="MD116" s="1319">
        <f t="shared" ca="1" si="1256"/>
        <v>0</v>
      </c>
      <c r="ME116" s="1319">
        <f t="shared" ca="1" si="1256"/>
        <v>0</v>
      </c>
      <c r="MF116" s="1319">
        <f t="shared" ca="1" si="1256"/>
        <v>0</v>
      </c>
      <c r="MG116" s="1319">
        <f t="shared" ca="1" si="1257"/>
        <v>0</v>
      </c>
      <c r="MH116" s="1319">
        <f t="shared" ca="1" si="1257"/>
        <v>0</v>
      </c>
      <c r="MI116" s="1319">
        <f t="shared" ca="1" si="1257"/>
        <v>0</v>
      </c>
      <c r="MJ116" s="1319">
        <f t="shared" ca="1" si="1257"/>
        <v>0</v>
      </c>
      <c r="MK116" s="1319">
        <f t="shared" ca="1" si="1257"/>
        <v>0</v>
      </c>
      <c r="ML116" s="1319">
        <f t="shared" ca="1" si="1257"/>
        <v>0</v>
      </c>
      <c r="MM116" s="1319">
        <f t="shared" ca="1" si="1257"/>
        <v>0</v>
      </c>
      <c r="MN116" s="1319">
        <f t="shared" ca="1" si="1257"/>
        <v>0</v>
      </c>
      <c r="MO116" s="1319">
        <f t="shared" ca="1" si="1257"/>
        <v>0</v>
      </c>
      <c r="MX116" s="1334"/>
      <c r="NA116" s="1319">
        <f t="shared" ca="1" si="1258"/>
        <v>-5.2829366706362485E-2</v>
      </c>
      <c r="NB116" s="1319">
        <f t="shared" ca="1" si="1258"/>
        <v>-5.1695605141913716E-2</v>
      </c>
      <c r="NC116" s="1319">
        <f t="shared" ca="1" si="1258"/>
        <v>-1.1337615836569507E-3</v>
      </c>
      <c r="ND116" s="1319">
        <f t="shared" ca="1" si="1258"/>
        <v>0</v>
      </c>
      <c r="NE116" s="1319">
        <f t="shared" ca="1" si="1258"/>
        <v>0</v>
      </c>
      <c r="NF116" s="1319">
        <f t="shared" ca="1" si="1258"/>
        <v>0</v>
      </c>
      <c r="NG116" s="1319">
        <f t="shared" ca="1" si="1258"/>
        <v>0</v>
      </c>
      <c r="NH116" s="1319">
        <f t="shared" ca="1" si="1258"/>
        <v>0</v>
      </c>
      <c r="NI116" s="1319">
        <f t="shared" ca="1" si="1258"/>
        <v>0</v>
      </c>
      <c r="NJ116" s="1319">
        <f t="shared" ca="1" si="1258"/>
        <v>0</v>
      </c>
      <c r="NK116" s="1319">
        <f t="shared" ca="1" si="1258"/>
        <v>0</v>
      </c>
      <c r="NL116" s="1319">
        <f t="shared" ca="1" si="1258"/>
        <v>0</v>
      </c>
      <c r="NM116" s="1319">
        <f t="shared" ca="1" si="1258"/>
        <v>0</v>
      </c>
      <c r="NN116" s="1319">
        <f t="shared" ca="1" si="1258"/>
        <v>0</v>
      </c>
      <c r="NO116" s="1319">
        <f t="shared" ca="1" si="1258"/>
        <v>0</v>
      </c>
      <c r="NP116" s="1319">
        <f t="shared" ca="1" si="1258"/>
        <v>0</v>
      </c>
      <c r="NY116" s="1334"/>
      <c r="OE116" s="1334"/>
      <c r="OH116" s="1319">
        <f t="shared" ca="1" si="1259"/>
        <v>0</v>
      </c>
      <c r="OI116" s="1319">
        <f t="shared" ca="1" si="1259"/>
        <v>0</v>
      </c>
      <c r="OJ116" s="1319">
        <f t="shared" ca="1" si="1259"/>
        <v>0</v>
      </c>
      <c r="OK116" s="1319">
        <f t="shared" ca="1" si="1259"/>
        <v>0</v>
      </c>
      <c r="OL116" s="1319">
        <f t="shared" ca="1" si="1259"/>
        <v>0</v>
      </c>
      <c r="OM116" s="1319">
        <f t="shared" ca="1" si="1259"/>
        <v>0</v>
      </c>
      <c r="ON116" s="1319">
        <f t="shared" ca="1" si="1259"/>
        <v>0</v>
      </c>
      <c r="OO116" s="1319">
        <f t="shared" ca="1" si="1259"/>
        <v>0</v>
      </c>
      <c r="OX116" s="1334"/>
      <c r="PA116" s="1319">
        <f t="shared" ca="1" si="1260"/>
        <v>0</v>
      </c>
      <c r="PB116" s="1319">
        <f t="shared" ca="1" si="1260"/>
        <v>0</v>
      </c>
      <c r="PC116" s="1319">
        <f t="shared" ca="1" si="1260"/>
        <v>0</v>
      </c>
      <c r="PD116" s="1319">
        <f t="shared" ca="1" si="1260"/>
        <v>0</v>
      </c>
      <c r="PE116" s="1319">
        <f t="shared" ca="1" si="1260"/>
        <v>0</v>
      </c>
      <c r="PF116" s="1319">
        <f t="shared" ca="1" si="1260"/>
        <v>0</v>
      </c>
      <c r="PG116" s="1319">
        <f t="shared" ca="1" si="1260"/>
        <v>0</v>
      </c>
      <c r="PH116" s="1319">
        <f t="shared" ca="1" si="1260"/>
        <v>0</v>
      </c>
      <c r="PI116" s="1319">
        <f t="shared" ca="1" si="1260"/>
        <v>0</v>
      </c>
      <c r="PJ116" s="1319">
        <f t="shared" ca="1" si="1260"/>
        <v>0</v>
      </c>
      <c r="PK116" s="1319">
        <f t="shared" ca="1" si="1260"/>
        <v>0</v>
      </c>
      <c r="PT116" s="1334"/>
      <c r="PW116" s="1319">
        <f t="shared" ca="1" si="1261"/>
        <v>0</v>
      </c>
      <c r="PX116" s="1319">
        <f t="shared" ca="1" si="1261"/>
        <v>0</v>
      </c>
      <c r="PY116" s="1319">
        <f t="shared" ca="1" si="1261"/>
        <v>0</v>
      </c>
      <c r="PZ116" s="1319">
        <f t="shared" ca="1" si="1261"/>
        <v>0</v>
      </c>
    </row>
    <row r="117" spans="1:442" x14ac:dyDescent="0.25">
      <c r="A117" s="189">
        <v>6</v>
      </c>
      <c r="B117" s="189" t="s">
        <v>1256</v>
      </c>
      <c r="C117" s="1317" t="s">
        <v>1257</v>
      </c>
      <c r="D117" s="1317" t="s">
        <v>206</v>
      </c>
      <c r="E117" s="1318">
        <v>180.15768</v>
      </c>
      <c r="F117" s="1316">
        <v>-0.61003928257999984</v>
      </c>
      <c r="G117" s="1334"/>
      <c r="J117" s="1319">
        <f t="shared" ca="1" si="1239"/>
        <v>0</v>
      </c>
      <c r="K117" s="1319">
        <f t="shared" ca="1" si="1239"/>
        <v>0</v>
      </c>
      <c r="Q117" s="1334"/>
      <c r="T117" s="1319">
        <f t="shared" ca="1" si="1240"/>
        <v>0</v>
      </c>
      <c r="U117" s="1319">
        <f t="shared" ca="1" si="1240"/>
        <v>0</v>
      </c>
      <c r="V117" s="1319">
        <f t="shared" ca="1" si="1240"/>
        <v>-1.3433233112115488E-8</v>
      </c>
      <c r="W117" s="1319">
        <f t="shared" ca="1" si="1240"/>
        <v>0</v>
      </c>
      <c r="X117" s="1319">
        <f t="shared" ca="1" si="1240"/>
        <v>0</v>
      </c>
      <c r="Y117" s="1319">
        <f t="shared" ca="1" si="1240"/>
        <v>-12.021633065115594</v>
      </c>
      <c r="Z117" s="1319">
        <f t="shared" ca="1" si="1240"/>
        <v>-3.3271796882157655E-7</v>
      </c>
      <c r="AA117" s="1319">
        <f t="shared" ca="1" si="1240"/>
        <v>-12.021632726501506</v>
      </c>
      <c r="AB117" s="1319">
        <f t="shared" ca="1" si="1240"/>
        <v>0</v>
      </c>
      <c r="AC117" s="1319">
        <f t="shared" ca="1" si="1240"/>
        <v>-1.3433233112115488E-8</v>
      </c>
      <c r="AD117" s="1319">
        <f t="shared" ca="1" si="1240"/>
        <v>0</v>
      </c>
      <c r="AJ117" s="1334"/>
      <c r="AM117" s="1319">
        <f t="shared" ca="1" si="1241"/>
        <v>0</v>
      </c>
      <c r="AN117" s="1319">
        <f t="shared" ca="1" si="1241"/>
        <v>0</v>
      </c>
      <c r="AO117" s="1319">
        <f t="shared" ca="1" si="1241"/>
        <v>-12.021632726501506</v>
      </c>
      <c r="AP117" s="1319">
        <f t="shared" ca="1" si="1241"/>
        <v>-12.021632726501506</v>
      </c>
      <c r="AQ117" s="1319">
        <f t="shared" ca="1" si="1241"/>
        <v>-1.7334449786688238E-8</v>
      </c>
      <c r="AR117" s="1319">
        <f t="shared" ca="1" si="1241"/>
        <v>-2.4457496162376841E-14</v>
      </c>
      <c r="AS117" s="1319">
        <f t="shared" ca="1" si="1241"/>
        <v>-3.3271794444136228E-7</v>
      </c>
      <c r="AT117" s="1319">
        <f t="shared" ca="1" si="1241"/>
        <v>-2.6191610923095112E-16</v>
      </c>
      <c r="AU117" s="1319">
        <f t="shared" ca="1" si="1241"/>
        <v>-1.7334473963734023E-8</v>
      </c>
      <c r="AV117" s="1319">
        <f t="shared" ca="1" si="1241"/>
        <v>-12.021632692640097</v>
      </c>
      <c r="AW117" s="1319">
        <f t="shared" ca="1" si="1241"/>
        <v>-2.6191610923095112E-16</v>
      </c>
      <c r="AX117" s="1319">
        <f t="shared" ca="1" si="1241"/>
        <v>-3.5005241965796844E-7</v>
      </c>
      <c r="AY117" s="1319">
        <f t="shared" ca="1" si="1241"/>
        <v>0</v>
      </c>
      <c r="AZ117" s="1319">
        <f t="shared" ca="1" si="1241"/>
        <v>0</v>
      </c>
      <c r="BA117" s="1319">
        <f t="shared" ca="1" si="1241"/>
        <v>0</v>
      </c>
      <c r="BB117" s="1319">
        <f t="shared" ca="1" si="1241"/>
        <v>-12.021632692640097</v>
      </c>
      <c r="BK117" s="1334"/>
      <c r="BN117" s="1319">
        <f t="shared" ca="1" si="1242"/>
        <v>-10.052956263237292</v>
      </c>
      <c r="BO117" s="1319">
        <f t="shared" ca="1" si="1242"/>
        <v>-0.50264781485493504</v>
      </c>
      <c r="BP117" s="1319">
        <f t="shared" ca="1" si="1242"/>
        <v>-3.0697954063910942E-15</v>
      </c>
      <c r="BQ117" s="1319">
        <f t="shared" ca="1" si="1242"/>
        <v>0</v>
      </c>
      <c r="BR117" s="1319">
        <f t="shared" ca="1" si="1242"/>
        <v>0</v>
      </c>
      <c r="CA117" s="1334"/>
      <c r="CD117" s="1319">
        <f t="shared" ca="1" si="1243"/>
        <v>-12.021632692640097</v>
      </c>
      <c r="CE117" s="1319">
        <f t="shared" ca="1" si="1243"/>
        <v>-12.021632692640097</v>
      </c>
      <c r="CF117" s="1319">
        <f t="shared" ca="1" si="1243"/>
        <v>-10.052956263237292</v>
      </c>
      <c r="CG117" s="1319">
        <f t="shared" ca="1" si="1243"/>
        <v>-0.50264781485493504</v>
      </c>
      <c r="CH117" s="1319">
        <f t="shared" ca="1" si="1243"/>
        <v>-12.021632692640097</v>
      </c>
      <c r="CI117" s="1319">
        <f t="shared" ca="1" si="1243"/>
        <v>0</v>
      </c>
      <c r="CJ117" s="1319">
        <f t="shared" ca="1" si="1243"/>
        <v>0</v>
      </c>
      <c r="CK117" s="1319">
        <f t="shared" ca="1" si="1243"/>
        <v>-1.7649975336352051</v>
      </c>
      <c r="CL117" s="1319">
        <f t="shared" ca="1" si="1243"/>
        <v>-1.044820579067946E-14</v>
      </c>
      <c r="CM117" s="1319">
        <f t="shared" ca="1" si="1243"/>
        <v>0</v>
      </c>
      <c r="CN117" s="1319">
        <f t="shared" ca="1" si="1243"/>
        <v>-1.7649975336352051</v>
      </c>
      <c r="CO117" s="1319">
        <f t="shared" ca="1" si="1243"/>
        <v>0</v>
      </c>
      <c r="CX117" s="1334"/>
      <c r="DA117" s="1319">
        <f t="shared" ca="1" si="1244"/>
        <v>-0.40937856590895566</v>
      </c>
      <c r="DB117" s="1319">
        <f t="shared" ca="1" si="1244"/>
        <v>0</v>
      </c>
      <c r="DC117" s="1319">
        <f t="shared" ca="1" si="1244"/>
        <v>0</v>
      </c>
      <c r="DD117" s="1319">
        <f t="shared" ca="1" si="1244"/>
        <v>0</v>
      </c>
      <c r="DE117" s="1319">
        <f t="shared" ca="1" si="1244"/>
        <v>-4.0937856590895577E-2</v>
      </c>
      <c r="DF117" s="1319">
        <f t="shared" ca="1" si="1244"/>
        <v>-7.3781660843833037E-15</v>
      </c>
      <c r="DG117" s="1319">
        <f t="shared" ca="1" si="1244"/>
        <v>0</v>
      </c>
      <c r="DH117" s="1319">
        <f t="shared" ca="1" si="1244"/>
        <v>0</v>
      </c>
      <c r="DI117" s="1319">
        <f t="shared" ca="1" si="1244"/>
        <v>0</v>
      </c>
      <c r="DJ117" s="1319">
        <f t="shared" ca="1" si="1244"/>
        <v>0</v>
      </c>
      <c r="DS117" s="1334"/>
      <c r="DV117" s="1319">
        <f t="shared" ca="1" si="1245"/>
        <v>0</v>
      </c>
      <c r="DW117" s="1319">
        <f t="shared" ca="1" si="1245"/>
        <v>-8.1875713181791152</v>
      </c>
      <c r="DX117" s="1319">
        <f t="shared" ca="1" si="1245"/>
        <v>-8.1875713181791152</v>
      </c>
      <c r="DY117" s="1319">
        <f t="shared" ca="1" si="1245"/>
        <v>-0.40937856590895566</v>
      </c>
      <c r="DZ117" s="1319">
        <f t="shared" ca="1" si="1245"/>
        <v>0</v>
      </c>
      <c r="EA117" s="1319">
        <f t="shared" ca="1" si="1245"/>
        <v>-4.0937856590895577E-2</v>
      </c>
      <c r="EB117" s="1319">
        <f t="shared" ca="1" si="1245"/>
        <v>-7.7781927454978765</v>
      </c>
      <c r="EC117" s="1319">
        <f t="shared" ca="1" si="1245"/>
        <v>0</v>
      </c>
      <c r="ED117" s="1319">
        <f t="shared" ca="1" si="1245"/>
        <v>0</v>
      </c>
      <c r="EE117" s="1319">
        <f t="shared" ca="1" si="1245"/>
        <v>0</v>
      </c>
      <c r="EF117" s="1319">
        <f t="shared" ca="1" si="1245"/>
        <v>0</v>
      </c>
      <c r="EG117" s="1319">
        <f t="shared" ca="1" si="1245"/>
        <v>0</v>
      </c>
      <c r="EH117" s="1319">
        <f t="shared" ca="1" si="1245"/>
        <v>0</v>
      </c>
      <c r="EI117" s="1319">
        <f t="shared" ca="1" si="1245"/>
        <v>0</v>
      </c>
      <c r="EJ117" s="1319">
        <f t="shared" ca="1" si="1245"/>
        <v>0</v>
      </c>
      <c r="EK117" s="1319">
        <f t="shared" ca="1" si="1245"/>
        <v>0</v>
      </c>
      <c r="ET117" s="1334"/>
      <c r="EW117" s="1319">
        <f t="shared" ca="1" si="1246"/>
        <v>-1.7649975336352051</v>
      </c>
      <c r="EX117" s="1319">
        <f t="shared" ca="1" si="1246"/>
        <v>-1.7649975336352051</v>
      </c>
      <c r="EY117" s="1319">
        <f t="shared" ca="1" si="1246"/>
        <v>-1.7649975200906416</v>
      </c>
      <c r="EZ117" s="1319">
        <f t="shared" ca="1" si="1246"/>
        <v>-1.7649975200906416</v>
      </c>
      <c r="FA117" s="1319">
        <f t="shared" ca="1" si="1246"/>
        <v>-7.8699420946408643E-22</v>
      </c>
      <c r="FB117" s="1319">
        <f t="shared" ca="1" si="1246"/>
        <v>-1.3433233044392673E-8</v>
      </c>
      <c r="FK117" s="1334"/>
      <c r="FN117" s="1319">
        <f t="shared" ca="1" si="1247"/>
        <v>-3.0697954063910942E-15</v>
      </c>
      <c r="FO117" s="1319">
        <f t="shared" ca="1" si="1247"/>
        <v>-1.044820579067946E-14</v>
      </c>
      <c r="FP117" s="1319">
        <f t="shared" ca="1" si="1247"/>
        <v>-7.8699420946408643E-22</v>
      </c>
      <c r="FQ117" s="1319">
        <f t="shared" ca="1" si="1247"/>
        <v>-1.3433233044392673E-8</v>
      </c>
      <c r="FR117" s="1319">
        <f t="shared" ca="1" si="1247"/>
        <v>0</v>
      </c>
      <c r="FS117" s="1319">
        <f t="shared" ca="1" si="1247"/>
        <v>-1.3433233112115488E-8</v>
      </c>
      <c r="FT117" s="1319">
        <f t="shared" ca="1" si="1247"/>
        <v>0</v>
      </c>
      <c r="FU117" s="1319">
        <f t="shared" ca="1" si="1247"/>
        <v>-1.3518001999585938E-14</v>
      </c>
      <c r="FV117" s="1319">
        <f t="shared" ca="1" si="1247"/>
        <v>0</v>
      </c>
      <c r="FW117" s="1319">
        <f t="shared" ca="1" si="1247"/>
        <v>0</v>
      </c>
      <c r="FX117" s="1319">
        <f t="shared" ca="1" si="1247"/>
        <v>0</v>
      </c>
      <c r="GG117" s="1334"/>
      <c r="GJ117" s="1319">
        <f t="shared" ca="1" si="1248"/>
        <v>0</v>
      </c>
      <c r="GK117" s="1319">
        <f t="shared" ca="1" si="1248"/>
        <v>0</v>
      </c>
      <c r="GL117" s="1319">
        <f t="shared" ca="1" si="1248"/>
        <v>0</v>
      </c>
      <c r="GM117" s="1319">
        <f t="shared" ca="1" si="1248"/>
        <v>0</v>
      </c>
      <c r="GN117" s="1319">
        <f t="shared" ca="1" si="1248"/>
        <v>0</v>
      </c>
      <c r="GO117" s="1319">
        <f t="shared" ca="1" si="1248"/>
        <v>0</v>
      </c>
      <c r="GP117" s="1319">
        <f t="shared" ca="1" si="1248"/>
        <v>0</v>
      </c>
      <c r="GQ117" s="1319">
        <f t="shared" ca="1" si="1248"/>
        <v>0</v>
      </c>
      <c r="GZ117" s="1334"/>
      <c r="HC117" s="1319">
        <f t="shared" ca="1" si="1249"/>
        <v>-1.7649975200906416</v>
      </c>
      <c r="HD117" s="1319">
        <f t="shared" ca="1" si="1249"/>
        <v>-1.6992838796110166</v>
      </c>
      <c r="HE117" s="1319">
        <f t="shared" ca="1" si="1249"/>
        <v>0</v>
      </c>
      <c r="HF117" s="1319">
        <f t="shared" ca="1" si="1249"/>
        <v>-1.2881761503935467E-13</v>
      </c>
      <c r="HG117" s="1319">
        <f t="shared" ca="1" si="1249"/>
        <v>-6.5713640818238966E-2</v>
      </c>
      <c r="HH117" s="1319">
        <f t="shared" ca="1" si="1249"/>
        <v>-1.6992838796110166</v>
      </c>
      <c r="HQ117" s="1334"/>
      <c r="HT117" s="1319">
        <f t="shared" ca="1" si="1250"/>
        <v>-3.5005241965796844E-7</v>
      </c>
      <c r="HU117" s="1319">
        <f t="shared" ca="1" si="1250"/>
        <v>-1.6992838796110166</v>
      </c>
      <c r="HV117" s="1319">
        <f t="shared" ca="1" si="1250"/>
        <v>-1.6992842283835261</v>
      </c>
      <c r="HW117" s="1319">
        <f t="shared" ca="1" si="1250"/>
        <v>-1.6992842283835261</v>
      </c>
      <c r="HX117" s="1319">
        <f t="shared" ca="1" si="1250"/>
        <v>-0.14212759716137488</v>
      </c>
      <c r="HY117" s="1319">
        <f t="shared" ca="1" si="1250"/>
        <v>-1.0807983460865277E-2</v>
      </c>
      <c r="HZ117" s="1319">
        <f t="shared" ca="1" si="1250"/>
        <v>-3.3291592024630695E-15</v>
      </c>
      <c r="IA117" s="1319">
        <f t="shared" ca="1" si="1250"/>
        <v>-5.4111304772599571E-16</v>
      </c>
      <c r="IB117" s="1319">
        <f t="shared" ca="1" si="1250"/>
        <v>0</v>
      </c>
      <c r="IC117" s="1319">
        <f t="shared" ca="1" si="1250"/>
        <v>0</v>
      </c>
      <c r="ID117" s="1319">
        <f t="shared" ca="1" si="1250"/>
        <v>0</v>
      </c>
      <c r="IE117" s="1319">
        <f t="shared" ca="1" si="1250"/>
        <v>0</v>
      </c>
      <c r="IN117" s="1334"/>
      <c r="IQ117" s="1319">
        <f t="shared" ca="1" si="1251"/>
        <v>-0.14212759716137488</v>
      </c>
      <c r="IR117" s="1319">
        <f t="shared" ca="1" si="1251"/>
        <v>-1.0807983460865277E-2</v>
      </c>
      <c r="IS117" s="1319">
        <f t="shared" ca="1" si="1251"/>
        <v>-2.1502263257391289E-4</v>
      </c>
      <c r="IT117" s="1319">
        <f t="shared" ca="1" si="1251"/>
        <v>-1.1023006114771876E-2</v>
      </c>
      <c r="IU117" s="1319">
        <f t="shared" ca="1" si="1251"/>
        <v>-1.028773329048091E-2</v>
      </c>
      <c r="IV117" s="1319">
        <f t="shared" ca="1" si="1251"/>
        <v>-6.303034936026527E-3</v>
      </c>
      <c r="IW117" s="1319">
        <f t="shared" ca="1" si="1251"/>
        <v>-5.1605431858372779E-3</v>
      </c>
      <c r="IX117" s="1319">
        <f t="shared" ca="1" si="1251"/>
        <v>-2.3714279790228217E-17</v>
      </c>
      <c r="IY117" s="1319">
        <f t="shared" ca="1" si="1251"/>
        <v>-7.3527280736026288E-4</v>
      </c>
      <c r="IZ117" s="1319">
        <f t="shared" ca="1" si="1251"/>
        <v>-9.2746913014405763E-4</v>
      </c>
      <c r="JA117" s="1319">
        <f t="shared" ca="1" si="1251"/>
        <v>-5.3755658058824689E-3</v>
      </c>
      <c r="JB117" s="1319">
        <f t="shared" ca="1" si="1252"/>
        <v>0</v>
      </c>
      <c r="JC117" s="1319">
        <f t="shared" ca="1" si="1252"/>
        <v>-9.2746913014405763E-4</v>
      </c>
      <c r="JD117" s="1319">
        <f t="shared" ca="1" si="1252"/>
        <v>0</v>
      </c>
      <c r="JE117" s="1319">
        <f t="shared" ca="1" si="1252"/>
        <v>-9.2746913014405763E-4</v>
      </c>
      <c r="JF117" s="1319">
        <f t="shared" ca="1" si="1252"/>
        <v>0</v>
      </c>
      <c r="JG117" s="1319">
        <f t="shared" ca="1" si="1252"/>
        <v>0</v>
      </c>
      <c r="JH117" s="1319">
        <f t="shared" ca="1" si="1252"/>
        <v>-5.4111304772599571E-16</v>
      </c>
      <c r="JQ117" s="1334"/>
      <c r="JT117" s="1319">
        <f t="shared" ca="1" si="1253"/>
        <v>0</v>
      </c>
      <c r="JU117" s="1319">
        <f t="shared" ca="1" si="1253"/>
        <v>0</v>
      </c>
      <c r="JV117" s="1319">
        <f t="shared" ca="1" si="1253"/>
        <v>0</v>
      </c>
      <c r="JW117" s="1319">
        <f t="shared" ca="1" si="1253"/>
        <v>0</v>
      </c>
      <c r="JX117" s="1319">
        <f t="shared" ca="1" si="1253"/>
        <v>0</v>
      </c>
      <c r="JY117" s="1319">
        <f t="shared" ca="1" si="1253"/>
        <v>0</v>
      </c>
      <c r="JZ117" s="1319">
        <f t="shared" ca="1" si="1253"/>
        <v>0</v>
      </c>
      <c r="KA117" s="1319">
        <f t="shared" ca="1" si="1253"/>
        <v>0</v>
      </c>
      <c r="KB117" s="1319">
        <f t="shared" ca="1" si="1253"/>
        <v>0</v>
      </c>
      <c r="KC117" s="1319">
        <f t="shared" ca="1" si="1253"/>
        <v>0</v>
      </c>
      <c r="KI117" s="1334"/>
      <c r="KL117" s="1319">
        <f t="shared" ca="1" si="1254"/>
        <v>0</v>
      </c>
      <c r="KM117" s="1319">
        <f t="shared" ca="1" si="1254"/>
        <v>0</v>
      </c>
      <c r="KN117" s="1319">
        <f t="shared" ca="1" si="1254"/>
        <v>0</v>
      </c>
      <c r="KO117" s="1319">
        <f t="shared" ca="1" si="1254"/>
        <v>0</v>
      </c>
      <c r="KP117" s="1319">
        <f t="shared" ca="1" si="1254"/>
        <v>0</v>
      </c>
      <c r="KQ117" s="1319">
        <f t="shared" ca="1" si="1254"/>
        <v>0</v>
      </c>
      <c r="KR117" s="1319">
        <f t="shared" ca="1" si="1254"/>
        <v>0</v>
      </c>
      <c r="KX117" s="1334"/>
      <c r="LA117" s="1319">
        <f t="shared" ca="1" si="1255"/>
        <v>-1.2881761503935467E-13</v>
      </c>
      <c r="LB117" s="1319">
        <f t="shared" ca="1" si="1255"/>
        <v>-3.3291592024630695E-15</v>
      </c>
      <c r="LC117" s="1319">
        <f t="shared" ca="1" si="1255"/>
        <v>-1.3214677426552072E-13</v>
      </c>
      <c r="LD117" s="1319">
        <f t="shared" ca="1" si="1255"/>
        <v>-1.3214677426552072E-13</v>
      </c>
      <c r="LE117" s="1319">
        <f t="shared" ca="1" si="1255"/>
        <v>0</v>
      </c>
      <c r="LF117" s="1319">
        <f t="shared" ca="1" si="1255"/>
        <v>0</v>
      </c>
      <c r="LG117" s="1319">
        <f t="shared" ca="1" si="1255"/>
        <v>0</v>
      </c>
      <c r="LH117" s="1319">
        <f t="shared" ca="1" si="1255"/>
        <v>0</v>
      </c>
      <c r="LI117" s="1319">
        <f t="shared" ca="1" si="1255"/>
        <v>0</v>
      </c>
      <c r="LJ117" s="1319">
        <f t="shared" ca="1" si="1255"/>
        <v>0</v>
      </c>
      <c r="LK117" s="1319">
        <f t="shared" ca="1" si="1255"/>
        <v>0</v>
      </c>
      <c r="LT117" s="1334"/>
      <c r="LW117" s="1319">
        <f t="shared" ca="1" si="1256"/>
        <v>0</v>
      </c>
      <c r="LX117" s="1319">
        <f t="shared" ca="1" si="1256"/>
        <v>0</v>
      </c>
      <c r="LY117" s="1319">
        <f t="shared" ca="1" si="1256"/>
        <v>-6.5713640818238966E-2</v>
      </c>
      <c r="LZ117" s="1319">
        <f t="shared" ca="1" si="1256"/>
        <v>-7.3527280736026288E-4</v>
      </c>
      <c r="MA117" s="1319">
        <f t="shared" ca="1" si="1256"/>
        <v>-6.6448913540945717E-2</v>
      </c>
      <c r="MB117" s="1319">
        <f t="shared" ca="1" si="1256"/>
        <v>-1.3214677426552072E-13</v>
      </c>
      <c r="MC117" s="1319">
        <f t="shared" ca="1" si="1256"/>
        <v>0</v>
      </c>
      <c r="MD117" s="1319">
        <f t="shared" ca="1" si="1256"/>
        <v>0</v>
      </c>
      <c r="ME117" s="1319">
        <f t="shared" ca="1" si="1256"/>
        <v>0</v>
      </c>
      <c r="MF117" s="1319">
        <f t="shared" ca="1" si="1256"/>
        <v>0</v>
      </c>
      <c r="MG117" s="1319">
        <f t="shared" ca="1" si="1257"/>
        <v>0</v>
      </c>
      <c r="MH117" s="1319">
        <f t="shared" ca="1" si="1257"/>
        <v>0</v>
      </c>
      <c r="MI117" s="1319">
        <f t="shared" ca="1" si="1257"/>
        <v>0</v>
      </c>
      <c r="MJ117" s="1319">
        <f t="shared" ca="1" si="1257"/>
        <v>0</v>
      </c>
      <c r="MK117" s="1319">
        <f t="shared" ca="1" si="1257"/>
        <v>0</v>
      </c>
      <c r="ML117" s="1319">
        <f t="shared" ca="1" si="1257"/>
        <v>0</v>
      </c>
      <c r="MM117" s="1319">
        <f t="shared" ca="1" si="1257"/>
        <v>0</v>
      </c>
      <c r="MN117" s="1319">
        <f t="shared" ca="1" si="1257"/>
        <v>0</v>
      </c>
      <c r="MO117" s="1319">
        <f t="shared" ca="1" si="1257"/>
        <v>0</v>
      </c>
      <c r="MX117" s="1334"/>
      <c r="NA117" s="1319">
        <f t="shared" ca="1" si="1258"/>
        <v>-3.3271796882157655E-7</v>
      </c>
      <c r="NB117" s="1319">
        <f t="shared" ca="1" si="1258"/>
        <v>-2.4457496162376841E-14</v>
      </c>
      <c r="NC117" s="1319">
        <f t="shared" ca="1" si="1258"/>
        <v>-3.3271794444136228E-7</v>
      </c>
      <c r="ND117" s="1319">
        <f t="shared" ca="1" si="1258"/>
        <v>0</v>
      </c>
      <c r="NE117" s="1319">
        <f t="shared" ca="1" si="1258"/>
        <v>0</v>
      </c>
      <c r="NF117" s="1319">
        <f t="shared" ca="1" si="1258"/>
        <v>0</v>
      </c>
      <c r="NG117" s="1319">
        <f t="shared" ca="1" si="1258"/>
        <v>0</v>
      </c>
      <c r="NH117" s="1319">
        <f t="shared" ca="1" si="1258"/>
        <v>0</v>
      </c>
      <c r="NI117" s="1319">
        <f t="shared" ca="1" si="1258"/>
        <v>0</v>
      </c>
      <c r="NJ117" s="1319">
        <f t="shared" ca="1" si="1258"/>
        <v>0</v>
      </c>
      <c r="NK117" s="1319">
        <f t="shared" ca="1" si="1258"/>
        <v>0</v>
      </c>
      <c r="NL117" s="1319">
        <f t="shared" ca="1" si="1258"/>
        <v>0</v>
      </c>
      <c r="NM117" s="1319">
        <f t="shared" ca="1" si="1258"/>
        <v>0</v>
      </c>
      <c r="NN117" s="1319">
        <f t="shared" ca="1" si="1258"/>
        <v>0</v>
      </c>
      <c r="NO117" s="1319">
        <f t="shared" ca="1" si="1258"/>
        <v>0</v>
      </c>
      <c r="NP117" s="1319">
        <f t="shared" ca="1" si="1258"/>
        <v>0</v>
      </c>
      <c r="NY117" s="1334"/>
      <c r="OE117" s="1334"/>
      <c r="OH117" s="1319">
        <f t="shared" ca="1" si="1259"/>
        <v>0</v>
      </c>
      <c r="OI117" s="1319">
        <f t="shared" ca="1" si="1259"/>
        <v>0</v>
      </c>
      <c r="OJ117" s="1319">
        <f t="shared" ca="1" si="1259"/>
        <v>0</v>
      </c>
      <c r="OK117" s="1319">
        <f t="shared" ca="1" si="1259"/>
        <v>0</v>
      </c>
      <c r="OL117" s="1319">
        <f t="shared" ca="1" si="1259"/>
        <v>0</v>
      </c>
      <c r="OM117" s="1319">
        <f t="shared" ca="1" si="1259"/>
        <v>0</v>
      </c>
      <c r="ON117" s="1319">
        <f t="shared" ca="1" si="1259"/>
        <v>0</v>
      </c>
      <c r="OO117" s="1319">
        <f t="shared" ca="1" si="1259"/>
        <v>0</v>
      </c>
      <c r="OX117" s="1334"/>
      <c r="PA117" s="1319">
        <f t="shared" ca="1" si="1260"/>
        <v>0</v>
      </c>
      <c r="PB117" s="1319">
        <f t="shared" ca="1" si="1260"/>
        <v>0</v>
      </c>
      <c r="PC117" s="1319">
        <f t="shared" ca="1" si="1260"/>
        <v>0</v>
      </c>
      <c r="PD117" s="1319">
        <f t="shared" ca="1" si="1260"/>
        <v>0</v>
      </c>
      <c r="PE117" s="1319">
        <f t="shared" ca="1" si="1260"/>
        <v>0</v>
      </c>
      <c r="PF117" s="1319">
        <f t="shared" ca="1" si="1260"/>
        <v>0</v>
      </c>
      <c r="PG117" s="1319">
        <f t="shared" ca="1" si="1260"/>
        <v>0</v>
      </c>
      <c r="PH117" s="1319">
        <f t="shared" ca="1" si="1260"/>
        <v>0</v>
      </c>
      <c r="PI117" s="1319">
        <f t="shared" ca="1" si="1260"/>
        <v>0</v>
      </c>
      <c r="PJ117" s="1319">
        <f t="shared" ca="1" si="1260"/>
        <v>0</v>
      </c>
      <c r="PK117" s="1319">
        <f t="shared" ca="1" si="1260"/>
        <v>0</v>
      </c>
      <c r="PT117" s="1334"/>
      <c r="PW117" s="1319">
        <f t="shared" ca="1" si="1261"/>
        <v>0</v>
      </c>
      <c r="PX117" s="1319">
        <f t="shared" ca="1" si="1261"/>
        <v>0</v>
      </c>
      <c r="PY117" s="1319">
        <f t="shared" ca="1" si="1261"/>
        <v>0</v>
      </c>
      <c r="PZ117" s="1319">
        <f t="shared" ca="1" si="1261"/>
        <v>0</v>
      </c>
    </row>
    <row r="118" spans="1:442" x14ac:dyDescent="0.25">
      <c r="A118" s="189">
        <v>7</v>
      </c>
      <c r="B118" s="189" t="s">
        <v>1256</v>
      </c>
      <c r="C118" s="1317" t="s">
        <v>1268</v>
      </c>
      <c r="D118" s="1317" t="s">
        <v>206</v>
      </c>
      <c r="E118" s="1318">
        <v>180.15768</v>
      </c>
      <c r="F118" s="1316">
        <v>-0.61003928257999984</v>
      </c>
      <c r="G118" s="1334"/>
      <c r="J118" s="1319">
        <f t="shared" ca="1" si="1239"/>
        <v>0</v>
      </c>
      <c r="K118" s="1319">
        <f t="shared" ca="1" si="1239"/>
        <v>0</v>
      </c>
      <c r="Q118" s="1334"/>
      <c r="T118" s="1319">
        <f t="shared" ca="1" si="1240"/>
        <v>0</v>
      </c>
      <c r="U118" s="1319">
        <f t="shared" ca="1" si="1240"/>
        <v>0</v>
      </c>
      <c r="V118" s="1319">
        <f t="shared" ca="1" si="1240"/>
        <v>-2.9488353877799519E-8</v>
      </c>
      <c r="W118" s="1319">
        <f t="shared" ca="1" si="1240"/>
        <v>0</v>
      </c>
      <c r="X118" s="1319">
        <f t="shared" ca="1" si="1240"/>
        <v>0</v>
      </c>
      <c r="Y118" s="1319">
        <f t="shared" ca="1" si="1240"/>
        <v>-4.0346620480821915</v>
      </c>
      <c r="Z118" s="1319">
        <f t="shared" ca="1" si="1240"/>
        <v>-1.11665741193705E-7</v>
      </c>
      <c r="AA118" s="1319">
        <f t="shared" ca="1" si="1240"/>
        <v>-4.0346619464979643</v>
      </c>
      <c r="AB118" s="1319">
        <f t="shared" ca="1" si="1240"/>
        <v>0</v>
      </c>
      <c r="AC118" s="1319">
        <f t="shared" ca="1" si="1240"/>
        <v>-2.9488353877799519E-8</v>
      </c>
      <c r="AD118" s="1319">
        <f t="shared" ca="1" si="1240"/>
        <v>0</v>
      </c>
      <c r="AJ118" s="1334"/>
      <c r="AM118" s="1319">
        <f t="shared" ca="1" si="1241"/>
        <v>0</v>
      </c>
      <c r="AN118" s="1319">
        <f t="shared" ca="1" si="1241"/>
        <v>0</v>
      </c>
      <c r="AO118" s="1319">
        <f t="shared" ca="1" si="1241"/>
        <v>-4.0346619464979643</v>
      </c>
      <c r="AP118" s="1319">
        <f t="shared" ca="1" si="1241"/>
        <v>-4.0346619464979643</v>
      </c>
      <c r="AQ118" s="1319">
        <f t="shared" ca="1" si="1241"/>
        <v>-5.8177326175994896E-9</v>
      </c>
      <c r="AR118" s="1319">
        <f t="shared" ca="1" si="1241"/>
        <v>-8.20834668071006E-15</v>
      </c>
      <c r="AS118" s="1319">
        <f t="shared" ca="1" si="1241"/>
        <v>-1.1166573306696693E-7</v>
      </c>
      <c r="AT118" s="1319">
        <f t="shared" ca="1" si="1241"/>
        <v>-8.7903447551343879E-17</v>
      </c>
      <c r="AU118" s="1319">
        <f t="shared" ca="1" si="1241"/>
        <v>-5.8177407443375678E-9</v>
      </c>
      <c r="AV118" s="1319">
        <f t="shared" ca="1" si="1241"/>
        <v>-4.0346619464979643</v>
      </c>
      <c r="AW118" s="1319">
        <f t="shared" ca="1" si="1241"/>
        <v>-8.7903447551343879E-17</v>
      </c>
      <c r="AX118" s="1319">
        <f t="shared" ca="1" si="1241"/>
        <v>-1.1748347387902732E-7</v>
      </c>
      <c r="AY118" s="1319">
        <f t="shared" ca="1" si="1241"/>
        <v>0</v>
      </c>
      <c r="AZ118" s="1319">
        <f t="shared" ca="1" si="1241"/>
        <v>0</v>
      </c>
      <c r="BA118" s="1319">
        <f t="shared" ca="1" si="1241"/>
        <v>0</v>
      </c>
      <c r="BB118" s="1319">
        <f t="shared" ca="1" si="1241"/>
        <v>-3.9943153331280388</v>
      </c>
      <c r="BK118" s="1334"/>
      <c r="BN118" s="1319">
        <f t="shared" ca="1" si="1242"/>
        <v>-0.3994315333128039</v>
      </c>
      <c r="BO118" s="1319">
        <f t="shared" ca="1" si="1242"/>
        <v>-0.3994315333128039</v>
      </c>
      <c r="BP118" s="1319">
        <f t="shared" ca="1" si="1242"/>
        <v>-2.4394278639339609E-15</v>
      </c>
      <c r="BQ118" s="1319">
        <f t="shared" ca="1" si="1242"/>
        <v>0</v>
      </c>
      <c r="BR118" s="1319">
        <f t="shared" ca="1" si="1242"/>
        <v>0</v>
      </c>
      <c r="CA118" s="1334"/>
      <c r="CD118" s="1319">
        <f t="shared" ca="1" si="1243"/>
        <v>-3.9943153331280388</v>
      </c>
      <c r="CE118" s="1319">
        <f t="shared" ca="1" si="1243"/>
        <v>-3.9943153331280388</v>
      </c>
      <c r="CF118" s="1319">
        <f t="shared" ca="1" si="1243"/>
        <v>-0.3994315333128039</v>
      </c>
      <c r="CG118" s="1319">
        <f t="shared" ca="1" si="1243"/>
        <v>-0.3994315333128039</v>
      </c>
      <c r="CH118" s="1319">
        <f t="shared" ca="1" si="1243"/>
        <v>-3.9943153331280388</v>
      </c>
      <c r="CI118" s="1319">
        <f t="shared" ca="1" si="1243"/>
        <v>0</v>
      </c>
      <c r="CJ118" s="1319">
        <f t="shared" ca="1" si="1243"/>
        <v>0</v>
      </c>
      <c r="CK118" s="1319">
        <f t="shared" ca="1" si="1243"/>
        <v>-3.8744858690708286</v>
      </c>
      <c r="CL118" s="1319">
        <f t="shared" ca="1" si="1243"/>
        <v>-2.2935683968607481E-14</v>
      </c>
      <c r="CM118" s="1319">
        <f t="shared" ca="1" si="1243"/>
        <v>0</v>
      </c>
      <c r="CN118" s="1319">
        <f t="shared" ca="1" si="1243"/>
        <v>-3.8744858690708286</v>
      </c>
      <c r="CO118" s="1319">
        <f t="shared" ca="1" si="1243"/>
        <v>0</v>
      </c>
      <c r="CX118" s="1334"/>
      <c r="DA118" s="1319">
        <f t="shared" ca="1" si="1244"/>
        <v>0</v>
      </c>
      <c r="DB118" s="1319">
        <f t="shared" ca="1" si="1244"/>
        <v>0</v>
      </c>
      <c r="DC118" s="1319">
        <f t="shared" ca="1" si="1244"/>
        <v>0</v>
      </c>
      <c r="DD118" s="1319">
        <f t="shared" ca="1" si="1244"/>
        <v>0</v>
      </c>
      <c r="DE118" s="1319">
        <f t="shared" ca="1" si="1244"/>
        <v>0</v>
      </c>
      <c r="DF118" s="1319">
        <f t="shared" ca="1" si="1244"/>
        <v>0</v>
      </c>
      <c r="DG118" s="1319">
        <f t="shared" ca="1" si="1244"/>
        <v>0</v>
      </c>
      <c r="DH118" s="1319">
        <f t="shared" ca="1" si="1244"/>
        <v>0</v>
      </c>
      <c r="DI118" s="1319">
        <f t="shared" ca="1" si="1244"/>
        <v>0</v>
      </c>
      <c r="DJ118" s="1319">
        <f t="shared" ca="1" si="1244"/>
        <v>0</v>
      </c>
      <c r="DS118" s="1334"/>
      <c r="DV118" s="1319">
        <f t="shared" ca="1" si="1245"/>
        <v>0</v>
      </c>
      <c r="DW118" s="1319">
        <f t="shared" ca="1" si="1245"/>
        <v>0</v>
      </c>
      <c r="DX118" s="1319">
        <f t="shared" ca="1" si="1245"/>
        <v>0</v>
      </c>
      <c r="DY118" s="1319">
        <f t="shared" ca="1" si="1245"/>
        <v>0</v>
      </c>
      <c r="DZ118" s="1319">
        <f t="shared" ca="1" si="1245"/>
        <v>0</v>
      </c>
      <c r="EA118" s="1319">
        <f t="shared" ca="1" si="1245"/>
        <v>0</v>
      </c>
      <c r="EB118" s="1319">
        <f t="shared" ca="1" si="1245"/>
        <v>0</v>
      </c>
      <c r="EC118" s="1319">
        <f t="shared" ca="1" si="1245"/>
        <v>0</v>
      </c>
      <c r="ED118" s="1319">
        <f t="shared" ca="1" si="1245"/>
        <v>0</v>
      </c>
      <c r="EE118" s="1319">
        <f t="shared" ca="1" si="1245"/>
        <v>0</v>
      </c>
      <c r="EF118" s="1319">
        <f t="shared" ca="1" si="1245"/>
        <v>0</v>
      </c>
      <c r="EG118" s="1319">
        <f t="shared" ca="1" si="1245"/>
        <v>0</v>
      </c>
      <c r="EH118" s="1319">
        <f t="shared" ca="1" si="1245"/>
        <v>0</v>
      </c>
      <c r="EI118" s="1319">
        <f t="shared" ca="1" si="1245"/>
        <v>0</v>
      </c>
      <c r="EJ118" s="1319">
        <f t="shared" ca="1" si="1245"/>
        <v>0</v>
      </c>
      <c r="EK118" s="1319">
        <f t="shared" ca="1" si="1245"/>
        <v>0</v>
      </c>
      <c r="ET118" s="1334"/>
      <c r="EW118" s="1319">
        <f t="shared" ca="1" si="1246"/>
        <v>-3.8744858690708286</v>
      </c>
      <c r="EX118" s="1319">
        <f t="shared" ca="1" si="1246"/>
        <v>-3.8744858690708286</v>
      </c>
      <c r="EY118" s="1319">
        <f t="shared" ca="1" si="1246"/>
        <v>-3.8744858352094198</v>
      </c>
      <c r="EZ118" s="1319">
        <f t="shared" ca="1" si="1246"/>
        <v>-3.8744858352094198</v>
      </c>
      <c r="FA118" s="1319">
        <f t="shared" ca="1" si="1246"/>
        <v>-1.7275933141431114E-21</v>
      </c>
      <c r="FB118" s="1319">
        <f t="shared" ca="1" si="1246"/>
        <v>-2.9488353742353888E-8</v>
      </c>
      <c r="FK118" s="1334"/>
      <c r="FN118" s="1319">
        <f t="shared" ca="1" si="1247"/>
        <v>-2.4394278639339609E-15</v>
      </c>
      <c r="FO118" s="1319">
        <f t="shared" ca="1" si="1247"/>
        <v>-2.2935683968607481E-14</v>
      </c>
      <c r="FP118" s="1319">
        <f t="shared" ca="1" si="1247"/>
        <v>-1.7275933141431114E-21</v>
      </c>
      <c r="FQ118" s="1319">
        <f t="shared" ca="1" si="1247"/>
        <v>-2.9488353742353888E-8</v>
      </c>
      <c r="FR118" s="1319">
        <f t="shared" ca="1" si="1247"/>
        <v>0</v>
      </c>
      <c r="FS118" s="1319">
        <f t="shared" ca="1" si="1247"/>
        <v>-2.9488353877799519E-8</v>
      </c>
      <c r="FT118" s="1319">
        <f t="shared" ca="1" si="1247"/>
        <v>0</v>
      </c>
      <c r="FU118" s="1319">
        <f t="shared" ca="1" si="1247"/>
        <v>-2.5375113552701002E-14</v>
      </c>
      <c r="FV118" s="1319">
        <f t="shared" ca="1" si="1247"/>
        <v>0</v>
      </c>
      <c r="FW118" s="1319">
        <f t="shared" ca="1" si="1247"/>
        <v>0</v>
      </c>
      <c r="FX118" s="1319">
        <f t="shared" ca="1" si="1247"/>
        <v>0</v>
      </c>
      <c r="GG118" s="1334"/>
      <c r="GJ118" s="1319">
        <f t="shared" ca="1" si="1248"/>
        <v>0</v>
      </c>
      <c r="GK118" s="1319">
        <f t="shared" ca="1" si="1248"/>
        <v>0</v>
      </c>
      <c r="GL118" s="1319">
        <f t="shared" ca="1" si="1248"/>
        <v>0</v>
      </c>
      <c r="GM118" s="1319">
        <f t="shared" ca="1" si="1248"/>
        <v>0</v>
      </c>
      <c r="GN118" s="1319">
        <f t="shared" ca="1" si="1248"/>
        <v>0</v>
      </c>
      <c r="GO118" s="1319">
        <f t="shared" ca="1" si="1248"/>
        <v>0</v>
      </c>
      <c r="GP118" s="1319">
        <f t="shared" ca="1" si="1248"/>
        <v>0</v>
      </c>
      <c r="GQ118" s="1319">
        <f t="shared" ca="1" si="1248"/>
        <v>0</v>
      </c>
      <c r="GZ118" s="1334"/>
      <c r="HC118" s="1319">
        <f t="shared" ca="1" si="1249"/>
        <v>-3.8744858352094198</v>
      </c>
      <c r="HD118" s="1319">
        <f t="shared" ca="1" si="1249"/>
        <v>-3.7302326111451429</v>
      </c>
      <c r="HE118" s="1319">
        <f t="shared" ca="1" si="1249"/>
        <v>0</v>
      </c>
      <c r="HF118" s="1319">
        <f t="shared" ca="1" si="1249"/>
        <v>-2.8277774859947942E-13</v>
      </c>
      <c r="HG118" s="1319">
        <f t="shared" ca="1" si="1249"/>
        <v>-0.14425321695338139</v>
      </c>
      <c r="HH118" s="1319">
        <f t="shared" ca="1" si="1249"/>
        <v>-3.7302326111451429</v>
      </c>
      <c r="HQ118" s="1334"/>
      <c r="HT118" s="1319">
        <f t="shared" ca="1" si="1250"/>
        <v>-1.1748347387902732E-7</v>
      </c>
      <c r="HU118" s="1319">
        <f t="shared" ca="1" si="1250"/>
        <v>-3.7302326111451429</v>
      </c>
      <c r="HV118" s="1319">
        <f t="shared" ca="1" si="1250"/>
        <v>-3.7302327465907772</v>
      </c>
      <c r="HW118" s="1319">
        <f t="shared" ca="1" si="1250"/>
        <v>-3.7302327465907772</v>
      </c>
      <c r="HX118" s="1319">
        <f t="shared" ca="1" si="1250"/>
        <v>-0.31199548968422008</v>
      </c>
      <c r="HY118" s="1319">
        <f t="shared" ca="1" si="1250"/>
        <v>-2.3725456323800548E-2</v>
      </c>
      <c r="HZ118" s="1319">
        <f t="shared" ca="1" si="1250"/>
        <v>-7.3080997528304036E-15</v>
      </c>
      <c r="IA118" s="1319">
        <f t="shared" ca="1" si="1250"/>
        <v>-1.1878399001729177E-15</v>
      </c>
      <c r="IB118" s="1319">
        <f t="shared" ca="1" si="1250"/>
        <v>0</v>
      </c>
      <c r="IC118" s="1319">
        <f t="shared" ca="1" si="1250"/>
        <v>0</v>
      </c>
      <c r="ID118" s="1319">
        <f t="shared" ca="1" si="1250"/>
        <v>0</v>
      </c>
      <c r="IE118" s="1319">
        <f t="shared" ca="1" si="1250"/>
        <v>0</v>
      </c>
      <c r="IN118" s="1334"/>
      <c r="IQ118" s="1319">
        <f t="shared" ca="1" si="1251"/>
        <v>-0.31199548968422008</v>
      </c>
      <c r="IR118" s="1319">
        <f t="shared" ca="1" si="1251"/>
        <v>-2.3725456323800548E-2</v>
      </c>
      <c r="IS118" s="1319">
        <f t="shared" ca="1" si="1251"/>
        <v>-4.720131275485496E-4</v>
      </c>
      <c r="IT118" s="1319">
        <f t="shared" ca="1" si="1251"/>
        <v>-2.4197469427646116E-2</v>
      </c>
      <c r="IU118" s="1319">
        <f t="shared" ca="1" si="1251"/>
        <v>-2.2583414151534087E-2</v>
      </c>
      <c r="IV118" s="1319">
        <f t="shared" ca="1" si="1251"/>
        <v>-1.3836288743957559E-2</v>
      </c>
      <c r="IW118" s="1319">
        <f t="shared" ca="1" si="1251"/>
        <v>-1.1328315034076062E-2</v>
      </c>
      <c r="IX118" s="1319">
        <f t="shared" ca="1" si="1251"/>
        <v>-5.2057084469666307E-17</v>
      </c>
      <c r="IY118" s="1319">
        <f t="shared" ca="1" si="1251"/>
        <v>-1.6140552828843094E-3</v>
      </c>
      <c r="IZ118" s="1319">
        <f t="shared" ca="1" si="1251"/>
        <v>-2.0359605857190872E-3</v>
      </c>
      <c r="JA118" s="1319">
        <f t="shared" ca="1" si="1251"/>
        <v>-1.1800328171783036E-2</v>
      </c>
      <c r="JB118" s="1319">
        <f t="shared" ca="1" si="1252"/>
        <v>0</v>
      </c>
      <c r="JC118" s="1319">
        <f t="shared" ca="1" si="1252"/>
        <v>-2.0359605857190872E-3</v>
      </c>
      <c r="JD118" s="1319">
        <f t="shared" ca="1" si="1252"/>
        <v>0</v>
      </c>
      <c r="JE118" s="1319">
        <f t="shared" ca="1" si="1252"/>
        <v>-2.0359605857190872E-3</v>
      </c>
      <c r="JF118" s="1319">
        <f t="shared" ca="1" si="1252"/>
        <v>0</v>
      </c>
      <c r="JG118" s="1319">
        <f t="shared" ca="1" si="1252"/>
        <v>0</v>
      </c>
      <c r="JH118" s="1319">
        <f t="shared" ca="1" si="1252"/>
        <v>-1.1878399001729177E-15</v>
      </c>
      <c r="JQ118" s="1334"/>
      <c r="JT118" s="1319">
        <f t="shared" ca="1" si="1253"/>
        <v>0</v>
      </c>
      <c r="JU118" s="1319">
        <f t="shared" ca="1" si="1253"/>
        <v>0</v>
      </c>
      <c r="JV118" s="1319">
        <f t="shared" ca="1" si="1253"/>
        <v>0</v>
      </c>
      <c r="JW118" s="1319">
        <f t="shared" ca="1" si="1253"/>
        <v>0</v>
      </c>
      <c r="JX118" s="1319">
        <f t="shared" ca="1" si="1253"/>
        <v>0</v>
      </c>
      <c r="JY118" s="1319">
        <f t="shared" ca="1" si="1253"/>
        <v>0</v>
      </c>
      <c r="JZ118" s="1319">
        <f t="shared" ca="1" si="1253"/>
        <v>0</v>
      </c>
      <c r="KA118" s="1319">
        <f t="shared" ca="1" si="1253"/>
        <v>0</v>
      </c>
      <c r="KB118" s="1319">
        <f t="shared" ca="1" si="1253"/>
        <v>0</v>
      </c>
      <c r="KC118" s="1319">
        <f t="shared" ca="1" si="1253"/>
        <v>0</v>
      </c>
      <c r="KI118" s="1334"/>
      <c r="KL118" s="1319">
        <f t="shared" ca="1" si="1254"/>
        <v>0</v>
      </c>
      <c r="KM118" s="1319">
        <f t="shared" ca="1" si="1254"/>
        <v>0</v>
      </c>
      <c r="KN118" s="1319">
        <f t="shared" ca="1" si="1254"/>
        <v>0</v>
      </c>
      <c r="KO118" s="1319">
        <f t="shared" ca="1" si="1254"/>
        <v>0</v>
      </c>
      <c r="KP118" s="1319">
        <f t="shared" ca="1" si="1254"/>
        <v>0</v>
      </c>
      <c r="KQ118" s="1319">
        <f t="shared" ca="1" si="1254"/>
        <v>0</v>
      </c>
      <c r="KR118" s="1319">
        <f t="shared" ca="1" si="1254"/>
        <v>0</v>
      </c>
      <c r="KX118" s="1334"/>
      <c r="LA118" s="1319">
        <f t="shared" ca="1" si="1255"/>
        <v>-2.8277774859947942E-13</v>
      </c>
      <c r="LB118" s="1319">
        <f t="shared" ca="1" si="1255"/>
        <v>-7.3080997528304036E-15</v>
      </c>
      <c r="LC118" s="1319">
        <f t="shared" ca="1" si="1255"/>
        <v>-2.9008584818300277E-13</v>
      </c>
      <c r="LD118" s="1319">
        <f t="shared" ca="1" si="1255"/>
        <v>-2.9008584818300277E-13</v>
      </c>
      <c r="LE118" s="1319">
        <f t="shared" ca="1" si="1255"/>
        <v>0</v>
      </c>
      <c r="LF118" s="1319">
        <f t="shared" ca="1" si="1255"/>
        <v>0</v>
      </c>
      <c r="LG118" s="1319">
        <f t="shared" ca="1" si="1255"/>
        <v>0</v>
      </c>
      <c r="LH118" s="1319">
        <f t="shared" ca="1" si="1255"/>
        <v>0</v>
      </c>
      <c r="LI118" s="1319">
        <f t="shared" ca="1" si="1255"/>
        <v>0</v>
      </c>
      <c r="LJ118" s="1319">
        <f t="shared" ca="1" si="1255"/>
        <v>0</v>
      </c>
      <c r="LK118" s="1319">
        <f t="shared" ca="1" si="1255"/>
        <v>0</v>
      </c>
      <c r="LT118" s="1334"/>
      <c r="LW118" s="1319">
        <f t="shared" ca="1" si="1256"/>
        <v>0</v>
      </c>
      <c r="LX118" s="1319">
        <f t="shared" ca="1" si="1256"/>
        <v>0</v>
      </c>
      <c r="LY118" s="1319">
        <f t="shared" ca="1" si="1256"/>
        <v>-0.14425321695338139</v>
      </c>
      <c r="LZ118" s="1319">
        <f t="shared" ca="1" si="1256"/>
        <v>-1.6140552828843094E-3</v>
      </c>
      <c r="MA118" s="1319">
        <f t="shared" ca="1" si="1256"/>
        <v>-0.14586727246652328</v>
      </c>
      <c r="MB118" s="1319">
        <f t="shared" ca="1" si="1256"/>
        <v>-2.9008584818300277E-13</v>
      </c>
      <c r="MC118" s="1319">
        <f t="shared" ca="1" si="1256"/>
        <v>0</v>
      </c>
      <c r="MD118" s="1319">
        <f t="shared" ca="1" si="1256"/>
        <v>0</v>
      </c>
      <c r="ME118" s="1319">
        <f t="shared" ca="1" si="1256"/>
        <v>0</v>
      </c>
      <c r="MF118" s="1319">
        <f t="shared" ca="1" si="1256"/>
        <v>0</v>
      </c>
      <c r="MG118" s="1319">
        <f t="shared" ca="1" si="1257"/>
        <v>0</v>
      </c>
      <c r="MH118" s="1319">
        <f t="shared" ca="1" si="1257"/>
        <v>0</v>
      </c>
      <c r="MI118" s="1319">
        <f t="shared" ca="1" si="1257"/>
        <v>0</v>
      </c>
      <c r="MJ118" s="1319">
        <f t="shared" ca="1" si="1257"/>
        <v>0</v>
      </c>
      <c r="MK118" s="1319">
        <f t="shared" ca="1" si="1257"/>
        <v>0</v>
      </c>
      <c r="ML118" s="1319">
        <f t="shared" ca="1" si="1257"/>
        <v>0</v>
      </c>
      <c r="MM118" s="1319">
        <f t="shared" ca="1" si="1257"/>
        <v>0</v>
      </c>
      <c r="MN118" s="1319">
        <f t="shared" ca="1" si="1257"/>
        <v>0</v>
      </c>
      <c r="MO118" s="1319">
        <f t="shared" ca="1" si="1257"/>
        <v>0</v>
      </c>
      <c r="MX118" s="1334"/>
      <c r="NA118" s="1319">
        <f t="shared" ca="1" si="1258"/>
        <v>-1.11665741193705E-7</v>
      </c>
      <c r="NB118" s="1319">
        <f t="shared" ca="1" si="1258"/>
        <v>-8.20834668071006E-15</v>
      </c>
      <c r="NC118" s="1319">
        <f t="shared" ca="1" si="1258"/>
        <v>-1.1166573306696693E-7</v>
      </c>
      <c r="ND118" s="1319">
        <f t="shared" ca="1" si="1258"/>
        <v>0</v>
      </c>
      <c r="NE118" s="1319">
        <f t="shared" ca="1" si="1258"/>
        <v>0</v>
      </c>
      <c r="NF118" s="1319">
        <f t="shared" ca="1" si="1258"/>
        <v>0</v>
      </c>
      <c r="NG118" s="1319">
        <f t="shared" ca="1" si="1258"/>
        <v>0</v>
      </c>
      <c r="NH118" s="1319">
        <f t="shared" ca="1" si="1258"/>
        <v>0</v>
      </c>
      <c r="NI118" s="1319">
        <f t="shared" ca="1" si="1258"/>
        <v>0</v>
      </c>
      <c r="NJ118" s="1319">
        <f t="shared" ca="1" si="1258"/>
        <v>0</v>
      </c>
      <c r="NK118" s="1319">
        <f t="shared" ca="1" si="1258"/>
        <v>0</v>
      </c>
      <c r="NL118" s="1319">
        <f t="shared" ca="1" si="1258"/>
        <v>0</v>
      </c>
      <c r="NM118" s="1319">
        <f t="shared" ca="1" si="1258"/>
        <v>0</v>
      </c>
      <c r="NN118" s="1319">
        <f t="shared" ca="1" si="1258"/>
        <v>0</v>
      </c>
      <c r="NO118" s="1319">
        <f t="shared" ca="1" si="1258"/>
        <v>0</v>
      </c>
      <c r="NP118" s="1319">
        <f t="shared" ca="1" si="1258"/>
        <v>0</v>
      </c>
      <c r="NY118" s="1334"/>
      <c r="OE118" s="1334"/>
      <c r="OH118" s="1319">
        <f t="shared" ca="1" si="1259"/>
        <v>0</v>
      </c>
      <c r="OI118" s="1319">
        <f t="shared" ca="1" si="1259"/>
        <v>0</v>
      </c>
      <c r="OJ118" s="1319">
        <f t="shared" ca="1" si="1259"/>
        <v>0</v>
      </c>
      <c r="OK118" s="1319">
        <f t="shared" ca="1" si="1259"/>
        <v>0</v>
      </c>
      <c r="OL118" s="1319">
        <f t="shared" ca="1" si="1259"/>
        <v>0</v>
      </c>
      <c r="OM118" s="1319">
        <f t="shared" ca="1" si="1259"/>
        <v>0</v>
      </c>
      <c r="ON118" s="1319">
        <f t="shared" ca="1" si="1259"/>
        <v>0</v>
      </c>
      <c r="OO118" s="1319">
        <f t="shared" ca="1" si="1259"/>
        <v>0</v>
      </c>
      <c r="OX118" s="1334"/>
      <c r="PA118" s="1319">
        <f t="shared" ca="1" si="1260"/>
        <v>0</v>
      </c>
      <c r="PB118" s="1319">
        <f t="shared" ca="1" si="1260"/>
        <v>0</v>
      </c>
      <c r="PC118" s="1319">
        <f t="shared" ca="1" si="1260"/>
        <v>0</v>
      </c>
      <c r="PD118" s="1319">
        <f t="shared" ca="1" si="1260"/>
        <v>0</v>
      </c>
      <c r="PE118" s="1319">
        <f t="shared" ca="1" si="1260"/>
        <v>0</v>
      </c>
      <c r="PF118" s="1319">
        <f t="shared" ca="1" si="1260"/>
        <v>0</v>
      </c>
      <c r="PG118" s="1319">
        <f t="shared" ca="1" si="1260"/>
        <v>0</v>
      </c>
      <c r="PH118" s="1319">
        <f t="shared" ca="1" si="1260"/>
        <v>0</v>
      </c>
      <c r="PI118" s="1319">
        <f t="shared" ca="1" si="1260"/>
        <v>0</v>
      </c>
      <c r="PJ118" s="1319">
        <f t="shared" ca="1" si="1260"/>
        <v>0</v>
      </c>
      <c r="PK118" s="1319">
        <f t="shared" ca="1" si="1260"/>
        <v>0</v>
      </c>
      <c r="PT118" s="1334"/>
      <c r="PW118" s="1319">
        <f t="shared" ca="1" si="1261"/>
        <v>0</v>
      </c>
      <c r="PX118" s="1319">
        <f t="shared" ca="1" si="1261"/>
        <v>0</v>
      </c>
      <c r="PY118" s="1319">
        <f t="shared" ca="1" si="1261"/>
        <v>0</v>
      </c>
      <c r="PZ118" s="1319">
        <f t="shared" ca="1" si="1261"/>
        <v>0</v>
      </c>
    </row>
    <row r="119" spans="1:442" x14ac:dyDescent="0.25">
      <c r="A119" s="189">
        <v>8</v>
      </c>
      <c r="B119" s="189" t="s">
        <v>1256</v>
      </c>
      <c r="C119" s="1317" t="s">
        <v>1269</v>
      </c>
      <c r="D119" s="1317" t="s">
        <v>206</v>
      </c>
      <c r="E119" s="1318">
        <v>180.15768</v>
      </c>
      <c r="F119" s="1316">
        <v>-0.61003928257999984</v>
      </c>
      <c r="G119" s="1334"/>
      <c r="J119" s="1319">
        <f t="shared" ca="1" si="1239"/>
        <v>0</v>
      </c>
      <c r="K119" s="1319">
        <f t="shared" ca="1" si="1239"/>
        <v>0</v>
      </c>
      <c r="Q119" s="1334"/>
      <c r="T119" s="1319">
        <f t="shared" ca="1" si="1240"/>
        <v>0</v>
      </c>
      <c r="U119" s="1319">
        <f t="shared" ca="1" si="1240"/>
        <v>0</v>
      </c>
      <c r="V119" s="1319">
        <f t="shared" ca="1" si="1240"/>
        <v>-1.2372735882600912E-8</v>
      </c>
      <c r="W119" s="1319">
        <f t="shared" ca="1" si="1240"/>
        <v>0</v>
      </c>
      <c r="X119" s="1319">
        <f t="shared" ca="1" si="1240"/>
        <v>0</v>
      </c>
      <c r="Y119" s="1319">
        <f t="shared" ca="1" si="1240"/>
        <v>-1.6928651990250025</v>
      </c>
      <c r="Z119" s="1319">
        <f t="shared" ca="1" si="1240"/>
        <v>-4.6852758651738104E-8</v>
      </c>
      <c r="AA119" s="1319">
        <f t="shared" ca="1" si="1240"/>
        <v>-1.6928651550051714</v>
      </c>
      <c r="AB119" s="1319">
        <f t="shared" ca="1" si="1240"/>
        <v>0</v>
      </c>
      <c r="AC119" s="1319">
        <f t="shared" ca="1" si="1240"/>
        <v>-1.2372735882600912E-8</v>
      </c>
      <c r="AD119" s="1319">
        <f t="shared" ca="1" si="1240"/>
        <v>0</v>
      </c>
      <c r="AJ119" s="1334"/>
      <c r="AM119" s="1319">
        <f t="shared" ca="1" si="1241"/>
        <v>0</v>
      </c>
      <c r="AN119" s="1319">
        <f t="shared" ca="1" si="1241"/>
        <v>0</v>
      </c>
      <c r="AO119" s="1319">
        <f t="shared" ca="1" si="1241"/>
        <v>-1.6928651550051714</v>
      </c>
      <c r="AP119" s="1319">
        <f t="shared" ca="1" si="1241"/>
        <v>-1.6928651550051714</v>
      </c>
      <c r="AQ119" s="1319">
        <f t="shared" ca="1" si="1241"/>
        <v>-2.4410066961325859E-9</v>
      </c>
      <c r="AR119" s="1319">
        <f t="shared" ca="1" si="1241"/>
        <v>-3.4440615505104911E-15</v>
      </c>
      <c r="AS119" s="1319">
        <f t="shared" ca="1" si="1241"/>
        <v>-4.6852755265597233E-8</v>
      </c>
      <c r="AT119" s="1319">
        <f t="shared" ca="1" si="1241"/>
        <v>-3.6882565529290669E-17</v>
      </c>
      <c r="AU119" s="1319">
        <f t="shared" ca="1" si="1241"/>
        <v>-2.4410101059764383E-9</v>
      </c>
      <c r="AV119" s="1319">
        <f t="shared" ca="1" si="1241"/>
        <v>-1.6928651516190307</v>
      </c>
      <c r="AW119" s="1319">
        <f t="shared" ca="1" si="1241"/>
        <v>-3.6882565529290669E-17</v>
      </c>
      <c r="AX119" s="1319">
        <f t="shared" ca="1" si="1241"/>
        <v>-4.9293765297078581E-8</v>
      </c>
      <c r="AY119" s="1319">
        <f t="shared" ca="1" si="1241"/>
        <v>0</v>
      </c>
      <c r="AZ119" s="1319">
        <f t="shared" ca="1" si="1241"/>
        <v>0</v>
      </c>
      <c r="BA119" s="1319">
        <f t="shared" ca="1" si="1241"/>
        <v>0</v>
      </c>
      <c r="BB119" s="1319">
        <f t="shared" ca="1" si="1241"/>
        <v>-1.6759364992901664</v>
      </c>
      <c r="BK119" s="1334"/>
      <c r="BN119" s="1319">
        <f t="shared" ca="1" si="1242"/>
        <v>-0.16759364992901665</v>
      </c>
      <c r="BO119" s="1319">
        <f t="shared" ca="1" si="1242"/>
        <v>-0.16759364992901665</v>
      </c>
      <c r="BP119" s="1319">
        <f t="shared" ca="1" si="1242"/>
        <v>-1.0235361678221848E-15</v>
      </c>
      <c r="BQ119" s="1319">
        <f t="shared" ca="1" si="1242"/>
        <v>0</v>
      </c>
      <c r="BR119" s="1319">
        <f t="shared" ca="1" si="1242"/>
        <v>0</v>
      </c>
      <c r="CA119" s="1334"/>
      <c r="CD119" s="1319">
        <f t="shared" ca="1" si="1243"/>
        <v>-1.6759364992901664</v>
      </c>
      <c r="CE119" s="1319">
        <f t="shared" ca="1" si="1243"/>
        <v>-1.6759364992901664</v>
      </c>
      <c r="CF119" s="1319">
        <f t="shared" ca="1" si="1243"/>
        <v>-0.16759364992901665</v>
      </c>
      <c r="CG119" s="1319">
        <f t="shared" ca="1" si="1243"/>
        <v>-0.16759364992901665</v>
      </c>
      <c r="CH119" s="1319">
        <f t="shared" ca="1" si="1243"/>
        <v>-1.6759364992901664</v>
      </c>
      <c r="CI119" s="1319">
        <f t="shared" ca="1" si="1243"/>
        <v>0</v>
      </c>
      <c r="CJ119" s="1319">
        <f t="shared" ca="1" si="1243"/>
        <v>0</v>
      </c>
      <c r="CK119" s="1319">
        <f t="shared" ca="1" si="1243"/>
        <v>-1.6256584058690866</v>
      </c>
      <c r="CL119" s="1319">
        <f t="shared" ca="1" si="1243"/>
        <v>-9.6233639194877432E-15</v>
      </c>
      <c r="CM119" s="1319">
        <f t="shared" ca="1" si="1243"/>
        <v>0</v>
      </c>
      <c r="CN119" s="1319">
        <f t="shared" ca="1" si="1243"/>
        <v>-1.6256584058690866</v>
      </c>
      <c r="CO119" s="1319">
        <f t="shared" ca="1" si="1243"/>
        <v>0</v>
      </c>
      <c r="CX119" s="1334"/>
      <c r="DA119" s="1319">
        <f t="shared" ca="1" si="1244"/>
        <v>0</v>
      </c>
      <c r="DB119" s="1319">
        <f t="shared" ca="1" si="1244"/>
        <v>0</v>
      </c>
      <c r="DC119" s="1319">
        <f t="shared" ca="1" si="1244"/>
        <v>0</v>
      </c>
      <c r="DD119" s="1319">
        <f t="shared" ca="1" si="1244"/>
        <v>0</v>
      </c>
      <c r="DE119" s="1319">
        <f t="shared" ca="1" si="1244"/>
        <v>0</v>
      </c>
      <c r="DF119" s="1319">
        <f t="shared" ca="1" si="1244"/>
        <v>0</v>
      </c>
      <c r="DG119" s="1319">
        <f t="shared" ca="1" si="1244"/>
        <v>0</v>
      </c>
      <c r="DH119" s="1319">
        <f t="shared" ca="1" si="1244"/>
        <v>0</v>
      </c>
      <c r="DI119" s="1319">
        <f t="shared" ca="1" si="1244"/>
        <v>0</v>
      </c>
      <c r="DJ119" s="1319">
        <f t="shared" ca="1" si="1244"/>
        <v>0</v>
      </c>
      <c r="DS119" s="1334"/>
      <c r="DV119" s="1319">
        <f t="shared" ca="1" si="1245"/>
        <v>0</v>
      </c>
      <c r="DW119" s="1319">
        <f t="shared" ca="1" si="1245"/>
        <v>0</v>
      </c>
      <c r="DX119" s="1319">
        <f t="shared" ca="1" si="1245"/>
        <v>0</v>
      </c>
      <c r="DY119" s="1319">
        <f t="shared" ca="1" si="1245"/>
        <v>0</v>
      </c>
      <c r="DZ119" s="1319">
        <f t="shared" ca="1" si="1245"/>
        <v>0</v>
      </c>
      <c r="EA119" s="1319">
        <f t="shared" ca="1" si="1245"/>
        <v>0</v>
      </c>
      <c r="EB119" s="1319">
        <f t="shared" ca="1" si="1245"/>
        <v>0</v>
      </c>
      <c r="EC119" s="1319">
        <f t="shared" ca="1" si="1245"/>
        <v>0</v>
      </c>
      <c r="ED119" s="1319">
        <f t="shared" ca="1" si="1245"/>
        <v>0</v>
      </c>
      <c r="EE119" s="1319">
        <f t="shared" ca="1" si="1245"/>
        <v>0</v>
      </c>
      <c r="EF119" s="1319">
        <f t="shared" ca="1" si="1245"/>
        <v>0</v>
      </c>
      <c r="EG119" s="1319">
        <f t="shared" ca="1" si="1245"/>
        <v>0</v>
      </c>
      <c r="EH119" s="1319">
        <f t="shared" ca="1" si="1245"/>
        <v>0</v>
      </c>
      <c r="EI119" s="1319">
        <f t="shared" ca="1" si="1245"/>
        <v>0</v>
      </c>
      <c r="EJ119" s="1319">
        <f t="shared" ca="1" si="1245"/>
        <v>0</v>
      </c>
      <c r="EK119" s="1319">
        <f t="shared" ca="1" si="1245"/>
        <v>0</v>
      </c>
      <c r="ET119" s="1334"/>
      <c r="EW119" s="1319">
        <f t="shared" ca="1" si="1246"/>
        <v>-1.6256584058690866</v>
      </c>
      <c r="EX119" s="1319">
        <f t="shared" ca="1" si="1246"/>
        <v>-1.6256584058690866</v>
      </c>
      <c r="EY119" s="1319">
        <f t="shared" ca="1" si="1246"/>
        <v>-1.6256583923245225</v>
      </c>
      <c r="EZ119" s="1319">
        <f t="shared" ca="1" si="1246"/>
        <v>-1.6256583923245225</v>
      </c>
      <c r="FA119" s="1319">
        <f t="shared" ca="1" si="1246"/>
        <v>-7.2486432841759061E-22</v>
      </c>
      <c r="FB119" s="1319">
        <f t="shared" ca="1" si="1246"/>
        <v>-1.2372735814878097E-8</v>
      </c>
      <c r="FK119" s="1334"/>
      <c r="FN119" s="1319">
        <f t="shared" ca="1" si="1247"/>
        <v>-1.0235361678221848E-15</v>
      </c>
      <c r="FO119" s="1319">
        <f t="shared" ca="1" si="1247"/>
        <v>-9.6233639194877432E-15</v>
      </c>
      <c r="FP119" s="1319">
        <f t="shared" ca="1" si="1247"/>
        <v>-7.2486432841759061E-22</v>
      </c>
      <c r="FQ119" s="1319">
        <f t="shared" ca="1" si="1247"/>
        <v>-1.2372735814878097E-8</v>
      </c>
      <c r="FR119" s="1319">
        <f t="shared" ca="1" si="1247"/>
        <v>0</v>
      </c>
      <c r="FS119" s="1319">
        <f t="shared" ca="1" si="1247"/>
        <v>-1.2372735882600912E-8</v>
      </c>
      <c r="FT119" s="1319">
        <f t="shared" ca="1" si="1247"/>
        <v>0</v>
      </c>
      <c r="FU119" s="1319">
        <f t="shared" ca="1" si="1247"/>
        <v>-1.0646900811944074E-14</v>
      </c>
      <c r="FV119" s="1319">
        <f t="shared" ca="1" si="1247"/>
        <v>0</v>
      </c>
      <c r="FW119" s="1319">
        <f t="shared" ca="1" si="1247"/>
        <v>0</v>
      </c>
      <c r="FX119" s="1319">
        <f t="shared" ca="1" si="1247"/>
        <v>0</v>
      </c>
      <c r="GG119" s="1334"/>
      <c r="GJ119" s="1319">
        <f t="shared" ca="1" si="1248"/>
        <v>0</v>
      </c>
      <c r="GK119" s="1319">
        <f t="shared" ca="1" si="1248"/>
        <v>0</v>
      </c>
      <c r="GL119" s="1319">
        <f t="shared" ca="1" si="1248"/>
        <v>0</v>
      </c>
      <c r="GM119" s="1319">
        <f t="shared" ca="1" si="1248"/>
        <v>0</v>
      </c>
      <c r="GN119" s="1319">
        <f t="shared" ca="1" si="1248"/>
        <v>0</v>
      </c>
      <c r="GO119" s="1319">
        <f t="shared" ca="1" si="1248"/>
        <v>0</v>
      </c>
      <c r="GP119" s="1319">
        <f t="shared" ca="1" si="1248"/>
        <v>0</v>
      </c>
      <c r="GQ119" s="1319">
        <f t="shared" ca="1" si="1248"/>
        <v>0</v>
      </c>
      <c r="GZ119" s="1334"/>
      <c r="HC119" s="1319">
        <f t="shared" ca="1" si="1249"/>
        <v>-1.6256583923245225</v>
      </c>
      <c r="HD119" s="1319">
        <f t="shared" ca="1" si="1249"/>
        <v>-1.5651325668399634</v>
      </c>
      <c r="HE119" s="1319">
        <f t="shared" ca="1" si="1249"/>
        <v>0</v>
      </c>
      <c r="HF119" s="1319">
        <f t="shared" ca="1" si="1249"/>
        <v>-1.1864800632486632E-13</v>
      </c>
      <c r="HG119" s="1319">
        <f t="shared" ca="1" si="1249"/>
        <v>-6.0525825484559509E-2</v>
      </c>
      <c r="HH119" s="1319">
        <f t="shared" ca="1" si="1249"/>
        <v>-1.5651325668399634</v>
      </c>
      <c r="HQ119" s="1334"/>
      <c r="HT119" s="1319">
        <f t="shared" ca="1" si="1250"/>
        <v>-4.9293765297078581E-8</v>
      </c>
      <c r="HU119" s="1319">
        <f t="shared" ca="1" si="1250"/>
        <v>-1.5651325668399634</v>
      </c>
      <c r="HV119" s="1319">
        <f t="shared" ca="1" si="1250"/>
        <v>-1.5651326176320763</v>
      </c>
      <c r="HW119" s="1319">
        <f t="shared" ca="1" si="1250"/>
        <v>-1.5651326176320763</v>
      </c>
      <c r="HX119" s="1319">
        <f t="shared" ca="1" si="1250"/>
        <v>-0.13090719850442251</v>
      </c>
      <c r="HY119" s="1319">
        <f t="shared" ca="1" si="1250"/>
        <v>-9.9547369131573263E-3</v>
      </c>
      <c r="HZ119" s="1319">
        <f t="shared" ca="1" si="1250"/>
        <v>-3.0663355560106768E-15</v>
      </c>
      <c r="IA119" s="1319">
        <f t="shared" ca="1" si="1250"/>
        <v>-4.9839436479816471E-16</v>
      </c>
      <c r="IB119" s="1319">
        <f t="shared" ca="1" si="1250"/>
        <v>0</v>
      </c>
      <c r="IC119" s="1319">
        <f t="shared" ca="1" si="1250"/>
        <v>0</v>
      </c>
      <c r="ID119" s="1319">
        <f t="shared" ca="1" si="1250"/>
        <v>0</v>
      </c>
      <c r="IE119" s="1319">
        <f t="shared" ca="1" si="1250"/>
        <v>0</v>
      </c>
      <c r="IN119" s="1334"/>
      <c r="IQ119" s="1319">
        <f t="shared" ca="1" si="1251"/>
        <v>-0.13090719850442251</v>
      </c>
      <c r="IR119" s="1319">
        <f t="shared" ca="1" si="1251"/>
        <v>-9.9547369131573263E-3</v>
      </c>
      <c r="IS119" s="1319">
        <f t="shared" ca="1" si="1251"/>
        <v>-1.9804746584381418E-4</v>
      </c>
      <c r="IT119" s="1319">
        <f t="shared" ca="1" si="1251"/>
        <v>-1.0152784368842718E-2</v>
      </c>
      <c r="IU119" s="1319">
        <f t="shared" ca="1" si="1251"/>
        <v>-9.4755583966251236E-3</v>
      </c>
      <c r="IV119" s="1319">
        <f t="shared" ca="1" si="1251"/>
        <v>-5.8054358470444435E-3</v>
      </c>
      <c r="IW119" s="1319">
        <f t="shared" ca="1" si="1251"/>
        <v>-4.7531391734792578E-3</v>
      </c>
      <c r="IX119" s="1319">
        <f t="shared" ca="1" si="1251"/>
        <v>-2.1842133365227308E-17</v>
      </c>
      <c r="IY119" s="1319">
        <f t="shared" ca="1" si="1251"/>
        <v>-6.7722599253443967E-4</v>
      </c>
      <c r="IZ119" s="1319">
        <f t="shared" ca="1" si="1251"/>
        <v>-8.5424919756294925E-4</v>
      </c>
      <c r="JA119" s="1319">
        <f t="shared" ca="1" si="1251"/>
        <v>-4.9511866630260583E-3</v>
      </c>
      <c r="JB119" s="1319">
        <f t="shared" ca="1" si="1252"/>
        <v>0</v>
      </c>
      <c r="JC119" s="1319">
        <f t="shared" ca="1" si="1252"/>
        <v>-8.5424919756294925E-4</v>
      </c>
      <c r="JD119" s="1319">
        <f t="shared" ca="1" si="1252"/>
        <v>0</v>
      </c>
      <c r="JE119" s="1319">
        <f t="shared" ca="1" si="1252"/>
        <v>-8.5424919756294925E-4</v>
      </c>
      <c r="JF119" s="1319">
        <f t="shared" ca="1" si="1252"/>
        <v>0</v>
      </c>
      <c r="JG119" s="1319">
        <f t="shared" ca="1" si="1252"/>
        <v>0</v>
      </c>
      <c r="JH119" s="1319">
        <f t="shared" ca="1" si="1252"/>
        <v>-4.9839436479816471E-16</v>
      </c>
      <c r="JQ119" s="1334"/>
      <c r="JT119" s="1319">
        <f t="shared" ca="1" si="1253"/>
        <v>0</v>
      </c>
      <c r="JU119" s="1319">
        <f t="shared" ca="1" si="1253"/>
        <v>0</v>
      </c>
      <c r="JV119" s="1319">
        <f t="shared" ca="1" si="1253"/>
        <v>0</v>
      </c>
      <c r="JW119" s="1319">
        <f t="shared" ca="1" si="1253"/>
        <v>0</v>
      </c>
      <c r="JX119" s="1319">
        <f t="shared" ca="1" si="1253"/>
        <v>0</v>
      </c>
      <c r="JY119" s="1319">
        <f t="shared" ca="1" si="1253"/>
        <v>0</v>
      </c>
      <c r="JZ119" s="1319">
        <f t="shared" ca="1" si="1253"/>
        <v>0</v>
      </c>
      <c r="KA119" s="1319">
        <f t="shared" ca="1" si="1253"/>
        <v>0</v>
      </c>
      <c r="KB119" s="1319">
        <f t="shared" ca="1" si="1253"/>
        <v>0</v>
      </c>
      <c r="KC119" s="1319">
        <f t="shared" ca="1" si="1253"/>
        <v>0</v>
      </c>
      <c r="KI119" s="1334"/>
      <c r="KL119" s="1319">
        <f t="shared" ca="1" si="1254"/>
        <v>0</v>
      </c>
      <c r="KM119" s="1319">
        <f t="shared" ca="1" si="1254"/>
        <v>0</v>
      </c>
      <c r="KN119" s="1319">
        <f t="shared" ca="1" si="1254"/>
        <v>0</v>
      </c>
      <c r="KO119" s="1319">
        <f t="shared" ca="1" si="1254"/>
        <v>0</v>
      </c>
      <c r="KP119" s="1319">
        <f t="shared" ca="1" si="1254"/>
        <v>0</v>
      </c>
      <c r="KQ119" s="1319">
        <f t="shared" ca="1" si="1254"/>
        <v>0</v>
      </c>
      <c r="KR119" s="1319">
        <f t="shared" ca="1" si="1254"/>
        <v>0</v>
      </c>
      <c r="KX119" s="1334"/>
      <c r="LA119" s="1319">
        <f t="shared" ca="1" si="1255"/>
        <v>-1.1864800632486632E-13</v>
      </c>
      <c r="LB119" s="1319">
        <f t="shared" ca="1" si="1255"/>
        <v>-3.0663355560106768E-15</v>
      </c>
      <c r="LC119" s="1319">
        <f t="shared" ca="1" si="1255"/>
        <v>-1.2171434210097617E-13</v>
      </c>
      <c r="LD119" s="1319">
        <f t="shared" ca="1" si="1255"/>
        <v>-1.2171434210097617E-13</v>
      </c>
      <c r="LE119" s="1319">
        <f t="shared" ca="1" si="1255"/>
        <v>0</v>
      </c>
      <c r="LF119" s="1319">
        <f t="shared" ca="1" si="1255"/>
        <v>0</v>
      </c>
      <c r="LG119" s="1319">
        <f t="shared" ca="1" si="1255"/>
        <v>0</v>
      </c>
      <c r="LH119" s="1319">
        <f t="shared" ca="1" si="1255"/>
        <v>0</v>
      </c>
      <c r="LI119" s="1319">
        <f t="shared" ca="1" si="1255"/>
        <v>0</v>
      </c>
      <c r="LJ119" s="1319">
        <f t="shared" ca="1" si="1255"/>
        <v>0</v>
      </c>
      <c r="LK119" s="1319">
        <f t="shared" ca="1" si="1255"/>
        <v>0</v>
      </c>
      <c r="LT119" s="1334"/>
      <c r="LW119" s="1319">
        <f t="shared" ca="1" si="1256"/>
        <v>0</v>
      </c>
      <c r="LX119" s="1319">
        <f t="shared" ca="1" si="1256"/>
        <v>0</v>
      </c>
      <c r="LY119" s="1319">
        <f t="shared" ca="1" si="1256"/>
        <v>-6.0525825484559509E-2</v>
      </c>
      <c r="LZ119" s="1319">
        <f t="shared" ca="1" si="1256"/>
        <v>-6.7722599253443967E-4</v>
      </c>
      <c r="MA119" s="1319">
        <f t="shared" ca="1" si="1256"/>
        <v>-6.120305128747007E-2</v>
      </c>
      <c r="MB119" s="1319">
        <f t="shared" ca="1" si="1256"/>
        <v>-1.2171434210097617E-13</v>
      </c>
      <c r="MC119" s="1319">
        <f t="shared" ca="1" si="1256"/>
        <v>0</v>
      </c>
      <c r="MD119" s="1319">
        <f t="shared" ca="1" si="1256"/>
        <v>0</v>
      </c>
      <c r="ME119" s="1319">
        <f t="shared" ca="1" si="1256"/>
        <v>0</v>
      </c>
      <c r="MF119" s="1319">
        <f t="shared" ca="1" si="1256"/>
        <v>0</v>
      </c>
      <c r="MG119" s="1319">
        <f t="shared" ca="1" si="1257"/>
        <v>0</v>
      </c>
      <c r="MH119" s="1319">
        <f t="shared" ca="1" si="1257"/>
        <v>0</v>
      </c>
      <c r="MI119" s="1319">
        <f t="shared" ca="1" si="1257"/>
        <v>0</v>
      </c>
      <c r="MJ119" s="1319">
        <f t="shared" ca="1" si="1257"/>
        <v>0</v>
      </c>
      <c r="MK119" s="1319">
        <f t="shared" ca="1" si="1257"/>
        <v>0</v>
      </c>
      <c r="ML119" s="1319">
        <f t="shared" ca="1" si="1257"/>
        <v>0</v>
      </c>
      <c r="MM119" s="1319">
        <f t="shared" ca="1" si="1257"/>
        <v>0</v>
      </c>
      <c r="MN119" s="1319">
        <f t="shared" ca="1" si="1257"/>
        <v>0</v>
      </c>
      <c r="MO119" s="1319">
        <f t="shared" ca="1" si="1257"/>
        <v>0</v>
      </c>
      <c r="MX119" s="1334"/>
      <c r="NA119" s="1319">
        <f t="shared" ca="1" si="1258"/>
        <v>-4.6852758651738104E-8</v>
      </c>
      <c r="NB119" s="1319">
        <f t="shared" ca="1" si="1258"/>
        <v>-3.4440615505104911E-15</v>
      </c>
      <c r="NC119" s="1319">
        <f t="shared" ca="1" si="1258"/>
        <v>-4.6852755265597233E-8</v>
      </c>
      <c r="ND119" s="1319">
        <f t="shared" ca="1" si="1258"/>
        <v>0</v>
      </c>
      <c r="NE119" s="1319">
        <f t="shared" ca="1" si="1258"/>
        <v>0</v>
      </c>
      <c r="NF119" s="1319">
        <f t="shared" ca="1" si="1258"/>
        <v>0</v>
      </c>
      <c r="NG119" s="1319">
        <f t="shared" ca="1" si="1258"/>
        <v>0</v>
      </c>
      <c r="NH119" s="1319">
        <f t="shared" ca="1" si="1258"/>
        <v>0</v>
      </c>
      <c r="NI119" s="1319">
        <f t="shared" ca="1" si="1258"/>
        <v>0</v>
      </c>
      <c r="NJ119" s="1319">
        <f t="shared" ca="1" si="1258"/>
        <v>0</v>
      </c>
      <c r="NK119" s="1319">
        <f t="shared" ca="1" si="1258"/>
        <v>0</v>
      </c>
      <c r="NL119" s="1319">
        <f t="shared" ca="1" si="1258"/>
        <v>0</v>
      </c>
      <c r="NM119" s="1319">
        <f t="shared" ca="1" si="1258"/>
        <v>0</v>
      </c>
      <c r="NN119" s="1319">
        <f t="shared" ca="1" si="1258"/>
        <v>0</v>
      </c>
      <c r="NO119" s="1319">
        <f t="shared" ca="1" si="1258"/>
        <v>0</v>
      </c>
      <c r="NP119" s="1319">
        <f t="shared" ca="1" si="1258"/>
        <v>0</v>
      </c>
      <c r="NY119" s="1334"/>
      <c r="OE119" s="1334"/>
      <c r="OH119" s="1319">
        <f t="shared" ca="1" si="1259"/>
        <v>0</v>
      </c>
      <c r="OI119" s="1319">
        <f t="shared" ca="1" si="1259"/>
        <v>0</v>
      </c>
      <c r="OJ119" s="1319">
        <f t="shared" ca="1" si="1259"/>
        <v>0</v>
      </c>
      <c r="OK119" s="1319">
        <f t="shared" ca="1" si="1259"/>
        <v>0</v>
      </c>
      <c r="OL119" s="1319">
        <f t="shared" ca="1" si="1259"/>
        <v>0</v>
      </c>
      <c r="OM119" s="1319">
        <f t="shared" ca="1" si="1259"/>
        <v>0</v>
      </c>
      <c r="ON119" s="1319">
        <f t="shared" ca="1" si="1259"/>
        <v>0</v>
      </c>
      <c r="OO119" s="1319">
        <f t="shared" ca="1" si="1259"/>
        <v>0</v>
      </c>
      <c r="OX119" s="1334"/>
      <c r="PA119" s="1319">
        <f t="shared" ca="1" si="1260"/>
        <v>0</v>
      </c>
      <c r="PB119" s="1319">
        <f t="shared" ca="1" si="1260"/>
        <v>0</v>
      </c>
      <c r="PC119" s="1319">
        <f t="shared" ca="1" si="1260"/>
        <v>0</v>
      </c>
      <c r="PD119" s="1319">
        <f t="shared" ca="1" si="1260"/>
        <v>0</v>
      </c>
      <c r="PE119" s="1319">
        <f t="shared" ca="1" si="1260"/>
        <v>0</v>
      </c>
      <c r="PF119" s="1319">
        <f t="shared" ca="1" si="1260"/>
        <v>0</v>
      </c>
      <c r="PG119" s="1319">
        <f t="shared" ca="1" si="1260"/>
        <v>0</v>
      </c>
      <c r="PH119" s="1319">
        <f t="shared" ca="1" si="1260"/>
        <v>0</v>
      </c>
      <c r="PI119" s="1319">
        <f t="shared" ca="1" si="1260"/>
        <v>0</v>
      </c>
      <c r="PJ119" s="1319">
        <f t="shared" ca="1" si="1260"/>
        <v>0</v>
      </c>
      <c r="PK119" s="1319">
        <f t="shared" ca="1" si="1260"/>
        <v>0</v>
      </c>
      <c r="PT119" s="1334"/>
      <c r="PW119" s="1319">
        <f t="shared" ca="1" si="1261"/>
        <v>0</v>
      </c>
      <c r="PX119" s="1319">
        <f t="shared" ca="1" si="1261"/>
        <v>0</v>
      </c>
      <c r="PY119" s="1319">
        <f t="shared" ca="1" si="1261"/>
        <v>0</v>
      </c>
      <c r="PZ119" s="1319">
        <f t="shared" ca="1" si="1261"/>
        <v>0</v>
      </c>
    </row>
    <row r="120" spans="1:442" x14ac:dyDescent="0.25">
      <c r="A120" s="189">
        <v>9</v>
      </c>
      <c r="B120" s="189" t="s">
        <v>1256</v>
      </c>
      <c r="C120" s="1317" t="s">
        <v>1259</v>
      </c>
      <c r="D120" s="1317" t="s">
        <v>206</v>
      </c>
      <c r="E120" s="1318">
        <v>150.13139999999999</v>
      </c>
      <c r="F120" s="1316">
        <v>-0.50928265215000001</v>
      </c>
      <c r="G120" s="1334"/>
      <c r="J120" s="1319">
        <f t="shared" ca="1" si="1239"/>
        <v>0</v>
      </c>
      <c r="K120" s="1319">
        <f t="shared" ca="1" si="1239"/>
        <v>0</v>
      </c>
      <c r="Q120" s="1334"/>
      <c r="T120" s="1319">
        <f t="shared" ca="1" si="1240"/>
        <v>0</v>
      </c>
      <c r="U120" s="1319">
        <f t="shared" ca="1" si="1240"/>
        <v>0</v>
      </c>
      <c r="V120" s="1319">
        <f t="shared" ca="1" si="1240"/>
        <v>-6.0882637973734364E-7</v>
      </c>
      <c r="W120" s="1319">
        <f t="shared" ca="1" si="1240"/>
        <v>0</v>
      </c>
      <c r="X120" s="1319">
        <f t="shared" ca="1" si="1240"/>
        <v>0</v>
      </c>
      <c r="Y120" s="1319">
        <f t="shared" ca="1" si="1240"/>
        <v>-56.456291465876774</v>
      </c>
      <c r="Z120" s="1319">
        <f t="shared" ca="1" si="1240"/>
        <v>-2.3576759079234615E-5</v>
      </c>
      <c r="AA120" s="1319">
        <f t="shared" ca="1" si="1240"/>
        <v>-56.456268059378864</v>
      </c>
      <c r="AB120" s="1319">
        <f t="shared" ca="1" si="1240"/>
        <v>0</v>
      </c>
      <c r="AC120" s="1319">
        <f t="shared" ca="1" si="1240"/>
        <v>-6.0882637973734364E-7</v>
      </c>
      <c r="AD120" s="1319">
        <f t="shared" ca="1" si="1240"/>
        <v>0</v>
      </c>
      <c r="AJ120" s="1334"/>
      <c r="AM120" s="1319">
        <f t="shared" ca="1" si="1241"/>
        <v>0</v>
      </c>
      <c r="AN120" s="1319">
        <f t="shared" ca="1" si="1241"/>
        <v>0</v>
      </c>
      <c r="AO120" s="1319">
        <f t="shared" ca="1" si="1241"/>
        <v>-56.456268059378864</v>
      </c>
      <c r="AP120" s="1319">
        <f t="shared" ca="1" si="1241"/>
        <v>-56.456268059378864</v>
      </c>
      <c r="AQ120" s="1319">
        <f t="shared" ca="1" si="1241"/>
        <v>-2.6508031510778599E-6</v>
      </c>
      <c r="AR120" s="1319">
        <f t="shared" ca="1" si="1241"/>
        <v>-5.8890254822313696E-11</v>
      </c>
      <c r="AS120" s="1319">
        <f t="shared" ca="1" si="1241"/>
        <v>-2.3576700189842785E-5</v>
      </c>
      <c r="AT120" s="1319">
        <f t="shared" ca="1" si="1241"/>
        <v>-1.3624980065770477E-12</v>
      </c>
      <c r="AU120" s="1319">
        <f t="shared" ca="1" si="1241"/>
        <v>-2.6508606801790196E-6</v>
      </c>
      <c r="AV120" s="1319">
        <f t="shared" ca="1" si="1241"/>
        <v>-56.456265345581997</v>
      </c>
      <c r="AW120" s="1319">
        <f t="shared" ca="1" si="1241"/>
        <v>-1.3624980065770477E-12</v>
      </c>
      <c r="AX120" s="1319">
        <f t="shared" ca="1" si="1241"/>
        <v>-2.6227562233704724E-5</v>
      </c>
      <c r="AY120" s="1319">
        <f t="shared" ca="1" si="1241"/>
        <v>0</v>
      </c>
      <c r="AZ120" s="1319">
        <f t="shared" ca="1" si="1241"/>
        <v>0</v>
      </c>
      <c r="BA120" s="1319">
        <f t="shared" ca="1" si="1241"/>
        <v>0</v>
      </c>
      <c r="BB120" s="1319">
        <f t="shared" ca="1" si="1241"/>
        <v>-55.891702651419223</v>
      </c>
      <c r="BK120" s="1334"/>
      <c r="BN120" s="1319">
        <f t="shared" ca="1" si="1242"/>
        <v>-5.5891702651419228</v>
      </c>
      <c r="BO120" s="1319">
        <f t="shared" ca="1" si="1242"/>
        <v>-0.57009536609464728</v>
      </c>
      <c r="BP120" s="1319">
        <f t="shared" ca="1" si="1242"/>
        <v>-6.3795472157048305E-13</v>
      </c>
      <c r="BQ120" s="1319">
        <f t="shared" ca="1" si="1242"/>
        <v>0</v>
      </c>
      <c r="BR120" s="1319">
        <f t="shared" ca="1" si="1242"/>
        <v>0</v>
      </c>
      <c r="CA120" s="1334"/>
      <c r="CD120" s="1319">
        <f t="shared" ca="1" si="1243"/>
        <v>-55.891702651419223</v>
      </c>
      <c r="CE120" s="1319">
        <f t="shared" ca="1" si="1243"/>
        <v>-55.891702651419223</v>
      </c>
      <c r="CF120" s="1319">
        <f t="shared" ca="1" si="1243"/>
        <v>-5.5891702651419228</v>
      </c>
      <c r="CG120" s="1319">
        <f t="shared" ca="1" si="1243"/>
        <v>-0.57009536609464728</v>
      </c>
      <c r="CH120" s="1319">
        <f t="shared" ca="1" si="1243"/>
        <v>-55.891702651419223</v>
      </c>
      <c r="CI120" s="1319">
        <f t="shared" ca="1" si="1243"/>
        <v>0</v>
      </c>
      <c r="CJ120" s="1319">
        <f t="shared" ca="1" si="1243"/>
        <v>0</v>
      </c>
      <c r="CK120" s="1319">
        <f t="shared" ca="1" si="1243"/>
        <v>-3.6022907615957425</v>
      </c>
      <c r="CL120" s="1319">
        <f t="shared" ca="1" si="1243"/>
        <v>-3.9072670151250371E-12</v>
      </c>
      <c r="CM120" s="1319">
        <f t="shared" ca="1" si="1243"/>
        <v>0</v>
      </c>
      <c r="CN120" s="1319">
        <f t="shared" ca="1" si="1243"/>
        <v>-3.6022907615957425</v>
      </c>
      <c r="CO120" s="1319">
        <f t="shared" ca="1" si="1243"/>
        <v>-4.5452255326188761E-12</v>
      </c>
      <c r="CX120" s="1334"/>
      <c r="DA120" s="1319">
        <f t="shared" ca="1" si="1244"/>
        <v>0</v>
      </c>
      <c r="DB120" s="1319">
        <f t="shared" ca="1" si="1244"/>
        <v>0</v>
      </c>
      <c r="DC120" s="1319">
        <f t="shared" ca="1" si="1244"/>
        <v>0</v>
      </c>
      <c r="DD120" s="1319">
        <f t="shared" ca="1" si="1244"/>
        <v>0</v>
      </c>
      <c r="DE120" s="1319">
        <f t="shared" ca="1" si="1244"/>
        <v>0</v>
      </c>
      <c r="DF120" s="1319">
        <f t="shared" ca="1" si="1244"/>
        <v>0</v>
      </c>
      <c r="DG120" s="1319">
        <f t="shared" ca="1" si="1244"/>
        <v>0</v>
      </c>
      <c r="DH120" s="1319">
        <f t="shared" ca="1" si="1244"/>
        <v>0</v>
      </c>
      <c r="DI120" s="1319">
        <f t="shared" ca="1" si="1244"/>
        <v>0</v>
      </c>
      <c r="DJ120" s="1319">
        <f t="shared" ca="1" si="1244"/>
        <v>0</v>
      </c>
      <c r="DS120" s="1334"/>
      <c r="DV120" s="1319">
        <f t="shared" ca="1" si="1245"/>
        <v>0</v>
      </c>
      <c r="DW120" s="1319">
        <f t="shared" ca="1" si="1245"/>
        <v>0</v>
      </c>
      <c r="DX120" s="1319">
        <f t="shared" ca="1" si="1245"/>
        <v>0</v>
      </c>
      <c r="DY120" s="1319">
        <f t="shared" ca="1" si="1245"/>
        <v>0</v>
      </c>
      <c r="DZ120" s="1319">
        <f t="shared" ca="1" si="1245"/>
        <v>0</v>
      </c>
      <c r="EA120" s="1319">
        <f t="shared" ca="1" si="1245"/>
        <v>0</v>
      </c>
      <c r="EB120" s="1319">
        <f t="shared" ca="1" si="1245"/>
        <v>0</v>
      </c>
      <c r="EC120" s="1319">
        <f t="shared" ca="1" si="1245"/>
        <v>0</v>
      </c>
      <c r="ED120" s="1319">
        <f t="shared" ca="1" si="1245"/>
        <v>0</v>
      </c>
      <c r="EE120" s="1319">
        <f t="shared" ca="1" si="1245"/>
        <v>0</v>
      </c>
      <c r="EF120" s="1319">
        <f t="shared" ca="1" si="1245"/>
        <v>0</v>
      </c>
      <c r="EG120" s="1319">
        <f t="shared" ca="1" si="1245"/>
        <v>0</v>
      </c>
      <c r="EH120" s="1319">
        <f t="shared" ca="1" si="1245"/>
        <v>0</v>
      </c>
      <c r="EI120" s="1319">
        <f t="shared" ca="1" si="1245"/>
        <v>0</v>
      </c>
      <c r="EJ120" s="1319">
        <f t="shared" ca="1" si="1245"/>
        <v>0</v>
      </c>
      <c r="EK120" s="1319">
        <f t="shared" ca="1" si="1245"/>
        <v>0</v>
      </c>
      <c r="ET120" s="1334"/>
      <c r="EW120" s="1319">
        <f t="shared" ca="1" si="1246"/>
        <v>-3.6022907615957425</v>
      </c>
      <c r="EX120" s="1319">
        <f t="shared" ca="1" si="1246"/>
        <v>-3.6022907615957425</v>
      </c>
      <c r="EY120" s="1319">
        <f t="shared" ca="1" si="1246"/>
        <v>-3.6022901509914491</v>
      </c>
      <c r="EZ120" s="1319">
        <f t="shared" ca="1" si="1246"/>
        <v>-3.6022901509914491</v>
      </c>
      <c r="FA120" s="1319">
        <f t="shared" ca="1" si="1246"/>
        <v>-3.8043265263847303E-18</v>
      </c>
      <c r="FB120" s="1319">
        <f t="shared" ca="1" si="1246"/>
        <v>-6.0882637634509749E-7</v>
      </c>
      <c r="FK120" s="1334"/>
      <c r="FN120" s="1319">
        <f t="shared" ca="1" si="1247"/>
        <v>-6.3795472157048305E-13</v>
      </c>
      <c r="FO120" s="1319">
        <f t="shared" ca="1" si="1247"/>
        <v>-3.9072670151250371E-12</v>
      </c>
      <c r="FP120" s="1319">
        <f t="shared" ca="1" si="1247"/>
        <v>-3.8043265263847303E-18</v>
      </c>
      <c r="FQ120" s="1319">
        <f t="shared" ca="1" si="1247"/>
        <v>-6.0882637634509749E-7</v>
      </c>
      <c r="FR120" s="1319">
        <f t="shared" ca="1" si="1247"/>
        <v>0</v>
      </c>
      <c r="FS120" s="1319">
        <f t="shared" ca="1" si="1247"/>
        <v>-6.0882637973734364E-7</v>
      </c>
      <c r="FT120" s="1319">
        <f t="shared" ca="1" si="1247"/>
        <v>0</v>
      </c>
      <c r="FU120" s="1319">
        <f t="shared" ca="1" si="1247"/>
        <v>-4.5452255326188761E-12</v>
      </c>
      <c r="FV120" s="1319">
        <f t="shared" ca="1" si="1247"/>
        <v>0</v>
      </c>
      <c r="FW120" s="1319">
        <f t="shared" ca="1" si="1247"/>
        <v>0</v>
      </c>
      <c r="FX120" s="1319">
        <f t="shared" ca="1" si="1247"/>
        <v>-4.5452255326188761E-12</v>
      </c>
      <c r="GG120" s="1334"/>
      <c r="GJ120" s="1319">
        <f t="shared" ca="1" si="1248"/>
        <v>0</v>
      </c>
      <c r="GK120" s="1319">
        <f t="shared" ca="1" si="1248"/>
        <v>0</v>
      </c>
      <c r="GL120" s="1319">
        <f t="shared" ca="1" si="1248"/>
        <v>0</v>
      </c>
      <c r="GM120" s="1319">
        <f t="shared" ca="1" si="1248"/>
        <v>0</v>
      </c>
      <c r="GN120" s="1319">
        <f t="shared" ca="1" si="1248"/>
        <v>0</v>
      </c>
      <c r="GO120" s="1319">
        <f t="shared" ca="1" si="1248"/>
        <v>0</v>
      </c>
      <c r="GP120" s="1319">
        <f t="shared" ca="1" si="1248"/>
        <v>0</v>
      </c>
      <c r="GQ120" s="1319">
        <f t="shared" ca="1" si="1248"/>
        <v>0</v>
      </c>
      <c r="GZ120" s="1334"/>
      <c r="HC120" s="1319">
        <f t="shared" ca="1" si="1249"/>
        <v>-3.6022901509914491</v>
      </c>
      <c r="HD120" s="1319">
        <f t="shared" ca="1" si="1249"/>
        <v>-3.4681712232880124</v>
      </c>
      <c r="HE120" s="1319">
        <f t="shared" ca="1" si="1249"/>
        <v>0</v>
      </c>
      <c r="HF120" s="1319">
        <f t="shared" ca="1" si="1249"/>
        <v>-2.8142391991084237E-11</v>
      </c>
      <c r="HG120" s="1319">
        <f t="shared" ca="1" si="1249"/>
        <v>-0.13411894262932023</v>
      </c>
      <c r="HH120" s="1319">
        <f t="shared" ca="1" si="1249"/>
        <v>-3.4681712232880124</v>
      </c>
      <c r="HQ120" s="1334"/>
      <c r="HT120" s="1319">
        <f t="shared" ca="1" si="1250"/>
        <v>-2.6227562233704724E-5</v>
      </c>
      <c r="HU120" s="1319">
        <f t="shared" ca="1" si="1250"/>
        <v>-3.4681712232880124</v>
      </c>
      <c r="HV120" s="1319">
        <f t="shared" ca="1" si="1250"/>
        <v>-3.4681974453501594</v>
      </c>
      <c r="HW120" s="1319">
        <f t="shared" ca="1" si="1250"/>
        <v>-3.4681974453501594</v>
      </c>
      <c r="HX120" s="1319">
        <f t="shared" ca="1" si="1250"/>
        <v>-0.29007894064181527</v>
      </c>
      <c r="HY120" s="1319">
        <f t="shared" ca="1" si="1250"/>
        <v>-2.2058829236164298E-2</v>
      </c>
      <c r="HZ120" s="1319">
        <f t="shared" ca="1" si="1250"/>
        <v>-1.0266687424271857E-12</v>
      </c>
      <c r="IA120" s="1319">
        <f t="shared" ca="1" si="1250"/>
        <v>-5.3069827475869279E-14</v>
      </c>
      <c r="IB120" s="1319">
        <f t="shared" ca="1" si="1250"/>
        <v>0</v>
      </c>
      <c r="IC120" s="1319">
        <f t="shared" ca="1" si="1250"/>
        <v>0</v>
      </c>
      <c r="ID120" s="1319">
        <f t="shared" ca="1" si="1250"/>
        <v>0</v>
      </c>
      <c r="IE120" s="1319">
        <f t="shared" ca="1" si="1250"/>
        <v>0</v>
      </c>
      <c r="IN120" s="1334"/>
      <c r="IQ120" s="1319">
        <f t="shared" ca="1" si="1251"/>
        <v>-0.29007894064181527</v>
      </c>
      <c r="IR120" s="1319">
        <f t="shared" ca="1" si="1251"/>
        <v>-2.2058829236164298E-2</v>
      </c>
      <c r="IS120" s="1319">
        <f t="shared" ca="1" si="1251"/>
        <v>-4.3885591933268033E-4</v>
      </c>
      <c r="IT120" s="1319">
        <f t="shared" ca="1" si="1251"/>
        <v>-2.2497685162281466E-2</v>
      </c>
      <c r="IU120" s="1319">
        <f t="shared" ca="1" si="1251"/>
        <v>-2.099701140360705E-2</v>
      </c>
      <c r="IV120" s="1319">
        <f t="shared" ca="1" si="1251"/>
        <v>-1.2864339781744566E-2</v>
      </c>
      <c r="IW120" s="1319">
        <f t="shared" ca="1" si="1251"/>
        <v>-1.0532542091122298E-2</v>
      </c>
      <c r="IX120" s="1319">
        <f t="shared" ca="1" si="1251"/>
        <v>-1.0416201789399915E-14</v>
      </c>
      <c r="IY120" s="1319">
        <f t="shared" ca="1" si="1251"/>
        <v>-1.5006737654589106E-3</v>
      </c>
      <c r="IZ120" s="1319">
        <f t="shared" ca="1" si="1251"/>
        <v>-1.892941754328358E-3</v>
      </c>
      <c r="JA120" s="1319">
        <f t="shared" ca="1" si="1251"/>
        <v>-1.0971398017239471E-2</v>
      </c>
      <c r="JB120" s="1319">
        <f t="shared" ca="1" si="1252"/>
        <v>0</v>
      </c>
      <c r="JC120" s="1319">
        <f t="shared" ca="1" si="1252"/>
        <v>-1.892941754328358E-3</v>
      </c>
      <c r="JD120" s="1319">
        <f t="shared" ca="1" si="1252"/>
        <v>0</v>
      </c>
      <c r="JE120" s="1319">
        <f t="shared" ca="1" si="1252"/>
        <v>-1.892941754328358E-3</v>
      </c>
      <c r="JF120" s="1319">
        <f t="shared" ca="1" si="1252"/>
        <v>0</v>
      </c>
      <c r="JG120" s="1319">
        <f t="shared" ca="1" si="1252"/>
        <v>0</v>
      </c>
      <c r="JH120" s="1319">
        <f t="shared" ca="1" si="1252"/>
        <v>-5.3069827475869279E-14</v>
      </c>
      <c r="JQ120" s="1334"/>
      <c r="JT120" s="1319">
        <f t="shared" ca="1" si="1253"/>
        <v>0</v>
      </c>
      <c r="JU120" s="1319">
        <f t="shared" ca="1" si="1253"/>
        <v>0</v>
      </c>
      <c r="JV120" s="1319">
        <f t="shared" ca="1" si="1253"/>
        <v>0</v>
      </c>
      <c r="JW120" s="1319">
        <f t="shared" ca="1" si="1253"/>
        <v>0</v>
      </c>
      <c r="JX120" s="1319">
        <f t="shared" ca="1" si="1253"/>
        <v>0</v>
      </c>
      <c r="JY120" s="1319">
        <f t="shared" ca="1" si="1253"/>
        <v>0</v>
      </c>
      <c r="JZ120" s="1319">
        <f t="shared" ca="1" si="1253"/>
        <v>0</v>
      </c>
      <c r="KA120" s="1319">
        <f t="shared" ca="1" si="1253"/>
        <v>0</v>
      </c>
      <c r="KB120" s="1319">
        <f t="shared" ca="1" si="1253"/>
        <v>0</v>
      </c>
      <c r="KC120" s="1319">
        <f t="shared" ca="1" si="1253"/>
        <v>0</v>
      </c>
      <c r="KI120" s="1334"/>
      <c r="KL120" s="1319">
        <f t="shared" ca="1" si="1254"/>
        <v>0</v>
      </c>
      <c r="KM120" s="1319">
        <f t="shared" ca="1" si="1254"/>
        <v>0</v>
      </c>
      <c r="KN120" s="1319">
        <f t="shared" ca="1" si="1254"/>
        <v>0</v>
      </c>
      <c r="KO120" s="1319">
        <f t="shared" ca="1" si="1254"/>
        <v>0</v>
      </c>
      <c r="KP120" s="1319">
        <f t="shared" ca="1" si="1254"/>
        <v>0</v>
      </c>
      <c r="KQ120" s="1319">
        <f t="shared" ca="1" si="1254"/>
        <v>0</v>
      </c>
      <c r="KR120" s="1319">
        <f t="shared" ca="1" si="1254"/>
        <v>0</v>
      </c>
      <c r="KX120" s="1334"/>
      <c r="LA120" s="1319">
        <f t="shared" ca="1" si="1255"/>
        <v>-2.8142391991084237E-11</v>
      </c>
      <c r="LB120" s="1319">
        <f t="shared" ca="1" si="1255"/>
        <v>-1.0266687424271857E-12</v>
      </c>
      <c r="LC120" s="1319">
        <f t="shared" ca="1" si="1255"/>
        <v>-2.9169060726726928E-11</v>
      </c>
      <c r="LD120" s="1319">
        <f t="shared" ca="1" si="1255"/>
        <v>-2.9169060726726928E-11</v>
      </c>
      <c r="LE120" s="1319">
        <f t="shared" ca="1" si="1255"/>
        <v>0</v>
      </c>
      <c r="LF120" s="1319">
        <f t="shared" ca="1" si="1255"/>
        <v>0</v>
      </c>
      <c r="LG120" s="1319">
        <f t="shared" ca="1" si="1255"/>
        <v>0</v>
      </c>
      <c r="LH120" s="1319">
        <f t="shared" ca="1" si="1255"/>
        <v>0</v>
      </c>
      <c r="LI120" s="1319">
        <f t="shared" ca="1" si="1255"/>
        <v>0</v>
      </c>
      <c r="LJ120" s="1319">
        <f t="shared" ca="1" si="1255"/>
        <v>0</v>
      </c>
      <c r="LK120" s="1319">
        <f t="shared" ca="1" si="1255"/>
        <v>0</v>
      </c>
      <c r="LT120" s="1334"/>
      <c r="LW120" s="1319">
        <f t="shared" ca="1" si="1256"/>
        <v>0</v>
      </c>
      <c r="LX120" s="1319">
        <f t="shared" ca="1" si="1256"/>
        <v>0</v>
      </c>
      <c r="LY120" s="1319">
        <f t="shared" ca="1" si="1256"/>
        <v>-0.13411894262932023</v>
      </c>
      <c r="LZ120" s="1319">
        <f t="shared" ca="1" si="1256"/>
        <v>-1.5006737654589106E-3</v>
      </c>
      <c r="MA120" s="1319">
        <f t="shared" ca="1" si="1256"/>
        <v>-0.13561961665937433</v>
      </c>
      <c r="MB120" s="1319">
        <f t="shared" ca="1" si="1256"/>
        <v>-2.9169060726726928E-11</v>
      </c>
      <c r="MC120" s="1319">
        <f t="shared" ca="1" si="1256"/>
        <v>0</v>
      </c>
      <c r="MD120" s="1319">
        <f t="shared" ca="1" si="1256"/>
        <v>0</v>
      </c>
      <c r="ME120" s="1319">
        <f t="shared" ca="1" si="1256"/>
        <v>0</v>
      </c>
      <c r="MF120" s="1319">
        <f t="shared" ca="1" si="1256"/>
        <v>0</v>
      </c>
      <c r="MG120" s="1319">
        <f t="shared" ca="1" si="1257"/>
        <v>0</v>
      </c>
      <c r="MH120" s="1319">
        <f t="shared" ca="1" si="1257"/>
        <v>0</v>
      </c>
      <c r="MI120" s="1319">
        <f t="shared" ca="1" si="1257"/>
        <v>0</v>
      </c>
      <c r="MJ120" s="1319">
        <f t="shared" ca="1" si="1257"/>
        <v>0</v>
      </c>
      <c r="MK120" s="1319">
        <f t="shared" ca="1" si="1257"/>
        <v>0</v>
      </c>
      <c r="ML120" s="1319">
        <f t="shared" ca="1" si="1257"/>
        <v>0</v>
      </c>
      <c r="MM120" s="1319">
        <f t="shared" ca="1" si="1257"/>
        <v>0</v>
      </c>
      <c r="MN120" s="1319">
        <f t="shared" ca="1" si="1257"/>
        <v>0</v>
      </c>
      <c r="MO120" s="1319">
        <f t="shared" ca="1" si="1257"/>
        <v>0</v>
      </c>
      <c r="MX120" s="1334"/>
      <c r="NA120" s="1319">
        <f t="shared" ca="1" si="1258"/>
        <v>-2.3576759079234615E-5</v>
      </c>
      <c r="NB120" s="1319">
        <f t="shared" ca="1" si="1258"/>
        <v>-5.8890254822313696E-11</v>
      </c>
      <c r="NC120" s="1319">
        <f t="shared" ca="1" si="1258"/>
        <v>-2.3576700189842785E-5</v>
      </c>
      <c r="ND120" s="1319">
        <f t="shared" ca="1" si="1258"/>
        <v>0</v>
      </c>
      <c r="NE120" s="1319">
        <f t="shared" ca="1" si="1258"/>
        <v>0</v>
      </c>
      <c r="NF120" s="1319">
        <f t="shared" ca="1" si="1258"/>
        <v>0</v>
      </c>
      <c r="NG120" s="1319">
        <f t="shared" ca="1" si="1258"/>
        <v>0</v>
      </c>
      <c r="NH120" s="1319">
        <f t="shared" ca="1" si="1258"/>
        <v>0</v>
      </c>
      <c r="NI120" s="1319">
        <f t="shared" ca="1" si="1258"/>
        <v>0</v>
      </c>
      <c r="NJ120" s="1319">
        <f t="shared" ca="1" si="1258"/>
        <v>0</v>
      </c>
      <c r="NK120" s="1319">
        <f t="shared" ca="1" si="1258"/>
        <v>0</v>
      </c>
      <c r="NL120" s="1319">
        <f t="shared" ca="1" si="1258"/>
        <v>0</v>
      </c>
      <c r="NM120" s="1319">
        <f t="shared" ca="1" si="1258"/>
        <v>0</v>
      </c>
      <c r="NN120" s="1319">
        <f t="shared" ca="1" si="1258"/>
        <v>0</v>
      </c>
      <c r="NO120" s="1319">
        <f t="shared" ca="1" si="1258"/>
        <v>0</v>
      </c>
      <c r="NP120" s="1319">
        <f t="shared" ca="1" si="1258"/>
        <v>0</v>
      </c>
      <c r="NY120" s="1334"/>
      <c r="OE120" s="1334"/>
      <c r="OH120" s="1319">
        <f t="shared" ca="1" si="1259"/>
        <v>0</v>
      </c>
      <c r="OI120" s="1319">
        <f t="shared" ca="1" si="1259"/>
        <v>0</v>
      </c>
      <c r="OJ120" s="1319">
        <f t="shared" ca="1" si="1259"/>
        <v>0</v>
      </c>
      <c r="OK120" s="1319">
        <f t="shared" ca="1" si="1259"/>
        <v>0</v>
      </c>
      <c r="OL120" s="1319">
        <f t="shared" ca="1" si="1259"/>
        <v>0</v>
      </c>
      <c r="OM120" s="1319">
        <f t="shared" ca="1" si="1259"/>
        <v>0</v>
      </c>
      <c r="ON120" s="1319">
        <f t="shared" ca="1" si="1259"/>
        <v>0</v>
      </c>
      <c r="OO120" s="1319">
        <f t="shared" ca="1" si="1259"/>
        <v>0</v>
      </c>
      <c r="OX120" s="1334"/>
      <c r="PA120" s="1319">
        <f t="shared" ca="1" si="1260"/>
        <v>0</v>
      </c>
      <c r="PB120" s="1319">
        <f t="shared" ca="1" si="1260"/>
        <v>0</v>
      </c>
      <c r="PC120" s="1319">
        <f t="shared" ca="1" si="1260"/>
        <v>0</v>
      </c>
      <c r="PD120" s="1319">
        <f t="shared" ca="1" si="1260"/>
        <v>0</v>
      </c>
      <c r="PE120" s="1319">
        <f t="shared" ca="1" si="1260"/>
        <v>0</v>
      </c>
      <c r="PF120" s="1319">
        <f t="shared" ca="1" si="1260"/>
        <v>0</v>
      </c>
      <c r="PG120" s="1319">
        <f t="shared" ca="1" si="1260"/>
        <v>0</v>
      </c>
      <c r="PH120" s="1319">
        <f t="shared" ca="1" si="1260"/>
        <v>0</v>
      </c>
      <c r="PI120" s="1319">
        <f t="shared" ca="1" si="1260"/>
        <v>0</v>
      </c>
      <c r="PJ120" s="1319">
        <f t="shared" ca="1" si="1260"/>
        <v>0</v>
      </c>
      <c r="PK120" s="1319">
        <f t="shared" ca="1" si="1260"/>
        <v>0</v>
      </c>
      <c r="PT120" s="1334"/>
      <c r="PW120" s="1319">
        <f t="shared" ca="1" si="1261"/>
        <v>0</v>
      </c>
      <c r="PX120" s="1319">
        <f t="shared" ca="1" si="1261"/>
        <v>0</v>
      </c>
      <c r="PY120" s="1319">
        <f t="shared" ca="1" si="1261"/>
        <v>0</v>
      </c>
      <c r="PZ120" s="1319">
        <f t="shared" ca="1" si="1261"/>
        <v>0</v>
      </c>
    </row>
    <row r="121" spans="1:442" x14ac:dyDescent="0.25">
      <c r="A121" s="189">
        <v>10</v>
      </c>
      <c r="B121" s="189" t="s">
        <v>1256</v>
      </c>
      <c r="C121" s="1317" t="s">
        <v>1267</v>
      </c>
      <c r="D121" s="1317" t="s">
        <v>206</v>
      </c>
      <c r="E121" s="1318">
        <v>150.13139999999999</v>
      </c>
      <c r="F121" s="1316">
        <v>-0.50928265215000001</v>
      </c>
      <c r="G121" s="1334"/>
      <c r="J121" s="1319">
        <f t="shared" ca="1" si="1239"/>
        <v>0</v>
      </c>
      <c r="K121" s="1319">
        <f t="shared" ca="1" si="1239"/>
        <v>0</v>
      </c>
      <c r="Q121" s="1334"/>
      <c r="T121" s="1319">
        <f t="shared" ca="1" si="1240"/>
        <v>0</v>
      </c>
      <c r="U121" s="1319">
        <f t="shared" ca="1" si="1240"/>
        <v>0</v>
      </c>
      <c r="V121" s="1319">
        <f t="shared" ca="1" si="1240"/>
        <v>-1.2616633834921792E-7</v>
      </c>
      <c r="W121" s="1319">
        <f t="shared" ca="1" si="1240"/>
        <v>0</v>
      </c>
      <c r="X121" s="1319">
        <f t="shared" ca="1" si="1240"/>
        <v>0</v>
      </c>
      <c r="Y121" s="1319">
        <f t="shared" ca="1" si="1240"/>
        <v>-6.879978208795718</v>
      </c>
      <c r="Z121" s="1319">
        <f t="shared" ca="1" si="1240"/>
        <v>-2.8731534594993006E-6</v>
      </c>
      <c r="AA121" s="1319">
        <f t="shared" ca="1" si="1240"/>
        <v>-6.8799753593090163</v>
      </c>
      <c r="AB121" s="1319">
        <f t="shared" ca="1" si="1240"/>
        <v>0</v>
      </c>
      <c r="AC121" s="1319">
        <f t="shared" ca="1" si="1240"/>
        <v>-1.2616633834921792E-7</v>
      </c>
      <c r="AD121" s="1319">
        <f t="shared" ca="1" si="1240"/>
        <v>0</v>
      </c>
      <c r="AJ121" s="1334"/>
      <c r="AM121" s="1319">
        <f t="shared" ca="1" si="1241"/>
        <v>0</v>
      </c>
      <c r="AN121" s="1319">
        <f t="shared" ca="1" si="1241"/>
        <v>0</v>
      </c>
      <c r="AO121" s="1319">
        <f t="shared" ca="1" si="1241"/>
        <v>-6.8799753593090163</v>
      </c>
      <c r="AP121" s="1319">
        <f t="shared" ca="1" si="1241"/>
        <v>-6.8799753593090163</v>
      </c>
      <c r="AQ121" s="1319">
        <f t="shared" ca="1" si="1241"/>
        <v>-3.2303694578902934E-7</v>
      </c>
      <c r="AR121" s="1319">
        <f t="shared" ca="1" si="1241"/>
        <v>-7.1765902351041937E-12</v>
      </c>
      <c r="AS121" s="1319">
        <f t="shared" ca="1" si="1241"/>
        <v>-2.8731462815066088E-6</v>
      </c>
      <c r="AT121" s="1319">
        <f t="shared" ca="1" si="1241"/>
        <v>-1.6603918473403095E-13</v>
      </c>
      <c r="AU121" s="1319">
        <f t="shared" ca="1" si="1241"/>
        <v>-3.2304395620476478E-7</v>
      </c>
      <c r="AV121" s="1319">
        <f t="shared" ca="1" si="1241"/>
        <v>-6.8799750200844105</v>
      </c>
      <c r="AW121" s="1319">
        <f t="shared" ca="1" si="1241"/>
        <v>-1.6603918473403095E-13</v>
      </c>
      <c r="AX121" s="1319">
        <f t="shared" ca="1" si="1241"/>
        <v>-3.1961904042706557E-6</v>
      </c>
      <c r="AY121" s="1319">
        <f t="shared" ca="1" si="1241"/>
        <v>0</v>
      </c>
      <c r="AZ121" s="1319">
        <f t="shared" ca="1" si="1241"/>
        <v>0</v>
      </c>
      <c r="BA121" s="1319">
        <f t="shared" ca="1" si="1241"/>
        <v>0</v>
      </c>
      <c r="BB121" s="1319">
        <f t="shared" ca="1" si="1241"/>
        <v>-6.8111752831133261</v>
      </c>
      <c r="BK121" s="1334"/>
      <c r="BN121" s="1319">
        <f t="shared" ca="1" si="1242"/>
        <v>-0.68111752831133254</v>
      </c>
      <c r="BO121" s="1319">
        <f t="shared" ca="1" si="1242"/>
        <v>-0.68043640939898475</v>
      </c>
      <c r="BP121" s="1319">
        <f t="shared" ca="1" si="1242"/>
        <v>-7.6142983608399566E-13</v>
      </c>
      <c r="BQ121" s="1319">
        <f t="shared" ca="1" si="1242"/>
        <v>0</v>
      </c>
      <c r="BR121" s="1319">
        <f t="shared" ca="1" si="1242"/>
        <v>0</v>
      </c>
      <c r="CA121" s="1334"/>
      <c r="CD121" s="1319">
        <f t="shared" ca="1" si="1243"/>
        <v>-6.8111752831133261</v>
      </c>
      <c r="CE121" s="1319">
        <f t="shared" ca="1" si="1243"/>
        <v>-6.8111752831133261</v>
      </c>
      <c r="CF121" s="1319">
        <f t="shared" ca="1" si="1243"/>
        <v>-0.68111752831133254</v>
      </c>
      <c r="CG121" s="1319">
        <f t="shared" ca="1" si="1243"/>
        <v>-0.68043640939898475</v>
      </c>
      <c r="CH121" s="1319">
        <f t="shared" ca="1" si="1243"/>
        <v>-6.8111752831133261</v>
      </c>
      <c r="CI121" s="1319">
        <f t="shared" ca="1" si="1243"/>
        <v>0</v>
      </c>
      <c r="CJ121" s="1319">
        <f t="shared" ca="1" si="1243"/>
        <v>0</v>
      </c>
      <c r="CK121" s="1319">
        <f t="shared" ca="1" si="1243"/>
        <v>-0.74649826456419599</v>
      </c>
      <c r="CL121" s="1319">
        <f t="shared" ca="1" si="1243"/>
        <v>-8.0969811563970699E-13</v>
      </c>
      <c r="CM121" s="1319">
        <f t="shared" ca="1" si="1243"/>
        <v>0</v>
      </c>
      <c r="CN121" s="1319">
        <f t="shared" ca="1" si="1243"/>
        <v>-0.74649826456419599</v>
      </c>
      <c r="CO121" s="1319">
        <f t="shared" ca="1" si="1243"/>
        <v>-1.571128738724792E-12</v>
      </c>
      <c r="CX121" s="1334"/>
      <c r="DA121" s="1319">
        <f t="shared" ca="1" si="1244"/>
        <v>0</v>
      </c>
      <c r="DB121" s="1319">
        <f t="shared" ca="1" si="1244"/>
        <v>0</v>
      </c>
      <c r="DC121" s="1319">
        <f t="shared" ca="1" si="1244"/>
        <v>0</v>
      </c>
      <c r="DD121" s="1319">
        <f t="shared" ca="1" si="1244"/>
        <v>0</v>
      </c>
      <c r="DE121" s="1319">
        <f t="shared" ca="1" si="1244"/>
        <v>0</v>
      </c>
      <c r="DF121" s="1319">
        <f t="shared" ca="1" si="1244"/>
        <v>0</v>
      </c>
      <c r="DG121" s="1319">
        <f t="shared" ca="1" si="1244"/>
        <v>0</v>
      </c>
      <c r="DH121" s="1319">
        <f t="shared" ca="1" si="1244"/>
        <v>0</v>
      </c>
      <c r="DI121" s="1319">
        <f t="shared" ca="1" si="1244"/>
        <v>0</v>
      </c>
      <c r="DJ121" s="1319">
        <f t="shared" ca="1" si="1244"/>
        <v>0</v>
      </c>
      <c r="DS121" s="1334"/>
      <c r="DV121" s="1319">
        <f t="shared" ca="1" si="1245"/>
        <v>0</v>
      </c>
      <c r="DW121" s="1319">
        <f t="shared" ca="1" si="1245"/>
        <v>0</v>
      </c>
      <c r="DX121" s="1319">
        <f t="shared" ca="1" si="1245"/>
        <v>0</v>
      </c>
      <c r="DY121" s="1319">
        <f t="shared" ca="1" si="1245"/>
        <v>0</v>
      </c>
      <c r="DZ121" s="1319">
        <f t="shared" ca="1" si="1245"/>
        <v>0</v>
      </c>
      <c r="EA121" s="1319">
        <f t="shared" ca="1" si="1245"/>
        <v>0</v>
      </c>
      <c r="EB121" s="1319">
        <f t="shared" ca="1" si="1245"/>
        <v>0</v>
      </c>
      <c r="EC121" s="1319">
        <f t="shared" ca="1" si="1245"/>
        <v>0</v>
      </c>
      <c r="ED121" s="1319">
        <f t="shared" ca="1" si="1245"/>
        <v>0</v>
      </c>
      <c r="EE121" s="1319">
        <f t="shared" ca="1" si="1245"/>
        <v>0</v>
      </c>
      <c r="EF121" s="1319">
        <f t="shared" ca="1" si="1245"/>
        <v>0</v>
      </c>
      <c r="EG121" s="1319">
        <f t="shared" ca="1" si="1245"/>
        <v>0</v>
      </c>
      <c r="EH121" s="1319">
        <f t="shared" ca="1" si="1245"/>
        <v>0</v>
      </c>
      <c r="EI121" s="1319">
        <f t="shared" ca="1" si="1245"/>
        <v>0</v>
      </c>
      <c r="EJ121" s="1319">
        <f t="shared" ca="1" si="1245"/>
        <v>0</v>
      </c>
      <c r="EK121" s="1319">
        <f t="shared" ca="1" si="1245"/>
        <v>0</v>
      </c>
      <c r="ET121" s="1334"/>
      <c r="EW121" s="1319">
        <f t="shared" ca="1" si="1246"/>
        <v>-0.74649826456419599</v>
      </c>
      <c r="EX121" s="1319">
        <f t="shared" ca="1" si="1246"/>
        <v>-0.74649826456419599</v>
      </c>
      <c r="EY121" s="1319">
        <f t="shared" ca="1" si="1246"/>
        <v>-0.7464981390510913</v>
      </c>
      <c r="EZ121" s="1319">
        <f t="shared" ca="1" si="1246"/>
        <v>-0.7464981390510913</v>
      </c>
      <c r="FA121" s="1319">
        <f t="shared" ca="1" si="1246"/>
        <v>-7.8836588461623772E-19</v>
      </c>
      <c r="FB121" s="1319">
        <f t="shared" ca="1" si="1246"/>
        <v>-1.261663376707687E-7</v>
      </c>
      <c r="FK121" s="1334"/>
      <c r="FN121" s="1319">
        <f t="shared" ca="1" si="1247"/>
        <v>-7.6142983608399566E-13</v>
      </c>
      <c r="FO121" s="1319">
        <f t="shared" ca="1" si="1247"/>
        <v>-8.0969811563970699E-13</v>
      </c>
      <c r="FP121" s="1319">
        <f t="shared" ca="1" si="1247"/>
        <v>-7.8836588461623772E-19</v>
      </c>
      <c r="FQ121" s="1319">
        <f t="shared" ca="1" si="1247"/>
        <v>-1.261663376707687E-7</v>
      </c>
      <c r="FR121" s="1319">
        <f t="shared" ca="1" si="1247"/>
        <v>0</v>
      </c>
      <c r="FS121" s="1319">
        <f t="shared" ca="1" si="1247"/>
        <v>-1.2616633834921792E-7</v>
      </c>
      <c r="FT121" s="1319">
        <f t="shared" ca="1" si="1247"/>
        <v>0</v>
      </c>
      <c r="FU121" s="1319">
        <f t="shared" ca="1" si="1247"/>
        <v>-1.571128738724792E-12</v>
      </c>
      <c r="FV121" s="1319">
        <f t="shared" ca="1" si="1247"/>
        <v>0</v>
      </c>
      <c r="FW121" s="1319">
        <f t="shared" ca="1" si="1247"/>
        <v>0</v>
      </c>
      <c r="FX121" s="1319">
        <f t="shared" ca="1" si="1247"/>
        <v>-1.571128738724792E-12</v>
      </c>
      <c r="GG121" s="1334"/>
      <c r="GJ121" s="1319">
        <f t="shared" ca="1" si="1248"/>
        <v>0</v>
      </c>
      <c r="GK121" s="1319">
        <f t="shared" ca="1" si="1248"/>
        <v>0</v>
      </c>
      <c r="GL121" s="1319">
        <f t="shared" ca="1" si="1248"/>
        <v>0</v>
      </c>
      <c r="GM121" s="1319">
        <f t="shared" ca="1" si="1248"/>
        <v>0</v>
      </c>
      <c r="GN121" s="1319">
        <f t="shared" ca="1" si="1248"/>
        <v>0</v>
      </c>
      <c r="GO121" s="1319">
        <f t="shared" ca="1" si="1248"/>
        <v>0</v>
      </c>
      <c r="GP121" s="1319">
        <f t="shared" ca="1" si="1248"/>
        <v>0</v>
      </c>
      <c r="GQ121" s="1319">
        <f t="shared" ca="1" si="1248"/>
        <v>0</v>
      </c>
      <c r="GZ121" s="1334"/>
      <c r="HC121" s="1319">
        <f t="shared" ca="1" si="1249"/>
        <v>-0.7464981390510913</v>
      </c>
      <c r="HD121" s="1319">
        <f t="shared" ca="1" si="1249"/>
        <v>-0.71870483601363044</v>
      </c>
      <c r="HE121" s="1319">
        <f t="shared" ca="1" si="1249"/>
        <v>0</v>
      </c>
      <c r="HF121" s="1319">
        <f t="shared" ca="1" si="1249"/>
        <v>-5.8319131185020287E-12</v>
      </c>
      <c r="HG121" s="1319">
        <f t="shared" ca="1" si="1249"/>
        <v>-2.7793302800003632E-2</v>
      </c>
      <c r="HH121" s="1319">
        <f t="shared" ca="1" si="1249"/>
        <v>-0.71870483601363044</v>
      </c>
      <c r="HQ121" s="1334"/>
      <c r="HT121" s="1319">
        <f t="shared" ca="1" si="1250"/>
        <v>-3.1961904042706557E-6</v>
      </c>
      <c r="HU121" s="1319">
        <f t="shared" ca="1" si="1250"/>
        <v>-0.71870483601363044</v>
      </c>
      <c r="HV121" s="1319">
        <f t="shared" ca="1" si="1250"/>
        <v>-0.71870803150943174</v>
      </c>
      <c r="HW121" s="1319">
        <f t="shared" ca="1" si="1250"/>
        <v>-0.71870803150943174</v>
      </c>
      <c r="HX121" s="1319">
        <f t="shared" ca="1" si="1250"/>
        <v>-6.0112513308911708E-2</v>
      </c>
      <c r="HY121" s="1319">
        <f t="shared" ca="1" si="1250"/>
        <v>-4.571209696549435E-3</v>
      </c>
      <c r="HZ121" s="1319">
        <f t="shared" ca="1" si="1250"/>
        <v>-2.1275463244096126E-13</v>
      </c>
      <c r="IA121" s="1319">
        <f t="shared" ca="1" si="1250"/>
        <v>-1.0997560477623651E-14</v>
      </c>
      <c r="IB121" s="1319">
        <f t="shared" ca="1" si="1250"/>
        <v>0</v>
      </c>
      <c r="IC121" s="1319">
        <f t="shared" ca="1" si="1250"/>
        <v>0</v>
      </c>
      <c r="ID121" s="1319">
        <f t="shared" ca="1" si="1250"/>
        <v>0</v>
      </c>
      <c r="IE121" s="1319">
        <f t="shared" ca="1" si="1250"/>
        <v>0</v>
      </c>
      <c r="IN121" s="1334"/>
      <c r="IQ121" s="1319">
        <f t="shared" ca="1" si="1251"/>
        <v>-6.0112513308911708E-2</v>
      </c>
      <c r="IR121" s="1319">
        <f t="shared" ca="1" si="1251"/>
        <v>-4.571209696549435E-3</v>
      </c>
      <c r="IS121" s="1319">
        <f t="shared" ca="1" si="1251"/>
        <v>-9.0943286738793814E-5</v>
      </c>
      <c r="IT121" s="1319">
        <f t="shared" ca="1" si="1251"/>
        <v>-4.6621529642916501E-3</v>
      </c>
      <c r="IU121" s="1319">
        <f t="shared" ca="1" si="1251"/>
        <v>-4.3511711800813205E-3</v>
      </c>
      <c r="IV121" s="1319">
        <f t="shared" ca="1" si="1251"/>
        <v>-2.6658529288043345E-3</v>
      </c>
      <c r="IW121" s="1319">
        <f t="shared" ca="1" si="1251"/>
        <v>-2.1826388837663988E-3</v>
      </c>
      <c r="IX121" s="1319">
        <f t="shared" ca="1" si="1251"/>
        <v>-2.1585298991893011E-15</v>
      </c>
      <c r="IY121" s="1319">
        <f t="shared" ca="1" si="1251"/>
        <v>-3.1098180185000967E-4</v>
      </c>
      <c r="IZ121" s="1319">
        <f t="shared" ca="1" si="1251"/>
        <v>-3.9227076033448955E-4</v>
      </c>
      <c r="JA121" s="1319">
        <f t="shared" ca="1" si="1251"/>
        <v>-2.2735821718620911E-3</v>
      </c>
      <c r="JB121" s="1319">
        <f t="shared" ca="1" si="1252"/>
        <v>0</v>
      </c>
      <c r="JC121" s="1319">
        <f t="shared" ca="1" si="1252"/>
        <v>-3.9227076033448955E-4</v>
      </c>
      <c r="JD121" s="1319">
        <f t="shared" ca="1" si="1252"/>
        <v>0</v>
      </c>
      <c r="JE121" s="1319">
        <f t="shared" ca="1" si="1252"/>
        <v>-3.9227076033448955E-4</v>
      </c>
      <c r="JF121" s="1319">
        <f t="shared" ca="1" si="1252"/>
        <v>0</v>
      </c>
      <c r="JG121" s="1319">
        <f t="shared" ca="1" si="1252"/>
        <v>0</v>
      </c>
      <c r="JH121" s="1319">
        <f t="shared" ca="1" si="1252"/>
        <v>-1.0997560477623651E-14</v>
      </c>
      <c r="JQ121" s="1334"/>
      <c r="JT121" s="1319">
        <f t="shared" ca="1" si="1253"/>
        <v>0</v>
      </c>
      <c r="JU121" s="1319">
        <f t="shared" ca="1" si="1253"/>
        <v>0</v>
      </c>
      <c r="JV121" s="1319">
        <f t="shared" ca="1" si="1253"/>
        <v>0</v>
      </c>
      <c r="JW121" s="1319">
        <f t="shared" ca="1" si="1253"/>
        <v>0</v>
      </c>
      <c r="JX121" s="1319">
        <f t="shared" ca="1" si="1253"/>
        <v>0</v>
      </c>
      <c r="JY121" s="1319">
        <f t="shared" ca="1" si="1253"/>
        <v>0</v>
      </c>
      <c r="JZ121" s="1319">
        <f t="shared" ca="1" si="1253"/>
        <v>0</v>
      </c>
      <c r="KA121" s="1319">
        <f t="shared" ca="1" si="1253"/>
        <v>0</v>
      </c>
      <c r="KB121" s="1319">
        <f t="shared" ca="1" si="1253"/>
        <v>0</v>
      </c>
      <c r="KC121" s="1319">
        <f t="shared" ca="1" si="1253"/>
        <v>0</v>
      </c>
      <c r="KI121" s="1334"/>
      <c r="KL121" s="1319">
        <f t="shared" ca="1" si="1254"/>
        <v>0</v>
      </c>
      <c r="KM121" s="1319">
        <f t="shared" ca="1" si="1254"/>
        <v>0</v>
      </c>
      <c r="KN121" s="1319">
        <f t="shared" ca="1" si="1254"/>
        <v>0</v>
      </c>
      <c r="KO121" s="1319">
        <f t="shared" ca="1" si="1254"/>
        <v>0</v>
      </c>
      <c r="KP121" s="1319">
        <f t="shared" ca="1" si="1254"/>
        <v>0</v>
      </c>
      <c r="KQ121" s="1319">
        <f t="shared" ca="1" si="1254"/>
        <v>0</v>
      </c>
      <c r="KR121" s="1319">
        <f t="shared" ca="1" si="1254"/>
        <v>0</v>
      </c>
      <c r="KX121" s="1334"/>
      <c r="LA121" s="1319">
        <f t="shared" ca="1" si="1255"/>
        <v>-5.8319131185020287E-12</v>
      </c>
      <c r="LB121" s="1319">
        <f t="shared" ca="1" si="1255"/>
        <v>-2.1275463244096126E-13</v>
      </c>
      <c r="LC121" s="1319">
        <f t="shared" ca="1" si="1255"/>
        <v>-6.0446677363563326E-12</v>
      </c>
      <c r="LD121" s="1319">
        <f t="shared" ca="1" si="1255"/>
        <v>-6.0446677363563326E-12</v>
      </c>
      <c r="LE121" s="1319">
        <f t="shared" ca="1" si="1255"/>
        <v>0</v>
      </c>
      <c r="LF121" s="1319">
        <f t="shared" ca="1" si="1255"/>
        <v>0</v>
      </c>
      <c r="LG121" s="1319">
        <f t="shared" ca="1" si="1255"/>
        <v>0</v>
      </c>
      <c r="LH121" s="1319">
        <f t="shared" ca="1" si="1255"/>
        <v>0</v>
      </c>
      <c r="LI121" s="1319">
        <f t="shared" ca="1" si="1255"/>
        <v>0</v>
      </c>
      <c r="LJ121" s="1319">
        <f t="shared" ca="1" si="1255"/>
        <v>0</v>
      </c>
      <c r="LK121" s="1319">
        <f t="shared" ca="1" si="1255"/>
        <v>0</v>
      </c>
      <c r="LT121" s="1334"/>
      <c r="LW121" s="1319">
        <f t="shared" ca="1" si="1256"/>
        <v>0</v>
      </c>
      <c r="LX121" s="1319">
        <f t="shared" ca="1" si="1256"/>
        <v>0</v>
      </c>
      <c r="LY121" s="1319">
        <f t="shared" ca="1" si="1256"/>
        <v>-2.7793302800003632E-2</v>
      </c>
      <c r="LZ121" s="1319">
        <f t="shared" ca="1" si="1256"/>
        <v>-3.1098180185000967E-4</v>
      </c>
      <c r="MA121" s="1319">
        <f t="shared" ca="1" si="1256"/>
        <v>-2.8104284618136417E-2</v>
      </c>
      <c r="MB121" s="1319">
        <f t="shared" ca="1" si="1256"/>
        <v>-6.0446677363563326E-12</v>
      </c>
      <c r="MC121" s="1319">
        <f t="shared" ca="1" si="1256"/>
        <v>0</v>
      </c>
      <c r="MD121" s="1319">
        <f t="shared" ca="1" si="1256"/>
        <v>0</v>
      </c>
      <c r="ME121" s="1319">
        <f t="shared" ca="1" si="1256"/>
        <v>0</v>
      </c>
      <c r="MF121" s="1319">
        <f t="shared" ca="1" si="1256"/>
        <v>0</v>
      </c>
      <c r="MG121" s="1319">
        <f t="shared" ca="1" si="1257"/>
        <v>0</v>
      </c>
      <c r="MH121" s="1319">
        <f t="shared" ca="1" si="1257"/>
        <v>0</v>
      </c>
      <c r="MI121" s="1319">
        <f t="shared" ca="1" si="1257"/>
        <v>0</v>
      </c>
      <c r="MJ121" s="1319">
        <f t="shared" ca="1" si="1257"/>
        <v>0</v>
      </c>
      <c r="MK121" s="1319">
        <f t="shared" ca="1" si="1257"/>
        <v>0</v>
      </c>
      <c r="ML121" s="1319">
        <f t="shared" ca="1" si="1257"/>
        <v>0</v>
      </c>
      <c r="MM121" s="1319">
        <f t="shared" ca="1" si="1257"/>
        <v>0</v>
      </c>
      <c r="MN121" s="1319">
        <f t="shared" ca="1" si="1257"/>
        <v>0</v>
      </c>
      <c r="MO121" s="1319">
        <f t="shared" ca="1" si="1257"/>
        <v>0</v>
      </c>
      <c r="MX121" s="1334"/>
      <c r="NA121" s="1319">
        <f t="shared" ca="1" si="1258"/>
        <v>-2.8731534594993006E-6</v>
      </c>
      <c r="NB121" s="1319">
        <f t="shared" ca="1" si="1258"/>
        <v>-7.1765902351041937E-12</v>
      </c>
      <c r="NC121" s="1319">
        <f t="shared" ca="1" si="1258"/>
        <v>-2.8731462815066088E-6</v>
      </c>
      <c r="ND121" s="1319">
        <f t="shared" ca="1" si="1258"/>
        <v>0</v>
      </c>
      <c r="NE121" s="1319">
        <f t="shared" ca="1" si="1258"/>
        <v>0</v>
      </c>
      <c r="NF121" s="1319">
        <f t="shared" ca="1" si="1258"/>
        <v>0</v>
      </c>
      <c r="NG121" s="1319">
        <f t="shared" ca="1" si="1258"/>
        <v>0</v>
      </c>
      <c r="NH121" s="1319">
        <f t="shared" ca="1" si="1258"/>
        <v>0</v>
      </c>
      <c r="NI121" s="1319">
        <f t="shared" ca="1" si="1258"/>
        <v>0</v>
      </c>
      <c r="NJ121" s="1319">
        <f t="shared" ca="1" si="1258"/>
        <v>0</v>
      </c>
      <c r="NK121" s="1319">
        <f t="shared" ca="1" si="1258"/>
        <v>0</v>
      </c>
      <c r="NL121" s="1319">
        <f t="shared" ca="1" si="1258"/>
        <v>0</v>
      </c>
      <c r="NM121" s="1319">
        <f t="shared" ca="1" si="1258"/>
        <v>0</v>
      </c>
      <c r="NN121" s="1319">
        <f t="shared" ca="1" si="1258"/>
        <v>0</v>
      </c>
      <c r="NO121" s="1319">
        <f t="shared" ca="1" si="1258"/>
        <v>0</v>
      </c>
      <c r="NP121" s="1319">
        <f t="shared" ca="1" si="1258"/>
        <v>0</v>
      </c>
      <c r="NY121" s="1334"/>
      <c r="OE121" s="1334"/>
      <c r="OH121" s="1319">
        <f t="shared" ca="1" si="1259"/>
        <v>0</v>
      </c>
      <c r="OI121" s="1319">
        <f t="shared" ca="1" si="1259"/>
        <v>0</v>
      </c>
      <c r="OJ121" s="1319">
        <f t="shared" ca="1" si="1259"/>
        <v>0</v>
      </c>
      <c r="OK121" s="1319">
        <f t="shared" ca="1" si="1259"/>
        <v>0</v>
      </c>
      <c r="OL121" s="1319">
        <f t="shared" ca="1" si="1259"/>
        <v>0</v>
      </c>
      <c r="OM121" s="1319">
        <f t="shared" ca="1" si="1259"/>
        <v>0</v>
      </c>
      <c r="ON121" s="1319">
        <f t="shared" ca="1" si="1259"/>
        <v>0</v>
      </c>
      <c r="OO121" s="1319">
        <f t="shared" ca="1" si="1259"/>
        <v>0</v>
      </c>
      <c r="OX121" s="1334"/>
      <c r="PA121" s="1319">
        <f t="shared" ca="1" si="1260"/>
        <v>0</v>
      </c>
      <c r="PB121" s="1319">
        <f t="shared" ca="1" si="1260"/>
        <v>0</v>
      </c>
      <c r="PC121" s="1319">
        <f t="shared" ca="1" si="1260"/>
        <v>0</v>
      </c>
      <c r="PD121" s="1319">
        <f t="shared" ca="1" si="1260"/>
        <v>0</v>
      </c>
      <c r="PE121" s="1319">
        <f t="shared" ca="1" si="1260"/>
        <v>0</v>
      </c>
      <c r="PF121" s="1319">
        <f t="shared" ca="1" si="1260"/>
        <v>0</v>
      </c>
      <c r="PG121" s="1319">
        <f t="shared" ca="1" si="1260"/>
        <v>0</v>
      </c>
      <c r="PH121" s="1319">
        <f t="shared" ca="1" si="1260"/>
        <v>0</v>
      </c>
      <c r="PI121" s="1319">
        <f t="shared" ca="1" si="1260"/>
        <v>0</v>
      </c>
      <c r="PJ121" s="1319">
        <f t="shared" ca="1" si="1260"/>
        <v>0</v>
      </c>
      <c r="PK121" s="1319">
        <f t="shared" ca="1" si="1260"/>
        <v>0</v>
      </c>
      <c r="PT121" s="1334"/>
      <c r="PW121" s="1319">
        <f t="shared" ca="1" si="1261"/>
        <v>0</v>
      </c>
      <c r="PX121" s="1319">
        <f t="shared" ca="1" si="1261"/>
        <v>0</v>
      </c>
      <c r="PY121" s="1319">
        <f t="shared" ca="1" si="1261"/>
        <v>0</v>
      </c>
      <c r="PZ121" s="1319">
        <f t="shared" ca="1" si="1261"/>
        <v>0</v>
      </c>
    </row>
    <row r="122" spans="1:442" x14ac:dyDescent="0.25">
      <c r="A122" s="189">
        <v>11</v>
      </c>
      <c r="B122" s="189" t="s">
        <v>1256</v>
      </c>
      <c r="C122" s="1317" t="s">
        <v>1274</v>
      </c>
      <c r="D122" s="1317" t="s">
        <v>206</v>
      </c>
      <c r="E122" s="1318">
        <v>342.30009999999999</v>
      </c>
      <c r="F122" s="1316">
        <v>-1.2822778035099998</v>
      </c>
      <c r="G122" s="1334"/>
      <c r="J122" s="1319">
        <f t="shared" ca="1" si="1239"/>
        <v>0</v>
      </c>
      <c r="K122" s="1319">
        <f t="shared" ca="1" si="1239"/>
        <v>0</v>
      </c>
      <c r="Q122" s="1334"/>
      <c r="T122" s="1319">
        <f t="shared" ca="1" si="1240"/>
        <v>0</v>
      </c>
      <c r="U122" s="1319">
        <f t="shared" ca="1" si="1240"/>
        <v>0</v>
      </c>
      <c r="V122" s="1319">
        <f t="shared" ca="1" si="1240"/>
        <v>-5.5112296256288735E-7</v>
      </c>
      <c r="W122" s="1319">
        <f t="shared" ca="1" si="1240"/>
        <v>0</v>
      </c>
      <c r="X122" s="1319">
        <f t="shared" ca="1" si="1240"/>
        <v>0</v>
      </c>
      <c r="Y122" s="1319">
        <f t="shared" ca="1" si="1240"/>
        <v>-5.5112296256288735E-7</v>
      </c>
      <c r="Z122" s="1319">
        <f t="shared" ca="1" si="1240"/>
        <v>-3.6990706973321615E-13</v>
      </c>
      <c r="AA122" s="1319">
        <f t="shared" ca="1" si="1240"/>
        <v>-5.5112259170263173E-7</v>
      </c>
      <c r="AB122" s="1319">
        <f t="shared" ca="1" si="1240"/>
        <v>0</v>
      </c>
      <c r="AC122" s="1319">
        <f t="shared" ca="1" si="1240"/>
        <v>-5.5112296256288735E-7</v>
      </c>
      <c r="AD122" s="1319">
        <f t="shared" ca="1" si="1240"/>
        <v>0</v>
      </c>
      <c r="AJ122" s="1334"/>
      <c r="AM122" s="1319">
        <f t="shared" ca="1" si="1241"/>
        <v>0</v>
      </c>
      <c r="AN122" s="1319">
        <f t="shared" ca="1" si="1241"/>
        <v>0</v>
      </c>
      <c r="AO122" s="1319">
        <f t="shared" ca="1" si="1241"/>
        <v>-5.5112259170263173E-7</v>
      </c>
      <c r="AP122" s="1319">
        <f t="shared" ca="1" si="1241"/>
        <v>-5.5112259170263173E-7</v>
      </c>
      <c r="AQ122" s="1319">
        <f t="shared" ca="1" si="1241"/>
        <v>-1.0707066766053075E-13</v>
      </c>
      <c r="AR122" s="1319">
        <f t="shared" ca="1" si="1241"/>
        <v>0</v>
      </c>
      <c r="AS122" s="1319">
        <f t="shared" ca="1" si="1241"/>
        <v>0</v>
      </c>
      <c r="AT122" s="1319">
        <f t="shared" ca="1" si="1241"/>
        <v>0</v>
      </c>
      <c r="AU122" s="1319">
        <f t="shared" ca="1" si="1241"/>
        <v>0</v>
      </c>
      <c r="AV122" s="1319">
        <f t="shared" ca="1" si="1241"/>
        <v>-5.5112248681286252E-7</v>
      </c>
      <c r="AW122" s="1319">
        <f t="shared" ca="1" si="1241"/>
        <v>0</v>
      </c>
      <c r="AX122" s="1319">
        <f t="shared" ca="1" si="1241"/>
        <v>0</v>
      </c>
      <c r="AY122" s="1319">
        <f t="shared" ca="1" si="1241"/>
        <v>0</v>
      </c>
      <c r="AZ122" s="1319">
        <f t="shared" ca="1" si="1241"/>
        <v>0</v>
      </c>
      <c r="BA122" s="1319">
        <f t="shared" ca="1" si="1241"/>
        <v>0</v>
      </c>
      <c r="BB122" s="1319">
        <f t="shared" ca="1" si="1241"/>
        <v>-5.5112248681286252E-7</v>
      </c>
      <c r="BK122" s="1334"/>
      <c r="BN122" s="1319">
        <f t="shared" ca="1" si="1242"/>
        <v>-0.12402670909113844</v>
      </c>
      <c r="BO122" s="1319">
        <f t="shared" ca="1" si="1242"/>
        <v>-0.12402670909113844</v>
      </c>
      <c r="BP122" s="1319">
        <f t="shared" ca="1" si="1242"/>
        <v>-2.0127723034227638E-11</v>
      </c>
      <c r="BQ122" s="1319">
        <f t="shared" ca="1" si="1242"/>
        <v>0</v>
      </c>
      <c r="BR122" s="1319">
        <f t="shared" ca="1" si="1242"/>
        <v>0</v>
      </c>
      <c r="CA122" s="1334"/>
      <c r="CD122" s="1319">
        <f t="shared" ca="1" si="1243"/>
        <v>-5.5112248681286252E-7</v>
      </c>
      <c r="CE122" s="1319">
        <f t="shared" ca="1" si="1243"/>
        <v>-5.5112248681286252E-7</v>
      </c>
      <c r="CF122" s="1319">
        <f t="shared" ca="1" si="1243"/>
        <v>-0.12402670909113844</v>
      </c>
      <c r="CG122" s="1319">
        <f t="shared" ca="1" si="1243"/>
        <v>-0.12402670909113844</v>
      </c>
      <c r="CH122" s="1319">
        <f t="shared" ca="1" si="1243"/>
        <v>-5.5112248681286252E-7</v>
      </c>
      <c r="CI122" s="1319">
        <f t="shared" ca="1" si="1243"/>
        <v>0</v>
      </c>
      <c r="CJ122" s="1319">
        <f t="shared" ca="1" si="1243"/>
        <v>0</v>
      </c>
      <c r="CK122" s="1319">
        <f t="shared" ca="1" si="1243"/>
        <v>-1.2402670909113842</v>
      </c>
      <c r="CL122" s="1319">
        <f t="shared" ca="1" si="1243"/>
        <v>-1.9509521989118533E-10</v>
      </c>
      <c r="CM122" s="1319">
        <f t="shared" ca="1" si="1243"/>
        <v>0</v>
      </c>
      <c r="CN122" s="1319">
        <f t="shared" ca="1" si="1243"/>
        <v>-1.2402670909113842</v>
      </c>
      <c r="CO122" s="1319">
        <f t="shared" ca="1" si="1243"/>
        <v>-2.1522305264760375E-10</v>
      </c>
      <c r="CX122" s="1334"/>
      <c r="DA122" s="1319">
        <f t="shared" ca="1" si="1244"/>
        <v>0</v>
      </c>
      <c r="DB122" s="1319">
        <f t="shared" ca="1" si="1244"/>
        <v>0</v>
      </c>
      <c r="DC122" s="1319">
        <f t="shared" ca="1" si="1244"/>
        <v>0</v>
      </c>
      <c r="DD122" s="1319">
        <f t="shared" ca="1" si="1244"/>
        <v>0</v>
      </c>
      <c r="DE122" s="1319">
        <f t="shared" ca="1" si="1244"/>
        <v>0</v>
      </c>
      <c r="DF122" s="1319">
        <f t="shared" ca="1" si="1244"/>
        <v>0</v>
      </c>
      <c r="DG122" s="1319">
        <f t="shared" ca="1" si="1244"/>
        <v>0</v>
      </c>
      <c r="DH122" s="1319">
        <f t="shared" ca="1" si="1244"/>
        <v>0</v>
      </c>
      <c r="DI122" s="1319">
        <f t="shared" ca="1" si="1244"/>
        <v>0</v>
      </c>
      <c r="DJ122" s="1319">
        <f t="shared" ca="1" si="1244"/>
        <v>0</v>
      </c>
      <c r="DS122" s="1334"/>
      <c r="DV122" s="1319">
        <f t="shared" ca="1" si="1245"/>
        <v>0</v>
      </c>
      <c r="DW122" s="1319">
        <f t="shared" ca="1" si="1245"/>
        <v>0</v>
      </c>
      <c r="DX122" s="1319">
        <f t="shared" ca="1" si="1245"/>
        <v>0</v>
      </c>
      <c r="DY122" s="1319">
        <f t="shared" ca="1" si="1245"/>
        <v>0</v>
      </c>
      <c r="DZ122" s="1319">
        <f t="shared" ca="1" si="1245"/>
        <v>0</v>
      </c>
      <c r="EA122" s="1319">
        <f t="shared" ca="1" si="1245"/>
        <v>0</v>
      </c>
      <c r="EB122" s="1319">
        <f t="shared" ca="1" si="1245"/>
        <v>0</v>
      </c>
      <c r="EC122" s="1319">
        <f t="shared" ca="1" si="1245"/>
        <v>0</v>
      </c>
      <c r="ED122" s="1319">
        <f t="shared" ca="1" si="1245"/>
        <v>0</v>
      </c>
      <c r="EE122" s="1319">
        <f t="shared" ca="1" si="1245"/>
        <v>0</v>
      </c>
      <c r="EF122" s="1319">
        <f t="shared" ca="1" si="1245"/>
        <v>0</v>
      </c>
      <c r="EG122" s="1319">
        <f t="shared" ca="1" si="1245"/>
        <v>0</v>
      </c>
      <c r="EH122" s="1319">
        <f t="shared" ca="1" si="1245"/>
        <v>0</v>
      </c>
      <c r="EI122" s="1319">
        <f t="shared" ca="1" si="1245"/>
        <v>0</v>
      </c>
      <c r="EJ122" s="1319">
        <f t="shared" ca="1" si="1245"/>
        <v>0</v>
      </c>
      <c r="EK122" s="1319">
        <f t="shared" ca="1" si="1245"/>
        <v>0</v>
      </c>
      <c r="ET122" s="1334"/>
      <c r="EW122" s="1319">
        <f t="shared" ca="1" si="1246"/>
        <v>-1.2402670909113842</v>
      </c>
      <c r="EX122" s="1319">
        <f t="shared" ca="1" si="1246"/>
        <v>-1.2402670909113842</v>
      </c>
      <c r="EY122" s="1319">
        <f t="shared" ca="1" si="1246"/>
        <v>-1.2402665402400959</v>
      </c>
      <c r="EZ122" s="1319">
        <f t="shared" ca="1" si="1246"/>
        <v>-1.2402665402400959</v>
      </c>
      <c r="FA122" s="1319">
        <f t="shared" ca="1" si="1246"/>
        <v>-1.1000287464533593E-16</v>
      </c>
      <c r="FB122" s="1319">
        <f t="shared" ca="1" si="1246"/>
        <v>-5.5112295881682411E-7</v>
      </c>
      <c r="FK122" s="1334"/>
      <c r="FN122" s="1319">
        <f t="shared" ca="1" si="1247"/>
        <v>-2.0127723034227638E-11</v>
      </c>
      <c r="FO122" s="1319">
        <f t="shared" ca="1" si="1247"/>
        <v>-1.9509521989118533E-10</v>
      </c>
      <c r="FP122" s="1319">
        <f t="shared" ca="1" si="1247"/>
        <v>-1.1000287464533593E-16</v>
      </c>
      <c r="FQ122" s="1319">
        <f t="shared" ca="1" si="1247"/>
        <v>-5.5112295881682411E-7</v>
      </c>
      <c r="FR122" s="1319">
        <f t="shared" ca="1" si="1247"/>
        <v>0</v>
      </c>
      <c r="FS122" s="1319">
        <f t="shared" ca="1" si="1247"/>
        <v>-5.5112296256288735E-7</v>
      </c>
      <c r="FT122" s="1319">
        <f t="shared" ca="1" si="1247"/>
        <v>0</v>
      </c>
      <c r="FU122" s="1319">
        <f t="shared" ca="1" si="1247"/>
        <v>-2.1522305264760375E-10</v>
      </c>
      <c r="FV122" s="1319">
        <f t="shared" ca="1" si="1247"/>
        <v>0</v>
      </c>
      <c r="FW122" s="1319">
        <f t="shared" ca="1" si="1247"/>
        <v>0</v>
      </c>
      <c r="FX122" s="1319">
        <f t="shared" ca="1" si="1247"/>
        <v>-2.1522305264760375E-10</v>
      </c>
      <c r="GG122" s="1334"/>
      <c r="GJ122" s="1319">
        <f t="shared" ca="1" si="1248"/>
        <v>0</v>
      </c>
      <c r="GK122" s="1319">
        <f t="shared" ca="1" si="1248"/>
        <v>0</v>
      </c>
      <c r="GL122" s="1319">
        <f t="shared" ca="1" si="1248"/>
        <v>0</v>
      </c>
      <c r="GM122" s="1319">
        <f t="shared" ca="1" si="1248"/>
        <v>0</v>
      </c>
      <c r="GN122" s="1319">
        <f t="shared" ca="1" si="1248"/>
        <v>0</v>
      </c>
      <c r="GO122" s="1319">
        <f t="shared" ca="1" si="1248"/>
        <v>0</v>
      </c>
      <c r="GP122" s="1319">
        <f t="shared" ca="1" si="1248"/>
        <v>0</v>
      </c>
      <c r="GQ122" s="1319">
        <f t="shared" ca="1" si="1248"/>
        <v>0</v>
      </c>
      <c r="GZ122" s="1334"/>
      <c r="HC122" s="1319">
        <f t="shared" ca="1" si="1249"/>
        <v>-1.2402665402400959</v>
      </c>
      <c r="HD122" s="1319">
        <f t="shared" ca="1" si="1249"/>
        <v>-1.1940894599109828</v>
      </c>
      <c r="HE122" s="1319">
        <f t="shared" ca="1" si="1249"/>
        <v>0</v>
      </c>
      <c r="HF122" s="1319">
        <f t="shared" ca="1" si="1249"/>
        <v>-3.7564706121092146E-10</v>
      </c>
      <c r="HG122" s="1319">
        <f t="shared" ca="1" si="1249"/>
        <v>-4.6177078456081273E-2</v>
      </c>
      <c r="HH122" s="1319">
        <f t="shared" ca="1" si="1249"/>
        <v>-1.1940894599109828</v>
      </c>
      <c r="HQ122" s="1334"/>
      <c r="HT122" s="1319">
        <f t="shared" ca="1" si="1250"/>
        <v>0</v>
      </c>
      <c r="HU122" s="1319">
        <f t="shared" ca="1" si="1250"/>
        <v>-1.1940894599109828</v>
      </c>
      <c r="HV122" s="1319">
        <f t="shared" ca="1" si="1250"/>
        <v>-1.1940894599109828</v>
      </c>
      <c r="HW122" s="1319">
        <f t="shared" ca="1" si="1250"/>
        <v>-1.1940894599109828</v>
      </c>
      <c r="HX122" s="1319">
        <f t="shared" ca="1" si="1250"/>
        <v>-9.9873265804654554E-2</v>
      </c>
      <c r="HY122" s="1319">
        <f t="shared" ca="1" si="1250"/>
        <v>-7.5947854374913875E-3</v>
      </c>
      <c r="HZ122" s="1319">
        <f t="shared" ca="1" si="1250"/>
        <v>-3.993072524908428E-11</v>
      </c>
      <c r="IA122" s="1319">
        <f t="shared" ca="1" si="1250"/>
        <v>-1.4124351810086138E-13</v>
      </c>
      <c r="IB122" s="1319">
        <f t="shared" ca="1" si="1250"/>
        <v>0</v>
      </c>
      <c r="IC122" s="1319">
        <f t="shared" ca="1" si="1250"/>
        <v>0</v>
      </c>
      <c r="ID122" s="1319">
        <f t="shared" ca="1" si="1250"/>
        <v>0</v>
      </c>
      <c r="IE122" s="1319">
        <f t="shared" ca="1" si="1250"/>
        <v>0</v>
      </c>
      <c r="IN122" s="1334"/>
      <c r="IQ122" s="1319">
        <f t="shared" ca="1" si="1251"/>
        <v>-9.9873265804654554E-2</v>
      </c>
      <c r="IR122" s="1319">
        <f t="shared" ca="1" si="1251"/>
        <v>-7.5947854374913875E-3</v>
      </c>
      <c r="IS122" s="1319">
        <f t="shared" ca="1" si="1251"/>
        <v>-1.5109671168188915E-4</v>
      </c>
      <c r="IT122" s="1319">
        <f t="shared" ca="1" si="1251"/>
        <v>-7.7458821469256374E-3</v>
      </c>
      <c r="IU122" s="1319">
        <f t="shared" ca="1" si="1251"/>
        <v>-7.2292049208966059E-3</v>
      </c>
      <c r="IV122" s="1319">
        <f t="shared" ca="1" si="1251"/>
        <v>-4.4291516655836517E-3</v>
      </c>
      <c r="IW122" s="1319">
        <f t="shared" ca="1" si="1251"/>
        <v>-3.6263210788669144E-3</v>
      </c>
      <c r="IX122" s="1319">
        <f t="shared" ca="1" si="1251"/>
        <v>-8.588812107405351E-13</v>
      </c>
      <c r="IY122" s="1319">
        <f t="shared" ca="1" si="1251"/>
        <v>-5.1667725225147383E-4</v>
      </c>
      <c r="IZ122" s="1319">
        <f t="shared" ca="1" si="1251"/>
        <v>-6.5173388477461256E-4</v>
      </c>
      <c r="JA122" s="1319">
        <f t="shared" ca="1" si="1251"/>
        <v>-3.7774177733169126E-3</v>
      </c>
      <c r="JB122" s="1319">
        <f t="shared" ca="1" si="1252"/>
        <v>0</v>
      </c>
      <c r="JC122" s="1319">
        <f t="shared" ca="1" si="1252"/>
        <v>-6.5173388477461256E-4</v>
      </c>
      <c r="JD122" s="1319">
        <f t="shared" ca="1" si="1252"/>
        <v>0</v>
      </c>
      <c r="JE122" s="1319">
        <f t="shared" ca="1" si="1252"/>
        <v>-6.5173388477461256E-4</v>
      </c>
      <c r="JF122" s="1319">
        <f t="shared" ca="1" si="1252"/>
        <v>0</v>
      </c>
      <c r="JG122" s="1319">
        <f t="shared" ca="1" si="1252"/>
        <v>0</v>
      </c>
      <c r="JH122" s="1319">
        <f t="shared" ca="1" si="1252"/>
        <v>-1.4124351810086138E-13</v>
      </c>
      <c r="JQ122" s="1334"/>
      <c r="JT122" s="1319">
        <f t="shared" ca="1" si="1253"/>
        <v>0</v>
      </c>
      <c r="JU122" s="1319">
        <f t="shared" ca="1" si="1253"/>
        <v>0</v>
      </c>
      <c r="JV122" s="1319">
        <f t="shared" ca="1" si="1253"/>
        <v>0</v>
      </c>
      <c r="JW122" s="1319">
        <f t="shared" ca="1" si="1253"/>
        <v>0</v>
      </c>
      <c r="JX122" s="1319">
        <f t="shared" ca="1" si="1253"/>
        <v>0</v>
      </c>
      <c r="JY122" s="1319">
        <f t="shared" ca="1" si="1253"/>
        <v>0</v>
      </c>
      <c r="JZ122" s="1319">
        <f t="shared" ca="1" si="1253"/>
        <v>0</v>
      </c>
      <c r="KA122" s="1319">
        <f t="shared" ca="1" si="1253"/>
        <v>0</v>
      </c>
      <c r="KB122" s="1319">
        <f t="shared" ca="1" si="1253"/>
        <v>0</v>
      </c>
      <c r="KC122" s="1319">
        <f t="shared" ca="1" si="1253"/>
        <v>0</v>
      </c>
      <c r="KI122" s="1334"/>
      <c r="KL122" s="1319">
        <f t="shared" ca="1" si="1254"/>
        <v>0</v>
      </c>
      <c r="KM122" s="1319">
        <f t="shared" ca="1" si="1254"/>
        <v>0</v>
      </c>
      <c r="KN122" s="1319">
        <f t="shared" ca="1" si="1254"/>
        <v>0</v>
      </c>
      <c r="KO122" s="1319">
        <f t="shared" ca="1" si="1254"/>
        <v>0</v>
      </c>
      <c r="KP122" s="1319">
        <f t="shared" ca="1" si="1254"/>
        <v>0</v>
      </c>
      <c r="KQ122" s="1319">
        <f t="shared" ca="1" si="1254"/>
        <v>0</v>
      </c>
      <c r="KR122" s="1319">
        <f t="shared" ca="1" si="1254"/>
        <v>0</v>
      </c>
      <c r="KX122" s="1334"/>
      <c r="LA122" s="1319">
        <f t="shared" ca="1" si="1255"/>
        <v>-3.7564706121092146E-10</v>
      </c>
      <c r="LB122" s="1319">
        <f t="shared" ca="1" si="1255"/>
        <v>-3.993072524908428E-11</v>
      </c>
      <c r="LC122" s="1319">
        <f t="shared" ca="1" si="1255"/>
        <v>-4.155777872092184E-10</v>
      </c>
      <c r="LD122" s="1319">
        <f t="shared" ca="1" si="1255"/>
        <v>-4.155777872092184E-10</v>
      </c>
      <c r="LE122" s="1319">
        <f t="shared" ca="1" si="1255"/>
        <v>0</v>
      </c>
      <c r="LF122" s="1319">
        <f t="shared" ca="1" si="1255"/>
        <v>0</v>
      </c>
      <c r="LG122" s="1319">
        <f t="shared" ca="1" si="1255"/>
        <v>0</v>
      </c>
      <c r="LH122" s="1319">
        <f t="shared" ca="1" si="1255"/>
        <v>0</v>
      </c>
      <c r="LI122" s="1319">
        <f t="shared" ca="1" si="1255"/>
        <v>0</v>
      </c>
      <c r="LJ122" s="1319">
        <f t="shared" ca="1" si="1255"/>
        <v>0</v>
      </c>
      <c r="LK122" s="1319">
        <f t="shared" ca="1" si="1255"/>
        <v>0</v>
      </c>
      <c r="LT122" s="1334"/>
      <c r="LW122" s="1319">
        <f t="shared" ca="1" si="1256"/>
        <v>0</v>
      </c>
      <c r="LX122" s="1319">
        <f t="shared" ca="1" si="1256"/>
        <v>0</v>
      </c>
      <c r="LY122" s="1319">
        <f t="shared" ca="1" si="1256"/>
        <v>-4.6177078456081273E-2</v>
      </c>
      <c r="LZ122" s="1319">
        <f t="shared" ca="1" si="1256"/>
        <v>-5.1667725225147383E-4</v>
      </c>
      <c r="MA122" s="1319">
        <f t="shared" ca="1" si="1256"/>
        <v>-4.6693755719570934E-2</v>
      </c>
      <c r="MB122" s="1319">
        <f t="shared" ca="1" si="1256"/>
        <v>-4.155777872092184E-10</v>
      </c>
      <c r="MC122" s="1319">
        <f t="shared" ca="1" si="1256"/>
        <v>0</v>
      </c>
      <c r="MD122" s="1319">
        <f t="shared" ca="1" si="1256"/>
        <v>0</v>
      </c>
      <c r="ME122" s="1319">
        <f t="shared" ca="1" si="1256"/>
        <v>0</v>
      </c>
      <c r="MF122" s="1319">
        <f t="shared" ca="1" si="1256"/>
        <v>0</v>
      </c>
      <c r="MG122" s="1319">
        <f t="shared" ca="1" si="1257"/>
        <v>0</v>
      </c>
      <c r="MH122" s="1319">
        <f t="shared" ca="1" si="1257"/>
        <v>0</v>
      </c>
      <c r="MI122" s="1319">
        <f t="shared" ca="1" si="1257"/>
        <v>0</v>
      </c>
      <c r="MJ122" s="1319">
        <f t="shared" ca="1" si="1257"/>
        <v>0</v>
      </c>
      <c r="MK122" s="1319">
        <f t="shared" ca="1" si="1257"/>
        <v>0</v>
      </c>
      <c r="ML122" s="1319">
        <f t="shared" ca="1" si="1257"/>
        <v>0</v>
      </c>
      <c r="MM122" s="1319">
        <f t="shared" ca="1" si="1257"/>
        <v>0</v>
      </c>
      <c r="MN122" s="1319">
        <f t="shared" ca="1" si="1257"/>
        <v>0</v>
      </c>
      <c r="MO122" s="1319">
        <f t="shared" ca="1" si="1257"/>
        <v>0</v>
      </c>
      <c r="MX122" s="1334"/>
      <c r="NA122" s="1319">
        <f t="shared" ca="1" si="1258"/>
        <v>-3.6990706973321615E-13</v>
      </c>
      <c r="NB122" s="1319">
        <f t="shared" ca="1" si="1258"/>
        <v>0</v>
      </c>
      <c r="NC122" s="1319">
        <f t="shared" ca="1" si="1258"/>
        <v>0</v>
      </c>
      <c r="ND122" s="1319">
        <f t="shared" ca="1" si="1258"/>
        <v>0</v>
      </c>
      <c r="NE122" s="1319">
        <f t="shared" ca="1" si="1258"/>
        <v>0</v>
      </c>
      <c r="NF122" s="1319">
        <f t="shared" ca="1" si="1258"/>
        <v>0</v>
      </c>
      <c r="NG122" s="1319">
        <f t="shared" ca="1" si="1258"/>
        <v>0</v>
      </c>
      <c r="NH122" s="1319">
        <f t="shared" ca="1" si="1258"/>
        <v>0</v>
      </c>
      <c r="NI122" s="1319">
        <f t="shared" ca="1" si="1258"/>
        <v>0</v>
      </c>
      <c r="NJ122" s="1319">
        <f t="shared" ca="1" si="1258"/>
        <v>0</v>
      </c>
      <c r="NK122" s="1319">
        <f t="shared" ca="1" si="1258"/>
        <v>0</v>
      </c>
      <c r="NL122" s="1319">
        <f t="shared" ca="1" si="1258"/>
        <v>0</v>
      </c>
      <c r="NM122" s="1319">
        <f t="shared" ca="1" si="1258"/>
        <v>0</v>
      </c>
      <c r="NN122" s="1319">
        <f t="shared" ca="1" si="1258"/>
        <v>0</v>
      </c>
      <c r="NO122" s="1319">
        <f t="shared" ca="1" si="1258"/>
        <v>0</v>
      </c>
      <c r="NP122" s="1319">
        <f t="shared" ca="1" si="1258"/>
        <v>0</v>
      </c>
      <c r="NY122" s="1334"/>
      <c r="OE122" s="1334"/>
      <c r="OH122" s="1319">
        <f t="shared" ca="1" si="1259"/>
        <v>0</v>
      </c>
      <c r="OI122" s="1319">
        <f t="shared" ca="1" si="1259"/>
        <v>0</v>
      </c>
      <c r="OJ122" s="1319">
        <f t="shared" ca="1" si="1259"/>
        <v>0</v>
      </c>
      <c r="OK122" s="1319">
        <f t="shared" ca="1" si="1259"/>
        <v>0</v>
      </c>
      <c r="OL122" s="1319">
        <f t="shared" ca="1" si="1259"/>
        <v>0</v>
      </c>
      <c r="OM122" s="1319">
        <f t="shared" ca="1" si="1259"/>
        <v>0</v>
      </c>
      <c r="ON122" s="1319">
        <f t="shared" ca="1" si="1259"/>
        <v>0</v>
      </c>
      <c r="OO122" s="1319">
        <f t="shared" ca="1" si="1259"/>
        <v>0</v>
      </c>
      <c r="OX122" s="1334"/>
      <c r="PA122" s="1319">
        <f t="shared" ca="1" si="1260"/>
        <v>0</v>
      </c>
      <c r="PB122" s="1319">
        <f t="shared" ca="1" si="1260"/>
        <v>0</v>
      </c>
      <c r="PC122" s="1319">
        <f t="shared" ca="1" si="1260"/>
        <v>0</v>
      </c>
      <c r="PD122" s="1319">
        <f t="shared" ca="1" si="1260"/>
        <v>0</v>
      </c>
      <c r="PE122" s="1319">
        <f t="shared" ca="1" si="1260"/>
        <v>0</v>
      </c>
      <c r="PF122" s="1319">
        <f t="shared" ca="1" si="1260"/>
        <v>0</v>
      </c>
      <c r="PG122" s="1319">
        <f t="shared" ca="1" si="1260"/>
        <v>0</v>
      </c>
      <c r="PH122" s="1319">
        <f t="shared" ca="1" si="1260"/>
        <v>0</v>
      </c>
      <c r="PI122" s="1319">
        <f t="shared" ca="1" si="1260"/>
        <v>0</v>
      </c>
      <c r="PJ122" s="1319">
        <f t="shared" ca="1" si="1260"/>
        <v>0</v>
      </c>
      <c r="PK122" s="1319">
        <f t="shared" ca="1" si="1260"/>
        <v>0</v>
      </c>
      <c r="PT122" s="1334"/>
      <c r="PW122" s="1319">
        <f t="shared" ca="1" si="1261"/>
        <v>0</v>
      </c>
      <c r="PX122" s="1319">
        <f t="shared" ca="1" si="1261"/>
        <v>0</v>
      </c>
      <c r="PY122" s="1319">
        <f t="shared" ca="1" si="1261"/>
        <v>0</v>
      </c>
      <c r="PZ122" s="1319">
        <f t="shared" ca="1" si="1261"/>
        <v>0</v>
      </c>
    </row>
    <row r="123" spans="1:442" x14ac:dyDescent="0.25">
      <c r="A123" s="189">
        <v>12</v>
      </c>
      <c r="B123" s="189" t="s">
        <v>1256</v>
      </c>
      <c r="C123" s="1317" t="s">
        <v>2305</v>
      </c>
      <c r="D123" s="1317" t="s">
        <v>206</v>
      </c>
      <c r="E123" s="1318">
        <v>342.3</v>
      </c>
      <c r="F123" s="1316">
        <v>-1.2822778035099998</v>
      </c>
      <c r="G123" s="1334"/>
      <c r="J123" s="1319">
        <f t="shared" ca="1" si="1239"/>
        <v>-2.4037245817889055</v>
      </c>
      <c r="K123" s="1319">
        <f t="shared" ca="1" si="1239"/>
        <v>-2.4037245817889055</v>
      </c>
      <c r="Q123" s="1334"/>
      <c r="T123" s="1319">
        <f t="shared" ca="1" si="1240"/>
        <v>-2.4037245817889055</v>
      </c>
      <c r="U123" s="1319">
        <f t="shared" ca="1" si="1240"/>
        <v>0</v>
      </c>
      <c r="V123" s="1319">
        <f t="shared" ca="1" si="1240"/>
        <v>0</v>
      </c>
      <c r="W123" s="1319">
        <f t="shared" ca="1" si="1240"/>
        <v>0</v>
      </c>
      <c r="X123" s="1319">
        <f t="shared" ca="1" si="1240"/>
        <v>0</v>
      </c>
      <c r="Y123" s="1319">
        <f t="shared" ca="1" si="1240"/>
        <v>0</v>
      </c>
      <c r="Z123" s="1319">
        <f t="shared" ca="1" si="1240"/>
        <v>0</v>
      </c>
      <c r="AA123" s="1319">
        <f t="shared" ca="1" si="1240"/>
        <v>0</v>
      </c>
      <c r="AB123" s="1319">
        <f t="shared" ca="1" si="1240"/>
        <v>0</v>
      </c>
      <c r="AC123" s="1319">
        <f t="shared" ca="1" si="1240"/>
        <v>0</v>
      </c>
      <c r="AD123" s="1319">
        <f t="shared" ca="1" si="1240"/>
        <v>0</v>
      </c>
      <c r="AJ123" s="1334"/>
      <c r="AM123" s="1319">
        <f t="shared" ca="1" si="1241"/>
        <v>0</v>
      </c>
      <c r="AN123" s="1319">
        <f t="shared" ca="1" si="1241"/>
        <v>0</v>
      </c>
      <c r="AO123" s="1319">
        <f t="shared" ca="1" si="1241"/>
        <v>0</v>
      </c>
      <c r="AP123" s="1319">
        <f t="shared" ca="1" si="1241"/>
        <v>0</v>
      </c>
      <c r="AQ123" s="1319">
        <f t="shared" ca="1" si="1241"/>
        <v>0</v>
      </c>
      <c r="AR123" s="1319">
        <f t="shared" ca="1" si="1241"/>
        <v>0</v>
      </c>
      <c r="AS123" s="1319">
        <f t="shared" ca="1" si="1241"/>
        <v>0</v>
      </c>
      <c r="AT123" s="1319">
        <f t="shared" ca="1" si="1241"/>
        <v>0</v>
      </c>
      <c r="AU123" s="1319">
        <f t="shared" ca="1" si="1241"/>
        <v>0</v>
      </c>
      <c r="AV123" s="1319">
        <f t="shared" ca="1" si="1241"/>
        <v>0</v>
      </c>
      <c r="AW123" s="1319">
        <f t="shared" ca="1" si="1241"/>
        <v>0</v>
      </c>
      <c r="AX123" s="1319">
        <f t="shared" ca="1" si="1241"/>
        <v>0</v>
      </c>
      <c r="AY123" s="1319">
        <f t="shared" ca="1" si="1241"/>
        <v>0</v>
      </c>
      <c r="AZ123" s="1319">
        <f t="shared" ca="1" si="1241"/>
        <v>0</v>
      </c>
      <c r="BA123" s="1319">
        <f t="shared" ca="1" si="1241"/>
        <v>0</v>
      </c>
      <c r="BB123" s="1319">
        <f t="shared" ca="1" si="1241"/>
        <v>0</v>
      </c>
      <c r="BK123" s="1334"/>
      <c r="BN123" s="1319">
        <f t="shared" ca="1" si="1242"/>
        <v>0</v>
      </c>
      <c r="BO123" s="1319">
        <f t="shared" ca="1" si="1242"/>
        <v>0</v>
      </c>
      <c r="BP123" s="1319">
        <f t="shared" ca="1" si="1242"/>
        <v>0</v>
      </c>
      <c r="BQ123" s="1319">
        <f t="shared" ca="1" si="1242"/>
        <v>0</v>
      </c>
      <c r="BR123" s="1319">
        <f t="shared" ca="1" si="1242"/>
        <v>0</v>
      </c>
      <c r="CA123" s="1334"/>
      <c r="CD123" s="1319">
        <f t="shared" ca="1" si="1243"/>
        <v>0</v>
      </c>
      <c r="CE123" s="1319">
        <f t="shared" ca="1" si="1243"/>
        <v>0</v>
      </c>
      <c r="CF123" s="1319">
        <f t="shared" ca="1" si="1243"/>
        <v>0</v>
      </c>
      <c r="CG123" s="1319">
        <f t="shared" ca="1" si="1243"/>
        <v>0</v>
      </c>
      <c r="CH123" s="1319">
        <f t="shared" ca="1" si="1243"/>
        <v>0</v>
      </c>
      <c r="CI123" s="1319">
        <f t="shared" ca="1" si="1243"/>
        <v>0</v>
      </c>
      <c r="CJ123" s="1319">
        <f t="shared" ca="1" si="1243"/>
        <v>0</v>
      </c>
      <c r="CK123" s="1319">
        <f t="shared" ca="1" si="1243"/>
        <v>0</v>
      </c>
      <c r="CL123" s="1319">
        <f t="shared" ca="1" si="1243"/>
        <v>0</v>
      </c>
      <c r="CM123" s="1319">
        <f t="shared" ca="1" si="1243"/>
        <v>0</v>
      </c>
      <c r="CN123" s="1319">
        <f t="shared" ca="1" si="1243"/>
        <v>0</v>
      </c>
      <c r="CO123" s="1319">
        <f t="shared" ca="1" si="1243"/>
        <v>0</v>
      </c>
      <c r="CX123" s="1334"/>
      <c r="DA123" s="1319">
        <f t="shared" ca="1" si="1244"/>
        <v>0</v>
      </c>
      <c r="DB123" s="1319">
        <f t="shared" ca="1" si="1244"/>
        <v>0</v>
      </c>
      <c r="DC123" s="1319">
        <f t="shared" ca="1" si="1244"/>
        <v>0</v>
      </c>
      <c r="DD123" s="1319">
        <f t="shared" ca="1" si="1244"/>
        <v>0</v>
      </c>
      <c r="DE123" s="1319">
        <f t="shared" ca="1" si="1244"/>
        <v>0</v>
      </c>
      <c r="DF123" s="1319">
        <f t="shared" ca="1" si="1244"/>
        <v>0</v>
      </c>
      <c r="DG123" s="1319">
        <f t="shared" ca="1" si="1244"/>
        <v>0</v>
      </c>
      <c r="DH123" s="1319">
        <f t="shared" ca="1" si="1244"/>
        <v>0</v>
      </c>
      <c r="DI123" s="1319">
        <f t="shared" ca="1" si="1244"/>
        <v>0</v>
      </c>
      <c r="DJ123" s="1319">
        <f t="shared" ca="1" si="1244"/>
        <v>0</v>
      </c>
      <c r="DS123" s="1334"/>
      <c r="DV123" s="1319">
        <f t="shared" ca="1" si="1245"/>
        <v>0</v>
      </c>
      <c r="DW123" s="1319">
        <f t="shared" ca="1" si="1245"/>
        <v>0</v>
      </c>
      <c r="DX123" s="1319">
        <f t="shared" ca="1" si="1245"/>
        <v>0</v>
      </c>
      <c r="DY123" s="1319">
        <f t="shared" ca="1" si="1245"/>
        <v>0</v>
      </c>
      <c r="DZ123" s="1319">
        <f t="shared" ca="1" si="1245"/>
        <v>0</v>
      </c>
      <c r="EA123" s="1319">
        <f t="shared" ca="1" si="1245"/>
        <v>0</v>
      </c>
      <c r="EB123" s="1319">
        <f t="shared" ca="1" si="1245"/>
        <v>0</v>
      </c>
      <c r="EC123" s="1319">
        <f t="shared" ca="1" si="1245"/>
        <v>0</v>
      </c>
      <c r="ED123" s="1319">
        <f t="shared" ca="1" si="1245"/>
        <v>0</v>
      </c>
      <c r="EE123" s="1319">
        <f t="shared" ca="1" si="1245"/>
        <v>0</v>
      </c>
      <c r="EF123" s="1319">
        <f t="shared" ca="1" si="1245"/>
        <v>0</v>
      </c>
      <c r="EG123" s="1319">
        <f t="shared" ca="1" si="1245"/>
        <v>0</v>
      </c>
      <c r="EH123" s="1319">
        <f t="shared" ca="1" si="1245"/>
        <v>0</v>
      </c>
      <c r="EI123" s="1319">
        <f t="shared" ca="1" si="1245"/>
        <v>0</v>
      </c>
      <c r="EJ123" s="1319">
        <f t="shared" ca="1" si="1245"/>
        <v>0</v>
      </c>
      <c r="EK123" s="1319">
        <f t="shared" ca="1" si="1245"/>
        <v>0</v>
      </c>
      <c r="ET123" s="1334"/>
      <c r="EW123" s="1319">
        <f t="shared" ca="1" si="1246"/>
        <v>0</v>
      </c>
      <c r="EX123" s="1319">
        <f t="shared" ca="1" si="1246"/>
        <v>0</v>
      </c>
      <c r="EY123" s="1319">
        <f t="shared" ca="1" si="1246"/>
        <v>0</v>
      </c>
      <c r="EZ123" s="1319">
        <f t="shared" ca="1" si="1246"/>
        <v>0</v>
      </c>
      <c r="FA123" s="1319">
        <f t="shared" ca="1" si="1246"/>
        <v>0</v>
      </c>
      <c r="FB123" s="1319">
        <f t="shared" ca="1" si="1246"/>
        <v>0</v>
      </c>
      <c r="FK123" s="1334"/>
      <c r="FN123" s="1319">
        <f t="shared" ca="1" si="1247"/>
        <v>0</v>
      </c>
      <c r="FO123" s="1319">
        <f t="shared" ca="1" si="1247"/>
        <v>0</v>
      </c>
      <c r="FP123" s="1319">
        <f t="shared" ca="1" si="1247"/>
        <v>0</v>
      </c>
      <c r="FQ123" s="1319">
        <f t="shared" ca="1" si="1247"/>
        <v>0</v>
      </c>
      <c r="FR123" s="1319">
        <f t="shared" ca="1" si="1247"/>
        <v>0</v>
      </c>
      <c r="FS123" s="1319">
        <f t="shared" ca="1" si="1247"/>
        <v>0</v>
      </c>
      <c r="FT123" s="1319">
        <f t="shared" ca="1" si="1247"/>
        <v>0</v>
      </c>
      <c r="FU123" s="1319">
        <f t="shared" ca="1" si="1247"/>
        <v>0</v>
      </c>
      <c r="FV123" s="1319">
        <f t="shared" ca="1" si="1247"/>
        <v>0</v>
      </c>
      <c r="FW123" s="1319">
        <f t="shared" ca="1" si="1247"/>
        <v>0</v>
      </c>
      <c r="FX123" s="1319">
        <f t="shared" ca="1" si="1247"/>
        <v>0</v>
      </c>
      <c r="GG123" s="1334"/>
      <c r="GJ123" s="1319">
        <f t="shared" ca="1" si="1248"/>
        <v>0</v>
      </c>
      <c r="GK123" s="1319">
        <f t="shared" ca="1" si="1248"/>
        <v>0</v>
      </c>
      <c r="GL123" s="1319">
        <f t="shared" ca="1" si="1248"/>
        <v>0</v>
      </c>
      <c r="GM123" s="1319">
        <f t="shared" ca="1" si="1248"/>
        <v>0</v>
      </c>
      <c r="GN123" s="1319">
        <f t="shared" ca="1" si="1248"/>
        <v>0</v>
      </c>
      <c r="GO123" s="1319">
        <f t="shared" ca="1" si="1248"/>
        <v>0</v>
      </c>
      <c r="GP123" s="1319">
        <f t="shared" ca="1" si="1248"/>
        <v>0</v>
      </c>
      <c r="GQ123" s="1319">
        <f t="shared" ca="1" si="1248"/>
        <v>0</v>
      </c>
      <c r="GZ123" s="1334"/>
      <c r="HC123" s="1319">
        <f t="shared" ca="1" si="1249"/>
        <v>0</v>
      </c>
      <c r="HD123" s="1319">
        <f t="shared" ca="1" si="1249"/>
        <v>0</v>
      </c>
      <c r="HE123" s="1319">
        <f t="shared" ca="1" si="1249"/>
        <v>0</v>
      </c>
      <c r="HF123" s="1319">
        <f t="shared" ca="1" si="1249"/>
        <v>0</v>
      </c>
      <c r="HG123" s="1319">
        <f t="shared" ca="1" si="1249"/>
        <v>0</v>
      </c>
      <c r="HH123" s="1319">
        <f t="shared" ca="1" si="1249"/>
        <v>0</v>
      </c>
      <c r="HQ123" s="1334"/>
      <c r="HT123" s="1319">
        <f t="shared" ca="1" si="1250"/>
        <v>0</v>
      </c>
      <c r="HU123" s="1319">
        <f t="shared" ca="1" si="1250"/>
        <v>0</v>
      </c>
      <c r="HV123" s="1319">
        <f t="shared" ca="1" si="1250"/>
        <v>0</v>
      </c>
      <c r="HW123" s="1319">
        <f t="shared" ca="1" si="1250"/>
        <v>0</v>
      </c>
      <c r="HX123" s="1319">
        <f t="shared" ca="1" si="1250"/>
        <v>0</v>
      </c>
      <c r="HY123" s="1319">
        <f t="shared" ca="1" si="1250"/>
        <v>0</v>
      </c>
      <c r="HZ123" s="1319">
        <f t="shared" ca="1" si="1250"/>
        <v>0</v>
      </c>
      <c r="IA123" s="1319">
        <f t="shared" ca="1" si="1250"/>
        <v>0</v>
      </c>
      <c r="IB123" s="1319">
        <f t="shared" ca="1" si="1250"/>
        <v>0</v>
      </c>
      <c r="IC123" s="1319">
        <f t="shared" ca="1" si="1250"/>
        <v>0</v>
      </c>
      <c r="ID123" s="1319">
        <f t="shared" ca="1" si="1250"/>
        <v>0</v>
      </c>
      <c r="IE123" s="1319">
        <f t="shared" ca="1" si="1250"/>
        <v>0</v>
      </c>
      <c r="IN123" s="1334"/>
      <c r="IQ123" s="1319">
        <f t="shared" ca="1" si="1251"/>
        <v>0</v>
      </c>
      <c r="IR123" s="1319">
        <f t="shared" ca="1" si="1251"/>
        <v>0</v>
      </c>
      <c r="IS123" s="1319">
        <f t="shared" ca="1" si="1251"/>
        <v>0</v>
      </c>
      <c r="IT123" s="1319">
        <f t="shared" ca="1" si="1251"/>
        <v>0</v>
      </c>
      <c r="IU123" s="1319">
        <f t="shared" ca="1" si="1251"/>
        <v>0</v>
      </c>
      <c r="IV123" s="1319">
        <f t="shared" ca="1" si="1251"/>
        <v>0</v>
      </c>
      <c r="IW123" s="1319">
        <f t="shared" ca="1" si="1251"/>
        <v>0</v>
      </c>
      <c r="IX123" s="1319">
        <f t="shared" ca="1" si="1251"/>
        <v>0</v>
      </c>
      <c r="IY123" s="1319">
        <f t="shared" ca="1" si="1251"/>
        <v>0</v>
      </c>
      <c r="IZ123" s="1319">
        <f t="shared" ca="1" si="1251"/>
        <v>0</v>
      </c>
      <c r="JA123" s="1319">
        <f t="shared" ca="1" si="1251"/>
        <v>0</v>
      </c>
      <c r="JB123" s="1319">
        <f t="shared" ca="1" si="1252"/>
        <v>0</v>
      </c>
      <c r="JC123" s="1319">
        <f t="shared" ca="1" si="1252"/>
        <v>0</v>
      </c>
      <c r="JD123" s="1319">
        <f t="shared" ca="1" si="1252"/>
        <v>0</v>
      </c>
      <c r="JE123" s="1319">
        <f t="shared" ca="1" si="1252"/>
        <v>0</v>
      </c>
      <c r="JF123" s="1319">
        <f t="shared" ca="1" si="1252"/>
        <v>0</v>
      </c>
      <c r="JG123" s="1319">
        <f t="shared" ca="1" si="1252"/>
        <v>0</v>
      </c>
      <c r="JH123" s="1319">
        <f t="shared" ca="1" si="1252"/>
        <v>0</v>
      </c>
      <c r="JQ123" s="1334"/>
      <c r="JT123" s="1319">
        <f t="shared" ca="1" si="1253"/>
        <v>0</v>
      </c>
      <c r="JU123" s="1319">
        <f t="shared" ca="1" si="1253"/>
        <v>0</v>
      </c>
      <c r="JV123" s="1319">
        <f t="shared" ca="1" si="1253"/>
        <v>0</v>
      </c>
      <c r="JW123" s="1319">
        <f t="shared" ca="1" si="1253"/>
        <v>0</v>
      </c>
      <c r="JX123" s="1319">
        <f t="shared" ca="1" si="1253"/>
        <v>0</v>
      </c>
      <c r="JY123" s="1319">
        <f t="shared" ca="1" si="1253"/>
        <v>0</v>
      </c>
      <c r="JZ123" s="1319">
        <f t="shared" ca="1" si="1253"/>
        <v>0</v>
      </c>
      <c r="KA123" s="1319">
        <f t="shared" ca="1" si="1253"/>
        <v>0</v>
      </c>
      <c r="KB123" s="1319">
        <f t="shared" ca="1" si="1253"/>
        <v>0</v>
      </c>
      <c r="KC123" s="1319">
        <f t="shared" ca="1" si="1253"/>
        <v>0</v>
      </c>
      <c r="KI123" s="1334"/>
      <c r="KL123" s="1319">
        <f t="shared" ca="1" si="1254"/>
        <v>0</v>
      </c>
      <c r="KM123" s="1319">
        <f t="shared" ca="1" si="1254"/>
        <v>0</v>
      </c>
      <c r="KN123" s="1319">
        <f t="shared" ca="1" si="1254"/>
        <v>0</v>
      </c>
      <c r="KO123" s="1319">
        <f t="shared" ca="1" si="1254"/>
        <v>0</v>
      </c>
      <c r="KP123" s="1319">
        <f t="shared" ca="1" si="1254"/>
        <v>0</v>
      </c>
      <c r="KQ123" s="1319">
        <f t="shared" ca="1" si="1254"/>
        <v>0</v>
      </c>
      <c r="KR123" s="1319">
        <f t="shared" ca="1" si="1254"/>
        <v>0</v>
      </c>
      <c r="KX123" s="1334"/>
      <c r="LA123" s="1319">
        <f t="shared" ca="1" si="1255"/>
        <v>0</v>
      </c>
      <c r="LB123" s="1319">
        <f t="shared" ca="1" si="1255"/>
        <v>0</v>
      </c>
      <c r="LC123" s="1319">
        <f t="shared" ca="1" si="1255"/>
        <v>0</v>
      </c>
      <c r="LD123" s="1319">
        <f t="shared" ca="1" si="1255"/>
        <v>0</v>
      </c>
      <c r="LE123" s="1319">
        <f t="shared" ca="1" si="1255"/>
        <v>0</v>
      </c>
      <c r="LF123" s="1319">
        <f t="shared" ca="1" si="1255"/>
        <v>0</v>
      </c>
      <c r="LG123" s="1319">
        <f t="shared" ca="1" si="1255"/>
        <v>0</v>
      </c>
      <c r="LH123" s="1319">
        <f t="shared" ca="1" si="1255"/>
        <v>0</v>
      </c>
      <c r="LI123" s="1319">
        <f t="shared" ca="1" si="1255"/>
        <v>0</v>
      </c>
      <c r="LJ123" s="1319">
        <f t="shared" ca="1" si="1255"/>
        <v>0</v>
      </c>
      <c r="LK123" s="1319">
        <f t="shared" ca="1" si="1255"/>
        <v>0</v>
      </c>
      <c r="LT123" s="1334"/>
      <c r="LW123" s="1319">
        <f t="shared" ca="1" si="1256"/>
        <v>0</v>
      </c>
      <c r="LX123" s="1319">
        <f t="shared" ca="1" si="1256"/>
        <v>0</v>
      </c>
      <c r="LY123" s="1319">
        <f t="shared" ca="1" si="1256"/>
        <v>0</v>
      </c>
      <c r="LZ123" s="1319">
        <f t="shared" ca="1" si="1256"/>
        <v>0</v>
      </c>
      <c r="MA123" s="1319">
        <f t="shared" ca="1" si="1256"/>
        <v>0</v>
      </c>
      <c r="MB123" s="1319">
        <f t="shared" ca="1" si="1256"/>
        <v>0</v>
      </c>
      <c r="MC123" s="1319">
        <f t="shared" ca="1" si="1256"/>
        <v>0</v>
      </c>
      <c r="MD123" s="1319">
        <f t="shared" ca="1" si="1256"/>
        <v>0</v>
      </c>
      <c r="ME123" s="1319">
        <f t="shared" ca="1" si="1256"/>
        <v>0</v>
      </c>
      <c r="MF123" s="1319">
        <f t="shared" ca="1" si="1256"/>
        <v>0</v>
      </c>
      <c r="MG123" s="1319">
        <f t="shared" ca="1" si="1257"/>
        <v>0</v>
      </c>
      <c r="MH123" s="1319">
        <f t="shared" ca="1" si="1257"/>
        <v>0</v>
      </c>
      <c r="MI123" s="1319">
        <f t="shared" ca="1" si="1257"/>
        <v>0</v>
      </c>
      <c r="MJ123" s="1319">
        <f t="shared" ca="1" si="1257"/>
        <v>0</v>
      </c>
      <c r="MK123" s="1319">
        <f t="shared" ca="1" si="1257"/>
        <v>0</v>
      </c>
      <c r="ML123" s="1319">
        <f t="shared" ca="1" si="1257"/>
        <v>0</v>
      </c>
      <c r="MM123" s="1319">
        <f t="shared" ca="1" si="1257"/>
        <v>0</v>
      </c>
      <c r="MN123" s="1319">
        <f t="shared" ca="1" si="1257"/>
        <v>0</v>
      </c>
      <c r="MO123" s="1319">
        <f t="shared" ca="1" si="1257"/>
        <v>0</v>
      </c>
      <c r="MX123" s="1334"/>
      <c r="NA123" s="1319">
        <f t="shared" ca="1" si="1258"/>
        <v>0</v>
      </c>
      <c r="NB123" s="1319">
        <f t="shared" ca="1" si="1258"/>
        <v>0</v>
      </c>
      <c r="NC123" s="1319">
        <f t="shared" ca="1" si="1258"/>
        <v>0</v>
      </c>
      <c r="ND123" s="1319">
        <f t="shared" ca="1" si="1258"/>
        <v>0</v>
      </c>
      <c r="NE123" s="1319">
        <f t="shared" ca="1" si="1258"/>
        <v>0</v>
      </c>
      <c r="NF123" s="1319">
        <f t="shared" ca="1" si="1258"/>
        <v>0</v>
      </c>
      <c r="NG123" s="1319">
        <f t="shared" ca="1" si="1258"/>
        <v>0</v>
      </c>
      <c r="NH123" s="1319">
        <f t="shared" ca="1" si="1258"/>
        <v>0</v>
      </c>
      <c r="NI123" s="1319">
        <f t="shared" ca="1" si="1258"/>
        <v>0</v>
      </c>
      <c r="NJ123" s="1319">
        <f t="shared" ca="1" si="1258"/>
        <v>0</v>
      </c>
      <c r="NK123" s="1319">
        <f t="shared" ca="1" si="1258"/>
        <v>0</v>
      </c>
      <c r="NL123" s="1319">
        <f t="shared" ca="1" si="1258"/>
        <v>0</v>
      </c>
      <c r="NM123" s="1319">
        <f t="shared" ca="1" si="1258"/>
        <v>0</v>
      </c>
      <c r="NN123" s="1319">
        <f t="shared" ca="1" si="1258"/>
        <v>0</v>
      </c>
      <c r="NO123" s="1319">
        <f t="shared" ca="1" si="1258"/>
        <v>0</v>
      </c>
      <c r="NP123" s="1319">
        <f t="shared" ca="1" si="1258"/>
        <v>0</v>
      </c>
      <c r="NY123" s="1334"/>
      <c r="OE123" s="1334"/>
      <c r="OH123" s="1319">
        <f t="shared" ca="1" si="1259"/>
        <v>0</v>
      </c>
      <c r="OI123" s="1319">
        <f t="shared" ca="1" si="1259"/>
        <v>0</v>
      </c>
      <c r="OJ123" s="1319">
        <f t="shared" ca="1" si="1259"/>
        <v>0</v>
      </c>
      <c r="OK123" s="1319">
        <f t="shared" ca="1" si="1259"/>
        <v>0</v>
      </c>
      <c r="OL123" s="1319">
        <f t="shared" ca="1" si="1259"/>
        <v>0</v>
      </c>
      <c r="OM123" s="1319">
        <f t="shared" ca="1" si="1259"/>
        <v>0</v>
      </c>
      <c r="ON123" s="1319">
        <f t="shared" ca="1" si="1259"/>
        <v>0</v>
      </c>
      <c r="OO123" s="1319">
        <f t="shared" ca="1" si="1259"/>
        <v>0</v>
      </c>
      <c r="OX123" s="1334"/>
      <c r="PA123" s="1319">
        <f t="shared" ca="1" si="1260"/>
        <v>0</v>
      </c>
      <c r="PB123" s="1319">
        <f t="shared" ca="1" si="1260"/>
        <v>0</v>
      </c>
      <c r="PC123" s="1319">
        <f t="shared" ca="1" si="1260"/>
        <v>0</v>
      </c>
      <c r="PD123" s="1319">
        <f t="shared" ca="1" si="1260"/>
        <v>0</v>
      </c>
      <c r="PE123" s="1319">
        <f t="shared" ca="1" si="1260"/>
        <v>0</v>
      </c>
      <c r="PF123" s="1319">
        <f t="shared" ca="1" si="1260"/>
        <v>0</v>
      </c>
      <c r="PG123" s="1319">
        <f t="shared" ca="1" si="1260"/>
        <v>0</v>
      </c>
      <c r="PH123" s="1319">
        <f t="shared" ca="1" si="1260"/>
        <v>0</v>
      </c>
      <c r="PI123" s="1319">
        <f t="shared" ca="1" si="1260"/>
        <v>0</v>
      </c>
      <c r="PJ123" s="1319">
        <f t="shared" ca="1" si="1260"/>
        <v>0</v>
      </c>
      <c r="PK123" s="1319">
        <f t="shared" ca="1" si="1260"/>
        <v>0</v>
      </c>
      <c r="PT123" s="1334"/>
      <c r="PW123" s="1319">
        <f t="shared" ca="1" si="1261"/>
        <v>0</v>
      </c>
      <c r="PX123" s="1319">
        <f t="shared" ca="1" si="1261"/>
        <v>0</v>
      </c>
      <c r="PY123" s="1319">
        <f t="shared" ca="1" si="1261"/>
        <v>0</v>
      </c>
      <c r="PZ123" s="1319">
        <f t="shared" ca="1" si="1261"/>
        <v>0</v>
      </c>
    </row>
    <row r="124" spans="1:442" x14ac:dyDescent="0.25">
      <c r="A124" s="189">
        <v>13</v>
      </c>
      <c r="B124" s="189" t="s">
        <v>1256</v>
      </c>
      <c r="C124" s="1317" t="s">
        <v>1273</v>
      </c>
      <c r="D124" s="1317" t="s">
        <v>206</v>
      </c>
      <c r="E124" s="1318">
        <v>162.14239999999998</v>
      </c>
      <c r="F124" s="1316">
        <v>-0.61951084092999997</v>
      </c>
      <c r="G124" s="1334"/>
      <c r="J124" s="1319">
        <f t="shared" ca="1" si="1239"/>
        <v>0</v>
      </c>
      <c r="K124" s="1319">
        <f t="shared" ca="1" si="1239"/>
        <v>0</v>
      </c>
      <c r="Q124" s="1334"/>
      <c r="T124" s="1319">
        <f t="shared" ca="1" si="1240"/>
        <v>0</v>
      </c>
      <c r="U124" s="1319">
        <f t="shared" ca="1" si="1240"/>
        <v>0</v>
      </c>
      <c r="V124" s="1319">
        <f t="shared" ca="1" si="1240"/>
        <v>-3.2951555645066229E-8</v>
      </c>
      <c r="W124" s="1319">
        <f t="shared" ca="1" si="1240"/>
        <v>0</v>
      </c>
      <c r="X124" s="1319">
        <f t="shared" ca="1" si="1240"/>
        <v>0</v>
      </c>
      <c r="Y124" s="1319">
        <f t="shared" ca="1" si="1240"/>
        <v>-0.33475651880930257</v>
      </c>
      <c r="Z124" s="1319">
        <f t="shared" ca="1" si="1240"/>
        <v>-8.9937510326526728E-9</v>
      </c>
      <c r="AA124" s="1319">
        <f t="shared" ca="1" si="1240"/>
        <v>-0.33475651002150286</v>
      </c>
      <c r="AB124" s="1319">
        <f t="shared" ca="1" si="1240"/>
        <v>0</v>
      </c>
      <c r="AC124" s="1319">
        <f t="shared" ca="1" si="1240"/>
        <v>-3.2951555645066229E-8</v>
      </c>
      <c r="AD124" s="1319">
        <f t="shared" ca="1" si="1240"/>
        <v>0</v>
      </c>
      <c r="AJ124" s="1334"/>
      <c r="AM124" s="1319">
        <f t="shared" ca="1" si="1241"/>
        <v>0</v>
      </c>
      <c r="AN124" s="1319">
        <f t="shared" ca="1" si="1241"/>
        <v>0</v>
      </c>
      <c r="AO124" s="1319">
        <f t="shared" ca="1" si="1241"/>
        <v>-0.33475651002150286</v>
      </c>
      <c r="AP124" s="1319">
        <f t="shared" ca="1" si="1241"/>
        <v>-0.33475651002150286</v>
      </c>
      <c r="AQ124" s="1319">
        <f t="shared" ca="1" si="1241"/>
        <v>-4.7404299963475827E-10</v>
      </c>
      <c r="AR124" s="1319">
        <f t="shared" ca="1" si="1241"/>
        <v>-6.6111437085883534E-16</v>
      </c>
      <c r="AS124" s="1319">
        <f t="shared" ca="1" si="1241"/>
        <v>-8.9937503449118251E-9</v>
      </c>
      <c r="AT124" s="1319">
        <f t="shared" ca="1" si="1241"/>
        <v>-7.1625865073008664E-18</v>
      </c>
      <c r="AU124" s="1319">
        <f t="shared" ca="1" si="1241"/>
        <v>-4.7404365298856206E-10</v>
      </c>
      <c r="AV124" s="1319">
        <f t="shared" ca="1" si="1241"/>
        <v>-0.3347565096394246</v>
      </c>
      <c r="AW124" s="1319">
        <f t="shared" ca="1" si="1241"/>
        <v>-7.1625865073008664E-18</v>
      </c>
      <c r="AX124" s="1319">
        <f t="shared" ca="1" si="1241"/>
        <v>-9.4677940246458642E-9</v>
      </c>
      <c r="AY124" s="1319">
        <f t="shared" ca="1" si="1241"/>
        <v>0</v>
      </c>
      <c r="AZ124" s="1319">
        <f t="shared" ca="1" si="1241"/>
        <v>0</v>
      </c>
      <c r="BA124" s="1319">
        <f t="shared" ca="1" si="1241"/>
        <v>0</v>
      </c>
      <c r="BB124" s="1319">
        <f t="shared" ca="1" si="1241"/>
        <v>-0.3347565096394246</v>
      </c>
      <c r="BK124" s="1334"/>
      <c r="BN124" s="1319">
        <f t="shared" ca="1" si="1242"/>
        <v>-0.43295172583358815</v>
      </c>
      <c r="BO124" s="1319">
        <f t="shared" ca="1" si="1242"/>
        <v>-0.43295172583358815</v>
      </c>
      <c r="BP124" s="1319">
        <f t="shared" ca="1" si="1242"/>
        <v>-2.6441440264408111E-15</v>
      </c>
      <c r="BQ124" s="1319">
        <f t="shared" ca="1" si="1242"/>
        <v>0</v>
      </c>
      <c r="BR124" s="1319">
        <f t="shared" ca="1" si="1242"/>
        <v>0</v>
      </c>
      <c r="CA124" s="1334"/>
      <c r="CD124" s="1319">
        <f t="shared" ca="1" si="1243"/>
        <v>-0.3347565096394246</v>
      </c>
      <c r="CE124" s="1319">
        <f t="shared" ca="1" si="1243"/>
        <v>-0.3347565096394246</v>
      </c>
      <c r="CF124" s="1319">
        <f t="shared" ca="1" si="1243"/>
        <v>-0.43295172583358815</v>
      </c>
      <c r="CG124" s="1319">
        <f t="shared" ca="1" si="1243"/>
        <v>-0.43295172583358815</v>
      </c>
      <c r="CH124" s="1319">
        <f t="shared" ca="1" si="1243"/>
        <v>-0.3347565096394246</v>
      </c>
      <c r="CI124" s="1319">
        <f t="shared" ca="1" si="1243"/>
        <v>0</v>
      </c>
      <c r="CJ124" s="1319">
        <f t="shared" ca="1" si="1243"/>
        <v>0</v>
      </c>
      <c r="CK124" s="1319">
        <f t="shared" ca="1" si="1243"/>
        <v>-4.3295172583358807</v>
      </c>
      <c r="CL124" s="1319">
        <f t="shared" ca="1" si="1243"/>
        <v>-2.5629320301828579E-14</v>
      </c>
      <c r="CM124" s="1319">
        <f t="shared" ca="1" si="1243"/>
        <v>0</v>
      </c>
      <c r="CN124" s="1319">
        <f t="shared" ca="1" si="1243"/>
        <v>-4.3295172583358807</v>
      </c>
      <c r="CO124" s="1319">
        <f t="shared" ca="1" si="1243"/>
        <v>0</v>
      </c>
      <c r="CX124" s="1334"/>
      <c r="DA124" s="1319">
        <f t="shared" ca="1" si="1244"/>
        <v>0</v>
      </c>
      <c r="DB124" s="1319">
        <f t="shared" ca="1" si="1244"/>
        <v>0</v>
      </c>
      <c r="DC124" s="1319">
        <f t="shared" ca="1" si="1244"/>
        <v>0</v>
      </c>
      <c r="DD124" s="1319">
        <f t="shared" ca="1" si="1244"/>
        <v>0</v>
      </c>
      <c r="DE124" s="1319">
        <f t="shared" ca="1" si="1244"/>
        <v>0</v>
      </c>
      <c r="DF124" s="1319">
        <f t="shared" ca="1" si="1244"/>
        <v>0</v>
      </c>
      <c r="DG124" s="1319">
        <f t="shared" ca="1" si="1244"/>
        <v>0</v>
      </c>
      <c r="DH124" s="1319">
        <f t="shared" ca="1" si="1244"/>
        <v>0</v>
      </c>
      <c r="DI124" s="1319">
        <f t="shared" ca="1" si="1244"/>
        <v>0</v>
      </c>
      <c r="DJ124" s="1319">
        <f t="shared" ca="1" si="1244"/>
        <v>0</v>
      </c>
      <c r="DS124" s="1334"/>
      <c r="DV124" s="1319">
        <f t="shared" ca="1" si="1245"/>
        <v>0</v>
      </c>
      <c r="DW124" s="1319">
        <f t="shared" ca="1" si="1245"/>
        <v>0</v>
      </c>
      <c r="DX124" s="1319">
        <f t="shared" ca="1" si="1245"/>
        <v>0</v>
      </c>
      <c r="DY124" s="1319">
        <f t="shared" ca="1" si="1245"/>
        <v>0</v>
      </c>
      <c r="DZ124" s="1319">
        <f t="shared" ca="1" si="1245"/>
        <v>0</v>
      </c>
      <c r="EA124" s="1319">
        <f t="shared" ca="1" si="1245"/>
        <v>0</v>
      </c>
      <c r="EB124" s="1319">
        <f t="shared" ca="1" si="1245"/>
        <v>0</v>
      </c>
      <c r="EC124" s="1319">
        <f t="shared" ca="1" si="1245"/>
        <v>0</v>
      </c>
      <c r="ED124" s="1319">
        <f t="shared" ca="1" si="1245"/>
        <v>0</v>
      </c>
      <c r="EE124" s="1319">
        <f t="shared" ca="1" si="1245"/>
        <v>0</v>
      </c>
      <c r="EF124" s="1319">
        <f t="shared" ca="1" si="1245"/>
        <v>0</v>
      </c>
      <c r="EG124" s="1319">
        <f t="shared" ca="1" si="1245"/>
        <v>0</v>
      </c>
      <c r="EH124" s="1319">
        <f t="shared" ca="1" si="1245"/>
        <v>0</v>
      </c>
      <c r="EI124" s="1319">
        <f t="shared" ca="1" si="1245"/>
        <v>0</v>
      </c>
      <c r="EJ124" s="1319">
        <f t="shared" ca="1" si="1245"/>
        <v>0</v>
      </c>
      <c r="EK124" s="1319">
        <f t="shared" ca="1" si="1245"/>
        <v>0</v>
      </c>
      <c r="ET124" s="1334"/>
      <c r="EW124" s="1319">
        <f t="shared" ca="1" si="1246"/>
        <v>-4.3295172583358807</v>
      </c>
      <c r="EX124" s="1319">
        <f t="shared" ca="1" si="1246"/>
        <v>-4.3295172583358807</v>
      </c>
      <c r="EY124" s="1319">
        <f t="shared" ca="1" si="1246"/>
        <v>-4.3295172201280554</v>
      </c>
      <c r="EZ124" s="1319">
        <f t="shared" ca="1" si="1246"/>
        <v>-4.3295172201280554</v>
      </c>
      <c r="FA124" s="1319">
        <f t="shared" ca="1" si="1246"/>
        <v>-1.930487114614714E-21</v>
      </c>
      <c r="FB124" s="1319">
        <f t="shared" ca="1" si="1246"/>
        <v>-3.295155549223493E-8</v>
      </c>
      <c r="FK124" s="1334"/>
      <c r="FN124" s="1319">
        <f t="shared" ca="1" si="1247"/>
        <v>-2.6441440264408111E-15</v>
      </c>
      <c r="FO124" s="1319">
        <f t="shared" ca="1" si="1247"/>
        <v>-2.5629320301828579E-14</v>
      </c>
      <c r="FP124" s="1319">
        <f t="shared" ca="1" si="1247"/>
        <v>-1.930487114614714E-21</v>
      </c>
      <c r="FQ124" s="1319">
        <f t="shared" ca="1" si="1247"/>
        <v>-3.295155549223493E-8</v>
      </c>
      <c r="FR124" s="1319">
        <f t="shared" ca="1" si="1247"/>
        <v>0</v>
      </c>
      <c r="FS124" s="1319">
        <f t="shared" ca="1" si="1247"/>
        <v>-3.2951555645066229E-8</v>
      </c>
      <c r="FT124" s="1319">
        <f t="shared" ca="1" si="1247"/>
        <v>0</v>
      </c>
      <c r="FU124" s="1319">
        <f t="shared" ca="1" si="1247"/>
        <v>-2.8273466261585326E-14</v>
      </c>
      <c r="FV124" s="1319">
        <f t="shared" ca="1" si="1247"/>
        <v>0</v>
      </c>
      <c r="FW124" s="1319">
        <f t="shared" ca="1" si="1247"/>
        <v>0</v>
      </c>
      <c r="FX124" s="1319">
        <f t="shared" ca="1" si="1247"/>
        <v>0</v>
      </c>
      <c r="GG124" s="1334"/>
      <c r="GJ124" s="1319">
        <f t="shared" ca="1" si="1248"/>
        <v>0</v>
      </c>
      <c r="GK124" s="1319">
        <f t="shared" ca="1" si="1248"/>
        <v>0</v>
      </c>
      <c r="GL124" s="1319">
        <f t="shared" ca="1" si="1248"/>
        <v>0</v>
      </c>
      <c r="GM124" s="1319">
        <f t="shared" ca="1" si="1248"/>
        <v>0</v>
      </c>
      <c r="GN124" s="1319">
        <f t="shared" ca="1" si="1248"/>
        <v>0</v>
      </c>
      <c r="GO124" s="1319">
        <f t="shared" ca="1" si="1248"/>
        <v>0</v>
      </c>
      <c r="GP124" s="1319">
        <f t="shared" ca="1" si="1248"/>
        <v>0</v>
      </c>
      <c r="GQ124" s="1319">
        <f t="shared" ca="1" si="1248"/>
        <v>0</v>
      </c>
      <c r="GZ124" s="1334"/>
      <c r="HC124" s="1319">
        <f t="shared" ca="1" si="1249"/>
        <v>-4.3295172201280554</v>
      </c>
      <c r="HD124" s="1319">
        <f t="shared" ca="1" si="1249"/>
        <v>-4.1683224573926756</v>
      </c>
      <c r="HE124" s="1319">
        <f t="shared" ca="1" si="1249"/>
        <v>0</v>
      </c>
      <c r="HF124" s="1319">
        <f t="shared" ca="1" si="1249"/>
        <v>-3.2132826187292925E-13</v>
      </c>
      <c r="HG124" s="1319">
        <f t="shared" ca="1" si="1249"/>
        <v>-0.16119475280134701</v>
      </c>
      <c r="HH124" s="1319">
        <f t="shared" ca="1" si="1249"/>
        <v>-4.1683224573926756</v>
      </c>
      <c r="HQ124" s="1334"/>
      <c r="HT124" s="1319">
        <f t="shared" ca="1" si="1250"/>
        <v>-9.4677940246458642E-9</v>
      </c>
      <c r="HU124" s="1319">
        <f t="shared" ca="1" si="1250"/>
        <v>-4.1683224573926756</v>
      </c>
      <c r="HV124" s="1319">
        <f t="shared" ca="1" si="1250"/>
        <v>-4.1683224573926756</v>
      </c>
      <c r="HW124" s="1319">
        <f t="shared" ca="1" si="1250"/>
        <v>-4.1683224573926756</v>
      </c>
      <c r="HX124" s="1319">
        <f t="shared" ca="1" si="1250"/>
        <v>-0.3486371766412687</v>
      </c>
      <c r="HY124" s="1319">
        <f t="shared" ca="1" si="1250"/>
        <v>-2.6511845135397224E-2</v>
      </c>
      <c r="HZ124" s="1319">
        <f t="shared" ca="1" si="1250"/>
        <v>-8.16638492533383E-15</v>
      </c>
      <c r="IA124" s="1319">
        <f t="shared" ca="1" si="1250"/>
        <v>-1.3273433863330262E-15</v>
      </c>
      <c r="IB124" s="1319">
        <f t="shared" ca="1" si="1250"/>
        <v>0</v>
      </c>
      <c r="IC124" s="1319">
        <f t="shared" ca="1" si="1250"/>
        <v>0</v>
      </c>
      <c r="ID124" s="1319">
        <f t="shared" ca="1" si="1250"/>
        <v>0</v>
      </c>
      <c r="IE124" s="1319">
        <f t="shared" ca="1" si="1250"/>
        <v>0</v>
      </c>
      <c r="IN124" s="1334"/>
      <c r="IQ124" s="1319">
        <f t="shared" ca="1" si="1251"/>
        <v>-0.3486371766412687</v>
      </c>
      <c r="IR124" s="1319">
        <f t="shared" ca="1" si="1251"/>
        <v>-2.6511845135397224E-2</v>
      </c>
      <c r="IS124" s="1319">
        <f t="shared" ca="1" si="1251"/>
        <v>-5.2744776512157906E-4</v>
      </c>
      <c r="IT124" s="1319">
        <f t="shared" ca="1" si="1251"/>
        <v>-2.7039292885235676E-2</v>
      </c>
      <c r="IU124" s="1319">
        <f t="shared" ca="1" si="1251"/>
        <v>-2.5235678111944566E-2</v>
      </c>
      <c r="IV124" s="1319">
        <f t="shared" ca="1" si="1251"/>
        <v>-1.5461264039143321E-2</v>
      </c>
      <c r="IW124" s="1319">
        <f t="shared" ca="1" si="1251"/>
        <v>-1.2658746378201028E-2</v>
      </c>
      <c r="IX124" s="1319">
        <f t="shared" ca="1" si="1251"/>
        <v>-5.8170824833539826E-17</v>
      </c>
      <c r="IY124" s="1319">
        <f t="shared" ca="1" si="1251"/>
        <v>-1.8036147809326771E-3</v>
      </c>
      <c r="IZ124" s="1319">
        <f t="shared" ca="1" si="1251"/>
        <v>-2.2750699072830601E-3</v>
      </c>
      <c r="JA124" s="1319">
        <f t="shared" ca="1" si="1251"/>
        <v>-1.3186194128039477E-2</v>
      </c>
      <c r="JB124" s="1319">
        <f t="shared" ca="1" si="1252"/>
        <v>0</v>
      </c>
      <c r="JC124" s="1319">
        <f t="shared" ca="1" si="1252"/>
        <v>-2.2750699072830601E-3</v>
      </c>
      <c r="JD124" s="1319">
        <f t="shared" ca="1" si="1252"/>
        <v>0</v>
      </c>
      <c r="JE124" s="1319">
        <f t="shared" ca="1" si="1252"/>
        <v>-2.2750699072830601E-3</v>
      </c>
      <c r="JF124" s="1319">
        <f t="shared" ca="1" si="1252"/>
        <v>0</v>
      </c>
      <c r="JG124" s="1319">
        <f t="shared" ca="1" si="1252"/>
        <v>0</v>
      </c>
      <c r="JH124" s="1319">
        <f t="shared" ca="1" si="1252"/>
        <v>-1.3273433863330262E-15</v>
      </c>
      <c r="JQ124" s="1334"/>
      <c r="JT124" s="1319">
        <f t="shared" ca="1" si="1253"/>
        <v>0</v>
      </c>
      <c r="JU124" s="1319">
        <f t="shared" ca="1" si="1253"/>
        <v>0</v>
      </c>
      <c r="JV124" s="1319">
        <f t="shared" ca="1" si="1253"/>
        <v>0</v>
      </c>
      <c r="JW124" s="1319">
        <f t="shared" ca="1" si="1253"/>
        <v>0</v>
      </c>
      <c r="JX124" s="1319">
        <f t="shared" ca="1" si="1253"/>
        <v>0</v>
      </c>
      <c r="JY124" s="1319">
        <f t="shared" ca="1" si="1253"/>
        <v>0</v>
      </c>
      <c r="JZ124" s="1319">
        <f t="shared" ca="1" si="1253"/>
        <v>0</v>
      </c>
      <c r="KA124" s="1319">
        <f t="shared" ca="1" si="1253"/>
        <v>0</v>
      </c>
      <c r="KB124" s="1319">
        <f t="shared" ca="1" si="1253"/>
        <v>0</v>
      </c>
      <c r="KC124" s="1319">
        <f t="shared" ca="1" si="1253"/>
        <v>0</v>
      </c>
      <c r="KI124" s="1334"/>
      <c r="KL124" s="1319">
        <f t="shared" ca="1" si="1254"/>
        <v>0</v>
      </c>
      <c r="KM124" s="1319">
        <f t="shared" ca="1" si="1254"/>
        <v>0</v>
      </c>
      <c r="KN124" s="1319">
        <f t="shared" ca="1" si="1254"/>
        <v>0</v>
      </c>
      <c r="KO124" s="1319">
        <f t="shared" ca="1" si="1254"/>
        <v>0</v>
      </c>
      <c r="KP124" s="1319">
        <f t="shared" ca="1" si="1254"/>
        <v>0</v>
      </c>
      <c r="KQ124" s="1319">
        <f t="shared" ca="1" si="1254"/>
        <v>0</v>
      </c>
      <c r="KR124" s="1319">
        <f t="shared" ca="1" si="1254"/>
        <v>0</v>
      </c>
      <c r="KX124" s="1334"/>
      <c r="LA124" s="1319">
        <f t="shared" ca="1" si="1255"/>
        <v>-3.2132826187292925E-13</v>
      </c>
      <c r="LB124" s="1319">
        <f t="shared" ca="1" si="1255"/>
        <v>-8.16638492533383E-15</v>
      </c>
      <c r="LC124" s="1319">
        <f t="shared" ca="1" si="1255"/>
        <v>-3.2949464683647092E-13</v>
      </c>
      <c r="LD124" s="1319">
        <f t="shared" ca="1" si="1255"/>
        <v>-3.2949464683647092E-13</v>
      </c>
      <c r="LE124" s="1319">
        <f t="shared" ca="1" si="1255"/>
        <v>0</v>
      </c>
      <c r="LF124" s="1319">
        <f t="shared" ca="1" si="1255"/>
        <v>0</v>
      </c>
      <c r="LG124" s="1319">
        <f t="shared" ca="1" si="1255"/>
        <v>0</v>
      </c>
      <c r="LH124" s="1319">
        <f t="shared" ca="1" si="1255"/>
        <v>0</v>
      </c>
      <c r="LI124" s="1319">
        <f t="shared" ca="1" si="1255"/>
        <v>0</v>
      </c>
      <c r="LJ124" s="1319">
        <f t="shared" ca="1" si="1255"/>
        <v>0</v>
      </c>
      <c r="LK124" s="1319">
        <f t="shared" ca="1" si="1255"/>
        <v>0</v>
      </c>
      <c r="LT124" s="1334"/>
      <c r="LW124" s="1319">
        <f t="shared" ca="1" si="1256"/>
        <v>0</v>
      </c>
      <c r="LX124" s="1319">
        <f t="shared" ca="1" si="1256"/>
        <v>0</v>
      </c>
      <c r="LY124" s="1319">
        <f t="shared" ca="1" si="1256"/>
        <v>-0.16119475280134701</v>
      </c>
      <c r="LZ124" s="1319">
        <f t="shared" ca="1" si="1256"/>
        <v>-1.8036147809326771E-3</v>
      </c>
      <c r="MA124" s="1319">
        <f t="shared" ca="1" si="1256"/>
        <v>-0.16299836730718337</v>
      </c>
      <c r="MB124" s="1319">
        <f t="shared" ca="1" si="1256"/>
        <v>-3.2949464683647092E-13</v>
      </c>
      <c r="MC124" s="1319">
        <f t="shared" ca="1" si="1256"/>
        <v>0</v>
      </c>
      <c r="MD124" s="1319">
        <f t="shared" ca="1" si="1256"/>
        <v>0</v>
      </c>
      <c r="ME124" s="1319">
        <f t="shared" ca="1" si="1256"/>
        <v>0</v>
      </c>
      <c r="MF124" s="1319">
        <f t="shared" ca="1" si="1256"/>
        <v>0</v>
      </c>
      <c r="MG124" s="1319">
        <f t="shared" ca="1" si="1257"/>
        <v>0</v>
      </c>
      <c r="MH124" s="1319">
        <f t="shared" ca="1" si="1257"/>
        <v>0</v>
      </c>
      <c r="MI124" s="1319">
        <f t="shared" ca="1" si="1257"/>
        <v>0</v>
      </c>
      <c r="MJ124" s="1319">
        <f t="shared" ca="1" si="1257"/>
        <v>0</v>
      </c>
      <c r="MK124" s="1319">
        <f t="shared" ca="1" si="1257"/>
        <v>0</v>
      </c>
      <c r="ML124" s="1319">
        <f t="shared" ca="1" si="1257"/>
        <v>0</v>
      </c>
      <c r="MM124" s="1319">
        <f t="shared" ca="1" si="1257"/>
        <v>0</v>
      </c>
      <c r="MN124" s="1319">
        <f t="shared" ca="1" si="1257"/>
        <v>0</v>
      </c>
      <c r="MO124" s="1319">
        <f t="shared" ca="1" si="1257"/>
        <v>0</v>
      </c>
      <c r="MX124" s="1334"/>
      <c r="NA124" s="1319">
        <f t="shared" ca="1" si="1258"/>
        <v>-8.9937510326526728E-9</v>
      </c>
      <c r="NB124" s="1319">
        <f t="shared" ca="1" si="1258"/>
        <v>-6.6111437085883534E-16</v>
      </c>
      <c r="NC124" s="1319">
        <f t="shared" ca="1" si="1258"/>
        <v>-8.9937503449118251E-9</v>
      </c>
      <c r="ND124" s="1319">
        <f t="shared" ca="1" si="1258"/>
        <v>0</v>
      </c>
      <c r="NE124" s="1319">
        <f t="shared" ca="1" si="1258"/>
        <v>0</v>
      </c>
      <c r="NF124" s="1319">
        <f t="shared" ca="1" si="1258"/>
        <v>0</v>
      </c>
      <c r="NG124" s="1319">
        <f t="shared" ca="1" si="1258"/>
        <v>0</v>
      </c>
      <c r="NH124" s="1319">
        <f t="shared" ca="1" si="1258"/>
        <v>0</v>
      </c>
      <c r="NI124" s="1319">
        <f t="shared" ca="1" si="1258"/>
        <v>0</v>
      </c>
      <c r="NJ124" s="1319">
        <f t="shared" ca="1" si="1258"/>
        <v>0</v>
      </c>
      <c r="NK124" s="1319">
        <f t="shared" ca="1" si="1258"/>
        <v>0</v>
      </c>
      <c r="NL124" s="1319">
        <f t="shared" ca="1" si="1258"/>
        <v>0</v>
      </c>
      <c r="NM124" s="1319">
        <f t="shared" ca="1" si="1258"/>
        <v>0</v>
      </c>
      <c r="NN124" s="1319">
        <f t="shared" ca="1" si="1258"/>
        <v>0</v>
      </c>
      <c r="NO124" s="1319">
        <f t="shared" ca="1" si="1258"/>
        <v>0</v>
      </c>
      <c r="NP124" s="1319">
        <f t="shared" ca="1" si="1258"/>
        <v>0</v>
      </c>
      <c r="NY124" s="1334"/>
      <c r="OE124" s="1334"/>
      <c r="OH124" s="1319">
        <f t="shared" ca="1" si="1259"/>
        <v>0</v>
      </c>
      <c r="OI124" s="1319">
        <f t="shared" ca="1" si="1259"/>
        <v>0</v>
      </c>
      <c r="OJ124" s="1319">
        <f t="shared" ca="1" si="1259"/>
        <v>0</v>
      </c>
      <c r="OK124" s="1319">
        <f t="shared" ca="1" si="1259"/>
        <v>0</v>
      </c>
      <c r="OL124" s="1319">
        <f t="shared" ca="1" si="1259"/>
        <v>0</v>
      </c>
      <c r="OM124" s="1319">
        <f t="shared" ca="1" si="1259"/>
        <v>0</v>
      </c>
      <c r="ON124" s="1319">
        <f t="shared" ca="1" si="1259"/>
        <v>0</v>
      </c>
      <c r="OO124" s="1319">
        <f t="shared" ca="1" si="1259"/>
        <v>0</v>
      </c>
      <c r="OX124" s="1334"/>
      <c r="PA124" s="1319">
        <f t="shared" ca="1" si="1260"/>
        <v>0</v>
      </c>
      <c r="PB124" s="1319">
        <f t="shared" ca="1" si="1260"/>
        <v>0</v>
      </c>
      <c r="PC124" s="1319">
        <f t="shared" ca="1" si="1260"/>
        <v>0</v>
      </c>
      <c r="PD124" s="1319">
        <f t="shared" ca="1" si="1260"/>
        <v>0</v>
      </c>
      <c r="PE124" s="1319">
        <f t="shared" ca="1" si="1260"/>
        <v>0</v>
      </c>
      <c r="PF124" s="1319">
        <f t="shared" ca="1" si="1260"/>
        <v>0</v>
      </c>
      <c r="PG124" s="1319">
        <f t="shared" ca="1" si="1260"/>
        <v>0</v>
      </c>
      <c r="PH124" s="1319">
        <f t="shared" ca="1" si="1260"/>
        <v>0</v>
      </c>
      <c r="PI124" s="1319">
        <f t="shared" ca="1" si="1260"/>
        <v>0</v>
      </c>
      <c r="PJ124" s="1319">
        <f t="shared" ca="1" si="1260"/>
        <v>0</v>
      </c>
      <c r="PK124" s="1319">
        <f t="shared" ca="1" si="1260"/>
        <v>0</v>
      </c>
      <c r="PT124" s="1334"/>
      <c r="PW124" s="1319">
        <f t="shared" ca="1" si="1261"/>
        <v>0</v>
      </c>
      <c r="PX124" s="1319">
        <f t="shared" ca="1" si="1261"/>
        <v>0</v>
      </c>
      <c r="PY124" s="1319">
        <f t="shared" ca="1" si="1261"/>
        <v>0</v>
      </c>
      <c r="PZ124" s="1319">
        <f t="shared" ca="1" si="1261"/>
        <v>0</v>
      </c>
    </row>
    <row r="125" spans="1:442" x14ac:dyDescent="0.25">
      <c r="A125" s="189">
        <v>14</v>
      </c>
      <c r="B125" s="189" t="s">
        <v>1256</v>
      </c>
      <c r="C125" s="1317" t="s">
        <v>1278</v>
      </c>
      <c r="D125" s="1317" t="s">
        <v>206</v>
      </c>
      <c r="E125" s="1318">
        <v>162.14239999999998</v>
      </c>
      <c r="F125" s="1316">
        <v>-0.61951084092999997</v>
      </c>
      <c r="G125" s="1334"/>
      <c r="J125" s="1319">
        <f t="shared" ca="1" si="1239"/>
        <v>0</v>
      </c>
      <c r="K125" s="1319">
        <f t="shared" ca="1" si="1239"/>
        <v>0</v>
      </c>
      <c r="Q125" s="1334"/>
      <c r="T125" s="1319">
        <f t="shared" ref="T125:AD134" ca="1" si="1262">VLOOKUP(T$1,INDIRECT(LU_MAT),$A125,FALSE)*$F125/$E125</f>
        <v>0</v>
      </c>
      <c r="U125" s="1319">
        <f t="shared" ca="1" si="1262"/>
        <v>0</v>
      </c>
      <c r="V125" s="1319">
        <f t="shared" ca="1" si="1262"/>
        <v>-8.3157886387173128E-10</v>
      </c>
      <c r="W125" s="1319">
        <f t="shared" ca="1" si="1262"/>
        <v>0</v>
      </c>
      <c r="X125" s="1319">
        <f t="shared" ca="1" si="1262"/>
        <v>0</v>
      </c>
      <c r="Y125" s="1319">
        <f t="shared" ca="1" si="1262"/>
        <v>-0.10926146158159115</v>
      </c>
      <c r="Z125" s="1319">
        <f t="shared" ca="1" si="1262"/>
        <v>-2.9354779568305858E-9</v>
      </c>
      <c r="AA125" s="1319">
        <f t="shared" ca="1" si="1262"/>
        <v>-0.10926145852496517</v>
      </c>
      <c r="AB125" s="1319">
        <f t="shared" ca="1" si="1262"/>
        <v>0</v>
      </c>
      <c r="AC125" s="1319">
        <f t="shared" ca="1" si="1262"/>
        <v>-8.3157886387173128E-10</v>
      </c>
      <c r="AD125" s="1319">
        <f t="shared" ca="1" si="1262"/>
        <v>0</v>
      </c>
      <c r="AJ125" s="1334"/>
      <c r="AM125" s="1319">
        <f t="shared" ref="AM125:BB134" ca="1" si="1263">VLOOKUP(AM$1,INDIRECT(LU_MAT),$A125,FALSE)*$F125/$E125</f>
        <v>0</v>
      </c>
      <c r="AN125" s="1319">
        <f t="shared" ca="1" si="1263"/>
        <v>0</v>
      </c>
      <c r="AO125" s="1319">
        <f t="shared" ca="1" si="1263"/>
        <v>-0.10926145852496517</v>
      </c>
      <c r="AP125" s="1319">
        <f t="shared" ca="1" si="1263"/>
        <v>-0.10926145852496517</v>
      </c>
      <c r="AQ125" s="1319">
        <f t="shared" ca="1" si="1263"/>
        <v>-1.5472329330863442E-10</v>
      </c>
      <c r="AR125" s="1319">
        <f t="shared" ca="1" si="1263"/>
        <v>-2.1578167564647972E-16</v>
      </c>
      <c r="AS125" s="1319">
        <f t="shared" ca="1" si="1263"/>
        <v>-2.935477739045985E-9</v>
      </c>
      <c r="AT125" s="1319">
        <f t="shared" ca="1" si="1263"/>
        <v>-2.337802635593149E-18</v>
      </c>
      <c r="AU125" s="1319">
        <f t="shared" ca="1" si="1263"/>
        <v>-1.5472350689037497E-10</v>
      </c>
      <c r="AV125" s="1319">
        <f t="shared" ca="1" si="1263"/>
        <v>-0.10926145852496517</v>
      </c>
      <c r="AW125" s="1319">
        <f t="shared" ca="1" si="1263"/>
        <v>-2.337802635593149E-18</v>
      </c>
      <c r="AX125" s="1319">
        <f t="shared" ca="1" si="1263"/>
        <v>-3.0902012501392202E-9</v>
      </c>
      <c r="AY125" s="1319">
        <f t="shared" ca="1" si="1263"/>
        <v>0</v>
      </c>
      <c r="AZ125" s="1319">
        <f t="shared" ca="1" si="1263"/>
        <v>0</v>
      </c>
      <c r="BA125" s="1319">
        <f t="shared" ca="1" si="1263"/>
        <v>0</v>
      </c>
      <c r="BB125" s="1319">
        <f t="shared" ca="1" si="1263"/>
        <v>-0.10926145852496517</v>
      </c>
      <c r="BK125" s="1334"/>
      <c r="BN125" s="1319">
        <f t="shared" ref="BN125:BR134" ca="1" si="1264">VLOOKUP(BN$1,INDIRECT(LU_MAT),$A125,FALSE)*$F125/$E125</f>
        <v>-1.0926145852496516E-2</v>
      </c>
      <c r="BO125" s="1319">
        <f t="shared" ca="1" si="1264"/>
        <v>-1.0926145852496516E-2</v>
      </c>
      <c r="BP125" s="1319">
        <f t="shared" ca="1" si="1264"/>
        <v>-6.6728694429307751E-17</v>
      </c>
      <c r="BQ125" s="1319">
        <f t="shared" ca="1" si="1264"/>
        <v>0</v>
      </c>
      <c r="BR125" s="1319">
        <f t="shared" ca="1" si="1264"/>
        <v>0</v>
      </c>
      <c r="CA125" s="1334"/>
      <c r="CD125" s="1319">
        <f t="shared" ref="CD125:CO134" ca="1" si="1265">VLOOKUP(CD$1,INDIRECT(LU_MAT),$A125,FALSE)*$F125/$E125</f>
        <v>-0.10926145852496517</v>
      </c>
      <c r="CE125" s="1319">
        <f t="shared" ca="1" si="1265"/>
        <v>-0.10926145852496517</v>
      </c>
      <c r="CF125" s="1319">
        <f t="shared" ca="1" si="1265"/>
        <v>-1.0926145852496516E-2</v>
      </c>
      <c r="CG125" s="1319">
        <f t="shared" ca="1" si="1265"/>
        <v>-1.0926145852496516E-2</v>
      </c>
      <c r="CH125" s="1319">
        <f t="shared" ca="1" si="1265"/>
        <v>-0.10926145852496517</v>
      </c>
      <c r="CI125" s="1319">
        <f t="shared" ca="1" si="1265"/>
        <v>0</v>
      </c>
      <c r="CJ125" s="1319">
        <f t="shared" ca="1" si="1265"/>
        <v>0</v>
      </c>
      <c r="CK125" s="1319">
        <f t="shared" ca="1" si="1265"/>
        <v>-0.10926145852496517</v>
      </c>
      <c r="CL125" s="1319">
        <f t="shared" ca="1" si="1265"/>
        <v>-6.4679195377463529E-16</v>
      </c>
      <c r="CM125" s="1319">
        <f t="shared" ca="1" si="1265"/>
        <v>0</v>
      </c>
      <c r="CN125" s="1319">
        <f t="shared" ca="1" si="1265"/>
        <v>-0.10926145852496517</v>
      </c>
      <c r="CO125" s="1319">
        <f t="shared" ca="1" si="1265"/>
        <v>0</v>
      </c>
      <c r="CX125" s="1334"/>
      <c r="DA125" s="1319">
        <f t="shared" ref="DA125:DJ134" ca="1" si="1266">VLOOKUP(DA$1,INDIRECT(LU_MAT),$A125,FALSE)*$F125/$E125</f>
        <v>0</v>
      </c>
      <c r="DB125" s="1319">
        <f t="shared" ca="1" si="1266"/>
        <v>0</v>
      </c>
      <c r="DC125" s="1319">
        <f t="shared" ca="1" si="1266"/>
        <v>0</v>
      </c>
      <c r="DD125" s="1319">
        <f t="shared" ca="1" si="1266"/>
        <v>0</v>
      </c>
      <c r="DE125" s="1319">
        <f t="shared" ca="1" si="1266"/>
        <v>0</v>
      </c>
      <c r="DF125" s="1319">
        <f t="shared" ca="1" si="1266"/>
        <v>0</v>
      </c>
      <c r="DG125" s="1319">
        <f t="shared" ca="1" si="1266"/>
        <v>0</v>
      </c>
      <c r="DH125" s="1319">
        <f t="shared" ca="1" si="1266"/>
        <v>0</v>
      </c>
      <c r="DI125" s="1319">
        <f t="shared" ca="1" si="1266"/>
        <v>0</v>
      </c>
      <c r="DJ125" s="1319">
        <f t="shared" ca="1" si="1266"/>
        <v>0</v>
      </c>
      <c r="DS125" s="1334"/>
      <c r="DV125" s="1319">
        <f t="shared" ref="DV125:EK134" ca="1" si="1267">VLOOKUP(DV$1,INDIRECT(LU_MAT),$A125,FALSE)*$F125/$E125</f>
        <v>0</v>
      </c>
      <c r="DW125" s="1319">
        <f t="shared" ca="1" si="1267"/>
        <v>0</v>
      </c>
      <c r="DX125" s="1319">
        <f t="shared" ca="1" si="1267"/>
        <v>0</v>
      </c>
      <c r="DY125" s="1319">
        <f t="shared" ca="1" si="1267"/>
        <v>0</v>
      </c>
      <c r="DZ125" s="1319">
        <f t="shared" ca="1" si="1267"/>
        <v>0</v>
      </c>
      <c r="EA125" s="1319">
        <f t="shared" ca="1" si="1267"/>
        <v>0</v>
      </c>
      <c r="EB125" s="1319">
        <f t="shared" ca="1" si="1267"/>
        <v>0</v>
      </c>
      <c r="EC125" s="1319">
        <f t="shared" ca="1" si="1267"/>
        <v>0</v>
      </c>
      <c r="ED125" s="1319">
        <f t="shared" ca="1" si="1267"/>
        <v>0</v>
      </c>
      <c r="EE125" s="1319">
        <f t="shared" ca="1" si="1267"/>
        <v>0</v>
      </c>
      <c r="EF125" s="1319">
        <f t="shared" ca="1" si="1267"/>
        <v>0</v>
      </c>
      <c r="EG125" s="1319">
        <f t="shared" ca="1" si="1267"/>
        <v>0</v>
      </c>
      <c r="EH125" s="1319">
        <f t="shared" ca="1" si="1267"/>
        <v>0</v>
      </c>
      <c r="EI125" s="1319">
        <f t="shared" ca="1" si="1267"/>
        <v>0</v>
      </c>
      <c r="EJ125" s="1319">
        <f t="shared" ca="1" si="1267"/>
        <v>0</v>
      </c>
      <c r="EK125" s="1319">
        <f t="shared" ca="1" si="1267"/>
        <v>0</v>
      </c>
      <c r="ET125" s="1334"/>
      <c r="EW125" s="1319">
        <f t="shared" ref="EW125:FB134" ca="1" si="1268">VLOOKUP(EW$1,INDIRECT(LU_MAT),$A125,FALSE)*$F125/$E125</f>
        <v>-0.10926145852496517</v>
      </c>
      <c r="EX125" s="1319">
        <f t="shared" ca="1" si="1268"/>
        <v>-0.10926145852496517</v>
      </c>
      <c r="EY125" s="1319">
        <f t="shared" ca="1" si="1268"/>
        <v>-0.10926145776080869</v>
      </c>
      <c r="EZ125" s="1319">
        <f t="shared" ca="1" si="1268"/>
        <v>-0.10926145776080869</v>
      </c>
      <c r="FA125" s="1319">
        <f t="shared" ca="1" si="1268"/>
        <v>-4.8718558201431513E-23</v>
      </c>
      <c r="FB125" s="1319">
        <f t="shared" ca="1" si="1268"/>
        <v>-8.3157886005094877E-10</v>
      </c>
      <c r="FK125" s="1334"/>
      <c r="FN125" s="1319">
        <f t="shared" ref="FN125:FX134" ca="1" si="1269">VLOOKUP(FN$1,INDIRECT(LU_MAT),$A125,FALSE)*$F125/$E125</f>
        <v>-6.6728694429307751E-17</v>
      </c>
      <c r="FO125" s="1319">
        <f t="shared" ca="1" si="1269"/>
        <v>-6.4679195377463529E-16</v>
      </c>
      <c r="FP125" s="1319">
        <f t="shared" ca="1" si="1269"/>
        <v>-4.8718558201431513E-23</v>
      </c>
      <c r="FQ125" s="1319">
        <f t="shared" ca="1" si="1269"/>
        <v>-8.3157886005094877E-10</v>
      </c>
      <c r="FR125" s="1319">
        <f t="shared" ca="1" si="1269"/>
        <v>0</v>
      </c>
      <c r="FS125" s="1319">
        <f t="shared" ca="1" si="1269"/>
        <v>-8.3157886387173128E-10</v>
      </c>
      <c r="FT125" s="1319">
        <f t="shared" ca="1" si="1269"/>
        <v>0</v>
      </c>
      <c r="FU125" s="1319">
        <f t="shared" ca="1" si="1269"/>
        <v>-7.1352069710995885E-16</v>
      </c>
      <c r="FV125" s="1319">
        <f t="shared" ca="1" si="1269"/>
        <v>0</v>
      </c>
      <c r="FW125" s="1319">
        <f t="shared" ca="1" si="1269"/>
        <v>0</v>
      </c>
      <c r="FX125" s="1319">
        <f t="shared" ca="1" si="1269"/>
        <v>0</v>
      </c>
      <c r="GG125" s="1334"/>
      <c r="GJ125" s="1319">
        <f t="shared" ref="GJ125:GQ134" ca="1" si="1270">VLOOKUP(GJ$1,INDIRECT(LU_MAT),$A125,FALSE)*$F125/$E125</f>
        <v>0</v>
      </c>
      <c r="GK125" s="1319">
        <f t="shared" ca="1" si="1270"/>
        <v>0</v>
      </c>
      <c r="GL125" s="1319">
        <f t="shared" ca="1" si="1270"/>
        <v>0</v>
      </c>
      <c r="GM125" s="1319">
        <f t="shared" ca="1" si="1270"/>
        <v>0</v>
      </c>
      <c r="GN125" s="1319">
        <f t="shared" ca="1" si="1270"/>
        <v>0</v>
      </c>
      <c r="GO125" s="1319">
        <f t="shared" ca="1" si="1270"/>
        <v>0</v>
      </c>
      <c r="GP125" s="1319">
        <f t="shared" ca="1" si="1270"/>
        <v>0</v>
      </c>
      <c r="GQ125" s="1319">
        <f t="shared" ca="1" si="1270"/>
        <v>0</v>
      </c>
      <c r="GZ125" s="1334"/>
      <c r="HC125" s="1319">
        <f t="shared" ref="HC125:HH134" ca="1" si="1271">VLOOKUP(HC$1,INDIRECT(LU_MAT),$A125,FALSE)*$F125/$E125</f>
        <v>-0.10926145776080869</v>
      </c>
      <c r="HD125" s="1319">
        <f t="shared" ca="1" si="1271"/>
        <v>-0.10519348135421906</v>
      </c>
      <c r="HE125" s="1319">
        <f t="shared" ca="1" si="1271"/>
        <v>0</v>
      </c>
      <c r="HF125" s="1319">
        <f t="shared" ca="1" si="1271"/>
        <v>-8.1091707327341073E-15</v>
      </c>
      <c r="HG125" s="1319">
        <f t="shared" ca="1" si="1271"/>
        <v>-4.067976368381793E-3</v>
      </c>
      <c r="HH125" s="1319">
        <f t="shared" ca="1" si="1271"/>
        <v>-0.10519348135421906</v>
      </c>
      <c r="HQ125" s="1334"/>
      <c r="HT125" s="1319">
        <f t="shared" ref="HT125:IE134" ca="1" si="1272">VLOOKUP(HT$1,INDIRECT(LU_MAT),$A125,FALSE)*$F125/$E125</f>
        <v>-3.0902012501392202E-9</v>
      </c>
      <c r="HU125" s="1319">
        <f t="shared" ca="1" si="1272"/>
        <v>-0.10519348135421906</v>
      </c>
      <c r="HV125" s="1319">
        <f t="shared" ca="1" si="1272"/>
        <v>-0.10519348441084504</v>
      </c>
      <c r="HW125" s="1319">
        <f t="shared" ca="1" si="1272"/>
        <v>-0.10519348441084504</v>
      </c>
      <c r="HX125" s="1319">
        <f t="shared" ca="1" si="1272"/>
        <v>-8.7983498742070336E-3</v>
      </c>
      <c r="HY125" s="1319">
        <f t="shared" ca="1" si="1272"/>
        <v>-6.6906372658980266E-4</v>
      </c>
      <c r="HZ125" s="1319">
        <f t="shared" ca="1" si="1272"/>
        <v>-2.060902177151092E-16</v>
      </c>
      <c r="IA125" s="1319">
        <f t="shared" ca="1" si="1272"/>
        <v>-3.3497378569454704E-17</v>
      </c>
      <c r="IB125" s="1319">
        <f t="shared" ca="1" si="1272"/>
        <v>0</v>
      </c>
      <c r="IC125" s="1319">
        <f t="shared" ca="1" si="1272"/>
        <v>0</v>
      </c>
      <c r="ID125" s="1319">
        <f t="shared" ca="1" si="1272"/>
        <v>0</v>
      </c>
      <c r="IE125" s="1319">
        <f t="shared" ca="1" si="1272"/>
        <v>0</v>
      </c>
      <c r="IN125" s="1334"/>
      <c r="IQ125" s="1319">
        <f t="shared" ref="IQ125:JA134" ca="1" si="1273">VLOOKUP(IQ$1,INDIRECT(LU_MAT),$A125,FALSE)*$F125/$E125</f>
        <v>-8.7983498742070336E-3</v>
      </c>
      <c r="IR125" s="1319">
        <f t="shared" ca="1" si="1273"/>
        <v>-6.6906372658980266E-4</v>
      </c>
      <c r="IS125" s="1319">
        <f t="shared" ca="1" si="1273"/>
        <v>-1.3310886777912441E-5</v>
      </c>
      <c r="IT125" s="1319">
        <f t="shared" ca="1" si="1273"/>
        <v>-6.8237461443753419E-4</v>
      </c>
      <c r="IU125" s="1319">
        <f t="shared" ca="1" si="1273"/>
        <v>-6.3685785819820695E-4</v>
      </c>
      <c r="IV125" s="1319">
        <f t="shared" ca="1" si="1273"/>
        <v>-3.901867620885258E-4</v>
      </c>
      <c r="IW125" s="1319">
        <f t="shared" ca="1" si="1273"/>
        <v>-3.1946128236423594E-4</v>
      </c>
      <c r="IX125" s="1319">
        <f t="shared" ca="1" si="1273"/>
        <v>-1.4680226409480561E-18</v>
      </c>
      <c r="IY125" s="1319">
        <f t="shared" ca="1" si="1273"/>
        <v>-4.5516757767640122E-5</v>
      </c>
      <c r="IZ125" s="1319">
        <f t="shared" ca="1" si="1273"/>
        <v>-5.741459149448006E-5</v>
      </c>
      <c r="JA125" s="1319">
        <f t="shared" ca="1" si="1273"/>
        <v>-3.3277216906573272E-4</v>
      </c>
      <c r="JB125" s="1319">
        <f t="shared" ref="JB125:JH134" ca="1" si="1274">VLOOKUP(JB$1,INDIRECT(LU_MAT),$A125,FALSE)*$F125/$E125</f>
        <v>0</v>
      </c>
      <c r="JC125" s="1319">
        <f t="shared" ca="1" si="1274"/>
        <v>-5.741459149448006E-5</v>
      </c>
      <c r="JD125" s="1319">
        <f t="shared" ca="1" si="1274"/>
        <v>0</v>
      </c>
      <c r="JE125" s="1319">
        <f t="shared" ca="1" si="1274"/>
        <v>-5.741459149448006E-5</v>
      </c>
      <c r="JF125" s="1319">
        <f t="shared" ca="1" si="1274"/>
        <v>0</v>
      </c>
      <c r="JG125" s="1319">
        <f t="shared" ca="1" si="1274"/>
        <v>0</v>
      </c>
      <c r="JH125" s="1319">
        <f t="shared" ca="1" si="1274"/>
        <v>-3.3497378569454704E-17</v>
      </c>
      <c r="JQ125" s="1334"/>
      <c r="JT125" s="1319">
        <f t="shared" ref="JT125:KC134" ca="1" si="1275">VLOOKUP(JT$1,INDIRECT(LU_MAT),$A125,FALSE)*$F125/$E125</f>
        <v>0</v>
      </c>
      <c r="JU125" s="1319">
        <f t="shared" ca="1" si="1275"/>
        <v>0</v>
      </c>
      <c r="JV125" s="1319">
        <f t="shared" ca="1" si="1275"/>
        <v>0</v>
      </c>
      <c r="JW125" s="1319">
        <f t="shared" ca="1" si="1275"/>
        <v>0</v>
      </c>
      <c r="JX125" s="1319">
        <f t="shared" ca="1" si="1275"/>
        <v>0</v>
      </c>
      <c r="JY125" s="1319">
        <f t="shared" ca="1" si="1275"/>
        <v>0</v>
      </c>
      <c r="JZ125" s="1319">
        <f t="shared" ca="1" si="1275"/>
        <v>0</v>
      </c>
      <c r="KA125" s="1319">
        <f t="shared" ca="1" si="1275"/>
        <v>0</v>
      </c>
      <c r="KB125" s="1319">
        <f t="shared" ca="1" si="1275"/>
        <v>0</v>
      </c>
      <c r="KC125" s="1319">
        <f t="shared" ca="1" si="1275"/>
        <v>0</v>
      </c>
      <c r="KI125" s="1334"/>
      <c r="KL125" s="1319">
        <f t="shared" ref="KL125:KR134" ca="1" si="1276">VLOOKUP(KL$1,INDIRECT(LU_MAT),$A125,FALSE)*$F125/$E125</f>
        <v>0</v>
      </c>
      <c r="KM125" s="1319">
        <f t="shared" ca="1" si="1276"/>
        <v>0</v>
      </c>
      <c r="KN125" s="1319">
        <f t="shared" ca="1" si="1276"/>
        <v>0</v>
      </c>
      <c r="KO125" s="1319">
        <f t="shared" ca="1" si="1276"/>
        <v>0</v>
      </c>
      <c r="KP125" s="1319">
        <f t="shared" ca="1" si="1276"/>
        <v>0</v>
      </c>
      <c r="KQ125" s="1319">
        <f t="shared" ca="1" si="1276"/>
        <v>0</v>
      </c>
      <c r="KR125" s="1319">
        <f t="shared" ca="1" si="1276"/>
        <v>0</v>
      </c>
      <c r="KX125" s="1334"/>
      <c r="LA125" s="1319">
        <f t="shared" ref="LA125:LK134" ca="1" si="1277">VLOOKUP(LA$1,INDIRECT(LU_MAT),$A125,FALSE)*$F125/$E125</f>
        <v>-8.1091707327341073E-15</v>
      </c>
      <c r="LB125" s="1319">
        <f t="shared" ca="1" si="1277"/>
        <v>-2.060902177151092E-16</v>
      </c>
      <c r="LC125" s="1319">
        <f t="shared" ca="1" si="1277"/>
        <v>-8.3152609504492176E-15</v>
      </c>
      <c r="LD125" s="1319">
        <f t="shared" ca="1" si="1277"/>
        <v>-8.3152609504492176E-15</v>
      </c>
      <c r="LE125" s="1319">
        <f t="shared" ca="1" si="1277"/>
        <v>0</v>
      </c>
      <c r="LF125" s="1319">
        <f t="shared" ca="1" si="1277"/>
        <v>0</v>
      </c>
      <c r="LG125" s="1319">
        <f t="shared" ca="1" si="1277"/>
        <v>0</v>
      </c>
      <c r="LH125" s="1319">
        <f t="shared" ca="1" si="1277"/>
        <v>0</v>
      </c>
      <c r="LI125" s="1319">
        <f t="shared" ca="1" si="1277"/>
        <v>0</v>
      </c>
      <c r="LJ125" s="1319">
        <f t="shared" ca="1" si="1277"/>
        <v>0</v>
      </c>
      <c r="LK125" s="1319">
        <f t="shared" ca="1" si="1277"/>
        <v>0</v>
      </c>
      <c r="LT125" s="1334"/>
      <c r="LW125" s="1319">
        <f t="shared" ref="LW125:MF134" ca="1" si="1278">VLOOKUP(LW$1,INDIRECT(LU_MAT),$A125,FALSE)*$F125/$E125</f>
        <v>0</v>
      </c>
      <c r="LX125" s="1319">
        <f t="shared" ca="1" si="1278"/>
        <v>0</v>
      </c>
      <c r="LY125" s="1319">
        <f t="shared" ca="1" si="1278"/>
        <v>-4.067976368381793E-3</v>
      </c>
      <c r="LZ125" s="1319">
        <f t="shared" ca="1" si="1278"/>
        <v>-4.5516757767640122E-5</v>
      </c>
      <c r="MA125" s="1319">
        <f t="shared" ca="1" si="1278"/>
        <v>-4.1134931208003369E-3</v>
      </c>
      <c r="MB125" s="1319">
        <f t="shared" ca="1" si="1278"/>
        <v>-8.3152609504492176E-15</v>
      </c>
      <c r="MC125" s="1319">
        <f t="shared" ca="1" si="1278"/>
        <v>0</v>
      </c>
      <c r="MD125" s="1319">
        <f t="shared" ca="1" si="1278"/>
        <v>0</v>
      </c>
      <c r="ME125" s="1319">
        <f t="shared" ca="1" si="1278"/>
        <v>0</v>
      </c>
      <c r="MF125" s="1319">
        <f t="shared" ca="1" si="1278"/>
        <v>0</v>
      </c>
      <c r="MG125" s="1319">
        <f t="shared" ref="MG125:MO134" ca="1" si="1279">VLOOKUP(MG$1,INDIRECT(LU_MAT),$A125,FALSE)*$F125/$E125</f>
        <v>0</v>
      </c>
      <c r="MH125" s="1319">
        <f t="shared" ca="1" si="1279"/>
        <v>0</v>
      </c>
      <c r="MI125" s="1319">
        <f t="shared" ca="1" si="1279"/>
        <v>0</v>
      </c>
      <c r="MJ125" s="1319">
        <f t="shared" ca="1" si="1279"/>
        <v>0</v>
      </c>
      <c r="MK125" s="1319">
        <f t="shared" ca="1" si="1279"/>
        <v>0</v>
      </c>
      <c r="ML125" s="1319">
        <f t="shared" ca="1" si="1279"/>
        <v>0</v>
      </c>
      <c r="MM125" s="1319">
        <f t="shared" ca="1" si="1279"/>
        <v>0</v>
      </c>
      <c r="MN125" s="1319">
        <f t="shared" ca="1" si="1279"/>
        <v>0</v>
      </c>
      <c r="MO125" s="1319">
        <f t="shared" ca="1" si="1279"/>
        <v>0</v>
      </c>
      <c r="MX125" s="1334"/>
      <c r="NA125" s="1319">
        <f t="shared" ref="NA125:NP134" ca="1" si="1280">VLOOKUP(NA$1,INDIRECT(LU_MAT),$A125,FALSE)*$F125/$E125</f>
        <v>-2.9354779568305858E-9</v>
      </c>
      <c r="NB125" s="1319">
        <f t="shared" ca="1" si="1280"/>
        <v>-2.1578167564647972E-16</v>
      </c>
      <c r="NC125" s="1319">
        <f t="shared" ca="1" si="1280"/>
        <v>-2.935477739045985E-9</v>
      </c>
      <c r="ND125" s="1319">
        <f t="shared" ca="1" si="1280"/>
        <v>0</v>
      </c>
      <c r="NE125" s="1319">
        <f t="shared" ca="1" si="1280"/>
        <v>0</v>
      </c>
      <c r="NF125" s="1319">
        <f t="shared" ca="1" si="1280"/>
        <v>0</v>
      </c>
      <c r="NG125" s="1319">
        <f t="shared" ca="1" si="1280"/>
        <v>0</v>
      </c>
      <c r="NH125" s="1319">
        <f t="shared" ca="1" si="1280"/>
        <v>0</v>
      </c>
      <c r="NI125" s="1319">
        <f t="shared" ca="1" si="1280"/>
        <v>0</v>
      </c>
      <c r="NJ125" s="1319">
        <f t="shared" ca="1" si="1280"/>
        <v>0</v>
      </c>
      <c r="NK125" s="1319">
        <f t="shared" ca="1" si="1280"/>
        <v>0</v>
      </c>
      <c r="NL125" s="1319">
        <f t="shared" ca="1" si="1280"/>
        <v>0</v>
      </c>
      <c r="NM125" s="1319">
        <f t="shared" ca="1" si="1280"/>
        <v>0</v>
      </c>
      <c r="NN125" s="1319">
        <f t="shared" ca="1" si="1280"/>
        <v>0</v>
      </c>
      <c r="NO125" s="1319">
        <f t="shared" ca="1" si="1280"/>
        <v>0</v>
      </c>
      <c r="NP125" s="1319">
        <f t="shared" ca="1" si="1280"/>
        <v>0</v>
      </c>
      <c r="NY125" s="1334"/>
      <c r="OE125" s="1334"/>
      <c r="OH125" s="1319">
        <f t="shared" ref="OH125:OO134" ca="1" si="1281">VLOOKUP(OH$1,INDIRECT(LU_MAT),$A125,FALSE)*$F125/$E125</f>
        <v>0</v>
      </c>
      <c r="OI125" s="1319">
        <f t="shared" ca="1" si="1281"/>
        <v>0</v>
      </c>
      <c r="OJ125" s="1319">
        <f t="shared" ca="1" si="1281"/>
        <v>0</v>
      </c>
      <c r="OK125" s="1319">
        <f t="shared" ca="1" si="1281"/>
        <v>0</v>
      </c>
      <c r="OL125" s="1319">
        <f t="shared" ca="1" si="1281"/>
        <v>0</v>
      </c>
      <c r="OM125" s="1319">
        <f t="shared" ca="1" si="1281"/>
        <v>0</v>
      </c>
      <c r="ON125" s="1319">
        <f t="shared" ca="1" si="1281"/>
        <v>0</v>
      </c>
      <c r="OO125" s="1319">
        <f t="shared" ca="1" si="1281"/>
        <v>0</v>
      </c>
      <c r="OX125" s="1334"/>
      <c r="PA125" s="1319">
        <f t="shared" ref="PA125:PK134" ca="1" si="1282">VLOOKUP(PA$1,INDIRECT(LU_MAT),$A125,FALSE)*$F125/$E125</f>
        <v>0</v>
      </c>
      <c r="PB125" s="1319">
        <f t="shared" ca="1" si="1282"/>
        <v>0</v>
      </c>
      <c r="PC125" s="1319">
        <f t="shared" ca="1" si="1282"/>
        <v>0</v>
      </c>
      <c r="PD125" s="1319">
        <f t="shared" ca="1" si="1282"/>
        <v>0</v>
      </c>
      <c r="PE125" s="1319">
        <f t="shared" ca="1" si="1282"/>
        <v>0</v>
      </c>
      <c r="PF125" s="1319">
        <f t="shared" ca="1" si="1282"/>
        <v>0</v>
      </c>
      <c r="PG125" s="1319">
        <f t="shared" ca="1" si="1282"/>
        <v>0</v>
      </c>
      <c r="PH125" s="1319">
        <f t="shared" ca="1" si="1282"/>
        <v>0</v>
      </c>
      <c r="PI125" s="1319">
        <f t="shared" ca="1" si="1282"/>
        <v>0</v>
      </c>
      <c r="PJ125" s="1319">
        <f t="shared" ca="1" si="1282"/>
        <v>0</v>
      </c>
      <c r="PK125" s="1319">
        <f t="shared" ca="1" si="1282"/>
        <v>0</v>
      </c>
      <c r="PT125" s="1334"/>
      <c r="PW125" s="1319">
        <f t="shared" ca="1" si="1261"/>
        <v>0</v>
      </c>
      <c r="PX125" s="1319">
        <f t="shared" ca="1" si="1261"/>
        <v>0</v>
      </c>
      <c r="PY125" s="1319">
        <f t="shared" ca="1" si="1261"/>
        <v>0</v>
      </c>
      <c r="PZ125" s="1319">
        <f t="shared" ca="1" si="1261"/>
        <v>0</v>
      </c>
    </row>
    <row r="126" spans="1:442" x14ac:dyDescent="0.25">
      <c r="A126" s="189">
        <v>15</v>
      </c>
      <c r="B126" s="189" t="s">
        <v>1256</v>
      </c>
      <c r="C126" s="1317" t="s">
        <v>1277</v>
      </c>
      <c r="D126" s="1317" t="s">
        <v>206</v>
      </c>
      <c r="E126" s="1318">
        <v>162.14239999999998</v>
      </c>
      <c r="F126" s="1316">
        <v>-0.61951084092999997</v>
      </c>
      <c r="G126" s="1334"/>
      <c r="J126" s="1319">
        <f t="shared" ca="1" si="1239"/>
        <v>0</v>
      </c>
      <c r="K126" s="1319">
        <f t="shared" ca="1" si="1239"/>
        <v>0</v>
      </c>
      <c r="Q126" s="1334"/>
      <c r="T126" s="1319">
        <f t="shared" ca="1" si="1262"/>
        <v>0</v>
      </c>
      <c r="U126" s="1319">
        <f t="shared" ca="1" si="1262"/>
        <v>0</v>
      </c>
      <c r="V126" s="1319">
        <f t="shared" ca="1" si="1262"/>
        <v>-3.4891420858811899E-10</v>
      </c>
      <c r="W126" s="1319">
        <f t="shared" ca="1" si="1262"/>
        <v>0</v>
      </c>
      <c r="X126" s="1319">
        <f t="shared" ca="1" si="1262"/>
        <v>0</v>
      </c>
      <c r="Y126" s="1319">
        <f t="shared" ca="1" si="1262"/>
        <v>-4.5843969961170808E-2</v>
      </c>
      <c r="Z126" s="1319">
        <f t="shared" ca="1" si="1262"/>
        <v>-1.2316690712196432E-9</v>
      </c>
      <c r="AA126" s="1319">
        <f t="shared" ca="1" si="1262"/>
        <v>-4.5843968814936062E-2</v>
      </c>
      <c r="AB126" s="1319">
        <f t="shared" ca="1" si="1262"/>
        <v>0</v>
      </c>
      <c r="AC126" s="1319">
        <f t="shared" ca="1" si="1262"/>
        <v>-3.4891420858811899E-10</v>
      </c>
      <c r="AD126" s="1319">
        <f t="shared" ca="1" si="1262"/>
        <v>0</v>
      </c>
      <c r="AJ126" s="1334"/>
      <c r="AM126" s="1319">
        <f t="shared" ca="1" si="1263"/>
        <v>0</v>
      </c>
      <c r="AN126" s="1319">
        <f t="shared" ca="1" si="1263"/>
        <v>0</v>
      </c>
      <c r="AO126" s="1319">
        <f t="shared" ca="1" si="1263"/>
        <v>-4.5843968814936062E-2</v>
      </c>
      <c r="AP126" s="1319">
        <f t="shared" ca="1" si="1263"/>
        <v>-4.5843968814936062E-2</v>
      </c>
      <c r="AQ126" s="1319">
        <f t="shared" ca="1" si="1263"/>
        <v>-6.4918864274535517E-11</v>
      </c>
      <c r="AR126" s="1319">
        <f t="shared" ca="1" si="1263"/>
        <v>-9.0537765952078454E-17</v>
      </c>
      <c r="AS126" s="1319">
        <f t="shared" ca="1" si="1263"/>
        <v>-1.2316689833416465E-9</v>
      </c>
      <c r="AT126" s="1319">
        <f t="shared" ca="1" si="1263"/>
        <v>-9.8089620846728976E-19</v>
      </c>
      <c r="AU126" s="1319">
        <f t="shared" ca="1" si="1263"/>
        <v>-6.4918954062923743E-11</v>
      </c>
      <c r="AV126" s="1319">
        <f t="shared" ca="1" si="1263"/>
        <v>-4.5843968432857818E-2</v>
      </c>
      <c r="AW126" s="1319">
        <f t="shared" ca="1" si="1263"/>
        <v>-9.8089620846728976E-19</v>
      </c>
      <c r="AX126" s="1319">
        <f t="shared" ca="1" si="1263"/>
        <v>-1.2965879366404137E-9</v>
      </c>
      <c r="AY126" s="1319">
        <f t="shared" ca="1" si="1263"/>
        <v>0</v>
      </c>
      <c r="AZ126" s="1319">
        <f t="shared" ca="1" si="1263"/>
        <v>0</v>
      </c>
      <c r="BA126" s="1319">
        <f t="shared" ca="1" si="1263"/>
        <v>0</v>
      </c>
      <c r="BB126" s="1319">
        <f t="shared" ca="1" si="1263"/>
        <v>-4.5843968432857818E-2</v>
      </c>
      <c r="BK126" s="1334"/>
      <c r="BN126" s="1319">
        <f t="shared" ca="1" si="1264"/>
        <v>-4.5843968432857825E-3</v>
      </c>
      <c r="BO126" s="1319">
        <f t="shared" ca="1" si="1264"/>
        <v>-4.5843968432857825E-3</v>
      </c>
      <c r="BP126" s="1319">
        <f t="shared" ca="1" si="1264"/>
        <v>-2.7998053600557239E-17</v>
      </c>
      <c r="BQ126" s="1319">
        <f t="shared" ca="1" si="1264"/>
        <v>0</v>
      </c>
      <c r="BR126" s="1319">
        <f t="shared" ca="1" si="1264"/>
        <v>0</v>
      </c>
      <c r="CA126" s="1334"/>
      <c r="CD126" s="1319">
        <f t="shared" ca="1" si="1265"/>
        <v>-4.5843968432857818E-2</v>
      </c>
      <c r="CE126" s="1319">
        <f t="shared" ca="1" si="1265"/>
        <v>-4.5843968432857818E-2</v>
      </c>
      <c r="CF126" s="1319">
        <f t="shared" ca="1" si="1265"/>
        <v>-4.5843968432857825E-3</v>
      </c>
      <c r="CG126" s="1319">
        <f t="shared" ca="1" si="1265"/>
        <v>-4.5843968432857825E-3</v>
      </c>
      <c r="CH126" s="1319">
        <f t="shared" ca="1" si="1265"/>
        <v>-4.5843968432857818E-2</v>
      </c>
      <c r="CI126" s="1319">
        <f t="shared" ca="1" si="1265"/>
        <v>0</v>
      </c>
      <c r="CJ126" s="1319">
        <f t="shared" ca="1" si="1265"/>
        <v>0</v>
      </c>
      <c r="CK126" s="1319">
        <f t="shared" ca="1" si="1265"/>
        <v>-4.5843968432857818E-2</v>
      </c>
      <c r="CL126" s="1319">
        <f t="shared" ca="1" si="1265"/>
        <v>-2.7138123957578212E-16</v>
      </c>
      <c r="CM126" s="1319">
        <f t="shared" ca="1" si="1265"/>
        <v>0</v>
      </c>
      <c r="CN126" s="1319">
        <f t="shared" ca="1" si="1265"/>
        <v>-4.5843968432857818E-2</v>
      </c>
      <c r="CO126" s="1319">
        <f t="shared" ca="1" si="1265"/>
        <v>0</v>
      </c>
      <c r="CX126" s="1334"/>
      <c r="DA126" s="1319">
        <f t="shared" ca="1" si="1266"/>
        <v>0</v>
      </c>
      <c r="DB126" s="1319">
        <f t="shared" ca="1" si="1266"/>
        <v>0</v>
      </c>
      <c r="DC126" s="1319">
        <f t="shared" ca="1" si="1266"/>
        <v>0</v>
      </c>
      <c r="DD126" s="1319">
        <f t="shared" ca="1" si="1266"/>
        <v>0</v>
      </c>
      <c r="DE126" s="1319">
        <f t="shared" ca="1" si="1266"/>
        <v>0</v>
      </c>
      <c r="DF126" s="1319">
        <f t="shared" ca="1" si="1266"/>
        <v>0</v>
      </c>
      <c r="DG126" s="1319">
        <f t="shared" ca="1" si="1266"/>
        <v>0</v>
      </c>
      <c r="DH126" s="1319">
        <f t="shared" ca="1" si="1266"/>
        <v>0</v>
      </c>
      <c r="DI126" s="1319">
        <f t="shared" ca="1" si="1266"/>
        <v>0</v>
      </c>
      <c r="DJ126" s="1319">
        <f t="shared" ca="1" si="1266"/>
        <v>0</v>
      </c>
      <c r="DS126" s="1334"/>
      <c r="DV126" s="1319">
        <f t="shared" ca="1" si="1267"/>
        <v>0</v>
      </c>
      <c r="DW126" s="1319">
        <f t="shared" ca="1" si="1267"/>
        <v>0</v>
      </c>
      <c r="DX126" s="1319">
        <f t="shared" ca="1" si="1267"/>
        <v>0</v>
      </c>
      <c r="DY126" s="1319">
        <f t="shared" ca="1" si="1267"/>
        <v>0</v>
      </c>
      <c r="DZ126" s="1319">
        <f t="shared" ca="1" si="1267"/>
        <v>0</v>
      </c>
      <c r="EA126" s="1319">
        <f t="shared" ca="1" si="1267"/>
        <v>0</v>
      </c>
      <c r="EB126" s="1319">
        <f t="shared" ca="1" si="1267"/>
        <v>0</v>
      </c>
      <c r="EC126" s="1319">
        <f t="shared" ca="1" si="1267"/>
        <v>0</v>
      </c>
      <c r="ED126" s="1319">
        <f t="shared" ca="1" si="1267"/>
        <v>0</v>
      </c>
      <c r="EE126" s="1319">
        <f t="shared" ca="1" si="1267"/>
        <v>0</v>
      </c>
      <c r="EF126" s="1319">
        <f t="shared" ca="1" si="1267"/>
        <v>0</v>
      </c>
      <c r="EG126" s="1319">
        <f t="shared" ca="1" si="1267"/>
        <v>0</v>
      </c>
      <c r="EH126" s="1319">
        <f t="shared" ca="1" si="1267"/>
        <v>0</v>
      </c>
      <c r="EI126" s="1319">
        <f t="shared" ca="1" si="1267"/>
        <v>0</v>
      </c>
      <c r="EJ126" s="1319">
        <f t="shared" ca="1" si="1267"/>
        <v>0</v>
      </c>
      <c r="EK126" s="1319">
        <f t="shared" ca="1" si="1267"/>
        <v>0</v>
      </c>
      <c r="ET126" s="1334"/>
      <c r="EW126" s="1319">
        <f t="shared" ca="1" si="1268"/>
        <v>-4.5843968432857818E-2</v>
      </c>
      <c r="EX126" s="1319">
        <f t="shared" ca="1" si="1268"/>
        <v>-4.5843968432857818E-2</v>
      </c>
      <c r="EY126" s="1319">
        <f t="shared" ca="1" si="1268"/>
        <v>-4.5843968432857818E-2</v>
      </c>
      <c r="EZ126" s="1319">
        <f t="shared" ca="1" si="1268"/>
        <v>-4.5843968432857818E-2</v>
      </c>
      <c r="FA126" s="1319">
        <f t="shared" ca="1" si="1268"/>
        <v>-2.0441353113151919E-23</v>
      </c>
      <c r="FB126" s="1319">
        <f t="shared" ca="1" si="1268"/>
        <v>-3.4891420705980598E-10</v>
      </c>
      <c r="FK126" s="1334"/>
      <c r="FN126" s="1319">
        <f t="shared" ca="1" si="1269"/>
        <v>-2.7998053600557239E-17</v>
      </c>
      <c r="FO126" s="1319">
        <f t="shared" ca="1" si="1269"/>
        <v>-2.7138123957578212E-16</v>
      </c>
      <c r="FP126" s="1319">
        <f t="shared" ca="1" si="1269"/>
        <v>-2.0441353113151919E-23</v>
      </c>
      <c r="FQ126" s="1319">
        <f t="shared" ca="1" si="1269"/>
        <v>-3.4891420705980598E-10</v>
      </c>
      <c r="FR126" s="1319">
        <f t="shared" ca="1" si="1269"/>
        <v>0</v>
      </c>
      <c r="FS126" s="1319">
        <f t="shared" ca="1" si="1269"/>
        <v>-3.4891420858811899E-10</v>
      </c>
      <c r="FT126" s="1319">
        <f t="shared" ca="1" si="1269"/>
        <v>0</v>
      </c>
      <c r="FU126" s="1319">
        <f t="shared" ca="1" si="1269"/>
        <v>-2.9937931346469432E-16</v>
      </c>
      <c r="FV126" s="1319">
        <f t="shared" ca="1" si="1269"/>
        <v>0</v>
      </c>
      <c r="FW126" s="1319">
        <f t="shared" ca="1" si="1269"/>
        <v>0</v>
      </c>
      <c r="FX126" s="1319">
        <f t="shared" ca="1" si="1269"/>
        <v>0</v>
      </c>
      <c r="GG126" s="1334"/>
      <c r="GJ126" s="1319">
        <f t="shared" ca="1" si="1270"/>
        <v>0</v>
      </c>
      <c r="GK126" s="1319">
        <f t="shared" ca="1" si="1270"/>
        <v>0</v>
      </c>
      <c r="GL126" s="1319">
        <f t="shared" ca="1" si="1270"/>
        <v>0</v>
      </c>
      <c r="GM126" s="1319">
        <f t="shared" ca="1" si="1270"/>
        <v>0</v>
      </c>
      <c r="GN126" s="1319">
        <f t="shared" ca="1" si="1270"/>
        <v>0</v>
      </c>
      <c r="GO126" s="1319">
        <f t="shared" ca="1" si="1270"/>
        <v>0</v>
      </c>
      <c r="GP126" s="1319">
        <f t="shared" ca="1" si="1270"/>
        <v>0</v>
      </c>
      <c r="GQ126" s="1319">
        <f t="shared" ca="1" si="1270"/>
        <v>0</v>
      </c>
      <c r="GZ126" s="1334"/>
      <c r="HC126" s="1319">
        <f t="shared" ca="1" si="1271"/>
        <v>-4.5843968432857818E-2</v>
      </c>
      <c r="HD126" s="1319">
        <f t="shared" ca="1" si="1271"/>
        <v>-4.4137125177322066E-2</v>
      </c>
      <c r="HE126" s="1319">
        <f t="shared" ca="1" si="1271"/>
        <v>0</v>
      </c>
      <c r="HF126" s="1319">
        <f t="shared" ca="1" si="1271"/>
        <v>-3.4024492612151487E-15</v>
      </c>
      <c r="HG126" s="1319">
        <f t="shared" ca="1" si="1271"/>
        <v>-1.706843224969487E-3</v>
      </c>
      <c r="HH126" s="1319">
        <f t="shared" ca="1" si="1271"/>
        <v>-4.4137125177322066E-2</v>
      </c>
      <c r="HQ126" s="1334"/>
      <c r="HT126" s="1319">
        <f t="shared" ca="1" si="1272"/>
        <v>-1.2965879366404137E-9</v>
      </c>
      <c r="HU126" s="1319">
        <f t="shared" ca="1" si="1272"/>
        <v>-4.4137125177322066E-2</v>
      </c>
      <c r="HV126" s="1319">
        <f t="shared" ca="1" si="1272"/>
        <v>-4.4137126323556812E-2</v>
      </c>
      <c r="HW126" s="1319">
        <f t="shared" ca="1" si="1272"/>
        <v>-4.4137126323556812E-2</v>
      </c>
      <c r="HX126" s="1319">
        <f t="shared" ca="1" si="1272"/>
        <v>-3.6916153292968368E-3</v>
      </c>
      <c r="HY126" s="1319">
        <f t="shared" ca="1" si="1272"/>
        <v>-2.80726039441198E-4</v>
      </c>
      <c r="HZ126" s="1319">
        <f t="shared" ca="1" si="1272"/>
        <v>-8.6471419873372374E-17</v>
      </c>
      <c r="IA126" s="1319">
        <f t="shared" ca="1" si="1272"/>
        <v>-1.4054844172115968E-17</v>
      </c>
      <c r="IB126" s="1319">
        <f t="shared" ca="1" si="1272"/>
        <v>0</v>
      </c>
      <c r="IC126" s="1319">
        <f t="shared" ca="1" si="1272"/>
        <v>0</v>
      </c>
      <c r="ID126" s="1319">
        <f t="shared" ca="1" si="1272"/>
        <v>0</v>
      </c>
      <c r="IE126" s="1319">
        <f t="shared" ca="1" si="1272"/>
        <v>0</v>
      </c>
      <c r="IN126" s="1334"/>
      <c r="IQ126" s="1319">
        <f t="shared" ca="1" si="1273"/>
        <v>-3.6916153292968368E-3</v>
      </c>
      <c r="IR126" s="1319">
        <f t="shared" ca="1" si="1273"/>
        <v>-2.80726039441198E-4</v>
      </c>
      <c r="IS126" s="1319">
        <f t="shared" ca="1" si="1273"/>
        <v>-5.5849874469733318E-6</v>
      </c>
      <c r="IT126" s="1319">
        <f t="shared" ca="1" si="1273"/>
        <v>-2.8631102696458695E-4</v>
      </c>
      <c r="IU126" s="1319">
        <f t="shared" ca="1" si="1273"/>
        <v>-2.6721308683754711E-4</v>
      </c>
      <c r="IV126" s="1319">
        <f t="shared" ca="1" si="1273"/>
        <v>-1.6371472466782878E-4</v>
      </c>
      <c r="IW126" s="1319">
        <f t="shared" ca="1" si="1273"/>
        <v>-1.340396986509443E-4</v>
      </c>
      <c r="IX126" s="1319">
        <f t="shared" ca="1" si="1273"/>
        <v>-6.1595355489441587E-19</v>
      </c>
      <c r="IY126" s="1319">
        <f t="shared" ca="1" si="1273"/>
        <v>-1.9097940279871126E-5</v>
      </c>
      <c r="IZ126" s="1319">
        <f t="shared" ca="1" si="1273"/>
        <v>-2.4090038302456369E-5</v>
      </c>
      <c r="JA126" s="1319">
        <f t="shared" ca="1" si="1273"/>
        <v>-1.3962468617433329E-4</v>
      </c>
      <c r="JB126" s="1319">
        <f t="shared" ca="1" si="1274"/>
        <v>0</v>
      </c>
      <c r="JC126" s="1319">
        <f t="shared" ca="1" si="1274"/>
        <v>-2.4090038302456369E-5</v>
      </c>
      <c r="JD126" s="1319">
        <f t="shared" ca="1" si="1274"/>
        <v>0</v>
      </c>
      <c r="JE126" s="1319">
        <f t="shared" ca="1" si="1274"/>
        <v>-2.4090038302456369E-5</v>
      </c>
      <c r="JF126" s="1319">
        <f t="shared" ca="1" si="1274"/>
        <v>0</v>
      </c>
      <c r="JG126" s="1319">
        <f t="shared" ca="1" si="1274"/>
        <v>0</v>
      </c>
      <c r="JH126" s="1319">
        <f t="shared" ca="1" si="1274"/>
        <v>-1.4054844172115968E-17</v>
      </c>
      <c r="JQ126" s="1334"/>
      <c r="JT126" s="1319">
        <f t="shared" ca="1" si="1275"/>
        <v>0</v>
      </c>
      <c r="JU126" s="1319">
        <f t="shared" ca="1" si="1275"/>
        <v>0</v>
      </c>
      <c r="JV126" s="1319">
        <f t="shared" ca="1" si="1275"/>
        <v>0</v>
      </c>
      <c r="JW126" s="1319">
        <f t="shared" ca="1" si="1275"/>
        <v>0</v>
      </c>
      <c r="JX126" s="1319">
        <f t="shared" ca="1" si="1275"/>
        <v>0</v>
      </c>
      <c r="JY126" s="1319">
        <f t="shared" ca="1" si="1275"/>
        <v>0</v>
      </c>
      <c r="JZ126" s="1319">
        <f t="shared" ca="1" si="1275"/>
        <v>0</v>
      </c>
      <c r="KA126" s="1319">
        <f t="shared" ca="1" si="1275"/>
        <v>0</v>
      </c>
      <c r="KB126" s="1319">
        <f t="shared" ca="1" si="1275"/>
        <v>0</v>
      </c>
      <c r="KC126" s="1319">
        <f t="shared" ca="1" si="1275"/>
        <v>0</v>
      </c>
      <c r="KI126" s="1334"/>
      <c r="KL126" s="1319">
        <f t="shared" ca="1" si="1276"/>
        <v>0</v>
      </c>
      <c r="KM126" s="1319">
        <f t="shared" ca="1" si="1276"/>
        <v>0</v>
      </c>
      <c r="KN126" s="1319">
        <f t="shared" ca="1" si="1276"/>
        <v>0</v>
      </c>
      <c r="KO126" s="1319">
        <f t="shared" ca="1" si="1276"/>
        <v>0</v>
      </c>
      <c r="KP126" s="1319">
        <f t="shared" ca="1" si="1276"/>
        <v>0</v>
      </c>
      <c r="KQ126" s="1319">
        <f t="shared" ca="1" si="1276"/>
        <v>0</v>
      </c>
      <c r="KR126" s="1319">
        <f t="shared" ca="1" si="1276"/>
        <v>0</v>
      </c>
      <c r="KX126" s="1334"/>
      <c r="LA126" s="1319">
        <f t="shared" ca="1" si="1277"/>
        <v>-3.4024492612151487E-15</v>
      </c>
      <c r="LB126" s="1319">
        <f t="shared" ca="1" si="1277"/>
        <v>-8.6471419873372374E-17</v>
      </c>
      <c r="LC126" s="1319">
        <f t="shared" ca="1" si="1277"/>
        <v>-3.4889206829989121E-15</v>
      </c>
      <c r="LD126" s="1319">
        <f t="shared" ca="1" si="1277"/>
        <v>-3.4889206829989121E-15</v>
      </c>
      <c r="LE126" s="1319">
        <f t="shared" ca="1" si="1277"/>
        <v>0</v>
      </c>
      <c r="LF126" s="1319">
        <f t="shared" ca="1" si="1277"/>
        <v>0</v>
      </c>
      <c r="LG126" s="1319">
        <f t="shared" ca="1" si="1277"/>
        <v>0</v>
      </c>
      <c r="LH126" s="1319">
        <f t="shared" ca="1" si="1277"/>
        <v>0</v>
      </c>
      <c r="LI126" s="1319">
        <f t="shared" ca="1" si="1277"/>
        <v>0</v>
      </c>
      <c r="LJ126" s="1319">
        <f t="shared" ca="1" si="1277"/>
        <v>0</v>
      </c>
      <c r="LK126" s="1319">
        <f t="shared" ca="1" si="1277"/>
        <v>0</v>
      </c>
      <c r="LT126" s="1334"/>
      <c r="LW126" s="1319">
        <f t="shared" ca="1" si="1278"/>
        <v>0</v>
      </c>
      <c r="LX126" s="1319">
        <f t="shared" ca="1" si="1278"/>
        <v>0</v>
      </c>
      <c r="LY126" s="1319">
        <f t="shared" ca="1" si="1278"/>
        <v>-1.706843224969487E-3</v>
      </c>
      <c r="LZ126" s="1319">
        <f t="shared" ca="1" si="1278"/>
        <v>-1.9097940279871126E-5</v>
      </c>
      <c r="MA126" s="1319">
        <f t="shared" ca="1" si="1278"/>
        <v>-1.7259411654786051E-3</v>
      </c>
      <c r="MB126" s="1319">
        <f t="shared" ca="1" si="1278"/>
        <v>-3.4889206829989121E-15</v>
      </c>
      <c r="MC126" s="1319">
        <f t="shared" ca="1" si="1278"/>
        <v>0</v>
      </c>
      <c r="MD126" s="1319">
        <f t="shared" ca="1" si="1278"/>
        <v>0</v>
      </c>
      <c r="ME126" s="1319">
        <f t="shared" ca="1" si="1278"/>
        <v>0</v>
      </c>
      <c r="MF126" s="1319">
        <f t="shared" ca="1" si="1278"/>
        <v>0</v>
      </c>
      <c r="MG126" s="1319">
        <f t="shared" ca="1" si="1279"/>
        <v>0</v>
      </c>
      <c r="MH126" s="1319">
        <f t="shared" ca="1" si="1279"/>
        <v>0</v>
      </c>
      <c r="MI126" s="1319">
        <f t="shared" ca="1" si="1279"/>
        <v>0</v>
      </c>
      <c r="MJ126" s="1319">
        <f t="shared" ca="1" si="1279"/>
        <v>0</v>
      </c>
      <c r="MK126" s="1319">
        <f t="shared" ca="1" si="1279"/>
        <v>0</v>
      </c>
      <c r="ML126" s="1319">
        <f t="shared" ca="1" si="1279"/>
        <v>0</v>
      </c>
      <c r="MM126" s="1319">
        <f t="shared" ca="1" si="1279"/>
        <v>0</v>
      </c>
      <c r="MN126" s="1319">
        <f t="shared" ca="1" si="1279"/>
        <v>0</v>
      </c>
      <c r="MO126" s="1319">
        <f t="shared" ca="1" si="1279"/>
        <v>0</v>
      </c>
      <c r="MX126" s="1334"/>
      <c r="NA126" s="1319">
        <f t="shared" ca="1" si="1280"/>
        <v>-1.2316690712196432E-9</v>
      </c>
      <c r="NB126" s="1319">
        <f t="shared" ca="1" si="1280"/>
        <v>-9.0537765952078454E-17</v>
      </c>
      <c r="NC126" s="1319">
        <f t="shared" ca="1" si="1280"/>
        <v>-1.2316689833416465E-9</v>
      </c>
      <c r="ND126" s="1319">
        <f t="shared" ca="1" si="1280"/>
        <v>0</v>
      </c>
      <c r="NE126" s="1319">
        <f t="shared" ca="1" si="1280"/>
        <v>0</v>
      </c>
      <c r="NF126" s="1319">
        <f t="shared" ca="1" si="1280"/>
        <v>0</v>
      </c>
      <c r="NG126" s="1319">
        <f t="shared" ca="1" si="1280"/>
        <v>0</v>
      </c>
      <c r="NH126" s="1319">
        <f t="shared" ca="1" si="1280"/>
        <v>0</v>
      </c>
      <c r="NI126" s="1319">
        <f t="shared" ca="1" si="1280"/>
        <v>0</v>
      </c>
      <c r="NJ126" s="1319">
        <f t="shared" ca="1" si="1280"/>
        <v>0</v>
      </c>
      <c r="NK126" s="1319">
        <f t="shared" ca="1" si="1280"/>
        <v>0</v>
      </c>
      <c r="NL126" s="1319">
        <f t="shared" ca="1" si="1280"/>
        <v>0</v>
      </c>
      <c r="NM126" s="1319">
        <f t="shared" ca="1" si="1280"/>
        <v>0</v>
      </c>
      <c r="NN126" s="1319">
        <f t="shared" ca="1" si="1280"/>
        <v>0</v>
      </c>
      <c r="NO126" s="1319">
        <f t="shared" ca="1" si="1280"/>
        <v>0</v>
      </c>
      <c r="NP126" s="1319">
        <f t="shared" ca="1" si="1280"/>
        <v>0</v>
      </c>
      <c r="NY126" s="1334"/>
      <c r="OE126" s="1334"/>
      <c r="OH126" s="1319">
        <f t="shared" ca="1" si="1281"/>
        <v>0</v>
      </c>
      <c r="OI126" s="1319">
        <f t="shared" ca="1" si="1281"/>
        <v>0</v>
      </c>
      <c r="OJ126" s="1319">
        <f t="shared" ca="1" si="1281"/>
        <v>0</v>
      </c>
      <c r="OK126" s="1319">
        <f t="shared" ca="1" si="1281"/>
        <v>0</v>
      </c>
      <c r="OL126" s="1319">
        <f t="shared" ca="1" si="1281"/>
        <v>0</v>
      </c>
      <c r="OM126" s="1319">
        <f t="shared" ca="1" si="1281"/>
        <v>0</v>
      </c>
      <c r="ON126" s="1319">
        <f t="shared" ca="1" si="1281"/>
        <v>0</v>
      </c>
      <c r="OO126" s="1319">
        <f t="shared" ca="1" si="1281"/>
        <v>0</v>
      </c>
      <c r="OX126" s="1334"/>
      <c r="PA126" s="1319">
        <f t="shared" ca="1" si="1282"/>
        <v>0</v>
      </c>
      <c r="PB126" s="1319">
        <f t="shared" ca="1" si="1282"/>
        <v>0</v>
      </c>
      <c r="PC126" s="1319">
        <f t="shared" ca="1" si="1282"/>
        <v>0</v>
      </c>
      <c r="PD126" s="1319">
        <f t="shared" ca="1" si="1282"/>
        <v>0</v>
      </c>
      <c r="PE126" s="1319">
        <f t="shared" ca="1" si="1282"/>
        <v>0</v>
      </c>
      <c r="PF126" s="1319">
        <f t="shared" ca="1" si="1282"/>
        <v>0</v>
      </c>
      <c r="PG126" s="1319">
        <f t="shared" ca="1" si="1282"/>
        <v>0</v>
      </c>
      <c r="PH126" s="1319">
        <f t="shared" ca="1" si="1282"/>
        <v>0</v>
      </c>
      <c r="PI126" s="1319">
        <f t="shared" ca="1" si="1282"/>
        <v>0</v>
      </c>
      <c r="PJ126" s="1319">
        <f t="shared" ca="1" si="1282"/>
        <v>0</v>
      </c>
      <c r="PK126" s="1319">
        <f t="shared" ca="1" si="1282"/>
        <v>0</v>
      </c>
      <c r="PT126" s="1334"/>
      <c r="PW126" s="1319">
        <f t="shared" ca="1" si="1261"/>
        <v>0</v>
      </c>
      <c r="PX126" s="1319">
        <f t="shared" ca="1" si="1261"/>
        <v>0</v>
      </c>
      <c r="PY126" s="1319">
        <f t="shared" ca="1" si="1261"/>
        <v>0</v>
      </c>
      <c r="PZ126" s="1319">
        <f t="shared" ca="1" si="1261"/>
        <v>0</v>
      </c>
    </row>
    <row r="127" spans="1:442" x14ac:dyDescent="0.25">
      <c r="A127" s="189">
        <v>16</v>
      </c>
      <c r="B127" s="189" t="s">
        <v>1256</v>
      </c>
      <c r="C127" s="1317" t="s">
        <v>1275</v>
      </c>
      <c r="D127" s="1317" t="s">
        <v>206</v>
      </c>
      <c r="E127" s="1318">
        <v>132.11612</v>
      </c>
      <c r="F127" s="1316">
        <v>-0.51886643737722915</v>
      </c>
      <c r="G127" s="1334"/>
      <c r="J127" s="1319">
        <f t="shared" ca="1" si="1239"/>
        <v>0</v>
      </c>
      <c r="K127" s="1319">
        <f t="shared" ca="1" si="1239"/>
        <v>0</v>
      </c>
      <c r="Q127" s="1334"/>
      <c r="T127" s="1319">
        <f t="shared" ca="1" si="1262"/>
        <v>0</v>
      </c>
      <c r="U127" s="1319">
        <f t="shared" ca="1" si="1262"/>
        <v>0</v>
      </c>
      <c r="V127" s="1319">
        <f t="shared" ca="1" si="1262"/>
        <v>-2.5923422528819613E-7</v>
      </c>
      <c r="W127" s="1319">
        <f t="shared" ca="1" si="1262"/>
        <v>0</v>
      </c>
      <c r="X127" s="1319">
        <f t="shared" ca="1" si="1262"/>
        <v>0</v>
      </c>
      <c r="Y127" s="1319">
        <f t="shared" ca="1" si="1262"/>
        <v>-1.5338321768495369</v>
      </c>
      <c r="Z127" s="1319">
        <f t="shared" ca="1" si="1262"/>
        <v>-6.405449364789713E-7</v>
      </c>
      <c r="AA127" s="1319">
        <f t="shared" ca="1" si="1262"/>
        <v>-1.5338315366912481</v>
      </c>
      <c r="AB127" s="1319">
        <f t="shared" ca="1" si="1262"/>
        <v>0</v>
      </c>
      <c r="AC127" s="1319">
        <f t="shared" ca="1" si="1262"/>
        <v>-2.5923422528819613E-7</v>
      </c>
      <c r="AD127" s="1319">
        <f t="shared" ca="1" si="1262"/>
        <v>0</v>
      </c>
      <c r="AJ127" s="1334"/>
      <c r="AM127" s="1319">
        <f t="shared" ca="1" si="1263"/>
        <v>0</v>
      </c>
      <c r="AN127" s="1319">
        <f t="shared" ca="1" si="1263"/>
        <v>0</v>
      </c>
      <c r="AO127" s="1319">
        <f t="shared" ca="1" si="1263"/>
        <v>-1.5338315366912481</v>
      </c>
      <c r="AP127" s="1319">
        <f t="shared" ca="1" si="1263"/>
        <v>-1.5338315366912481</v>
      </c>
      <c r="AQ127" s="1319">
        <f t="shared" ca="1" si="1263"/>
        <v>-7.2018318430244859E-8</v>
      </c>
      <c r="AR127" s="1319">
        <f t="shared" ca="1" si="1263"/>
        <v>-1.599959283104651E-12</v>
      </c>
      <c r="AS127" s="1319">
        <f t="shared" ca="1" si="1263"/>
        <v>-6.4054333804692512E-7</v>
      </c>
      <c r="AT127" s="1319">
        <f t="shared" ca="1" si="1263"/>
        <v>-3.7017013114122448E-14</v>
      </c>
      <c r="AU127" s="1319">
        <f t="shared" ca="1" si="1263"/>
        <v>-7.2019881123392621E-8</v>
      </c>
      <c r="AV127" s="1319">
        <f t="shared" ca="1" si="1263"/>
        <v>-1.5338314659989218</v>
      </c>
      <c r="AW127" s="1319">
        <f t="shared" ca="1" si="1263"/>
        <v>-3.7017013114122448E-14</v>
      </c>
      <c r="AX127" s="1319">
        <f t="shared" ca="1" si="1263"/>
        <v>-7.1256325451648095E-7</v>
      </c>
      <c r="AY127" s="1319">
        <f t="shared" ca="1" si="1263"/>
        <v>0</v>
      </c>
      <c r="AZ127" s="1319">
        <f t="shared" ca="1" si="1263"/>
        <v>0</v>
      </c>
      <c r="BA127" s="1319">
        <f t="shared" ca="1" si="1263"/>
        <v>0</v>
      </c>
      <c r="BB127" s="1319">
        <f t="shared" ca="1" si="1263"/>
        <v>-1.5338314659989218</v>
      </c>
      <c r="BK127" s="1334"/>
      <c r="BN127" s="1319">
        <f t="shared" ca="1" si="1264"/>
        <v>-0.15338314659989219</v>
      </c>
      <c r="BO127" s="1319">
        <f t="shared" ca="1" si="1264"/>
        <v>-0.15338314659989219</v>
      </c>
      <c r="BP127" s="1319">
        <f t="shared" ca="1" si="1264"/>
        <v>-1.7164058549143571E-13</v>
      </c>
      <c r="BQ127" s="1319">
        <f t="shared" ca="1" si="1264"/>
        <v>0</v>
      </c>
      <c r="BR127" s="1319">
        <f t="shared" ca="1" si="1264"/>
        <v>0</v>
      </c>
      <c r="CA127" s="1334"/>
      <c r="CD127" s="1319">
        <f t="shared" ca="1" si="1265"/>
        <v>-1.5338314659989218</v>
      </c>
      <c r="CE127" s="1319">
        <f t="shared" ca="1" si="1265"/>
        <v>-1.5338314659989218</v>
      </c>
      <c r="CF127" s="1319">
        <f t="shared" ca="1" si="1265"/>
        <v>-0.15338314659989219</v>
      </c>
      <c r="CG127" s="1319">
        <f t="shared" ca="1" si="1265"/>
        <v>-0.15338314659989219</v>
      </c>
      <c r="CH127" s="1319">
        <f t="shared" ca="1" si="1265"/>
        <v>-1.5338314659989218</v>
      </c>
      <c r="CI127" s="1319">
        <f t="shared" ca="1" si="1265"/>
        <v>0</v>
      </c>
      <c r="CJ127" s="1319">
        <f t="shared" ca="1" si="1265"/>
        <v>0</v>
      </c>
      <c r="CK127" s="1319">
        <f t="shared" ca="1" si="1265"/>
        <v>-1.5338314659989218</v>
      </c>
      <c r="CL127" s="1319">
        <f t="shared" ca="1" si="1265"/>
        <v>-1.6636883210640293E-12</v>
      </c>
      <c r="CM127" s="1319">
        <f t="shared" ca="1" si="1265"/>
        <v>0</v>
      </c>
      <c r="CN127" s="1319">
        <f t="shared" ca="1" si="1265"/>
        <v>-1.5338314659989218</v>
      </c>
      <c r="CO127" s="1319">
        <f t="shared" ca="1" si="1265"/>
        <v>-1.8353305265879444E-12</v>
      </c>
      <c r="CX127" s="1334"/>
      <c r="DA127" s="1319">
        <f t="shared" ca="1" si="1266"/>
        <v>0</v>
      </c>
      <c r="DB127" s="1319">
        <f t="shared" ca="1" si="1266"/>
        <v>0</v>
      </c>
      <c r="DC127" s="1319">
        <f t="shared" ca="1" si="1266"/>
        <v>0</v>
      </c>
      <c r="DD127" s="1319">
        <f t="shared" ca="1" si="1266"/>
        <v>0</v>
      </c>
      <c r="DE127" s="1319">
        <f t="shared" ca="1" si="1266"/>
        <v>0</v>
      </c>
      <c r="DF127" s="1319">
        <f t="shared" ca="1" si="1266"/>
        <v>0</v>
      </c>
      <c r="DG127" s="1319">
        <f t="shared" ca="1" si="1266"/>
        <v>0</v>
      </c>
      <c r="DH127" s="1319">
        <f t="shared" ca="1" si="1266"/>
        <v>0</v>
      </c>
      <c r="DI127" s="1319">
        <f t="shared" ca="1" si="1266"/>
        <v>0</v>
      </c>
      <c r="DJ127" s="1319">
        <f t="shared" ca="1" si="1266"/>
        <v>0</v>
      </c>
      <c r="DS127" s="1334"/>
      <c r="DV127" s="1319">
        <f t="shared" ca="1" si="1267"/>
        <v>0</v>
      </c>
      <c r="DW127" s="1319">
        <f t="shared" ca="1" si="1267"/>
        <v>0</v>
      </c>
      <c r="DX127" s="1319">
        <f t="shared" ca="1" si="1267"/>
        <v>0</v>
      </c>
      <c r="DY127" s="1319">
        <f t="shared" ca="1" si="1267"/>
        <v>0</v>
      </c>
      <c r="DZ127" s="1319">
        <f t="shared" ca="1" si="1267"/>
        <v>0</v>
      </c>
      <c r="EA127" s="1319">
        <f t="shared" ca="1" si="1267"/>
        <v>0</v>
      </c>
      <c r="EB127" s="1319">
        <f t="shared" ca="1" si="1267"/>
        <v>0</v>
      </c>
      <c r="EC127" s="1319">
        <f t="shared" ca="1" si="1267"/>
        <v>0</v>
      </c>
      <c r="ED127" s="1319">
        <f t="shared" ca="1" si="1267"/>
        <v>0</v>
      </c>
      <c r="EE127" s="1319">
        <f t="shared" ca="1" si="1267"/>
        <v>0</v>
      </c>
      <c r="EF127" s="1319">
        <f t="shared" ca="1" si="1267"/>
        <v>0</v>
      </c>
      <c r="EG127" s="1319">
        <f t="shared" ca="1" si="1267"/>
        <v>0</v>
      </c>
      <c r="EH127" s="1319">
        <f t="shared" ca="1" si="1267"/>
        <v>0</v>
      </c>
      <c r="EI127" s="1319">
        <f t="shared" ca="1" si="1267"/>
        <v>0</v>
      </c>
      <c r="EJ127" s="1319">
        <f t="shared" ca="1" si="1267"/>
        <v>0</v>
      </c>
      <c r="EK127" s="1319">
        <f t="shared" ca="1" si="1267"/>
        <v>0</v>
      </c>
      <c r="ET127" s="1334"/>
      <c r="EW127" s="1319">
        <f t="shared" ca="1" si="1268"/>
        <v>-1.5338314659989218</v>
      </c>
      <c r="EX127" s="1319">
        <f t="shared" ca="1" si="1268"/>
        <v>-1.5338314659989218</v>
      </c>
      <c r="EY127" s="1319">
        <f t="shared" ca="1" si="1268"/>
        <v>-1.5338312067937252</v>
      </c>
      <c r="EZ127" s="1319">
        <f t="shared" ca="1" si="1268"/>
        <v>-1.5338312067937252</v>
      </c>
      <c r="FA127" s="1319">
        <f t="shared" ca="1" si="1268"/>
        <v>-1.6198569500947717E-18</v>
      </c>
      <c r="FB127" s="1319">
        <f t="shared" ca="1" si="1268"/>
        <v>-2.5923422410999067E-7</v>
      </c>
      <c r="FK127" s="1334"/>
      <c r="FN127" s="1319">
        <f t="shared" ca="1" si="1269"/>
        <v>-1.7164058549143571E-13</v>
      </c>
      <c r="FO127" s="1319">
        <f t="shared" ca="1" si="1269"/>
        <v>-1.6636883210640293E-12</v>
      </c>
      <c r="FP127" s="1319">
        <f t="shared" ca="1" si="1269"/>
        <v>-1.6198569500947717E-18</v>
      </c>
      <c r="FQ127" s="1319">
        <f t="shared" ca="1" si="1269"/>
        <v>-2.5923422410999067E-7</v>
      </c>
      <c r="FR127" s="1319">
        <f t="shared" ca="1" si="1269"/>
        <v>0</v>
      </c>
      <c r="FS127" s="1319">
        <f t="shared" ca="1" si="1269"/>
        <v>-2.5923422528819613E-7</v>
      </c>
      <c r="FT127" s="1319">
        <f t="shared" ca="1" si="1269"/>
        <v>0</v>
      </c>
      <c r="FU127" s="1319">
        <f t="shared" ca="1" si="1269"/>
        <v>-1.8353305265879444E-12</v>
      </c>
      <c r="FV127" s="1319">
        <f t="shared" ca="1" si="1269"/>
        <v>0</v>
      </c>
      <c r="FW127" s="1319">
        <f t="shared" ca="1" si="1269"/>
        <v>0</v>
      </c>
      <c r="FX127" s="1319">
        <f t="shared" ca="1" si="1269"/>
        <v>-1.8353305265879444E-12</v>
      </c>
      <c r="GG127" s="1334"/>
      <c r="GJ127" s="1319">
        <f t="shared" ca="1" si="1270"/>
        <v>0</v>
      </c>
      <c r="GK127" s="1319">
        <f t="shared" ca="1" si="1270"/>
        <v>0</v>
      </c>
      <c r="GL127" s="1319">
        <f t="shared" ca="1" si="1270"/>
        <v>0</v>
      </c>
      <c r="GM127" s="1319">
        <f t="shared" ca="1" si="1270"/>
        <v>0</v>
      </c>
      <c r="GN127" s="1319">
        <f t="shared" ca="1" si="1270"/>
        <v>0</v>
      </c>
      <c r="GO127" s="1319">
        <f t="shared" ca="1" si="1270"/>
        <v>0</v>
      </c>
      <c r="GP127" s="1319">
        <f t="shared" ca="1" si="1270"/>
        <v>0</v>
      </c>
      <c r="GQ127" s="1319">
        <f t="shared" ca="1" si="1270"/>
        <v>0</v>
      </c>
      <c r="GZ127" s="1334"/>
      <c r="HC127" s="1319">
        <f t="shared" ca="1" si="1271"/>
        <v>-1.5338312067937252</v>
      </c>
      <c r="HD127" s="1319">
        <f t="shared" ca="1" si="1271"/>
        <v>-1.476724248942247</v>
      </c>
      <c r="HE127" s="1319">
        <f t="shared" ca="1" si="1271"/>
        <v>0</v>
      </c>
      <c r="HF127" s="1319">
        <f t="shared" ca="1" si="1271"/>
        <v>-1.198284345780876E-11</v>
      </c>
      <c r="HG127" s="1319">
        <f t="shared" ca="1" si="1271"/>
        <v>-5.7106954316861684E-2</v>
      </c>
      <c r="HH127" s="1319">
        <f t="shared" ca="1" si="1271"/>
        <v>-1.476724248942247</v>
      </c>
      <c r="HQ127" s="1334"/>
      <c r="HT127" s="1319">
        <f t="shared" ca="1" si="1272"/>
        <v>-7.1256325451648095E-7</v>
      </c>
      <c r="HU127" s="1319">
        <f t="shared" ca="1" si="1272"/>
        <v>-1.476724248942247</v>
      </c>
      <c r="HV127" s="1319">
        <f t="shared" ca="1" si="1272"/>
        <v>-1.4767249637202138</v>
      </c>
      <c r="HW127" s="1319">
        <f t="shared" ca="1" si="1272"/>
        <v>-1.4767249637202138</v>
      </c>
      <c r="HX127" s="1319">
        <f t="shared" ca="1" si="1272"/>
        <v>-0.12351281023320182</v>
      </c>
      <c r="HY127" s="1319">
        <f t="shared" ca="1" si="1272"/>
        <v>-9.3924363837968629E-3</v>
      </c>
      <c r="HZ127" s="1319">
        <f t="shared" ca="1" si="1272"/>
        <v>-4.3714563289262647E-13</v>
      </c>
      <c r="IA127" s="1319">
        <f t="shared" ca="1" si="1272"/>
        <v>-2.2596619735578153E-14</v>
      </c>
      <c r="IB127" s="1319">
        <f t="shared" ca="1" si="1272"/>
        <v>0</v>
      </c>
      <c r="IC127" s="1319">
        <f t="shared" ca="1" si="1272"/>
        <v>0</v>
      </c>
      <c r="ID127" s="1319">
        <f t="shared" ca="1" si="1272"/>
        <v>0</v>
      </c>
      <c r="IE127" s="1319">
        <f t="shared" ca="1" si="1272"/>
        <v>0</v>
      </c>
      <c r="IN127" s="1334"/>
      <c r="IQ127" s="1319">
        <f t="shared" ca="1" si="1273"/>
        <v>-0.12351281023320182</v>
      </c>
      <c r="IR127" s="1319">
        <f t="shared" ca="1" si="1273"/>
        <v>-9.3924363837968629E-3</v>
      </c>
      <c r="IS127" s="1319">
        <f t="shared" ca="1" si="1273"/>
        <v>-1.8686061076026954E-4</v>
      </c>
      <c r="IT127" s="1319">
        <f t="shared" ca="1" si="1273"/>
        <v>-9.5792969780622572E-3</v>
      </c>
      <c r="IU127" s="1319">
        <f t="shared" ca="1" si="1273"/>
        <v>-8.9403245923832184E-3</v>
      </c>
      <c r="IV127" s="1319">
        <f t="shared" ca="1" si="1273"/>
        <v>-5.4775115698019418E-3</v>
      </c>
      <c r="IW127" s="1319">
        <f t="shared" ca="1" si="1273"/>
        <v>-4.484654655104588E-3</v>
      </c>
      <c r="IX127" s="1319">
        <f t="shared" ca="1" si="1273"/>
        <v>-4.4351180677909462E-15</v>
      </c>
      <c r="IY127" s="1319">
        <f t="shared" ca="1" si="1273"/>
        <v>-6.389723896063883E-4</v>
      </c>
      <c r="IZ127" s="1319">
        <f t="shared" ca="1" si="1273"/>
        <v>-8.0599630864990578E-4</v>
      </c>
      <c r="JA127" s="1319">
        <f t="shared" ca="1" si="1273"/>
        <v>-4.6715152886434956E-3</v>
      </c>
      <c r="JB127" s="1319">
        <f t="shared" ca="1" si="1274"/>
        <v>0</v>
      </c>
      <c r="JC127" s="1319">
        <f t="shared" ca="1" si="1274"/>
        <v>-8.0599630864990578E-4</v>
      </c>
      <c r="JD127" s="1319">
        <f t="shared" ca="1" si="1274"/>
        <v>0</v>
      </c>
      <c r="JE127" s="1319">
        <f t="shared" ca="1" si="1274"/>
        <v>-8.0599630864990578E-4</v>
      </c>
      <c r="JF127" s="1319">
        <f t="shared" ca="1" si="1274"/>
        <v>0</v>
      </c>
      <c r="JG127" s="1319">
        <f t="shared" ca="1" si="1274"/>
        <v>0</v>
      </c>
      <c r="JH127" s="1319">
        <f t="shared" ca="1" si="1274"/>
        <v>-2.2596619735578153E-14</v>
      </c>
      <c r="JQ127" s="1334"/>
      <c r="JT127" s="1319">
        <f t="shared" ca="1" si="1275"/>
        <v>0</v>
      </c>
      <c r="JU127" s="1319">
        <f t="shared" ca="1" si="1275"/>
        <v>0</v>
      </c>
      <c r="JV127" s="1319">
        <f t="shared" ca="1" si="1275"/>
        <v>0</v>
      </c>
      <c r="JW127" s="1319">
        <f t="shared" ca="1" si="1275"/>
        <v>0</v>
      </c>
      <c r="JX127" s="1319">
        <f t="shared" ca="1" si="1275"/>
        <v>0</v>
      </c>
      <c r="JY127" s="1319">
        <f t="shared" ca="1" si="1275"/>
        <v>0</v>
      </c>
      <c r="JZ127" s="1319">
        <f t="shared" ca="1" si="1275"/>
        <v>0</v>
      </c>
      <c r="KA127" s="1319">
        <f t="shared" ca="1" si="1275"/>
        <v>0</v>
      </c>
      <c r="KB127" s="1319">
        <f t="shared" ca="1" si="1275"/>
        <v>0</v>
      </c>
      <c r="KC127" s="1319">
        <f t="shared" ca="1" si="1275"/>
        <v>0</v>
      </c>
      <c r="KI127" s="1334"/>
      <c r="KL127" s="1319">
        <f t="shared" ca="1" si="1276"/>
        <v>0</v>
      </c>
      <c r="KM127" s="1319">
        <f t="shared" ca="1" si="1276"/>
        <v>0</v>
      </c>
      <c r="KN127" s="1319">
        <f t="shared" ca="1" si="1276"/>
        <v>0</v>
      </c>
      <c r="KO127" s="1319">
        <f t="shared" ca="1" si="1276"/>
        <v>0</v>
      </c>
      <c r="KP127" s="1319">
        <f t="shared" ca="1" si="1276"/>
        <v>0</v>
      </c>
      <c r="KQ127" s="1319">
        <f t="shared" ca="1" si="1276"/>
        <v>0</v>
      </c>
      <c r="KR127" s="1319">
        <f t="shared" ca="1" si="1276"/>
        <v>0</v>
      </c>
      <c r="KX127" s="1334"/>
      <c r="LA127" s="1319">
        <f t="shared" ca="1" si="1277"/>
        <v>-1.198284345780876E-11</v>
      </c>
      <c r="LB127" s="1319">
        <f t="shared" ca="1" si="1277"/>
        <v>-4.3714563289262647E-13</v>
      </c>
      <c r="LC127" s="1319">
        <f t="shared" ca="1" si="1277"/>
        <v>-1.2419989055355223E-11</v>
      </c>
      <c r="LD127" s="1319">
        <f t="shared" ca="1" si="1277"/>
        <v>-1.2419989055355223E-11</v>
      </c>
      <c r="LE127" s="1319">
        <f t="shared" ca="1" si="1277"/>
        <v>0</v>
      </c>
      <c r="LF127" s="1319">
        <f t="shared" ca="1" si="1277"/>
        <v>0</v>
      </c>
      <c r="LG127" s="1319">
        <f t="shared" ca="1" si="1277"/>
        <v>0</v>
      </c>
      <c r="LH127" s="1319">
        <f t="shared" ca="1" si="1277"/>
        <v>0</v>
      </c>
      <c r="LI127" s="1319">
        <f t="shared" ca="1" si="1277"/>
        <v>0</v>
      </c>
      <c r="LJ127" s="1319">
        <f t="shared" ca="1" si="1277"/>
        <v>0</v>
      </c>
      <c r="LK127" s="1319">
        <f t="shared" ca="1" si="1277"/>
        <v>0</v>
      </c>
      <c r="LT127" s="1334"/>
      <c r="LW127" s="1319">
        <f t="shared" ca="1" si="1278"/>
        <v>0</v>
      </c>
      <c r="LX127" s="1319">
        <f t="shared" ca="1" si="1278"/>
        <v>0</v>
      </c>
      <c r="LY127" s="1319">
        <f t="shared" ca="1" si="1278"/>
        <v>-5.7106954316861684E-2</v>
      </c>
      <c r="LZ127" s="1319">
        <f t="shared" ca="1" si="1278"/>
        <v>-6.389723896063883E-4</v>
      </c>
      <c r="MA127" s="1319">
        <f t="shared" ca="1" si="1278"/>
        <v>-5.774592654544667E-2</v>
      </c>
      <c r="MB127" s="1319">
        <f t="shared" ca="1" si="1278"/>
        <v>-1.2419989055355223E-11</v>
      </c>
      <c r="MC127" s="1319">
        <f t="shared" ca="1" si="1278"/>
        <v>0</v>
      </c>
      <c r="MD127" s="1319">
        <f t="shared" ca="1" si="1278"/>
        <v>0</v>
      </c>
      <c r="ME127" s="1319">
        <f t="shared" ca="1" si="1278"/>
        <v>0</v>
      </c>
      <c r="MF127" s="1319">
        <f t="shared" ca="1" si="1278"/>
        <v>0</v>
      </c>
      <c r="MG127" s="1319">
        <f t="shared" ca="1" si="1279"/>
        <v>0</v>
      </c>
      <c r="MH127" s="1319">
        <f t="shared" ca="1" si="1279"/>
        <v>0</v>
      </c>
      <c r="MI127" s="1319">
        <f t="shared" ca="1" si="1279"/>
        <v>0</v>
      </c>
      <c r="MJ127" s="1319">
        <f t="shared" ca="1" si="1279"/>
        <v>0</v>
      </c>
      <c r="MK127" s="1319">
        <f t="shared" ca="1" si="1279"/>
        <v>0</v>
      </c>
      <c r="ML127" s="1319">
        <f t="shared" ca="1" si="1279"/>
        <v>0</v>
      </c>
      <c r="MM127" s="1319">
        <f t="shared" ca="1" si="1279"/>
        <v>0</v>
      </c>
      <c r="MN127" s="1319">
        <f t="shared" ca="1" si="1279"/>
        <v>0</v>
      </c>
      <c r="MO127" s="1319">
        <f t="shared" ca="1" si="1279"/>
        <v>0</v>
      </c>
      <c r="MX127" s="1334"/>
      <c r="NA127" s="1319">
        <f t="shared" ca="1" si="1280"/>
        <v>-6.405449364789713E-7</v>
      </c>
      <c r="NB127" s="1319">
        <f t="shared" ca="1" si="1280"/>
        <v>-1.599959283104651E-12</v>
      </c>
      <c r="NC127" s="1319">
        <f t="shared" ca="1" si="1280"/>
        <v>-6.4054333804692512E-7</v>
      </c>
      <c r="ND127" s="1319">
        <f t="shared" ca="1" si="1280"/>
        <v>0</v>
      </c>
      <c r="NE127" s="1319">
        <f t="shared" ca="1" si="1280"/>
        <v>0</v>
      </c>
      <c r="NF127" s="1319">
        <f t="shared" ca="1" si="1280"/>
        <v>0</v>
      </c>
      <c r="NG127" s="1319">
        <f t="shared" ca="1" si="1280"/>
        <v>0</v>
      </c>
      <c r="NH127" s="1319">
        <f t="shared" ca="1" si="1280"/>
        <v>0</v>
      </c>
      <c r="NI127" s="1319">
        <f t="shared" ca="1" si="1280"/>
        <v>0</v>
      </c>
      <c r="NJ127" s="1319">
        <f t="shared" ca="1" si="1280"/>
        <v>0</v>
      </c>
      <c r="NK127" s="1319">
        <f t="shared" ca="1" si="1280"/>
        <v>0</v>
      </c>
      <c r="NL127" s="1319">
        <f t="shared" ca="1" si="1280"/>
        <v>0</v>
      </c>
      <c r="NM127" s="1319">
        <f t="shared" ca="1" si="1280"/>
        <v>0</v>
      </c>
      <c r="NN127" s="1319">
        <f t="shared" ca="1" si="1280"/>
        <v>0</v>
      </c>
      <c r="NO127" s="1319">
        <f t="shared" ca="1" si="1280"/>
        <v>0</v>
      </c>
      <c r="NP127" s="1319">
        <f t="shared" ca="1" si="1280"/>
        <v>0</v>
      </c>
      <c r="NY127" s="1334"/>
      <c r="OE127" s="1334"/>
      <c r="OH127" s="1319">
        <f t="shared" ca="1" si="1281"/>
        <v>0</v>
      </c>
      <c r="OI127" s="1319">
        <f t="shared" ca="1" si="1281"/>
        <v>0</v>
      </c>
      <c r="OJ127" s="1319">
        <f t="shared" ca="1" si="1281"/>
        <v>0</v>
      </c>
      <c r="OK127" s="1319">
        <f t="shared" ca="1" si="1281"/>
        <v>0</v>
      </c>
      <c r="OL127" s="1319">
        <f t="shared" ca="1" si="1281"/>
        <v>0</v>
      </c>
      <c r="OM127" s="1319">
        <f t="shared" ca="1" si="1281"/>
        <v>0</v>
      </c>
      <c r="ON127" s="1319">
        <f t="shared" ca="1" si="1281"/>
        <v>0</v>
      </c>
      <c r="OO127" s="1319">
        <f t="shared" ca="1" si="1281"/>
        <v>0</v>
      </c>
      <c r="OX127" s="1334"/>
      <c r="PA127" s="1319">
        <f t="shared" ca="1" si="1282"/>
        <v>0</v>
      </c>
      <c r="PB127" s="1319">
        <f t="shared" ca="1" si="1282"/>
        <v>0</v>
      </c>
      <c r="PC127" s="1319">
        <f t="shared" ca="1" si="1282"/>
        <v>0</v>
      </c>
      <c r="PD127" s="1319">
        <f t="shared" ca="1" si="1282"/>
        <v>0</v>
      </c>
      <c r="PE127" s="1319">
        <f t="shared" ca="1" si="1282"/>
        <v>0</v>
      </c>
      <c r="PF127" s="1319">
        <f t="shared" ca="1" si="1282"/>
        <v>0</v>
      </c>
      <c r="PG127" s="1319">
        <f t="shared" ca="1" si="1282"/>
        <v>0</v>
      </c>
      <c r="PH127" s="1319">
        <f t="shared" ca="1" si="1282"/>
        <v>0</v>
      </c>
      <c r="PI127" s="1319">
        <f t="shared" ca="1" si="1282"/>
        <v>0</v>
      </c>
      <c r="PJ127" s="1319">
        <f t="shared" ca="1" si="1282"/>
        <v>0</v>
      </c>
      <c r="PK127" s="1319">
        <f t="shared" ca="1" si="1282"/>
        <v>0</v>
      </c>
      <c r="PT127" s="1334"/>
      <c r="PW127" s="1319">
        <f t="shared" ca="1" si="1261"/>
        <v>0</v>
      </c>
      <c r="PX127" s="1319">
        <f t="shared" ca="1" si="1261"/>
        <v>0</v>
      </c>
      <c r="PY127" s="1319">
        <f t="shared" ca="1" si="1261"/>
        <v>0</v>
      </c>
      <c r="PZ127" s="1319">
        <f t="shared" ca="1" si="1261"/>
        <v>0</v>
      </c>
    </row>
    <row r="128" spans="1:442" x14ac:dyDescent="0.25">
      <c r="A128" s="189">
        <v>17</v>
      </c>
      <c r="B128" s="189" t="s">
        <v>1256</v>
      </c>
      <c r="C128" s="1317" t="s">
        <v>1279</v>
      </c>
      <c r="D128" s="1317" t="s">
        <v>206</v>
      </c>
      <c r="E128" s="1318">
        <v>132.11612</v>
      </c>
      <c r="F128" s="1316">
        <v>-0.51886643737722915</v>
      </c>
      <c r="G128" s="1334"/>
      <c r="J128" s="1319">
        <f t="shared" ca="1" si="1239"/>
        <v>0</v>
      </c>
      <c r="K128" s="1319">
        <f t="shared" ca="1" si="1239"/>
        <v>0</v>
      </c>
      <c r="Q128" s="1334"/>
      <c r="T128" s="1319">
        <f t="shared" ca="1" si="1262"/>
        <v>0</v>
      </c>
      <c r="U128" s="1319">
        <f t="shared" ca="1" si="1262"/>
        <v>0</v>
      </c>
      <c r="V128" s="1319">
        <f t="shared" ca="1" si="1262"/>
        <v>-3.1591267571240049E-8</v>
      </c>
      <c r="W128" s="1319">
        <f t="shared" ca="1" si="1262"/>
        <v>0</v>
      </c>
      <c r="X128" s="1319">
        <f t="shared" ca="1" si="1262"/>
        <v>0</v>
      </c>
      <c r="Y128" s="1319">
        <f t="shared" ca="1" si="1262"/>
        <v>-0.18691861656319603</v>
      </c>
      <c r="Z128" s="1319">
        <f t="shared" ca="1" si="1262"/>
        <v>-7.8059239672265067E-8</v>
      </c>
      <c r="AA128" s="1319">
        <f t="shared" ca="1" si="1262"/>
        <v>-0.18691853840890185</v>
      </c>
      <c r="AB128" s="1319">
        <f t="shared" ca="1" si="1262"/>
        <v>0</v>
      </c>
      <c r="AC128" s="1319">
        <f t="shared" ca="1" si="1262"/>
        <v>-3.1591267571240049E-8</v>
      </c>
      <c r="AD128" s="1319">
        <f t="shared" ca="1" si="1262"/>
        <v>0</v>
      </c>
      <c r="AJ128" s="1334"/>
      <c r="AM128" s="1319">
        <f t="shared" ca="1" si="1263"/>
        <v>0</v>
      </c>
      <c r="AN128" s="1319">
        <f t="shared" ca="1" si="1263"/>
        <v>0</v>
      </c>
      <c r="AO128" s="1319">
        <f t="shared" ca="1" si="1263"/>
        <v>-0.18691853840890185</v>
      </c>
      <c r="AP128" s="1319">
        <f t="shared" ca="1" si="1263"/>
        <v>-0.18691853840890185</v>
      </c>
      <c r="AQ128" s="1319">
        <f t="shared" ca="1" si="1263"/>
        <v>-8.7764258868317532E-9</v>
      </c>
      <c r="AR128" s="1319">
        <f t="shared" ca="1" si="1263"/>
        <v>-1.9497711682909507E-13</v>
      </c>
      <c r="AS128" s="1319">
        <f t="shared" ca="1" si="1263"/>
        <v>-7.8059044875632418E-8</v>
      </c>
      <c r="AT128" s="1319">
        <f t="shared" ca="1" si="1263"/>
        <v>-4.5110338501483946E-15</v>
      </c>
      <c r="AU128" s="1319">
        <f t="shared" ca="1" si="1263"/>
        <v>-8.7766163633777876E-9</v>
      </c>
      <c r="AV128" s="1319">
        <f t="shared" ca="1" si="1263"/>
        <v>-0.18691852976872864</v>
      </c>
      <c r="AW128" s="1319">
        <f t="shared" ca="1" si="1263"/>
        <v>-4.5110338501483946E-15</v>
      </c>
      <c r="AX128" s="1319">
        <f t="shared" ca="1" si="1263"/>
        <v>-8.6835665676917351E-8</v>
      </c>
      <c r="AY128" s="1319">
        <f t="shared" ca="1" si="1263"/>
        <v>0</v>
      </c>
      <c r="AZ128" s="1319">
        <f t="shared" ca="1" si="1263"/>
        <v>0</v>
      </c>
      <c r="BA128" s="1319">
        <f t="shared" ca="1" si="1263"/>
        <v>0</v>
      </c>
      <c r="BB128" s="1319">
        <f t="shared" ca="1" si="1263"/>
        <v>-0.18691852976872864</v>
      </c>
      <c r="BK128" s="1334"/>
      <c r="BN128" s="1319">
        <f t="shared" ca="1" si="1264"/>
        <v>-1.8691852976872866E-2</v>
      </c>
      <c r="BO128" s="1319">
        <f t="shared" ca="1" si="1264"/>
        <v>-1.8691852976872866E-2</v>
      </c>
      <c r="BP128" s="1319">
        <f t="shared" ca="1" si="1264"/>
        <v>-2.0916773850725458E-14</v>
      </c>
      <c r="BQ128" s="1319">
        <f t="shared" ca="1" si="1264"/>
        <v>0</v>
      </c>
      <c r="BR128" s="1319">
        <f t="shared" ca="1" si="1264"/>
        <v>0</v>
      </c>
      <c r="CA128" s="1334"/>
      <c r="CD128" s="1319">
        <f t="shared" ca="1" si="1265"/>
        <v>-0.18691852976872864</v>
      </c>
      <c r="CE128" s="1319">
        <f t="shared" ca="1" si="1265"/>
        <v>-0.18691852976872864</v>
      </c>
      <c r="CF128" s="1319">
        <f t="shared" ca="1" si="1265"/>
        <v>-1.8691852976872866E-2</v>
      </c>
      <c r="CG128" s="1319">
        <f t="shared" ca="1" si="1265"/>
        <v>-1.8691852976872866E-2</v>
      </c>
      <c r="CH128" s="1319">
        <f t="shared" ca="1" si="1265"/>
        <v>-0.18691852976872864</v>
      </c>
      <c r="CI128" s="1319">
        <f t="shared" ca="1" si="1265"/>
        <v>0</v>
      </c>
      <c r="CJ128" s="1319">
        <f t="shared" ca="1" si="1265"/>
        <v>0</v>
      </c>
      <c r="CK128" s="1319">
        <f t="shared" ca="1" si="1265"/>
        <v>-0.18691852976872864</v>
      </c>
      <c r="CL128" s="1319">
        <f t="shared" ca="1" si="1265"/>
        <v>-2.0274337973063323E-13</v>
      </c>
      <c r="CM128" s="1319">
        <f t="shared" ca="1" si="1265"/>
        <v>0</v>
      </c>
      <c r="CN128" s="1319">
        <f t="shared" ca="1" si="1265"/>
        <v>-0.18691852976872864</v>
      </c>
      <c r="CO128" s="1319">
        <f t="shared" ca="1" si="1265"/>
        <v>0</v>
      </c>
      <c r="CX128" s="1334"/>
      <c r="DA128" s="1319">
        <f t="shared" ca="1" si="1266"/>
        <v>0</v>
      </c>
      <c r="DB128" s="1319">
        <f t="shared" ca="1" si="1266"/>
        <v>0</v>
      </c>
      <c r="DC128" s="1319">
        <f t="shared" ca="1" si="1266"/>
        <v>0</v>
      </c>
      <c r="DD128" s="1319">
        <f t="shared" ca="1" si="1266"/>
        <v>0</v>
      </c>
      <c r="DE128" s="1319">
        <f t="shared" ca="1" si="1266"/>
        <v>0</v>
      </c>
      <c r="DF128" s="1319">
        <f t="shared" ca="1" si="1266"/>
        <v>0</v>
      </c>
      <c r="DG128" s="1319">
        <f t="shared" ca="1" si="1266"/>
        <v>0</v>
      </c>
      <c r="DH128" s="1319">
        <f t="shared" ca="1" si="1266"/>
        <v>0</v>
      </c>
      <c r="DI128" s="1319">
        <f t="shared" ca="1" si="1266"/>
        <v>0</v>
      </c>
      <c r="DJ128" s="1319">
        <f t="shared" ca="1" si="1266"/>
        <v>0</v>
      </c>
      <c r="DS128" s="1334"/>
      <c r="DV128" s="1319">
        <f t="shared" ca="1" si="1267"/>
        <v>0</v>
      </c>
      <c r="DW128" s="1319">
        <f t="shared" ca="1" si="1267"/>
        <v>0</v>
      </c>
      <c r="DX128" s="1319">
        <f t="shared" ca="1" si="1267"/>
        <v>0</v>
      </c>
      <c r="DY128" s="1319">
        <f t="shared" ca="1" si="1267"/>
        <v>0</v>
      </c>
      <c r="DZ128" s="1319">
        <f t="shared" ca="1" si="1267"/>
        <v>0</v>
      </c>
      <c r="EA128" s="1319">
        <f t="shared" ca="1" si="1267"/>
        <v>0</v>
      </c>
      <c r="EB128" s="1319">
        <f t="shared" ca="1" si="1267"/>
        <v>0</v>
      </c>
      <c r="EC128" s="1319">
        <f t="shared" ca="1" si="1267"/>
        <v>0</v>
      </c>
      <c r="ED128" s="1319">
        <f t="shared" ca="1" si="1267"/>
        <v>0</v>
      </c>
      <c r="EE128" s="1319">
        <f t="shared" ca="1" si="1267"/>
        <v>0</v>
      </c>
      <c r="EF128" s="1319">
        <f t="shared" ca="1" si="1267"/>
        <v>0</v>
      </c>
      <c r="EG128" s="1319">
        <f t="shared" ca="1" si="1267"/>
        <v>0</v>
      </c>
      <c r="EH128" s="1319">
        <f t="shared" ca="1" si="1267"/>
        <v>0</v>
      </c>
      <c r="EI128" s="1319">
        <f t="shared" ca="1" si="1267"/>
        <v>0</v>
      </c>
      <c r="EJ128" s="1319">
        <f t="shared" ca="1" si="1267"/>
        <v>0</v>
      </c>
      <c r="EK128" s="1319">
        <f t="shared" ca="1" si="1267"/>
        <v>0</v>
      </c>
      <c r="ET128" s="1334"/>
      <c r="EW128" s="1319">
        <f t="shared" ca="1" si="1268"/>
        <v>-0.18691852976872864</v>
      </c>
      <c r="EX128" s="1319">
        <f t="shared" ca="1" si="1268"/>
        <v>-0.18691852976872864</v>
      </c>
      <c r="EY128" s="1319">
        <f t="shared" ca="1" si="1268"/>
        <v>-0.18691849795718177</v>
      </c>
      <c r="EZ128" s="1319">
        <f t="shared" ca="1" si="1268"/>
        <v>-0.18691849795718177</v>
      </c>
      <c r="FA128" s="1319">
        <f t="shared" ca="1" si="1268"/>
        <v>-1.9740192214086643E-19</v>
      </c>
      <c r="FB128" s="1319">
        <f t="shared" ca="1" si="1268"/>
        <v>-3.159126741414599E-8</v>
      </c>
      <c r="FK128" s="1334"/>
      <c r="FN128" s="1319">
        <f t="shared" ca="1" si="1269"/>
        <v>-2.0916773850725458E-14</v>
      </c>
      <c r="FO128" s="1319">
        <f t="shared" ca="1" si="1269"/>
        <v>-2.0274337973063323E-13</v>
      </c>
      <c r="FP128" s="1319">
        <f t="shared" ca="1" si="1269"/>
        <v>-1.9740192214086643E-19</v>
      </c>
      <c r="FQ128" s="1319">
        <f t="shared" ca="1" si="1269"/>
        <v>-3.159126741414599E-8</v>
      </c>
      <c r="FR128" s="1319">
        <f t="shared" ca="1" si="1269"/>
        <v>0</v>
      </c>
      <c r="FS128" s="1319">
        <f t="shared" ca="1" si="1269"/>
        <v>-3.1591267571240049E-8</v>
      </c>
      <c r="FT128" s="1319">
        <f t="shared" ca="1" si="1269"/>
        <v>0</v>
      </c>
      <c r="FU128" s="1319">
        <f t="shared" ca="1" si="1269"/>
        <v>-2.2366035112713731E-13</v>
      </c>
      <c r="FV128" s="1319">
        <f t="shared" ca="1" si="1269"/>
        <v>0</v>
      </c>
      <c r="FW128" s="1319">
        <f t="shared" ca="1" si="1269"/>
        <v>0</v>
      </c>
      <c r="FX128" s="1319">
        <f t="shared" ca="1" si="1269"/>
        <v>0</v>
      </c>
      <c r="GG128" s="1334"/>
      <c r="GJ128" s="1319">
        <f t="shared" ca="1" si="1270"/>
        <v>0</v>
      </c>
      <c r="GK128" s="1319">
        <f t="shared" ca="1" si="1270"/>
        <v>0</v>
      </c>
      <c r="GL128" s="1319">
        <f t="shared" ca="1" si="1270"/>
        <v>0</v>
      </c>
      <c r="GM128" s="1319">
        <f t="shared" ca="1" si="1270"/>
        <v>0</v>
      </c>
      <c r="GN128" s="1319">
        <f t="shared" ca="1" si="1270"/>
        <v>0</v>
      </c>
      <c r="GO128" s="1319">
        <f t="shared" ca="1" si="1270"/>
        <v>0</v>
      </c>
      <c r="GP128" s="1319">
        <f t="shared" ca="1" si="1270"/>
        <v>0</v>
      </c>
      <c r="GQ128" s="1319">
        <f t="shared" ca="1" si="1270"/>
        <v>0</v>
      </c>
      <c r="GZ128" s="1334"/>
      <c r="HC128" s="1319">
        <f t="shared" ca="1" si="1271"/>
        <v>-0.18691849795718177</v>
      </c>
      <c r="HD128" s="1319">
        <f t="shared" ca="1" si="1271"/>
        <v>-0.17995922762732167</v>
      </c>
      <c r="HE128" s="1319">
        <f t="shared" ca="1" si="1271"/>
        <v>0</v>
      </c>
      <c r="HF128" s="1319">
        <f t="shared" ca="1" si="1271"/>
        <v>-1.4602748279568431E-12</v>
      </c>
      <c r="HG128" s="1319">
        <f t="shared" ca="1" si="1271"/>
        <v>-6.9592704084071822E-3</v>
      </c>
      <c r="HH128" s="1319">
        <f t="shared" ca="1" si="1271"/>
        <v>-0.17995922762732167</v>
      </c>
      <c r="HQ128" s="1334"/>
      <c r="HT128" s="1319">
        <f t="shared" ca="1" si="1272"/>
        <v>-8.6835665676917351E-8</v>
      </c>
      <c r="HU128" s="1319">
        <f t="shared" ca="1" si="1272"/>
        <v>-0.17995922762732167</v>
      </c>
      <c r="HV128" s="1319">
        <f t="shared" ca="1" si="1272"/>
        <v>-0.179959314421789</v>
      </c>
      <c r="HW128" s="1319">
        <f t="shared" ca="1" si="1272"/>
        <v>-0.179959314421789</v>
      </c>
      <c r="HX128" s="1319">
        <f t="shared" ca="1" si="1272"/>
        <v>-1.5051740340072665E-2</v>
      </c>
      <c r="HY128" s="1319">
        <f t="shared" ca="1" si="1272"/>
        <v>-1.1445979814524527E-3</v>
      </c>
      <c r="HZ128" s="1319">
        <f t="shared" ca="1" si="1272"/>
        <v>-7.2718090379588225E-14</v>
      </c>
      <c r="IA128" s="1319">
        <f t="shared" ca="1" si="1272"/>
        <v>-2.2199572710673216E-14</v>
      </c>
      <c r="IB128" s="1319">
        <f t="shared" ca="1" si="1272"/>
        <v>0</v>
      </c>
      <c r="IC128" s="1319">
        <f t="shared" ca="1" si="1272"/>
        <v>0</v>
      </c>
      <c r="ID128" s="1319">
        <f t="shared" ca="1" si="1272"/>
        <v>0</v>
      </c>
      <c r="IE128" s="1319">
        <f t="shared" ca="1" si="1272"/>
        <v>0</v>
      </c>
      <c r="IN128" s="1334"/>
      <c r="IQ128" s="1319">
        <f t="shared" ca="1" si="1273"/>
        <v>-1.5051740340072665E-2</v>
      </c>
      <c r="IR128" s="1319">
        <f t="shared" ca="1" si="1273"/>
        <v>-1.1445979814524527E-3</v>
      </c>
      <c r="IS128" s="1319">
        <f t="shared" ca="1" si="1273"/>
        <v>-1.8357726795978818E-4</v>
      </c>
      <c r="IT128" s="1319">
        <f t="shared" ca="1" si="1273"/>
        <v>-1.3281752470558302E-3</v>
      </c>
      <c r="IU128" s="1319">
        <f t="shared" ca="1" si="1273"/>
        <v>-1.2395813457944679E-3</v>
      </c>
      <c r="IV128" s="1319">
        <f t="shared" ca="1" si="1273"/>
        <v>-5.3812657740410419E-3</v>
      </c>
      <c r="IW128" s="1319">
        <f t="shared" ca="1" si="1273"/>
        <v>-4.4058544294639755E-3</v>
      </c>
      <c r="IX128" s="1319">
        <f t="shared" ca="1" si="1273"/>
        <v>-4.3571882610554293E-15</v>
      </c>
      <c r="IY128" s="1319">
        <f t="shared" ca="1" si="1273"/>
        <v>-8.8593903617772957E-5</v>
      </c>
      <c r="IZ128" s="1319">
        <f t="shared" ca="1" si="1273"/>
        <v>-7.9183408290104068E-4</v>
      </c>
      <c r="JA128" s="1319">
        <f t="shared" ca="1" si="1273"/>
        <v>-4.5894317186314613E-3</v>
      </c>
      <c r="JB128" s="1319">
        <f t="shared" ca="1" si="1274"/>
        <v>0</v>
      </c>
      <c r="JC128" s="1319">
        <f t="shared" ca="1" si="1274"/>
        <v>-7.9183408290104068E-4</v>
      </c>
      <c r="JD128" s="1319">
        <f t="shared" ca="1" si="1274"/>
        <v>0</v>
      </c>
      <c r="JE128" s="1319">
        <f t="shared" ca="1" si="1274"/>
        <v>-7.9183408290104068E-4</v>
      </c>
      <c r="JF128" s="1319">
        <f t="shared" ca="1" si="1274"/>
        <v>0</v>
      </c>
      <c r="JG128" s="1319">
        <f t="shared" ca="1" si="1274"/>
        <v>0</v>
      </c>
      <c r="JH128" s="1319">
        <f t="shared" ca="1" si="1274"/>
        <v>-2.2199572710673216E-14</v>
      </c>
      <c r="JQ128" s="1334"/>
      <c r="JT128" s="1319">
        <f t="shared" ca="1" si="1275"/>
        <v>0</v>
      </c>
      <c r="JU128" s="1319">
        <f t="shared" ca="1" si="1275"/>
        <v>0</v>
      </c>
      <c r="JV128" s="1319">
        <f t="shared" ca="1" si="1275"/>
        <v>0</v>
      </c>
      <c r="JW128" s="1319">
        <f t="shared" ca="1" si="1275"/>
        <v>0</v>
      </c>
      <c r="JX128" s="1319">
        <f t="shared" ca="1" si="1275"/>
        <v>0</v>
      </c>
      <c r="JY128" s="1319">
        <f t="shared" ca="1" si="1275"/>
        <v>0</v>
      </c>
      <c r="JZ128" s="1319">
        <f t="shared" ca="1" si="1275"/>
        <v>0</v>
      </c>
      <c r="KA128" s="1319">
        <f t="shared" ca="1" si="1275"/>
        <v>0</v>
      </c>
      <c r="KB128" s="1319">
        <f t="shared" ca="1" si="1275"/>
        <v>0</v>
      </c>
      <c r="KC128" s="1319">
        <f t="shared" ca="1" si="1275"/>
        <v>0</v>
      </c>
      <c r="KI128" s="1334"/>
      <c r="KL128" s="1319">
        <f t="shared" ca="1" si="1276"/>
        <v>0</v>
      </c>
      <c r="KM128" s="1319">
        <f t="shared" ca="1" si="1276"/>
        <v>0</v>
      </c>
      <c r="KN128" s="1319">
        <f t="shared" ca="1" si="1276"/>
        <v>0</v>
      </c>
      <c r="KO128" s="1319">
        <f t="shared" ca="1" si="1276"/>
        <v>0</v>
      </c>
      <c r="KP128" s="1319">
        <f t="shared" ca="1" si="1276"/>
        <v>0</v>
      </c>
      <c r="KQ128" s="1319">
        <f t="shared" ca="1" si="1276"/>
        <v>0</v>
      </c>
      <c r="KR128" s="1319">
        <f t="shared" ca="1" si="1276"/>
        <v>0</v>
      </c>
      <c r="KX128" s="1334"/>
      <c r="LA128" s="1319">
        <f t="shared" ca="1" si="1277"/>
        <v>-1.4602748279568431E-12</v>
      </c>
      <c r="LB128" s="1319">
        <f t="shared" ca="1" si="1277"/>
        <v>-7.2718090379588225E-14</v>
      </c>
      <c r="LC128" s="1319">
        <f t="shared" ca="1" si="1277"/>
        <v>-1.5329929175509611E-12</v>
      </c>
      <c r="LD128" s="1319">
        <f t="shared" ca="1" si="1277"/>
        <v>-1.5329929175509611E-12</v>
      </c>
      <c r="LE128" s="1319">
        <f t="shared" ca="1" si="1277"/>
        <v>0</v>
      </c>
      <c r="LF128" s="1319">
        <f t="shared" ca="1" si="1277"/>
        <v>0</v>
      </c>
      <c r="LG128" s="1319">
        <f t="shared" ca="1" si="1277"/>
        <v>0</v>
      </c>
      <c r="LH128" s="1319">
        <f t="shared" ca="1" si="1277"/>
        <v>0</v>
      </c>
      <c r="LI128" s="1319">
        <f t="shared" ca="1" si="1277"/>
        <v>0</v>
      </c>
      <c r="LJ128" s="1319">
        <f t="shared" ca="1" si="1277"/>
        <v>0</v>
      </c>
      <c r="LK128" s="1319">
        <f t="shared" ca="1" si="1277"/>
        <v>0</v>
      </c>
      <c r="LT128" s="1334"/>
      <c r="LW128" s="1319">
        <f t="shared" ca="1" si="1278"/>
        <v>0</v>
      </c>
      <c r="LX128" s="1319">
        <f t="shared" ca="1" si="1278"/>
        <v>0</v>
      </c>
      <c r="LY128" s="1319">
        <f t="shared" ca="1" si="1278"/>
        <v>-6.9592704084071822E-3</v>
      </c>
      <c r="LZ128" s="1319">
        <f t="shared" ca="1" si="1278"/>
        <v>-8.8593903617772957E-5</v>
      </c>
      <c r="MA128" s="1319">
        <f t="shared" ca="1" si="1278"/>
        <v>-7.0478643096685461E-3</v>
      </c>
      <c r="MB128" s="1319">
        <f t="shared" ca="1" si="1278"/>
        <v>-1.5329929175509611E-12</v>
      </c>
      <c r="MC128" s="1319">
        <f t="shared" ca="1" si="1278"/>
        <v>0</v>
      </c>
      <c r="MD128" s="1319">
        <f t="shared" ca="1" si="1278"/>
        <v>0</v>
      </c>
      <c r="ME128" s="1319">
        <f t="shared" ca="1" si="1278"/>
        <v>0</v>
      </c>
      <c r="MF128" s="1319">
        <f t="shared" ca="1" si="1278"/>
        <v>0</v>
      </c>
      <c r="MG128" s="1319">
        <f t="shared" ca="1" si="1279"/>
        <v>0</v>
      </c>
      <c r="MH128" s="1319">
        <f t="shared" ca="1" si="1279"/>
        <v>0</v>
      </c>
      <c r="MI128" s="1319">
        <f t="shared" ca="1" si="1279"/>
        <v>0</v>
      </c>
      <c r="MJ128" s="1319">
        <f t="shared" ca="1" si="1279"/>
        <v>0</v>
      </c>
      <c r="MK128" s="1319">
        <f t="shared" ca="1" si="1279"/>
        <v>0</v>
      </c>
      <c r="ML128" s="1319">
        <f t="shared" ca="1" si="1279"/>
        <v>0</v>
      </c>
      <c r="MM128" s="1319">
        <f t="shared" ca="1" si="1279"/>
        <v>0</v>
      </c>
      <c r="MN128" s="1319">
        <f t="shared" ca="1" si="1279"/>
        <v>0</v>
      </c>
      <c r="MO128" s="1319">
        <f t="shared" ca="1" si="1279"/>
        <v>0</v>
      </c>
      <c r="MX128" s="1334"/>
      <c r="NA128" s="1319">
        <f t="shared" ca="1" si="1280"/>
        <v>-7.8059239672265067E-8</v>
      </c>
      <c r="NB128" s="1319">
        <f t="shared" ca="1" si="1280"/>
        <v>-1.9497711682909507E-13</v>
      </c>
      <c r="NC128" s="1319">
        <f t="shared" ca="1" si="1280"/>
        <v>-7.8059044875632418E-8</v>
      </c>
      <c r="ND128" s="1319">
        <f t="shared" ca="1" si="1280"/>
        <v>0</v>
      </c>
      <c r="NE128" s="1319">
        <f t="shared" ca="1" si="1280"/>
        <v>0</v>
      </c>
      <c r="NF128" s="1319">
        <f t="shared" ca="1" si="1280"/>
        <v>0</v>
      </c>
      <c r="NG128" s="1319">
        <f t="shared" ca="1" si="1280"/>
        <v>0</v>
      </c>
      <c r="NH128" s="1319">
        <f t="shared" ca="1" si="1280"/>
        <v>0</v>
      </c>
      <c r="NI128" s="1319">
        <f t="shared" ca="1" si="1280"/>
        <v>0</v>
      </c>
      <c r="NJ128" s="1319">
        <f t="shared" ca="1" si="1280"/>
        <v>0</v>
      </c>
      <c r="NK128" s="1319">
        <f t="shared" ca="1" si="1280"/>
        <v>0</v>
      </c>
      <c r="NL128" s="1319">
        <f t="shared" ca="1" si="1280"/>
        <v>0</v>
      </c>
      <c r="NM128" s="1319">
        <f t="shared" ca="1" si="1280"/>
        <v>0</v>
      </c>
      <c r="NN128" s="1319">
        <f t="shared" ca="1" si="1280"/>
        <v>0</v>
      </c>
      <c r="NO128" s="1319">
        <f t="shared" ca="1" si="1280"/>
        <v>0</v>
      </c>
      <c r="NP128" s="1319">
        <f t="shared" ca="1" si="1280"/>
        <v>0</v>
      </c>
      <c r="NY128" s="1334"/>
      <c r="OE128" s="1334"/>
      <c r="OH128" s="1319">
        <f t="shared" ca="1" si="1281"/>
        <v>0</v>
      </c>
      <c r="OI128" s="1319">
        <f t="shared" ca="1" si="1281"/>
        <v>0</v>
      </c>
      <c r="OJ128" s="1319">
        <f t="shared" ca="1" si="1281"/>
        <v>0</v>
      </c>
      <c r="OK128" s="1319">
        <f t="shared" ca="1" si="1281"/>
        <v>0</v>
      </c>
      <c r="OL128" s="1319">
        <f t="shared" ca="1" si="1281"/>
        <v>0</v>
      </c>
      <c r="OM128" s="1319">
        <f t="shared" ca="1" si="1281"/>
        <v>0</v>
      </c>
      <c r="ON128" s="1319">
        <f t="shared" ca="1" si="1281"/>
        <v>0</v>
      </c>
      <c r="OO128" s="1319">
        <f t="shared" ca="1" si="1281"/>
        <v>0</v>
      </c>
      <c r="OX128" s="1334"/>
      <c r="PA128" s="1319">
        <f t="shared" ca="1" si="1282"/>
        <v>0</v>
      </c>
      <c r="PB128" s="1319">
        <f t="shared" ca="1" si="1282"/>
        <v>0</v>
      </c>
      <c r="PC128" s="1319">
        <f t="shared" ca="1" si="1282"/>
        <v>0</v>
      </c>
      <c r="PD128" s="1319">
        <f t="shared" ca="1" si="1282"/>
        <v>0</v>
      </c>
      <c r="PE128" s="1319">
        <f t="shared" ca="1" si="1282"/>
        <v>0</v>
      </c>
      <c r="PF128" s="1319">
        <f t="shared" ca="1" si="1282"/>
        <v>0</v>
      </c>
      <c r="PG128" s="1319">
        <f t="shared" ca="1" si="1282"/>
        <v>0</v>
      </c>
      <c r="PH128" s="1319">
        <f t="shared" ca="1" si="1282"/>
        <v>0</v>
      </c>
      <c r="PI128" s="1319">
        <f t="shared" ca="1" si="1282"/>
        <v>0</v>
      </c>
      <c r="PJ128" s="1319">
        <f t="shared" ca="1" si="1282"/>
        <v>0</v>
      </c>
      <c r="PK128" s="1319">
        <f t="shared" ca="1" si="1282"/>
        <v>0</v>
      </c>
      <c r="PT128" s="1334"/>
      <c r="PW128" s="1319">
        <f t="shared" ca="1" si="1261"/>
        <v>0</v>
      </c>
      <c r="PX128" s="1319">
        <f t="shared" ca="1" si="1261"/>
        <v>0</v>
      </c>
      <c r="PY128" s="1319">
        <f t="shared" ca="1" si="1261"/>
        <v>0</v>
      </c>
      <c r="PZ128" s="1319">
        <f t="shared" ca="1" si="1261"/>
        <v>0</v>
      </c>
    </row>
    <row r="129" spans="1:442" x14ac:dyDescent="0.25">
      <c r="A129" s="189">
        <v>18</v>
      </c>
      <c r="B129" s="189" t="s">
        <v>1256</v>
      </c>
      <c r="C129" s="1317" t="s">
        <v>1281</v>
      </c>
      <c r="D129" s="1317" t="s">
        <v>206</v>
      </c>
      <c r="E129" s="1318">
        <v>180.16</v>
      </c>
      <c r="F129" s="1316">
        <v>-0.61003928257999984</v>
      </c>
      <c r="G129" s="1334"/>
      <c r="J129" s="1319">
        <f t="shared" ca="1" si="1239"/>
        <v>-41.338603951096367</v>
      </c>
      <c r="K129" s="1319">
        <f t="shared" ca="1" si="1239"/>
        <v>-41.338603951096367</v>
      </c>
      <c r="Q129" s="1334"/>
      <c r="T129" s="1319">
        <f t="shared" ca="1" si="1262"/>
        <v>-41.338603951096367</v>
      </c>
      <c r="U129" s="1319">
        <f t="shared" ca="1" si="1262"/>
        <v>0</v>
      </c>
      <c r="V129" s="1319">
        <f t="shared" ca="1" si="1262"/>
        <v>-3.146242885637227E-7</v>
      </c>
      <c r="W129" s="1319">
        <f t="shared" ca="1" si="1262"/>
        <v>0</v>
      </c>
      <c r="X129" s="1319">
        <f t="shared" ca="1" si="1262"/>
        <v>0</v>
      </c>
      <c r="Y129" s="1319">
        <f t="shared" ca="1" si="1262"/>
        <v>-41.338604289706097</v>
      </c>
      <c r="Z129" s="1319">
        <f t="shared" ca="1" si="1262"/>
        <v>-1.1441121537102523E-6</v>
      </c>
      <c r="AA129" s="1319">
        <f t="shared" ca="1" si="1262"/>
        <v>-41.33860327387692</v>
      </c>
      <c r="AB129" s="1319">
        <f t="shared" ca="1" si="1262"/>
        <v>0</v>
      </c>
      <c r="AC129" s="1319">
        <f t="shared" ca="1" si="1262"/>
        <v>-3.146242885637227E-7</v>
      </c>
      <c r="AD129" s="1319">
        <f t="shared" ca="1" si="1262"/>
        <v>0</v>
      </c>
      <c r="AJ129" s="1334"/>
      <c r="AM129" s="1319">
        <f t="shared" ca="1" si="1263"/>
        <v>0</v>
      </c>
      <c r="AN129" s="1319">
        <f t="shared" ca="1" si="1263"/>
        <v>0</v>
      </c>
      <c r="AO129" s="1319">
        <f t="shared" ca="1" si="1263"/>
        <v>-41.33860327387692</v>
      </c>
      <c r="AP129" s="1319">
        <f t="shared" ca="1" si="1263"/>
        <v>-41.33860327387692</v>
      </c>
      <c r="AQ129" s="1319">
        <f t="shared" ca="1" si="1263"/>
        <v>-5.9607705251921457E-8</v>
      </c>
      <c r="AR129" s="1319">
        <f t="shared" ca="1" si="1263"/>
        <v>-8.4101615088824989E-14</v>
      </c>
      <c r="AS129" s="1319">
        <f t="shared" ca="1" si="1263"/>
        <v>-1.1441120690578208E-6</v>
      </c>
      <c r="AT129" s="1319">
        <f t="shared" ca="1" si="1263"/>
        <v>-9.0064689142122948E-16</v>
      </c>
      <c r="AU129" s="1319">
        <f t="shared" ca="1" si="1263"/>
        <v>-5.9607788549914077E-8</v>
      </c>
      <c r="AV129" s="1319">
        <f t="shared" ca="1" si="1263"/>
        <v>-41.33860327387692</v>
      </c>
      <c r="AW129" s="1319">
        <f t="shared" ca="1" si="1263"/>
        <v>-9.0064689142122948E-16</v>
      </c>
      <c r="AX129" s="1319">
        <f t="shared" ca="1" si="1263"/>
        <v>-1.2037198586235641E-6</v>
      </c>
      <c r="AY129" s="1319">
        <f t="shared" ca="1" si="1263"/>
        <v>0</v>
      </c>
      <c r="AZ129" s="1319">
        <f t="shared" ca="1" si="1263"/>
        <v>0</v>
      </c>
      <c r="BA129" s="1319">
        <f t="shared" ca="1" si="1263"/>
        <v>0</v>
      </c>
      <c r="BB129" s="1319">
        <f t="shared" ca="1" si="1263"/>
        <v>-41.33860327387692</v>
      </c>
      <c r="BK129" s="1334"/>
      <c r="BN129" s="1319">
        <f t="shared" ca="1" si="1264"/>
        <v>-4.1338603273876915</v>
      </c>
      <c r="BO129" s="1319">
        <f t="shared" ca="1" si="1264"/>
        <v>-4.1338603273876915</v>
      </c>
      <c r="BP129" s="1319">
        <f t="shared" ca="1" si="1264"/>
        <v>-2.5246514683552773E-14</v>
      </c>
      <c r="BQ129" s="1319">
        <f t="shared" ca="1" si="1264"/>
        <v>0</v>
      </c>
      <c r="BR129" s="1319">
        <f t="shared" ca="1" si="1264"/>
        <v>0</v>
      </c>
      <c r="CA129" s="1334"/>
      <c r="CD129" s="1319">
        <f t="shared" ca="1" si="1265"/>
        <v>-41.33860327387692</v>
      </c>
      <c r="CE129" s="1319">
        <f t="shared" ca="1" si="1265"/>
        <v>-41.33860327387692</v>
      </c>
      <c r="CF129" s="1319">
        <f t="shared" ca="1" si="1265"/>
        <v>-4.1338603273876915</v>
      </c>
      <c r="CG129" s="1319">
        <f t="shared" ca="1" si="1265"/>
        <v>-4.1338603273876915</v>
      </c>
      <c r="CH129" s="1319">
        <f t="shared" ca="1" si="1265"/>
        <v>-41.33860327387692</v>
      </c>
      <c r="CI129" s="1319">
        <f t="shared" ca="1" si="1265"/>
        <v>0</v>
      </c>
      <c r="CJ129" s="1319">
        <f t="shared" ca="1" si="1265"/>
        <v>0</v>
      </c>
      <c r="CK129" s="1319">
        <f t="shared" ca="1" si="1265"/>
        <v>-41.33860327387692</v>
      </c>
      <c r="CL129" s="1319">
        <f t="shared" ca="1" si="1265"/>
        <v>-2.4471095566413466E-13</v>
      </c>
      <c r="CM129" s="1319">
        <f t="shared" ca="1" si="1265"/>
        <v>0</v>
      </c>
      <c r="CN129" s="1319">
        <f t="shared" ca="1" si="1265"/>
        <v>-41.33860327387692</v>
      </c>
      <c r="CO129" s="1319">
        <f t="shared" ca="1" si="1265"/>
        <v>0</v>
      </c>
      <c r="CX129" s="1334"/>
      <c r="DA129" s="1319">
        <f t="shared" ca="1" si="1266"/>
        <v>0</v>
      </c>
      <c r="DB129" s="1319">
        <f t="shared" ca="1" si="1266"/>
        <v>0</v>
      </c>
      <c r="DC129" s="1319">
        <f t="shared" ca="1" si="1266"/>
        <v>0</v>
      </c>
      <c r="DD129" s="1319">
        <f t="shared" ca="1" si="1266"/>
        <v>0</v>
      </c>
      <c r="DE129" s="1319">
        <f t="shared" ca="1" si="1266"/>
        <v>0</v>
      </c>
      <c r="DF129" s="1319">
        <f t="shared" ca="1" si="1266"/>
        <v>0</v>
      </c>
      <c r="DG129" s="1319">
        <f t="shared" ca="1" si="1266"/>
        <v>0</v>
      </c>
      <c r="DH129" s="1319">
        <f t="shared" ca="1" si="1266"/>
        <v>0</v>
      </c>
      <c r="DI129" s="1319">
        <f t="shared" ca="1" si="1266"/>
        <v>0</v>
      </c>
      <c r="DJ129" s="1319">
        <f t="shared" ca="1" si="1266"/>
        <v>0</v>
      </c>
      <c r="DS129" s="1334"/>
      <c r="DV129" s="1319">
        <f t="shared" ca="1" si="1267"/>
        <v>0</v>
      </c>
      <c r="DW129" s="1319">
        <f t="shared" ca="1" si="1267"/>
        <v>0</v>
      </c>
      <c r="DX129" s="1319">
        <f t="shared" ca="1" si="1267"/>
        <v>0</v>
      </c>
      <c r="DY129" s="1319">
        <f t="shared" ca="1" si="1267"/>
        <v>0</v>
      </c>
      <c r="DZ129" s="1319">
        <f t="shared" ca="1" si="1267"/>
        <v>0</v>
      </c>
      <c r="EA129" s="1319">
        <f t="shared" ca="1" si="1267"/>
        <v>0</v>
      </c>
      <c r="EB129" s="1319">
        <f t="shared" ca="1" si="1267"/>
        <v>0</v>
      </c>
      <c r="EC129" s="1319">
        <f t="shared" ca="1" si="1267"/>
        <v>0</v>
      </c>
      <c r="ED129" s="1319">
        <f t="shared" ca="1" si="1267"/>
        <v>0</v>
      </c>
      <c r="EE129" s="1319">
        <f t="shared" ca="1" si="1267"/>
        <v>0</v>
      </c>
      <c r="EF129" s="1319">
        <f t="shared" ca="1" si="1267"/>
        <v>0</v>
      </c>
      <c r="EG129" s="1319">
        <f t="shared" ca="1" si="1267"/>
        <v>0</v>
      </c>
      <c r="EH129" s="1319">
        <f t="shared" ca="1" si="1267"/>
        <v>0</v>
      </c>
      <c r="EI129" s="1319">
        <f t="shared" ca="1" si="1267"/>
        <v>0</v>
      </c>
      <c r="EJ129" s="1319">
        <f t="shared" ca="1" si="1267"/>
        <v>0</v>
      </c>
      <c r="EK129" s="1319">
        <f t="shared" ca="1" si="1267"/>
        <v>0</v>
      </c>
      <c r="ET129" s="1334"/>
      <c r="EW129" s="1319">
        <f t="shared" ca="1" si="1268"/>
        <v>-41.33860327387692</v>
      </c>
      <c r="EX129" s="1319">
        <f t="shared" ca="1" si="1268"/>
        <v>-41.33860327387692</v>
      </c>
      <c r="EY129" s="1319">
        <f t="shared" ca="1" si="1268"/>
        <v>-41.338602935267197</v>
      </c>
      <c r="EZ129" s="1319">
        <f t="shared" ca="1" si="1268"/>
        <v>-41.338602935267197</v>
      </c>
      <c r="FA129" s="1319">
        <f t="shared" ca="1" si="1268"/>
        <v>-1.8432457095746494E-20</v>
      </c>
      <c r="FB129" s="1319">
        <f t="shared" ca="1" si="1268"/>
        <v>-3.1462428720928382E-7</v>
      </c>
      <c r="FK129" s="1334"/>
      <c r="FN129" s="1319">
        <f t="shared" ca="1" si="1269"/>
        <v>-2.5246514683552773E-14</v>
      </c>
      <c r="FO129" s="1319">
        <f t="shared" ca="1" si="1269"/>
        <v>-2.4471095566413466E-13</v>
      </c>
      <c r="FP129" s="1319">
        <f t="shared" ca="1" si="1269"/>
        <v>-1.8432457095746494E-20</v>
      </c>
      <c r="FQ129" s="1319">
        <f t="shared" ca="1" si="1269"/>
        <v>-3.1462428720928382E-7</v>
      </c>
      <c r="FR129" s="1319">
        <f t="shared" ca="1" si="1269"/>
        <v>0</v>
      </c>
      <c r="FS129" s="1319">
        <f t="shared" ca="1" si="1269"/>
        <v>-3.146242885637227E-7</v>
      </c>
      <c r="FT129" s="1319">
        <f t="shared" ca="1" si="1269"/>
        <v>0</v>
      </c>
      <c r="FU129" s="1319">
        <f t="shared" ca="1" si="1269"/>
        <v>-2.6995748893736137E-13</v>
      </c>
      <c r="FV129" s="1319">
        <f t="shared" ca="1" si="1269"/>
        <v>0</v>
      </c>
      <c r="FW129" s="1319">
        <f t="shared" ca="1" si="1269"/>
        <v>0</v>
      </c>
      <c r="FX129" s="1319">
        <f t="shared" ca="1" si="1269"/>
        <v>0</v>
      </c>
      <c r="GG129" s="1334"/>
      <c r="GJ129" s="1319">
        <f t="shared" ca="1" si="1270"/>
        <v>0</v>
      </c>
      <c r="GK129" s="1319">
        <f t="shared" ca="1" si="1270"/>
        <v>0</v>
      </c>
      <c r="GL129" s="1319">
        <f t="shared" ca="1" si="1270"/>
        <v>0</v>
      </c>
      <c r="GM129" s="1319">
        <f t="shared" ca="1" si="1270"/>
        <v>0</v>
      </c>
      <c r="GN129" s="1319">
        <f t="shared" ca="1" si="1270"/>
        <v>0</v>
      </c>
      <c r="GO129" s="1319">
        <f t="shared" ca="1" si="1270"/>
        <v>0</v>
      </c>
      <c r="GP129" s="1319">
        <f t="shared" ca="1" si="1270"/>
        <v>0</v>
      </c>
      <c r="GQ129" s="1319">
        <f t="shared" ca="1" si="1270"/>
        <v>0</v>
      </c>
      <c r="GZ129" s="1334"/>
      <c r="HC129" s="1319">
        <f t="shared" ca="1" si="1271"/>
        <v>-41.338602935267197</v>
      </c>
      <c r="HD129" s="1319">
        <f t="shared" ca="1" si="1271"/>
        <v>-39.799501523593456</v>
      </c>
      <c r="HE129" s="1319">
        <f t="shared" ca="1" si="1271"/>
        <v>0</v>
      </c>
      <c r="HF129" s="1319">
        <f t="shared" ca="1" si="1271"/>
        <v>-3.0170808591250575E-12</v>
      </c>
      <c r="HG129" s="1319">
        <f t="shared" ca="1" si="1271"/>
        <v>-1.5391013676544785</v>
      </c>
      <c r="HH129" s="1319">
        <f t="shared" ca="1" si="1271"/>
        <v>-39.799501523593456</v>
      </c>
      <c r="HQ129" s="1334"/>
      <c r="HT129" s="1319">
        <f t="shared" ca="1" si="1272"/>
        <v>-1.2037198586235641E-6</v>
      </c>
      <c r="HU129" s="1319">
        <f t="shared" ca="1" si="1272"/>
        <v>-39.799501523593456</v>
      </c>
      <c r="HV129" s="1319">
        <f t="shared" ca="1" si="1272"/>
        <v>-39.799502539422633</v>
      </c>
      <c r="HW129" s="1319">
        <f t="shared" ca="1" si="1272"/>
        <v>-39.799502539422633</v>
      </c>
      <c r="HX129" s="1319">
        <f t="shared" ca="1" si="1272"/>
        <v>-3.3288178570923366</v>
      </c>
      <c r="HY129" s="1319">
        <f t="shared" ca="1" si="1272"/>
        <v>-0.25313738567730859</v>
      </c>
      <c r="HZ129" s="1319">
        <f t="shared" ca="1" si="1272"/>
        <v>-7.7973347910370682E-14</v>
      </c>
      <c r="IA129" s="1319">
        <f t="shared" ca="1" si="1272"/>
        <v>-1.2673589222643789E-14</v>
      </c>
      <c r="IB129" s="1319">
        <f t="shared" ca="1" si="1272"/>
        <v>0</v>
      </c>
      <c r="IC129" s="1319">
        <f t="shared" ca="1" si="1272"/>
        <v>0</v>
      </c>
      <c r="ID129" s="1319">
        <f t="shared" ca="1" si="1272"/>
        <v>0</v>
      </c>
      <c r="IE129" s="1319">
        <f t="shared" ca="1" si="1272"/>
        <v>0</v>
      </c>
      <c r="IN129" s="1334"/>
      <c r="IQ129" s="1319">
        <f t="shared" ca="1" si="1273"/>
        <v>-3.3288178570923366</v>
      </c>
      <c r="IR129" s="1319">
        <f t="shared" ca="1" si="1273"/>
        <v>-0.25313738567730859</v>
      </c>
      <c r="IS129" s="1319">
        <f t="shared" ca="1" si="1273"/>
        <v>-5.036116789983747E-3</v>
      </c>
      <c r="IT129" s="1319">
        <f t="shared" ca="1" si="1273"/>
        <v>-0.25817350239957043</v>
      </c>
      <c r="IU129" s="1319">
        <f t="shared" ca="1" si="1273"/>
        <v>-0.2409524327392826</v>
      </c>
      <c r="IV129" s="1319">
        <f t="shared" ca="1" si="1273"/>
        <v>-0.14762548370081363</v>
      </c>
      <c r="IW129" s="1319">
        <f t="shared" ca="1" si="1273"/>
        <v>-0.12086680302733185</v>
      </c>
      <c r="IX129" s="1319">
        <f t="shared" ca="1" si="1273"/>
        <v>-5.5542005741824034E-16</v>
      </c>
      <c r="IY129" s="1319">
        <f t="shared" ca="1" si="1273"/>
        <v>-1.7221069626426853E-2</v>
      </c>
      <c r="IZ129" s="1319">
        <f t="shared" ca="1" si="1273"/>
        <v>-2.1722563849637055E-2</v>
      </c>
      <c r="JA129" s="1319">
        <f t="shared" ca="1" si="1273"/>
        <v>-0.12590291974959367</v>
      </c>
      <c r="JB129" s="1319">
        <f t="shared" ca="1" si="1274"/>
        <v>0</v>
      </c>
      <c r="JC129" s="1319">
        <f t="shared" ca="1" si="1274"/>
        <v>-2.1722563849637055E-2</v>
      </c>
      <c r="JD129" s="1319">
        <f t="shared" ca="1" si="1274"/>
        <v>0</v>
      </c>
      <c r="JE129" s="1319">
        <f t="shared" ca="1" si="1274"/>
        <v>-2.1722563849637055E-2</v>
      </c>
      <c r="JF129" s="1319">
        <f t="shared" ca="1" si="1274"/>
        <v>0</v>
      </c>
      <c r="JG129" s="1319">
        <f t="shared" ca="1" si="1274"/>
        <v>0</v>
      </c>
      <c r="JH129" s="1319">
        <f t="shared" ca="1" si="1274"/>
        <v>-1.2673589222643789E-14</v>
      </c>
      <c r="JQ129" s="1334"/>
      <c r="JT129" s="1319">
        <f t="shared" ca="1" si="1275"/>
        <v>0</v>
      </c>
      <c r="JU129" s="1319">
        <f t="shared" ca="1" si="1275"/>
        <v>0</v>
      </c>
      <c r="JV129" s="1319">
        <f t="shared" ca="1" si="1275"/>
        <v>0</v>
      </c>
      <c r="JW129" s="1319">
        <f t="shared" ca="1" si="1275"/>
        <v>0</v>
      </c>
      <c r="JX129" s="1319">
        <f t="shared" ca="1" si="1275"/>
        <v>0</v>
      </c>
      <c r="JY129" s="1319">
        <f t="shared" ca="1" si="1275"/>
        <v>0</v>
      </c>
      <c r="JZ129" s="1319">
        <f t="shared" ca="1" si="1275"/>
        <v>0</v>
      </c>
      <c r="KA129" s="1319">
        <f t="shared" ca="1" si="1275"/>
        <v>0</v>
      </c>
      <c r="KB129" s="1319">
        <f t="shared" ca="1" si="1275"/>
        <v>0</v>
      </c>
      <c r="KC129" s="1319">
        <f t="shared" ca="1" si="1275"/>
        <v>0</v>
      </c>
      <c r="KI129" s="1334"/>
      <c r="KL129" s="1319">
        <f t="shared" ca="1" si="1276"/>
        <v>0</v>
      </c>
      <c r="KM129" s="1319">
        <f t="shared" ca="1" si="1276"/>
        <v>0</v>
      </c>
      <c r="KN129" s="1319">
        <f t="shared" ca="1" si="1276"/>
        <v>0</v>
      </c>
      <c r="KO129" s="1319">
        <f t="shared" ca="1" si="1276"/>
        <v>0</v>
      </c>
      <c r="KP129" s="1319">
        <f t="shared" ca="1" si="1276"/>
        <v>0</v>
      </c>
      <c r="KQ129" s="1319">
        <f t="shared" ca="1" si="1276"/>
        <v>0</v>
      </c>
      <c r="KR129" s="1319">
        <f t="shared" ca="1" si="1276"/>
        <v>0</v>
      </c>
      <c r="KX129" s="1334"/>
      <c r="LA129" s="1319">
        <f t="shared" ca="1" si="1277"/>
        <v>-3.0170808591250575E-12</v>
      </c>
      <c r="LB129" s="1319">
        <f t="shared" ca="1" si="1277"/>
        <v>-7.7973347910370682E-14</v>
      </c>
      <c r="LC129" s="1319">
        <f t="shared" ca="1" si="1277"/>
        <v>-3.0950542070354278E-12</v>
      </c>
      <c r="LD129" s="1319">
        <f t="shared" ca="1" si="1277"/>
        <v>-3.0950542070354278E-12</v>
      </c>
      <c r="LE129" s="1319">
        <f t="shared" ca="1" si="1277"/>
        <v>0</v>
      </c>
      <c r="LF129" s="1319">
        <f t="shared" ca="1" si="1277"/>
        <v>0</v>
      </c>
      <c r="LG129" s="1319">
        <f t="shared" ca="1" si="1277"/>
        <v>0</v>
      </c>
      <c r="LH129" s="1319">
        <f t="shared" ca="1" si="1277"/>
        <v>0</v>
      </c>
      <c r="LI129" s="1319">
        <f t="shared" ca="1" si="1277"/>
        <v>0</v>
      </c>
      <c r="LJ129" s="1319">
        <f t="shared" ca="1" si="1277"/>
        <v>0</v>
      </c>
      <c r="LK129" s="1319">
        <f t="shared" ca="1" si="1277"/>
        <v>0</v>
      </c>
      <c r="LT129" s="1334"/>
      <c r="LW129" s="1319">
        <f t="shared" ca="1" si="1278"/>
        <v>0</v>
      </c>
      <c r="LX129" s="1319">
        <f t="shared" ca="1" si="1278"/>
        <v>0</v>
      </c>
      <c r="LY129" s="1319">
        <f t="shared" ca="1" si="1278"/>
        <v>-1.5391013676544785</v>
      </c>
      <c r="LZ129" s="1319">
        <f t="shared" ca="1" si="1278"/>
        <v>-1.7221069626426853E-2</v>
      </c>
      <c r="MA129" s="1319">
        <f t="shared" ca="1" si="1278"/>
        <v>-1.5563224386692052</v>
      </c>
      <c r="MB129" s="1319">
        <f t="shared" ca="1" si="1278"/>
        <v>-3.0950542070354278E-12</v>
      </c>
      <c r="MC129" s="1319">
        <f t="shared" ca="1" si="1278"/>
        <v>0</v>
      </c>
      <c r="MD129" s="1319">
        <f t="shared" ca="1" si="1278"/>
        <v>0</v>
      </c>
      <c r="ME129" s="1319">
        <f t="shared" ca="1" si="1278"/>
        <v>0</v>
      </c>
      <c r="MF129" s="1319">
        <f t="shared" ca="1" si="1278"/>
        <v>0</v>
      </c>
      <c r="MG129" s="1319">
        <f t="shared" ca="1" si="1279"/>
        <v>0</v>
      </c>
      <c r="MH129" s="1319">
        <f t="shared" ca="1" si="1279"/>
        <v>0</v>
      </c>
      <c r="MI129" s="1319">
        <f t="shared" ca="1" si="1279"/>
        <v>0</v>
      </c>
      <c r="MJ129" s="1319">
        <f t="shared" ca="1" si="1279"/>
        <v>0</v>
      </c>
      <c r="MK129" s="1319">
        <f t="shared" ca="1" si="1279"/>
        <v>0</v>
      </c>
      <c r="ML129" s="1319">
        <f t="shared" ca="1" si="1279"/>
        <v>0</v>
      </c>
      <c r="MM129" s="1319">
        <f t="shared" ca="1" si="1279"/>
        <v>0</v>
      </c>
      <c r="MN129" s="1319">
        <f t="shared" ca="1" si="1279"/>
        <v>0</v>
      </c>
      <c r="MO129" s="1319">
        <f t="shared" ca="1" si="1279"/>
        <v>0</v>
      </c>
      <c r="MX129" s="1334"/>
      <c r="NA129" s="1319">
        <f t="shared" ca="1" si="1280"/>
        <v>-1.1441121537102523E-6</v>
      </c>
      <c r="NB129" s="1319">
        <f t="shared" ca="1" si="1280"/>
        <v>-8.4101615088824989E-14</v>
      </c>
      <c r="NC129" s="1319">
        <f t="shared" ca="1" si="1280"/>
        <v>-1.1441120690578208E-6</v>
      </c>
      <c r="ND129" s="1319">
        <f t="shared" ca="1" si="1280"/>
        <v>0</v>
      </c>
      <c r="NE129" s="1319">
        <f t="shared" ca="1" si="1280"/>
        <v>0</v>
      </c>
      <c r="NF129" s="1319">
        <f t="shared" ca="1" si="1280"/>
        <v>0</v>
      </c>
      <c r="NG129" s="1319">
        <f t="shared" ca="1" si="1280"/>
        <v>0</v>
      </c>
      <c r="NH129" s="1319">
        <f t="shared" ca="1" si="1280"/>
        <v>0</v>
      </c>
      <c r="NI129" s="1319">
        <f t="shared" ca="1" si="1280"/>
        <v>0</v>
      </c>
      <c r="NJ129" s="1319">
        <f t="shared" ca="1" si="1280"/>
        <v>0</v>
      </c>
      <c r="NK129" s="1319">
        <f t="shared" ca="1" si="1280"/>
        <v>0</v>
      </c>
      <c r="NL129" s="1319">
        <f t="shared" ca="1" si="1280"/>
        <v>0</v>
      </c>
      <c r="NM129" s="1319">
        <f t="shared" ca="1" si="1280"/>
        <v>0</v>
      </c>
      <c r="NN129" s="1319">
        <f t="shared" ca="1" si="1280"/>
        <v>0</v>
      </c>
      <c r="NO129" s="1319">
        <f t="shared" ca="1" si="1280"/>
        <v>0</v>
      </c>
      <c r="NP129" s="1319">
        <f t="shared" ca="1" si="1280"/>
        <v>0</v>
      </c>
      <c r="NY129" s="1334"/>
      <c r="OE129" s="1334"/>
      <c r="OH129" s="1319">
        <f t="shared" ca="1" si="1281"/>
        <v>0</v>
      </c>
      <c r="OI129" s="1319">
        <f t="shared" ca="1" si="1281"/>
        <v>0</v>
      </c>
      <c r="OJ129" s="1319">
        <f t="shared" ca="1" si="1281"/>
        <v>0</v>
      </c>
      <c r="OK129" s="1319">
        <f t="shared" ca="1" si="1281"/>
        <v>0</v>
      </c>
      <c r="OL129" s="1319">
        <f t="shared" ca="1" si="1281"/>
        <v>0</v>
      </c>
      <c r="OM129" s="1319">
        <f t="shared" ca="1" si="1281"/>
        <v>0</v>
      </c>
      <c r="ON129" s="1319">
        <f t="shared" ca="1" si="1281"/>
        <v>0</v>
      </c>
      <c r="OO129" s="1319">
        <f t="shared" ca="1" si="1281"/>
        <v>0</v>
      </c>
      <c r="OX129" s="1334"/>
      <c r="PA129" s="1319">
        <f t="shared" ca="1" si="1282"/>
        <v>0</v>
      </c>
      <c r="PB129" s="1319">
        <f t="shared" ca="1" si="1282"/>
        <v>0</v>
      </c>
      <c r="PC129" s="1319">
        <f t="shared" ca="1" si="1282"/>
        <v>0</v>
      </c>
      <c r="PD129" s="1319">
        <f t="shared" ca="1" si="1282"/>
        <v>0</v>
      </c>
      <c r="PE129" s="1319">
        <f t="shared" ca="1" si="1282"/>
        <v>0</v>
      </c>
      <c r="PF129" s="1319">
        <f t="shared" ca="1" si="1282"/>
        <v>0</v>
      </c>
      <c r="PG129" s="1319">
        <f t="shared" ca="1" si="1282"/>
        <v>0</v>
      </c>
      <c r="PH129" s="1319">
        <f t="shared" ca="1" si="1282"/>
        <v>0</v>
      </c>
      <c r="PI129" s="1319">
        <f t="shared" ca="1" si="1282"/>
        <v>0</v>
      </c>
      <c r="PJ129" s="1319">
        <f t="shared" ca="1" si="1282"/>
        <v>0</v>
      </c>
      <c r="PK129" s="1319">
        <f t="shared" ca="1" si="1282"/>
        <v>0</v>
      </c>
      <c r="PT129" s="1334"/>
      <c r="PW129" s="1319">
        <f t="shared" ca="1" si="1261"/>
        <v>0</v>
      </c>
      <c r="PX129" s="1319">
        <f t="shared" ca="1" si="1261"/>
        <v>0</v>
      </c>
      <c r="PY129" s="1319">
        <f t="shared" ca="1" si="1261"/>
        <v>0</v>
      </c>
      <c r="PZ129" s="1319">
        <f t="shared" ca="1" si="1261"/>
        <v>0</v>
      </c>
    </row>
    <row r="130" spans="1:442" x14ac:dyDescent="0.25">
      <c r="A130" s="189">
        <v>19</v>
      </c>
      <c r="B130" s="189" t="s">
        <v>1256</v>
      </c>
      <c r="C130" s="1317" t="s">
        <v>1265</v>
      </c>
      <c r="D130" s="1317" t="s">
        <v>206</v>
      </c>
      <c r="E130" s="1318">
        <v>152.15</v>
      </c>
      <c r="F130" s="1316">
        <v>-0.87468325683999992</v>
      </c>
      <c r="G130" s="1334"/>
      <c r="J130" s="1319">
        <f t="shared" ca="1" si="1239"/>
        <v>0</v>
      </c>
      <c r="K130" s="1319">
        <f t="shared" ca="1" si="1239"/>
        <v>0</v>
      </c>
      <c r="Q130" s="1334"/>
      <c r="T130" s="1319">
        <f t="shared" ca="1" si="1262"/>
        <v>0</v>
      </c>
      <c r="U130" s="1319">
        <f t="shared" ca="1" si="1262"/>
        <v>0</v>
      </c>
      <c r="V130" s="1319">
        <f t="shared" ca="1" si="1262"/>
        <v>-2.417321702710531E-4</v>
      </c>
      <c r="W130" s="1319">
        <f t="shared" ca="1" si="1262"/>
        <v>0</v>
      </c>
      <c r="X130" s="1319">
        <f t="shared" ca="1" si="1262"/>
        <v>0</v>
      </c>
      <c r="Y130" s="1319">
        <f t="shared" ca="1" si="1262"/>
        <v>-3.7748551879386532</v>
      </c>
      <c r="Z130" s="1319">
        <f t="shared" ca="1" si="1262"/>
        <v>-4.0251142264789616E-4</v>
      </c>
      <c r="AA130" s="1319">
        <f t="shared" ca="1" si="1262"/>
        <v>-3.7744526784223145</v>
      </c>
      <c r="AB130" s="1319">
        <f t="shared" ca="1" si="1262"/>
        <v>0</v>
      </c>
      <c r="AC130" s="1319">
        <f t="shared" ca="1" si="1262"/>
        <v>-2.417321702710531E-4</v>
      </c>
      <c r="AD130" s="1319">
        <f t="shared" ca="1" si="1262"/>
        <v>0</v>
      </c>
      <c r="AJ130" s="1334"/>
      <c r="AM130" s="1319">
        <f t="shared" ca="1" si="1263"/>
        <v>0</v>
      </c>
      <c r="AN130" s="1319">
        <f t="shared" ca="1" si="1263"/>
        <v>0</v>
      </c>
      <c r="AO130" s="1319">
        <f t="shared" ca="1" si="1263"/>
        <v>-3.7744526784223145</v>
      </c>
      <c r="AP130" s="1319">
        <f t="shared" ca="1" si="1263"/>
        <v>-3.7744526784223145</v>
      </c>
      <c r="AQ130" s="1319">
        <f t="shared" ca="1" si="1263"/>
        <v>-1.2307156921749512E-4</v>
      </c>
      <c r="AR130" s="1319">
        <f t="shared" ca="1" si="1263"/>
        <v>-6.9769777132627717E-7</v>
      </c>
      <c r="AS130" s="1319">
        <f t="shared" ca="1" si="1263"/>
        <v>-4.0181372492256045E-4</v>
      </c>
      <c r="AT130" s="1319">
        <f t="shared" ca="1" si="1263"/>
        <v>-4.4279696666795744E-8</v>
      </c>
      <c r="AU130" s="1319">
        <f t="shared" ca="1" si="1263"/>
        <v>-1.2372498721678754E-4</v>
      </c>
      <c r="AV130" s="1319">
        <f t="shared" ca="1" si="1263"/>
        <v>-3.77432960764241</v>
      </c>
      <c r="AW130" s="1319">
        <f t="shared" ca="1" si="1263"/>
        <v>-4.4279696666795744E-8</v>
      </c>
      <c r="AX130" s="1319">
        <f t="shared" ca="1" si="1263"/>
        <v>-5.2558299186539128E-4</v>
      </c>
      <c r="AY130" s="1319">
        <f t="shared" ca="1" si="1263"/>
        <v>0</v>
      </c>
      <c r="AZ130" s="1319">
        <f t="shared" ca="1" si="1263"/>
        <v>0</v>
      </c>
      <c r="BA130" s="1319">
        <f t="shared" ca="1" si="1263"/>
        <v>0</v>
      </c>
      <c r="BB130" s="1319">
        <f t="shared" ca="1" si="1263"/>
        <v>-3.77432960764241</v>
      </c>
      <c r="BK130" s="1334"/>
      <c r="BN130" s="1319">
        <f t="shared" ca="1" si="1264"/>
        <v>-0.37743296076424099</v>
      </c>
      <c r="BO130" s="1319">
        <f t="shared" ca="1" si="1264"/>
        <v>-0.3774329504163616</v>
      </c>
      <c r="BP130" s="1319">
        <f t="shared" ca="1" si="1264"/>
        <v>-1.0428050189889944E-8</v>
      </c>
      <c r="BQ130" s="1319">
        <f t="shared" ca="1" si="1264"/>
        <v>0</v>
      </c>
      <c r="BR130" s="1319">
        <f t="shared" ca="1" si="1264"/>
        <v>0</v>
      </c>
      <c r="CA130" s="1334"/>
      <c r="CD130" s="1319">
        <f t="shared" ca="1" si="1265"/>
        <v>-3.77432960764241</v>
      </c>
      <c r="CE130" s="1319">
        <f t="shared" ca="1" si="1265"/>
        <v>-3.77432960764241</v>
      </c>
      <c r="CF130" s="1319">
        <f t="shared" ca="1" si="1265"/>
        <v>-0.37743296076424099</v>
      </c>
      <c r="CG130" s="1319">
        <f t="shared" ca="1" si="1265"/>
        <v>-0.3774329504163616</v>
      </c>
      <c r="CH130" s="1319">
        <f t="shared" ca="1" si="1265"/>
        <v>-3.77432960764241</v>
      </c>
      <c r="CI130" s="1319">
        <f t="shared" ca="1" si="1265"/>
        <v>0</v>
      </c>
      <c r="CJ130" s="1319">
        <f t="shared" ca="1" si="1265"/>
        <v>0</v>
      </c>
      <c r="CK130" s="1319">
        <f t="shared" ca="1" si="1265"/>
        <v>-3.7743294926659714</v>
      </c>
      <c r="CL130" s="1319">
        <f t="shared" ca="1" si="1265"/>
        <v>-1.0107764004058205E-7</v>
      </c>
      <c r="CM130" s="1319">
        <f t="shared" ca="1" si="1265"/>
        <v>0</v>
      </c>
      <c r="CN130" s="1319">
        <f t="shared" ca="1" si="1265"/>
        <v>-3.77432960764241</v>
      </c>
      <c r="CO130" s="1319">
        <f t="shared" ca="1" si="1265"/>
        <v>-1.1151368804903096E-7</v>
      </c>
      <c r="CX130" s="1334"/>
      <c r="DA130" s="1319">
        <f t="shared" ca="1" si="1266"/>
        <v>0</v>
      </c>
      <c r="DB130" s="1319">
        <f t="shared" ca="1" si="1266"/>
        <v>0</v>
      </c>
      <c r="DC130" s="1319">
        <f t="shared" ca="1" si="1266"/>
        <v>0</v>
      </c>
      <c r="DD130" s="1319">
        <f t="shared" ca="1" si="1266"/>
        <v>0</v>
      </c>
      <c r="DE130" s="1319">
        <f t="shared" ca="1" si="1266"/>
        <v>0</v>
      </c>
      <c r="DF130" s="1319">
        <f t="shared" ca="1" si="1266"/>
        <v>0</v>
      </c>
      <c r="DG130" s="1319">
        <f t="shared" ca="1" si="1266"/>
        <v>0</v>
      </c>
      <c r="DH130" s="1319">
        <f t="shared" ca="1" si="1266"/>
        <v>0</v>
      </c>
      <c r="DI130" s="1319">
        <f t="shared" ca="1" si="1266"/>
        <v>0</v>
      </c>
      <c r="DJ130" s="1319">
        <f t="shared" ca="1" si="1266"/>
        <v>0</v>
      </c>
      <c r="DS130" s="1334"/>
      <c r="DV130" s="1319">
        <f t="shared" ca="1" si="1267"/>
        <v>0</v>
      </c>
      <c r="DW130" s="1319">
        <f t="shared" ca="1" si="1267"/>
        <v>0</v>
      </c>
      <c r="DX130" s="1319">
        <f t="shared" ca="1" si="1267"/>
        <v>0</v>
      </c>
      <c r="DY130" s="1319">
        <f t="shared" ca="1" si="1267"/>
        <v>0</v>
      </c>
      <c r="DZ130" s="1319">
        <f t="shared" ca="1" si="1267"/>
        <v>0</v>
      </c>
      <c r="EA130" s="1319">
        <f t="shared" ca="1" si="1267"/>
        <v>0</v>
      </c>
      <c r="EB130" s="1319">
        <f t="shared" ca="1" si="1267"/>
        <v>0</v>
      </c>
      <c r="EC130" s="1319">
        <f t="shared" ca="1" si="1267"/>
        <v>0</v>
      </c>
      <c r="ED130" s="1319">
        <f t="shared" ca="1" si="1267"/>
        <v>0</v>
      </c>
      <c r="EE130" s="1319">
        <f t="shared" ca="1" si="1267"/>
        <v>0</v>
      </c>
      <c r="EF130" s="1319">
        <f t="shared" ca="1" si="1267"/>
        <v>0</v>
      </c>
      <c r="EG130" s="1319">
        <f t="shared" ca="1" si="1267"/>
        <v>0</v>
      </c>
      <c r="EH130" s="1319">
        <f t="shared" ca="1" si="1267"/>
        <v>0</v>
      </c>
      <c r="EI130" s="1319">
        <f t="shared" ca="1" si="1267"/>
        <v>0</v>
      </c>
      <c r="EJ130" s="1319">
        <f t="shared" ca="1" si="1267"/>
        <v>0</v>
      </c>
      <c r="EK130" s="1319">
        <f t="shared" ca="1" si="1267"/>
        <v>0</v>
      </c>
      <c r="ET130" s="1334"/>
      <c r="EW130" s="1319">
        <f t="shared" ca="1" si="1268"/>
        <v>-3.77432960764241</v>
      </c>
      <c r="EX130" s="1319">
        <f t="shared" ca="1" si="1268"/>
        <v>-3.77432960764241</v>
      </c>
      <c r="EY130" s="1319">
        <f t="shared" ca="1" si="1268"/>
        <v>-3.7740878754290228</v>
      </c>
      <c r="EZ130" s="1319">
        <f t="shared" ca="1" si="1268"/>
        <v>-3.7740878754290228</v>
      </c>
      <c r="FA130" s="1319">
        <f t="shared" ca="1" si="1268"/>
        <v>-7.9976474740364959E-12</v>
      </c>
      <c r="FB130" s="1319">
        <f t="shared" ca="1" si="1268"/>
        <v>-2.4173216912128868E-4</v>
      </c>
      <c r="FK130" s="1334"/>
      <c r="FN130" s="1319">
        <f t="shared" ca="1" si="1269"/>
        <v>-1.0428050189889944E-8</v>
      </c>
      <c r="FO130" s="1319">
        <f t="shared" ca="1" si="1269"/>
        <v>-1.0107764004058205E-7</v>
      </c>
      <c r="FP130" s="1319">
        <f t="shared" ca="1" si="1269"/>
        <v>-7.9976474740364959E-12</v>
      </c>
      <c r="FQ130" s="1319">
        <f t="shared" ca="1" si="1269"/>
        <v>-2.4173216912128868E-4</v>
      </c>
      <c r="FR130" s="1319">
        <f t="shared" ca="1" si="1269"/>
        <v>0</v>
      </c>
      <c r="FS130" s="1319">
        <f t="shared" ca="1" si="1269"/>
        <v>-2.417321702710531E-4</v>
      </c>
      <c r="FT130" s="1319">
        <f t="shared" ca="1" si="1269"/>
        <v>0</v>
      </c>
      <c r="FU130" s="1319">
        <f t="shared" ca="1" si="1269"/>
        <v>-1.1151368804903096E-7</v>
      </c>
      <c r="FV130" s="1319">
        <f t="shared" ca="1" si="1269"/>
        <v>0</v>
      </c>
      <c r="FW130" s="1319">
        <f t="shared" ca="1" si="1269"/>
        <v>-1.6169216529952588E-32</v>
      </c>
      <c r="FX130" s="1319">
        <f t="shared" ca="1" si="1269"/>
        <v>-1.1151368804903096E-7</v>
      </c>
      <c r="GG130" s="1334"/>
      <c r="GJ130" s="1319">
        <f t="shared" ca="1" si="1270"/>
        <v>0</v>
      </c>
      <c r="GK130" s="1319">
        <f t="shared" ca="1" si="1270"/>
        <v>0</v>
      </c>
      <c r="GL130" s="1319">
        <f t="shared" ca="1" si="1270"/>
        <v>0</v>
      </c>
      <c r="GM130" s="1319">
        <f t="shared" ca="1" si="1270"/>
        <v>0</v>
      </c>
      <c r="GN130" s="1319">
        <f t="shared" ca="1" si="1270"/>
        <v>0</v>
      </c>
      <c r="GO130" s="1319">
        <f t="shared" ca="1" si="1270"/>
        <v>0</v>
      </c>
      <c r="GP130" s="1319">
        <f t="shared" ca="1" si="1270"/>
        <v>0</v>
      </c>
      <c r="GQ130" s="1319">
        <f t="shared" ca="1" si="1270"/>
        <v>0</v>
      </c>
      <c r="GZ130" s="1334"/>
      <c r="HC130" s="1319">
        <f t="shared" ca="1" si="1271"/>
        <v>-3.7740878754290228</v>
      </c>
      <c r="HD130" s="1319">
        <f t="shared" ca="1" si="1271"/>
        <v>-3.6335726345548887</v>
      </c>
      <c r="HE130" s="1319">
        <f t="shared" ca="1" si="1271"/>
        <v>0</v>
      </c>
      <c r="HF130" s="1319">
        <f t="shared" ca="1" si="1271"/>
        <v>-1.6781211967701573E-7</v>
      </c>
      <c r="HG130" s="1319">
        <f t="shared" ca="1" si="1271"/>
        <v>-0.14051507473318053</v>
      </c>
      <c r="HH130" s="1319">
        <f t="shared" ca="1" si="1271"/>
        <v>-3.6335726345548887</v>
      </c>
      <c r="HQ130" s="1334"/>
      <c r="HT130" s="1319">
        <f t="shared" ca="1" si="1272"/>
        <v>-5.2558299186539128E-4</v>
      </c>
      <c r="HU130" s="1319">
        <f t="shared" ca="1" si="1272"/>
        <v>-3.6335726345548887</v>
      </c>
      <c r="HV130" s="1319">
        <f t="shared" ca="1" si="1272"/>
        <v>-3.6340982148511314</v>
      </c>
      <c r="HW130" s="1319">
        <f t="shared" ca="1" si="1272"/>
        <v>-3.6340982148511314</v>
      </c>
      <c r="HX130" s="1319">
        <f t="shared" ca="1" si="1272"/>
        <v>-0.3039548100395329</v>
      </c>
      <c r="HY130" s="1319">
        <f t="shared" ca="1" si="1272"/>
        <v>-2.3114009003727492E-2</v>
      </c>
      <c r="HZ130" s="1319">
        <f t="shared" ca="1" si="1272"/>
        <v>-3.1367499691975429E-8</v>
      </c>
      <c r="IA130" s="1319">
        <f t="shared" ca="1" si="1272"/>
        <v>-1.0860440013051241E-8</v>
      </c>
      <c r="IB130" s="1319">
        <f t="shared" ca="1" si="1272"/>
        <v>0</v>
      </c>
      <c r="IC130" s="1319">
        <f t="shared" ca="1" si="1272"/>
        <v>0</v>
      </c>
      <c r="ID130" s="1319">
        <f t="shared" ca="1" si="1272"/>
        <v>0</v>
      </c>
      <c r="IE130" s="1319">
        <f t="shared" ca="1" si="1272"/>
        <v>0</v>
      </c>
      <c r="IN130" s="1334"/>
      <c r="IQ130" s="1319">
        <f t="shared" ca="1" si="1273"/>
        <v>-0.3039548100395329</v>
      </c>
      <c r="IR130" s="1319">
        <f t="shared" ca="1" si="1273"/>
        <v>-2.3114009003727492E-2</v>
      </c>
      <c r="IS130" s="1319">
        <f t="shared" ca="1" si="1273"/>
        <v>-7.4320217465438959E-2</v>
      </c>
      <c r="IT130" s="1319">
        <f t="shared" ca="1" si="1273"/>
        <v>-9.7434226411678218E-2</v>
      </c>
      <c r="IU130" s="1319">
        <f t="shared" ca="1" si="1273"/>
        <v>-9.0935025125794669E-2</v>
      </c>
      <c r="IV130" s="1319">
        <f t="shared" ca="1" si="1273"/>
        <v>-2.1785749790262949</v>
      </c>
      <c r="IW130" s="1319">
        <f t="shared" ca="1" si="1273"/>
        <v>-1.7836852157212417</v>
      </c>
      <c r="IX130" s="1319">
        <f t="shared" ca="1" si="1273"/>
        <v>-7.2871672431366544E-8</v>
      </c>
      <c r="IY130" s="1319">
        <f t="shared" ca="1" si="1273"/>
        <v>-6.4992014008599941E-3</v>
      </c>
      <c r="IZ130" s="1319">
        <f t="shared" ca="1" si="1273"/>
        <v>-0.32056954468985011</v>
      </c>
      <c r="JA130" s="1319">
        <f t="shared" ca="1" si="1273"/>
        <v>-1.8580054337615626</v>
      </c>
      <c r="JB130" s="1319">
        <f t="shared" ca="1" si="1274"/>
        <v>0</v>
      </c>
      <c r="JC130" s="1319">
        <f t="shared" ca="1" si="1274"/>
        <v>-0.32056953376708841</v>
      </c>
      <c r="JD130" s="1319">
        <f t="shared" ca="1" si="1274"/>
        <v>0</v>
      </c>
      <c r="JE130" s="1319">
        <f t="shared" ca="1" si="1274"/>
        <v>-0.32056954468985011</v>
      </c>
      <c r="JF130" s="1319">
        <f t="shared" ca="1" si="1274"/>
        <v>0</v>
      </c>
      <c r="JG130" s="1319">
        <f t="shared" ca="1" si="1274"/>
        <v>0</v>
      </c>
      <c r="JH130" s="1319">
        <f t="shared" ca="1" si="1274"/>
        <v>-1.0860440013051241E-8</v>
      </c>
      <c r="JQ130" s="1334"/>
      <c r="JT130" s="1319">
        <f t="shared" ca="1" si="1275"/>
        <v>0</v>
      </c>
      <c r="JU130" s="1319">
        <f t="shared" ca="1" si="1275"/>
        <v>0</v>
      </c>
      <c r="JV130" s="1319">
        <f t="shared" ca="1" si="1275"/>
        <v>0</v>
      </c>
      <c r="JW130" s="1319">
        <f t="shared" ca="1" si="1275"/>
        <v>0</v>
      </c>
      <c r="JX130" s="1319">
        <f t="shared" ca="1" si="1275"/>
        <v>0</v>
      </c>
      <c r="JY130" s="1319">
        <f t="shared" ca="1" si="1275"/>
        <v>0</v>
      </c>
      <c r="JZ130" s="1319">
        <f t="shared" ca="1" si="1275"/>
        <v>0</v>
      </c>
      <c r="KA130" s="1319">
        <f t="shared" ca="1" si="1275"/>
        <v>0</v>
      </c>
      <c r="KB130" s="1319">
        <f t="shared" ca="1" si="1275"/>
        <v>0</v>
      </c>
      <c r="KC130" s="1319">
        <f t="shared" ca="1" si="1275"/>
        <v>0</v>
      </c>
      <c r="KI130" s="1334"/>
      <c r="KL130" s="1319">
        <f t="shared" ca="1" si="1276"/>
        <v>0</v>
      </c>
      <c r="KM130" s="1319">
        <f t="shared" ca="1" si="1276"/>
        <v>0</v>
      </c>
      <c r="KN130" s="1319">
        <f t="shared" ca="1" si="1276"/>
        <v>0</v>
      </c>
      <c r="KO130" s="1319">
        <f t="shared" ca="1" si="1276"/>
        <v>0</v>
      </c>
      <c r="KP130" s="1319">
        <f t="shared" ca="1" si="1276"/>
        <v>0</v>
      </c>
      <c r="KQ130" s="1319">
        <f t="shared" ca="1" si="1276"/>
        <v>0</v>
      </c>
      <c r="KR130" s="1319">
        <f t="shared" ca="1" si="1276"/>
        <v>0</v>
      </c>
      <c r="KX130" s="1334"/>
      <c r="LA130" s="1319">
        <f t="shared" ca="1" si="1277"/>
        <v>-1.6781211967701573E-7</v>
      </c>
      <c r="LB130" s="1319">
        <f t="shared" ca="1" si="1277"/>
        <v>-3.1367499691975429E-8</v>
      </c>
      <c r="LC130" s="1319">
        <f t="shared" ca="1" si="1277"/>
        <v>-1.9917961971392048E-7</v>
      </c>
      <c r="LD130" s="1319">
        <f t="shared" ca="1" si="1277"/>
        <v>-1.9917961971392048E-7</v>
      </c>
      <c r="LE130" s="1319">
        <f t="shared" ca="1" si="1277"/>
        <v>0</v>
      </c>
      <c r="LF130" s="1319">
        <f t="shared" ca="1" si="1277"/>
        <v>0</v>
      </c>
      <c r="LG130" s="1319">
        <f t="shared" ca="1" si="1277"/>
        <v>0</v>
      </c>
      <c r="LH130" s="1319">
        <f t="shared" ca="1" si="1277"/>
        <v>0</v>
      </c>
      <c r="LI130" s="1319">
        <f t="shared" ca="1" si="1277"/>
        <v>0</v>
      </c>
      <c r="LJ130" s="1319">
        <f t="shared" ca="1" si="1277"/>
        <v>0</v>
      </c>
      <c r="LK130" s="1319">
        <f t="shared" ca="1" si="1277"/>
        <v>0</v>
      </c>
      <c r="LT130" s="1334"/>
      <c r="LW130" s="1319">
        <f t="shared" ca="1" si="1278"/>
        <v>0</v>
      </c>
      <c r="LX130" s="1319">
        <f t="shared" ca="1" si="1278"/>
        <v>0</v>
      </c>
      <c r="LY130" s="1319">
        <f t="shared" ca="1" si="1278"/>
        <v>-0.14051507473318053</v>
      </c>
      <c r="LZ130" s="1319">
        <f t="shared" ca="1" si="1278"/>
        <v>-6.4992014008599941E-3</v>
      </c>
      <c r="MA130" s="1319">
        <f t="shared" ca="1" si="1278"/>
        <v>-0.14701427601906411</v>
      </c>
      <c r="MB130" s="1319">
        <f t="shared" ca="1" si="1278"/>
        <v>-1.9917961971392048E-7</v>
      </c>
      <c r="MC130" s="1319">
        <f t="shared" ca="1" si="1278"/>
        <v>0</v>
      </c>
      <c r="MD130" s="1319">
        <f t="shared" ca="1" si="1278"/>
        <v>0</v>
      </c>
      <c r="ME130" s="1319">
        <f t="shared" ca="1" si="1278"/>
        <v>0</v>
      </c>
      <c r="MF130" s="1319">
        <f t="shared" ca="1" si="1278"/>
        <v>0</v>
      </c>
      <c r="MG130" s="1319">
        <f t="shared" ca="1" si="1279"/>
        <v>0</v>
      </c>
      <c r="MH130" s="1319">
        <f t="shared" ca="1" si="1279"/>
        <v>0</v>
      </c>
      <c r="MI130" s="1319">
        <f t="shared" ca="1" si="1279"/>
        <v>0</v>
      </c>
      <c r="MJ130" s="1319">
        <f t="shared" ca="1" si="1279"/>
        <v>0</v>
      </c>
      <c r="MK130" s="1319">
        <f t="shared" ca="1" si="1279"/>
        <v>0</v>
      </c>
      <c r="ML130" s="1319">
        <f t="shared" ca="1" si="1279"/>
        <v>0</v>
      </c>
      <c r="MM130" s="1319">
        <f t="shared" ca="1" si="1279"/>
        <v>0</v>
      </c>
      <c r="MN130" s="1319">
        <f t="shared" ca="1" si="1279"/>
        <v>0</v>
      </c>
      <c r="MO130" s="1319">
        <f t="shared" ca="1" si="1279"/>
        <v>0</v>
      </c>
      <c r="MX130" s="1334"/>
      <c r="NA130" s="1319">
        <f t="shared" ca="1" si="1280"/>
        <v>-4.0251142264789616E-4</v>
      </c>
      <c r="NB130" s="1319">
        <f t="shared" ca="1" si="1280"/>
        <v>-6.9769777132627717E-7</v>
      </c>
      <c r="NC130" s="1319">
        <f t="shared" ca="1" si="1280"/>
        <v>-4.0181372492256045E-4</v>
      </c>
      <c r="ND130" s="1319">
        <f t="shared" ca="1" si="1280"/>
        <v>0</v>
      </c>
      <c r="NE130" s="1319">
        <f t="shared" ca="1" si="1280"/>
        <v>0</v>
      </c>
      <c r="NF130" s="1319">
        <f t="shared" ca="1" si="1280"/>
        <v>0</v>
      </c>
      <c r="NG130" s="1319">
        <f t="shared" ca="1" si="1280"/>
        <v>0</v>
      </c>
      <c r="NH130" s="1319">
        <f t="shared" ca="1" si="1280"/>
        <v>0</v>
      </c>
      <c r="NI130" s="1319">
        <f t="shared" ca="1" si="1280"/>
        <v>0</v>
      </c>
      <c r="NJ130" s="1319">
        <f t="shared" ca="1" si="1280"/>
        <v>0</v>
      </c>
      <c r="NK130" s="1319">
        <f t="shared" ca="1" si="1280"/>
        <v>0</v>
      </c>
      <c r="NL130" s="1319">
        <f t="shared" ca="1" si="1280"/>
        <v>0</v>
      </c>
      <c r="NM130" s="1319">
        <f t="shared" ca="1" si="1280"/>
        <v>0</v>
      </c>
      <c r="NN130" s="1319">
        <f t="shared" ca="1" si="1280"/>
        <v>0</v>
      </c>
      <c r="NO130" s="1319">
        <f t="shared" ca="1" si="1280"/>
        <v>0</v>
      </c>
      <c r="NP130" s="1319">
        <f t="shared" ca="1" si="1280"/>
        <v>0</v>
      </c>
      <c r="NY130" s="1334"/>
      <c r="OE130" s="1334"/>
      <c r="OH130" s="1319">
        <f t="shared" ca="1" si="1281"/>
        <v>0</v>
      </c>
      <c r="OI130" s="1319">
        <f t="shared" ca="1" si="1281"/>
        <v>0</v>
      </c>
      <c r="OJ130" s="1319">
        <f t="shared" ca="1" si="1281"/>
        <v>0</v>
      </c>
      <c r="OK130" s="1319">
        <f t="shared" ca="1" si="1281"/>
        <v>0</v>
      </c>
      <c r="OL130" s="1319">
        <f t="shared" ca="1" si="1281"/>
        <v>0</v>
      </c>
      <c r="OM130" s="1319">
        <f t="shared" ca="1" si="1281"/>
        <v>0</v>
      </c>
      <c r="ON130" s="1319">
        <f t="shared" ca="1" si="1281"/>
        <v>0</v>
      </c>
      <c r="OO130" s="1319">
        <f t="shared" ca="1" si="1281"/>
        <v>0</v>
      </c>
      <c r="OX130" s="1334"/>
      <c r="PA130" s="1319">
        <f t="shared" ca="1" si="1282"/>
        <v>0</v>
      </c>
      <c r="PB130" s="1319">
        <f t="shared" ca="1" si="1282"/>
        <v>0</v>
      </c>
      <c r="PC130" s="1319">
        <f t="shared" ca="1" si="1282"/>
        <v>0</v>
      </c>
      <c r="PD130" s="1319">
        <f t="shared" ca="1" si="1282"/>
        <v>0</v>
      </c>
      <c r="PE130" s="1319">
        <f t="shared" ca="1" si="1282"/>
        <v>0</v>
      </c>
      <c r="PF130" s="1319">
        <f t="shared" ca="1" si="1282"/>
        <v>0</v>
      </c>
      <c r="PG130" s="1319">
        <f t="shared" ca="1" si="1282"/>
        <v>0</v>
      </c>
      <c r="PH130" s="1319">
        <f t="shared" ca="1" si="1282"/>
        <v>0</v>
      </c>
      <c r="PI130" s="1319">
        <f t="shared" ca="1" si="1282"/>
        <v>0</v>
      </c>
      <c r="PJ130" s="1319">
        <f t="shared" ca="1" si="1282"/>
        <v>0</v>
      </c>
      <c r="PK130" s="1319">
        <f t="shared" ca="1" si="1282"/>
        <v>0</v>
      </c>
      <c r="PT130" s="1334"/>
      <c r="PW130" s="1319">
        <f t="shared" ca="1" si="1261"/>
        <v>0</v>
      </c>
      <c r="PX130" s="1319">
        <f t="shared" ca="1" si="1261"/>
        <v>0</v>
      </c>
      <c r="PY130" s="1319">
        <f t="shared" ca="1" si="1261"/>
        <v>0</v>
      </c>
      <c r="PZ130" s="1319">
        <f t="shared" ca="1" si="1261"/>
        <v>0</v>
      </c>
    </row>
    <row r="131" spans="1:442" x14ac:dyDescent="0.25">
      <c r="A131" s="189">
        <v>20</v>
      </c>
      <c r="B131" s="189" t="s">
        <v>1256</v>
      </c>
      <c r="C131" s="1317" t="s">
        <v>1266</v>
      </c>
      <c r="D131" s="1317" t="s">
        <v>206</v>
      </c>
      <c r="E131" s="1318">
        <v>126.11160000000001</v>
      </c>
      <c r="F131" s="1316">
        <v>-0.63752126262999997</v>
      </c>
      <c r="G131" s="1334"/>
      <c r="J131" s="1319">
        <f t="shared" ca="1" si="1239"/>
        <v>0</v>
      </c>
      <c r="K131" s="1319">
        <f t="shared" ca="1" si="1239"/>
        <v>0</v>
      </c>
      <c r="Q131" s="1334"/>
      <c r="T131" s="1319">
        <f t="shared" ca="1" si="1262"/>
        <v>0</v>
      </c>
      <c r="U131" s="1319">
        <f t="shared" ca="1" si="1262"/>
        <v>0</v>
      </c>
      <c r="V131" s="1319">
        <f t="shared" ca="1" si="1262"/>
        <v>-2.7231004844011494E-3</v>
      </c>
      <c r="W131" s="1319">
        <f t="shared" ca="1" si="1262"/>
        <v>0</v>
      </c>
      <c r="X131" s="1319">
        <f t="shared" ca="1" si="1262"/>
        <v>0</v>
      </c>
      <c r="Y131" s="1319">
        <f t="shared" ca="1" si="1262"/>
        <v>-1.8720757867211988</v>
      </c>
      <c r="Z131" s="1319">
        <f t="shared" ca="1" si="1262"/>
        <v>-3.668289694610511E-3</v>
      </c>
      <c r="AA131" s="1319">
        <f t="shared" ca="1" si="1262"/>
        <v>-1.8684075002265395</v>
      </c>
      <c r="AB131" s="1319">
        <f t="shared" ca="1" si="1262"/>
        <v>0</v>
      </c>
      <c r="AC131" s="1319">
        <f t="shared" ca="1" si="1262"/>
        <v>-2.7231004844011494E-3</v>
      </c>
      <c r="AD131" s="1319">
        <f t="shared" ca="1" si="1262"/>
        <v>0</v>
      </c>
      <c r="AJ131" s="1334"/>
      <c r="AM131" s="1319">
        <f t="shared" ca="1" si="1263"/>
        <v>0</v>
      </c>
      <c r="AN131" s="1319">
        <f t="shared" ca="1" si="1263"/>
        <v>0</v>
      </c>
      <c r="AO131" s="1319">
        <f t="shared" ca="1" si="1263"/>
        <v>-1.8684075002265395</v>
      </c>
      <c r="AP131" s="1319">
        <f t="shared" ca="1" si="1263"/>
        <v>-1.8684075002265395</v>
      </c>
      <c r="AQ131" s="1319">
        <f t="shared" ca="1" si="1263"/>
        <v>-1.6553043168861059E-3</v>
      </c>
      <c r="AR131" s="1319">
        <f t="shared" ca="1" si="1263"/>
        <v>-2.3522999372778034E-4</v>
      </c>
      <c r="AS131" s="1319">
        <f t="shared" ca="1" si="1263"/>
        <v>-3.4330596983551229E-3</v>
      </c>
      <c r="AT131" s="1319">
        <f t="shared" ca="1" si="1263"/>
        <v>-2.6358920539873041E-5</v>
      </c>
      <c r="AU131" s="1319">
        <f t="shared" ca="1" si="1263"/>
        <v>-1.8641753904278784E-3</v>
      </c>
      <c r="AV131" s="1319">
        <f t="shared" ca="1" si="1263"/>
        <v>-1.8667521953232482</v>
      </c>
      <c r="AW131" s="1319">
        <f t="shared" ca="1" si="1263"/>
        <v>-2.6358920539873041E-5</v>
      </c>
      <c r="AX131" s="1319">
        <f t="shared" ca="1" si="1263"/>
        <v>-5.3235940266622619E-3</v>
      </c>
      <c r="AY131" s="1319">
        <f t="shared" ca="1" si="1263"/>
        <v>0</v>
      </c>
      <c r="AZ131" s="1319">
        <f t="shared" ca="1" si="1263"/>
        <v>0</v>
      </c>
      <c r="BA131" s="1319">
        <f t="shared" ca="1" si="1263"/>
        <v>0</v>
      </c>
      <c r="BB131" s="1319">
        <f t="shared" ca="1" si="1263"/>
        <v>-1.8667521953232482</v>
      </c>
      <c r="BK131" s="1334"/>
      <c r="BN131" s="1319">
        <f t="shared" ca="1" si="1264"/>
        <v>-0.18667521953232483</v>
      </c>
      <c r="BO131" s="1319">
        <f t="shared" ca="1" si="1264"/>
        <v>-0.18667463413841806</v>
      </c>
      <c r="BP131" s="1319">
        <f t="shared" ca="1" si="1264"/>
        <v>-5.8541749945513896E-7</v>
      </c>
      <c r="BQ131" s="1319">
        <f t="shared" ca="1" si="1264"/>
        <v>0</v>
      </c>
      <c r="BR131" s="1319">
        <f t="shared" ca="1" si="1264"/>
        <v>0</v>
      </c>
      <c r="CA131" s="1334"/>
      <c r="CD131" s="1319">
        <f t="shared" ca="1" si="1265"/>
        <v>-1.8667521953232482</v>
      </c>
      <c r="CE131" s="1319">
        <f t="shared" ca="1" si="1265"/>
        <v>-1.8667521953232482</v>
      </c>
      <c r="CF131" s="1319">
        <f t="shared" ca="1" si="1265"/>
        <v>-0.18667521953232483</v>
      </c>
      <c r="CG131" s="1319">
        <f t="shared" ca="1" si="1265"/>
        <v>-0.18667463413841806</v>
      </c>
      <c r="CH131" s="1319">
        <f t="shared" ca="1" si="1265"/>
        <v>-1.8667521953232482</v>
      </c>
      <c r="CI131" s="1319">
        <f t="shared" ca="1" si="1265"/>
        <v>0</v>
      </c>
      <c r="CJ131" s="1319">
        <f t="shared" ca="1" si="1265"/>
        <v>0</v>
      </c>
      <c r="CK131" s="1319">
        <f t="shared" ca="1" si="1265"/>
        <v>-1.8667459824639097</v>
      </c>
      <c r="CL131" s="1319">
        <f t="shared" ca="1" si="1265"/>
        <v>-5.6256537944552854E-6</v>
      </c>
      <c r="CM131" s="1319">
        <f t="shared" ca="1" si="1265"/>
        <v>0</v>
      </c>
      <c r="CN131" s="1319">
        <f t="shared" ca="1" si="1265"/>
        <v>-1.8667521953232482</v>
      </c>
      <c r="CO131" s="1319">
        <f t="shared" ca="1" si="1265"/>
        <v>-6.2132193205175556E-6</v>
      </c>
      <c r="CX131" s="1334"/>
      <c r="DA131" s="1319">
        <f t="shared" ca="1" si="1266"/>
        <v>0</v>
      </c>
      <c r="DB131" s="1319">
        <f t="shared" ca="1" si="1266"/>
        <v>0</v>
      </c>
      <c r="DC131" s="1319">
        <f t="shared" ca="1" si="1266"/>
        <v>0</v>
      </c>
      <c r="DD131" s="1319">
        <f t="shared" ca="1" si="1266"/>
        <v>0</v>
      </c>
      <c r="DE131" s="1319">
        <f t="shared" ca="1" si="1266"/>
        <v>0</v>
      </c>
      <c r="DF131" s="1319">
        <f t="shared" ca="1" si="1266"/>
        <v>0</v>
      </c>
      <c r="DG131" s="1319">
        <f t="shared" ca="1" si="1266"/>
        <v>0</v>
      </c>
      <c r="DH131" s="1319">
        <f t="shared" ca="1" si="1266"/>
        <v>0</v>
      </c>
      <c r="DI131" s="1319">
        <f t="shared" ca="1" si="1266"/>
        <v>0</v>
      </c>
      <c r="DJ131" s="1319">
        <f t="shared" ca="1" si="1266"/>
        <v>0</v>
      </c>
      <c r="DS131" s="1334"/>
      <c r="DV131" s="1319">
        <f t="shared" ca="1" si="1267"/>
        <v>0</v>
      </c>
      <c r="DW131" s="1319">
        <f t="shared" ca="1" si="1267"/>
        <v>0</v>
      </c>
      <c r="DX131" s="1319">
        <f t="shared" ca="1" si="1267"/>
        <v>0</v>
      </c>
      <c r="DY131" s="1319">
        <f t="shared" ca="1" si="1267"/>
        <v>0</v>
      </c>
      <c r="DZ131" s="1319">
        <f t="shared" ca="1" si="1267"/>
        <v>0</v>
      </c>
      <c r="EA131" s="1319">
        <f t="shared" ca="1" si="1267"/>
        <v>0</v>
      </c>
      <c r="EB131" s="1319">
        <f t="shared" ca="1" si="1267"/>
        <v>0</v>
      </c>
      <c r="EC131" s="1319">
        <f t="shared" ca="1" si="1267"/>
        <v>0</v>
      </c>
      <c r="ED131" s="1319">
        <f t="shared" ca="1" si="1267"/>
        <v>0</v>
      </c>
      <c r="EE131" s="1319">
        <f t="shared" ca="1" si="1267"/>
        <v>0</v>
      </c>
      <c r="EF131" s="1319">
        <f t="shared" ca="1" si="1267"/>
        <v>0</v>
      </c>
      <c r="EG131" s="1319">
        <f t="shared" ca="1" si="1267"/>
        <v>0</v>
      </c>
      <c r="EH131" s="1319">
        <f t="shared" ca="1" si="1267"/>
        <v>0</v>
      </c>
      <c r="EI131" s="1319">
        <f t="shared" ca="1" si="1267"/>
        <v>0</v>
      </c>
      <c r="EJ131" s="1319">
        <f t="shared" ca="1" si="1267"/>
        <v>0</v>
      </c>
      <c r="EK131" s="1319">
        <f t="shared" ca="1" si="1267"/>
        <v>0</v>
      </c>
      <c r="ET131" s="1334"/>
      <c r="EW131" s="1319">
        <f t="shared" ca="1" si="1268"/>
        <v>-1.8667521953232482</v>
      </c>
      <c r="EX131" s="1319">
        <f t="shared" ca="1" si="1268"/>
        <v>-1.8667521953232482</v>
      </c>
      <c r="EY131" s="1319">
        <f t="shared" ca="1" si="1268"/>
        <v>-1.8640290975585527</v>
      </c>
      <c r="EZ131" s="1319">
        <f t="shared" ca="1" si="1268"/>
        <v>-1.8640290975585527</v>
      </c>
      <c r="FA131" s="1319">
        <f t="shared" ca="1" si="1268"/>
        <v>-2.1480092879644333E-9</v>
      </c>
      <c r="FB131" s="1319">
        <f t="shared" ca="1" si="1268"/>
        <v>-2.7231004692355038E-3</v>
      </c>
      <c r="FK131" s="1334"/>
      <c r="FN131" s="1319">
        <f t="shared" ca="1" si="1269"/>
        <v>-5.8541749945513896E-7</v>
      </c>
      <c r="FO131" s="1319">
        <f t="shared" ca="1" si="1269"/>
        <v>-5.6256537944552854E-6</v>
      </c>
      <c r="FP131" s="1319">
        <f t="shared" ca="1" si="1269"/>
        <v>-2.1480092879644333E-9</v>
      </c>
      <c r="FQ131" s="1319">
        <f t="shared" ca="1" si="1269"/>
        <v>-2.7231004692355038E-3</v>
      </c>
      <c r="FR131" s="1319">
        <f t="shared" ca="1" si="1269"/>
        <v>0</v>
      </c>
      <c r="FS131" s="1319">
        <f t="shared" ca="1" si="1269"/>
        <v>-2.7231004844011494E-3</v>
      </c>
      <c r="FT131" s="1319">
        <f t="shared" ca="1" si="1269"/>
        <v>0</v>
      </c>
      <c r="FU131" s="1319">
        <f t="shared" ca="1" si="1269"/>
        <v>-6.2132193205175556E-6</v>
      </c>
      <c r="FV131" s="1319">
        <f t="shared" ca="1" si="1269"/>
        <v>0</v>
      </c>
      <c r="FW131" s="1319">
        <f t="shared" ca="1" si="1269"/>
        <v>-7.6013312854952844E-22</v>
      </c>
      <c r="FX131" s="1319">
        <f t="shared" ca="1" si="1269"/>
        <v>-6.2132193205175556E-6</v>
      </c>
      <c r="GG131" s="1334"/>
      <c r="GJ131" s="1319">
        <f t="shared" ca="1" si="1270"/>
        <v>0</v>
      </c>
      <c r="GK131" s="1319">
        <f t="shared" ca="1" si="1270"/>
        <v>0</v>
      </c>
      <c r="GL131" s="1319">
        <f t="shared" ca="1" si="1270"/>
        <v>0</v>
      </c>
      <c r="GM131" s="1319">
        <f t="shared" ca="1" si="1270"/>
        <v>0</v>
      </c>
      <c r="GN131" s="1319">
        <f t="shared" ca="1" si="1270"/>
        <v>0</v>
      </c>
      <c r="GO131" s="1319">
        <f t="shared" ca="1" si="1270"/>
        <v>0</v>
      </c>
      <c r="GP131" s="1319">
        <f t="shared" ca="1" si="1270"/>
        <v>0</v>
      </c>
      <c r="GQ131" s="1319">
        <f t="shared" ca="1" si="1270"/>
        <v>0</v>
      </c>
      <c r="GZ131" s="1334"/>
      <c r="HC131" s="1319">
        <f t="shared" ca="1" si="1271"/>
        <v>-1.8640290975585527</v>
      </c>
      <c r="HD131" s="1319">
        <f t="shared" ca="1" si="1271"/>
        <v>-1.7946283548437549</v>
      </c>
      <c r="HE131" s="1319">
        <f t="shared" ca="1" si="1271"/>
        <v>0</v>
      </c>
      <c r="HF131" s="1319">
        <f t="shared" ca="1" si="1271"/>
        <v>-6.9914395031173373E-6</v>
      </c>
      <c r="HG131" s="1319">
        <f t="shared" ca="1" si="1271"/>
        <v>-6.9393750846814775E-2</v>
      </c>
      <c r="HH131" s="1319">
        <f t="shared" ca="1" si="1271"/>
        <v>-1.7946283548437549</v>
      </c>
      <c r="HQ131" s="1334"/>
      <c r="HT131" s="1319">
        <f t="shared" ca="1" si="1272"/>
        <v>-5.3235940266622619E-3</v>
      </c>
      <c r="HU131" s="1319">
        <f t="shared" ca="1" si="1272"/>
        <v>-1.7946283548437549</v>
      </c>
      <c r="HV131" s="1319">
        <f t="shared" ca="1" si="1272"/>
        <v>-1.7999519462417053</v>
      </c>
      <c r="HW131" s="1319">
        <f t="shared" ca="1" si="1272"/>
        <v>-1.7999519462417053</v>
      </c>
      <c r="HX131" s="1319">
        <f t="shared" ca="1" si="1272"/>
        <v>-0.15054591276998242</v>
      </c>
      <c r="HY131" s="1319">
        <f t="shared" ca="1" si="1272"/>
        <v>-1.1448147806625278E-2</v>
      </c>
      <c r="HZ131" s="1319">
        <f t="shared" ca="1" si="1272"/>
        <v>-1.6160416594120278E-6</v>
      </c>
      <c r="IA131" s="1319">
        <f t="shared" ca="1" si="1272"/>
        <v>-1.390664181306928E-9</v>
      </c>
      <c r="IB131" s="1319">
        <f t="shared" ca="1" si="1272"/>
        <v>0</v>
      </c>
      <c r="IC131" s="1319">
        <f t="shared" ca="1" si="1272"/>
        <v>0</v>
      </c>
      <c r="ID131" s="1319">
        <f t="shared" ca="1" si="1272"/>
        <v>0</v>
      </c>
      <c r="IE131" s="1319">
        <f t="shared" ca="1" si="1272"/>
        <v>0</v>
      </c>
      <c r="IN131" s="1334"/>
      <c r="IQ131" s="1319">
        <f t="shared" ca="1" si="1273"/>
        <v>-0.15054591276998242</v>
      </c>
      <c r="IR131" s="1319">
        <f t="shared" ca="1" si="1273"/>
        <v>-1.1448147806625278E-2</v>
      </c>
      <c r="IS131" s="1319">
        <f t="shared" ca="1" si="1273"/>
        <v>-2.2775687735694764E-4</v>
      </c>
      <c r="IT131" s="1319">
        <f t="shared" ca="1" si="1273"/>
        <v>-1.1675904658200629E-2</v>
      </c>
      <c r="IU131" s="1319">
        <f t="shared" ca="1" si="1273"/>
        <v>-1.0897081236784834E-2</v>
      </c>
      <c r="IV131" s="1319">
        <f t="shared" ca="1" si="1273"/>
        <v>-6.6763183739023063E-3</v>
      </c>
      <c r="IW131" s="1319">
        <f t="shared" ca="1" si="1273"/>
        <v>-5.4661650444342265E-3</v>
      </c>
      <c r="IX131" s="1319">
        <f t="shared" ca="1" si="1273"/>
        <v>-4.7974758026495899E-8</v>
      </c>
      <c r="IY131" s="1319">
        <f t="shared" ca="1" si="1273"/>
        <v>-7.7882340625015027E-4</v>
      </c>
      <c r="IZ131" s="1319">
        <f t="shared" ca="1" si="1273"/>
        <v>-9.8239645767186868E-4</v>
      </c>
      <c r="JA131" s="1319">
        <f t="shared" ca="1" si="1273"/>
        <v>-5.6939219465617277E-3</v>
      </c>
      <c r="JB131" s="1319">
        <f t="shared" ca="1" si="1274"/>
        <v>0</v>
      </c>
      <c r="JC131" s="1319">
        <f t="shared" ca="1" si="1274"/>
        <v>-9.8239506748772055E-4</v>
      </c>
      <c r="JD131" s="1319">
        <f t="shared" ca="1" si="1274"/>
        <v>0</v>
      </c>
      <c r="JE131" s="1319">
        <f t="shared" ca="1" si="1274"/>
        <v>-9.8239645767186868E-4</v>
      </c>
      <c r="JF131" s="1319">
        <f t="shared" ca="1" si="1274"/>
        <v>0</v>
      </c>
      <c r="JG131" s="1319">
        <f t="shared" ca="1" si="1274"/>
        <v>0</v>
      </c>
      <c r="JH131" s="1319">
        <f t="shared" ca="1" si="1274"/>
        <v>-1.390664181306928E-9</v>
      </c>
      <c r="JQ131" s="1334"/>
      <c r="JT131" s="1319">
        <f t="shared" ca="1" si="1275"/>
        <v>0</v>
      </c>
      <c r="JU131" s="1319">
        <f t="shared" ca="1" si="1275"/>
        <v>0</v>
      </c>
      <c r="JV131" s="1319">
        <f t="shared" ca="1" si="1275"/>
        <v>0</v>
      </c>
      <c r="JW131" s="1319">
        <f t="shared" ca="1" si="1275"/>
        <v>0</v>
      </c>
      <c r="JX131" s="1319">
        <f t="shared" ca="1" si="1275"/>
        <v>0</v>
      </c>
      <c r="JY131" s="1319">
        <f t="shared" ca="1" si="1275"/>
        <v>0</v>
      </c>
      <c r="JZ131" s="1319">
        <f t="shared" ca="1" si="1275"/>
        <v>0</v>
      </c>
      <c r="KA131" s="1319">
        <f t="shared" ca="1" si="1275"/>
        <v>0</v>
      </c>
      <c r="KB131" s="1319">
        <f t="shared" ca="1" si="1275"/>
        <v>0</v>
      </c>
      <c r="KC131" s="1319">
        <f t="shared" ca="1" si="1275"/>
        <v>0</v>
      </c>
      <c r="KI131" s="1334"/>
      <c r="KL131" s="1319">
        <f t="shared" ca="1" si="1276"/>
        <v>0</v>
      </c>
      <c r="KM131" s="1319">
        <f t="shared" ca="1" si="1276"/>
        <v>0</v>
      </c>
      <c r="KN131" s="1319">
        <f t="shared" ca="1" si="1276"/>
        <v>0</v>
      </c>
      <c r="KO131" s="1319">
        <f t="shared" ca="1" si="1276"/>
        <v>0</v>
      </c>
      <c r="KP131" s="1319">
        <f t="shared" ca="1" si="1276"/>
        <v>0</v>
      </c>
      <c r="KQ131" s="1319">
        <f t="shared" ca="1" si="1276"/>
        <v>0</v>
      </c>
      <c r="KR131" s="1319">
        <f t="shared" ca="1" si="1276"/>
        <v>0</v>
      </c>
      <c r="KX131" s="1334"/>
      <c r="LA131" s="1319">
        <f t="shared" ca="1" si="1277"/>
        <v>-6.9914395031173373E-6</v>
      </c>
      <c r="LB131" s="1319">
        <f t="shared" ca="1" si="1277"/>
        <v>-1.6160416594120278E-6</v>
      </c>
      <c r="LC131" s="1319">
        <f t="shared" ca="1" si="1277"/>
        <v>-8.6074811574741516E-6</v>
      </c>
      <c r="LD131" s="1319">
        <f t="shared" ca="1" si="1277"/>
        <v>-8.6074811574741516E-6</v>
      </c>
      <c r="LE131" s="1319">
        <f t="shared" ca="1" si="1277"/>
        <v>0</v>
      </c>
      <c r="LF131" s="1319">
        <f t="shared" ca="1" si="1277"/>
        <v>0</v>
      </c>
      <c r="LG131" s="1319">
        <f t="shared" ca="1" si="1277"/>
        <v>0</v>
      </c>
      <c r="LH131" s="1319">
        <f t="shared" ca="1" si="1277"/>
        <v>0</v>
      </c>
      <c r="LI131" s="1319">
        <f t="shared" ca="1" si="1277"/>
        <v>0</v>
      </c>
      <c r="LJ131" s="1319">
        <f t="shared" ca="1" si="1277"/>
        <v>0</v>
      </c>
      <c r="LK131" s="1319">
        <f t="shared" ca="1" si="1277"/>
        <v>0</v>
      </c>
      <c r="LT131" s="1334"/>
      <c r="LW131" s="1319">
        <f t="shared" ca="1" si="1278"/>
        <v>0</v>
      </c>
      <c r="LX131" s="1319">
        <f t="shared" ca="1" si="1278"/>
        <v>0</v>
      </c>
      <c r="LY131" s="1319">
        <f t="shared" ca="1" si="1278"/>
        <v>-6.9393750846814775E-2</v>
      </c>
      <c r="LZ131" s="1319">
        <f t="shared" ca="1" si="1278"/>
        <v>-7.7882340625015027E-4</v>
      </c>
      <c r="MA131" s="1319">
        <f t="shared" ca="1" si="1278"/>
        <v>-7.0172574470439161E-2</v>
      </c>
      <c r="MB131" s="1319">
        <f t="shared" ca="1" si="1278"/>
        <v>-8.6074811574741516E-6</v>
      </c>
      <c r="MC131" s="1319">
        <f t="shared" ca="1" si="1278"/>
        <v>0</v>
      </c>
      <c r="MD131" s="1319">
        <f t="shared" ca="1" si="1278"/>
        <v>0</v>
      </c>
      <c r="ME131" s="1319">
        <f t="shared" ca="1" si="1278"/>
        <v>0</v>
      </c>
      <c r="MF131" s="1319">
        <f t="shared" ca="1" si="1278"/>
        <v>0</v>
      </c>
      <c r="MG131" s="1319">
        <f t="shared" ca="1" si="1279"/>
        <v>0</v>
      </c>
      <c r="MH131" s="1319">
        <f t="shared" ca="1" si="1279"/>
        <v>0</v>
      </c>
      <c r="MI131" s="1319">
        <f t="shared" ca="1" si="1279"/>
        <v>0</v>
      </c>
      <c r="MJ131" s="1319">
        <f t="shared" ca="1" si="1279"/>
        <v>0</v>
      </c>
      <c r="MK131" s="1319">
        <f t="shared" ca="1" si="1279"/>
        <v>0</v>
      </c>
      <c r="ML131" s="1319">
        <f t="shared" ca="1" si="1279"/>
        <v>0</v>
      </c>
      <c r="MM131" s="1319">
        <f t="shared" ca="1" si="1279"/>
        <v>0</v>
      </c>
      <c r="MN131" s="1319">
        <f t="shared" ca="1" si="1279"/>
        <v>0</v>
      </c>
      <c r="MO131" s="1319">
        <f t="shared" ca="1" si="1279"/>
        <v>0</v>
      </c>
      <c r="MX131" s="1334"/>
      <c r="NA131" s="1319">
        <f t="shared" ca="1" si="1280"/>
        <v>-3.668289694610511E-3</v>
      </c>
      <c r="NB131" s="1319">
        <f t="shared" ca="1" si="1280"/>
        <v>-2.3522999372778034E-4</v>
      </c>
      <c r="NC131" s="1319">
        <f t="shared" ca="1" si="1280"/>
        <v>-3.4330596983551229E-3</v>
      </c>
      <c r="ND131" s="1319">
        <f t="shared" ca="1" si="1280"/>
        <v>0</v>
      </c>
      <c r="NE131" s="1319">
        <f t="shared" ca="1" si="1280"/>
        <v>0</v>
      </c>
      <c r="NF131" s="1319">
        <f t="shared" ca="1" si="1280"/>
        <v>0</v>
      </c>
      <c r="NG131" s="1319">
        <f t="shared" ca="1" si="1280"/>
        <v>0</v>
      </c>
      <c r="NH131" s="1319">
        <f t="shared" ca="1" si="1280"/>
        <v>0</v>
      </c>
      <c r="NI131" s="1319">
        <f t="shared" ca="1" si="1280"/>
        <v>0</v>
      </c>
      <c r="NJ131" s="1319">
        <f t="shared" ca="1" si="1280"/>
        <v>0</v>
      </c>
      <c r="NK131" s="1319">
        <f t="shared" ca="1" si="1280"/>
        <v>0</v>
      </c>
      <c r="NL131" s="1319">
        <f t="shared" ca="1" si="1280"/>
        <v>0</v>
      </c>
      <c r="NM131" s="1319">
        <f t="shared" ca="1" si="1280"/>
        <v>0</v>
      </c>
      <c r="NN131" s="1319">
        <f t="shared" ca="1" si="1280"/>
        <v>0</v>
      </c>
      <c r="NO131" s="1319">
        <f t="shared" ca="1" si="1280"/>
        <v>0</v>
      </c>
      <c r="NP131" s="1319">
        <f t="shared" ca="1" si="1280"/>
        <v>0</v>
      </c>
      <c r="NY131" s="1334"/>
      <c r="OE131" s="1334"/>
      <c r="OH131" s="1319">
        <f t="shared" ca="1" si="1281"/>
        <v>0</v>
      </c>
      <c r="OI131" s="1319">
        <f t="shared" ca="1" si="1281"/>
        <v>0</v>
      </c>
      <c r="OJ131" s="1319">
        <f t="shared" ca="1" si="1281"/>
        <v>0</v>
      </c>
      <c r="OK131" s="1319">
        <f t="shared" ca="1" si="1281"/>
        <v>0</v>
      </c>
      <c r="OL131" s="1319">
        <f t="shared" ca="1" si="1281"/>
        <v>0</v>
      </c>
      <c r="OM131" s="1319">
        <f t="shared" ca="1" si="1281"/>
        <v>0</v>
      </c>
      <c r="ON131" s="1319">
        <f t="shared" ca="1" si="1281"/>
        <v>0</v>
      </c>
      <c r="OO131" s="1319">
        <f t="shared" ca="1" si="1281"/>
        <v>0</v>
      </c>
      <c r="OX131" s="1334"/>
      <c r="PA131" s="1319">
        <f t="shared" ca="1" si="1282"/>
        <v>0</v>
      </c>
      <c r="PB131" s="1319">
        <f t="shared" ca="1" si="1282"/>
        <v>0</v>
      </c>
      <c r="PC131" s="1319">
        <f t="shared" ca="1" si="1282"/>
        <v>0</v>
      </c>
      <c r="PD131" s="1319">
        <f t="shared" ca="1" si="1282"/>
        <v>0</v>
      </c>
      <c r="PE131" s="1319">
        <f t="shared" ca="1" si="1282"/>
        <v>0</v>
      </c>
      <c r="PF131" s="1319">
        <f t="shared" ca="1" si="1282"/>
        <v>0</v>
      </c>
      <c r="PG131" s="1319">
        <f t="shared" ca="1" si="1282"/>
        <v>0</v>
      </c>
      <c r="PH131" s="1319">
        <f t="shared" ca="1" si="1282"/>
        <v>0</v>
      </c>
      <c r="PI131" s="1319">
        <f t="shared" ca="1" si="1282"/>
        <v>0</v>
      </c>
      <c r="PJ131" s="1319">
        <f t="shared" ca="1" si="1282"/>
        <v>0</v>
      </c>
      <c r="PK131" s="1319">
        <f t="shared" ca="1" si="1282"/>
        <v>0</v>
      </c>
      <c r="PT131" s="1334"/>
      <c r="PW131" s="1319">
        <f t="shared" ca="1" si="1261"/>
        <v>0</v>
      </c>
      <c r="PX131" s="1319">
        <f t="shared" ca="1" si="1261"/>
        <v>0</v>
      </c>
      <c r="PY131" s="1319">
        <f t="shared" ca="1" si="1261"/>
        <v>0</v>
      </c>
      <c r="PZ131" s="1319">
        <f t="shared" ca="1" si="1261"/>
        <v>0</v>
      </c>
    </row>
    <row r="132" spans="1:442" x14ac:dyDescent="0.25">
      <c r="A132" s="189">
        <v>21</v>
      </c>
      <c r="B132" s="189" t="s">
        <v>1256</v>
      </c>
      <c r="C132" s="1317" t="s">
        <v>1286</v>
      </c>
      <c r="D132" s="1317" t="s">
        <v>206</v>
      </c>
      <c r="E132" s="1318">
        <v>96.085560000000001</v>
      </c>
      <c r="F132" s="1316">
        <v>-0.53771555020000006</v>
      </c>
      <c r="G132" s="1334"/>
      <c r="J132" s="1319">
        <f t="shared" ca="1" si="1239"/>
        <v>0</v>
      </c>
      <c r="K132" s="1319">
        <f t="shared" ca="1" si="1239"/>
        <v>0</v>
      </c>
      <c r="Q132" s="1334"/>
      <c r="T132" s="1319">
        <f t="shared" ca="1" si="1262"/>
        <v>0</v>
      </c>
      <c r="U132" s="1319">
        <f t="shared" ca="1" si="1262"/>
        <v>0</v>
      </c>
      <c r="V132" s="1319">
        <f t="shared" ca="1" si="1262"/>
        <v>-0.96239682091053025</v>
      </c>
      <c r="W132" s="1319">
        <f t="shared" ca="1" si="1262"/>
        <v>0</v>
      </c>
      <c r="X132" s="1319">
        <f t="shared" ca="1" si="1262"/>
        <v>0</v>
      </c>
      <c r="Y132" s="1319">
        <f t="shared" ca="1" si="1262"/>
        <v>-3.7151271692067276</v>
      </c>
      <c r="Z132" s="1319">
        <f t="shared" ca="1" si="1262"/>
        <v>-1.1430375982807406</v>
      </c>
      <c r="AA132" s="1319">
        <f t="shared" ca="1" si="1262"/>
        <v>-2.5720895709259866</v>
      </c>
      <c r="AB132" s="1319">
        <f t="shared" ca="1" si="1262"/>
        <v>0</v>
      </c>
      <c r="AC132" s="1319">
        <f t="shared" ca="1" si="1262"/>
        <v>-0.96239682091053025</v>
      </c>
      <c r="AD132" s="1319">
        <f t="shared" ca="1" si="1262"/>
        <v>0</v>
      </c>
      <c r="AJ132" s="1334"/>
      <c r="AM132" s="1319">
        <f t="shared" ca="1" si="1263"/>
        <v>0</v>
      </c>
      <c r="AN132" s="1319">
        <f t="shared" ca="1" si="1263"/>
        <v>0</v>
      </c>
      <c r="AO132" s="1319">
        <f t="shared" ca="1" si="1263"/>
        <v>-2.5720895709259866</v>
      </c>
      <c r="AP132" s="1319">
        <f t="shared" ca="1" si="1263"/>
        <v>-2.5720895709259866</v>
      </c>
      <c r="AQ132" s="1319">
        <f t="shared" ca="1" si="1263"/>
        <v>-0.69126756970893477</v>
      </c>
      <c r="AR132" s="1319">
        <f t="shared" ca="1" si="1263"/>
        <v>-1.1034652158411677</v>
      </c>
      <c r="AS132" s="1319">
        <f t="shared" ca="1" si="1263"/>
        <v>-3.9572383055156417E-2</v>
      </c>
      <c r="AT132" s="1319">
        <f t="shared" ca="1" si="1263"/>
        <v>-1.5292867603355802</v>
      </c>
      <c r="AU132" s="1319">
        <f t="shared" ca="1" si="1263"/>
        <v>-0.26544602857225175</v>
      </c>
      <c r="AV132" s="1319">
        <f t="shared" ca="1" si="1263"/>
        <v>-1.8808220012170525</v>
      </c>
      <c r="AW132" s="1319">
        <f t="shared" ca="1" si="1263"/>
        <v>-1.5292867603355802</v>
      </c>
      <c r="AX132" s="1319">
        <f t="shared" ca="1" si="1263"/>
        <v>-1.8343051679896754</v>
      </c>
      <c r="AY132" s="1319">
        <f t="shared" ca="1" si="1263"/>
        <v>0</v>
      </c>
      <c r="AZ132" s="1319">
        <f t="shared" ca="1" si="1263"/>
        <v>0</v>
      </c>
      <c r="BA132" s="1319">
        <f t="shared" ca="1" si="1263"/>
        <v>0</v>
      </c>
      <c r="BB132" s="1319">
        <f t="shared" ca="1" si="1263"/>
        <v>-1.8808220012170525</v>
      </c>
      <c r="BK132" s="1334"/>
      <c r="BN132" s="1319">
        <f t="shared" ca="1" si="1264"/>
        <v>-0.18808222194694771</v>
      </c>
      <c r="BO132" s="1319">
        <f t="shared" ca="1" si="1264"/>
        <v>-0.18672783525926051</v>
      </c>
      <c r="BP132" s="1319">
        <f t="shared" ca="1" si="1264"/>
        <v>-1.3543870458450145E-3</v>
      </c>
      <c r="BQ132" s="1319">
        <f t="shared" ca="1" si="1264"/>
        <v>0</v>
      </c>
      <c r="BR132" s="1319">
        <f t="shared" ca="1" si="1264"/>
        <v>0</v>
      </c>
      <c r="CA132" s="1334"/>
      <c r="CD132" s="1319">
        <f t="shared" ca="1" si="1265"/>
        <v>-1.8808220012170525</v>
      </c>
      <c r="CE132" s="1319">
        <f t="shared" ca="1" si="1265"/>
        <v>-1.8808220012170525</v>
      </c>
      <c r="CF132" s="1319">
        <f t="shared" ca="1" si="1265"/>
        <v>-0.18808222194694771</v>
      </c>
      <c r="CG132" s="1319">
        <f t="shared" ca="1" si="1265"/>
        <v>-0.18672783525926051</v>
      </c>
      <c r="CH132" s="1319">
        <f t="shared" ca="1" si="1265"/>
        <v>-1.8808220012170525</v>
      </c>
      <c r="CI132" s="1319">
        <f t="shared" ca="1" si="1265"/>
        <v>0</v>
      </c>
      <c r="CJ132" s="1319">
        <f t="shared" ca="1" si="1265"/>
        <v>0</v>
      </c>
      <c r="CK132" s="1319">
        <f t="shared" ca="1" si="1265"/>
        <v>-1.8664714006273291</v>
      </c>
      <c r="CL132" s="1319">
        <f t="shared" ca="1" si="1265"/>
        <v>-1.2996434952568654E-2</v>
      </c>
      <c r="CM132" s="1319">
        <f t="shared" ca="1" si="1265"/>
        <v>0</v>
      </c>
      <c r="CN132" s="1319">
        <f t="shared" ca="1" si="1265"/>
        <v>-1.8816204525301934</v>
      </c>
      <c r="CO132" s="1319">
        <f t="shared" ca="1" si="1265"/>
        <v>-1.5149052798258568E-2</v>
      </c>
      <c r="CX132" s="1334"/>
      <c r="DA132" s="1319">
        <f t="shared" ca="1" si="1266"/>
        <v>0</v>
      </c>
      <c r="DB132" s="1319">
        <f t="shared" ca="1" si="1266"/>
        <v>0</v>
      </c>
      <c r="DC132" s="1319">
        <f t="shared" ca="1" si="1266"/>
        <v>0</v>
      </c>
      <c r="DD132" s="1319">
        <f t="shared" ca="1" si="1266"/>
        <v>0</v>
      </c>
      <c r="DE132" s="1319">
        <f t="shared" ca="1" si="1266"/>
        <v>0</v>
      </c>
      <c r="DF132" s="1319">
        <f t="shared" ca="1" si="1266"/>
        <v>0</v>
      </c>
      <c r="DG132" s="1319">
        <f t="shared" ca="1" si="1266"/>
        <v>0</v>
      </c>
      <c r="DH132" s="1319">
        <f t="shared" ca="1" si="1266"/>
        <v>0</v>
      </c>
      <c r="DI132" s="1319">
        <f t="shared" ca="1" si="1266"/>
        <v>0</v>
      </c>
      <c r="DJ132" s="1319">
        <f t="shared" ca="1" si="1266"/>
        <v>0</v>
      </c>
      <c r="DS132" s="1334"/>
      <c r="DV132" s="1319">
        <f t="shared" ca="1" si="1267"/>
        <v>0</v>
      </c>
      <c r="DW132" s="1319">
        <f t="shared" ca="1" si="1267"/>
        <v>0</v>
      </c>
      <c r="DX132" s="1319">
        <f t="shared" ca="1" si="1267"/>
        <v>0</v>
      </c>
      <c r="DY132" s="1319">
        <f t="shared" ca="1" si="1267"/>
        <v>0</v>
      </c>
      <c r="DZ132" s="1319">
        <f t="shared" ca="1" si="1267"/>
        <v>0</v>
      </c>
      <c r="EA132" s="1319">
        <f t="shared" ca="1" si="1267"/>
        <v>0</v>
      </c>
      <c r="EB132" s="1319">
        <f t="shared" ca="1" si="1267"/>
        <v>0</v>
      </c>
      <c r="EC132" s="1319">
        <f t="shared" ca="1" si="1267"/>
        <v>0</v>
      </c>
      <c r="ED132" s="1319">
        <f t="shared" ca="1" si="1267"/>
        <v>0</v>
      </c>
      <c r="EE132" s="1319">
        <f t="shared" ca="1" si="1267"/>
        <v>0</v>
      </c>
      <c r="EF132" s="1319">
        <f t="shared" ca="1" si="1267"/>
        <v>0</v>
      </c>
      <c r="EG132" s="1319">
        <f t="shared" ca="1" si="1267"/>
        <v>0</v>
      </c>
      <c r="EH132" s="1319">
        <f t="shared" ca="1" si="1267"/>
        <v>0</v>
      </c>
      <c r="EI132" s="1319">
        <f t="shared" ca="1" si="1267"/>
        <v>0</v>
      </c>
      <c r="EJ132" s="1319">
        <f t="shared" ca="1" si="1267"/>
        <v>0</v>
      </c>
      <c r="EK132" s="1319">
        <f t="shared" ca="1" si="1267"/>
        <v>0</v>
      </c>
      <c r="ET132" s="1334"/>
      <c r="EW132" s="1319">
        <f t="shared" ca="1" si="1268"/>
        <v>-1.8816204525301934</v>
      </c>
      <c r="EX132" s="1319">
        <f t="shared" ca="1" si="1268"/>
        <v>-1.8816204525301934</v>
      </c>
      <c r="EY132" s="1319">
        <f t="shared" ca="1" si="1268"/>
        <v>-0.91839281738927614</v>
      </c>
      <c r="EZ132" s="1319">
        <f t="shared" ca="1" si="1268"/>
        <v>-0.91839281738927614</v>
      </c>
      <c r="FA132" s="1319">
        <f t="shared" ca="1" si="1268"/>
        <v>-8.3053879582678449E-4</v>
      </c>
      <c r="FB132" s="1319">
        <f t="shared" ca="1" si="1268"/>
        <v>-0.96239709512511518</v>
      </c>
      <c r="FK132" s="1334"/>
      <c r="FN132" s="1319">
        <f t="shared" ca="1" si="1269"/>
        <v>-1.3543870458450145E-3</v>
      </c>
      <c r="FO132" s="1319">
        <f t="shared" ca="1" si="1269"/>
        <v>-1.2996434952568654E-2</v>
      </c>
      <c r="FP132" s="1319">
        <f t="shared" ca="1" si="1269"/>
        <v>-8.3053879582678449E-4</v>
      </c>
      <c r="FQ132" s="1319">
        <f t="shared" ca="1" si="1269"/>
        <v>-0.96239709512511518</v>
      </c>
      <c r="FR132" s="1319">
        <f t="shared" ca="1" si="1269"/>
        <v>-2.7779599312711792E-7</v>
      </c>
      <c r="FS132" s="1319">
        <f t="shared" ca="1" si="1269"/>
        <v>-0.96239682091053025</v>
      </c>
      <c r="FT132" s="1319">
        <f t="shared" ca="1" si="1269"/>
        <v>0</v>
      </c>
      <c r="FU132" s="1319">
        <f t="shared" ca="1" si="1269"/>
        <v>-1.5181360816625316E-2</v>
      </c>
      <c r="FV132" s="1319">
        <f t="shared" ca="1" si="1269"/>
        <v>0</v>
      </c>
      <c r="FW132" s="1319">
        <f t="shared" ca="1" si="1269"/>
        <v>-3.2308006558730856E-5</v>
      </c>
      <c r="FX132" s="1319">
        <f t="shared" ca="1" si="1269"/>
        <v>-1.5149052798258568E-2</v>
      </c>
      <c r="GG132" s="1334"/>
      <c r="GJ132" s="1319">
        <f t="shared" ca="1" si="1270"/>
        <v>-2.7779599312711792E-7</v>
      </c>
      <c r="GK132" s="1319">
        <f t="shared" ca="1" si="1270"/>
        <v>-2.7779599312711792E-7</v>
      </c>
      <c r="GL132" s="1319">
        <f t="shared" ca="1" si="1270"/>
        <v>0</v>
      </c>
      <c r="GM132" s="1319">
        <f t="shared" ca="1" si="1270"/>
        <v>-2.7779599312711792E-7</v>
      </c>
      <c r="GN132" s="1319">
        <f t="shared" ca="1" si="1270"/>
        <v>-2.7779599312711792E-7</v>
      </c>
      <c r="GO132" s="1319">
        <f t="shared" ca="1" si="1270"/>
        <v>0</v>
      </c>
      <c r="GP132" s="1319">
        <f t="shared" ca="1" si="1270"/>
        <v>-2.7779599312711792E-7</v>
      </c>
      <c r="GQ132" s="1319">
        <f t="shared" ca="1" si="1270"/>
        <v>0</v>
      </c>
      <c r="GZ132" s="1334"/>
      <c r="HC132" s="1319">
        <f t="shared" ca="1" si="1271"/>
        <v>-0.91839281738927614</v>
      </c>
      <c r="HD132" s="1319">
        <f t="shared" ca="1" si="1271"/>
        <v>-0.88419960732795722</v>
      </c>
      <c r="HE132" s="1319">
        <f t="shared" ca="1" si="1271"/>
        <v>0</v>
      </c>
      <c r="HF132" s="1319">
        <f t="shared" ca="1" si="1271"/>
        <v>-3.6637796711181192E-3</v>
      </c>
      <c r="HG132" s="1319">
        <f t="shared" ca="1" si="1271"/>
        <v>-3.0529433132346646E-2</v>
      </c>
      <c r="HH132" s="1319">
        <f t="shared" ca="1" si="1271"/>
        <v>-0.88419960732795722</v>
      </c>
      <c r="HQ132" s="1334"/>
      <c r="HT132" s="1319">
        <f t="shared" ca="1" si="1272"/>
        <v>-1.8343051679896754</v>
      </c>
      <c r="HU132" s="1319">
        <f t="shared" ca="1" si="1272"/>
        <v>-0.88419960732795722</v>
      </c>
      <c r="HV132" s="1319">
        <f t="shared" ca="1" si="1272"/>
        <v>-2.718504775317633</v>
      </c>
      <c r="HW132" s="1319">
        <f t="shared" ca="1" si="1272"/>
        <v>-2.718504775317633</v>
      </c>
      <c r="HX132" s="1319">
        <f t="shared" ca="1" si="1272"/>
        <v>-0.22263881893782095</v>
      </c>
      <c r="HY132" s="1319">
        <f t="shared" ca="1" si="1272"/>
        <v>-1.6930397246967436E-2</v>
      </c>
      <c r="HZ132" s="1319">
        <f t="shared" ca="1" si="1272"/>
        <v>-5.0973364521581625E-3</v>
      </c>
      <c r="IA132" s="1319">
        <f t="shared" ca="1" si="1272"/>
        <v>-1.123057573724764E-6</v>
      </c>
      <c r="IB132" s="1319">
        <f t="shared" ca="1" si="1272"/>
        <v>0</v>
      </c>
      <c r="IC132" s="1319">
        <f t="shared" ca="1" si="1272"/>
        <v>0</v>
      </c>
      <c r="ID132" s="1319">
        <f t="shared" ca="1" si="1272"/>
        <v>0</v>
      </c>
      <c r="IE132" s="1319">
        <f t="shared" ca="1" si="1272"/>
        <v>0</v>
      </c>
      <c r="IN132" s="1334"/>
      <c r="IQ132" s="1319">
        <f t="shared" ca="1" si="1273"/>
        <v>-0.22263881893782095</v>
      </c>
      <c r="IR132" s="1319">
        <f t="shared" ca="1" si="1273"/>
        <v>-1.6930397246967436E-2</v>
      </c>
      <c r="IS132" s="1319">
        <f t="shared" ca="1" si="1273"/>
        <v>-3.2975347820232714E-4</v>
      </c>
      <c r="IT132" s="1319">
        <f t="shared" ca="1" si="1273"/>
        <v>-1.7260150694390578E-2</v>
      </c>
      <c r="IU132" s="1319">
        <f t="shared" ca="1" si="1273"/>
        <v>-1.6108838710181001E-2</v>
      </c>
      <c r="IV132" s="1319">
        <f t="shared" ca="1" si="1273"/>
        <v>-9.6661803546227738E-3</v>
      </c>
      <c r="IW132" s="1319">
        <f t="shared" ca="1" si="1273"/>
        <v>-7.9140834656634216E-3</v>
      </c>
      <c r="IX132" s="1319">
        <f t="shared" ca="1" si="1273"/>
        <v>-2.0028931174908375E-4</v>
      </c>
      <c r="IY132" s="1319">
        <f t="shared" ca="1" si="1273"/>
        <v>-1.1513120233830865E-3</v>
      </c>
      <c r="IZ132" s="1319">
        <f t="shared" ca="1" si="1273"/>
        <v>-1.4223439899653835E-3</v>
      </c>
      <c r="JA132" s="1319">
        <f t="shared" ca="1" si="1273"/>
        <v>-8.2438369690487189E-3</v>
      </c>
      <c r="JB132" s="1319">
        <f t="shared" ca="1" si="1274"/>
        <v>0</v>
      </c>
      <c r="JC132" s="1319">
        <f t="shared" ca="1" si="1274"/>
        <v>-1.4212209357381961E-3</v>
      </c>
      <c r="JD132" s="1319">
        <f t="shared" ca="1" si="1274"/>
        <v>0</v>
      </c>
      <c r="JE132" s="1319">
        <f t="shared" ca="1" si="1274"/>
        <v>-1.4223439899653835E-3</v>
      </c>
      <c r="JF132" s="1319">
        <f t="shared" ca="1" si="1274"/>
        <v>0</v>
      </c>
      <c r="JG132" s="1319">
        <f t="shared" ca="1" si="1274"/>
        <v>0</v>
      </c>
      <c r="JH132" s="1319">
        <f t="shared" ca="1" si="1274"/>
        <v>-1.123057573724764E-6</v>
      </c>
      <c r="JQ132" s="1334"/>
      <c r="JT132" s="1319">
        <f t="shared" ca="1" si="1275"/>
        <v>0</v>
      </c>
      <c r="JU132" s="1319">
        <f t="shared" ca="1" si="1275"/>
        <v>0</v>
      </c>
      <c r="JV132" s="1319">
        <f t="shared" ca="1" si="1275"/>
        <v>0</v>
      </c>
      <c r="JW132" s="1319">
        <f t="shared" ca="1" si="1275"/>
        <v>0</v>
      </c>
      <c r="JX132" s="1319">
        <f t="shared" ca="1" si="1275"/>
        <v>-2.7779599312711792E-7</v>
      </c>
      <c r="JY132" s="1319">
        <f t="shared" ca="1" si="1275"/>
        <v>0</v>
      </c>
      <c r="JZ132" s="1319">
        <f t="shared" ca="1" si="1275"/>
        <v>-2.7779599312711792E-7</v>
      </c>
      <c r="KA132" s="1319">
        <f t="shared" ca="1" si="1275"/>
        <v>0</v>
      </c>
      <c r="KB132" s="1319">
        <f t="shared" ca="1" si="1275"/>
        <v>0</v>
      </c>
      <c r="KC132" s="1319">
        <f t="shared" ca="1" si="1275"/>
        <v>0</v>
      </c>
      <c r="KI132" s="1334"/>
      <c r="KL132" s="1319">
        <f t="shared" ca="1" si="1276"/>
        <v>0</v>
      </c>
      <c r="KM132" s="1319">
        <f t="shared" ca="1" si="1276"/>
        <v>0</v>
      </c>
      <c r="KN132" s="1319">
        <f t="shared" ca="1" si="1276"/>
        <v>0</v>
      </c>
      <c r="KO132" s="1319">
        <f t="shared" ca="1" si="1276"/>
        <v>0</v>
      </c>
      <c r="KP132" s="1319">
        <f t="shared" ca="1" si="1276"/>
        <v>0</v>
      </c>
      <c r="KQ132" s="1319">
        <f t="shared" ca="1" si="1276"/>
        <v>0</v>
      </c>
      <c r="KR132" s="1319">
        <f t="shared" ca="1" si="1276"/>
        <v>0</v>
      </c>
      <c r="KX132" s="1334"/>
      <c r="LA132" s="1319">
        <f t="shared" ca="1" si="1277"/>
        <v>-3.6637796711181192E-3</v>
      </c>
      <c r="LB132" s="1319">
        <f t="shared" ca="1" si="1277"/>
        <v>-5.0973364521581625E-3</v>
      </c>
      <c r="LC132" s="1319">
        <f t="shared" ca="1" si="1277"/>
        <v>-8.761116145661144E-3</v>
      </c>
      <c r="LD132" s="1319">
        <f t="shared" ca="1" si="1277"/>
        <v>-8.761116145661144E-3</v>
      </c>
      <c r="LE132" s="1319">
        <f t="shared" ca="1" si="1277"/>
        <v>0</v>
      </c>
      <c r="LF132" s="1319">
        <f t="shared" ca="1" si="1277"/>
        <v>0</v>
      </c>
      <c r="LG132" s="1319">
        <f t="shared" ca="1" si="1277"/>
        <v>0</v>
      </c>
      <c r="LH132" s="1319">
        <f t="shared" ca="1" si="1277"/>
        <v>0</v>
      </c>
      <c r="LI132" s="1319">
        <f t="shared" ca="1" si="1277"/>
        <v>0</v>
      </c>
      <c r="LJ132" s="1319">
        <f t="shared" ca="1" si="1277"/>
        <v>0</v>
      </c>
      <c r="LK132" s="1319">
        <f t="shared" ca="1" si="1277"/>
        <v>0</v>
      </c>
      <c r="LT132" s="1334"/>
      <c r="LW132" s="1319">
        <f t="shared" ca="1" si="1278"/>
        <v>0</v>
      </c>
      <c r="LX132" s="1319">
        <f t="shared" ca="1" si="1278"/>
        <v>0</v>
      </c>
      <c r="LY132" s="1319">
        <f t="shared" ca="1" si="1278"/>
        <v>-3.0529433132346646E-2</v>
      </c>
      <c r="LZ132" s="1319">
        <f t="shared" ca="1" si="1278"/>
        <v>-1.1513120233830865E-3</v>
      </c>
      <c r="MA132" s="1319">
        <f t="shared" ca="1" si="1278"/>
        <v>-3.1680745116556219E-2</v>
      </c>
      <c r="MB132" s="1319">
        <f t="shared" ca="1" si="1278"/>
        <v>-8.761116145661144E-3</v>
      </c>
      <c r="MC132" s="1319">
        <f t="shared" ca="1" si="1278"/>
        <v>0</v>
      </c>
      <c r="MD132" s="1319">
        <f t="shared" ca="1" si="1278"/>
        <v>0</v>
      </c>
      <c r="ME132" s="1319">
        <f t="shared" ca="1" si="1278"/>
        <v>0</v>
      </c>
      <c r="MF132" s="1319">
        <f t="shared" ca="1" si="1278"/>
        <v>0</v>
      </c>
      <c r="MG132" s="1319">
        <f t="shared" ca="1" si="1279"/>
        <v>0</v>
      </c>
      <c r="MH132" s="1319">
        <f t="shared" ca="1" si="1279"/>
        <v>0</v>
      </c>
      <c r="MI132" s="1319">
        <f t="shared" ca="1" si="1279"/>
        <v>0</v>
      </c>
      <c r="MJ132" s="1319">
        <f t="shared" ca="1" si="1279"/>
        <v>0</v>
      </c>
      <c r="MK132" s="1319">
        <f t="shared" ca="1" si="1279"/>
        <v>0</v>
      </c>
      <c r="ML132" s="1319">
        <f t="shared" ca="1" si="1279"/>
        <v>0</v>
      </c>
      <c r="MM132" s="1319">
        <f t="shared" ca="1" si="1279"/>
        <v>0</v>
      </c>
      <c r="MN132" s="1319">
        <f t="shared" ca="1" si="1279"/>
        <v>0</v>
      </c>
      <c r="MO132" s="1319">
        <f t="shared" ca="1" si="1279"/>
        <v>0</v>
      </c>
      <c r="MX132" s="1334"/>
      <c r="NA132" s="1319">
        <f t="shared" ca="1" si="1280"/>
        <v>-1.1430375982807406</v>
      </c>
      <c r="NB132" s="1319">
        <f t="shared" ca="1" si="1280"/>
        <v>-1.1034652158411677</v>
      </c>
      <c r="NC132" s="1319">
        <f t="shared" ca="1" si="1280"/>
        <v>-3.9572383055156417E-2</v>
      </c>
      <c r="ND132" s="1319">
        <f t="shared" ca="1" si="1280"/>
        <v>0</v>
      </c>
      <c r="NE132" s="1319">
        <f t="shared" ca="1" si="1280"/>
        <v>0</v>
      </c>
      <c r="NF132" s="1319">
        <f t="shared" ca="1" si="1280"/>
        <v>0</v>
      </c>
      <c r="NG132" s="1319">
        <f t="shared" ca="1" si="1280"/>
        <v>0</v>
      </c>
      <c r="NH132" s="1319">
        <f t="shared" ca="1" si="1280"/>
        <v>0</v>
      </c>
      <c r="NI132" s="1319">
        <f t="shared" ca="1" si="1280"/>
        <v>0</v>
      </c>
      <c r="NJ132" s="1319">
        <f t="shared" ca="1" si="1280"/>
        <v>0</v>
      </c>
      <c r="NK132" s="1319">
        <f t="shared" ca="1" si="1280"/>
        <v>0</v>
      </c>
      <c r="NL132" s="1319">
        <f t="shared" ca="1" si="1280"/>
        <v>0</v>
      </c>
      <c r="NM132" s="1319">
        <f t="shared" ca="1" si="1280"/>
        <v>0</v>
      </c>
      <c r="NN132" s="1319">
        <f t="shared" ca="1" si="1280"/>
        <v>0</v>
      </c>
      <c r="NO132" s="1319">
        <f t="shared" ca="1" si="1280"/>
        <v>0</v>
      </c>
      <c r="NP132" s="1319">
        <f t="shared" ca="1" si="1280"/>
        <v>0</v>
      </c>
      <c r="NY132" s="1334"/>
      <c r="OE132" s="1334"/>
      <c r="OH132" s="1319">
        <f t="shared" ca="1" si="1281"/>
        <v>0</v>
      </c>
      <c r="OI132" s="1319">
        <f t="shared" ca="1" si="1281"/>
        <v>0</v>
      </c>
      <c r="OJ132" s="1319">
        <f t="shared" ca="1" si="1281"/>
        <v>0</v>
      </c>
      <c r="OK132" s="1319">
        <f t="shared" ca="1" si="1281"/>
        <v>0</v>
      </c>
      <c r="OL132" s="1319">
        <f t="shared" ca="1" si="1281"/>
        <v>0</v>
      </c>
      <c r="OM132" s="1319">
        <f t="shared" ca="1" si="1281"/>
        <v>0</v>
      </c>
      <c r="ON132" s="1319">
        <f t="shared" ca="1" si="1281"/>
        <v>0</v>
      </c>
      <c r="OO132" s="1319">
        <f t="shared" ca="1" si="1281"/>
        <v>0</v>
      </c>
      <c r="OX132" s="1334"/>
      <c r="PA132" s="1319">
        <f t="shared" ca="1" si="1282"/>
        <v>0</v>
      </c>
      <c r="PB132" s="1319">
        <f t="shared" ca="1" si="1282"/>
        <v>0</v>
      </c>
      <c r="PC132" s="1319">
        <f t="shared" ca="1" si="1282"/>
        <v>0</v>
      </c>
      <c r="PD132" s="1319">
        <f t="shared" ca="1" si="1282"/>
        <v>0</v>
      </c>
      <c r="PE132" s="1319">
        <f t="shared" ca="1" si="1282"/>
        <v>0</v>
      </c>
      <c r="PF132" s="1319">
        <f t="shared" ca="1" si="1282"/>
        <v>0</v>
      </c>
      <c r="PG132" s="1319">
        <f t="shared" ca="1" si="1282"/>
        <v>0</v>
      </c>
      <c r="PH132" s="1319">
        <f t="shared" ca="1" si="1282"/>
        <v>0</v>
      </c>
      <c r="PI132" s="1319">
        <f t="shared" ca="1" si="1282"/>
        <v>0</v>
      </c>
      <c r="PJ132" s="1319">
        <f t="shared" ca="1" si="1282"/>
        <v>0</v>
      </c>
      <c r="PK132" s="1319">
        <f t="shared" ca="1" si="1282"/>
        <v>0</v>
      </c>
      <c r="PT132" s="1334"/>
      <c r="PW132" s="1319">
        <f t="shared" ca="1" si="1261"/>
        <v>0</v>
      </c>
      <c r="PX132" s="1319">
        <f t="shared" ca="1" si="1261"/>
        <v>0</v>
      </c>
      <c r="PY132" s="1319">
        <f t="shared" ca="1" si="1261"/>
        <v>0</v>
      </c>
      <c r="PZ132" s="1319">
        <f t="shared" ca="1" si="1261"/>
        <v>0</v>
      </c>
    </row>
    <row r="133" spans="1:442" x14ac:dyDescent="0.25">
      <c r="A133" s="189">
        <v>22</v>
      </c>
      <c r="B133" s="189" t="s">
        <v>1256</v>
      </c>
      <c r="C133" s="1317" t="s">
        <v>1296</v>
      </c>
      <c r="D133" s="1317" t="s">
        <v>206</v>
      </c>
      <c r="E133" s="1318">
        <v>60.05256</v>
      </c>
      <c r="F133" s="1316">
        <v>-0.19452268085999996</v>
      </c>
      <c r="G133" s="1334"/>
      <c r="J133" s="1319">
        <f t="shared" ca="1" si="1239"/>
        <v>0</v>
      </c>
      <c r="K133" s="1319">
        <f t="shared" ca="1" si="1239"/>
        <v>0</v>
      </c>
      <c r="Q133" s="1334"/>
      <c r="T133" s="1319">
        <f t="shared" ca="1" si="1262"/>
        <v>0</v>
      </c>
      <c r="U133" s="1319">
        <f t="shared" ca="1" si="1262"/>
        <v>0</v>
      </c>
      <c r="V133" s="1319">
        <f t="shared" ca="1" si="1262"/>
        <v>0</v>
      </c>
      <c r="W133" s="1319">
        <f t="shared" ca="1" si="1262"/>
        <v>0</v>
      </c>
      <c r="X133" s="1319">
        <f t="shared" ca="1" si="1262"/>
        <v>0</v>
      </c>
      <c r="Y133" s="1319">
        <f t="shared" ca="1" si="1262"/>
        <v>-4.8852265022984342</v>
      </c>
      <c r="Z133" s="1319">
        <f t="shared" ca="1" si="1262"/>
        <v>-0.1151561857401615</v>
      </c>
      <c r="AA133" s="1319">
        <f t="shared" ca="1" si="1262"/>
        <v>-4.770070324008449</v>
      </c>
      <c r="AB133" s="1319">
        <f t="shared" ca="1" si="1262"/>
        <v>0</v>
      </c>
      <c r="AC133" s="1319">
        <f t="shared" ca="1" si="1262"/>
        <v>0</v>
      </c>
      <c r="AD133" s="1319">
        <f t="shared" ca="1" si="1262"/>
        <v>0</v>
      </c>
      <c r="AJ133" s="1334"/>
      <c r="AM133" s="1319">
        <f t="shared" ca="1" si="1263"/>
        <v>0</v>
      </c>
      <c r="AN133" s="1319">
        <f t="shared" ca="1" si="1263"/>
        <v>0</v>
      </c>
      <c r="AO133" s="1319">
        <f t="shared" ca="1" si="1263"/>
        <v>-4.770070324008449</v>
      </c>
      <c r="AP133" s="1319">
        <f t="shared" ca="1" si="1263"/>
        <v>-4.770070324008449</v>
      </c>
      <c r="AQ133" s="1319">
        <f t="shared" ca="1" si="1263"/>
        <v>-7.3803229098851744E-2</v>
      </c>
      <c r="AR133" s="1319">
        <f t="shared" ca="1" si="1263"/>
        <v>-7.9472805250185755E-2</v>
      </c>
      <c r="AS133" s="1319">
        <f t="shared" ca="1" si="1263"/>
        <v>-3.568338048997572E-2</v>
      </c>
      <c r="AT133" s="1319">
        <f t="shared" ca="1" si="1263"/>
        <v>-4.8272081563156141E-2</v>
      </c>
      <c r="AU133" s="1319">
        <f t="shared" ca="1" si="1263"/>
        <v>-0.10500395246196066</v>
      </c>
      <c r="AV133" s="1319">
        <f t="shared" ca="1" si="1263"/>
        <v>-4.6962670949095973</v>
      </c>
      <c r="AW133" s="1319">
        <f t="shared" ca="1" si="1263"/>
        <v>-4.8272081563156141E-2</v>
      </c>
      <c r="AX133" s="1319">
        <f t="shared" ca="1" si="1263"/>
        <v>-0.18895941483901324</v>
      </c>
      <c r="AY133" s="1319">
        <f t="shared" ca="1" si="1263"/>
        <v>0</v>
      </c>
      <c r="AZ133" s="1319">
        <f t="shared" ca="1" si="1263"/>
        <v>0</v>
      </c>
      <c r="BA133" s="1319">
        <f t="shared" ca="1" si="1263"/>
        <v>0</v>
      </c>
      <c r="BB133" s="1319">
        <f t="shared" ca="1" si="1263"/>
        <v>0</v>
      </c>
      <c r="BK133" s="1334"/>
      <c r="BN133" s="1319">
        <f t="shared" ca="1" si="1264"/>
        <v>0</v>
      </c>
      <c r="BO133" s="1319">
        <f t="shared" ca="1" si="1264"/>
        <v>0</v>
      </c>
      <c r="BP133" s="1319">
        <f t="shared" ca="1" si="1264"/>
        <v>0</v>
      </c>
      <c r="BQ133" s="1319">
        <f t="shared" ca="1" si="1264"/>
        <v>0</v>
      </c>
      <c r="BR133" s="1319">
        <f t="shared" ca="1" si="1264"/>
        <v>0</v>
      </c>
      <c r="CA133" s="1334"/>
      <c r="CD133" s="1319">
        <f t="shared" ca="1" si="1265"/>
        <v>0</v>
      </c>
      <c r="CE133" s="1319">
        <f t="shared" ca="1" si="1265"/>
        <v>0</v>
      </c>
      <c r="CF133" s="1319">
        <f t="shared" ca="1" si="1265"/>
        <v>0</v>
      </c>
      <c r="CG133" s="1319">
        <f t="shared" ca="1" si="1265"/>
        <v>0</v>
      </c>
      <c r="CH133" s="1319">
        <f t="shared" ca="1" si="1265"/>
        <v>0</v>
      </c>
      <c r="CI133" s="1319">
        <f t="shared" ca="1" si="1265"/>
        <v>0</v>
      </c>
      <c r="CJ133" s="1319">
        <f t="shared" ca="1" si="1265"/>
        <v>0</v>
      </c>
      <c r="CK133" s="1319">
        <f t="shared" ca="1" si="1265"/>
        <v>0</v>
      </c>
      <c r="CL133" s="1319">
        <f t="shared" ca="1" si="1265"/>
        <v>0</v>
      </c>
      <c r="CM133" s="1319">
        <f t="shared" ca="1" si="1265"/>
        <v>0</v>
      </c>
      <c r="CN133" s="1319">
        <f t="shared" ca="1" si="1265"/>
        <v>0</v>
      </c>
      <c r="CO133" s="1319">
        <f t="shared" ca="1" si="1265"/>
        <v>0</v>
      </c>
      <c r="CX133" s="1334"/>
      <c r="DA133" s="1319">
        <f t="shared" ca="1" si="1266"/>
        <v>0</v>
      </c>
      <c r="DB133" s="1319">
        <f t="shared" ca="1" si="1266"/>
        <v>0</v>
      </c>
      <c r="DC133" s="1319">
        <f t="shared" ca="1" si="1266"/>
        <v>0</v>
      </c>
      <c r="DD133" s="1319">
        <f t="shared" ca="1" si="1266"/>
        <v>0</v>
      </c>
      <c r="DE133" s="1319">
        <f t="shared" ca="1" si="1266"/>
        <v>0</v>
      </c>
      <c r="DF133" s="1319">
        <f t="shared" ca="1" si="1266"/>
        <v>0</v>
      </c>
      <c r="DG133" s="1319">
        <f t="shared" ca="1" si="1266"/>
        <v>0</v>
      </c>
      <c r="DH133" s="1319">
        <f t="shared" ca="1" si="1266"/>
        <v>0</v>
      </c>
      <c r="DI133" s="1319">
        <f t="shared" ca="1" si="1266"/>
        <v>0</v>
      </c>
      <c r="DJ133" s="1319">
        <f t="shared" ca="1" si="1266"/>
        <v>0</v>
      </c>
      <c r="DS133" s="1334"/>
      <c r="DV133" s="1319">
        <f t="shared" ca="1" si="1267"/>
        <v>0</v>
      </c>
      <c r="DW133" s="1319">
        <f t="shared" ca="1" si="1267"/>
        <v>0</v>
      </c>
      <c r="DX133" s="1319">
        <f t="shared" ca="1" si="1267"/>
        <v>0</v>
      </c>
      <c r="DY133" s="1319">
        <f t="shared" ca="1" si="1267"/>
        <v>0</v>
      </c>
      <c r="DZ133" s="1319">
        <f t="shared" ca="1" si="1267"/>
        <v>0</v>
      </c>
      <c r="EA133" s="1319">
        <f t="shared" ca="1" si="1267"/>
        <v>0</v>
      </c>
      <c r="EB133" s="1319">
        <f t="shared" ca="1" si="1267"/>
        <v>0</v>
      </c>
      <c r="EC133" s="1319">
        <f t="shared" ca="1" si="1267"/>
        <v>0</v>
      </c>
      <c r="ED133" s="1319">
        <f t="shared" ca="1" si="1267"/>
        <v>0</v>
      </c>
      <c r="EE133" s="1319">
        <f t="shared" ca="1" si="1267"/>
        <v>0</v>
      </c>
      <c r="EF133" s="1319">
        <f t="shared" ca="1" si="1267"/>
        <v>0</v>
      </c>
      <c r="EG133" s="1319">
        <f t="shared" ca="1" si="1267"/>
        <v>0</v>
      </c>
      <c r="EH133" s="1319">
        <f t="shared" ca="1" si="1267"/>
        <v>0</v>
      </c>
      <c r="EI133" s="1319">
        <f t="shared" ca="1" si="1267"/>
        <v>0</v>
      </c>
      <c r="EJ133" s="1319">
        <f t="shared" ca="1" si="1267"/>
        <v>0</v>
      </c>
      <c r="EK133" s="1319">
        <f t="shared" ca="1" si="1267"/>
        <v>0</v>
      </c>
      <c r="ET133" s="1334"/>
      <c r="EW133" s="1319">
        <f t="shared" ca="1" si="1268"/>
        <v>0</v>
      </c>
      <c r="EX133" s="1319">
        <f t="shared" ca="1" si="1268"/>
        <v>0</v>
      </c>
      <c r="EY133" s="1319">
        <f t="shared" ca="1" si="1268"/>
        <v>0</v>
      </c>
      <c r="EZ133" s="1319">
        <f t="shared" ca="1" si="1268"/>
        <v>0</v>
      </c>
      <c r="FA133" s="1319">
        <f t="shared" ca="1" si="1268"/>
        <v>0</v>
      </c>
      <c r="FB133" s="1319">
        <f t="shared" ca="1" si="1268"/>
        <v>0</v>
      </c>
      <c r="FK133" s="1334"/>
      <c r="FN133" s="1319">
        <f t="shared" ca="1" si="1269"/>
        <v>0</v>
      </c>
      <c r="FO133" s="1319">
        <f t="shared" ca="1" si="1269"/>
        <v>0</v>
      </c>
      <c r="FP133" s="1319">
        <f t="shared" ca="1" si="1269"/>
        <v>0</v>
      </c>
      <c r="FQ133" s="1319">
        <f t="shared" ca="1" si="1269"/>
        <v>0</v>
      </c>
      <c r="FR133" s="1319">
        <f t="shared" ca="1" si="1269"/>
        <v>0</v>
      </c>
      <c r="FS133" s="1319">
        <f t="shared" ca="1" si="1269"/>
        <v>0</v>
      </c>
      <c r="FT133" s="1319">
        <f t="shared" ca="1" si="1269"/>
        <v>0</v>
      </c>
      <c r="FU133" s="1319">
        <f t="shared" ca="1" si="1269"/>
        <v>0</v>
      </c>
      <c r="FV133" s="1319">
        <f t="shared" ca="1" si="1269"/>
        <v>0</v>
      </c>
      <c r="FW133" s="1319">
        <f t="shared" ca="1" si="1269"/>
        <v>0</v>
      </c>
      <c r="FX133" s="1319">
        <f t="shared" ca="1" si="1269"/>
        <v>0</v>
      </c>
      <c r="GG133" s="1334"/>
      <c r="GJ133" s="1319">
        <f t="shared" ca="1" si="1270"/>
        <v>0</v>
      </c>
      <c r="GK133" s="1319">
        <f t="shared" ca="1" si="1270"/>
        <v>0</v>
      </c>
      <c r="GL133" s="1319">
        <f t="shared" ca="1" si="1270"/>
        <v>0</v>
      </c>
      <c r="GM133" s="1319">
        <f t="shared" ca="1" si="1270"/>
        <v>0</v>
      </c>
      <c r="GN133" s="1319">
        <f t="shared" ca="1" si="1270"/>
        <v>0</v>
      </c>
      <c r="GO133" s="1319">
        <f t="shared" ca="1" si="1270"/>
        <v>0</v>
      </c>
      <c r="GP133" s="1319">
        <f t="shared" ca="1" si="1270"/>
        <v>0</v>
      </c>
      <c r="GQ133" s="1319">
        <f t="shared" ca="1" si="1270"/>
        <v>0</v>
      </c>
      <c r="GZ133" s="1334"/>
      <c r="HC133" s="1319">
        <f t="shared" ca="1" si="1271"/>
        <v>0</v>
      </c>
      <c r="HD133" s="1319">
        <f t="shared" ca="1" si="1271"/>
        <v>0</v>
      </c>
      <c r="HE133" s="1319">
        <f t="shared" ca="1" si="1271"/>
        <v>0</v>
      </c>
      <c r="HF133" s="1319">
        <f t="shared" ca="1" si="1271"/>
        <v>0</v>
      </c>
      <c r="HG133" s="1319">
        <f t="shared" ca="1" si="1271"/>
        <v>0</v>
      </c>
      <c r="HH133" s="1319">
        <f t="shared" ca="1" si="1271"/>
        <v>0</v>
      </c>
      <c r="HQ133" s="1334"/>
      <c r="HT133" s="1319">
        <f t="shared" ca="1" si="1272"/>
        <v>-0.18895941483901324</v>
      </c>
      <c r="HU133" s="1319">
        <f t="shared" ca="1" si="1272"/>
        <v>0</v>
      </c>
      <c r="HV133" s="1319">
        <f t="shared" ca="1" si="1272"/>
        <v>-0.18895941483901324</v>
      </c>
      <c r="HW133" s="1319">
        <f t="shared" ca="1" si="1272"/>
        <v>-0.18895941483901324</v>
      </c>
      <c r="HX133" s="1319">
        <f t="shared" ca="1" si="1272"/>
        <v>-1.578502402154142E-2</v>
      </c>
      <c r="HY133" s="1319">
        <f t="shared" ca="1" si="1272"/>
        <v>-1.2003599719510728E-3</v>
      </c>
      <c r="HZ133" s="1319">
        <f t="shared" ca="1" si="1272"/>
        <v>-2.0970605551994661E-5</v>
      </c>
      <c r="IA133" s="1319">
        <f t="shared" ca="1" si="1272"/>
        <v>-7.2832697209057051E-9</v>
      </c>
      <c r="IB133" s="1319">
        <f t="shared" ca="1" si="1272"/>
        <v>0</v>
      </c>
      <c r="IC133" s="1319">
        <f t="shared" ca="1" si="1272"/>
        <v>0</v>
      </c>
      <c r="ID133" s="1319">
        <f t="shared" ca="1" si="1272"/>
        <v>0</v>
      </c>
      <c r="IE133" s="1319">
        <f t="shared" ca="1" si="1272"/>
        <v>0</v>
      </c>
      <c r="IN133" s="1334"/>
      <c r="IQ133" s="1319">
        <f t="shared" ca="1" si="1273"/>
        <v>-1.578502402154142E-2</v>
      </c>
      <c r="IR133" s="1319">
        <f t="shared" ca="1" si="1273"/>
        <v>-1.2003599719510728E-3</v>
      </c>
      <c r="IS133" s="1319">
        <f t="shared" ca="1" si="1273"/>
        <v>-2.3853805457042599E-5</v>
      </c>
      <c r="IT133" s="1319">
        <f t="shared" ca="1" si="1273"/>
        <v>-1.2242137783474855E-3</v>
      </c>
      <c r="IU133" s="1319">
        <f t="shared" ca="1" si="1273"/>
        <v>-1.1425544677907149E-3</v>
      </c>
      <c r="IV133" s="1319">
        <f t="shared" ca="1" si="1273"/>
        <v>-6.9923508594495383E-4</v>
      </c>
      <c r="IW133" s="1319">
        <f t="shared" ca="1" si="1273"/>
        <v>-5.7249133083945398E-4</v>
      </c>
      <c r="IX133" s="1319">
        <f t="shared" ca="1" si="1273"/>
        <v>-7.6770782071502441E-7</v>
      </c>
      <c r="IY133" s="1319">
        <f t="shared" ca="1" si="1273"/>
        <v>-8.1659312500294995E-5</v>
      </c>
      <c r="IZ133" s="1319">
        <f t="shared" ca="1" si="1273"/>
        <v>-1.0288995097653214E-4</v>
      </c>
      <c r="JA133" s="1319">
        <f t="shared" ca="1" si="1273"/>
        <v>-5.9634513723586674E-4</v>
      </c>
      <c r="JB133" s="1319">
        <f t="shared" ca="1" si="1274"/>
        <v>0</v>
      </c>
      <c r="JC133" s="1319">
        <f t="shared" ca="1" si="1274"/>
        <v>-1.0288266761928786E-4</v>
      </c>
      <c r="JD133" s="1319">
        <f t="shared" ca="1" si="1274"/>
        <v>0</v>
      </c>
      <c r="JE133" s="1319">
        <f t="shared" ca="1" si="1274"/>
        <v>-1.0288995097653214E-4</v>
      </c>
      <c r="JF133" s="1319">
        <f t="shared" ca="1" si="1274"/>
        <v>0</v>
      </c>
      <c r="JG133" s="1319">
        <f t="shared" ca="1" si="1274"/>
        <v>0</v>
      </c>
      <c r="JH133" s="1319">
        <f t="shared" ca="1" si="1274"/>
        <v>-7.2832697209057051E-9</v>
      </c>
      <c r="JQ133" s="1334"/>
      <c r="JT133" s="1319">
        <f t="shared" ca="1" si="1275"/>
        <v>0</v>
      </c>
      <c r="JU133" s="1319">
        <f t="shared" ca="1" si="1275"/>
        <v>0</v>
      </c>
      <c r="JV133" s="1319">
        <f t="shared" ca="1" si="1275"/>
        <v>0</v>
      </c>
      <c r="JW133" s="1319">
        <f t="shared" ca="1" si="1275"/>
        <v>0</v>
      </c>
      <c r="JX133" s="1319">
        <f t="shared" ca="1" si="1275"/>
        <v>0</v>
      </c>
      <c r="JY133" s="1319">
        <f t="shared" ca="1" si="1275"/>
        <v>0</v>
      </c>
      <c r="JZ133" s="1319">
        <f t="shared" ca="1" si="1275"/>
        <v>0</v>
      </c>
      <c r="KA133" s="1319">
        <f t="shared" ca="1" si="1275"/>
        <v>0</v>
      </c>
      <c r="KB133" s="1319">
        <f t="shared" ca="1" si="1275"/>
        <v>0</v>
      </c>
      <c r="KC133" s="1319">
        <f t="shared" ca="1" si="1275"/>
        <v>0</v>
      </c>
      <c r="KI133" s="1334"/>
      <c r="KL133" s="1319">
        <f t="shared" ca="1" si="1276"/>
        <v>0</v>
      </c>
      <c r="KM133" s="1319">
        <f t="shared" ca="1" si="1276"/>
        <v>0</v>
      </c>
      <c r="KN133" s="1319">
        <f t="shared" ca="1" si="1276"/>
        <v>0</v>
      </c>
      <c r="KO133" s="1319">
        <f t="shared" ca="1" si="1276"/>
        <v>0</v>
      </c>
      <c r="KP133" s="1319">
        <f t="shared" ca="1" si="1276"/>
        <v>0</v>
      </c>
      <c r="KQ133" s="1319">
        <f t="shared" ca="1" si="1276"/>
        <v>0</v>
      </c>
      <c r="KR133" s="1319">
        <f t="shared" ca="1" si="1276"/>
        <v>0</v>
      </c>
      <c r="KX133" s="1334"/>
      <c r="LA133" s="1319">
        <f t="shared" ca="1" si="1277"/>
        <v>0</v>
      </c>
      <c r="LB133" s="1319">
        <f t="shared" ca="1" si="1277"/>
        <v>-2.0970605551994661E-5</v>
      </c>
      <c r="LC133" s="1319">
        <f t="shared" ca="1" si="1277"/>
        <v>-2.0970605551994661E-5</v>
      </c>
      <c r="LD133" s="1319">
        <f t="shared" ca="1" si="1277"/>
        <v>-2.0970605551994661E-5</v>
      </c>
      <c r="LE133" s="1319">
        <f t="shared" ca="1" si="1277"/>
        <v>0</v>
      </c>
      <c r="LF133" s="1319">
        <f t="shared" ca="1" si="1277"/>
        <v>0</v>
      </c>
      <c r="LG133" s="1319">
        <f t="shared" ca="1" si="1277"/>
        <v>0</v>
      </c>
      <c r="LH133" s="1319">
        <f t="shared" ca="1" si="1277"/>
        <v>0</v>
      </c>
      <c r="LI133" s="1319">
        <f t="shared" ca="1" si="1277"/>
        <v>0</v>
      </c>
      <c r="LJ133" s="1319">
        <f t="shared" ca="1" si="1277"/>
        <v>0</v>
      </c>
      <c r="LK133" s="1319">
        <f t="shared" ca="1" si="1277"/>
        <v>0</v>
      </c>
      <c r="LT133" s="1334"/>
      <c r="LW133" s="1319">
        <f t="shared" ca="1" si="1278"/>
        <v>0</v>
      </c>
      <c r="LX133" s="1319">
        <f t="shared" ca="1" si="1278"/>
        <v>0</v>
      </c>
      <c r="LY133" s="1319">
        <f t="shared" ca="1" si="1278"/>
        <v>0</v>
      </c>
      <c r="LZ133" s="1319">
        <f t="shared" ca="1" si="1278"/>
        <v>-8.1659312500294995E-5</v>
      </c>
      <c r="MA133" s="1319">
        <f t="shared" ca="1" si="1278"/>
        <v>-8.1659312500294995E-5</v>
      </c>
      <c r="MB133" s="1319">
        <f t="shared" ca="1" si="1278"/>
        <v>-2.0970605551994661E-5</v>
      </c>
      <c r="MC133" s="1319">
        <f t="shared" ca="1" si="1278"/>
        <v>0</v>
      </c>
      <c r="MD133" s="1319">
        <f t="shared" ca="1" si="1278"/>
        <v>0</v>
      </c>
      <c r="ME133" s="1319">
        <f t="shared" ca="1" si="1278"/>
        <v>0</v>
      </c>
      <c r="MF133" s="1319">
        <f t="shared" ca="1" si="1278"/>
        <v>0</v>
      </c>
      <c r="MG133" s="1319">
        <f t="shared" ca="1" si="1279"/>
        <v>0</v>
      </c>
      <c r="MH133" s="1319">
        <f t="shared" ca="1" si="1279"/>
        <v>0</v>
      </c>
      <c r="MI133" s="1319">
        <f t="shared" ca="1" si="1279"/>
        <v>0</v>
      </c>
      <c r="MJ133" s="1319">
        <f t="shared" ca="1" si="1279"/>
        <v>0</v>
      </c>
      <c r="MK133" s="1319">
        <f t="shared" ca="1" si="1279"/>
        <v>0</v>
      </c>
      <c r="ML133" s="1319">
        <f t="shared" ca="1" si="1279"/>
        <v>0</v>
      </c>
      <c r="MM133" s="1319">
        <f t="shared" ca="1" si="1279"/>
        <v>0</v>
      </c>
      <c r="MN133" s="1319">
        <f t="shared" ca="1" si="1279"/>
        <v>0</v>
      </c>
      <c r="MO133" s="1319">
        <f t="shared" ca="1" si="1279"/>
        <v>0</v>
      </c>
      <c r="MX133" s="1334"/>
      <c r="NA133" s="1319">
        <f t="shared" ca="1" si="1280"/>
        <v>-0.1151561857401615</v>
      </c>
      <c r="NB133" s="1319">
        <f t="shared" ca="1" si="1280"/>
        <v>-7.9472805250185755E-2</v>
      </c>
      <c r="NC133" s="1319">
        <f t="shared" ca="1" si="1280"/>
        <v>-3.568338048997572E-2</v>
      </c>
      <c r="ND133" s="1319">
        <f t="shared" ca="1" si="1280"/>
        <v>0</v>
      </c>
      <c r="NE133" s="1319">
        <f t="shared" ca="1" si="1280"/>
        <v>0</v>
      </c>
      <c r="NF133" s="1319">
        <f t="shared" ca="1" si="1280"/>
        <v>0</v>
      </c>
      <c r="NG133" s="1319">
        <f t="shared" ca="1" si="1280"/>
        <v>0</v>
      </c>
      <c r="NH133" s="1319">
        <f t="shared" ca="1" si="1280"/>
        <v>0</v>
      </c>
      <c r="NI133" s="1319">
        <f t="shared" ca="1" si="1280"/>
        <v>0</v>
      </c>
      <c r="NJ133" s="1319">
        <f t="shared" ca="1" si="1280"/>
        <v>0</v>
      </c>
      <c r="NK133" s="1319">
        <f t="shared" ca="1" si="1280"/>
        <v>0</v>
      </c>
      <c r="NL133" s="1319">
        <f t="shared" ca="1" si="1280"/>
        <v>0</v>
      </c>
      <c r="NM133" s="1319">
        <f t="shared" ca="1" si="1280"/>
        <v>0</v>
      </c>
      <c r="NN133" s="1319">
        <f t="shared" ca="1" si="1280"/>
        <v>0</v>
      </c>
      <c r="NO133" s="1319">
        <f t="shared" ca="1" si="1280"/>
        <v>0</v>
      </c>
      <c r="NP133" s="1319">
        <f t="shared" ca="1" si="1280"/>
        <v>0</v>
      </c>
      <c r="NY133" s="1334"/>
      <c r="OE133" s="1334"/>
      <c r="OH133" s="1319">
        <f t="shared" ca="1" si="1281"/>
        <v>0</v>
      </c>
      <c r="OI133" s="1319">
        <f t="shared" ca="1" si="1281"/>
        <v>0</v>
      </c>
      <c r="OJ133" s="1319">
        <f t="shared" ca="1" si="1281"/>
        <v>0</v>
      </c>
      <c r="OK133" s="1319">
        <f t="shared" ca="1" si="1281"/>
        <v>0</v>
      </c>
      <c r="OL133" s="1319">
        <f t="shared" ca="1" si="1281"/>
        <v>0</v>
      </c>
      <c r="OM133" s="1319">
        <f t="shared" ca="1" si="1281"/>
        <v>0</v>
      </c>
      <c r="ON133" s="1319">
        <f t="shared" ca="1" si="1281"/>
        <v>0</v>
      </c>
      <c r="OO133" s="1319">
        <f t="shared" ca="1" si="1281"/>
        <v>0</v>
      </c>
      <c r="OX133" s="1334"/>
      <c r="PA133" s="1319">
        <f t="shared" ca="1" si="1282"/>
        <v>0</v>
      </c>
      <c r="PB133" s="1319">
        <f t="shared" ca="1" si="1282"/>
        <v>0</v>
      </c>
      <c r="PC133" s="1319">
        <f t="shared" ca="1" si="1282"/>
        <v>0</v>
      </c>
      <c r="PD133" s="1319">
        <f t="shared" ca="1" si="1282"/>
        <v>0</v>
      </c>
      <c r="PE133" s="1319">
        <f t="shared" ca="1" si="1282"/>
        <v>0</v>
      </c>
      <c r="PF133" s="1319">
        <f t="shared" ca="1" si="1282"/>
        <v>0</v>
      </c>
      <c r="PG133" s="1319">
        <f t="shared" ca="1" si="1282"/>
        <v>0</v>
      </c>
      <c r="PH133" s="1319">
        <f t="shared" ca="1" si="1282"/>
        <v>0</v>
      </c>
      <c r="PI133" s="1319">
        <f t="shared" ca="1" si="1282"/>
        <v>0</v>
      </c>
      <c r="PJ133" s="1319">
        <f t="shared" ca="1" si="1282"/>
        <v>0</v>
      </c>
      <c r="PK133" s="1319">
        <f t="shared" ca="1" si="1282"/>
        <v>0</v>
      </c>
      <c r="PT133" s="1334"/>
      <c r="PW133" s="1319">
        <f t="shared" ca="1" si="1261"/>
        <v>0</v>
      </c>
      <c r="PX133" s="1319">
        <f t="shared" ca="1" si="1261"/>
        <v>0</v>
      </c>
      <c r="PY133" s="1319">
        <f t="shared" ca="1" si="1261"/>
        <v>0</v>
      </c>
      <c r="PZ133" s="1319">
        <f t="shared" ca="1" si="1261"/>
        <v>0</v>
      </c>
    </row>
    <row r="134" spans="1:442" x14ac:dyDescent="0.25">
      <c r="A134" s="189">
        <v>23</v>
      </c>
      <c r="B134" s="189" t="s">
        <v>1256</v>
      </c>
      <c r="C134" s="1317" t="s">
        <v>1295</v>
      </c>
      <c r="D134" s="1317" t="s">
        <v>206</v>
      </c>
      <c r="E134" s="1318">
        <v>90.07884</v>
      </c>
      <c r="F134" s="1316">
        <v>-0.29211150128999991</v>
      </c>
      <c r="G134" s="1334"/>
      <c r="J134" s="1319">
        <f t="shared" ca="1" si="1239"/>
        <v>0</v>
      </c>
      <c r="K134" s="1319">
        <f t="shared" ca="1" si="1239"/>
        <v>0</v>
      </c>
      <c r="Q134" s="1334"/>
      <c r="T134" s="1319">
        <f t="shared" ca="1" si="1262"/>
        <v>0</v>
      </c>
      <c r="U134" s="1319">
        <f t="shared" ca="1" si="1262"/>
        <v>0</v>
      </c>
      <c r="V134" s="1319">
        <f t="shared" ca="1" si="1262"/>
        <v>-3.412417635545614E-3</v>
      </c>
      <c r="W134" s="1319">
        <f t="shared" ca="1" si="1262"/>
        <v>0</v>
      </c>
      <c r="X134" s="1319">
        <f t="shared" ca="1" si="1262"/>
        <v>0</v>
      </c>
      <c r="Y134" s="1319">
        <f t="shared" ca="1" si="1262"/>
        <v>-3.412417635545614E-3</v>
      </c>
      <c r="Z134" s="1319">
        <f t="shared" ca="1" si="1262"/>
        <v>-3.2848911957613662E-6</v>
      </c>
      <c r="AA134" s="1319">
        <f t="shared" ca="1" si="1262"/>
        <v>-3.4091327332593309E-3</v>
      </c>
      <c r="AB134" s="1319">
        <f t="shared" ca="1" si="1262"/>
        <v>0</v>
      </c>
      <c r="AC134" s="1319">
        <f t="shared" ca="1" si="1262"/>
        <v>-3.412417635545614E-3</v>
      </c>
      <c r="AD134" s="1319">
        <f t="shared" ca="1" si="1262"/>
        <v>0</v>
      </c>
      <c r="AJ134" s="1334"/>
      <c r="AM134" s="1319">
        <f t="shared" ca="1" si="1263"/>
        <v>0</v>
      </c>
      <c r="AN134" s="1319">
        <f t="shared" ca="1" si="1263"/>
        <v>0</v>
      </c>
      <c r="AO134" s="1319">
        <f t="shared" ca="1" si="1263"/>
        <v>-3.4091327332593309E-3</v>
      </c>
      <c r="AP134" s="1319">
        <f t="shared" ca="1" si="1263"/>
        <v>-3.4091327332593309E-3</v>
      </c>
      <c r="AQ134" s="1319">
        <f t="shared" ca="1" si="1263"/>
        <v>-1.0820742313359904E-6</v>
      </c>
      <c r="AR134" s="1319">
        <f t="shared" ca="1" si="1263"/>
        <v>-5.5813063039567194E-8</v>
      </c>
      <c r="AS134" s="1319">
        <f t="shared" ca="1" si="1263"/>
        <v>-3.2290781223447028E-6</v>
      </c>
      <c r="AT134" s="1319">
        <f t="shared" ca="1" si="1263"/>
        <v>-4.0396191014738525E-9</v>
      </c>
      <c r="AU134" s="1319">
        <f t="shared" ca="1" si="1263"/>
        <v>-1.1338476762469364E-6</v>
      </c>
      <c r="AV134" s="1319">
        <f t="shared" ca="1" si="1263"/>
        <v>-3.4080506615347126E-3</v>
      </c>
      <c r="AW134" s="1319">
        <f t="shared" ca="1" si="1263"/>
        <v>-4.0396191014738525E-9</v>
      </c>
      <c r="AX134" s="1319">
        <f t="shared" ca="1" si="1263"/>
        <v>-4.3669654173688287E-6</v>
      </c>
      <c r="AY134" s="1319">
        <f t="shared" ca="1" si="1263"/>
        <v>0</v>
      </c>
      <c r="AZ134" s="1319">
        <f t="shared" ca="1" si="1263"/>
        <v>0</v>
      </c>
      <c r="BA134" s="1319">
        <f t="shared" ca="1" si="1263"/>
        <v>0</v>
      </c>
      <c r="BB134" s="1319">
        <f t="shared" ca="1" si="1263"/>
        <v>-3.4080506615347126E-3</v>
      </c>
      <c r="BK134" s="1334"/>
      <c r="BN134" s="1319">
        <f t="shared" ca="1" si="1264"/>
        <v>-1.354297404795397E-2</v>
      </c>
      <c r="BO134" s="1319">
        <f t="shared" ca="1" si="1264"/>
        <v>-0.18271955238640811</v>
      </c>
      <c r="BP134" s="1319">
        <f t="shared" ca="1" si="1264"/>
        <v>-4.0902406530157817E-8</v>
      </c>
      <c r="BQ134" s="1319">
        <f t="shared" ca="1" si="1264"/>
        <v>-0.16917661923069957</v>
      </c>
      <c r="BR134" s="1319">
        <f t="shared" ca="1" si="1264"/>
        <v>0</v>
      </c>
      <c r="CA134" s="1334"/>
      <c r="CD134" s="1319">
        <f t="shared" ca="1" si="1265"/>
        <v>-3.4080506615347126E-3</v>
      </c>
      <c r="CE134" s="1319">
        <f t="shared" ca="1" si="1265"/>
        <v>-3.4080506615347126E-3</v>
      </c>
      <c r="CF134" s="1319">
        <f t="shared" ca="1" si="1265"/>
        <v>-1.354297404795397E-2</v>
      </c>
      <c r="CG134" s="1319">
        <f t="shared" ca="1" si="1265"/>
        <v>-0.18271955238640811</v>
      </c>
      <c r="CH134" s="1319">
        <f t="shared" ca="1" si="1265"/>
        <v>-0.13542956925744951</v>
      </c>
      <c r="CI134" s="1319">
        <f t="shared" ca="1" si="1265"/>
        <v>-0.76129478848385368</v>
      </c>
      <c r="CJ134" s="1319">
        <f t="shared" ca="1" si="1265"/>
        <v>0</v>
      </c>
      <c r="CK134" s="1319">
        <f t="shared" ca="1" si="1265"/>
        <v>-5.496959805332537</v>
      </c>
      <c r="CL134" s="1319">
        <f t="shared" ca="1" si="1265"/>
        <v>-1.19271966149071E-6</v>
      </c>
      <c r="CM134" s="1319">
        <f t="shared" ca="1" si="1265"/>
        <v>-0.13202151872562851</v>
      </c>
      <c r="CN134" s="1319">
        <f t="shared" ca="1" si="1265"/>
        <v>-5.4969610376127314</v>
      </c>
      <c r="CO134" s="1319">
        <f t="shared" ca="1" si="1265"/>
        <v>-1.2347383536808069E-6</v>
      </c>
      <c r="CX134" s="1334"/>
      <c r="DA134" s="1319">
        <f t="shared" ca="1" si="1266"/>
        <v>-7.3345395987405959E-4</v>
      </c>
      <c r="DB134" s="1319">
        <f t="shared" ca="1" si="1266"/>
        <v>-6.3086371835286764E-3</v>
      </c>
      <c r="DC134" s="1319">
        <f t="shared" ca="1" si="1266"/>
        <v>0</v>
      </c>
      <c r="DD134" s="1319">
        <f t="shared" ca="1" si="1266"/>
        <v>0</v>
      </c>
      <c r="DE134" s="1319">
        <f t="shared" ca="1" si="1266"/>
        <v>-7.0420259201091689E-3</v>
      </c>
      <c r="DF134" s="1319">
        <f t="shared" ca="1" si="1266"/>
        <v>-6.5229953716623329E-8</v>
      </c>
      <c r="DG134" s="1319">
        <f t="shared" ca="1" si="1266"/>
        <v>0</v>
      </c>
      <c r="DH134" s="1319">
        <f t="shared" ca="1" si="1266"/>
        <v>0</v>
      </c>
      <c r="DI134" s="1319">
        <f t="shared" ca="1" si="1266"/>
        <v>0</v>
      </c>
      <c r="DJ134" s="1319">
        <f t="shared" ca="1" si="1266"/>
        <v>0</v>
      </c>
      <c r="DS134" s="1334"/>
      <c r="DV134" s="1319">
        <f t="shared" ca="1" si="1267"/>
        <v>0</v>
      </c>
      <c r="DW134" s="1319">
        <f t="shared" ca="1" si="1267"/>
        <v>0</v>
      </c>
      <c r="DX134" s="1319">
        <f t="shared" ca="1" si="1267"/>
        <v>-1.4669079197481193E-2</v>
      </c>
      <c r="DY134" s="1319">
        <f t="shared" ca="1" si="1267"/>
        <v>-7.3345395987405959E-4</v>
      </c>
      <c r="DZ134" s="1319">
        <f t="shared" ca="1" si="1267"/>
        <v>0</v>
      </c>
      <c r="EA134" s="1319">
        <f t="shared" ca="1" si="1267"/>
        <v>-7.0420259201091689E-3</v>
      </c>
      <c r="EB134" s="1319">
        <f t="shared" ca="1" si="1267"/>
        <v>-1.3935625247335661E-2</v>
      </c>
      <c r="EC134" s="1319">
        <f t="shared" ca="1" si="1267"/>
        <v>-0.12571392878569473</v>
      </c>
      <c r="ED134" s="1319">
        <f t="shared" ca="1" si="1267"/>
        <v>-0.13202151872562851</v>
      </c>
      <c r="EE134" s="1319">
        <f t="shared" ca="1" si="1267"/>
        <v>-1.3384299196832377E-6</v>
      </c>
      <c r="EF134" s="1319">
        <f t="shared" ca="1" si="1267"/>
        <v>0</v>
      </c>
      <c r="EG134" s="1319">
        <f t="shared" ca="1" si="1267"/>
        <v>0</v>
      </c>
      <c r="EH134" s="1319">
        <f t="shared" ca="1" si="1267"/>
        <v>0</v>
      </c>
      <c r="EI134" s="1319">
        <f t="shared" ca="1" si="1267"/>
        <v>-0.12571392878569473</v>
      </c>
      <c r="EJ134" s="1319">
        <f t="shared" ca="1" si="1267"/>
        <v>0</v>
      </c>
      <c r="EK134" s="1319">
        <f t="shared" ca="1" si="1267"/>
        <v>0</v>
      </c>
      <c r="ET134" s="1334"/>
      <c r="EW134" s="1319">
        <f t="shared" ca="1" si="1268"/>
        <v>-5.4969610376127314</v>
      </c>
      <c r="EX134" s="1319">
        <f t="shared" ca="1" si="1268"/>
        <v>-5.4969610376127314</v>
      </c>
      <c r="EY134" s="1319">
        <f t="shared" ca="1" si="1268"/>
        <v>-5.4935486267547269</v>
      </c>
      <c r="EZ134" s="1319">
        <f t="shared" ca="1" si="1268"/>
        <v>-5.4935486267547269</v>
      </c>
      <c r="FA134" s="1319">
        <f t="shared" ca="1" si="1268"/>
        <v>-1.1162862922935085E-9</v>
      </c>
      <c r="FB134" s="1319">
        <f t="shared" ca="1" si="1268"/>
        <v>-3.4124176031171878E-3</v>
      </c>
      <c r="FK134" s="1334"/>
      <c r="FN134" s="1319">
        <f t="shared" ca="1" si="1269"/>
        <v>-4.0902406530157817E-8</v>
      </c>
      <c r="FO134" s="1319">
        <f t="shared" ca="1" si="1269"/>
        <v>-1.19271966149071E-6</v>
      </c>
      <c r="FP134" s="1319">
        <f t="shared" ca="1" si="1269"/>
        <v>-1.1162862922935085E-9</v>
      </c>
      <c r="FQ134" s="1319">
        <f t="shared" ca="1" si="1269"/>
        <v>-3.4124176031171878E-3</v>
      </c>
      <c r="FR134" s="1319">
        <f t="shared" ca="1" si="1269"/>
        <v>0</v>
      </c>
      <c r="FS134" s="1319">
        <f t="shared" ca="1" si="1269"/>
        <v>-3.412417635545614E-3</v>
      </c>
      <c r="FT134" s="1319">
        <f t="shared" ca="1" si="1269"/>
        <v>0</v>
      </c>
      <c r="FU134" s="1319">
        <f t="shared" ca="1" si="1269"/>
        <v>-1.2347383536808069E-6</v>
      </c>
      <c r="FV134" s="1319">
        <f t="shared" ca="1" si="1269"/>
        <v>0</v>
      </c>
      <c r="FW134" s="1319">
        <f t="shared" ca="1" si="1269"/>
        <v>-8.4117848709778632E-28</v>
      </c>
      <c r="FX134" s="1319">
        <f t="shared" ca="1" si="1269"/>
        <v>-1.2347383536808069E-6</v>
      </c>
      <c r="GG134" s="1334"/>
      <c r="GJ134" s="1319">
        <f t="shared" ca="1" si="1270"/>
        <v>0</v>
      </c>
      <c r="GK134" s="1319">
        <f t="shared" ca="1" si="1270"/>
        <v>0</v>
      </c>
      <c r="GL134" s="1319">
        <f t="shared" ca="1" si="1270"/>
        <v>0</v>
      </c>
      <c r="GM134" s="1319">
        <f t="shared" ca="1" si="1270"/>
        <v>0</v>
      </c>
      <c r="GN134" s="1319">
        <f t="shared" ca="1" si="1270"/>
        <v>0</v>
      </c>
      <c r="GO134" s="1319">
        <f t="shared" ca="1" si="1270"/>
        <v>0</v>
      </c>
      <c r="GP134" s="1319">
        <f t="shared" ca="1" si="1270"/>
        <v>0</v>
      </c>
      <c r="GQ134" s="1319">
        <f t="shared" ca="1" si="1270"/>
        <v>0</v>
      </c>
      <c r="GZ134" s="1334"/>
      <c r="HC134" s="1319">
        <f t="shared" ca="1" si="1271"/>
        <v>-5.4935486267547269</v>
      </c>
      <c r="HD134" s="1319">
        <f t="shared" ca="1" si="1271"/>
        <v>-5.2890151491857083</v>
      </c>
      <c r="HE134" s="1319">
        <f t="shared" ca="1" si="1271"/>
        <v>0</v>
      </c>
      <c r="HF134" s="1319">
        <f t="shared" ca="1" si="1271"/>
        <v>-2.2776963958686814E-6</v>
      </c>
      <c r="HG134" s="1319">
        <f t="shared" ca="1" si="1271"/>
        <v>-0.20453120012064854</v>
      </c>
      <c r="HH134" s="1319">
        <f t="shared" ca="1" si="1271"/>
        <v>-5.2890151491857083</v>
      </c>
      <c r="HQ134" s="1334"/>
      <c r="HT134" s="1319">
        <f t="shared" ca="1" si="1272"/>
        <v>-4.3669654173688287E-6</v>
      </c>
      <c r="HU134" s="1319">
        <f t="shared" ca="1" si="1272"/>
        <v>-5.2890151491857083</v>
      </c>
      <c r="HV134" s="1319">
        <f t="shared" ca="1" si="1272"/>
        <v>-5.2890195270232425</v>
      </c>
      <c r="HW134" s="1319">
        <f t="shared" ca="1" si="1272"/>
        <v>-5.2890195270232425</v>
      </c>
      <c r="HX134" s="1319">
        <f t="shared" ca="1" si="1272"/>
        <v>-0.44237169467391085</v>
      </c>
      <c r="HY134" s="1319">
        <f t="shared" ca="1" si="1272"/>
        <v>-3.3639814032152139E-2</v>
      </c>
      <c r="HZ134" s="1319">
        <f t="shared" ca="1" si="1272"/>
        <v>-2.50001044436649E-7</v>
      </c>
      <c r="IA134" s="1319">
        <f t="shared" ca="1" si="1272"/>
        <v>-9.8625373833463385E-10</v>
      </c>
      <c r="IB134" s="1319">
        <f t="shared" ca="1" si="1272"/>
        <v>0</v>
      </c>
      <c r="IC134" s="1319">
        <f t="shared" ca="1" si="1272"/>
        <v>0</v>
      </c>
      <c r="ID134" s="1319">
        <f t="shared" ca="1" si="1272"/>
        <v>0</v>
      </c>
      <c r="IE134" s="1319">
        <f t="shared" ca="1" si="1272"/>
        <v>0</v>
      </c>
      <c r="IN134" s="1334"/>
      <c r="IQ134" s="1319">
        <f t="shared" ca="1" si="1273"/>
        <v>-0.44237169467391085</v>
      </c>
      <c r="IR134" s="1319">
        <f t="shared" ca="1" si="1273"/>
        <v>-3.3639814032152139E-2</v>
      </c>
      <c r="IS134" s="1319">
        <f t="shared" ca="1" si="1273"/>
        <v>-6.692570843672206E-4</v>
      </c>
      <c r="IT134" s="1319">
        <f t="shared" ca="1" si="1273"/>
        <v>-3.4309071242990229E-2</v>
      </c>
      <c r="IU134" s="1319">
        <f t="shared" ca="1" si="1273"/>
        <v>-3.2020536923352431E-2</v>
      </c>
      <c r="IV134" s="1319">
        <f t="shared" ca="1" si="1273"/>
        <v>-1.9618171087249361E-2</v>
      </c>
      <c r="IW134" s="1319">
        <f t="shared" ca="1" si="1273"/>
        <v>-1.6062170044270352E-2</v>
      </c>
      <c r="IX134" s="1319">
        <f t="shared" ca="1" si="1273"/>
        <v>-4.9049377662573688E-9</v>
      </c>
      <c r="IY134" s="1319">
        <f t="shared" ca="1" si="1273"/>
        <v>-2.2885342515381012E-3</v>
      </c>
      <c r="IZ134" s="1319">
        <f t="shared" ca="1" si="1273"/>
        <v>-2.8867439650974709E-3</v>
      </c>
      <c r="JA134" s="1319">
        <f t="shared" ca="1" si="1273"/>
        <v>-1.6731427125394729E-2</v>
      </c>
      <c r="JB134" s="1319">
        <f t="shared" ca="1" si="1274"/>
        <v>0</v>
      </c>
      <c r="JC134" s="1319">
        <f t="shared" ca="1" si="1274"/>
        <v>-2.8867429792733155E-3</v>
      </c>
      <c r="JD134" s="1319">
        <f t="shared" ca="1" si="1274"/>
        <v>0</v>
      </c>
      <c r="JE134" s="1319">
        <f t="shared" ca="1" si="1274"/>
        <v>-2.8867439650974709E-3</v>
      </c>
      <c r="JF134" s="1319">
        <f t="shared" ca="1" si="1274"/>
        <v>0</v>
      </c>
      <c r="JG134" s="1319">
        <f t="shared" ca="1" si="1274"/>
        <v>0</v>
      </c>
      <c r="JH134" s="1319">
        <f t="shared" ca="1" si="1274"/>
        <v>-9.8625373833463385E-10</v>
      </c>
      <c r="JQ134" s="1334"/>
      <c r="JT134" s="1319">
        <f t="shared" ca="1" si="1275"/>
        <v>-0.16917661923069957</v>
      </c>
      <c r="JU134" s="1319">
        <f t="shared" ca="1" si="1275"/>
        <v>-0.76129478848385368</v>
      </c>
      <c r="JV134" s="1319">
        <f t="shared" ca="1" si="1275"/>
        <v>-6.3086371835286764E-3</v>
      </c>
      <c r="JW134" s="1319">
        <f t="shared" ca="1" si="1275"/>
        <v>-0.12571392878569473</v>
      </c>
      <c r="JX134" s="1319">
        <f t="shared" ca="1" si="1275"/>
        <v>0</v>
      </c>
      <c r="JY134" s="1319">
        <f t="shared" ca="1" si="1275"/>
        <v>0</v>
      </c>
      <c r="JZ134" s="1319">
        <f t="shared" ca="1" si="1275"/>
        <v>0</v>
      </c>
      <c r="KA134" s="1319">
        <f t="shared" ca="1" si="1275"/>
        <v>0</v>
      </c>
      <c r="KB134" s="1319">
        <f t="shared" ca="1" si="1275"/>
        <v>0</v>
      </c>
      <c r="KC134" s="1319">
        <f t="shared" ca="1" si="1275"/>
        <v>-1.0624939735540631</v>
      </c>
      <c r="KI134" s="1334"/>
      <c r="KL134" s="1319">
        <f t="shared" ca="1" si="1276"/>
        <v>0</v>
      </c>
      <c r="KM134" s="1319">
        <f t="shared" ca="1" si="1276"/>
        <v>0</v>
      </c>
      <c r="KN134" s="1319">
        <f t="shared" ca="1" si="1276"/>
        <v>0</v>
      </c>
      <c r="KO134" s="1319">
        <f t="shared" ca="1" si="1276"/>
        <v>0</v>
      </c>
      <c r="KP134" s="1319">
        <f t="shared" ca="1" si="1276"/>
        <v>0</v>
      </c>
      <c r="KQ134" s="1319">
        <f t="shared" ca="1" si="1276"/>
        <v>0</v>
      </c>
      <c r="KR134" s="1319">
        <f t="shared" ca="1" si="1276"/>
        <v>0</v>
      </c>
      <c r="KX134" s="1334"/>
      <c r="LA134" s="1319">
        <f t="shared" ca="1" si="1277"/>
        <v>-2.2776963958686814E-6</v>
      </c>
      <c r="LB134" s="1319">
        <f t="shared" ca="1" si="1277"/>
        <v>-2.50001044436649E-7</v>
      </c>
      <c r="LC134" s="1319">
        <f t="shared" ca="1" si="1277"/>
        <v>-2.5276974390081934E-6</v>
      </c>
      <c r="LD134" s="1319">
        <f t="shared" ca="1" si="1277"/>
        <v>-2.5276974390081934E-6</v>
      </c>
      <c r="LE134" s="1319">
        <f t="shared" ca="1" si="1277"/>
        <v>0</v>
      </c>
      <c r="LF134" s="1319">
        <f t="shared" ca="1" si="1277"/>
        <v>0</v>
      </c>
      <c r="LG134" s="1319">
        <f t="shared" ca="1" si="1277"/>
        <v>0</v>
      </c>
      <c r="LH134" s="1319">
        <f t="shared" ca="1" si="1277"/>
        <v>0</v>
      </c>
      <c r="LI134" s="1319">
        <f t="shared" ca="1" si="1277"/>
        <v>0</v>
      </c>
      <c r="LJ134" s="1319">
        <f t="shared" ca="1" si="1277"/>
        <v>0</v>
      </c>
      <c r="LK134" s="1319">
        <f t="shared" ca="1" si="1277"/>
        <v>0</v>
      </c>
      <c r="LT134" s="1334"/>
      <c r="LW134" s="1319">
        <f t="shared" ca="1" si="1278"/>
        <v>0</v>
      </c>
      <c r="LX134" s="1319">
        <f t="shared" ca="1" si="1278"/>
        <v>0</v>
      </c>
      <c r="LY134" s="1319">
        <f t="shared" ca="1" si="1278"/>
        <v>-0.20453120012064854</v>
      </c>
      <c r="LZ134" s="1319">
        <f t="shared" ca="1" si="1278"/>
        <v>-2.2885342515381012E-3</v>
      </c>
      <c r="MA134" s="1319">
        <f t="shared" ca="1" si="1278"/>
        <v>-0.20681973414843052</v>
      </c>
      <c r="MB134" s="1319">
        <f t="shared" ca="1" si="1278"/>
        <v>-2.5276974390081934E-6</v>
      </c>
      <c r="MC134" s="1319">
        <f t="shared" ca="1" si="1278"/>
        <v>0</v>
      </c>
      <c r="MD134" s="1319">
        <f t="shared" ca="1" si="1278"/>
        <v>0</v>
      </c>
      <c r="ME134" s="1319">
        <f t="shared" ca="1" si="1278"/>
        <v>0</v>
      </c>
      <c r="MF134" s="1319">
        <f t="shared" ca="1" si="1278"/>
        <v>0</v>
      </c>
      <c r="MG134" s="1319">
        <f t="shared" ca="1" si="1279"/>
        <v>0</v>
      </c>
      <c r="MH134" s="1319">
        <f t="shared" ca="1" si="1279"/>
        <v>0</v>
      </c>
      <c r="MI134" s="1319">
        <f t="shared" ca="1" si="1279"/>
        <v>0</v>
      </c>
      <c r="MJ134" s="1319">
        <f t="shared" ca="1" si="1279"/>
        <v>0</v>
      </c>
      <c r="MK134" s="1319">
        <f t="shared" ca="1" si="1279"/>
        <v>0</v>
      </c>
      <c r="ML134" s="1319">
        <f t="shared" ca="1" si="1279"/>
        <v>0</v>
      </c>
      <c r="MM134" s="1319">
        <f t="shared" ca="1" si="1279"/>
        <v>0</v>
      </c>
      <c r="MN134" s="1319">
        <f t="shared" ca="1" si="1279"/>
        <v>0</v>
      </c>
      <c r="MO134" s="1319">
        <f t="shared" ca="1" si="1279"/>
        <v>0</v>
      </c>
      <c r="MX134" s="1334"/>
      <c r="NA134" s="1319">
        <f t="shared" ca="1" si="1280"/>
        <v>-3.2848911957613662E-6</v>
      </c>
      <c r="NB134" s="1319">
        <f t="shared" ca="1" si="1280"/>
        <v>-5.5813063039567194E-8</v>
      </c>
      <c r="NC134" s="1319">
        <f t="shared" ca="1" si="1280"/>
        <v>-3.2290781223447028E-6</v>
      </c>
      <c r="ND134" s="1319">
        <f t="shared" ca="1" si="1280"/>
        <v>0</v>
      </c>
      <c r="NE134" s="1319">
        <f t="shared" ca="1" si="1280"/>
        <v>0</v>
      </c>
      <c r="NF134" s="1319">
        <f t="shared" ca="1" si="1280"/>
        <v>0</v>
      </c>
      <c r="NG134" s="1319">
        <f t="shared" ca="1" si="1280"/>
        <v>0</v>
      </c>
      <c r="NH134" s="1319">
        <f t="shared" ca="1" si="1280"/>
        <v>0</v>
      </c>
      <c r="NI134" s="1319">
        <f t="shared" ca="1" si="1280"/>
        <v>0</v>
      </c>
      <c r="NJ134" s="1319">
        <f t="shared" ca="1" si="1280"/>
        <v>0</v>
      </c>
      <c r="NK134" s="1319">
        <f t="shared" ca="1" si="1280"/>
        <v>0</v>
      </c>
      <c r="NL134" s="1319">
        <f t="shared" ca="1" si="1280"/>
        <v>0</v>
      </c>
      <c r="NM134" s="1319">
        <f t="shared" ca="1" si="1280"/>
        <v>0</v>
      </c>
      <c r="NN134" s="1319">
        <f t="shared" ca="1" si="1280"/>
        <v>0</v>
      </c>
      <c r="NO134" s="1319">
        <f t="shared" ca="1" si="1280"/>
        <v>0</v>
      </c>
      <c r="NP134" s="1319">
        <f t="shared" ca="1" si="1280"/>
        <v>0</v>
      </c>
      <c r="NY134" s="1334"/>
      <c r="OE134" s="1334"/>
      <c r="OH134" s="1319">
        <f t="shared" ca="1" si="1281"/>
        <v>0</v>
      </c>
      <c r="OI134" s="1319">
        <f t="shared" ca="1" si="1281"/>
        <v>0</v>
      </c>
      <c r="OJ134" s="1319">
        <f t="shared" ca="1" si="1281"/>
        <v>0</v>
      </c>
      <c r="OK134" s="1319">
        <f t="shared" ca="1" si="1281"/>
        <v>0</v>
      </c>
      <c r="OL134" s="1319">
        <f t="shared" ca="1" si="1281"/>
        <v>0</v>
      </c>
      <c r="OM134" s="1319">
        <f t="shared" ca="1" si="1281"/>
        <v>0</v>
      </c>
      <c r="ON134" s="1319">
        <f t="shared" ca="1" si="1281"/>
        <v>0</v>
      </c>
      <c r="OO134" s="1319">
        <f t="shared" ca="1" si="1281"/>
        <v>0</v>
      </c>
      <c r="OX134" s="1334"/>
      <c r="PA134" s="1319">
        <f t="shared" ca="1" si="1282"/>
        <v>0</v>
      </c>
      <c r="PB134" s="1319">
        <f t="shared" ca="1" si="1282"/>
        <v>0</v>
      </c>
      <c r="PC134" s="1319">
        <f t="shared" ca="1" si="1282"/>
        <v>0</v>
      </c>
      <c r="PD134" s="1319">
        <f t="shared" ca="1" si="1282"/>
        <v>0</v>
      </c>
      <c r="PE134" s="1319">
        <f t="shared" ca="1" si="1282"/>
        <v>0</v>
      </c>
      <c r="PF134" s="1319">
        <f t="shared" ca="1" si="1282"/>
        <v>0</v>
      </c>
      <c r="PG134" s="1319">
        <f t="shared" ca="1" si="1282"/>
        <v>0</v>
      </c>
      <c r="PH134" s="1319">
        <f t="shared" ca="1" si="1282"/>
        <v>0</v>
      </c>
      <c r="PI134" s="1319">
        <f t="shared" ca="1" si="1282"/>
        <v>0</v>
      </c>
      <c r="PJ134" s="1319">
        <f t="shared" ca="1" si="1282"/>
        <v>0</v>
      </c>
      <c r="PK134" s="1319">
        <f t="shared" ca="1" si="1282"/>
        <v>0</v>
      </c>
      <c r="PT134" s="1334"/>
      <c r="PW134" s="1319">
        <f t="shared" ca="1" si="1261"/>
        <v>0</v>
      </c>
      <c r="PX134" s="1319">
        <f t="shared" ca="1" si="1261"/>
        <v>0</v>
      </c>
      <c r="PY134" s="1319">
        <f t="shared" ca="1" si="1261"/>
        <v>0</v>
      </c>
      <c r="PZ134" s="1319">
        <f t="shared" ca="1" si="1261"/>
        <v>0</v>
      </c>
    </row>
    <row r="135" spans="1:442" x14ac:dyDescent="0.25">
      <c r="A135" s="189">
        <v>24</v>
      </c>
      <c r="B135" s="189" t="s">
        <v>1256</v>
      </c>
      <c r="C135" s="1317" t="s">
        <v>1280</v>
      </c>
      <c r="D135" s="1317" t="s">
        <v>206</v>
      </c>
      <c r="E135" s="1318">
        <v>152.15</v>
      </c>
      <c r="F135" s="1316">
        <v>-0.57333426379999997</v>
      </c>
      <c r="G135" s="1334"/>
      <c r="J135" s="1319">
        <f t="shared" ref="J135:K154" ca="1" si="1283">VLOOKUP(J$1,INDIRECT(LU_MAT),$A135,FALSE)*$F135/$E135</f>
        <v>0</v>
      </c>
      <c r="K135" s="1319">
        <f t="shared" ca="1" si="1283"/>
        <v>0</v>
      </c>
      <c r="Q135" s="1334"/>
      <c r="T135" s="1319">
        <f t="shared" ref="T135:AD144" ca="1" si="1284">VLOOKUP(T$1,INDIRECT(LU_MAT),$A135,FALSE)*$F135/$E135</f>
        <v>0</v>
      </c>
      <c r="U135" s="1319">
        <f t="shared" ca="1" si="1284"/>
        <v>0</v>
      </c>
      <c r="V135" s="1319">
        <f t="shared" ca="1" si="1284"/>
        <v>-1.8178328309443462E-7</v>
      </c>
      <c r="W135" s="1319">
        <f t="shared" ca="1" si="1284"/>
        <v>0</v>
      </c>
      <c r="X135" s="1319">
        <f t="shared" ca="1" si="1284"/>
        <v>0</v>
      </c>
      <c r="Y135" s="1319">
        <f t="shared" ca="1" si="1284"/>
        <v>-1.8178328309443462E-7</v>
      </c>
      <c r="Z135" s="1319">
        <f t="shared" ca="1" si="1284"/>
        <v>-3.1473563117140707E-14</v>
      </c>
      <c r="AA135" s="1319">
        <f t="shared" ca="1" si="1284"/>
        <v>-1.8178325144140922E-7</v>
      </c>
      <c r="AB135" s="1319">
        <f t="shared" ca="1" si="1284"/>
        <v>0</v>
      </c>
      <c r="AC135" s="1319">
        <f t="shared" ca="1" si="1284"/>
        <v>-1.8178328309443462E-7</v>
      </c>
      <c r="AD135" s="1319">
        <f t="shared" ca="1" si="1284"/>
        <v>0</v>
      </c>
      <c r="AJ135" s="1334"/>
      <c r="AM135" s="1319">
        <f t="shared" ref="AM135:BB144" ca="1" si="1285">VLOOKUP(AM$1,INDIRECT(LU_MAT),$A135,FALSE)*$F135/$E135</f>
        <v>0</v>
      </c>
      <c r="AN135" s="1319">
        <f t="shared" ca="1" si="1285"/>
        <v>0</v>
      </c>
      <c r="AO135" s="1319">
        <f t="shared" ca="1" si="1285"/>
        <v>-1.8178325144140922E-7</v>
      </c>
      <c r="AP135" s="1319">
        <f t="shared" ca="1" si="1285"/>
        <v>-1.8178325144140922E-7</v>
      </c>
      <c r="AQ135" s="1319">
        <f t="shared" ca="1" si="1285"/>
        <v>-2.877801928278724E-15</v>
      </c>
      <c r="AR135" s="1319">
        <f t="shared" ca="1" si="1285"/>
        <v>0</v>
      </c>
      <c r="AS135" s="1319">
        <f t="shared" ca="1" si="1285"/>
        <v>0</v>
      </c>
      <c r="AT135" s="1319">
        <f t="shared" ca="1" si="1285"/>
        <v>0</v>
      </c>
      <c r="AU135" s="1319">
        <f t="shared" ca="1" si="1285"/>
        <v>0</v>
      </c>
      <c r="AV135" s="1319">
        <f t="shared" ca="1" si="1285"/>
        <v>-1.8178324880365711E-7</v>
      </c>
      <c r="AW135" s="1319">
        <f t="shared" ca="1" si="1285"/>
        <v>0</v>
      </c>
      <c r="AX135" s="1319">
        <f t="shared" ca="1" si="1285"/>
        <v>0</v>
      </c>
      <c r="AY135" s="1319">
        <f t="shared" ca="1" si="1285"/>
        <v>0</v>
      </c>
      <c r="AZ135" s="1319">
        <f t="shared" ca="1" si="1285"/>
        <v>0</v>
      </c>
      <c r="BA135" s="1319">
        <f t="shared" ca="1" si="1285"/>
        <v>0</v>
      </c>
      <c r="BB135" s="1319">
        <f t="shared" ca="1" si="1285"/>
        <v>-1.8178324880365711E-7</v>
      </c>
      <c r="BK135" s="1334"/>
      <c r="BN135" s="1319">
        <f t="shared" ref="BN135:BR144" ca="1" si="1286">VLOOKUP(BN$1,INDIRECT(LU_MAT),$A135,FALSE)*$F135/$E135</f>
        <v>-1.8178311880015989E-8</v>
      </c>
      <c r="BO135" s="1319">
        <f t="shared" ca="1" si="1286"/>
        <v>-0.2894319351163353</v>
      </c>
      <c r="BP135" s="1319">
        <f t="shared" ca="1" si="1286"/>
        <v>-3.5153867201873114E-13</v>
      </c>
      <c r="BQ135" s="1319">
        <f t="shared" ca="1" si="1286"/>
        <v>0</v>
      </c>
      <c r="BR135" s="1319">
        <f t="shared" ca="1" si="1286"/>
        <v>0</v>
      </c>
      <c r="CA135" s="1334"/>
      <c r="CD135" s="1319">
        <f t="shared" ref="CD135:CO144" ca="1" si="1287">VLOOKUP(CD$1,INDIRECT(LU_MAT),$A135,FALSE)*$F135/$E135</f>
        <v>-1.8178324880365711E-7</v>
      </c>
      <c r="CE135" s="1319">
        <f t="shared" ca="1" si="1287"/>
        <v>-1.8178324880365711E-7</v>
      </c>
      <c r="CF135" s="1319">
        <f t="shared" ca="1" si="1287"/>
        <v>-1.8178311880015989E-8</v>
      </c>
      <c r="CG135" s="1319">
        <f t="shared" ca="1" si="1287"/>
        <v>-0.2894319351163353</v>
      </c>
      <c r="CH135" s="1319">
        <f t="shared" ca="1" si="1287"/>
        <v>-1.8178324880365711E-7</v>
      </c>
      <c r="CI135" s="1319">
        <f t="shared" ca="1" si="1287"/>
        <v>0</v>
      </c>
      <c r="CJ135" s="1319">
        <f t="shared" ca="1" si="1287"/>
        <v>0</v>
      </c>
      <c r="CK135" s="1319">
        <f t="shared" ca="1" si="1287"/>
        <v>-2.8448091282782175</v>
      </c>
      <c r="CL135" s="1319">
        <f t="shared" ca="1" si="1287"/>
        <v>-3.3491282056510003E-12</v>
      </c>
      <c r="CM135" s="1319">
        <f t="shared" ca="1" si="1287"/>
        <v>0</v>
      </c>
      <c r="CN135" s="1319">
        <f t="shared" ca="1" si="1287"/>
        <v>-2.8448091282782175</v>
      </c>
      <c r="CO135" s="1319">
        <f t="shared" ca="1" si="1287"/>
        <v>-3.7006672974491405E-12</v>
      </c>
      <c r="CX135" s="1334"/>
      <c r="DA135" s="1319">
        <f t="shared" ref="DA135:DJ144" ca="1" si="1288">VLOOKUP(DA$1,INDIRECT(LU_MAT),$A135,FALSE)*$F135/$E135</f>
        <v>0</v>
      </c>
      <c r="DB135" s="1319">
        <f t="shared" ca="1" si="1288"/>
        <v>0</v>
      </c>
      <c r="DC135" s="1319">
        <f t="shared" ca="1" si="1288"/>
        <v>0</v>
      </c>
      <c r="DD135" s="1319">
        <f t="shared" ca="1" si="1288"/>
        <v>0</v>
      </c>
      <c r="DE135" s="1319">
        <f t="shared" ca="1" si="1288"/>
        <v>0</v>
      </c>
      <c r="DF135" s="1319">
        <f t="shared" ca="1" si="1288"/>
        <v>0</v>
      </c>
      <c r="DG135" s="1319">
        <f t="shared" ca="1" si="1288"/>
        <v>0</v>
      </c>
      <c r="DH135" s="1319">
        <f t="shared" ca="1" si="1288"/>
        <v>0</v>
      </c>
      <c r="DI135" s="1319">
        <f t="shared" ca="1" si="1288"/>
        <v>0</v>
      </c>
      <c r="DJ135" s="1319">
        <f t="shared" ca="1" si="1288"/>
        <v>0</v>
      </c>
      <c r="DS135" s="1334"/>
      <c r="DV135" s="1319">
        <f t="shared" ref="DV135:EK144" ca="1" si="1289">VLOOKUP(DV$1,INDIRECT(LU_MAT),$A135,FALSE)*$F135/$E135</f>
        <v>0</v>
      </c>
      <c r="DW135" s="1319">
        <f t="shared" ca="1" si="1289"/>
        <v>0</v>
      </c>
      <c r="DX135" s="1319">
        <f t="shared" ca="1" si="1289"/>
        <v>0</v>
      </c>
      <c r="DY135" s="1319">
        <f t="shared" ca="1" si="1289"/>
        <v>0</v>
      </c>
      <c r="DZ135" s="1319">
        <f t="shared" ca="1" si="1289"/>
        <v>0</v>
      </c>
      <c r="EA135" s="1319">
        <f t="shared" ca="1" si="1289"/>
        <v>0</v>
      </c>
      <c r="EB135" s="1319">
        <f t="shared" ca="1" si="1289"/>
        <v>0</v>
      </c>
      <c r="EC135" s="1319">
        <f t="shared" ca="1" si="1289"/>
        <v>0</v>
      </c>
      <c r="ED135" s="1319">
        <f t="shared" ca="1" si="1289"/>
        <v>0</v>
      </c>
      <c r="EE135" s="1319">
        <f t="shared" ca="1" si="1289"/>
        <v>0</v>
      </c>
      <c r="EF135" s="1319">
        <f t="shared" ca="1" si="1289"/>
        <v>0</v>
      </c>
      <c r="EG135" s="1319">
        <f t="shared" ca="1" si="1289"/>
        <v>0</v>
      </c>
      <c r="EH135" s="1319">
        <f t="shared" ca="1" si="1289"/>
        <v>0</v>
      </c>
      <c r="EI135" s="1319">
        <f t="shared" ca="1" si="1289"/>
        <v>0</v>
      </c>
      <c r="EJ135" s="1319">
        <f t="shared" ca="1" si="1289"/>
        <v>0</v>
      </c>
      <c r="EK135" s="1319">
        <f t="shared" ca="1" si="1289"/>
        <v>0</v>
      </c>
      <c r="ET135" s="1334"/>
      <c r="EW135" s="1319">
        <f t="shared" ref="EW135:FB144" ca="1" si="1290">VLOOKUP(EW$1,INDIRECT(LU_MAT),$A135,FALSE)*$F135/$E135</f>
        <v>-2.8448091282782175</v>
      </c>
      <c r="EX135" s="1319">
        <f t="shared" ca="1" si="1290"/>
        <v>-2.8448091282782175</v>
      </c>
      <c r="EY135" s="1319">
        <f t="shared" ca="1" si="1290"/>
        <v>-2.8448089474037865</v>
      </c>
      <c r="EZ135" s="1319">
        <f t="shared" ca="1" si="1290"/>
        <v>-2.8448089474037865</v>
      </c>
      <c r="FA135" s="1319">
        <f t="shared" ca="1" si="1290"/>
        <v>-4.1848154768438516E-19</v>
      </c>
      <c r="FB135" s="1319">
        <f t="shared" ca="1" si="1290"/>
        <v>-1.8178328196396944E-7</v>
      </c>
      <c r="FK135" s="1334"/>
      <c r="FN135" s="1319">
        <f t="shared" ref="FN135:FX144" ca="1" si="1291">VLOOKUP(FN$1,INDIRECT(LU_MAT),$A135,FALSE)*$F135/$E135</f>
        <v>-3.5153867201873114E-13</v>
      </c>
      <c r="FO135" s="1319">
        <f t="shared" ca="1" si="1291"/>
        <v>-3.3491282056510003E-12</v>
      </c>
      <c r="FP135" s="1319">
        <f t="shared" ca="1" si="1291"/>
        <v>-4.1848154768438516E-19</v>
      </c>
      <c r="FQ135" s="1319">
        <f t="shared" ca="1" si="1291"/>
        <v>-1.8178328196396944E-7</v>
      </c>
      <c r="FR135" s="1319">
        <f t="shared" ca="1" si="1291"/>
        <v>0</v>
      </c>
      <c r="FS135" s="1319">
        <f t="shared" ca="1" si="1291"/>
        <v>-1.8178328309443462E-7</v>
      </c>
      <c r="FT135" s="1319">
        <f t="shared" ca="1" si="1291"/>
        <v>0</v>
      </c>
      <c r="FU135" s="1319">
        <f t="shared" ca="1" si="1291"/>
        <v>-3.7006672974491405E-12</v>
      </c>
      <c r="FV135" s="1319">
        <f t="shared" ca="1" si="1291"/>
        <v>0</v>
      </c>
      <c r="FW135" s="1319">
        <f t="shared" ca="1" si="1291"/>
        <v>0</v>
      </c>
      <c r="FX135" s="1319">
        <f t="shared" ca="1" si="1291"/>
        <v>-3.7006672974491405E-12</v>
      </c>
      <c r="GG135" s="1334"/>
      <c r="GJ135" s="1319">
        <f t="shared" ref="GJ135:GQ144" ca="1" si="1292">VLOOKUP(GJ$1,INDIRECT(LU_MAT),$A135,FALSE)*$F135/$E135</f>
        <v>0</v>
      </c>
      <c r="GK135" s="1319">
        <f t="shared" ca="1" si="1292"/>
        <v>0</v>
      </c>
      <c r="GL135" s="1319">
        <f t="shared" ca="1" si="1292"/>
        <v>0</v>
      </c>
      <c r="GM135" s="1319">
        <f t="shared" ca="1" si="1292"/>
        <v>0</v>
      </c>
      <c r="GN135" s="1319">
        <f t="shared" ca="1" si="1292"/>
        <v>0</v>
      </c>
      <c r="GO135" s="1319">
        <f t="shared" ca="1" si="1292"/>
        <v>0</v>
      </c>
      <c r="GP135" s="1319">
        <f t="shared" ca="1" si="1292"/>
        <v>0</v>
      </c>
      <c r="GQ135" s="1319">
        <f t="shared" ca="1" si="1292"/>
        <v>0</v>
      </c>
      <c r="GZ135" s="1334"/>
      <c r="HC135" s="1319">
        <f t="shared" ref="HC135:HH144" ca="1" si="1293">VLOOKUP(HC$1,INDIRECT(LU_MAT),$A135,FALSE)*$F135/$E135</f>
        <v>-2.8448089474037865</v>
      </c>
      <c r="HD135" s="1319">
        <f t="shared" ca="1" si="1293"/>
        <v>-2.7388922230737869</v>
      </c>
      <c r="HE135" s="1319">
        <f t="shared" ca="1" si="1293"/>
        <v>0</v>
      </c>
      <c r="HF135" s="1319">
        <f t="shared" ca="1" si="1293"/>
        <v>-9.5774945767675537E-12</v>
      </c>
      <c r="HG135" s="1319">
        <f t="shared" ca="1" si="1293"/>
        <v>-0.10591672282271274</v>
      </c>
      <c r="HH135" s="1319">
        <f t="shared" ca="1" si="1293"/>
        <v>-2.7388922230737869</v>
      </c>
      <c r="HQ135" s="1334"/>
      <c r="HT135" s="1319">
        <f t="shared" ref="HT135:IE144" ca="1" si="1294">VLOOKUP(HT$1,INDIRECT(LU_MAT),$A135,FALSE)*$F135/$E135</f>
        <v>0</v>
      </c>
      <c r="HU135" s="1319">
        <f t="shared" ca="1" si="1294"/>
        <v>-2.7388922230737869</v>
      </c>
      <c r="HV135" s="1319">
        <f t="shared" ca="1" si="1294"/>
        <v>-2.7388922230737869</v>
      </c>
      <c r="HW135" s="1319">
        <f t="shared" ca="1" si="1294"/>
        <v>-2.7388922230737869</v>
      </c>
      <c r="HX135" s="1319">
        <f t="shared" ca="1" si="1294"/>
        <v>-0.22908008226251794</v>
      </c>
      <c r="HY135" s="1319">
        <f t="shared" ca="1" si="1294"/>
        <v>-1.7420218115580297E-2</v>
      </c>
      <c r="HZ135" s="1319">
        <f t="shared" ca="1" si="1294"/>
        <v>-7.2756571392762452E-13</v>
      </c>
      <c r="IA135" s="1319">
        <f t="shared" ca="1" si="1294"/>
        <v>-1.2782599440521643E-14</v>
      </c>
      <c r="IB135" s="1319">
        <f t="shared" ca="1" si="1294"/>
        <v>0</v>
      </c>
      <c r="IC135" s="1319">
        <f t="shared" ca="1" si="1294"/>
        <v>0</v>
      </c>
      <c r="ID135" s="1319">
        <f t="shared" ca="1" si="1294"/>
        <v>0</v>
      </c>
      <c r="IE135" s="1319">
        <f t="shared" ca="1" si="1294"/>
        <v>0</v>
      </c>
      <c r="IN135" s="1334"/>
      <c r="IQ135" s="1319">
        <f t="shared" ref="IQ135:JA144" ca="1" si="1295">VLOOKUP(IQ$1,INDIRECT(LU_MAT),$A135,FALSE)*$F135/$E135</f>
        <v>-0.22908008226251794</v>
      </c>
      <c r="IR135" s="1319">
        <f t="shared" ca="1" si="1295"/>
        <v>-1.7420218115580297E-2</v>
      </c>
      <c r="IS135" s="1319">
        <f t="shared" ca="1" si="1295"/>
        <v>-3.4657169547494651E-4</v>
      </c>
      <c r="IT135" s="1319">
        <f t="shared" ca="1" si="1295"/>
        <v>-1.7766789803895632E-2</v>
      </c>
      <c r="IU135" s="1319">
        <f t="shared" ca="1" si="1295"/>
        <v>-1.6581683198797648E-2</v>
      </c>
      <c r="IV135" s="1319">
        <f t="shared" ca="1" si="1295"/>
        <v>-1.0159179436220769E-2</v>
      </c>
      <c r="IW135" s="1319">
        <f t="shared" ca="1" si="1295"/>
        <v>-8.3177207079788724E-3</v>
      </c>
      <c r="IX135" s="1319">
        <f t="shared" ca="1" si="1295"/>
        <v>-1.3559673338728836E-14</v>
      </c>
      <c r="IY135" s="1319">
        <f t="shared" ca="1" si="1295"/>
        <v>-1.1851066088662014E-3</v>
      </c>
      <c r="IZ135" s="1319">
        <f t="shared" ca="1" si="1295"/>
        <v>-1.4948870512312144E-3</v>
      </c>
      <c r="JA135" s="1319">
        <f t="shared" ca="1" si="1295"/>
        <v>-8.6642923962942063E-3</v>
      </c>
      <c r="JB135" s="1319">
        <f t="shared" ref="JB135:JH144" ca="1" si="1296">VLOOKUP(JB$1,INDIRECT(LU_MAT),$A135,FALSE)*$F135/$E135</f>
        <v>0</v>
      </c>
      <c r="JC135" s="1319">
        <f t="shared" ca="1" si="1296"/>
        <v>-1.4948870512312144E-3</v>
      </c>
      <c r="JD135" s="1319">
        <f t="shared" ca="1" si="1296"/>
        <v>0</v>
      </c>
      <c r="JE135" s="1319">
        <f t="shared" ca="1" si="1296"/>
        <v>-1.4948870512312144E-3</v>
      </c>
      <c r="JF135" s="1319">
        <f t="shared" ca="1" si="1296"/>
        <v>0</v>
      </c>
      <c r="JG135" s="1319">
        <f t="shared" ca="1" si="1296"/>
        <v>0</v>
      </c>
      <c r="JH135" s="1319">
        <f t="shared" ca="1" si="1296"/>
        <v>-1.2782599440521643E-14</v>
      </c>
      <c r="JQ135" s="1334"/>
      <c r="JT135" s="1319">
        <f t="shared" ref="JT135:KC144" ca="1" si="1297">VLOOKUP(JT$1,INDIRECT(LU_MAT),$A135,FALSE)*$F135/$E135</f>
        <v>0</v>
      </c>
      <c r="JU135" s="1319">
        <f t="shared" ca="1" si="1297"/>
        <v>0</v>
      </c>
      <c r="JV135" s="1319">
        <f t="shared" ca="1" si="1297"/>
        <v>0</v>
      </c>
      <c r="JW135" s="1319">
        <f t="shared" ca="1" si="1297"/>
        <v>0</v>
      </c>
      <c r="JX135" s="1319">
        <f t="shared" ca="1" si="1297"/>
        <v>0</v>
      </c>
      <c r="JY135" s="1319">
        <f t="shared" ca="1" si="1297"/>
        <v>0</v>
      </c>
      <c r="JZ135" s="1319">
        <f t="shared" ca="1" si="1297"/>
        <v>0</v>
      </c>
      <c r="KA135" s="1319">
        <f t="shared" ca="1" si="1297"/>
        <v>0</v>
      </c>
      <c r="KB135" s="1319">
        <f t="shared" ca="1" si="1297"/>
        <v>0</v>
      </c>
      <c r="KC135" s="1319">
        <f t="shared" ca="1" si="1297"/>
        <v>0</v>
      </c>
      <c r="KI135" s="1334"/>
      <c r="KL135" s="1319">
        <f t="shared" ref="KL135:KR144" ca="1" si="1298">VLOOKUP(KL$1,INDIRECT(LU_MAT),$A135,FALSE)*$F135/$E135</f>
        <v>0</v>
      </c>
      <c r="KM135" s="1319">
        <f t="shared" ca="1" si="1298"/>
        <v>0</v>
      </c>
      <c r="KN135" s="1319">
        <f t="shared" ca="1" si="1298"/>
        <v>0</v>
      </c>
      <c r="KO135" s="1319">
        <f t="shared" ca="1" si="1298"/>
        <v>0</v>
      </c>
      <c r="KP135" s="1319">
        <f t="shared" ca="1" si="1298"/>
        <v>0</v>
      </c>
      <c r="KQ135" s="1319">
        <f t="shared" ca="1" si="1298"/>
        <v>0</v>
      </c>
      <c r="KR135" s="1319">
        <f t="shared" ca="1" si="1298"/>
        <v>0</v>
      </c>
      <c r="KX135" s="1334"/>
      <c r="LA135" s="1319">
        <f t="shared" ref="LA135:LK144" ca="1" si="1299">VLOOKUP(LA$1,INDIRECT(LU_MAT),$A135,FALSE)*$F135/$E135</f>
        <v>-9.5774945767675537E-12</v>
      </c>
      <c r="LB135" s="1319">
        <f t="shared" ca="1" si="1299"/>
        <v>-7.2756571392762452E-13</v>
      </c>
      <c r="LC135" s="1319">
        <f t="shared" ca="1" si="1299"/>
        <v>-1.0305060279390528E-11</v>
      </c>
      <c r="LD135" s="1319">
        <f t="shared" ca="1" si="1299"/>
        <v>-1.0305060279390528E-11</v>
      </c>
      <c r="LE135" s="1319">
        <f t="shared" ca="1" si="1299"/>
        <v>0</v>
      </c>
      <c r="LF135" s="1319">
        <f t="shared" ca="1" si="1299"/>
        <v>0</v>
      </c>
      <c r="LG135" s="1319">
        <f t="shared" ca="1" si="1299"/>
        <v>0</v>
      </c>
      <c r="LH135" s="1319">
        <f t="shared" ca="1" si="1299"/>
        <v>0</v>
      </c>
      <c r="LI135" s="1319">
        <f t="shared" ca="1" si="1299"/>
        <v>0</v>
      </c>
      <c r="LJ135" s="1319">
        <f t="shared" ca="1" si="1299"/>
        <v>0</v>
      </c>
      <c r="LK135" s="1319">
        <f t="shared" ca="1" si="1299"/>
        <v>0</v>
      </c>
      <c r="LT135" s="1334"/>
      <c r="LW135" s="1319">
        <f t="shared" ref="LW135:MF144" ca="1" si="1300">VLOOKUP(LW$1,INDIRECT(LU_MAT),$A135,FALSE)*$F135/$E135</f>
        <v>0</v>
      </c>
      <c r="LX135" s="1319">
        <f t="shared" ca="1" si="1300"/>
        <v>0</v>
      </c>
      <c r="LY135" s="1319">
        <f t="shared" ca="1" si="1300"/>
        <v>-0.10591672282271274</v>
      </c>
      <c r="LZ135" s="1319">
        <f t="shared" ca="1" si="1300"/>
        <v>-1.1851066088662014E-3</v>
      </c>
      <c r="MA135" s="1319">
        <f t="shared" ca="1" si="1300"/>
        <v>-0.10710182942781073</v>
      </c>
      <c r="MB135" s="1319">
        <f t="shared" ca="1" si="1300"/>
        <v>-1.0305060279390528E-11</v>
      </c>
      <c r="MC135" s="1319">
        <f t="shared" ca="1" si="1300"/>
        <v>0</v>
      </c>
      <c r="MD135" s="1319">
        <f t="shared" ca="1" si="1300"/>
        <v>0</v>
      </c>
      <c r="ME135" s="1319">
        <f t="shared" ca="1" si="1300"/>
        <v>0</v>
      </c>
      <c r="MF135" s="1319">
        <f t="shared" ca="1" si="1300"/>
        <v>0</v>
      </c>
      <c r="MG135" s="1319">
        <f t="shared" ref="MG135:MO144" ca="1" si="1301">VLOOKUP(MG$1,INDIRECT(LU_MAT),$A135,FALSE)*$F135/$E135</f>
        <v>0</v>
      </c>
      <c r="MH135" s="1319">
        <f t="shared" ca="1" si="1301"/>
        <v>0</v>
      </c>
      <c r="MI135" s="1319">
        <f t="shared" ca="1" si="1301"/>
        <v>0</v>
      </c>
      <c r="MJ135" s="1319">
        <f t="shared" ca="1" si="1301"/>
        <v>0</v>
      </c>
      <c r="MK135" s="1319">
        <f t="shared" ca="1" si="1301"/>
        <v>0</v>
      </c>
      <c r="ML135" s="1319">
        <f t="shared" ca="1" si="1301"/>
        <v>0</v>
      </c>
      <c r="MM135" s="1319">
        <f t="shared" ca="1" si="1301"/>
        <v>0</v>
      </c>
      <c r="MN135" s="1319">
        <f t="shared" ca="1" si="1301"/>
        <v>0</v>
      </c>
      <c r="MO135" s="1319">
        <f t="shared" ca="1" si="1301"/>
        <v>0</v>
      </c>
      <c r="MX135" s="1334"/>
      <c r="NA135" s="1319">
        <f t="shared" ref="NA135:NP144" ca="1" si="1302">VLOOKUP(NA$1,INDIRECT(LU_MAT),$A135,FALSE)*$F135/$E135</f>
        <v>-3.1473563117140707E-14</v>
      </c>
      <c r="NB135" s="1319">
        <f t="shared" ca="1" si="1302"/>
        <v>0</v>
      </c>
      <c r="NC135" s="1319">
        <f t="shared" ca="1" si="1302"/>
        <v>0</v>
      </c>
      <c r="ND135" s="1319">
        <f t="shared" ca="1" si="1302"/>
        <v>0</v>
      </c>
      <c r="NE135" s="1319">
        <f t="shared" ca="1" si="1302"/>
        <v>0</v>
      </c>
      <c r="NF135" s="1319">
        <f t="shared" ca="1" si="1302"/>
        <v>0</v>
      </c>
      <c r="NG135" s="1319">
        <f t="shared" ca="1" si="1302"/>
        <v>0</v>
      </c>
      <c r="NH135" s="1319">
        <f t="shared" ca="1" si="1302"/>
        <v>0</v>
      </c>
      <c r="NI135" s="1319">
        <f t="shared" ca="1" si="1302"/>
        <v>0</v>
      </c>
      <c r="NJ135" s="1319">
        <f t="shared" ca="1" si="1302"/>
        <v>0</v>
      </c>
      <c r="NK135" s="1319">
        <f t="shared" ca="1" si="1302"/>
        <v>0</v>
      </c>
      <c r="NL135" s="1319">
        <f t="shared" ca="1" si="1302"/>
        <v>0</v>
      </c>
      <c r="NM135" s="1319">
        <f t="shared" ca="1" si="1302"/>
        <v>0</v>
      </c>
      <c r="NN135" s="1319">
        <f t="shared" ca="1" si="1302"/>
        <v>0</v>
      </c>
      <c r="NO135" s="1319">
        <f t="shared" ca="1" si="1302"/>
        <v>0</v>
      </c>
      <c r="NP135" s="1319">
        <f t="shared" ca="1" si="1302"/>
        <v>0</v>
      </c>
      <c r="NY135" s="1334"/>
      <c r="OE135" s="1334"/>
      <c r="OH135" s="1319">
        <f t="shared" ref="OH135:OO144" ca="1" si="1303">VLOOKUP(OH$1,INDIRECT(LU_MAT),$A135,FALSE)*$F135/$E135</f>
        <v>0</v>
      </c>
      <c r="OI135" s="1319">
        <f t="shared" ca="1" si="1303"/>
        <v>0</v>
      </c>
      <c r="OJ135" s="1319">
        <f t="shared" ca="1" si="1303"/>
        <v>0</v>
      </c>
      <c r="OK135" s="1319">
        <f t="shared" ca="1" si="1303"/>
        <v>0</v>
      </c>
      <c r="OL135" s="1319">
        <f t="shared" ca="1" si="1303"/>
        <v>0</v>
      </c>
      <c r="OM135" s="1319">
        <f t="shared" ca="1" si="1303"/>
        <v>0</v>
      </c>
      <c r="ON135" s="1319">
        <f t="shared" ca="1" si="1303"/>
        <v>0</v>
      </c>
      <c r="OO135" s="1319">
        <f t="shared" ca="1" si="1303"/>
        <v>0</v>
      </c>
      <c r="OX135" s="1334"/>
      <c r="PA135" s="1319">
        <f t="shared" ref="PA135:PK144" ca="1" si="1304">VLOOKUP(PA$1,INDIRECT(LU_MAT),$A135,FALSE)*$F135/$E135</f>
        <v>0</v>
      </c>
      <c r="PB135" s="1319">
        <f t="shared" ca="1" si="1304"/>
        <v>0</v>
      </c>
      <c r="PC135" s="1319">
        <f t="shared" ca="1" si="1304"/>
        <v>0</v>
      </c>
      <c r="PD135" s="1319">
        <f t="shared" ca="1" si="1304"/>
        <v>0</v>
      </c>
      <c r="PE135" s="1319">
        <f t="shared" ca="1" si="1304"/>
        <v>0</v>
      </c>
      <c r="PF135" s="1319">
        <f t="shared" ca="1" si="1304"/>
        <v>0</v>
      </c>
      <c r="PG135" s="1319">
        <f t="shared" ca="1" si="1304"/>
        <v>0</v>
      </c>
      <c r="PH135" s="1319">
        <f t="shared" ca="1" si="1304"/>
        <v>0</v>
      </c>
      <c r="PI135" s="1319">
        <f t="shared" ca="1" si="1304"/>
        <v>0</v>
      </c>
      <c r="PJ135" s="1319">
        <f t="shared" ca="1" si="1304"/>
        <v>0</v>
      </c>
      <c r="PK135" s="1319">
        <f t="shared" ca="1" si="1304"/>
        <v>0</v>
      </c>
      <c r="PT135" s="1334"/>
      <c r="PW135" s="1319">
        <f t="shared" ref="PW135:PZ154" ca="1" si="1305">VLOOKUP(PW$1,INDIRECT(LU_MAT),$A135,FALSE)*$F135/$E135</f>
        <v>0</v>
      </c>
      <c r="PX135" s="1319">
        <f t="shared" ca="1" si="1305"/>
        <v>0</v>
      </c>
      <c r="PY135" s="1319">
        <f t="shared" ca="1" si="1305"/>
        <v>0</v>
      </c>
      <c r="PZ135" s="1319">
        <f t="shared" ca="1" si="1305"/>
        <v>0</v>
      </c>
    </row>
    <row r="136" spans="1:442" x14ac:dyDescent="0.25">
      <c r="A136" s="189">
        <v>25</v>
      </c>
      <c r="B136" s="189" t="s">
        <v>1256</v>
      </c>
      <c r="C136" s="1317" t="s">
        <v>1299</v>
      </c>
      <c r="D136" s="1317" t="s">
        <v>206</v>
      </c>
      <c r="E136" s="1318">
        <v>92.094719999999995</v>
      </c>
      <c r="F136" s="1316">
        <v>-0.35350712293999992</v>
      </c>
      <c r="G136" s="1334"/>
      <c r="J136" s="1319">
        <f t="shared" ca="1" si="1283"/>
        <v>0</v>
      </c>
      <c r="K136" s="1319">
        <f t="shared" ca="1" si="1283"/>
        <v>0</v>
      </c>
      <c r="Q136" s="1334"/>
      <c r="T136" s="1319">
        <f t="shared" ca="1" si="1284"/>
        <v>0</v>
      </c>
      <c r="U136" s="1319">
        <f t="shared" ca="1" si="1284"/>
        <v>0</v>
      </c>
      <c r="V136" s="1319">
        <f t="shared" ca="1" si="1284"/>
        <v>-1.1792940891072026E-5</v>
      </c>
      <c r="W136" s="1319">
        <f t="shared" ca="1" si="1284"/>
        <v>0</v>
      </c>
      <c r="X136" s="1319">
        <f t="shared" ca="1" si="1284"/>
        <v>0</v>
      </c>
      <c r="Y136" s="1319">
        <f t="shared" ca="1" si="1284"/>
        <v>-1.1792940891072026E-5</v>
      </c>
      <c r="Z136" s="1319">
        <f t="shared" ca="1" si="1284"/>
        <v>-3.3096664644781556E-10</v>
      </c>
      <c r="AA136" s="1319">
        <f t="shared" ca="1" si="1284"/>
        <v>-1.1792609895774888E-5</v>
      </c>
      <c r="AB136" s="1319">
        <f t="shared" ca="1" si="1284"/>
        <v>0</v>
      </c>
      <c r="AC136" s="1319">
        <f t="shared" ca="1" si="1284"/>
        <v>-1.1792940891072026E-5</v>
      </c>
      <c r="AD136" s="1319">
        <f t="shared" ca="1" si="1284"/>
        <v>0</v>
      </c>
      <c r="AJ136" s="1334"/>
      <c r="AM136" s="1319">
        <f t="shared" ca="1" si="1285"/>
        <v>0</v>
      </c>
      <c r="AN136" s="1319">
        <f t="shared" ca="1" si="1285"/>
        <v>0</v>
      </c>
      <c r="AO136" s="1319">
        <f t="shared" ca="1" si="1285"/>
        <v>-1.1792609895774888E-5</v>
      </c>
      <c r="AP136" s="1319">
        <f t="shared" ca="1" si="1285"/>
        <v>-1.1792609895774888E-5</v>
      </c>
      <c r="AQ136" s="1319">
        <f t="shared" ca="1" si="1285"/>
        <v>-1.0035195182966357E-10</v>
      </c>
      <c r="AR136" s="1319">
        <f t="shared" ca="1" si="1285"/>
        <v>-1.4706029925394135E-13</v>
      </c>
      <c r="AS136" s="1319">
        <f t="shared" ca="1" si="1285"/>
        <v>-3.308195859627774E-10</v>
      </c>
      <c r="AT136" s="1319">
        <f t="shared" ca="1" si="1285"/>
        <v>-9.2067965207280731E-15</v>
      </c>
      <c r="AU136" s="1319">
        <f t="shared" ca="1" si="1285"/>
        <v>-1.0048980524848682E-10</v>
      </c>
      <c r="AV136" s="1319">
        <f t="shared" ca="1" si="1285"/>
        <v>-1.1792509556947716E-5</v>
      </c>
      <c r="AW136" s="1319">
        <f t="shared" ca="1" si="1285"/>
        <v>-9.2067965207280731E-15</v>
      </c>
      <c r="AX136" s="1319">
        <f t="shared" ca="1" si="1285"/>
        <v>-4.313185975097758E-10</v>
      </c>
      <c r="AY136" s="1319">
        <f t="shared" ca="1" si="1285"/>
        <v>0</v>
      </c>
      <c r="AZ136" s="1319">
        <f t="shared" ca="1" si="1285"/>
        <v>0</v>
      </c>
      <c r="BA136" s="1319">
        <f t="shared" ca="1" si="1285"/>
        <v>0</v>
      </c>
      <c r="BB136" s="1319">
        <f t="shared" ca="1" si="1285"/>
        <v>-1.1792509556947716E-5</v>
      </c>
      <c r="BK136" s="1334"/>
      <c r="BN136" s="1319">
        <f t="shared" ca="1" si="1286"/>
        <v>-1.1792499231337728E-6</v>
      </c>
      <c r="BO136" s="1319">
        <f t="shared" ca="1" si="1286"/>
        <v>-6.6003266669365943E-2</v>
      </c>
      <c r="BP136" s="1319">
        <f t="shared" ca="1" si="1286"/>
        <v>-4.360227726872268E-10</v>
      </c>
      <c r="BQ136" s="1319">
        <f t="shared" ca="1" si="1286"/>
        <v>0</v>
      </c>
      <c r="BR136" s="1319">
        <f t="shared" ca="1" si="1286"/>
        <v>0</v>
      </c>
      <c r="CA136" s="1334"/>
      <c r="CD136" s="1319">
        <f t="shared" ca="1" si="1287"/>
        <v>-1.1792509556947716E-5</v>
      </c>
      <c r="CE136" s="1319">
        <f t="shared" ca="1" si="1287"/>
        <v>-1.1792509556947716E-5</v>
      </c>
      <c r="CF136" s="1319">
        <f t="shared" ca="1" si="1287"/>
        <v>-1.1792499231337728E-6</v>
      </c>
      <c r="CG136" s="1319">
        <f t="shared" ca="1" si="1287"/>
        <v>-6.6003266669365943E-2</v>
      </c>
      <c r="CH136" s="1319">
        <f t="shared" ca="1" si="1287"/>
        <v>-1.1792509556947716E-5</v>
      </c>
      <c r="CI136" s="1319">
        <f t="shared" ca="1" si="1287"/>
        <v>0</v>
      </c>
      <c r="CJ136" s="1319">
        <f t="shared" ca="1" si="1287"/>
        <v>0</v>
      </c>
      <c r="CK136" s="1319">
        <f t="shared" ca="1" si="1287"/>
        <v>-0.66931929384471711</v>
      </c>
      <c r="CL136" s="1319">
        <f t="shared" ca="1" si="1287"/>
        <v>-4.3048465288180389E-9</v>
      </c>
      <c r="CM136" s="1319">
        <f t="shared" ca="1" si="1287"/>
        <v>0</v>
      </c>
      <c r="CN136" s="1319">
        <f t="shared" ca="1" si="1287"/>
        <v>-0.66931929768323395</v>
      </c>
      <c r="CO136" s="1319">
        <f t="shared" ca="1" si="1287"/>
        <v>-4.7410159174900683E-9</v>
      </c>
      <c r="CX136" s="1334"/>
      <c r="DA136" s="1319">
        <f t="shared" ca="1" si="1288"/>
        <v>0</v>
      </c>
      <c r="DB136" s="1319">
        <f t="shared" ca="1" si="1288"/>
        <v>0</v>
      </c>
      <c r="DC136" s="1319">
        <f t="shared" ca="1" si="1288"/>
        <v>0</v>
      </c>
      <c r="DD136" s="1319">
        <f t="shared" ca="1" si="1288"/>
        <v>0</v>
      </c>
      <c r="DE136" s="1319">
        <f t="shared" ca="1" si="1288"/>
        <v>0</v>
      </c>
      <c r="DF136" s="1319">
        <f t="shared" ca="1" si="1288"/>
        <v>0</v>
      </c>
      <c r="DG136" s="1319">
        <f t="shared" ca="1" si="1288"/>
        <v>0</v>
      </c>
      <c r="DH136" s="1319">
        <f t="shared" ca="1" si="1288"/>
        <v>0</v>
      </c>
      <c r="DI136" s="1319">
        <f t="shared" ca="1" si="1288"/>
        <v>0</v>
      </c>
      <c r="DJ136" s="1319">
        <f t="shared" ca="1" si="1288"/>
        <v>0</v>
      </c>
      <c r="DS136" s="1334"/>
      <c r="DV136" s="1319">
        <f t="shared" ca="1" si="1289"/>
        <v>0</v>
      </c>
      <c r="DW136" s="1319">
        <f t="shared" ca="1" si="1289"/>
        <v>0</v>
      </c>
      <c r="DX136" s="1319">
        <f t="shared" ca="1" si="1289"/>
        <v>0</v>
      </c>
      <c r="DY136" s="1319">
        <f t="shared" ca="1" si="1289"/>
        <v>0</v>
      </c>
      <c r="DZ136" s="1319">
        <f t="shared" ca="1" si="1289"/>
        <v>0</v>
      </c>
      <c r="EA136" s="1319">
        <f t="shared" ca="1" si="1289"/>
        <v>0</v>
      </c>
      <c r="EB136" s="1319">
        <f t="shared" ca="1" si="1289"/>
        <v>0</v>
      </c>
      <c r="EC136" s="1319">
        <f t="shared" ca="1" si="1289"/>
        <v>0</v>
      </c>
      <c r="ED136" s="1319">
        <f t="shared" ca="1" si="1289"/>
        <v>0</v>
      </c>
      <c r="EE136" s="1319">
        <f t="shared" ca="1" si="1289"/>
        <v>0</v>
      </c>
      <c r="EF136" s="1319">
        <f t="shared" ca="1" si="1289"/>
        <v>0</v>
      </c>
      <c r="EG136" s="1319">
        <f t="shared" ca="1" si="1289"/>
        <v>0</v>
      </c>
      <c r="EH136" s="1319">
        <f t="shared" ca="1" si="1289"/>
        <v>0</v>
      </c>
      <c r="EI136" s="1319">
        <f t="shared" ca="1" si="1289"/>
        <v>0</v>
      </c>
      <c r="EJ136" s="1319">
        <f t="shared" ca="1" si="1289"/>
        <v>0</v>
      </c>
      <c r="EK136" s="1319">
        <f t="shared" ca="1" si="1289"/>
        <v>0</v>
      </c>
      <c r="ET136" s="1334"/>
      <c r="EW136" s="1319">
        <f t="shared" ca="1" si="1290"/>
        <v>-0.66931929768323395</v>
      </c>
      <c r="EX136" s="1319">
        <f t="shared" ca="1" si="1290"/>
        <v>-0.66931929768323395</v>
      </c>
      <c r="EY136" s="1319">
        <f t="shared" ca="1" si="1290"/>
        <v>-0.66930750575985687</v>
      </c>
      <c r="EZ136" s="1319">
        <f t="shared" ca="1" si="1290"/>
        <v>-0.66930750575985687</v>
      </c>
      <c r="FA136" s="1319">
        <f t="shared" ca="1" si="1290"/>
        <v>-1.4661866677311179E-13</v>
      </c>
      <c r="FB136" s="1319">
        <f t="shared" ca="1" si="1290"/>
        <v>-1.1792940814301691E-5</v>
      </c>
      <c r="FK136" s="1334"/>
      <c r="FN136" s="1319">
        <f t="shared" ca="1" si="1291"/>
        <v>-4.360227726872268E-10</v>
      </c>
      <c r="FO136" s="1319">
        <f t="shared" ca="1" si="1291"/>
        <v>-4.3048465288180389E-9</v>
      </c>
      <c r="FP136" s="1319">
        <f t="shared" ca="1" si="1291"/>
        <v>-1.4661866677311179E-13</v>
      </c>
      <c r="FQ136" s="1319">
        <f t="shared" ca="1" si="1291"/>
        <v>-1.1792940814301691E-5</v>
      </c>
      <c r="FR136" s="1319">
        <f t="shared" ca="1" si="1291"/>
        <v>0</v>
      </c>
      <c r="FS136" s="1319">
        <f t="shared" ca="1" si="1291"/>
        <v>-1.1792940891072026E-5</v>
      </c>
      <c r="FT136" s="1319">
        <f t="shared" ca="1" si="1291"/>
        <v>0</v>
      </c>
      <c r="FU136" s="1319">
        <f t="shared" ca="1" si="1291"/>
        <v>-4.7410159174900683E-9</v>
      </c>
      <c r="FV136" s="1319">
        <f t="shared" ca="1" si="1291"/>
        <v>0</v>
      </c>
      <c r="FW136" s="1319">
        <f t="shared" ca="1" si="1291"/>
        <v>-1.8216141430105359E-36</v>
      </c>
      <c r="FX136" s="1319">
        <f t="shared" ca="1" si="1291"/>
        <v>-4.7410159174900683E-9</v>
      </c>
      <c r="GG136" s="1334"/>
      <c r="GJ136" s="1319">
        <f t="shared" ca="1" si="1292"/>
        <v>0</v>
      </c>
      <c r="GK136" s="1319">
        <f t="shared" ca="1" si="1292"/>
        <v>0</v>
      </c>
      <c r="GL136" s="1319">
        <f t="shared" ca="1" si="1292"/>
        <v>0</v>
      </c>
      <c r="GM136" s="1319">
        <f t="shared" ca="1" si="1292"/>
        <v>0</v>
      </c>
      <c r="GN136" s="1319">
        <f t="shared" ca="1" si="1292"/>
        <v>0</v>
      </c>
      <c r="GO136" s="1319">
        <f t="shared" ca="1" si="1292"/>
        <v>0</v>
      </c>
      <c r="GP136" s="1319">
        <f t="shared" ca="1" si="1292"/>
        <v>0</v>
      </c>
      <c r="GQ136" s="1319">
        <f t="shared" ca="1" si="1292"/>
        <v>0</v>
      </c>
      <c r="GZ136" s="1334"/>
      <c r="HC136" s="1319">
        <f t="shared" ca="1" si="1293"/>
        <v>-0.66930750575985687</v>
      </c>
      <c r="HD136" s="1319">
        <f t="shared" ca="1" si="1293"/>
        <v>-0.64438813155888608</v>
      </c>
      <c r="HE136" s="1319">
        <f t="shared" ca="1" si="1293"/>
        <v>0</v>
      </c>
      <c r="HF136" s="1319">
        <f t="shared" ca="1" si="1293"/>
        <v>-7.2475732113904998E-9</v>
      </c>
      <c r="HG136" s="1319">
        <f t="shared" ca="1" si="1293"/>
        <v>-2.4919366600707669E-2</v>
      </c>
      <c r="HH136" s="1319">
        <f t="shared" ca="1" si="1293"/>
        <v>-0.64438813155888608</v>
      </c>
      <c r="HQ136" s="1334"/>
      <c r="HT136" s="1319">
        <f t="shared" ca="1" si="1294"/>
        <v>-4.313185975097758E-10</v>
      </c>
      <c r="HU136" s="1319">
        <f t="shared" ca="1" si="1294"/>
        <v>-0.64438813155888608</v>
      </c>
      <c r="HV136" s="1319">
        <f t="shared" ca="1" si="1294"/>
        <v>-0.64438813155888608</v>
      </c>
      <c r="HW136" s="1319">
        <f t="shared" ca="1" si="1294"/>
        <v>-0.64438813155888608</v>
      </c>
      <c r="HX136" s="1319">
        <f t="shared" ca="1" si="1294"/>
        <v>-5.389641948084354E-2</v>
      </c>
      <c r="HY136" s="1319">
        <f t="shared" ca="1" si="1294"/>
        <v>-4.0985116301380346E-3</v>
      </c>
      <c r="HZ136" s="1319">
        <f t="shared" ca="1" si="1294"/>
        <v>-8.2715924357317446E-10</v>
      </c>
      <c r="IA136" s="1319">
        <f t="shared" ca="1" si="1294"/>
        <v>-3.0665218755209275E-12</v>
      </c>
      <c r="IB136" s="1319">
        <f t="shared" ca="1" si="1294"/>
        <v>0</v>
      </c>
      <c r="IC136" s="1319">
        <f t="shared" ca="1" si="1294"/>
        <v>0</v>
      </c>
      <c r="ID136" s="1319">
        <f t="shared" ca="1" si="1294"/>
        <v>0</v>
      </c>
      <c r="IE136" s="1319">
        <f t="shared" ca="1" si="1294"/>
        <v>0</v>
      </c>
      <c r="IN136" s="1334"/>
      <c r="IQ136" s="1319">
        <f t="shared" ca="1" si="1295"/>
        <v>-5.389641948084354E-2</v>
      </c>
      <c r="IR136" s="1319">
        <f t="shared" ca="1" si="1295"/>
        <v>-4.0985116301380346E-3</v>
      </c>
      <c r="IS136" s="1319">
        <f t="shared" ca="1" si="1295"/>
        <v>-8.1539054706081441E-5</v>
      </c>
      <c r="IT136" s="1319">
        <f t="shared" ca="1" si="1295"/>
        <v>-4.1800507074913644E-3</v>
      </c>
      <c r="IU136" s="1319">
        <f t="shared" ca="1" si="1295"/>
        <v>-3.9012268023389187E-3</v>
      </c>
      <c r="IV136" s="1319">
        <f t="shared" ca="1" si="1295"/>
        <v>-2.3901833241305147E-3</v>
      </c>
      <c r="IW136" s="1319">
        <f t="shared" ca="1" si="1295"/>
        <v>-1.9569373114105481E-3</v>
      </c>
      <c r="IX136" s="1319">
        <f t="shared" ca="1" si="1295"/>
        <v>-1.7034327116780614E-11</v>
      </c>
      <c r="IY136" s="1319">
        <f t="shared" ca="1" si="1295"/>
        <v>-2.7882390438474232E-4</v>
      </c>
      <c r="IZ136" s="1319">
        <f t="shared" ca="1" si="1295"/>
        <v>-3.5170695878158833E-4</v>
      </c>
      <c r="JA136" s="1319">
        <f t="shared" ca="1" si="1295"/>
        <v>-2.0384763657327778E-3</v>
      </c>
      <c r="JB136" s="1319">
        <f t="shared" ca="1" si="1296"/>
        <v>0</v>
      </c>
      <c r="JC136" s="1319">
        <f t="shared" ca="1" si="1296"/>
        <v>-3.5170695571077497E-4</v>
      </c>
      <c r="JD136" s="1319">
        <f t="shared" ca="1" si="1296"/>
        <v>0</v>
      </c>
      <c r="JE136" s="1319">
        <f t="shared" ca="1" si="1296"/>
        <v>-3.5170695878158833E-4</v>
      </c>
      <c r="JF136" s="1319">
        <f t="shared" ca="1" si="1296"/>
        <v>0</v>
      </c>
      <c r="JG136" s="1319">
        <f t="shared" ca="1" si="1296"/>
        <v>0</v>
      </c>
      <c r="JH136" s="1319">
        <f t="shared" ca="1" si="1296"/>
        <v>-3.0665218755209275E-12</v>
      </c>
      <c r="JQ136" s="1334"/>
      <c r="JT136" s="1319">
        <f t="shared" ca="1" si="1297"/>
        <v>0</v>
      </c>
      <c r="JU136" s="1319">
        <f t="shared" ca="1" si="1297"/>
        <v>0</v>
      </c>
      <c r="JV136" s="1319">
        <f t="shared" ca="1" si="1297"/>
        <v>0</v>
      </c>
      <c r="JW136" s="1319">
        <f t="shared" ca="1" si="1297"/>
        <v>0</v>
      </c>
      <c r="JX136" s="1319">
        <f t="shared" ca="1" si="1297"/>
        <v>0</v>
      </c>
      <c r="JY136" s="1319">
        <f t="shared" ca="1" si="1297"/>
        <v>0</v>
      </c>
      <c r="JZ136" s="1319">
        <f t="shared" ca="1" si="1297"/>
        <v>0</v>
      </c>
      <c r="KA136" s="1319">
        <f t="shared" ca="1" si="1297"/>
        <v>0</v>
      </c>
      <c r="KB136" s="1319">
        <f t="shared" ca="1" si="1297"/>
        <v>0</v>
      </c>
      <c r="KC136" s="1319">
        <f t="shared" ca="1" si="1297"/>
        <v>0</v>
      </c>
      <c r="KI136" s="1334"/>
      <c r="KL136" s="1319">
        <f t="shared" ca="1" si="1298"/>
        <v>0</v>
      </c>
      <c r="KM136" s="1319">
        <f t="shared" ca="1" si="1298"/>
        <v>0</v>
      </c>
      <c r="KN136" s="1319">
        <f t="shared" ca="1" si="1298"/>
        <v>0</v>
      </c>
      <c r="KO136" s="1319">
        <f t="shared" ca="1" si="1298"/>
        <v>0</v>
      </c>
      <c r="KP136" s="1319">
        <f t="shared" ca="1" si="1298"/>
        <v>0</v>
      </c>
      <c r="KQ136" s="1319">
        <f t="shared" ca="1" si="1298"/>
        <v>0</v>
      </c>
      <c r="KR136" s="1319">
        <f t="shared" ca="1" si="1298"/>
        <v>0</v>
      </c>
      <c r="KX136" s="1334"/>
      <c r="LA136" s="1319">
        <f t="shared" ca="1" si="1299"/>
        <v>-7.2475732113904998E-9</v>
      </c>
      <c r="LB136" s="1319">
        <f t="shared" ca="1" si="1299"/>
        <v>-8.2715924357317446E-10</v>
      </c>
      <c r="LC136" s="1319">
        <f t="shared" ca="1" si="1299"/>
        <v>-8.0747324549636754E-9</v>
      </c>
      <c r="LD136" s="1319">
        <f t="shared" ca="1" si="1299"/>
        <v>-8.0747324549636754E-9</v>
      </c>
      <c r="LE136" s="1319">
        <f t="shared" ca="1" si="1299"/>
        <v>0</v>
      </c>
      <c r="LF136" s="1319">
        <f t="shared" ca="1" si="1299"/>
        <v>0</v>
      </c>
      <c r="LG136" s="1319">
        <f t="shared" ca="1" si="1299"/>
        <v>0</v>
      </c>
      <c r="LH136" s="1319">
        <f t="shared" ca="1" si="1299"/>
        <v>0</v>
      </c>
      <c r="LI136" s="1319">
        <f t="shared" ca="1" si="1299"/>
        <v>0</v>
      </c>
      <c r="LJ136" s="1319">
        <f t="shared" ca="1" si="1299"/>
        <v>0</v>
      </c>
      <c r="LK136" s="1319">
        <f t="shared" ca="1" si="1299"/>
        <v>0</v>
      </c>
      <c r="LT136" s="1334"/>
      <c r="LW136" s="1319">
        <f t="shared" ca="1" si="1300"/>
        <v>0</v>
      </c>
      <c r="LX136" s="1319">
        <f t="shared" ca="1" si="1300"/>
        <v>0</v>
      </c>
      <c r="LY136" s="1319">
        <f t="shared" ca="1" si="1300"/>
        <v>-2.4919366600707669E-2</v>
      </c>
      <c r="LZ136" s="1319">
        <f t="shared" ca="1" si="1300"/>
        <v>-2.7882390438474232E-4</v>
      </c>
      <c r="MA136" s="1319">
        <f t="shared" ca="1" si="1300"/>
        <v>-2.519819050586011E-2</v>
      </c>
      <c r="MB136" s="1319">
        <f t="shared" ca="1" si="1300"/>
        <v>-8.0747324549636754E-9</v>
      </c>
      <c r="MC136" s="1319">
        <f t="shared" ca="1" si="1300"/>
        <v>0</v>
      </c>
      <c r="MD136" s="1319">
        <f t="shared" ca="1" si="1300"/>
        <v>0</v>
      </c>
      <c r="ME136" s="1319">
        <f t="shared" ca="1" si="1300"/>
        <v>0</v>
      </c>
      <c r="MF136" s="1319">
        <f t="shared" ca="1" si="1300"/>
        <v>0</v>
      </c>
      <c r="MG136" s="1319">
        <f t="shared" ca="1" si="1301"/>
        <v>0</v>
      </c>
      <c r="MH136" s="1319">
        <f t="shared" ca="1" si="1301"/>
        <v>0</v>
      </c>
      <c r="MI136" s="1319">
        <f t="shared" ca="1" si="1301"/>
        <v>0</v>
      </c>
      <c r="MJ136" s="1319">
        <f t="shared" ca="1" si="1301"/>
        <v>0</v>
      </c>
      <c r="MK136" s="1319">
        <f t="shared" ca="1" si="1301"/>
        <v>0</v>
      </c>
      <c r="ML136" s="1319">
        <f t="shared" ca="1" si="1301"/>
        <v>0</v>
      </c>
      <c r="MM136" s="1319">
        <f t="shared" ca="1" si="1301"/>
        <v>0</v>
      </c>
      <c r="MN136" s="1319">
        <f t="shared" ca="1" si="1301"/>
        <v>0</v>
      </c>
      <c r="MO136" s="1319">
        <f t="shared" ca="1" si="1301"/>
        <v>0</v>
      </c>
      <c r="MX136" s="1334"/>
      <c r="NA136" s="1319">
        <f t="shared" ca="1" si="1302"/>
        <v>-3.3096664644781556E-10</v>
      </c>
      <c r="NB136" s="1319">
        <f t="shared" ca="1" si="1302"/>
        <v>-1.4706029925394135E-13</v>
      </c>
      <c r="NC136" s="1319">
        <f t="shared" ca="1" si="1302"/>
        <v>-3.308195859627774E-10</v>
      </c>
      <c r="ND136" s="1319">
        <f t="shared" ca="1" si="1302"/>
        <v>0</v>
      </c>
      <c r="NE136" s="1319">
        <f t="shared" ca="1" si="1302"/>
        <v>0</v>
      </c>
      <c r="NF136" s="1319">
        <f t="shared" ca="1" si="1302"/>
        <v>0</v>
      </c>
      <c r="NG136" s="1319">
        <f t="shared" ca="1" si="1302"/>
        <v>0</v>
      </c>
      <c r="NH136" s="1319">
        <f t="shared" ca="1" si="1302"/>
        <v>0</v>
      </c>
      <c r="NI136" s="1319">
        <f t="shared" ca="1" si="1302"/>
        <v>0</v>
      </c>
      <c r="NJ136" s="1319">
        <f t="shared" ca="1" si="1302"/>
        <v>0</v>
      </c>
      <c r="NK136" s="1319">
        <f t="shared" ca="1" si="1302"/>
        <v>0</v>
      </c>
      <c r="NL136" s="1319">
        <f t="shared" ca="1" si="1302"/>
        <v>0</v>
      </c>
      <c r="NM136" s="1319">
        <f t="shared" ca="1" si="1302"/>
        <v>0</v>
      </c>
      <c r="NN136" s="1319">
        <f t="shared" ca="1" si="1302"/>
        <v>0</v>
      </c>
      <c r="NO136" s="1319">
        <f t="shared" ca="1" si="1302"/>
        <v>0</v>
      </c>
      <c r="NP136" s="1319">
        <f t="shared" ca="1" si="1302"/>
        <v>0</v>
      </c>
      <c r="NY136" s="1334"/>
      <c r="OE136" s="1334"/>
      <c r="OH136" s="1319">
        <f t="shared" ca="1" si="1303"/>
        <v>0</v>
      </c>
      <c r="OI136" s="1319">
        <f t="shared" ca="1" si="1303"/>
        <v>0</v>
      </c>
      <c r="OJ136" s="1319">
        <f t="shared" ca="1" si="1303"/>
        <v>0</v>
      </c>
      <c r="OK136" s="1319">
        <f t="shared" ca="1" si="1303"/>
        <v>0</v>
      </c>
      <c r="OL136" s="1319">
        <f t="shared" ca="1" si="1303"/>
        <v>0</v>
      </c>
      <c r="OM136" s="1319">
        <f t="shared" ca="1" si="1303"/>
        <v>0</v>
      </c>
      <c r="ON136" s="1319">
        <f t="shared" ca="1" si="1303"/>
        <v>0</v>
      </c>
      <c r="OO136" s="1319">
        <f t="shared" ca="1" si="1303"/>
        <v>0</v>
      </c>
      <c r="OX136" s="1334"/>
      <c r="PA136" s="1319">
        <f t="shared" ca="1" si="1304"/>
        <v>0</v>
      </c>
      <c r="PB136" s="1319">
        <f t="shared" ca="1" si="1304"/>
        <v>0</v>
      </c>
      <c r="PC136" s="1319">
        <f t="shared" ca="1" si="1304"/>
        <v>0</v>
      </c>
      <c r="PD136" s="1319">
        <f t="shared" ca="1" si="1304"/>
        <v>0</v>
      </c>
      <c r="PE136" s="1319">
        <f t="shared" ca="1" si="1304"/>
        <v>0</v>
      </c>
      <c r="PF136" s="1319">
        <f t="shared" ca="1" si="1304"/>
        <v>0</v>
      </c>
      <c r="PG136" s="1319">
        <f t="shared" ca="1" si="1304"/>
        <v>0</v>
      </c>
      <c r="PH136" s="1319">
        <f t="shared" ca="1" si="1304"/>
        <v>0</v>
      </c>
      <c r="PI136" s="1319">
        <f t="shared" ca="1" si="1304"/>
        <v>0</v>
      </c>
      <c r="PJ136" s="1319">
        <f t="shared" ca="1" si="1304"/>
        <v>0</v>
      </c>
      <c r="PK136" s="1319">
        <f t="shared" ca="1" si="1304"/>
        <v>0</v>
      </c>
      <c r="PT136" s="1334"/>
      <c r="PW136" s="1319">
        <f t="shared" ca="1" si="1305"/>
        <v>0</v>
      </c>
      <c r="PX136" s="1319">
        <f t="shared" ca="1" si="1305"/>
        <v>0</v>
      </c>
      <c r="PY136" s="1319">
        <f t="shared" ca="1" si="1305"/>
        <v>0</v>
      </c>
      <c r="PZ136" s="1319">
        <f t="shared" ca="1" si="1305"/>
        <v>0</v>
      </c>
    </row>
    <row r="137" spans="1:442" x14ac:dyDescent="0.25">
      <c r="A137" s="189">
        <v>26</v>
      </c>
      <c r="B137" s="189" t="s">
        <v>1256</v>
      </c>
      <c r="C137" s="1317" t="s">
        <v>1300</v>
      </c>
      <c r="D137" s="1317" t="s">
        <v>206</v>
      </c>
      <c r="E137" s="1318">
        <v>118.08924</v>
      </c>
      <c r="F137" s="1316">
        <v>-0.3280618200699999</v>
      </c>
      <c r="G137" s="1334"/>
      <c r="J137" s="1319">
        <f t="shared" ca="1" si="1283"/>
        <v>0</v>
      </c>
      <c r="K137" s="1319">
        <f t="shared" ca="1" si="1283"/>
        <v>0</v>
      </c>
      <c r="Q137" s="1334"/>
      <c r="T137" s="1319">
        <f t="shared" ca="1" si="1284"/>
        <v>0</v>
      </c>
      <c r="U137" s="1319">
        <f t="shared" ca="1" si="1284"/>
        <v>0</v>
      </c>
      <c r="V137" s="1319">
        <f t="shared" ca="1" si="1284"/>
        <v>-8.3578422261210473E-6</v>
      </c>
      <c r="W137" s="1319">
        <f t="shared" ca="1" si="1284"/>
        <v>0</v>
      </c>
      <c r="X137" s="1319">
        <f t="shared" ca="1" si="1284"/>
        <v>0</v>
      </c>
      <c r="Y137" s="1319">
        <f t="shared" ca="1" si="1284"/>
        <v>-8.3578422261210473E-6</v>
      </c>
      <c r="Z137" s="1319">
        <f t="shared" ca="1" si="1284"/>
        <v>-9.9557097603934001E-11</v>
      </c>
      <c r="AA137" s="1319">
        <f t="shared" ca="1" si="1284"/>
        <v>-8.3577426595929598E-6</v>
      </c>
      <c r="AB137" s="1319">
        <f t="shared" ca="1" si="1284"/>
        <v>0</v>
      </c>
      <c r="AC137" s="1319">
        <f t="shared" ca="1" si="1284"/>
        <v>-8.3578422261210473E-6</v>
      </c>
      <c r="AD137" s="1319">
        <f t="shared" ca="1" si="1284"/>
        <v>0</v>
      </c>
      <c r="AJ137" s="1334"/>
      <c r="AM137" s="1319">
        <f t="shared" ca="1" si="1285"/>
        <v>0</v>
      </c>
      <c r="AN137" s="1319">
        <f t="shared" ca="1" si="1285"/>
        <v>0</v>
      </c>
      <c r="AO137" s="1319">
        <f t="shared" ca="1" si="1285"/>
        <v>-8.3577426595929598E-6</v>
      </c>
      <c r="AP137" s="1319">
        <f t="shared" ca="1" si="1285"/>
        <v>-8.3577426595929598E-6</v>
      </c>
      <c r="AQ137" s="1319">
        <f t="shared" ca="1" si="1285"/>
        <v>-2.4169869564842363E-11</v>
      </c>
      <c r="AR137" s="1319">
        <f t="shared" ca="1" si="1285"/>
        <v>-1.5512475882801773E-14</v>
      </c>
      <c r="AS137" s="1319">
        <f t="shared" ca="1" si="1285"/>
        <v>-9.9541585061071575E-11</v>
      </c>
      <c r="AT137" s="1319">
        <f t="shared" ca="1" si="1285"/>
        <v>-7.7656162665873116E-16</v>
      </c>
      <c r="AU137" s="1319">
        <f t="shared" ca="1" si="1285"/>
        <v>-2.4184605494341852E-11</v>
      </c>
      <c r="AV137" s="1319">
        <f t="shared" ca="1" si="1285"/>
        <v>-8.3577184902627585E-6</v>
      </c>
      <c r="AW137" s="1319">
        <f t="shared" ca="1" si="1285"/>
        <v>-7.7656162665873116E-16</v>
      </c>
      <c r="AX137" s="1319">
        <f t="shared" ca="1" si="1285"/>
        <v>-1.2372696730768057E-10</v>
      </c>
      <c r="AY137" s="1319">
        <f t="shared" ca="1" si="1285"/>
        <v>0</v>
      </c>
      <c r="AZ137" s="1319">
        <f t="shared" ca="1" si="1285"/>
        <v>0</v>
      </c>
      <c r="BA137" s="1319">
        <f t="shared" ca="1" si="1285"/>
        <v>0</v>
      </c>
      <c r="BB137" s="1319">
        <f t="shared" ca="1" si="1285"/>
        <v>-8.3577184902627585E-6</v>
      </c>
      <c r="BK137" s="1334"/>
      <c r="BN137" s="1319">
        <f t="shared" ca="1" si="1286"/>
        <v>-8.3577122673547524E-7</v>
      </c>
      <c r="BO137" s="1319">
        <f t="shared" ca="1" si="1286"/>
        <v>-0.11888035041808455</v>
      </c>
      <c r="BP137" s="1319">
        <f t="shared" ca="1" si="1286"/>
        <v>-1.7063698582228014E-10</v>
      </c>
      <c r="BQ137" s="1319">
        <f t="shared" ca="1" si="1286"/>
        <v>0</v>
      </c>
      <c r="BR137" s="1319">
        <f t="shared" ca="1" si="1286"/>
        <v>0</v>
      </c>
      <c r="CA137" s="1334"/>
      <c r="CD137" s="1319">
        <f t="shared" ca="1" si="1287"/>
        <v>-8.3577184902627585E-6</v>
      </c>
      <c r="CE137" s="1319">
        <f t="shared" ca="1" si="1287"/>
        <v>-8.3577184902627585E-6</v>
      </c>
      <c r="CF137" s="1319">
        <f t="shared" ca="1" si="1287"/>
        <v>-8.3577122673547524E-7</v>
      </c>
      <c r="CG137" s="1319">
        <f t="shared" ca="1" si="1287"/>
        <v>-0.11888035041808455</v>
      </c>
      <c r="CH137" s="1319">
        <f t="shared" ca="1" si="1287"/>
        <v>-8.3577184902627585E-6</v>
      </c>
      <c r="CI137" s="1319">
        <f t="shared" ca="1" si="1287"/>
        <v>0</v>
      </c>
      <c r="CJ137" s="1319">
        <f t="shared" ca="1" si="1287"/>
        <v>0</v>
      </c>
      <c r="CK137" s="1319">
        <f t="shared" ca="1" si="1287"/>
        <v>-1.2715823738845049</v>
      </c>
      <c r="CL137" s="1319">
        <f t="shared" ca="1" si="1287"/>
        <v>-1.7691292939465989E-9</v>
      </c>
      <c r="CM137" s="1319">
        <f t="shared" ca="1" si="1287"/>
        <v>0</v>
      </c>
      <c r="CN137" s="1319">
        <f t="shared" ca="1" si="1287"/>
        <v>-1.2715823738845049</v>
      </c>
      <c r="CO137" s="1319">
        <f t="shared" ca="1" si="1287"/>
        <v>-1.9397837700296918E-9</v>
      </c>
      <c r="CX137" s="1334"/>
      <c r="DA137" s="1319">
        <f t="shared" ca="1" si="1288"/>
        <v>0</v>
      </c>
      <c r="DB137" s="1319">
        <f t="shared" ca="1" si="1288"/>
        <v>0</v>
      </c>
      <c r="DC137" s="1319">
        <f t="shared" ca="1" si="1288"/>
        <v>0</v>
      </c>
      <c r="DD137" s="1319">
        <f t="shared" ca="1" si="1288"/>
        <v>0</v>
      </c>
      <c r="DE137" s="1319">
        <f t="shared" ca="1" si="1288"/>
        <v>0</v>
      </c>
      <c r="DF137" s="1319">
        <f t="shared" ca="1" si="1288"/>
        <v>0</v>
      </c>
      <c r="DG137" s="1319">
        <f t="shared" ca="1" si="1288"/>
        <v>0</v>
      </c>
      <c r="DH137" s="1319">
        <f t="shared" ca="1" si="1288"/>
        <v>0</v>
      </c>
      <c r="DI137" s="1319">
        <f t="shared" ca="1" si="1288"/>
        <v>0</v>
      </c>
      <c r="DJ137" s="1319">
        <f t="shared" ca="1" si="1288"/>
        <v>0</v>
      </c>
      <c r="DS137" s="1334"/>
      <c r="DV137" s="1319">
        <f t="shared" ca="1" si="1289"/>
        <v>0</v>
      </c>
      <c r="DW137" s="1319">
        <f t="shared" ca="1" si="1289"/>
        <v>0</v>
      </c>
      <c r="DX137" s="1319">
        <f t="shared" ca="1" si="1289"/>
        <v>0</v>
      </c>
      <c r="DY137" s="1319">
        <f t="shared" ca="1" si="1289"/>
        <v>0</v>
      </c>
      <c r="DZ137" s="1319">
        <f t="shared" ca="1" si="1289"/>
        <v>0</v>
      </c>
      <c r="EA137" s="1319">
        <f t="shared" ca="1" si="1289"/>
        <v>0</v>
      </c>
      <c r="EB137" s="1319">
        <f t="shared" ca="1" si="1289"/>
        <v>0</v>
      </c>
      <c r="EC137" s="1319">
        <f t="shared" ca="1" si="1289"/>
        <v>0</v>
      </c>
      <c r="ED137" s="1319">
        <f t="shared" ca="1" si="1289"/>
        <v>0</v>
      </c>
      <c r="EE137" s="1319">
        <f t="shared" ca="1" si="1289"/>
        <v>0</v>
      </c>
      <c r="EF137" s="1319">
        <f t="shared" ca="1" si="1289"/>
        <v>0</v>
      </c>
      <c r="EG137" s="1319">
        <f t="shared" ca="1" si="1289"/>
        <v>0</v>
      </c>
      <c r="EH137" s="1319">
        <f t="shared" ca="1" si="1289"/>
        <v>0</v>
      </c>
      <c r="EI137" s="1319">
        <f t="shared" ca="1" si="1289"/>
        <v>0</v>
      </c>
      <c r="EJ137" s="1319">
        <f t="shared" ca="1" si="1289"/>
        <v>0</v>
      </c>
      <c r="EK137" s="1319">
        <f t="shared" ca="1" si="1289"/>
        <v>0</v>
      </c>
      <c r="ET137" s="1334"/>
      <c r="EW137" s="1319">
        <f t="shared" ca="1" si="1290"/>
        <v>-1.2715823738845049</v>
      </c>
      <c r="EX137" s="1319">
        <f t="shared" ca="1" si="1290"/>
        <v>-1.2715823738845049</v>
      </c>
      <c r="EY137" s="1319">
        <f t="shared" ca="1" si="1290"/>
        <v>-1.2715740174080405</v>
      </c>
      <c r="EZ137" s="1319">
        <f t="shared" ca="1" si="1290"/>
        <v>-1.2715740174080405</v>
      </c>
      <c r="FA137" s="1319">
        <f t="shared" ca="1" si="1290"/>
        <v>-1.7488950251801835E-14</v>
      </c>
      <c r="FB137" s="1319">
        <f t="shared" ca="1" si="1290"/>
        <v>-8.3578421705593688E-6</v>
      </c>
      <c r="FK137" s="1334"/>
      <c r="FN137" s="1319">
        <f t="shared" ca="1" si="1291"/>
        <v>-1.7063698582228014E-10</v>
      </c>
      <c r="FO137" s="1319">
        <f t="shared" ca="1" si="1291"/>
        <v>-1.7691292939465989E-9</v>
      </c>
      <c r="FP137" s="1319">
        <f t="shared" ca="1" si="1291"/>
        <v>-1.7488950251801835E-14</v>
      </c>
      <c r="FQ137" s="1319">
        <f t="shared" ca="1" si="1291"/>
        <v>-8.3578421705593688E-6</v>
      </c>
      <c r="FR137" s="1319">
        <f t="shared" ca="1" si="1291"/>
        <v>0</v>
      </c>
      <c r="FS137" s="1319">
        <f t="shared" ca="1" si="1291"/>
        <v>-8.3578422261210473E-6</v>
      </c>
      <c r="FT137" s="1319">
        <f t="shared" ca="1" si="1291"/>
        <v>0</v>
      </c>
      <c r="FU137" s="1319">
        <f t="shared" ca="1" si="1291"/>
        <v>-1.9397837700296918E-9</v>
      </c>
      <c r="FV137" s="1319">
        <f t="shared" ca="1" si="1291"/>
        <v>0</v>
      </c>
      <c r="FW137" s="1319">
        <f t="shared" ca="1" si="1291"/>
        <v>0</v>
      </c>
      <c r="FX137" s="1319">
        <f t="shared" ca="1" si="1291"/>
        <v>-1.9397837700296918E-9</v>
      </c>
      <c r="GG137" s="1334"/>
      <c r="GJ137" s="1319">
        <f t="shared" ca="1" si="1292"/>
        <v>0</v>
      </c>
      <c r="GK137" s="1319">
        <f t="shared" ca="1" si="1292"/>
        <v>0</v>
      </c>
      <c r="GL137" s="1319">
        <f t="shared" ca="1" si="1292"/>
        <v>0</v>
      </c>
      <c r="GM137" s="1319">
        <f t="shared" ca="1" si="1292"/>
        <v>0</v>
      </c>
      <c r="GN137" s="1319">
        <f t="shared" ca="1" si="1292"/>
        <v>0</v>
      </c>
      <c r="GO137" s="1319">
        <f t="shared" ca="1" si="1292"/>
        <v>0</v>
      </c>
      <c r="GP137" s="1319">
        <f t="shared" ca="1" si="1292"/>
        <v>0</v>
      </c>
      <c r="GQ137" s="1319">
        <f t="shared" ca="1" si="1292"/>
        <v>0</v>
      </c>
      <c r="GZ137" s="1334"/>
      <c r="HC137" s="1319">
        <f t="shared" ca="1" si="1293"/>
        <v>-1.2715740174080405</v>
      </c>
      <c r="HD137" s="1319">
        <f t="shared" ca="1" si="1293"/>
        <v>-1.2242313112099514</v>
      </c>
      <c r="HE137" s="1319">
        <f t="shared" ca="1" si="1293"/>
        <v>0</v>
      </c>
      <c r="HF137" s="1319">
        <f t="shared" ca="1" si="1293"/>
        <v>-3.6124001807428628E-9</v>
      </c>
      <c r="HG137" s="1319">
        <f t="shared" ca="1" si="1293"/>
        <v>-4.7342702030963128E-2</v>
      </c>
      <c r="HH137" s="1319">
        <f t="shared" ca="1" si="1293"/>
        <v>-1.2242313112099514</v>
      </c>
      <c r="HQ137" s="1334"/>
      <c r="HT137" s="1319">
        <f t="shared" ca="1" si="1294"/>
        <v>-1.2372696730768057E-10</v>
      </c>
      <c r="HU137" s="1319">
        <f t="shared" ca="1" si="1294"/>
        <v>-1.2242313112099514</v>
      </c>
      <c r="HV137" s="1319">
        <f t="shared" ca="1" si="1294"/>
        <v>-1.2242313112099514</v>
      </c>
      <c r="HW137" s="1319">
        <f t="shared" ca="1" si="1294"/>
        <v>-1.2242313112099514</v>
      </c>
      <c r="HX137" s="1319">
        <f t="shared" ca="1" si="1294"/>
        <v>-0.10239432055224922</v>
      </c>
      <c r="HY137" s="1319">
        <f t="shared" ca="1" si="1294"/>
        <v>-7.7864970954954959E-3</v>
      </c>
      <c r="HZ137" s="1319">
        <f t="shared" ca="1" si="1294"/>
        <v>-3.7088467538909413E-10</v>
      </c>
      <c r="IA137" s="1319">
        <f t="shared" ca="1" si="1294"/>
        <v>-1.8335490626441042E-12</v>
      </c>
      <c r="IB137" s="1319">
        <f t="shared" ca="1" si="1294"/>
        <v>0</v>
      </c>
      <c r="IC137" s="1319">
        <f t="shared" ca="1" si="1294"/>
        <v>0</v>
      </c>
      <c r="ID137" s="1319">
        <f t="shared" ca="1" si="1294"/>
        <v>0</v>
      </c>
      <c r="IE137" s="1319">
        <f t="shared" ca="1" si="1294"/>
        <v>0</v>
      </c>
      <c r="IN137" s="1334"/>
      <c r="IQ137" s="1319">
        <f t="shared" ca="1" si="1295"/>
        <v>-0.10239432055224922</v>
      </c>
      <c r="IR137" s="1319">
        <f t="shared" ca="1" si="1295"/>
        <v>-7.7864970954954959E-3</v>
      </c>
      <c r="IS137" s="1319">
        <f t="shared" ca="1" si="1295"/>
        <v>-1.5491077580199756E-4</v>
      </c>
      <c r="IT137" s="1319">
        <f t="shared" ca="1" si="1295"/>
        <v>-7.9414078893550386E-3</v>
      </c>
      <c r="IU137" s="1319">
        <f t="shared" ca="1" si="1295"/>
        <v>-7.4116883737757574E-3</v>
      </c>
      <c r="IV137" s="1319">
        <f t="shared" ca="1" si="1295"/>
        <v>-4.5409547047001245E-3</v>
      </c>
      <c r="IW137" s="1319">
        <f t="shared" ca="1" si="1295"/>
        <v>-3.7178586081356062E-3</v>
      </c>
      <c r="IX137" s="1319">
        <f t="shared" ca="1" si="1295"/>
        <v>-7.366645993302731E-12</v>
      </c>
      <c r="IY137" s="1319">
        <f t="shared" ca="1" si="1295"/>
        <v>-5.2971949613269515E-4</v>
      </c>
      <c r="IZ137" s="1319">
        <f t="shared" ca="1" si="1295"/>
        <v>-6.6818529992689047E-4</v>
      </c>
      <c r="JA137" s="1319">
        <f t="shared" ca="1" si="1295"/>
        <v>-3.8727694019951497E-3</v>
      </c>
      <c r="JB137" s="1319">
        <f t="shared" ca="1" si="1296"/>
        <v>0</v>
      </c>
      <c r="JC137" s="1319">
        <f t="shared" ca="1" si="1296"/>
        <v>-6.6818529992689047E-4</v>
      </c>
      <c r="JD137" s="1319">
        <f t="shared" ca="1" si="1296"/>
        <v>0</v>
      </c>
      <c r="JE137" s="1319">
        <f t="shared" ca="1" si="1296"/>
        <v>-6.6818529992689047E-4</v>
      </c>
      <c r="JF137" s="1319">
        <f t="shared" ca="1" si="1296"/>
        <v>0</v>
      </c>
      <c r="JG137" s="1319">
        <f t="shared" ca="1" si="1296"/>
        <v>0</v>
      </c>
      <c r="JH137" s="1319">
        <f t="shared" ca="1" si="1296"/>
        <v>-1.8335490626441042E-12</v>
      </c>
      <c r="JQ137" s="1334"/>
      <c r="JT137" s="1319">
        <f t="shared" ca="1" si="1297"/>
        <v>0</v>
      </c>
      <c r="JU137" s="1319">
        <f t="shared" ca="1" si="1297"/>
        <v>0</v>
      </c>
      <c r="JV137" s="1319">
        <f t="shared" ca="1" si="1297"/>
        <v>0</v>
      </c>
      <c r="JW137" s="1319">
        <f t="shared" ca="1" si="1297"/>
        <v>0</v>
      </c>
      <c r="JX137" s="1319">
        <f t="shared" ca="1" si="1297"/>
        <v>0</v>
      </c>
      <c r="JY137" s="1319">
        <f t="shared" ca="1" si="1297"/>
        <v>0</v>
      </c>
      <c r="JZ137" s="1319">
        <f t="shared" ca="1" si="1297"/>
        <v>0</v>
      </c>
      <c r="KA137" s="1319">
        <f t="shared" ca="1" si="1297"/>
        <v>0</v>
      </c>
      <c r="KB137" s="1319">
        <f t="shared" ca="1" si="1297"/>
        <v>0</v>
      </c>
      <c r="KC137" s="1319">
        <f t="shared" ca="1" si="1297"/>
        <v>0</v>
      </c>
      <c r="KI137" s="1334"/>
      <c r="KL137" s="1319">
        <f t="shared" ca="1" si="1298"/>
        <v>0</v>
      </c>
      <c r="KM137" s="1319">
        <f t="shared" ca="1" si="1298"/>
        <v>0</v>
      </c>
      <c r="KN137" s="1319">
        <f t="shared" ca="1" si="1298"/>
        <v>0</v>
      </c>
      <c r="KO137" s="1319">
        <f t="shared" ca="1" si="1298"/>
        <v>0</v>
      </c>
      <c r="KP137" s="1319">
        <f t="shared" ca="1" si="1298"/>
        <v>0</v>
      </c>
      <c r="KQ137" s="1319">
        <f t="shared" ca="1" si="1298"/>
        <v>0</v>
      </c>
      <c r="KR137" s="1319">
        <f t="shared" ca="1" si="1298"/>
        <v>0</v>
      </c>
      <c r="KX137" s="1334"/>
      <c r="LA137" s="1319">
        <f t="shared" ca="1" si="1299"/>
        <v>-3.6124001807428628E-9</v>
      </c>
      <c r="LB137" s="1319">
        <f t="shared" ca="1" si="1299"/>
        <v>-3.7088467538909413E-10</v>
      </c>
      <c r="LC137" s="1319">
        <f t="shared" ca="1" si="1299"/>
        <v>-3.9832848589100411E-9</v>
      </c>
      <c r="LD137" s="1319">
        <f t="shared" ca="1" si="1299"/>
        <v>-3.9832848589100411E-9</v>
      </c>
      <c r="LE137" s="1319">
        <f t="shared" ca="1" si="1299"/>
        <v>0</v>
      </c>
      <c r="LF137" s="1319">
        <f t="shared" ca="1" si="1299"/>
        <v>0</v>
      </c>
      <c r="LG137" s="1319">
        <f t="shared" ca="1" si="1299"/>
        <v>0</v>
      </c>
      <c r="LH137" s="1319">
        <f t="shared" ca="1" si="1299"/>
        <v>0</v>
      </c>
      <c r="LI137" s="1319">
        <f t="shared" ca="1" si="1299"/>
        <v>0</v>
      </c>
      <c r="LJ137" s="1319">
        <f t="shared" ca="1" si="1299"/>
        <v>0</v>
      </c>
      <c r="LK137" s="1319">
        <f t="shared" ca="1" si="1299"/>
        <v>0</v>
      </c>
      <c r="LT137" s="1334"/>
      <c r="LW137" s="1319">
        <f t="shared" ca="1" si="1300"/>
        <v>0</v>
      </c>
      <c r="LX137" s="1319">
        <f t="shared" ca="1" si="1300"/>
        <v>0</v>
      </c>
      <c r="LY137" s="1319">
        <f t="shared" ca="1" si="1300"/>
        <v>-4.7342702030963128E-2</v>
      </c>
      <c r="LZ137" s="1319">
        <f t="shared" ca="1" si="1300"/>
        <v>-5.2971949613269515E-4</v>
      </c>
      <c r="MA137" s="1319">
        <f t="shared" ca="1" si="1300"/>
        <v>-4.7872421518761581E-2</v>
      </c>
      <c r="MB137" s="1319">
        <f t="shared" ca="1" si="1300"/>
        <v>-3.9832848589100411E-9</v>
      </c>
      <c r="MC137" s="1319">
        <f t="shared" ca="1" si="1300"/>
        <v>0</v>
      </c>
      <c r="MD137" s="1319">
        <f t="shared" ca="1" si="1300"/>
        <v>0</v>
      </c>
      <c r="ME137" s="1319">
        <f t="shared" ca="1" si="1300"/>
        <v>0</v>
      </c>
      <c r="MF137" s="1319">
        <f t="shared" ca="1" si="1300"/>
        <v>0</v>
      </c>
      <c r="MG137" s="1319">
        <f t="shared" ca="1" si="1301"/>
        <v>0</v>
      </c>
      <c r="MH137" s="1319">
        <f t="shared" ca="1" si="1301"/>
        <v>0</v>
      </c>
      <c r="MI137" s="1319">
        <f t="shared" ca="1" si="1301"/>
        <v>0</v>
      </c>
      <c r="MJ137" s="1319">
        <f t="shared" ca="1" si="1301"/>
        <v>0</v>
      </c>
      <c r="MK137" s="1319">
        <f t="shared" ca="1" si="1301"/>
        <v>0</v>
      </c>
      <c r="ML137" s="1319">
        <f t="shared" ca="1" si="1301"/>
        <v>0</v>
      </c>
      <c r="MM137" s="1319">
        <f t="shared" ca="1" si="1301"/>
        <v>0</v>
      </c>
      <c r="MN137" s="1319">
        <f t="shared" ca="1" si="1301"/>
        <v>0</v>
      </c>
      <c r="MO137" s="1319">
        <f t="shared" ca="1" si="1301"/>
        <v>0</v>
      </c>
      <c r="MX137" s="1334"/>
      <c r="NA137" s="1319">
        <f t="shared" ca="1" si="1302"/>
        <v>-9.9557097603934001E-11</v>
      </c>
      <c r="NB137" s="1319">
        <f t="shared" ca="1" si="1302"/>
        <v>-1.5512475882801773E-14</v>
      </c>
      <c r="NC137" s="1319">
        <f t="shared" ca="1" si="1302"/>
        <v>-9.9541585061071575E-11</v>
      </c>
      <c r="ND137" s="1319">
        <f t="shared" ca="1" si="1302"/>
        <v>0</v>
      </c>
      <c r="NE137" s="1319">
        <f t="shared" ca="1" si="1302"/>
        <v>0</v>
      </c>
      <c r="NF137" s="1319">
        <f t="shared" ca="1" si="1302"/>
        <v>0</v>
      </c>
      <c r="NG137" s="1319">
        <f t="shared" ca="1" si="1302"/>
        <v>0</v>
      </c>
      <c r="NH137" s="1319">
        <f t="shared" ca="1" si="1302"/>
        <v>0</v>
      </c>
      <c r="NI137" s="1319">
        <f t="shared" ca="1" si="1302"/>
        <v>0</v>
      </c>
      <c r="NJ137" s="1319">
        <f t="shared" ca="1" si="1302"/>
        <v>0</v>
      </c>
      <c r="NK137" s="1319">
        <f t="shared" ca="1" si="1302"/>
        <v>0</v>
      </c>
      <c r="NL137" s="1319">
        <f t="shared" ca="1" si="1302"/>
        <v>0</v>
      </c>
      <c r="NM137" s="1319">
        <f t="shared" ca="1" si="1302"/>
        <v>0</v>
      </c>
      <c r="NN137" s="1319">
        <f t="shared" ca="1" si="1302"/>
        <v>0</v>
      </c>
      <c r="NO137" s="1319">
        <f t="shared" ca="1" si="1302"/>
        <v>0</v>
      </c>
      <c r="NP137" s="1319">
        <f t="shared" ca="1" si="1302"/>
        <v>0</v>
      </c>
      <c r="NY137" s="1334"/>
      <c r="OE137" s="1334"/>
      <c r="OH137" s="1319">
        <f t="shared" ca="1" si="1303"/>
        <v>0</v>
      </c>
      <c r="OI137" s="1319">
        <f t="shared" ca="1" si="1303"/>
        <v>0</v>
      </c>
      <c r="OJ137" s="1319">
        <f t="shared" ca="1" si="1303"/>
        <v>0</v>
      </c>
      <c r="OK137" s="1319">
        <f t="shared" ca="1" si="1303"/>
        <v>0</v>
      </c>
      <c r="OL137" s="1319">
        <f t="shared" ca="1" si="1303"/>
        <v>0</v>
      </c>
      <c r="OM137" s="1319">
        <f t="shared" ca="1" si="1303"/>
        <v>0</v>
      </c>
      <c r="ON137" s="1319">
        <f t="shared" ca="1" si="1303"/>
        <v>0</v>
      </c>
      <c r="OO137" s="1319">
        <f t="shared" ca="1" si="1303"/>
        <v>0</v>
      </c>
      <c r="OX137" s="1334"/>
      <c r="PA137" s="1319">
        <f t="shared" ca="1" si="1304"/>
        <v>0</v>
      </c>
      <c r="PB137" s="1319">
        <f t="shared" ca="1" si="1304"/>
        <v>0</v>
      </c>
      <c r="PC137" s="1319">
        <f t="shared" ca="1" si="1304"/>
        <v>0</v>
      </c>
      <c r="PD137" s="1319">
        <f t="shared" ca="1" si="1304"/>
        <v>0</v>
      </c>
      <c r="PE137" s="1319">
        <f t="shared" ca="1" si="1304"/>
        <v>0</v>
      </c>
      <c r="PF137" s="1319">
        <f t="shared" ca="1" si="1304"/>
        <v>0</v>
      </c>
      <c r="PG137" s="1319">
        <f t="shared" ca="1" si="1304"/>
        <v>0</v>
      </c>
      <c r="PH137" s="1319">
        <f t="shared" ca="1" si="1304"/>
        <v>0</v>
      </c>
      <c r="PI137" s="1319">
        <f t="shared" ca="1" si="1304"/>
        <v>0</v>
      </c>
      <c r="PJ137" s="1319">
        <f t="shared" ca="1" si="1304"/>
        <v>0</v>
      </c>
      <c r="PK137" s="1319">
        <f t="shared" ca="1" si="1304"/>
        <v>0</v>
      </c>
      <c r="PT137" s="1334"/>
      <c r="PW137" s="1319">
        <f t="shared" ca="1" si="1305"/>
        <v>0</v>
      </c>
      <c r="PX137" s="1319">
        <f t="shared" ca="1" si="1305"/>
        <v>0</v>
      </c>
      <c r="PY137" s="1319">
        <f t="shared" ca="1" si="1305"/>
        <v>0</v>
      </c>
      <c r="PZ137" s="1319">
        <f t="shared" ca="1" si="1305"/>
        <v>0</v>
      </c>
    </row>
    <row r="138" spans="1:442" x14ac:dyDescent="0.25">
      <c r="A138" s="189">
        <v>27</v>
      </c>
      <c r="B138" s="189" t="s">
        <v>1256</v>
      </c>
      <c r="C138" s="1317" t="s">
        <v>1294</v>
      </c>
      <c r="D138" s="1317" t="s">
        <v>206</v>
      </c>
      <c r="E138" s="1318">
        <v>17.030560000000001</v>
      </c>
      <c r="F138" s="1316">
        <v>-7.5671873515000002E-2</v>
      </c>
      <c r="G138" s="1334"/>
      <c r="J138" s="1319">
        <f t="shared" ca="1" si="1283"/>
        <v>0</v>
      </c>
      <c r="K138" s="1319">
        <f t="shared" ca="1" si="1283"/>
        <v>0</v>
      </c>
      <c r="Q138" s="1334"/>
      <c r="T138" s="1319">
        <f t="shared" ca="1" si="1284"/>
        <v>0</v>
      </c>
      <c r="U138" s="1319">
        <f t="shared" ca="1" si="1284"/>
        <v>0</v>
      </c>
      <c r="V138" s="1319">
        <f t="shared" ca="1" si="1284"/>
        <v>-8.8605148879957484E-11</v>
      </c>
      <c r="W138" s="1319">
        <f t="shared" ca="1" si="1284"/>
        <v>0</v>
      </c>
      <c r="X138" s="1319">
        <f t="shared" ca="1" si="1284"/>
        <v>0</v>
      </c>
      <c r="Y138" s="1319">
        <f t="shared" ca="1" si="1284"/>
        <v>-8.8605148879957484E-11</v>
      </c>
      <c r="Z138" s="1319">
        <f t="shared" ca="1" si="1284"/>
        <v>-3.2900615803647509E-11</v>
      </c>
      <c r="AA138" s="1319">
        <f t="shared" ca="1" si="1284"/>
        <v>-5.5704532943011015E-11</v>
      </c>
      <c r="AB138" s="1319">
        <f t="shared" ca="1" si="1284"/>
        <v>0</v>
      </c>
      <c r="AC138" s="1319">
        <f t="shared" ca="1" si="1284"/>
        <v>-8.8605148879957484E-11</v>
      </c>
      <c r="AD138" s="1319">
        <f t="shared" ca="1" si="1284"/>
        <v>0</v>
      </c>
      <c r="AJ138" s="1334"/>
      <c r="AM138" s="1319">
        <f t="shared" ca="1" si="1285"/>
        <v>0</v>
      </c>
      <c r="AN138" s="1319">
        <f t="shared" ca="1" si="1285"/>
        <v>0</v>
      </c>
      <c r="AO138" s="1319">
        <f t="shared" ca="1" si="1285"/>
        <v>-5.5704532943011015E-11</v>
      </c>
      <c r="AP138" s="1319">
        <f t="shared" ca="1" si="1285"/>
        <v>-5.5704532943011015E-11</v>
      </c>
      <c r="AQ138" s="1319">
        <f t="shared" ca="1" si="1285"/>
        <v>-2.3572137398909199E-11</v>
      </c>
      <c r="AR138" s="1319">
        <f t="shared" ca="1" si="1285"/>
        <v>-3.2331791439127271E-11</v>
      </c>
      <c r="AS138" s="1319">
        <f t="shared" ca="1" si="1285"/>
        <v>-5.6882436007694099E-13</v>
      </c>
      <c r="AT138" s="1319">
        <f t="shared" ca="1" si="1285"/>
        <v>-5.1515739706576997E-11</v>
      </c>
      <c r="AU138" s="1319">
        <f t="shared" ca="1" si="1285"/>
        <v>-4.388189211438855E-12</v>
      </c>
      <c r="AV138" s="1319">
        <f t="shared" ca="1" si="1285"/>
        <v>-3.2132395588534808E-11</v>
      </c>
      <c r="AW138" s="1319">
        <f t="shared" ca="1" si="1285"/>
        <v>-5.1515739706576997E-11</v>
      </c>
      <c r="AX138" s="1319">
        <f t="shared" ca="1" si="1285"/>
        <v>-5.647275315812371E-11</v>
      </c>
      <c r="AY138" s="1319">
        <f t="shared" ca="1" si="1285"/>
        <v>-4.6690964615321535</v>
      </c>
      <c r="AZ138" s="1319">
        <f t="shared" ca="1" si="1285"/>
        <v>0</v>
      </c>
      <c r="BA138" s="1319">
        <f t="shared" ca="1" si="1285"/>
        <v>-4.6690964615321535</v>
      </c>
      <c r="BB138" s="1319">
        <f t="shared" ca="1" si="1285"/>
        <v>0</v>
      </c>
      <c r="BK138" s="1334"/>
      <c r="BN138" s="1319">
        <f t="shared" ca="1" si="1286"/>
        <v>-8.9427999014325904E-5</v>
      </c>
      <c r="BO138" s="1319">
        <f t="shared" ca="1" si="1286"/>
        <v>-8.7625017506712621E-5</v>
      </c>
      <c r="BP138" s="1319">
        <f t="shared" ca="1" si="1286"/>
        <v>-1.8029815076132865E-6</v>
      </c>
      <c r="BQ138" s="1319">
        <f t="shared" ca="1" si="1286"/>
        <v>0</v>
      </c>
      <c r="BR138" s="1319">
        <f t="shared" ca="1" si="1286"/>
        <v>0</v>
      </c>
      <c r="CA138" s="1334"/>
      <c r="CD138" s="1319">
        <f t="shared" ca="1" si="1287"/>
        <v>0</v>
      </c>
      <c r="CE138" s="1319">
        <f t="shared" ca="1" si="1287"/>
        <v>0</v>
      </c>
      <c r="CF138" s="1319">
        <f t="shared" ca="1" si="1287"/>
        <v>-8.9427999014325904E-5</v>
      </c>
      <c r="CG138" s="1319">
        <f t="shared" ca="1" si="1287"/>
        <v>-8.7625017506712621E-5</v>
      </c>
      <c r="CH138" s="1319">
        <f t="shared" ca="1" si="1287"/>
        <v>-8.9426688241063784E-4</v>
      </c>
      <c r="CI138" s="1319">
        <f t="shared" ca="1" si="1287"/>
        <v>0</v>
      </c>
      <c r="CJ138" s="1319">
        <f t="shared" ca="1" si="1287"/>
        <v>0</v>
      </c>
      <c r="CK138" s="1319">
        <f t="shared" ca="1" si="1287"/>
        <v>-8.7498097775556122E-4</v>
      </c>
      <c r="CL138" s="1319">
        <f t="shared" ca="1" si="1287"/>
        <v>-1.7496030480187574E-5</v>
      </c>
      <c r="CM138" s="1319">
        <f t="shared" ca="1" si="1287"/>
        <v>-8.9426688241063784E-4</v>
      </c>
      <c r="CN138" s="1319">
        <f t="shared" ca="1" si="1287"/>
        <v>-9.0156591665580259E-4</v>
      </c>
      <c r="CO138" s="1319">
        <f t="shared" ca="1" si="1287"/>
        <v>-2.6584939611169132E-5</v>
      </c>
      <c r="CX138" s="1334"/>
      <c r="DA138" s="1319">
        <f t="shared" ca="1" si="1288"/>
        <v>-4.9682221625255516E-6</v>
      </c>
      <c r="DB138" s="1319">
        <f t="shared" ca="1" si="1288"/>
        <v>0</v>
      </c>
      <c r="DC138" s="1319">
        <f t="shared" ca="1" si="1288"/>
        <v>0</v>
      </c>
      <c r="DD138" s="1319">
        <f t="shared" ca="1" si="1288"/>
        <v>-2.5415921900749518E-2</v>
      </c>
      <c r="DE138" s="1319">
        <f t="shared" ca="1" si="1288"/>
        <v>-1.3264463513035173E-3</v>
      </c>
      <c r="DF138" s="1319">
        <f t="shared" ca="1" si="1288"/>
        <v>-1.2429655394144905E-3</v>
      </c>
      <c r="DG138" s="1319">
        <f t="shared" ca="1" si="1288"/>
        <v>0</v>
      </c>
      <c r="DH138" s="1319">
        <f t="shared" ca="1" si="1288"/>
        <v>0</v>
      </c>
      <c r="DI138" s="1319">
        <f t="shared" ca="1" si="1288"/>
        <v>0</v>
      </c>
      <c r="DJ138" s="1319">
        <f t="shared" ca="1" si="1288"/>
        <v>0</v>
      </c>
      <c r="DS138" s="1334"/>
      <c r="DV138" s="1319">
        <f t="shared" ca="1" si="1289"/>
        <v>0</v>
      </c>
      <c r="DW138" s="1319">
        <f t="shared" ca="1" si="1289"/>
        <v>0</v>
      </c>
      <c r="DX138" s="1319">
        <f t="shared" ca="1" si="1289"/>
        <v>-9.9364443250511022E-5</v>
      </c>
      <c r="DY138" s="1319">
        <f t="shared" ca="1" si="1289"/>
        <v>-4.9682221625255516E-6</v>
      </c>
      <c r="DZ138" s="1319">
        <f t="shared" ca="1" si="1289"/>
        <v>0</v>
      </c>
      <c r="EA138" s="1319">
        <f t="shared" ca="1" si="1289"/>
        <v>-1.3264463513035173E-3</v>
      </c>
      <c r="EB138" s="1319">
        <f t="shared" ca="1" si="1289"/>
        <v>-9.439622113241847E-5</v>
      </c>
      <c r="EC138" s="1319">
        <f t="shared" ca="1" si="1289"/>
        <v>0</v>
      </c>
      <c r="ED138" s="1319">
        <f t="shared" ca="1" si="1289"/>
        <v>-8.9426688241063784E-4</v>
      </c>
      <c r="EE138" s="1319">
        <f t="shared" ca="1" si="1289"/>
        <v>-9.1217272943926848E-4</v>
      </c>
      <c r="EF138" s="1319">
        <f t="shared" ca="1" si="1289"/>
        <v>0</v>
      </c>
      <c r="EG138" s="1319">
        <f t="shared" ca="1" si="1289"/>
        <v>-0.48544410893526435</v>
      </c>
      <c r="EH138" s="1319">
        <f t="shared" ca="1" si="1289"/>
        <v>0</v>
      </c>
      <c r="EI138" s="1319">
        <f t="shared" ca="1" si="1289"/>
        <v>0</v>
      </c>
      <c r="EJ138" s="1319">
        <f t="shared" ca="1" si="1289"/>
        <v>0</v>
      </c>
      <c r="EK138" s="1319">
        <f t="shared" ca="1" si="1289"/>
        <v>0</v>
      </c>
      <c r="ET138" s="1334"/>
      <c r="EW138" s="1319">
        <f t="shared" ca="1" si="1290"/>
        <v>-9.0156591665580259E-4</v>
      </c>
      <c r="EX138" s="1319">
        <f t="shared" ca="1" si="1290"/>
        <v>-9.0156591665580259E-4</v>
      </c>
      <c r="EY138" s="1319">
        <f t="shared" ca="1" si="1290"/>
        <v>-3.3016331533722305E-6</v>
      </c>
      <c r="EZ138" s="1319">
        <f t="shared" ca="1" si="1290"/>
        <v>-3.3016331533722305E-6</v>
      </c>
      <c r="FA138" s="1319">
        <f t="shared" ca="1" si="1290"/>
        <v>-7.7132871168216819E-6</v>
      </c>
      <c r="FB138" s="1319">
        <f t="shared" ca="1" si="1290"/>
        <v>-8.905510934805826E-4</v>
      </c>
      <c r="FK138" s="1334"/>
      <c r="FN138" s="1319">
        <f t="shared" ca="1" si="1291"/>
        <v>-1.8029815076132865E-6</v>
      </c>
      <c r="FO138" s="1319">
        <f t="shared" ca="1" si="1291"/>
        <v>-1.7496030480187574E-5</v>
      </c>
      <c r="FP138" s="1319">
        <f t="shared" ca="1" si="1291"/>
        <v>-7.7132871168216819E-6</v>
      </c>
      <c r="FQ138" s="1319">
        <f t="shared" ca="1" si="1291"/>
        <v>-8.905510934805826E-4</v>
      </c>
      <c r="FR138" s="1319">
        <f t="shared" ca="1" si="1291"/>
        <v>-8.9055099128470118E-4</v>
      </c>
      <c r="FS138" s="1319">
        <f t="shared" ca="1" si="1291"/>
        <v>-8.8605148879957484E-11</v>
      </c>
      <c r="FT138" s="1319">
        <f t="shared" ca="1" si="1291"/>
        <v>0</v>
      </c>
      <c r="FU138" s="1319">
        <f t="shared" ca="1" si="1291"/>
        <v>-2.7012299104622541E-5</v>
      </c>
      <c r="FV138" s="1319">
        <f t="shared" ca="1" si="1291"/>
        <v>0</v>
      </c>
      <c r="FW138" s="1319">
        <f t="shared" ca="1" si="1291"/>
        <v>-4.2735949611939237E-7</v>
      </c>
      <c r="FX138" s="1319">
        <f t="shared" ca="1" si="1291"/>
        <v>-2.6584939611169132E-5</v>
      </c>
      <c r="GG138" s="1334"/>
      <c r="GJ138" s="1319">
        <f t="shared" ca="1" si="1292"/>
        <v>-8.9055099128470118E-4</v>
      </c>
      <c r="GK138" s="1319">
        <f t="shared" ca="1" si="1292"/>
        <v>-8.9055099128470118E-4</v>
      </c>
      <c r="GL138" s="1319">
        <f t="shared" ca="1" si="1292"/>
        <v>0</v>
      </c>
      <c r="GM138" s="1319">
        <f t="shared" ca="1" si="1292"/>
        <v>-8.9055099128470118E-4</v>
      </c>
      <c r="GN138" s="1319">
        <f t="shared" ca="1" si="1292"/>
        <v>-8.9055099128470118E-4</v>
      </c>
      <c r="GO138" s="1319">
        <f t="shared" ca="1" si="1292"/>
        <v>0</v>
      </c>
      <c r="GP138" s="1319">
        <f t="shared" ca="1" si="1292"/>
        <v>-8.9055099128470118E-4</v>
      </c>
      <c r="GQ138" s="1319">
        <f t="shared" ca="1" si="1292"/>
        <v>0</v>
      </c>
      <c r="GZ138" s="1334"/>
      <c r="HC138" s="1319">
        <f t="shared" ca="1" si="1293"/>
        <v>-3.3016331533722305E-6</v>
      </c>
      <c r="HD138" s="1319">
        <f t="shared" ca="1" si="1293"/>
        <v>-3.1787081436959733E-6</v>
      </c>
      <c r="HE138" s="1319">
        <f t="shared" ca="1" si="1293"/>
        <v>0</v>
      </c>
      <c r="HF138" s="1319">
        <f t="shared" ca="1" si="1293"/>
        <v>-2.4904916144718309E-8</v>
      </c>
      <c r="HG138" s="1319">
        <f t="shared" ca="1" si="1293"/>
        <v>-9.8020092420715034E-8</v>
      </c>
      <c r="HH138" s="1319">
        <f t="shared" ca="1" si="1293"/>
        <v>-3.1787081436959733E-6</v>
      </c>
      <c r="HQ138" s="1334"/>
      <c r="HT138" s="1319">
        <f t="shared" ca="1" si="1294"/>
        <v>-5.647275315812371E-11</v>
      </c>
      <c r="HU138" s="1319">
        <f t="shared" ca="1" si="1294"/>
        <v>-3.1787081436959733E-6</v>
      </c>
      <c r="HV138" s="1319">
        <f t="shared" ca="1" si="1294"/>
        <v>-3.1787646180287239E-6</v>
      </c>
      <c r="HW138" s="1319">
        <f t="shared" ca="1" si="1294"/>
        <v>-3.1787646180287239E-6</v>
      </c>
      <c r="HX138" s="1319">
        <f t="shared" ca="1" si="1294"/>
        <v>-2.814348994261501</v>
      </c>
      <c r="HY138" s="1319">
        <f t="shared" ca="1" si="1294"/>
        <v>-0.21401499764983478</v>
      </c>
      <c r="HZ138" s="1319">
        <f t="shared" ca="1" si="1294"/>
        <v>-0.12067023172931726</v>
      </c>
      <c r="IA138" s="1319">
        <f t="shared" ca="1" si="1294"/>
        <v>-2.6625223361452401E-5</v>
      </c>
      <c r="IB138" s="1319">
        <f t="shared" ca="1" si="1294"/>
        <v>0</v>
      </c>
      <c r="IC138" s="1319">
        <f t="shared" ca="1" si="1294"/>
        <v>0</v>
      </c>
      <c r="ID138" s="1319">
        <f t="shared" ca="1" si="1294"/>
        <v>0</v>
      </c>
      <c r="IE138" s="1319">
        <f t="shared" ca="1" si="1294"/>
        <v>0</v>
      </c>
      <c r="IN138" s="1334"/>
      <c r="IQ138" s="1319">
        <f t="shared" ca="1" si="1295"/>
        <v>-2.814348994261501</v>
      </c>
      <c r="IR138" s="1319">
        <f t="shared" ca="1" si="1295"/>
        <v>-0.21401499764983478</v>
      </c>
      <c r="IS138" s="1319">
        <f t="shared" ca="1" si="1295"/>
        <v>-2.8845726986970388E-3</v>
      </c>
      <c r="IT138" s="1319">
        <f t="shared" ca="1" si="1295"/>
        <v>-0.21689957060179987</v>
      </c>
      <c r="IU138" s="1319">
        <f t="shared" ca="1" si="1295"/>
        <v>-0.20243161568608742</v>
      </c>
      <c r="IV138" s="1319">
        <f t="shared" ca="1" si="1295"/>
        <v>-8.4556496411430607E-2</v>
      </c>
      <c r="IW138" s="1319">
        <f t="shared" ca="1" si="1295"/>
        <v>-6.9229744626543382E-2</v>
      </c>
      <c r="IX138" s="1319">
        <f t="shared" ca="1" si="1295"/>
        <v>-2.3946319665345264E-3</v>
      </c>
      <c r="IY138" s="1319">
        <f t="shared" ca="1" si="1295"/>
        <v>-1.4467954960145456E-2</v>
      </c>
      <c r="IZ138" s="1319">
        <f t="shared" ca="1" si="1295"/>
        <v>-1.2442187141891633E-2</v>
      </c>
      <c r="JA138" s="1319">
        <f t="shared" ca="1" si="1295"/>
        <v>-7.2114317578508461E-2</v>
      </c>
      <c r="JB138" s="1319">
        <f t="shared" ca="1" si="1296"/>
        <v>0</v>
      </c>
      <c r="JC138" s="1319">
        <f t="shared" ca="1" si="1296"/>
        <v>-1.2415561915597603E-2</v>
      </c>
      <c r="JD138" s="1319">
        <f t="shared" ca="1" si="1296"/>
        <v>0</v>
      </c>
      <c r="JE138" s="1319">
        <f t="shared" ca="1" si="1296"/>
        <v>-1.2442187141891633E-2</v>
      </c>
      <c r="JF138" s="1319">
        <f t="shared" ca="1" si="1296"/>
        <v>0</v>
      </c>
      <c r="JG138" s="1319">
        <f t="shared" ca="1" si="1296"/>
        <v>0</v>
      </c>
      <c r="JH138" s="1319">
        <f t="shared" ca="1" si="1296"/>
        <v>-2.6625223361452401E-5</v>
      </c>
      <c r="JQ138" s="1334"/>
      <c r="JT138" s="1319">
        <f t="shared" ca="1" si="1297"/>
        <v>0</v>
      </c>
      <c r="JU138" s="1319">
        <f t="shared" ca="1" si="1297"/>
        <v>0</v>
      </c>
      <c r="JV138" s="1319">
        <f t="shared" ca="1" si="1297"/>
        <v>0</v>
      </c>
      <c r="JW138" s="1319">
        <f t="shared" ca="1" si="1297"/>
        <v>0</v>
      </c>
      <c r="JX138" s="1319">
        <f t="shared" ca="1" si="1297"/>
        <v>-8.9055099128470118E-4</v>
      </c>
      <c r="JY138" s="1319">
        <f t="shared" ca="1" si="1297"/>
        <v>0</v>
      </c>
      <c r="JZ138" s="1319">
        <f t="shared" ca="1" si="1297"/>
        <v>-8.9055099128470118E-4</v>
      </c>
      <c r="KA138" s="1319">
        <f t="shared" ca="1" si="1297"/>
        <v>0</v>
      </c>
      <c r="KB138" s="1319">
        <f t="shared" ca="1" si="1297"/>
        <v>0</v>
      </c>
      <c r="KC138" s="1319">
        <f t="shared" ca="1" si="1297"/>
        <v>0</v>
      </c>
      <c r="KI138" s="1334"/>
      <c r="KL138" s="1319">
        <f t="shared" ca="1" si="1298"/>
        <v>-4.6690964615321535</v>
      </c>
      <c r="KM138" s="1319">
        <f t="shared" ca="1" si="1298"/>
        <v>0</v>
      </c>
      <c r="KN138" s="1319">
        <f t="shared" ca="1" si="1298"/>
        <v>0</v>
      </c>
      <c r="KO138" s="1319">
        <f t="shared" ca="1" si="1298"/>
        <v>-2.5415921900749518E-2</v>
      </c>
      <c r="KP138" s="1319">
        <f t="shared" ca="1" si="1298"/>
        <v>-0.48544410893526435</v>
      </c>
      <c r="KQ138" s="1319">
        <f t="shared" ca="1" si="1298"/>
        <v>-5.1799564773498163</v>
      </c>
      <c r="KR138" s="1319">
        <f t="shared" ca="1" si="1298"/>
        <v>0</v>
      </c>
      <c r="KX138" s="1334"/>
      <c r="LA138" s="1319">
        <f t="shared" ca="1" si="1299"/>
        <v>-2.4904916144718309E-8</v>
      </c>
      <c r="LB138" s="1319">
        <f t="shared" ca="1" si="1299"/>
        <v>-0.12067023172931726</v>
      </c>
      <c r="LC138" s="1319">
        <f t="shared" ca="1" si="1299"/>
        <v>-0.12067025661179276</v>
      </c>
      <c r="LD138" s="1319">
        <f t="shared" ca="1" si="1299"/>
        <v>-0.12067025661179276</v>
      </c>
      <c r="LE138" s="1319">
        <f t="shared" ca="1" si="1299"/>
        <v>0</v>
      </c>
      <c r="LF138" s="1319">
        <f t="shared" ca="1" si="1299"/>
        <v>-0.13513830972441743</v>
      </c>
      <c r="LG138" s="1319">
        <f t="shared" ca="1" si="1299"/>
        <v>-0.13513830972441743</v>
      </c>
      <c r="LH138" s="1319">
        <f t="shared" ca="1" si="1299"/>
        <v>0</v>
      </c>
      <c r="LI138" s="1319">
        <f t="shared" ca="1" si="1299"/>
        <v>-0.13513830972441743</v>
      </c>
      <c r="LJ138" s="1319">
        <f t="shared" ca="1" si="1299"/>
        <v>0</v>
      </c>
      <c r="LK138" s="1319">
        <f t="shared" ca="1" si="1299"/>
        <v>0</v>
      </c>
      <c r="LT138" s="1334"/>
      <c r="LW138" s="1319">
        <f t="shared" ca="1" si="1300"/>
        <v>0</v>
      </c>
      <c r="LX138" s="1319">
        <f t="shared" ca="1" si="1300"/>
        <v>0</v>
      </c>
      <c r="LY138" s="1319">
        <f t="shared" ca="1" si="1300"/>
        <v>-9.8020092420715034E-8</v>
      </c>
      <c r="LZ138" s="1319">
        <f t="shared" ca="1" si="1300"/>
        <v>-1.4467954960145456E-2</v>
      </c>
      <c r="MA138" s="1319">
        <f t="shared" ca="1" si="1300"/>
        <v>-1.446805297932567E-2</v>
      </c>
      <c r="MB138" s="1319">
        <f t="shared" ca="1" si="1300"/>
        <v>-0.12067025661179276</v>
      </c>
      <c r="MC138" s="1319">
        <f t="shared" ca="1" si="1300"/>
        <v>-0.13513830972441743</v>
      </c>
      <c r="MD138" s="1319">
        <f t="shared" ca="1" si="1300"/>
        <v>0</v>
      </c>
      <c r="ME138" s="1319">
        <f t="shared" ca="1" si="1300"/>
        <v>0</v>
      </c>
      <c r="MF138" s="1319">
        <f t="shared" ca="1" si="1300"/>
        <v>0</v>
      </c>
      <c r="MG138" s="1319">
        <f t="shared" ca="1" si="1301"/>
        <v>0</v>
      </c>
      <c r="MH138" s="1319">
        <f t="shared" ca="1" si="1301"/>
        <v>0</v>
      </c>
      <c r="MI138" s="1319">
        <f t="shared" ca="1" si="1301"/>
        <v>0</v>
      </c>
      <c r="MJ138" s="1319">
        <f t="shared" ca="1" si="1301"/>
        <v>0</v>
      </c>
      <c r="MK138" s="1319">
        <f t="shared" ca="1" si="1301"/>
        <v>0</v>
      </c>
      <c r="ML138" s="1319">
        <f t="shared" ca="1" si="1301"/>
        <v>0</v>
      </c>
      <c r="MM138" s="1319">
        <f t="shared" ca="1" si="1301"/>
        <v>0</v>
      </c>
      <c r="MN138" s="1319">
        <f t="shared" ca="1" si="1301"/>
        <v>0</v>
      </c>
      <c r="MO138" s="1319">
        <f t="shared" ca="1" si="1301"/>
        <v>0</v>
      </c>
      <c r="MX138" s="1334"/>
      <c r="NA138" s="1319">
        <f t="shared" ca="1" si="1302"/>
        <v>-3.2900615803647509E-11</v>
      </c>
      <c r="NB138" s="1319">
        <f t="shared" ca="1" si="1302"/>
        <v>-3.2331791439127271E-11</v>
      </c>
      <c r="NC138" s="1319">
        <f t="shared" ca="1" si="1302"/>
        <v>-5.6882436007694099E-13</v>
      </c>
      <c r="ND138" s="1319">
        <f t="shared" ca="1" si="1302"/>
        <v>0</v>
      </c>
      <c r="NE138" s="1319">
        <f t="shared" ca="1" si="1302"/>
        <v>0</v>
      </c>
      <c r="NF138" s="1319">
        <f t="shared" ca="1" si="1302"/>
        <v>0</v>
      </c>
      <c r="NG138" s="1319">
        <f t="shared" ca="1" si="1302"/>
        <v>0</v>
      </c>
      <c r="NH138" s="1319">
        <f t="shared" ca="1" si="1302"/>
        <v>0</v>
      </c>
      <c r="NI138" s="1319">
        <f t="shared" ca="1" si="1302"/>
        <v>0</v>
      </c>
      <c r="NJ138" s="1319">
        <f t="shared" ca="1" si="1302"/>
        <v>0</v>
      </c>
      <c r="NK138" s="1319">
        <f t="shared" ca="1" si="1302"/>
        <v>0</v>
      </c>
      <c r="NL138" s="1319">
        <f t="shared" ca="1" si="1302"/>
        <v>0</v>
      </c>
      <c r="NM138" s="1319">
        <f t="shared" ca="1" si="1302"/>
        <v>0</v>
      </c>
      <c r="NN138" s="1319">
        <f t="shared" ca="1" si="1302"/>
        <v>0</v>
      </c>
      <c r="NO138" s="1319">
        <f t="shared" ca="1" si="1302"/>
        <v>0</v>
      </c>
      <c r="NP138" s="1319">
        <f t="shared" ca="1" si="1302"/>
        <v>0</v>
      </c>
      <c r="NY138" s="1334"/>
      <c r="OE138" s="1334"/>
      <c r="OH138" s="1319">
        <f t="shared" ca="1" si="1303"/>
        <v>0</v>
      </c>
      <c r="OI138" s="1319">
        <f t="shared" ca="1" si="1303"/>
        <v>0</v>
      </c>
      <c r="OJ138" s="1319">
        <f t="shared" ca="1" si="1303"/>
        <v>0</v>
      </c>
      <c r="OK138" s="1319">
        <f t="shared" ca="1" si="1303"/>
        <v>0</v>
      </c>
      <c r="OL138" s="1319">
        <f t="shared" ca="1" si="1303"/>
        <v>0</v>
      </c>
      <c r="OM138" s="1319">
        <f t="shared" ca="1" si="1303"/>
        <v>0</v>
      </c>
      <c r="ON138" s="1319">
        <f t="shared" ca="1" si="1303"/>
        <v>0</v>
      </c>
      <c r="OO138" s="1319">
        <f t="shared" ca="1" si="1303"/>
        <v>0</v>
      </c>
      <c r="OX138" s="1334"/>
      <c r="PA138" s="1319">
        <f t="shared" ca="1" si="1304"/>
        <v>0</v>
      </c>
      <c r="PB138" s="1319">
        <f t="shared" ca="1" si="1304"/>
        <v>0</v>
      </c>
      <c r="PC138" s="1319">
        <f t="shared" ca="1" si="1304"/>
        <v>0</v>
      </c>
      <c r="PD138" s="1319">
        <f t="shared" ca="1" si="1304"/>
        <v>0</v>
      </c>
      <c r="PE138" s="1319">
        <f t="shared" ca="1" si="1304"/>
        <v>0</v>
      </c>
      <c r="PF138" s="1319">
        <f t="shared" ca="1" si="1304"/>
        <v>0</v>
      </c>
      <c r="PG138" s="1319">
        <f t="shared" ca="1" si="1304"/>
        <v>0</v>
      </c>
      <c r="PH138" s="1319">
        <f t="shared" ca="1" si="1304"/>
        <v>0</v>
      </c>
      <c r="PI138" s="1319">
        <f t="shared" ca="1" si="1304"/>
        <v>0</v>
      </c>
      <c r="PJ138" s="1319">
        <f t="shared" ca="1" si="1304"/>
        <v>0</v>
      </c>
      <c r="PK138" s="1319">
        <f t="shared" ca="1" si="1304"/>
        <v>0</v>
      </c>
      <c r="PT138" s="1334"/>
      <c r="PW138" s="1319">
        <f t="shared" ca="1" si="1305"/>
        <v>0</v>
      </c>
      <c r="PX138" s="1319">
        <f t="shared" ca="1" si="1305"/>
        <v>0</v>
      </c>
      <c r="PY138" s="1319">
        <f t="shared" ca="1" si="1305"/>
        <v>0</v>
      </c>
      <c r="PZ138" s="1319">
        <f t="shared" ca="1" si="1305"/>
        <v>0</v>
      </c>
    </row>
    <row r="139" spans="1:442" x14ac:dyDescent="0.25">
      <c r="A139" s="189">
        <v>28</v>
      </c>
      <c r="B139" s="189" t="s">
        <v>1256</v>
      </c>
      <c r="C139" s="1317" t="s">
        <v>1287</v>
      </c>
      <c r="D139" s="1317" t="s">
        <v>206</v>
      </c>
      <c r="E139" s="1318">
        <v>98.07947999999999</v>
      </c>
      <c r="F139" s="1316">
        <v>6.0835002399999998E-2</v>
      </c>
      <c r="G139" s="1334"/>
      <c r="J139" s="1319">
        <f t="shared" ca="1" si="1283"/>
        <v>0</v>
      </c>
      <c r="K139" s="1319">
        <f t="shared" ca="1" si="1283"/>
        <v>0</v>
      </c>
      <c r="Q139" s="1334"/>
      <c r="T139" s="1319">
        <f t="shared" ca="1" si="1284"/>
        <v>0</v>
      </c>
      <c r="U139" s="1319">
        <f t="shared" ca="1" si="1284"/>
        <v>0</v>
      </c>
      <c r="V139" s="1319">
        <f t="shared" ca="1" si="1284"/>
        <v>1.1423163773854637</v>
      </c>
      <c r="W139" s="1319">
        <f t="shared" ca="1" si="1284"/>
        <v>0</v>
      </c>
      <c r="X139" s="1319">
        <f t="shared" ca="1" si="1284"/>
        <v>0</v>
      </c>
      <c r="Y139" s="1319">
        <f t="shared" ca="1" si="1284"/>
        <v>1.1423163773854637</v>
      </c>
      <c r="Z139" s="1319">
        <f t="shared" ca="1" si="1284"/>
        <v>3.4091836852271212E-5</v>
      </c>
      <c r="AA139" s="1319">
        <f t="shared" ca="1" si="1284"/>
        <v>1.1422822815676437</v>
      </c>
      <c r="AB139" s="1319">
        <f t="shared" ca="1" si="1284"/>
        <v>1.1423163773854637</v>
      </c>
      <c r="AC139" s="1319">
        <f t="shared" ca="1" si="1284"/>
        <v>0</v>
      </c>
      <c r="AD139" s="1319">
        <f t="shared" ca="1" si="1284"/>
        <v>1.142504037739863</v>
      </c>
      <c r="AJ139" s="1334"/>
      <c r="AM139" s="1319">
        <f t="shared" ca="1" si="1285"/>
        <v>0</v>
      </c>
      <c r="AN139" s="1319">
        <f t="shared" ca="1" si="1285"/>
        <v>0</v>
      </c>
      <c r="AO139" s="1319">
        <f t="shared" ca="1" si="1285"/>
        <v>1.1422822815676437</v>
      </c>
      <c r="AP139" s="1319">
        <f t="shared" ca="1" si="1285"/>
        <v>1.1422822815676437</v>
      </c>
      <c r="AQ139" s="1319">
        <f t="shared" ca="1" si="1285"/>
        <v>8.1302716254787538E-6</v>
      </c>
      <c r="AR139" s="1319">
        <f t="shared" ca="1" si="1285"/>
        <v>1.2947995983182014E-8</v>
      </c>
      <c r="AS139" s="1319">
        <f t="shared" ca="1" si="1285"/>
        <v>3.4078888815040584E-5</v>
      </c>
      <c r="AT139" s="1319">
        <f t="shared" ca="1" si="1285"/>
        <v>6.3743724867684476E-10</v>
      </c>
      <c r="AU139" s="1319">
        <f t="shared" ca="1" si="1285"/>
        <v>8.1425822191588362E-6</v>
      </c>
      <c r="AV139" s="1319">
        <f t="shared" ca="1" si="1285"/>
        <v>1.1422741561317071</v>
      </c>
      <c r="AW139" s="1319">
        <f t="shared" ca="1" si="1285"/>
        <v>6.3743724867684476E-10</v>
      </c>
      <c r="AX139" s="1319">
        <f t="shared" ca="1" si="1285"/>
        <v>4.2222108477749952E-5</v>
      </c>
      <c r="AY139" s="1319">
        <f t="shared" ca="1" si="1285"/>
        <v>0</v>
      </c>
      <c r="AZ139" s="1319">
        <f t="shared" ca="1" si="1285"/>
        <v>0</v>
      </c>
      <c r="BA139" s="1319">
        <f t="shared" ca="1" si="1285"/>
        <v>0</v>
      </c>
      <c r="BB139" s="1319">
        <f t="shared" ca="1" si="1285"/>
        <v>0</v>
      </c>
      <c r="BK139" s="1334"/>
      <c r="BN139" s="1319">
        <f t="shared" ca="1" si="1286"/>
        <v>0</v>
      </c>
      <c r="BO139" s="1319">
        <f t="shared" ca="1" si="1286"/>
        <v>0</v>
      </c>
      <c r="BP139" s="1319">
        <f t="shared" ca="1" si="1286"/>
        <v>0</v>
      </c>
      <c r="BQ139" s="1319">
        <f t="shared" ca="1" si="1286"/>
        <v>0</v>
      </c>
      <c r="BR139" s="1319">
        <f t="shared" ca="1" si="1286"/>
        <v>0</v>
      </c>
      <c r="CA139" s="1334"/>
      <c r="CD139" s="1319">
        <f t="shared" ca="1" si="1287"/>
        <v>0</v>
      </c>
      <c r="CE139" s="1319">
        <f t="shared" ca="1" si="1287"/>
        <v>0</v>
      </c>
      <c r="CF139" s="1319">
        <f t="shared" ca="1" si="1287"/>
        <v>0</v>
      </c>
      <c r="CG139" s="1319">
        <f t="shared" ca="1" si="1287"/>
        <v>0</v>
      </c>
      <c r="CH139" s="1319">
        <f t="shared" ca="1" si="1287"/>
        <v>0</v>
      </c>
      <c r="CI139" s="1319">
        <f t="shared" ca="1" si="1287"/>
        <v>0</v>
      </c>
      <c r="CJ139" s="1319">
        <f t="shared" ca="1" si="1287"/>
        <v>0</v>
      </c>
      <c r="CK139" s="1319">
        <f t="shared" ca="1" si="1287"/>
        <v>0</v>
      </c>
      <c r="CL139" s="1319">
        <f t="shared" ca="1" si="1287"/>
        <v>0</v>
      </c>
      <c r="CM139" s="1319">
        <f t="shared" ca="1" si="1287"/>
        <v>0</v>
      </c>
      <c r="CN139" s="1319">
        <f t="shared" ca="1" si="1287"/>
        <v>0</v>
      </c>
      <c r="CO139" s="1319">
        <f t="shared" ca="1" si="1287"/>
        <v>0</v>
      </c>
      <c r="CX139" s="1334"/>
      <c r="DA139" s="1319">
        <f t="shared" ca="1" si="1288"/>
        <v>0</v>
      </c>
      <c r="DB139" s="1319">
        <f t="shared" ca="1" si="1288"/>
        <v>0</v>
      </c>
      <c r="DC139" s="1319">
        <f t="shared" ca="1" si="1288"/>
        <v>0</v>
      </c>
      <c r="DD139" s="1319">
        <f t="shared" ca="1" si="1288"/>
        <v>0</v>
      </c>
      <c r="DE139" s="1319">
        <f t="shared" ca="1" si="1288"/>
        <v>0</v>
      </c>
      <c r="DF139" s="1319">
        <f t="shared" ca="1" si="1288"/>
        <v>0</v>
      </c>
      <c r="DG139" s="1319">
        <f t="shared" ca="1" si="1288"/>
        <v>0</v>
      </c>
      <c r="DH139" s="1319">
        <f t="shared" ca="1" si="1288"/>
        <v>0</v>
      </c>
      <c r="DI139" s="1319">
        <f t="shared" ca="1" si="1288"/>
        <v>0</v>
      </c>
      <c r="DJ139" s="1319">
        <f t="shared" ca="1" si="1288"/>
        <v>0</v>
      </c>
      <c r="DS139" s="1334"/>
      <c r="DV139" s="1319">
        <f t="shared" ca="1" si="1289"/>
        <v>0</v>
      </c>
      <c r="DW139" s="1319">
        <f t="shared" ca="1" si="1289"/>
        <v>0</v>
      </c>
      <c r="DX139" s="1319">
        <f t="shared" ca="1" si="1289"/>
        <v>0</v>
      </c>
      <c r="DY139" s="1319">
        <f t="shared" ca="1" si="1289"/>
        <v>0</v>
      </c>
      <c r="DZ139" s="1319">
        <f t="shared" ca="1" si="1289"/>
        <v>0</v>
      </c>
      <c r="EA139" s="1319">
        <f t="shared" ca="1" si="1289"/>
        <v>0</v>
      </c>
      <c r="EB139" s="1319">
        <f t="shared" ca="1" si="1289"/>
        <v>0</v>
      </c>
      <c r="EC139" s="1319">
        <f t="shared" ca="1" si="1289"/>
        <v>0</v>
      </c>
      <c r="ED139" s="1319">
        <f t="shared" ca="1" si="1289"/>
        <v>0</v>
      </c>
      <c r="EE139" s="1319">
        <f t="shared" ca="1" si="1289"/>
        <v>0</v>
      </c>
      <c r="EF139" s="1319">
        <f t="shared" ca="1" si="1289"/>
        <v>0</v>
      </c>
      <c r="EG139" s="1319">
        <f t="shared" ca="1" si="1289"/>
        <v>0</v>
      </c>
      <c r="EH139" s="1319">
        <f t="shared" ca="1" si="1289"/>
        <v>0</v>
      </c>
      <c r="EI139" s="1319">
        <f t="shared" ca="1" si="1289"/>
        <v>0</v>
      </c>
      <c r="EJ139" s="1319">
        <f t="shared" ca="1" si="1289"/>
        <v>0</v>
      </c>
      <c r="EK139" s="1319">
        <f t="shared" ca="1" si="1289"/>
        <v>0</v>
      </c>
      <c r="ET139" s="1334"/>
      <c r="EW139" s="1319">
        <f t="shared" ca="1" si="1290"/>
        <v>0</v>
      </c>
      <c r="EX139" s="1319">
        <f t="shared" ca="1" si="1290"/>
        <v>0</v>
      </c>
      <c r="EY139" s="1319">
        <f t="shared" ca="1" si="1290"/>
        <v>0</v>
      </c>
      <c r="EZ139" s="1319">
        <f t="shared" ca="1" si="1290"/>
        <v>0</v>
      </c>
      <c r="FA139" s="1319">
        <f t="shared" ca="1" si="1290"/>
        <v>0</v>
      </c>
      <c r="FB139" s="1319">
        <f t="shared" ca="1" si="1290"/>
        <v>0</v>
      </c>
      <c r="FK139" s="1334"/>
      <c r="FN139" s="1319">
        <f t="shared" ca="1" si="1291"/>
        <v>0</v>
      </c>
      <c r="FO139" s="1319">
        <f t="shared" ca="1" si="1291"/>
        <v>0</v>
      </c>
      <c r="FP139" s="1319">
        <f t="shared" ca="1" si="1291"/>
        <v>0</v>
      </c>
      <c r="FQ139" s="1319">
        <f t="shared" ca="1" si="1291"/>
        <v>0</v>
      </c>
      <c r="FR139" s="1319">
        <f t="shared" ca="1" si="1291"/>
        <v>0</v>
      </c>
      <c r="FS139" s="1319">
        <f t="shared" ca="1" si="1291"/>
        <v>0</v>
      </c>
      <c r="FT139" s="1319">
        <f t="shared" ca="1" si="1291"/>
        <v>0</v>
      </c>
      <c r="FU139" s="1319">
        <f t="shared" ca="1" si="1291"/>
        <v>0</v>
      </c>
      <c r="FV139" s="1319">
        <f t="shared" ca="1" si="1291"/>
        <v>0</v>
      </c>
      <c r="FW139" s="1319">
        <f t="shared" ca="1" si="1291"/>
        <v>0</v>
      </c>
      <c r="FX139" s="1319">
        <f t="shared" ca="1" si="1291"/>
        <v>0</v>
      </c>
      <c r="GG139" s="1334"/>
      <c r="GJ139" s="1319">
        <f t="shared" ca="1" si="1292"/>
        <v>0</v>
      </c>
      <c r="GK139" s="1319">
        <f t="shared" ca="1" si="1292"/>
        <v>0</v>
      </c>
      <c r="GL139" s="1319">
        <f t="shared" ca="1" si="1292"/>
        <v>0</v>
      </c>
      <c r="GM139" s="1319">
        <f t="shared" ca="1" si="1292"/>
        <v>0</v>
      </c>
      <c r="GN139" s="1319">
        <f t="shared" ca="1" si="1292"/>
        <v>0</v>
      </c>
      <c r="GO139" s="1319">
        <f t="shared" ca="1" si="1292"/>
        <v>0</v>
      </c>
      <c r="GP139" s="1319">
        <f t="shared" ca="1" si="1292"/>
        <v>0</v>
      </c>
      <c r="GQ139" s="1319">
        <f t="shared" ca="1" si="1292"/>
        <v>0</v>
      </c>
      <c r="GZ139" s="1334"/>
      <c r="HC139" s="1319">
        <f t="shared" ca="1" si="1293"/>
        <v>0</v>
      </c>
      <c r="HD139" s="1319">
        <f t="shared" ca="1" si="1293"/>
        <v>0</v>
      </c>
      <c r="HE139" s="1319">
        <f t="shared" ca="1" si="1293"/>
        <v>0</v>
      </c>
      <c r="HF139" s="1319">
        <f t="shared" ca="1" si="1293"/>
        <v>0</v>
      </c>
      <c r="HG139" s="1319">
        <f t="shared" ca="1" si="1293"/>
        <v>0</v>
      </c>
      <c r="HH139" s="1319">
        <f t="shared" ca="1" si="1293"/>
        <v>0</v>
      </c>
      <c r="HQ139" s="1334"/>
      <c r="HT139" s="1319">
        <f t="shared" ca="1" si="1294"/>
        <v>4.2222108477749952E-5</v>
      </c>
      <c r="HU139" s="1319">
        <f t="shared" ca="1" si="1294"/>
        <v>0</v>
      </c>
      <c r="HV139" s="1319">
        <f t="shared" ca="1" si="1294"/>
        <v>4.2222108477749952E-5</v>
      </c>
      <c r="HW139" s="1319">
        <f t="shared" ca="1" si="1294"/>
        <v>4.2222108477749952E-5</v>
      </c>
      <c r="HX139" s="1319">
        <f t="shared" ca="1" si="1294"/>
        <v>3.7406504672747481E-5</v>
      </c>
      <c r="HY139" s="1319">
        <f t="shared" ca="1" si="1294"/>
        <v>2.8445487856843288E-6</v>
      </c>
      <c r="HZ139" s="1319">
        <f t="shared" ca="1" si="1294"/>
        <v>6.051388250465575E-13</v>
      </c>
      <c r="IA139" s="1319">
        <f t="shared" ca="1" si="1294"/>
        <v>2.6393003235455187E-13</v>
      </c>
      <c r="IB139" s="1319">
        <f t="shared" ca="1" si="1294"/>
        <v>0</v>
      </c>
      <c r="IC139" s="1319">
        <f t="shared" ca="1" si="1294"/>
        <v>0</v>
      </c>
      <c r="ID139" s="1319">
        <f t="shared" ca="1" si="1294"/>
        <v>0</v>
      </c>
      <c r="IE139" s="1319">
        <f t="shared" ca="1" si="1294"/>
        <v>0</v>
      </c>
      <c r="IN139" s="1334"/>
      <c r="IQ139" s="1319">
        <f t="shared" ca="1" si="1295"/>
        <v>3.7406504672747481E-5</v>
      </c>
      <c r="IR139" s="1319">
        <f t="shared" ca="1" si="1295"/>
        <v>2.8445487856843288E-6</v>
      </c>
      <c r="IS139" s="1319">
        <f t="shared" ca="1" si="1295"/>
        <v>9.146294184630041E-6</v>
      </c>
      <c r="IT139" s="1319">
        <f t="shared" ca="1" si="1295"/>
        <v>1.1990842951706503E-5</v>
      </c>
      <c r="IU139" s="1319">
        <f t="shared" ca="1" si="1295"/>
        <v>1.1191012067761048E-5</v>
      </c>
      <c r="IV139" s="1319">
        <f t="shared" ca="1" si="1295"/>
        <v>2.6810857562097377E-4</v>
      </c>
      <c r="IW139" s="1319">
        <f t="shared" ca="1" si="1295"/>
        <v>2.1951105968680623E-4</v>
      </c>
      <c r="IX139" s="1319">
        <f t="shared" ca="1" si="1295"/>
        <v>1.1188247558755731E-12</v>
      </c>
      <c r="IY139" s="1319">
        <f t="shared" ca="1" si="1295"/>
        <v>7.9983088394545252E-7</v>
      </c>
      <c r="IZ139" s="1319">
        <f t="shared" ca="1" si="1295"/>
        <v>3.9451221439406375E-5</v>
      </c>
      <c r="JA139" s="1319">
        <f t="shared" ca="1" si="1295"/>
        <v>2.2865735368535759E-4</v>
      </c>
      <c r="JB139" s="1319">
        <f t="shared" ca="1" si="1296"/>
        <v>0</v>
      </c>
      <c r="JC139" s="1319">
        <f t="shared" ca="1" si="1296"/>
        <v>3.945122119130146E-5</v>
      </c>
      <c r="JD139" s="1319">
        <f t="shared" ca="1" si="1296"/>
        <v>0</v>
      </c>
      <c r="JE139" s="1319">
        <f t="shared" ca="1" si="1296"/>
        <v>3.9451221439406375E-5</v>
      </c>
      <c r="JF139" s="1319">
        <f t="shared" ca="1" si="1296"/>
        <v>0</v>
      </c>
      <c r="JG139" s="1319">
        <f t="shared" ca="1" si="1296"/>
        <v>0</v>
      </c>
      <c r="JH139" s="1319">
        <f t="shared" ca="1" si="1296"/>
        <v>2.6393003235455187E-13</v>
      </c>
      <c r="JQ139" s="1334"/>
      <c r="JT139" s="1319">
        <f t="shared" ca="1" si="1297"/>
        <v>0</v>
      </c>
      <c r="JU139" s="1319">
        <f t="shared" ca="1" si="1297"/>
        <v>0</v>
      </c>
      <c r="JV139" s="1319">
        <f t="shared" ca="1" si="1297"/>
        <v>0</v>
      </c>
      <c r="JW139" s="1319">
        <f t="shared" ca="1" si="1297"/>
        <v>0</v>
      </c>
      <c r="JX139" s="1319">
        <f t="shared" ca="1" si="1297"/>
        <v>0</v>
      </c>
      <c r="JY139" s="1319">
        <f t="shared" ca="1" si="1297"/>
        <v>0</v>
      </c>
      <c r="JZ139" s="1319">
        <f t="shared" ca="1" si="1297"/>
        <v>0</v>
      </c>
      <c r="KA139" s="1319">
        <f t="shared" ca="1" si="1297"/>
        <v>1.142504037739863</v>
      </c>
      <c r="KB139" s="1319">
        <f t="shared" ca="1" si="1297"/>
        <v>0</v>
      </c>
      <c r="KC139" s="1319">
        <f t="shared" ca="1" si="1297"/>
        <v>0</v>
      </c>
      <c r="KI139" s="1334"/>
      <c r="KL139" s="1319">
        <f t="shared" ca="1" si="1298"/>
        <v>0</v>
      </c>
      <c r="KM139" s="1319">
        <f t="shared" ca="1" si="1298"/>
        <v>0</v>
      </c>
      <c r="KN139" s="1319">
        <f t="shared" ca="1" si="1298"/>
        <v>0</v>
      </c>
      <c r="KO139" s="1319">
        <f t="shared" ca="1" si="1298"/>
        <v>0</v>
      </c>
      <c r="KP139" s="1319">
        <f t="shared" ca="1" si="1298"/>
        <v>0</v>
      </c>
      <c r="KQ139" s="1319">
        <f t="shared" ca="1" si="1298"/>
        <v>0</v>
      </c>
      <c r="KR139" s="1319">
        <f t="shared" ca="1" si="1298"/>
        <v>0</v>
      </c>
      <c r="KX139" s="1334"/>
      <c r="LA139" s="1319">
        <f t="shared" ca="1" si="1299"/>
        <v>0</v>
      </c>
      <c r="LB139" s="1319">
        <f t="shared" ca="1" si="1299"/>
        <v>6.051388250465575E-13</v>
      </c>
      <c r="LC139" s="1319">
        <f t="shared" ca="1" si="1299"/>
        <v>6.051388250465575E-13</v>
      </c>
      <c r="LD139" s="1319">
        <f t="shared" ca="1" si="1299"/>
        <v>6.051388250465575E-13</v>
      </c>
      <c r="LE139" s="1319">
        <f t="shared" ca="1" si="1299"/>
        <v>0</v>
      </c>
      <c r="LF139" s="1319">
        <f t="shared" ca="1" si="1299"/>
        <v>1.9495939628566962E-8</v>
      </c>
      <c r="LG139" s="1319">
        <f t="shared" ca="1" si="1299"/>
        <v>1.9495939628566962E-8</v>
      </c>
      <c r="LH139" s="1319">
        <f t="shared" ca="1" si="1299"/>
        <v>0</v>
      </c>
      <c r="LI139" s="1319">
        <f t="shared" ca="1" si="1299"/>
        <v>1.9495939628566962E-8</v>
      </c>
      <c r="LJ139" s="1319">
        <f t="shared" ca="1" si="1299"/>
        <v>0</v>
      </c>
      <c r="LK139" s="1319">
        <f t="shared" ca="1" si="1299"/>
        <v>0</v>
      </c>
      <c r="LT139" s="1334"/>
      <c r="LW139" s="1319">
        <f t="shared" ca="1" si="1300"/>
        <v>0</v>
      </c>
      <c r="LX139" s="1319">
        <f t="shared" ca="1" si="1300"/>
        <v>0</v>
      </c>
      <c r="LY139" s="1319">
        <f t="shared" ca="1" si="1300"/>
        <v>0</v>
      </c>
      <c r="LZ139" s="1319">
        <f t="shared" ca="1" si="1300"/>
        <v>7.9983088394545252E-7</v>
      </c>
      <c r="MA139" s="1319">
        <f t="shared" ca="1" si="1300"/>
        <v>7.9983088394545252E-7</v>
      </c>
      <c r="MB139" s="1319">
        <f t="shared" ca="1" si="1300"/>
        <v>6.051388250465575E-13</v>
      </c>
      <c r="MC139" s="1319">
        <f t="shared" ca="1" si="1300"/>
        <v>1.9495939628566962E-8</v>
      </c>
      <c r="MD139" s="1319">
        <f t="shared" ca="1" si="1300"/>
        <v>0</v>
      </c>
      <c r="ME139" s="1319">
        <f t="shared" ca="1" si="1300"/>
        <v>0</v>
      </c>
      <c r="MF139" s="1319">
        <f t="shared" ca="1" si="1300"/>
        <v>0</v>
      </c>
      <c r="MG139" s="1319">
        <f t="shared" ca="1" si="1301"/>
        <v>0</v>
      </c>
      <c r="MH139" s="1319">
        <f t="shared" ca="1" si="1301"/>
        <v>0</v>
      </c>
      <c r="MI139" s="1319">
        <f t="shared" ca="1" si="1301"/>
        <v>0</v>
      </c>
      <c r="MJ139" s="1319">
        <f t="shared" ca="1" si="1301"/>
        <v>0</v>
      </c>
      <c r="MK139" s="1319">
        <f t="shared" ca="1" si="1301"/>
        <v>0</v>
      </c>
      <c r="ML139" s="1319">
        <f t="shared" ca="1" si="1301"/>
        <v>0</v>
      </c>
      <c r="MM139" s="1319">
        <f t="shared" ca="1" si="1301"/>
        <v>0</v>
      </c>
      <c r="MN139" s="1319">
        <f t="shared" ca="1" si="1301"/>
        <v>0</v>
      </c>
      <c r="MO139" s="1319">
        <f t="shared" ca="1" si="1301"/>
        <v>0</v>
      </c>
      <c r="MX139" s="1334"/>
      <c r="NA139" s="1319">
        <f t="shared" ca="1" si="1302"/>
        <v>3.4091836852271212E-5</v>
      </c>
      <c r="NB139" s="1319">
        <f t="shared" ca="1" si="1302"/>
        <v>1.2947995983182014E-8</v>
      </c>
      <c r="NC139" s="1319">
        <f t="shared" ca="1" si="1302"/>
        <v>3.4078888815040584E-5</v>
      </c>
      <c r="ND139" s="1319">
        <f t="shared" ca="1" si="1302"/>
        <v>0</v>
      </c>
      <c r="NE139" s="1319">
        <f t="shared" ca="1" si="1302"/>
        <v>0</v>
      </c>
      <c r="NF139" s="1319">
        <f t="shared" ca="1" si="1302"/>
        <v>0</v>
      </c>
      <c r="NG139" s="1319">
        <f t="shared" ca="1" si="1302"/>
        <v>0</v>
      </c>
      <c r="NH139" s="1319">
        <f t="shared" ca="1" si="1302"/>
        <v>0</v>
      </c>
      <c r="NI139" s="1319">
        <f t="shared" ca="1" si="1302"/>
        <v>0</v>
      </c>
      <c r="NJ139" s="1319">
        <f t="shared" ca="1" si="1302"/>
        <v>0</v>
      </c>
      <c r="NK139" s="1319">
        <f t="shared" ca="1" si="1302"/>
        <v>0</v>
      </c>
      <c r="NL139" s="1319">
        <f t="shared" ca="1" si="1302"/>
        <v>0</v>
      </c>
      <c r="NM139" s="1319">
        <f t="shared" ca="1" si="1302"/>
        <v>0</v>
      </c>
      <c r="NN139" s="1319">
        <f t="shared" ca="1" si="1302"/>
        <v>0</v>
      </c>
      <c r="NO139" s="1319">
        <f t="shared" ca="1" si="1302"/>
        <v>0</v>
      </c>
      <c r="NP139" s="1319">
        <f t="shared" ca="1" si="1302"/>
        <v>0</v>
      </c>
      <c r="NY139" s="1334"/>
      <c r="OE139" s="1334"/>
      <c r="OH139" s="1319">
        <f t="shared" ca="1" si="1303"/>
        <v>0</v>
      </c>
      <c r="OI139" s="1319">
        <f t="shared" ca="1" si="1303"/>
        <v>0</v>
      </c>
      <c r="OJ139" s="1319">
        <f t="shared" ca="1" si="1303"/>
        <v>0</v>
      </c>
      <c r="OK139" s="1319">
        <f t="shared" ca="1" si="1303"/>
        <v>0</v>
      </c>
      <c r="OL139" s="1319">
        <f t="shared" ca="1" si="1303"/>
        <v>0</v>
      </c>
      <c r="OM139" s="1319">
        <f t="shared" ca="1" si="1303"/>
        <v>0</v>
      </c>
      <c r="ON139" s="1319">
        <f t="shared" ca="1" si="1303"/>
        <v>0</v>
      </c>
      <c r="OO139" s="1319">
        <f t="shared" ca="1" si="1303"/>
        <v>0</v>
      </c>
      <c r="OX139" s="1334"/>
      <c r="PA139" s="1319">
        <f t="shared" ca="1" si="1304"/>
        <v>0</v>
      </c>
      <c r="PB139" s="1319">
        <f t="shared" ca="1" si="1304"/>
        <v>0</v>
      </c>
      <c r="PC139" s="1319">
        <f t="shared" ca="1" si="1304"/>
        <v>0</v>
      </c>
      <c r="PD139" s="1319">
        <f t="shared" ca="1" si="1304"/>
        <v>0</v>
      </c>
      <c r="PE139" s="1319">
        <f t="shared" ca="1" si="1304"/>
        <v>0</v>
      </c>
      <c r="PF139" s="1319">
        <f t="shared" ca="1" si="1304"/>
        <v>0</v>
      </c>
      <c r="PG139" s="1319">
        <f t="shared" ca="1" si="1304"/>
        <v>0</v>
      </c>
      <c r="PH139" s="1319">
        <f t="shared" ca="1" si="1304"/>
        <v>0</v>
      </c>
      <c r="PI139" s="1319">
        <f t="shared" ca="1" si="1304"/>
        <v>0</v>
      </c>
      <c r="PJ139" s="1319">
        <f t="shared" ca="1" si="1304"/>
        <v>0</v>
      </c>
      <c r="PK139" s="1319">
        <f t="shared" ca="1" si="1304"/>
        <v>0</v>
      </c>
      <c r="PT139" s="1334"/>
      <c r="PW139" s="1319">
        <f t="shared" ca="1" si="1305"/>
        <v>0</v>
      </c>
      <c r="PX139" s="1319">
        <f t="shared" ca="1" si="1305"/>
        <v>0</v>
      </c>
      <c r="PY139" s="1319">
        <f t="shared" ca="1" si="1305"/>
        <v>0</v>
      </c>
      <c r="PZ139" s="1319">
        <f t="shared" ca="1" si="1305"/>
        <v>0</v>
      </c>
    </row>
    <row r="140" spans="1:442" x14ac:dyDescent="0.25">
      <c r="A140" s="189">
        <v>29</v>
      </c>
      <c r="B140" s="189" t="s">
        <v>1256</v>
      </c>
      <c r="C140" s="1317" t="s">
        <v>1297</v>
      </c>
      <c r="D140" s="1317" t="s">
        <v>206</v>
      </c>
      <c r="E140" s="1318">
        <v>132.14060000000001</v>
      </c>
      <c r="F140" s="1316">
        <v>-1.2930312549999974E-2</v>
      </c>
      <c r="G140" s="1334"/>
      <c r="J140" s="1319">
        <f t="shared" ca="1" si="1283"/>
        <v>0</v>
      </c>
      <c r="K140" s="1319">
        <f t="shared" ca="1" si="1283"/>
        <v>0</v>
      </c>
      <c r="Q140" s="1334"/>
      <c r="T140" s="1319">
        <f t="shared" ca="1" si="1284"/>
        <v>0</v>
      </c>
      <c r="U140" s="1319">
        <f t="shared" ca="1" si="1284"/>
        <v>0</v>
      </c>
      <c r="V140" s="1319">
        <f t="shared" ca="1" si="1284"/>
        <v>0</v>
      </c>
      <c r="W140" s="1319">
        <f t="shared" ca="1" si="1284"/>
        <v>0</v>
      </c>
      <c r="X140" s="1319">
        <f t="shared" ca="1" si="1284"/>
        <v>0</v>
      </c>
      <c r="Y140" s="1319">
        <f t="shared" ca="1" si="1284"/>
        <v>0</v>
      </c>
      <c r="Z140" s="1319">
        <f t="shared" ca="1" si="1284"/>
        <v>0</v>
      </c>
      <c r="AA140" s="1319">
        <f t="shared" ca="1" si="1284"/>
        <v>0</v>
      </c>
      <c r="AB140" s="1319">
        <f t="shared" ca="1" si="1284"/>
        <v>0</v>
      </c>
      <c r="AC140" s="1319">
        <f t="shared" ca="1" si="1284"/>
        <v>0</v>
      </c>
      <c r="AD140" s="1319">
        <f t="shared" ca="1" si="1284"/>
        <v>0</v>
      </c>
      <c r="AJ140" s="1334"/>
      <c r="AM140" s="1319">
        <f t="shared" ca="1" si="1285"/>
        <v>0</v>
      </c>
      <c r="AN140" s="1319">
        <f t="shared" ca="1" si="1285"/>
        <v>0</v>
      </c>
      <c r="AO140" s="1319">
        <f t="shared" ca="1" si="1285"/>
        <v>0</v>
      </c>
      <c r="AP140" s="1319">
        <f t="shared" ca="1" si="1285"/>
        <v>0</v>
      </c>
      <c r="AQ140" s="1319">
        <f t="shared" ca="1" si="1285"/>
        <v>0</v>
      </c>
      <c r="AR140" s="1319">
        <f t="shared" ca="1" si="1285"/>
        <v>0</v>
      </c>
      <c r="AS140" s="1319">
        <f t="shared" ca="1" si="1285"/>
        <v>0</v>
      </c>
      <c r="AT140" s="1319">
        <f t="shared" ca="1" si="1285"/>
        <v>0</v>
      </c>
      <c r="AU140" s="1319">
        <f t="shared" ca="1" si="1285"/>
        <v>0</v>
      </c>
      <c r="AV140" s="1319">
        <f t="shared" ca="1" si="1285"/>
        <v>0</v>
      </c>
      <c r="AW140" s="1319">
        <f t="shared" ca="1" si="1285"/>
        <v>0</v>
      </c>
      <c r="AX140" s="1319">
        <f t="shared" ca="1" si="1285"/>
        <v>0</v>
      </c>
      <c r="AY140" s="1319">
        <f t="shared" ca="1" si="1285"/>
        <v>0</v>
      </c>
      <c r="AZ140" s="1319">
        <f t="shared" ca="1" si="1285"/>
        <v>0</v>
      </c>
      <c r="BA140" s="1319">
        <f t="shared" ca="1" si="1285"/>
        <v>0</v>
      </c>
      <c r="BB140" s="1319">
        <f t="shared" ca="1" si="1285"/>
        <v>-0.24282711897379353</v>
      </c>
      <c r="BK140" s="1334"/>
      <c r="BN140" s="1319">
        <f t="shared" ca="1" si="1286"/>
        <v>-2.4282711897379353E-2</v>
      </c>
      <c r="BO140" s="1319">
        <f t="shared" ca="1" si="1286"/>
        <v>-2.4282711897379353E-2</v>
      </c>
      <c r="BP140" s="1319">
        <f t="shared" ca="1" si="1286"/>
        <v>0</v>
      </c>
      <c r="BQ140" s="1319">
        <f t="shared" ca="1" si="1286"/>
        <v>0</v>
      </c>
      <c r="BR140" s="1319">
        <f t="shared" ca="1" si="1286"/>
        <v>0</v>
      </c>
      <c r="CA140" s="1334"/>
      <c r="CD140" s="1319">
        <f t="shared" ca="1" si="1287"/>
        <v>-0.24282711897379353</v>
      </c>
      <c r="CE140" s="1319">
        <f t="shared" ca="1" si="1287"/>
        <v>-0.24282711897379353</v>
      </c>
      <c r="CF140" s="1319">
        <f t="shared" ca="1" si="1287"/>
        <v>-2.4282711897379353E-2</v>
      </c>
      <c r="CG140" s="1319">
        <f t="shared" ca="1" si="1287"/>
        <v>-2.4282711897379353E-2</v>
      </c>
      <c r="CH140" s="1319">
        <f t="shared" ca="1" si="1287"/>
        <v>-0.24282711897379353</v>
      </c>
      <c r="CI140" s="1319">
        <f t="shared" ca="1" si="1287"/>
        <v>0</v>
      </c>
      <c r="CJ140" s="1319">
        <f t="shared" ca="1" si="1287"/>
        <v>0</v>
      </c>
      <c r="CK140" s="1319">
        <f t="shared" ca="1" si="1287"/>
        <v>-0.24282711897379353</v>
      </c>
      <c r="CL140" s="1319">
        <f t="shared" ca="1" si="1287"/>
        <v>0</v>
      </c>
      <c r="CM140" s="1319">
        <f t="shared" ca="1" si="1287"/>
        <v>0</v>
      </c>
      <c r="CN140" s="1319">
        <f t="shared" ca="1" si="1287"/>
        <v>-0.24282711897379353</v>
      </c>
      <c r="CO140" s="1319">
        <f t="shared" ca="1" si="1287"/>
        <v>0</v>
      </c>
      <c r="CX140" s="1334"/>
      <c r="DA140" s="1319">
        <f t="shared" ca="1" si="1288"/>
        <v>0</v>
      </c>
      <c r="DB140" s="1319">
        <f t="shared" ca="1" si="1288"/>
        <v>0</v>
      </c>
      <c r="DC140" s="1319">
        <f t="shared" ca="1" si="1288"/>
        <v>0</v>
      </c>
      <c r="DD140" s="1319">
        <f t="shared" ca="1" si="1288"/>
        <v>0</v>
      </c>
      <c r="DE140" s="1319">
        <f t="shared" ca="1" si="1288"/>
        <v>0</v>
      </c>
      <c r="DF140" s="1319">
        <f t="shared" ca="1" si="1288"/>
        <v>0</v>
      </c>
      <c r="DG140" s="1319">
        <f t="shared" ca="1" si="1288"/>
        <v>0</v>
      </c>
      <c r="DH140" s="1319">
        <f t="shared" ca="1" si="1288"/>
        <v>0</v>
      </c>
      <c r="DI140" s="1319">
        <f t="shared" ca="1" si="1288"/>
        <v>0</v>
      </c>
      <c r="DJ140" s="1319">
        <f t="shared" ca="1" si="1288"/>
        <v>0</v>
      </c>
      <c r="DS140" s="1334"/>
      <c r="DV140" s="1319">
        <f t="shared" ca="1" si="1289"/>
        <v>0</v>
      </c>
      <c r="DW140" s="1319">
        <f t="shared" ca="1" si="1289"/>
        <v>0</v>
      </c>
      <c r="DX140" s="1319">
        <f t="shared" ca="1" si="1289"/>
        <v>0</v>
      </c>
      <c r="DY140" s="1319">
        <f t="shared" ca="1" si="1289"/>
        <v>0</v>
      </c>
      <c r="DZ140" s="1319">
        <f t="shared" ca="1" si="1289"/>
        <v>0</v>
      </c>
      <c r="EA140" s="1319">
        <f t="shared" ca="1" si="1289"/>
        <v>0</v>
      </c>
      <c r="EB140" s="1319">
        <f t="shared" ca="1" si="1289"/>
        <v>0</v>
      </c>
      <c r="EC140" s="1319">
        <f t="shared" ca="1" si="1289"/>
        <v>0</v>
      </c>
      <c r="ED140" s="1319">
        <f t="shared" ca="1" si="1289"/>
        <v>0</v>
      </c>
      <c r="EE140" s="1319">
        <f t="shared" ca="1" si="1289"/>
        <v>0</v>
      </c>
      <c r="EF140" s="1319">
        <f t="shared" ca="1" si="1289"/>
        <v>0</v>
      </c>
      <c r="EG140" s="1319">
        <f t="shared" ca="1" si="1289"/>
        <v>0</v>
      </c>
      <c r="EH140" s="1319">
        <f t="shared" ca="1" si="1289"/>
        <v>0</v>
      </c>
      <c r="EI140" s="1319">
        <f t="shared" ca="1" si="1289"/>
        <v>0</v>
      </c>
      <c r="EJ140" s="1319">
        <f t="shared" ca="1" si="1289"/>
        <v>0</v>
      </c>
      <c r="EK140" s="1319">
        <f t="shared" ca="1" si="1289"/>
        <v>0</v>
      </c>
      <c r="ET140" s="1334"/>
      <c r="EW140" s="1319">
        <f t="shared" ca="1" si="1290"/>
        <v>-0.24282711897379353</v>
      </c>
      <c r="EX140" s="1319">
        <f t="shared" ca="1" si="1290"/>
        <v>-0.24282711897379353</v>
      </c>
      <c r="EY140" s="1319">
        <f t="shared" ca="1" si="1290"/>
        <v>-0.24282711897379353</v>
      </c>
      <c r="EZ140" s="1319">
        <f t="shared" ca="1" si="1290"/>
        <v>-0.24282711897379353</v>
      </c>
      <c r="FA140" s="1319">
        <f t="shared" ca="1" si="1290"/>
        <v>0</v>
      </c>
      <c r="FB140" s="1319">
        <f t="shared" ca="1" si="1290"/>
        <v>0</v>
      </c>
      <c r="FK140" s="1334"/>
      <c r="FN140" s="1319">
        <f t="shared" ca="1" si="1291"/>
        <v>0</v>
      </c>
      <c r="FO140" s="1319">
        <f t="shared" ca="1" si="1291"/>
        <v>0</v>
      </c>
      <c r="FP140" s="1319">
        <f t="shared" ca="1" si="1291"/>
        <v>0</v>
      </c>
      <c r="FQ140" s="1319">
        <f t="shared" ca="1" si="1291"/>
        <v>0</v>
      </c>
      <c r="FR140" s="1319">
        <f t="shared" ca="1" si="1291"/>
        <v>0</v>
      </c>
      <c r="FS140" s="1319">
        <f t="shared" ca="1" si="1291"/>
        <v>0</v>
      </c>
      <c r="FT140" s="1319">
        <f t="shared" ca="1" si="1291"/>
        <v>0</v>
      </c>
      <c r="FU140" s="1319">
        <f t="shared" ca="1" si="1291"/>
        <v>0</v>
      </c>
      <c r="FV140" s="1319">
        <f t="shared" ca="1" si="1291"/>
        <v>0</v>
      </c>
      <c r="FW140" s="1319">
        <f t="shared" ca="1" si="1291"/>
        <v>0</v>
      </c>
      <c r="FX140" s="1319">
        <f t="shared" ca="1" si="1291"/>
        <v>0</v>
      </c>
      <c r="GG140" s="1334"/>
      <c r="GJ140" s="1319">
        <f t="shared" ca="1" si="1292"/>
        <v>0</v>
      </c>
      <c r="GK140" s="1319">
        <f t="shared" ca="1" si="1292"/>
        <v>0</v>
      </c>
      <c r="GL140" s="1319">
        <f t="shared" ca="1" si="1292"/>
        <v>0</v>
      </c>
      <c r="GM140" s="1319">
        <f t="shared" ca="1" si="1292"/>
        <v>0</v>
      </c>
      <c r="GN140" s="1319">
        <f t="shared" ca="1" si="1292"/>
        <v>0</v>
      </c>
      <c r="GO140" s="1319">
        <f t="shared" ca="1" si="1292"/>
        <v>0</v>
      </c>
      <c r="GP140" s="1319">
        <f t="shared" ca="1" si="1292"/>
        <v>0</v>
      </c>
      <c r="GQ140" s="1319">
        <f t="shared" ca="1" si="1292"/>
        <v>0</v>
      </c>
      <c r="GZ140" s="1334"/>
      <c r="HC140" s="1319">
        <f t="shared" ca="1" si="1293"/>
        <v>-0.24282711897379353</v>
      </c>
      <c r="HD140" s="1319">
        <f t="shared" ca="1" si="1293"/>
        <v>-0.23378628235870616</v>
      </c>
      <c r="HE140" s="1319">
        <f t="shared" ca="1" si="1293"/>
        <v>0</v>
      </c>
      <c r="HF140" s="1319">
        <f t="shared" ca="1" si="1293"/>
        <v>0</v>
      </c>
      <c r="HG140" s="1319">
        <f t="shared" ca="1" si="1293"/>
        <v>-9.0408365368052166E-3</v>
      </c>
      <c r="HH140" s="1319">
        <f t="shared" ca="1" si="1293"/>
        <v>-0.23378628235870616</v>
      </c>
      <c r="HQ140" s="1334"/>
      <c r="HT140" s="1319">
        <f t="shared" ca="1" si="1294"/>
        <v>0</v>
      </c>
      <c r="HU140" s="1319">
        <f t="shared" ca="1" si="1294"/>
        <v>-0.23378628235870616</v>
      </c>
      <c r="HV140" s="1319">
        <f t="shared" ca="1" si="1294"/>
        <v>-0.23378628235870616</v>
      </c>
      <c r="HW140" s="1319">
        <f t="shared" ca="1" si="1294"/>
        <v>-0.23378628235870616</v>
      </c>
      <c r="HX140" s="1319">
        <f t="shared" ca="1" si="1294"/>
        <v>0</v>
      </c>
      <c r="HY140" s="1319">
        <f t="shared" ca="1" si="1294"/>
        <v>0</v>
      </c>
      <c r="HZ140" s="1319">
        <f t="shared" ca="1" si="1294"/>
        <v>0</v>
      </c>
      <c r="IA140" s="1319">
        <f t="shared" ca="1" si="1294"/>
        <v>0</v>
      </c>
      <c r="IB140" s="1319">
        <f t="shared" ca="1" si="1294"/>
        <v>0</v>
      </c>
      <c r="IC140" s="1319">
        <f t="shared" ca="1" si="1294"/>
        <v>0</v>
      </c>
      <c r="ID140" s="1319">
        <f t="shared" ca="1" si="1294"/>
        <v>0</v>
      </c>
      <c r="IE140" s="1319">
        <f t="shared" ca="1" si="1294"/>
        <v>0</v>
      </c>
      <c r="IN140" s="1334"/>
      <c r="IQ140" s="1319">
        <f t="shared" ca="1" si="1295"/>
        <v>0</v>
      </c>
      <c r="IR140" s="1319">
        <f t="shared" ca="1" si="1295"/>
        <v>0</v>
      </c>
      <c r="IS140" s="1319">
        <f t="shared" ca="1" si="1295"/>
        <v>0</v>
      </c>
      <c r="IT140" s="1319">
        <f t="shared" ca="1" si="1295"/>
        <v>0</v>
      </c>
      <c r="IU140" s="1319">
        <f t="shared" ca="1" si="1295"/>
        <v>0</v>
      </c>
      <c r="IV140" s="1319">
        <f t="shared" ca="1" si="1295"/>
        <v>0</v>
      </c>
      <c r="IW140" s="1319">
        <f t="shared" ca="1" si="1295"/>
        <v>0</v>
      </c>
      <c r="IX140" s="1319">
        <f t="shared" ca="1" si="1295"/>
        <v>0</v>
      </c>
      <c r="IY140" s="1319">
        <f t="shared" ca="1" si="1295"/>
        <v>0</v>
      </c>
      <c r="IZ140" s="1319">
        <f t="shared" ca="1" si="1295"/>
        <v>0</v>
      </c>
      <c r="JA140" s="1319">
        <f t="shared" ca="1" si="1295"/>
        <v>0</v>
      </c>
      <c r="JB140" s="1319">
        <f t="shared" ca="1" si="1296"/>
        <v>0</v>
      </c>
      <c r="JC140" s="1319">
        <f t="shared" ca="1" si="1296"/>
        <v>0</v>
      </c>
      <c r="JD140" s="1319">
        <f t="shared" ca="1" si="1296"/>
        <v>0</v>
      </c>
      <c r="JE140" s="1319">
        <f t="shared" ca="1" si="1296"/>
        <v>0</v>
      </c>
      <c r="JF140" s="1319">
        <f t="shared" ca="1" si="1296"/>
        <v>0</v>
      </c>
      <c r="JG140" s="1319">
        <f t="shared" ca="1" si="1296"/>
        <v>0</v>
      </c>
      <c r="JH140" s="1319">
        <f t="shared" ca="1" si="1296"/>
        <v>0</v>
      </c>
      <c r="JQ140" s="1334"/>
      <c r="JT140" s="1319">
        <f t="shared" ca="1" si="1297"/>
        <v>0</v>
      </c>
      <c r="JU140" s="1319">
        <f t="shared" ca="1" si="1297"/>
        <v>0</v>
      </c>
      <c r="JV140" s="1319">
        <f t="shared" ca="1" si="1297"/>
        <v>0</v>
      </c>
      <c r="JW140" s="1319">
        <f t="shared" ca="1" si="1297"/>
        <v>0</v>
      </c>
      <c r="JX140" s="1319">
        <f t="shared" ca="1" si="1297"/>
        <v>0</v>
      </c>
      <c r="JY140" s="1319">
        <f t="shared" ca="1" si="1297"/>
        <v>0</v>
      </c>
      <c r="JZ140" s="1319">
        <f t="shared" ca="1" si="1297"/>
        <v>0</v>
      </c>
      <c r="KA140" s="1319">
        <f t="shared" ca="1" si="1297"/>
        <v>0</v>
      </c>
      <c r="KB140" s="1319">
        <f t="shared" ca="1" si="1297"/>
        <v>0</v>
      </c>
      <c r="KC140" s="1319">
        <f t="shared" ca="1" si="1297"/>
        <v>0</v>
      </c>
      <c r="KI140" s="1334"/>
      <c r="KL140" s="1319">
        <f t="shared" ca="1" si="1298"/>
        <v>0</v>
      </c>
      <c r="KM140" s="1319">
        <f t="shared" ca="1" si="1298"/>
        <v>0</v>
      </c>
      <c r="KN140" s="1319">
        <f t="shared" ca="1" si="1298"/>
        <v>0</v>
      </c>
      <c r="KO140" s="1319">
        <f t="shared" ca="1" si="1298"/>
        <v>0</v>
      </c>
      <c r="KP140" s="1319">
        <f t="shared" ca="1" si="1298"/>
        <v>0</v>
      </c>
      <c r="KQ140" s="1319">
        <f t="shared" ca="1" si="1298"/>
        <v>0</v>
      </c>
      <c r="KR140" s="1319">
        <f t="shared" ca="1" si="1298"/>
        <v>0</v>
      </c>
      <c r="KX140" s="1334"/>
      <c r="LA140" s="1319">
        <f t="shared" ca="1" si="1299"/>
        <v>0</v>
      </c>
      <c r="LB140" s="1319">
        <f t="shared" ca="1" si="1299"/>
        <v>0</v>
      </c>
      <c r="LC140" s="1319">
        <f t="shared" ca="1" si="1299"/>
        <v>0</v>
      </c>
      <c r="LD140" s="1319">
        <f t="shared" ca="1" si="1299"/>
        <v>0</v>
      </c>
      <c r="LE140" s="1319">
        <f t="shared" ca="1" si="1299"/>
        <v>0</v>
      </c>
      <c r="LF140" s="1319">
        <f t="shared" ca="1" si="1299"/>
        <v>0</v>
      </c>
      <c r="LG140" s="1319">
        <f t="shared" ca="1" si="1299"/>
        <v>0</v>
      </c>
      <c r="LH140" s="1319">
        <f t="shared" ca="1" si="1299"/>
        <v>0</v>
      </c>
      <c r="LI140" s="1319">
        <f t="shared" ca="1" si="1299"/>
        <v>0</v>
      </c>
      <c r="LJ140" s="1319">
        <f t="shared" ca="1" si="1299"/>
        <v>0</v>
      </c>
      <c r="LK140" s="1319">
        <f t="shared" ca="1" si="1299"/>
        <v>0</v>
      </c>
      <c r="LT140" s="1334"/>
      <c r="LW140" s="1319">
        <f t="shared" ca="1" si="1300"/>
        <v>0</v>
      </c>
      <c r="LX140" s="1319">
        <f t="shared" ca="1" si="1300"/>
        <v>0</v>
      </c>
      <c r="LY140" s="1319">
        <f t="shared" ca="1" si="1300"/>
        <v>-9.0408365368052166E-3</v>
      </c>
      <c r="LZ140" s="1319">
        <f t="shared" ca="1" si="1300"/>
        <v>0</v>
      </c>
      <c r="MA140" s="1319">
        <f t="shared" ca="1" si="1300"/>
        <v>-9.0408365368052166E-3</v>
      </c>
      <c r="MB140" s="1319">
        <f t="shared" ca="1" si="1300"/>
        <v>0</v>
      </c>
      <c r="MC140" s="1319">
        <f t="shared" ca="1" si="1300"/>
        <v>0</v>
      </c>
      <c r="MD140" s="1319">
        <f t="shared" ca="1" si="1300"/>
        <v>0</v>
      </c>
      <c r="ME140" s="1319">
        <f t="shared" ca="1" si="1300"/>
        <v>0</v>
      </c>
      <c r="MF140" s="1319">
        <f t="shared" ca="1" si="1300"/>
        <v>0</v>
      </c>
      <c r="MG140" s="1319">
        <f t="shared" ca="1" si="1301"/>
        <v>0</v>
      </c>
      <c r="MH140" s="1319">
        <f t="shared" ca="1" si="1301"/>
        <v>0</v>
      </c>
      <c r="MI140" s="1319">
        <f t="shared" ca="1" si="1301"/>
        <v>0</v>
      </c>
      <c r="MJ140" s="1319">
        <f t="shared" ca="1" si="1301"/>
        <v>0</v>
      </c>
      <c r="MK140" s="1319">
        <f t="shared" ca="1" si="1301"/>
        <v>0</v>
      </c>
      <c r="ML140" s="1319">
        <f t="shared" ca="1" si="1301"/>
        <v>0</v>
      </c>
      <c r="MM140" s="1319">
        <f t="shared" ca="1" si="1301"/>
        <v>0</v>
      </c>
      <c r="MN140" s="1319">
        <f t="shared" ca="1" si="1301"/>
        <v>0</v>
      </c>
      <c r="MO140" s="1319">
        <f t="shared" ca="1" si="1301"/>
        <v>0</v>
      </c>
      <c r="MX140" s="1334"/>
      <c r="NA140" s="1319">
        <f t="shared" ca="1" si="1302"/>
        <v>0</v>
      </c>
      <c r="NB140" s="1319">
        <f t="shared" ca="1" si="1302"/>
        <v>0</v>
      </c>
      <c r="NC140" s="1319">
        <f t="shared" ca="1" si="1302"/>
        <v>0</v>
      </c>
      <c r="ND140" s="1319">
        <f t="shared" ca="1" si="1302"/>
        <v>0</v>
      </c>
      <c r="NE140" s="1319">
        <f t="shared" ca="1" si="1302"/>
        <v>0</v>
      </c>
      <c r="NF140" s="1319">
        <f t="shared" ca="1" si="1302"/>
        <v>0</v>
      </c>
      <c r="NG140" s="1319">
        <f t="shared" ca="1" si="1302"/>
        <v>0</v>
      </c>
      <c r="NH140" s="1319">
        <f t="shared" ca="1" si="1302"/>
        <v>0</v>
      </c>
      <c r="NI140" s="1319">
        <f t="shared" ca="1" si="1302"/>
        <v>0</v>
      </c>
      <c r="NJ140" s="1319">
        <f t="shared" ca="1" si="1302"/>
        <v>0</v>
      </c>
      <c r="NK140" s="1319">
        <f t="shared" ca="1" si="1302"/>
        <v>0</v>
      </c>
      <c r="NL140" s="1319">
        <f t="shared" ca="1" si="1302"/>
        <v>0</v>
      </c>
      <c r="NM140" s="1319">
        <f t="shared" ca="1" si="1302"/>
        <v>0</v>
      </c>
      <c r="NN140" s="1319">
        <f t="shared" ca="1" si="1302"/>
        <v>0</v>
      </c>
      <c r="NO140" s="1319">
        <f t="shared" ca="1" si="1302"/>
        <v>0</v>
      </c>
      <c r="NP140" s="1319">
        <f t="shared" ca="1" si="1302"/>
        <v>0</v>
      </c>
      <c r="NY140" s="1334"/>
      <c r="OE140" s="1334"/>
      <c r="OH140" s="1319">
        <f t="shared" ca="1" si="1303"/>
        <v>0</v>
      </c>
      <c r="OI140" s="1319">
        <f t="shared" ca="1" si="1303"/>
        <v>0</v>
      </c>
      <c r="OJ140" s="1319">
        <f t="shared" ca="1" si="1303"/>
        <v>0</v>
      </c>
      <c r="OK140" s="1319">
        <f t="shared" ca="1" si="1303"/>
        <v>0</v>
      </c>
      <c r="OL140" s="1319">
        <f t="shared" ca="1" si="1303"/>
        <v>0</v>
      </c>
      <c r="OM140" s="1319">
        <f t="shared" ca="1" si="1303"/>
        <v>0</v>
      </c>
      <c r="ON140" s="1319">
        <f t="shared" ca="1" si="1303"/>
        <v>0</v>
      </c>
      <c r="OO140" s="1319">
        <f t="shared" ca="1" si="1303"/>
        <v>0</v>
      </c>
      <c r="OX140" s="1334"/>
      <c r="PA140" s="1319">
        <f t="shared" ca="1" si="1304"/>
        <v>0</v>
      </c>
      <c r="PB140" s="1319">
        <f t="shared" ca="1" si="1304"/>
        <v>0</v>
      </c>
      <c r="PC140" s="1319">
        <f t="shared" ca="1" si="1304"/>
        <v>0</v>
      </c>
      <c r="PD140" s="1319">
        <f t="shared" ca="1" si="1304"/>
        <v>0</v>
      </c>
      <c r="PE140" s="1319">
        <f t="shared" ca="1" si="1304"/>
        <v>0</v>
      </c>
      <c r="PF140" s="1319">
        <f t="shared" ca="1" si="1304"/>
        <v>0</v>
      </c>
      <c r="PG140" s="1319">
        <f t="shared" ca="1" si="1304"/>
        <v>0</v>
      </c>
      <c r="PH140" s="1319">
        <f t="shared" ca="1" si="1304"/>
        <v>0</v>
      </c>
      <c r="PI140" s="1319">
        <f t="shared" ca="1" si="1304"/>
        <v>0</v>
      </c>
      <c r="PJ140" s="1319">
        <f t="shared" ca="1" si="1304"/>
        <v>0</v>
      </c>
      <c r="PK140" s="1319">
        <f t="shared" ca="1" si="1304"/>
        <v>0</v>
      </c>
      <c r="PT140" s="1334"/>
      <c r="PW140" s="1319">
        <f t="shared" ca="1" si="1305"/>
        <v>0</v>
      </c>
      <c r="PX140" s="1319">
        <f t="shared" ca="1" si="1305"/>
        <v>0</v>
      </c>
      <c r="PY140" s="1319">
        <f t="shared" ca="1" si="1305"/>
        <v>0</v>
      </c>
      <c r="PZ140" s="1319">
        <f t="shared" ca="1" si="1305"/>
        <v>0</v>
      </c>
    </row>
    <row r="141" spans="1:442" x14ac:dyDescent="0.25">
      <c r="A141" s="189">
        <v>30</v>
      </c>
      <c r="B141" s="189" t="s">
        <v>1256</v>
      </c>
      <c r="C141" s="1317" t="s">
        <v>1298</v>
      </c>
      <c r="D141" s="1317" t="s">
        <v>206</v>
      </c>
      <c r="E141" s="1318">
        <v>77.08</v>
      </c>
      <c r="F141" s="1316">
        <v>-0.235422083335</v>
      </c>
      <c r="G141" s="1334"/>
      <c r="J141" s="1319">
        <f t="shared" ca="1" si="1283"/>
        <v>0</v>
      </c>
      <c r="K141" s="1319">
        <f t="shared" ca="1" si="1283"/>
        <v>0</v>
      </c>
      <c r="Q141" s="1334"/>
      <c r="T141" s="1319">
        <f t="shared" ca="1" si="1284"/>
        <v>0</v>
      </c>
      <c r="U141" s="1319">
        <f t="shared" ca="1" si="1284"/>
        <v>0</v>
      </c>
      <c r="V141" s="1319">
        <f t="shared" ca="1" si="1284"/>
        <v>0</v>
      </c>
      <c r="W141" s="1319">
        <f t="shared" ca="1" si="1284"/>
        <v>0</v>
      </c>
      <c r="X141" s="1319">
        <f t="shared" ca="1" si="1284"/>
        <v>0</v>
      </c>
      <c r="Y141" s="1319">
        <f t="shared" ca="1" si="1284"/>
        <v>0</v>
      </c>
      <c r="Z141" s="1319">
        <f t="shared" ca="1" si="1284"/>
        <v>0</v>
      </c>
      <c r="AA141" s="1319">
        <f t="shared" ca="1" si="1284"/>
        <v>0</v>
      </c>
      <c r="AB141" s="1319">
        <f t="shared" ca="1" si="1284"/>
        <v>0</v>
      </c>
      <c r="AC141" s="1319">
        <f t="shared" ca="1" si="1284"/>
        <v>0</v>
      </c>
      <c r="AD141" s="1319">
        <f t="shared" ca="1" si="1284"/>
        <v>0</v>
      </c>
      <c r="AJ141" s="1334"/>
      <c r="AM141" s="1319">
        <f t="shared" ca="1" si="1285"/>
        <v>0</v>
      </c>
      <c r="AN141" s="1319">
        <f t="shared" ca="1" si="1285"/>
        <v>0</v>
      </c>
      <c r="AO141" s="1319">
        <f t="shared" ca="1" si="1285"/>
        <v>0</v>
      </c>
      <c r="AP141" s="1319">
        <f t="shared" ca="1" si="1285"/>
        <v>0</v>
      </c>
      <c r="AQ141" s="1319">
        <f t="shared" ca="1" si="1285"/>
        <v>0</v>
      </c>
      <c r="AR141" s="1319">
        <f t="shared" ca="1" si="1285"/>
        <v>0</v>
      </c>
      <c r="AS141" s="1319">
        <f t="shared" ca="1" si="1285"/>
        <v>0</v>
      </c>
      <c r="AT141" s="1319">
        <f t="shared" ca="1" si="1285"/>
        <v>0</v>
      </c>
      <c r="AU141" s="1319">
        <f t="shared" ca="1" si="1285"/>
        <v>0</v>
      </c>
      <c r="AV141" s="1319">
        <f t="shared" ca="1" si="1285"/>
        <v>0</v>
      </c>
      <c r="AW141" s="1319">
        <f t="shared" ca="1" si="1285"/>
        <v>0</v>
      </c>
      <c r="AX141" s="1319">
        <f t="shared" ca="1" si="1285"/>
        <v>0</v>
      </c>
      <c r="AY141" s="1319">
        <f t="shared" ca="1" si="1285"/>
        <v>0</v>
      </c>
      <c r="AZ141" s="1319">
        <f t="shared" ca="1" si="1285"/>
        <v>0</v>
      </c>
      <c r="BA141" s="1319">
        <f t="shared" ca="1" si="1285"/>
        <v>0</v>
      </c>
      <c r="BB141" s="1319">
        <f t="shared" ca="1" si="1285"/>
        <v>-5.683911664040628</v>
      </c>
      <c r="BK141" s="1334"/>
      <c r="BN141" s="1319">
        <f t="shared" ca="1" si="1286"/>
        <v>-0.56839117556683205</v>
      </c>
      <c r="BO141" s="1319">
        <f t="shared" ca="1" si="1286"/>
        <v>-0.56839117556683205</v>
      </c>
      <c r="BP141" s="1319">
        <f t="shared" ca="1" si="1286"/>
        <v>0</v>
      </c>
      <c r="BQ141" s="1319">
        <f t="shared" ca="1" si="1286"/>
        <v>0</v>
      </c>
      <c r="BR141" s="1319">
        <f t="shared" ca="1" si="1286"/>
        <v>0</v>
      </c>
      <c r="CA141" s="1334"/>
      <c r="CD141" s="1319">
        <f t="shared" ca="1" si="1287"/>
        <v>-5.683911664040628</v>
      </c>
      <c r="CE141" s="1319">
        <f t="shared" ca="1" si="1287"/>
        <v>-5.683911664040628</v>
      </c>
      <c r="CF141" s="1319">
        <f t="shared" ca="1" si="1287"/>
        <v>-0.56839117556683205</v>
      </c>
      <c r="CG141" s="1319">
        <f t="shared" ca="1" si="1287"/>
        <v>-0.56839117556683205</v>
      </c>
      <c r="CH141" s="1319">
        <f t="shared" ca="1" si="1287"/>
        <v>-5.683911664040628</v>
      </c>
      <c r="CI141" s="1319">
        <f t="shared" ca="1" si="1287"/>
        <v>0</v>
      </c>
      <c r="CJ141" s="1319">
        <f t="shared" ca="1" si="1287"/>
        <v>0</v>
      </c>
      <c r="CK141" s="1319">
        <f t="shared" ca="1" si="1287"/>
        <v>-5.6839117556683219</v>
      </c>
      <c r="CL141" s="1319">
        <f t="shared" ca="1" si="1287"/>
        <v>0</v>
      </c>
      <c r="CM141" s="1319">
        <f t="shared" ca="1" si="1287"/>
        <v>0</v>
      </c>
      <c r="CN141" s="1319">
        <f t="shared" ca="1" si="1287"/>
        <v>-5.6839117556683219</v>
      </c>
      <c r="CO141" s="1319">
        <f t="shared" ca="1" si="1287"/>
        <v>0</v>
      </c>
      <c r="CX141" s="1334"/>
      <c r="DA141" s="1319">
        <f t="shared" ca="1" si="1288"/>
        <v>0</v>
      </c>
      <c r="DB141" s="1319">
        <f t="shared" ca="1" si="1288"/>
        <v>0</v>
      </c>
      <c r="DC141" s="1319">
        <f t="shared" ca="1" si="1288"/>
        <v>0</v>
      </c>
      <c r="DD141" s="1319">
        <f t="shared" ca="1" si="1288"/>
        <v>0</v>
      </c>
      <c r="DE141" s="1319">
        <f t="shared" ca="1" si="1288"/>
        <v>0</v>
      </c>
      <c r="DF141" s="1319">
        <f t="shared" ca="1" si="1288"/>
        <v>0</v>
      </c>
      <c r="DG141" s="1319">
        <f t="shared" ca="1" si="1288"/>
        <v>0</v>
      </c>
      <c r="DH141" s="1319">
        <f t="shared" ca="1" si="1288"/>
        <v>0</v>
      </c>
      <c r="DI141" s="1319">
        <f t="shared" ca="1" si="1288"/>
        <v>0</v>
      </c>
      <c r="DJ141" s="1319">
        <f t="shared" ca="1" si="1288"/>
        <v>0</v>
      </c>
      <c r="DS141" s="1334"/>
      <c r="DV141" s="1319">
        <f t="shared" ca="1" si="1289"/>
        <v>0</v>
      </c>
      <c r="DW141" s="1319">
        <f t="shared" ca="1" si="1289"/>
        <v>0</v>
      </c>
      <c r="DX141" s="1319">
        <f t="shared" ca="1" si="1289"/>
        <v>0</v>
      </c>
      <c r="DY141" s="1319">
        <f t="shared" ca="1" si="1289"/>
        <v>0</v>
      </c>
      <c r="DZ141" s="1319">
        <f t="shared" ca="1" si="1289"/>
        <v>0</v>
      </c>
      <c r="EA141" s="1319">
        <f t="shared" ca="1" si="1289"/>
        <v>0</v>
      </c>
      <c r="EB141" s="1319">
        <f t="shared" ca="1" si="1289"/>
        <v>0</v>
      </c>
      <c r="EC141" s="1319">
        <f t="shared" ca="1" si="1289"/>
        <v>0</v>
      </c>
      <c r="ED141" s="1319">
        <f t="shared" ca="1" si="1289"/>
        <v>0</v>
      </c>
      <c r="EE141" s="1319">
        <f t="shared" ca="1" si="1289"/>
        <v>0</v>
      </c>
      <c r="EF141" s="1319">
        <f t="shared" ca="1" si="1289"/>
        <v>0</v>
      </c>
      <c r="EG141" s="1319">
        <f t="shared" ca="1" si="1289"/>
        <v>0</v>
      </c>
      <c r="EH141" s="1319">
        <f t="shared" ca="1" si="1289"/>
        <v>0</v>
      </c>
      <c r="EI141" s="1319">
        <f t="shared" ca="1" si="1289"/>
        <v>0</v>
      </c>
      <c r="EJ141" s="1319">
        <f t="shared" ca="1" si="1289"/>
        <v>0</v>
      </c>
      <c r="EK141" s="1319">
        <f t="shared" ca="1" si="1289"/>
        <v>0</v>
      </c>
      <c r="ET141" s="1334"/>
      <c r="EW141" s="1319">
        <f t="shared" ca="1" si="1290"/>
        <v>-5.6839117556683219</v>
      </c>
      <c r="EX141" s="1319">
        <f t="shared" ca="1" si="1290"/>
        <v>-5.6839117556683219</v>
      </c>
      <c r="EY141" s="1319">
        <f t="shared" ca="1" si="1290"/>
        <v>-5.6839117556683219</v>
      </c>
      <c r="EZ141" s="1319">
        <f t="shared" ca="1" si="1290"/>
        <v>-5.6839117556683219</v>
      </c>
      <c r="FA141" s="1319">
        <f t="shared" ca="1" si="1290"/>
        <v>0</v>
      </c>
      <c r="FB141" s="1319">
        <f t="shared" ca="1" si="1290"/>
        <v>0</v>
      </c>
      <c r="FK141" s="1334"/>
      <c r="FN141" s="1319">
        <f t="shared" ca="1" si="1291"/>
        <v>0</v>
      </c>
      <c r="FO141" s="1319">
        <f t="shared" ca="1" si="1291"/>
        <v>0</v>
      </c>
      <c r="FP141" s="1319">
        <f t="shared" ca="1" si="1291"/>
        <v>0</v>
      </c>
      <c r="FQ141" s="1319">
        <f t="shared" ca="1" si="1291"/>
        <v>0</v>
      </c>
      <c r="FR141" s="1319">
        <f t="shared" ca="1" si="1291"/>
        <v>0</v>
      </c>
      <c r="FS141" s="1319">
        <f t="shared" ca="1" si="1291"/>
        <v>0</v>
      </c>
      <c r="FT141" s="1319">
        <f t="shared" ca="1" si="1291"/>
        <v>0</v>
      </c>
      <c r="FU141" s="1319">
        <f t="shared" ca="1" si="1291"/>
        <v>0</v>
      </c>
      <c r="FV141" s="1319">
        <f t="shared" ca="1" si="1291"/>
        <v>0</v>
      </c>
      <c r="FW141" s="1319">
        <f t="shared" ca="1" si="1291"/>
        <v>0</v>
      </c>
      <c r="FX141" s="1319">
        <f t="shared" ca="1" si="1291"/>
        <v>0</v>
      </c>
      <c r="GG141" s="1334"/>
      <c r="GJ141" s="1319">
        <f t="shared" ca="1" si="1292"/>
        <v>0</v>
      </c>
      <c r="GK141" s="1319">
        <f t="shared" ca="1" si="1292"/>
        <v>0</v>
      </c>
      <c r="GL141" s="1319">
        <f t="shared" ca="1" si="1292"/>
        <v>0</v>
      </c>
      <c r="GM141" s="1319">
        <f t="shared" ca="1" si="1292"/>
        <v>0</v>
      </c>
      <c r="GN141" s="1319">
        <f t="shared" ca="1" si="1292"/>
        <v>0</v>
      </c>
      <c r="GO141" s="1319">
        <f t="shared" ca="1" si="1292"/>
        <v>0</v>
      </c>
      <c r="GP141" s="1319">
        <f t="shared" ca="1" si="1292"/>
        <v>0</v>
      </c>
      <c r="GQ141" s="1319">
        <f t="shared" ca="1" si="1292"/>
        <v>0</v>
      </c>
      <c r="GZ141" s="1334"/>
      <c r="HC141" s="1319">
        <f t="shared" ca="1" si="1293"/>
        <v>-5.6839117556683219</v>
      </c>
      <c r="HD141" s="1319">
        <f t="shared" ca="1" si="1293"/>
        <v>-5.4722907594393098</v>
      </c>
      <c r="HE141" s="1319">
        <f t="shared" ca="1" si="1293"/>
        <v>0</v>
      </c>
      <c r="HF141" s="1319">
        <f t="shared" ca="1" si="1293"/>
        <v>0</v>
      </c>
      <c r="HG141" s="1319">
        <f t="shared" ca="1" si="1293"/>
        <v>-0.21162099683986199</v>
      </c>
      <c r="HH141" s="1319">
        <f t="shared" ca="1" si="1293"/>
        <v>-5.4722907594393098</v>
      </c>
      <c r="HQ141" s="1334"/>
      <c r="HT141" s="1319">
        <f t="shared" ca="1" si="1294"/>
        <v>0</v>
      </c>
      <c r="HU141" s="1319">
        <f t="shared" ca="1" si="1294"/>
        <v>-5.4722907594393098</v>
      </c>
      <c r="HV141" s="1319">
        <f t="shared" ca="1" si="1294"/>
        <v>-5.4722907594393098</v>
      </c>
      <c r="HW141" s="1319">
        <f t="shared" ca="1" si="1294"/>
        <v>-5.4722907594393098</v>
      </c>
      <c r="HX141" s="1319">
        <f t="shared" ca="1" si="1294"/>
        <v>-3.712461024301116</v>
      </c>
      <c r="HY141" s="1319">
        <f t="shared" ca="1" si="1294"/>
        <v>-0.28231123344926223</v>
      </c>
      <c r="HZ141" s="1319">
        <f t="shared" ca="1" si="1294"/>
        <v>0</v>
      </c>
      <c r="IA141" s="1319">
        <f t="shared" ca="1" si="1294"/>
        <v>0</v>
      </c>
      <c r="IB141" s="1319">
        <f t="shared" ca="1" si="1294"/>
        <v>0</v>
      </c>
      <c r="IC141" s="1319">
        <f t="shared" ca="1" si="1294"/>
        <v>0</v>
      </c>
      <c r="ID141" s="1319">
        <f t="shared" ca="1" si="1294"/>
        <v>0</v>
      </c>
      <c r="IE141" s="1319">
        <f t="shared" ca="1" si="1294"/>
        <v>0</v>
      </c>
      <c r="IN141" s="1334"/>
      <c r="IQ141" s="1319">
        <f t="shared" ca="1" si="1295"/>
        <v>-3.712461024301116</v>
      </c>
      <c r="IR141" s="1319">
        <f t="shared" ca="1" si="1295"/>
        <v>-0.28231123344926223</v>
      </c>
      <c r="IS141" s="1319">
        <f t="shared" ca="1" si="1295"/>
        <v>-1.1643137481856452E-2</v>
      </c>
      <c r="IT141" s="1319">
        <f t="shared" ca="1" si="1295"/>
        <v>-0.29395437099220389</v>
      </c>
      <c r="IU141" s="1319">
        <f t="shared" ca="1" si="1295"/>
        <v>-0.27434659314131205</v>
      </c>
      <c r="IV141" s="1319">
        <f t="shared" ca="1" si="1295"/>
        <v>-0.34129943301359511</v>
      </c>
      <c r="IW141" s="1319">
        <f t="shared" ca="1" si="1295"/>
        <v>-0.27943529980889531</v>
      </c>
      <c r="IX141" s="1319">
        <f t="shared" ca="1" si="1295"/>
        <v>0</v>
      </c>
      <c r="IY141" s="1319">
        <f t="shared" ca="1" si="1295"/>
        <v>-1.9607777881434384E-2</v>
      </c>
      <c r="IZ141" s="1319">
        <f t="shared" ca="1" si="1295"/>
        <v>-5.0220995356332551E-2</v>
      </c>
      <c r="JA141" s="1319">
        <f t="shared" ca="1" si="1295"/>
        <v>-0.29107843735183686</v>
      </c>
      <c r="JB141" s="1319">
        <f t="shared" ca="1" si="1296"/>
        <v>0</v>
      </c>
      <c r="JC141" s="1319">
        <f t="shared" ca="1" si="1296"/>
        <v>-5.0220995356332551E-2</v>
      </c>
      <c r="JD141" s="1319">
        <f t="shared" ca="1" si="1296"/>
        <v>0</v>
      </c>
      <c r="JE141" s="1319">
        <f t="shared" ca="1" si="1296"/>
        <v>-5.0220995356332551E-2</v>
      </c>
      <c r="JF141" s="1319">
        <f t="shared" ca="1" si="1296"/>
        <v>0</v>
      </c>
      <c r="JG141" s="1319">
        <f t="shared" ca="1" si="1296"/>
        <v>0</v>
      </c>
      <c r="JH141" s="1319">
        <f t="shared" ca="1" si="1296"/>
        <v>0</v>
      </c>
      <c r="JQ141" s="1334"/>
      <c r="JT141" s="1319">
        <f t="shared" ca="1" si="1297"/>
        <v>0</v>
      </c>
      <c r="JU141" s="1319">
        <f t="shared" ca="1" si="1297"/>
        <v>0</v>
      </c>
      <c r="JV141" s="1319">
        <f t="shared" ca="1" si="1297"/>
        <v>0</v>
      </c>
      <c r="JW141" s="1319">
        <f t="shared" ca="1" si="1297"/>
        <v>0</v>
      </c>
      <c r="JX141" s="1319">
        <f t="shared" ca="1" si="1297"/>
        <v>0</v>
      </c>
      <c r="JY141" s="1319">
        <f t="shared" ca="1" si="1297"/>
        <v>0</v>
      </c>
      <c r="JZ141" s="1319">
        <f t="shared" ca="1" si="1297"/>
        <v>0</v>
      </c>
      <c r="KA141" s="1319">
        <f t="shared" ca="1" si="1297"/>
        <v>0</v>
      </c>
      <c r="KB141" s="1319">
        <f t="shared" ca="1" si="1297"/>
        <v>0</v>
      </c>
      <c r="KC141" s="1319">
        <f t="shared" ca="1" si="1297"/>
        <v>0</v>
      </c>
      <c r="KI141" s="1334"/>
      <c r="KL141" s="1319">
        <f t="shared" ca="1" si="1298"/>
        <v>0</v>
      </c>
      <c r="KM141" s="1319">
        <f t="shared" ca="1" si="1298"/>
        <v>0</v>
      </c>
      <c r="KN141" s="1319">
        <f t="shared" ca="1" si="1298"/>
        <v>0</v>
      </c>
      <c r="KO141" s="1319">
        <f t="shared" ca="1" si="1298"/>
        <v>0</v>
      </c>
      <c r="KP141" s="1319">
        <f t="shared" ca="1" si="1298"/>
        <v>0</v>
      </c>
      <c r="KQ141" s="1319">
        <f t="shared" ca="1" si="1298"/>
        <v>0</v>
      </c>
      <c r="KR141" s="1319">
        <f t="shared" ca="1" si="1298"/>
        <v>0</v>
      </c>
      <c r="KX141" s="1334"/>
      <c r="LA141" s="1319">
        <f t="shared" ca="1" si="1299"/>
        <v>0</v>
      </c>
      <c r="LB141" s="1319">
        <f t="shared" ca="1" si="1299"/>
        <v>0</v>
      </c>
      <c r="LC141" s="1319">
        <f t="shared" ca="1" si="1299"/>
        <v>0</v>
      </c>
      <c r="LD141" s="1319">
        <f t="shared" ca="1" si="1299"/>
        <v>0</v>
      </c>
      <c r="LE141" s="1319">
        <f t="shared" ca="1" si="1299"/>
        <v>0</v>
      </c>
      <c r="LF141" s="1319">
        <f t="shared" ca="1" si="1299"/>
        <v>0</v>
      </c>
      <c r="LG141" s="1319">
        <f t="shared" ca="1" si="1299"/>
        <v>0</v>
      </c>
      <c r="LH141" s="1319">
        <f t="shared" ca="1" si="1299"/>
        <v>0</v>
      </c>
      <c r="LI141" s="1319">
        <f t="shared" ca="1" si="1299"/>
        <v>0</v>
      </c>
      <c r="LJ141" s="1319">
        <f t="shared" ca="1" si="1299"/>
        <v>0</v>
      </c>
      <c r="LK141" s="1319">
        <f t="shared" ca="1" si="1299"/>
        <v>0</v>
      </c>
      <c r="LT141" s="1334"/>
      <c r="LW141" s="1319">
        <f t="shared" ca="1" si="1300"/>
        <v>0</v>
      </c>
      <c r="LX141" s="1319">
        <f t="shared" ca="1" si="1300"/>
        <v>0</v>
      </c>
      <c r="LY141" s="1319">
        <f t="shared" ca="1" si="1300"/>
        <v>-0.21162099683986199</v>
      </c>
      <c r="LZ141" s="1319">
        <f t="shared" ca="1" si="1300"/>
        <v>-1.9607777881434384E-2</v>
      </c>
      <c r="MA141" s="1319">
        <f t="shared" ca="1" si="1300"/>
        <v>-0.23122877469075381</v>
      </c>
      <c r="MB141" s="1319">
        <f t="shared" ca="1" si="1300"/>
        <v>0</v>
      </c>
      <c r="MC141" s="1319">
        <f t="shared" ca="1" si="1300"/>
        <v>0</v>
      </c>
      <c r="MD141" s="1319">
        <f t="shared" ca="1" si="1300"/>
        <v>0</v>
      </c>
      <c r="ME141" s="1319">
        <f t="shared" ca="1" si="1300"/>
        <v>0</v>
      </c>
      <c r="MF141" s="1319">
        <f t="shared" ca="1" si="1300"/>
        <v>0</v>
      </c>
      <c r="MG141" s="1319">
        <f t="shared" ca="1" si="1301"/>
        <v>0</v>
      </c>
      <c r="MH141" s="1319">
        <f t="shared" ca="1" si="1301"/>
        <v>0</v>
      </c>
      <c r="MI141" s="1319">
        <f t="shared" ca="1" si="1301"/>
        <v>0</v>
      </c>
      <c r="MJ141" s="1319">
        <f t="shared" ca="1" si="1301"/>
        <v>0</v>
      </c>
      <c r="MK141" s="1319">
        <f t="shared" ca="1" si="1301"/>
        <v>0</v>
      </c>
      <c r="ML141" s="1319">
        <f t="shared" ca="1" si="1301"/>
        <v>0</v>
      </c>
      <c r="MM141" s="1319">
        <f t="shared" ca="1" si="1301"/>
        <v>0</v>
      </c>
      <c r="MN141" s="1319">
        <f t="shared" ca="1" si="1301"/>
        <v>0</v>
      </c>
      <c r="MO141" s="1319">
        <f t="shared" ca="1" si="1301"/>
        <v>0</v>
      </c>
      <c r="MX141" s="1334"/>
      <c r="NA141" s="1319">
        <f t="shared" ca="1" si="1302"/>
        <v>0</v>
      </c>
      <c r="NB141" s="1319">
        <f t="shared" ca="1" si="1302"/>
        <v>0</v>
      </c>
      <c r="NC141" s="1319">
        <f t="shared" ca="1" si="1302"/>
        <v>0</v>
      </c>
      <c r="ND141" s="1319">
        <f t="shared" ca="1" si="1302"/>
        <v>0</v>
      </c>
      <c r="NE141" s="1319">
        <f t="shared" ca="1" si="1302"/>
        <v>0</v>
      </c>
      <c r="NF141" s="1319">
        <f t="shared" ca="1" si="1302"/>
        <v>0</v>
      </c>
      <c r="NG141" s="1319">
        <f t="shared" ca="1" si="1302"/>
        <v>0</v>
      </c>
      <c r="NH141" s="1319">
        <f t="shared" ca="1" si="1302"/>
        <v>0</v>
      </c>
      <c r="NI141" s="1319">
        <f t="shared" ca="1" si="1302"/>
        <v>0</v>
      </c>
      <c r="NJ141" s="1319">
        <f t="shared" ca="1" si="1302"/>
        <v>0</v>
      </c>
      <c r="NK141" s="1319">
        <f t="shared" ca="1" si="1302"/>
        <v>0</v>
      </c>
      <c r="NL141" s="1319">
        <f t="shared" ca="1" si="1302"/>
        <v>0</v>
      </c>
      <c r="NM141" s="1319">
        <f t="shared" ca="1" si="1302"/>
        <v>0</v>
      </c>
      <c r="NN141" s="1319">
        <f t="shared" ca="1" si="1302"/>
        <v>0</v>
      </c>
      <c r="NO141" s="1319">
        <f t="shared" ca="1" si="1302"/>
        <v>0</v>
      </c>
      <c r="NP141" s="1319">
        <f t="shared" ca="1" si="1302"/>
        <v>0</v>
      </c>
      <c r="NY141" s="1334"/>
      <c r="OE141" s="1334"/>
      <c r="OH141" s="1319">
        <f t="shared" ca="1" si="1303"/>
        <v>0</v>
      </c>
      <c r="OI141" s="1319">
        <f t="shared" ca="1" si="1303"/>
        <v>0</v>
      </c>
      <c r="OJ141" s="1319">
        <f t="shared" ca="1" si="1303"/>
        <v>0</v>
      </c>
      <c r="OK141" s="1319">
        <f t="shared" ca="1" si="1303"/>
        <v>0</v>
      </c>
      <c r="OL141" s="1319">
        <f t="shared" ca="1" si="1303"/>
        <v>0</v>
      </c>
      <c r="OM141" s="1319">
        <f t="shared" ca="1" si="1303"/>
        <v>0</v>
      </c>
      <c r="ON141" s="1319">
        <f t="shared" ca="1" si="1303"/>
        <v>0</v>
      </c>
      <c r="OO141" s="1319">
        <f t="shared" ca="1" si="1303"/>
        <v>0</v>
      </c>
      <c r="OX141" s="1334"/>
      <c r="PA141" s="1319">
        <f t="shared" ca="1" si="1304"/>
        <v>0</v>
      </c>
      <c r="PB141" s="1319">
        <f t="shared" ca="1" si="1304"/>
        <v>0</v>
      </c>
      <c r="PC141" s="1319">
        <f t="shared" ca="1" si="1304"/>
        <v>0</v>
      </c>
      <c r="PD141" s="1319">
        <f t="shared" ca="1" si="1304"/>
        <v>0</v>
      </c>
      <c r="PE141" s="1319">
        <f t="shared" ca="1" si="1304"/>
        <v>0</v>
      </c>
      <c r="PF141" s="1319">
        <f t="shared" ca="1" si="1304"/>
        <v>0</v>
      </c>
      <c r="PG141" s="1319">
        <f t="shared" ca="1" si="1304"/>
        <v>0</v>
      </c>
      <c r="PH141" s="1319">
        <f t="shared" ca="1" si="1304"/>
        <v>0</v>
      </c>
      <c r="PI141" s="1319">
        <f t="shared" ca="1" si="1304"/>
        <v>0</v>
      </c>
      <c r="PJ141" s="1319">
        <f t="shared" ca="1" si="1304"/>
        <v>0</v>
      </c>
      <c r="PK141" s="1319">
        <f t="shared" ca="1" si="1304"/>
        <v>0</v>
      </c>
      <c r="PT141" s="1334"/>
      <c r="PW141" s="1319">
        <f t="shared" ca="1" si="1305"/>
        <v>0</v>
      </c>
      <c r="PX141" s="1319">
        <f t="shared" ca="1" si="1305"/>
        <v>0</v>
      </c>
      <c r="PY141" s="1319">
        <f t="shared" ca="1" si="1305"/>
        <v>0</v>
      </c>
      <c r="PZ141" s="1319">
        <f t="shared" ca="1" si="1305"/>
        <v>0</v>
      </c>
    </row>
    <row r="142" spans="1:442" x14ac:dyDescent="0.25">
      <c r="A142" s="189">
        <v>31</v>
      </c>
      <c r="B142" s="189" t="s">
        <v>1256</v>
      </c>
      <c r="C142" s="1317" t="s">
        <v>67</v>
      </c>
      <c r="D142" s="1317" t="s">
        <v>206</v>
      </c>
      <c r="E142" s="1318">
        <v>132.05629999999999</v>
      </c>
      <c r="F142" s="1316">
        <v>0</v>
      </c>
      <c r="G142" s="1334"/>
      <c r="J142" s="1319">
        <f t="shared" ca="1" si="1283"/>
        <v>0</v>
      </c>
      <c r="K142" s="1319">
        <f t="shared" ca="1" si="1283"/>
        <v>0</v>
      </c>
      <c r="Q142" s="1334"/>
      <c r="T142" s="1319">
        <f t="shared" ca="1" si="1284"/>
        <v>0</v>
      </c>
      <c r="U142" s="1319">
        <f t="shared" ca="1" si="1284"/>
        <v>0</v>
      </c>
      <c r="V142" s="1319">
        <f t="shared" ca="1" si="1284"/>
        <v>0</v>
      </c>
      <c r="W142" s="1319">
        <f t="shared" ca="1" si="1284"/>
        <v>0</v>
      </c>
      <c r="X142" s="1319">
        <f t="shared" ca="1" si="1284"/>
        <v>0</v>
      </c>
      <c r="Y142" s="1319">
        <f t="shared" ca="1" si="1284"/>
        <v>0</v>
      </c>
      <c r="Z142" s="1319">
        <f t="shared" ca="1" si="1284"/>
        <v>0</v>
      </c>
      <c r="AA142" s="1319">
        <f t="shared" ca="1" si="1284"/>
        <v>0</v>
      </c>
      <c r="AB142" s="1319">
        <f t="shared" ca="1" si="1284"/>
        <v>0</v>
      </c>
      <c r="AC142" s="1319">
        <f t="shared" ca="1" si="1284"/>
        <v>0</v>
      </c>
      <c r="AD142" s="1319">
        <f t="shared" ca="1" si="1284"/>
        <v>0</v>
      </c>
      <c r="AJ142" s="1334"/>
      <c r="AM142" s="1319">
        <f t="shared" ca="1" si="1285"/>
        <v>0</v>
      </c>
      <c r="AN142" s="1319">
        <f t="shared" ca="1" si="1285"/>
        <v>0</v>
      </c>
      <c r="AO142" s="1319">
        <f t="shared" ca="1" si="1285"/>
        <v>0</v>
      </c>
      <c r="AP142" s="1319">
        <f t="shared" ca="1" si="1285"/>
        <v>0</v>
      </c>
      <c r="AQ142" s="1319">
        <f t="shared" ca="1" si="1285"/>
        <v>0</v>
      </c>
      <c r="AR142" s="1319">
        <f t="shared" ca="1" si="1285"/>
        <v>0</v>
      </c>
      <c r="AS142" s="1319">
        <f t="shared" ca="1" si="1285"/>
        <v>0</v>
      </c>
      <c r="AT142" s="1319">
        <f t="shared" ca="1" si="1285"/>
        <v>0</v>
      </c>
      <c r="AU142" s="1319">
        <f t="shared" ca="1" si="1285"/>
        <v>0</v>
      </c>
      <c r="AV142" s="1319">
        <f t="shared" ca="1" si="1285"/>
        <v>0</v>
      </c>
      <c r="AW142" s="1319">
        <f t="shared" ca="1" si="1285"/>
        <v>0</v>
      </c>
      <c r="AX142" s="1319">
        <f t="shared" ca="1" si="1285"/>
        <v>0</v>
      </c>
      <c r="AY142" s="1319">
        <f t="shared" ca="1" si="1285"/>
        <v>0</v>
      </c>
      <c r="AZ142" s="1319">
        <f t="shared" ca="1" si="1285"/>
        <v>0</v>
      </c>
      <c r="BA142" s="1319">
        <f t="shared" ca="1" si="1285"/>
        <v>0</v>
      </c>
      <c r="BB142" s="1319">
        <f t="shared" ca="1" si="1285"/>
        <v>0</v>
      </c>
      <c r="BK142" s="1334"/>
      <c r="BN142" s="1319">
        <f t="shared" ca="1" si="1286"/>
        <v>0</v>
      </c>
      <c r="BO142" s="1319">
        <f t="shared" ca="1" si="1286"/>
        <v>0</v>
      </c>
      <c r="BP142" s="1319">
        <f t="shared" ca="1" si="1286"/>
        <v>0</v>
      </c>
      <c r="BQ142" s="1319">
        <f t="shared" ca="1" si="1286"/>
        <v>0</v>
      </c>
      <c r="BR142" s="1319">
        <f t="shared" ca="1" si="1286"/>
        <v>0</v>
      </c>
      <c r="CA142" s="1334"/>
      <c r="CD142" s="1319">
        <f t="shared" ca="1" si="1287"/>
        <v>0</v>
      </c>
      <c r="CE142" s="1319">
        <f t="shared" ca="1" si="1287"/>
        <v>0</v>
      </c>
      <c r="CF142" s="1319">
        <f t="shared" ca="1" si="1287"/>
        <v>0</v>
      </c>
      <c r="CG142" s="1319">
        <f t="shared" ca="1" si="1287"/>
        <v>0</v>
      </c>
      <c r="CH142" s="1319">
        <f t="shared" ca="1" si="1287"/>
        <v>0</v>
      </c>
      <c r="CI142" s="1319">
        <f t="shared" ca="1" si="1287"/>
        <v>0</v>
      </c>
      <c r="CJ142" s="1319">
        <f t="shared" ca="1" si="1287"/>
        <v>0</v>
      </c>
      <c r="CK142" s="1319">
        <f t="shared" ca="1" si="1287"/>
        <v>0</v>
      </c>
      <c r="CL142" s="1319">
        <f t="shared" ca="1" si="1287"/>
        <v>0</v>
      </c>
      <c r="CM142" s="1319">
        <f t="shared" ca="1" si="1287"/>
        <v>0</v>
      </c>
      <c r="CN142" s="1319">
        <f t="shared" ca="1" si="1287"/>
        <v>0</v>
      </c>
      <c r="CO142" s="1319">
        <f t="shared" ca="1" si="1287"/>
        <v>0</v>
      </c>
      <c r="CX142" s="1334"/>
      <c r="DA142" s="1319">
        <f t="shared" ca="1" si="1288"/>
        <v>0</v>
      </c>
      <c r="DB142" s="1319">
        <f t="shared" ca="1" si="1288"/>
        <v>0</v>
      </c>
      <c r="DC142" s="1319">
        <f t="shared" ca="1" si="1288"/>
        <v>0</v>
      </c>
      <c r="DD142" s="1319">
        <f t="shared" ca="1" si="1288"/>
        <v>0</v>
      </c>
      <c r="DE142" s="1319">
        <f t="shared" ca="1" si="1288"/>
        <v>0</v>
      </c>
      <c r="DF142" s="1319">
        <f t="shared" ca="1" si="1288"/>
        <v>0</v>
      </c>
      <c r="DG142" s="1319">
        <f t="shared" ca="1" si="1288"/>
        <v>0</v>
      </c>
      <c r="DH142" s="1319">
        <f t="shared" ca="1" si="1288"/>
        <v>0</v>
      </c>
      <c r="DI142" s="1319">
        <f t="shared" ca="1" si="1288"/>
        <v>0</v>
      </c>
      <c r="DJ142" s="1319">
        <f t="shared" ca="1" si="1288"/>
        <v>0</v>
      </c>
      <c r="DS142" s="1334"/>
      <c r="DV142" s="1319">
        <f t="shared" ca="1" si="1289"/>
        <v>0</v>
      </c>
      <c r="DW142" s="1319">
        <f t="shared" ca="1" si="1289"/>
        <v>0</v>
      </c>
      <c r="DX142" s="1319">
        <f t="shared" ca="1" si="1289"/>
        <v>0</v>
      </c>
      <c r="DY142" s="1319">
        <f t="shared" ca="1" si="1289"/>
        <v>0</v>
      </c>
      <c r="DZ142" s="1319">
        <f t="shared" ca="1" si="1289"/>
        <v>0</v>
      </c>
      <c r="EA142" s="1319">
        <f t="shared" ca="1" si="1289"/>
        <v>0</v>
      </c>
      <c r="EB142" s="1319">
        <f t="shared" ca="1" si="1289"/>
        <v>0</v>
      </c>
      <c r="EC142" s="1319">
        <f t="shared" ca="1" si="1289"/>
        <v>0</v>
      </c>
      <c r="ED142" s="1319">
        <f t="shared" ca="1" si="1289"/>
        <v>0</v>
      </c>
      <c r="EE142" s="1319">
        <f t="shared" ca="1" si="1289"/>
        <v>0</v>
      </c>
      <c r="EF142" s="1319">
        <f t="shared" ca="1" si="1289"/>
        <v>0</v>
      </c>
      <c r="EG142" s="1319">
        <f t="shared" ca="1" si="1289"/>
        <v>0</v>
      </c>
      <c r="EH142" s="1319">
        <f t="shared" ca="1" si="1289"/>
        <v>0</v>
      </c>
      <c r="EI142" s="1319">
        <f t="shared" ca="1" si="1289"/>
        <v>0</v>
      </c>
      <c r="EJ142" s="1319">
        <f t="shared" ca="1" si="1289"/>
        <v>0</v>
      </c>
      <c r="EK142" s="1319">
        <f t="shared" ca="1" si="1289"/>
        <v>0</v>
      </c>
      <c r="ET142" s="1334"/>
      <c r="EW142" s="1319">
        <f t="shared" ca="1" si="1290"/>
        <v>0</v>
      </c>
      <c r="EX142" s="1319">
        <f t="shared" ca="1" si="1290"/>
        <v>0</v>
      </c>
      <c r="EY142" s="1319">
        <f t="shared" ca="1" si="1290"/>
        <v>0</v>
      </c>
      <c r="EZ142" s="1319">
        <f t="shared" ca="1" si="1290"/>
        <v>0</v>
      </c>
      <c r="FA142" s="1319">
        <f t="shared" ca="1" si="1290"/>
        <v>0</v>
      </c>
      <c r="FB142" s="1319">
        <f t="shared" ca="1" si="1290"/>
        <v>0</v>
      </c>
      <c r="FK142" s="1334"/>
      <c r="FN142" s="1319">
        <f t="shared" ca="1" si="1291"/>
        <v>0</v>
      </c>
      <c r="FO142" s="1319">
        <f t="shared" ca="1" si="1291"/>
        <v>0</v>
      </c>
      <c r="FP142" s="1319">
        <f t="shared" ca="1" si="1291"/>
        <v>0</v>
      </c>
      <c r="FQ142" s="1319">
        <f t="shared" ca="1" si="1291"/>
        <v>0</v>
      </c>
      <c r="FR142" s="1319">
        <f t="shared" ca="1" si="1291"/>
        <v>0</v>
      </c>
      <c r="FS142" s="1319">
        <f t="shared" ca="1" si="1291"/>
        <v>0</v>
      </c>
      <c r="FT142" s="1319">
        <f t="shared" ca="1" si="1291"/>
        <v>0</v>
      </c>
      <c r="FU142" s="1319">
        <f t="shared" ca="1" si="1291"/>
        <v>0</v>
      </c>
      <c r="FV142" s="1319">
        <f t="shared" ca="1" si="1291"/>
        <v>0</v>
      </c>
      <c r="FW142" s="1319">
        <f t="shared" ca="1" si="1291"/>
        <v>0</v>
      </c>
      <c r="FX142" s="1319">
        <f t="shared" ca="1" si="1291"/>
        <v>0</v>
      </c>
      <c r="GG142" s="1334"/>
      <c r="GJ142" s="1319">
        <f t="shared" ca="1" si="1292"/>
        <v>0</v>
      </c>
      <c r="GK142" s="1319">
        <f t="shared" ca="1" si="1292"/>
        <v>0</v>
      </c>
      <c r="GL142" s="1319">
        <f t="shared" ca="1" si="1292"/>
        <v>0</v>
      </c>
      <c r="GM142" s="1319">
        <f t="shared" ca="1" si="1292"/>
        <v>0</v>
      </c>
      <c r="GN142" s="1319">
        <f t="shared" ca="1" si="1292"/>
        <v>0</v>
      </c>
      <c r="GO142" s="1319">
        <f t="shared" ca="1" si="1292"/>
        <v>0</v>
      </c>
      <c r="GP142" s="1319">
        <f t="shared" ca="1" si="1292"/>
        <v>0</v>
      </c>
      <c r="GQ142" s="1319">
        <f t="shared" ca="1" si="1292"/>
        <v>0</v>
      </c>
      <c r="GZ142" s="1334"/>
      <c r="HC142" s="1319">
        <f t="shared" ca="1" si="1293"/>
        <v>0</v>
      </c>
      <c r="HD142" s="1319">
        <f t="shared" ca="1" si="1293"/>
        <v>0</v>
      </c>
      <c r="HE142" s="1319">
        <f t="shared" ca="1" si="1293"/>
        <v>0</v>
      </c>
      <c r="HF142" s="1319">
        <f t="shared" ca="1" si="1293"/>
        <v>0</v>
      </c>
      <c r="HG142" s="1319">
        <f t="shared" ca="1" si="1293"/>
        <v>0</v>
      </c>
      <c r="HH142" s="1319">
        <f t="shared" ca="1" si="1293"/>
        <v>0</v>
      </c>
      <c r="HQ142" s="1334"/>
      <c r="HT142" s="1319">
        <f t="shared" ca="1" si="1294"/>
        <v>0</v>
      </c>
      <c r="HU142" s="1319">
        <f t="shared" ca="1" si="1294"/>
        <v>0</v>
      </c>
      <c r="HV142" s="1319">
        <f t="shared" ca="1" si="1294"/>
        <v>0</v>
      </c>
      <c r="HW142" s="1319">
        <f t="shared" ca="1" si="1294"/>
        <v>0</v>
      </c>
      <c r="HX142" s="1319">
        <f t="shared" ca="1" si="1294"/>
        <v>0</v>
      </c>
      <c r="HY142" s="1319">
        <f t="shared" ca="1" si="1294"/>
        <v>0</v>
      </c>
      <c r="HZ142" s="1319">
        <f t="shared" ca="1" si="1294"/>
        <v>0</v>
      </c>
      <c r="IA142" s="1319">
        <f t="shared" ca="1" si="1294"/>
        <v>0</v>
      </c>
      <c r="IB142" s="1319">
        <f t="shared" ca="1" si="1294"/>
        <v>0</v>
      </c>
      <c r="IC142" s="1319">
        <f t="shared" ca="1" si="1294"/>
        <v>0</v>
      </c>
      <c r="ID142" s="1319">
        <f t="shared" ca="1" si="1294"/>
        <v>0</v>
      </c>
      <c r="IE142" s="1319">
        <f t="shared" ca="1" si="1294"/>
        <v>0</v>
      </c>
      <c r="IN142" s="1334"/>
      <c r="IQ142" s="1319">
        <f t="shared" ca="1" si="1295"/>
        <v>0</v>
      </c>
      <c r="IR142" s="1319">
        <f t="shared" ca="1" si="1295"/>
        <v>0</v>
      </c>
      <c r="IS142" s="1319">
        <f t="shared" ca="1" si="1295"/>
        <v>0</v>
      </c>
      <c r="IT142" s="1319">
        <f t="shared" ca="1" si="1295"/>
        <v>0</v>
      </c>
      <c r="IU142" s="1319">
        <f t="shared" ca="1" si="1295"/>
        <v>0</v>
      </c>
      <c r="IV142" s="1319">
        <f t="shared" ca="1" si="1295"/>
        <v>0</v>
      </c>
      <c r="IW142" s="1319">
        <f t="shared" ca="1" si="1295"/>
        <v>0</v>
      </c>
      <c r="IX142" s="1319">
        <f t="shared" ca="1" si="1295"/>
        <v>0</v>
      </c>
      <c r="IY142" s="1319">
        <f t="shared" ca="1" si="1295"/>
        <v>0</v>
      </c>
      <c r="IZ142" s="1319">
        <f t="shared" ca="1" si="1295"/>
        <v>0</v>
      </c>
      <c r="JA142" s="1319">
        <f t="shared" ca="1" si="1295"/>
        <v>0</v>
      </c>
      <c r="JB142" s="1319">
        <f t="shared" ca="1" si="1296"/>
        <v>0</v>
      </c>
      <c r="JC142" s="1319">
        <f t="shared" ca="1" si="1296"/>
        <v>0</v>
      </c>
      <c r="JD142" s="1319">
        <f t="shared" ca="1" si="1296"/>
        <v>0</v>
      </c>
      <c r="JE142" s="1319">
        <f t="shared" ca="1" si="1296"/>
        <v>0</v>
      </c>
      <c r="JF142" s="1319">
        <f t="shared" ca="1" si="1296"/>
        <v>0</v>
      </c>
      <c r="JG142" s="1319">
        <f t="shared" ca="1" si="1296"/>
        <v>0</v>
      </c>
      <c r="JH142" s="1319">
        <f t="shared" ca="1" si="1296"/>
        <v>0</v>
      </c>
      <c r="JQ142" s="1334"/>
      <c r="JT142" s="1319">
        <f t="shared" ca="1" si="1297"/>
        <v>0</v>
      </c>
      <c r="JU142" s="1319">
        <f t="shared" ca="1" si="1297"/>
        <v>0</v>
      </c>
      <c r="JV142" s="1319">
        <f t="shared" ca="1" si="1297"/>
        <v>0</v>
      </c>
      <c r="JW142" s="1319">
        <f t="shared" ca="1" si="1297"/>
        <v>0</v>
      </c>
      <c r="JX142" s="1319">
        <f t="shared" ca="1" si="1297"/>
        <v>0</v>
      </c>
      <c r="JY142" s="1319">
        <f t="shared" ca="1" si="1297"/>
        <v>0</v>
      </c>
      <c r="JZ142" s="1319">
        <f t="shared" ca="1" si="1297"/>
        <v>0</v>
      </c>
      <c r="KA142" s="1319">
        <f t="shared" ca="1" si="1297"/>
        <v>0</v>
      </c>
      <c r="KB142" s="1319">
        <f t="shared" ca="1" si="1297"/>
        <v>0</v>
      </c>
      <c r="KC142" s="1319">
        <f t="shared" ca="1" si="1297"/>
        <v>0</v>
      </c>
      <c r="KI142" s="1334"/>
      <c r="KL142" s="1319">
        <f t="shared" ca="1" si="1298"/>
        <v>0</v>
      </c>
      <c r="KM142" s="1319">
        <f t="shared" ca="1" si="1298"/>
        <v>0</v>
      </c>
      <c r="KN142" s="1319">
        <f t="shared" ca="1" si="1298"/>
        <v>0</v>
      </c>
      <c r="KO142" s="1319">
        <f t="shared" ca="1" si="1298"/>
        <v>0</v>
      </c>
      <c r="KP142" s="1319">
        <f t="shared" ca="1" si="1298"/>
        <v>0</v>
      </c>
      <c r="KQ142" s="1319">
        <f t="shared" ca="1" si="1298"/>
        <v>0</v>
      </c>
      <c r="KR142" s="1319">
        <f t="shared" ca="1" si="1298"/>
        <v>0</v>
      </c>
      <c r="KX142" s="1334"/>
      <c r="LA142" s="1319">
        <f t="shared" ca="1" si="1299"/>
        <v>0</v>
      </c>
      <c r="LB142" s="1319">
        <f t="shared" ca="1" si="1299"/>
        <v>0</v>
      </c>
      <c r="LC142" s="1319">
        <f t="shared" ca="1" si="1299"/>
        <v>0</v>
      </c>
      <c r="LD142" s="1319">
        <f t="shared" ca="1" si="1299"/>
        <v>0</v>
      </c>
      <c r="LE142" s="1319">
        <f t="shared" ca="1" si="1299"/>
        <v>0</v>
      </c>
      <c r="LF142" s="1319">
        <f t="shared" ca="1" si="1299"/>
        <v>0</v>
      </c>
      <c r="LG142" s="1319">
        <f t="shared" ca="1" si="1299"/>
        <v>0</v>
      </c>
      <c r="LH142" s="1319">
        <f t="shared" ca="1" si="1299"/>
        <v>0</v>
      </c>
      <c r="LI142" s="1319">
        <f t="shared" ca="1" si="1299"/>
        <v>0</v>
      </c>
      <c r="LJ142" s="1319">
        <f t="shared" ca="1" si="1299"/>
        <v>0</v>
      </c>
      <c r="LK142" s="1319">
        <f t="shared" ca="1" si="1299"/>
        <v>0</v>
      </c>
      <c r="LT142" s="1334"/>
      <c r="LW142" s="1319">
        <f t="shared" ca="1" si="1300"/>
        <v>0</v>
      </c>
      <c r="LX142" s="1319">
        <f t="shared" ca="1" si="1300"/>
        <v>0</v>
      </c>
      <c r="LY142" s="1319">
        <f t="shared" ca="1" si="1300"/>
        <v>0</v>
      </c>
      <c r="LZ142" s="1319">
        <f t="shared" ca="1" si="1300"/>
        <v>0</v>
      </c>
      <c r="MA142" s="1319">
        <f t="shared" ca="1" si="1300"/>
        <v>0</v>
      </c>
      <c r="MB142" s="1319">
        <f t="shared" ca="1" si="1300"/>
        <v>0</v>
      </c>
      <c r="MC142" s="1319">
        <f t="shared" ca="1" si="1300"/>
        <v>0</v>
      </c>
      <c r="MD142" s="1319">
        <f t="shared" ca="1" si="1300"/>
        <v>0</v>
      </c>
      <c r="ME142" s="1319">
        <f t="shared" ca="1" si="1300"/>
        <v>0</v>
      </c>
      <c r="MF142" s="1319">
        <f t="shared" ca="1" si="1300"/>
        <v>0</v>
      </c>
      <c r="MG142" s="1319">
        <f t="shared" ca="1" si="1301"/>
        <v>0</v>
      </c>
      <c r="MH142" s="1319">
        <f t="shared" ca="1" si="1301"/>
        <v>0</v>
      </c>
      <c r="MI142" s="1319">
        <f t="shared" ca="1" si="1301"/>
        <v>0</v>
      </c>
      <c r="MJ142" s="1319">
        <f t="shared" ca="1" si="1301"/>
        <v>0</v>
      </c>
      <c r="MK142" s="1319">
        <f t="shared" ca="1" si="1301"/>
        <v>0</v>
      </c>
      <c r="ML142" s="1319">
        <f t="shared" ca="1" si="1301"/>
        <v>0</v>
      </c>
      <c r="MM142" s="1319">
        <f t="shared" ca="1" si="1301"/>
        <v>0</v>
      </c>
      <c r="MN142" s="1319">
        <f t="shared" ca="1" si="1301"/>
        <v>0</v>
      </c>
      <c r="MO142" s="1319">
        <f t="shared" ca="1" si="1301"/>
        <v>0</v>
      </c>
      <c r="MX142" s="1334"/>
      <c r="NA142" s="1319">
        <f t="shared" ca="1" si="1302"/>
        <v>0</v>
      </c>
      <c r="NB142" s="1319">
        <f t="shared" ca="1" si="1302"/>
        <v>0</v>
      </c>
      <c r="NC142" s="1319">
        <f t="shared" ca="1" si="1302"/>
        <v>0</v>
      </c>
      <c r="ND142" s="1319">
        <f t="shared" ca="1" si="1302"/>
        <v>0</v>
      </c>
      <c r="NE142" s="1319">
        <f t="shared" ca="1" si="1302"/>
        <v>0</v>
      </c>
      <c r="NF142" s="1319">
        <f t="shared" ca="1" si="1302"/>
        <v>0</v>
      </c>
      <c r="NG142" s="1319">
        <f t="shared" ca="1" si="1302"/>
        <v>0</v>
      </c>
      <c r="NH142" s="1319">
        <f t="shared" ca="1" si="1302"/>
        <v>0</v>
      </c>
      <c r="NI142" s="1319">
        <f t="shared" ca="1" si="1302"/>
        <v>0</v>
      </c>
      <c r="NJ142" s="1319">
        <f t="shared" ca="1" si="1302"/>
        <v>0</v>
      </c>
      <c r="NK142" s="1319">
        <f t="shared" ca="1" si="1302"/>
        <v>0</v>
      </c>
      <c r="NL142" s="1319">
        <f t="shared" ca="1" si="1302"/>
        <v>0</v>
      </c>
      <c r="NM142" s="1319">
        <f t="shared" ca="1" si="1302"/>
        <v>0</v>
      </c>
      <c r="NN142" s="1319">
        <f t="shared" ca="1" si="1302"/>
        <v>0</v>
      </c>
      <c r="NO142" s="1319">
        <f t="shared" ca="1" si="1302"/>
        <v>0</v>
      </c>
      <c r="NP142" s="1319">
        <f t="shared" ca="1" si="1302"/>
        <v>0</v>
      </c>
      <c r="NY142" s="1334"/>
      <c r="OE142" s="1334"/>
      <c r="OH142" s="1319">
        <f t="shared" ca="1" si="1303"/>
        <v>0</v>
      </c>
      <c r="OI142" s="1319">
        <f t="shared" ca="1" si="1303"/>
        <v>0</v>
      </c>
      <c r="OJ142" s="1319">
        <f t="shared" ca="1" si="1303"/>
        <v>0</v>
      </c>
      <c r="OK142" s="1319">
        <f t="shared" ca="1" si="1303"/>
        <v>0</v>
      </c>
      <c r="OL142" s="1319">
        <f t="shared" ca="1" si="1303"/>
        <v>0</v>
      </c>
      <c r="OM142" s="1319">
        <f t="shared" ca="1" si="1303"/>
        <v>0</v>
      </c>
      <c r="ON142" s="1319">
        <f t="shared" ca="1" si="1303"/>
        <v>0</v>
      </c>
      <c r="OO142" s="1319">
        <f t="shared" ca="1" si="1303"/>
        <v>0</v>
      </c>
      <c r="OX142" s="1334"/>
      <c r="PA142" s="1319">
        <f t="shared" ca="1" si="1304"/>
        <v>0</v>
      </c>
      <c r="PB142" s="1319">
        <f t="shared" ca="1" si="1304"/>
        <v>0</v>
      </c>
      <c r="PC142" s="1319">
        <f t="shared" ca="1" si="1304"/>
        <v>0</v>
      </c>
      <c r="PD142" s="1319">
        <f t="shared" ca="1" si="1304"/>
        <v>0</v>
      </c>
      <c r="PE142" s="1319">
        <f t="shared" ca="1" si="1304"/>
        <v>0</v>
      </c>
      <c r="PF142" s="1319">
        <f t="shared" ca="1" si="1304"/>
        <v>0</v>
      </c>
      <c r="PG142" s="1319">
        <f t="shared" ca="1" si="1304"/>
        <v>0</v>
      </c>
      <c r="PH142" s="1319">
        <f t="shared" ca="1" si="1304"/>
        <v>0</v>
      </c>
      <c r="PI142" s="1319">
        <f t="shared" ca="1" si="1304"/>
        <v>0</v>
      </c>
      <c r="PJ142" s="1319">
        <f t="shared" ca="1" si="1304"/>
        <v>0</v>
      </c>
      <c r="PK142" s="1319">
        <f t="shared" ca="1" si="1304"/>
        <v>0</v>
      </c>
      <c r="PT142" s="1334"/>
      <c r="PW142" s="1319">
        <f t="shared" ca="1" si="1305"/>
        <v>0</v>
      </c>
      <c r="PX142" s="1319">
        <f t="shared" ca="1" si="1305"/>
        <v>0</v>
      </c>
      <c r="PY142" s="1319">
        <f t="shared" ca="1" si="1305"/>
        <v>0</v>
      </c>
      <c r="PZ142" s="1319">
        <f t="shared" ca="1" si="1305"/>
        <v>0</v>
      </c>
    </row>
    <row r="143" spans="1:442" x14ac:dyDescent="0.25">
      <c r="A143" s="189">
        <v>32</v>
      </c>
      <c r="B143" s="189" t="s">
        <v>1256</v>
      </c>
      <c r="C143" s="1317" t="s">
        <v>1608</v>
      </c>
      <c r="D143" s="1317" t="s">
        <v>206</v>
      </c>
      <c r="E143" s="1320">
        <v>63.012</v>
      </c>
      <c r="F143" s="1321">
        <v>1.2527803175000005E-2</v>
      </c>
      <c r="G143" s="1334"/>
      <c r="J143" s="1319">
        <f t="shared" ca="1" si="1283"/>
        <v>0</v>
      </c>
      <c r="K143" s="1319">
        <f t="shared" ca="1" si="1283"/>
        <v>0</v>
      </c>
      <c r="Q143" s="1334"/>
      <c r="T143" s="1319">
        <f t="shared" ca="1" si="1284"/>
        <v>0</v>
      </c>
      <c r="U143" s="1319">
        <f t="shared" ca="1" si="1284"/>
        <v>0</v>
      </c>
      <c r="V143" s="1319">
        <f t="shared" ca="1" si="1284"/>
        <v>0</v>
      </c>
      <c r="W143" s="1319">
        <f t="shared" ca="1" si="1284"/>
        <v>0</v>
      </c>
      <c r="X143" s="1319">
        <f t="shared" ca="1" si="1284"/>
        <v>0</v>
      </c>
      <c r="Y143" s="1319">
        <f t="shared" ca="1" si="1284"/>
        <v>0</v>
      </c>
      <c r="Z143" s="1319">
        <f t="shared" ca="1" si="1284"/>
        <v>0</v>
      </c>
      <c r="AA143" s="1319">
        <f t="shared" ca="1" si="1284"/>
        <v>0</v>
      </c>
      <c r="AB143" s="1319">
        <f t="shared" ca="1" si="1284"/>
        <v>0</v>
      </c>
      <c r="AC143" s="1319">
        <f t="shared" ca="1" si="1284"/>
        <v>0</v>
      </c>
      <c r="AD143" s="1319">
        <f t="shared" ca="1" si="1284"/>
        <v>0</v>
      </c>
      <c r="AJ143" s="1334"/>
      <c r="AM143" s="1319">
        <f t="shared" ca="1" si="1285"/>
        <v>0</v>
      </c>
      <c r="AN143" s="1319">
        <f t="shared" ca="1" si="1285"/>
        <v>0</v>
      </c>
      <c r="AO143" s="1319">
        <f t="shared" ca="1" si="1285"/>
        <v>0</v>
      </c>
      <c r="AP143" s="1319">
        <f t="shared" ca="1" si="1285"/>
        <v>0</v>
      </c>
      <c r="AQ143" s="1319">
        <f t="shared" ca="1" si="1285"/>
        <v>0</v>
      </c>
      <c r="AR143" s="1319">
        <f t="shared" ca="1" si="1285"/>
        <v>0</v>
      </c>
      <c r="AS143" s="1319">
        <f t="shared" ca="1" si="1285"/>
        <v>0</v>
      </c>
      <c r="AT143" s="1319">
        <f t="shared" ca="1" si="1285"/>
        <v>0</v>
      </c>
      <c r="AU143" s="1319">
        <f t="shared" ca="1" si="1285"/>
        <v>0</v>
      </c>
      <c r="AV143" s="1319">
        <f t="shared" ca="1" si="1285"/>
        <v>0</v>
      </c>
      <c r="AW143" s="1319">
        <f t="shared" ca="1" si="1285"/>
        <v>0</v>
      </c>
      <c r="AX143" s="1319">
        <f t="shared" ca="1" si="1285"/>
        <v>0</v>
      </c>
      <c r="AY143" s="1319">
        <f t="shared" ca="1" si="1285"/>
        <v>0</v>
      </c>
      <c r="AZ143" s="1319">
        <f t="shared" ca="1" si="1285"/>
        <v>0</v>
      </c>
      <c r="BA143" s="1319">
        <f t="shared" ca="1" si="1285"/>
        <v>0</v>
      </c>
      <c r="BB143" s="1319">
        <f t="shared" ca="1" si="1285"/>
        <v>0</v>
      </c>
      <c r="BK143" s="1334"/>
      <c r="BN143" s="1319">
        <f t="shared" ca="1" si="1286"/>
        <v>0</v>
      </c>
      <c r="BO143" s="1319">
        <f t="shared" ca="1" si="1286"/>
        <v>0</v>
      </c>
      <c r="BP143" s="1319">
        <f t="shared" ca="1" si="1286"/>
        <v>0</v>
      </c>
      <c r="BQ143" s="1319">
        <f t="shared" ca="1" si="1286"/>
        <v>0</v>
      </c>
      <c r="BR143" s="1319">
        <f t="shared" ca="1" si="1286"/>
        <v>0</v>
      </c>
      <c r="CA143" s="1334"/>
      <c r="CD143" s="1319">
        <f t="shared" ca="1" si="1287"/>
        <v>0</v>
      </c>
      <c r="CE143" s="1319">
        <f t="shared" ca="1" si="1287"/>
        <v>0</v>
      </c>
      <c r="CF143" s="1319">
        <f t="shared" ca="1" si="1287"/>
        <v>0</v>
      </c>
      <c r="CG143" s="1319">
        <f t="shared" ca="1" si="1287"/>
        <v>0</v>
      </c>
      <c r="CH143" s="1319">
        <f t="shared" ca="1" si="1287"/>
        <v>0</v>
      </c>
      <c r="CI143" s="1319">
        <f t="shared" ca="1" si="1287"/>
        <v>0</v>
      </c>
      <c r="CJ143" s="1319">
        <f t="shared" ca="1" si="1287"/>
        <v>0</v>
      </c>
      <c r="CK143" s="1319">
        <f t="shared" ca="1" si="1287"/>
        <v>0</v>
      </c>
      <c r="CL143" s="1319">
        <f t="shared" ca="1" si="1287"/>
        <v>0</v>
      </c>
      <c r="CM143" s="1319">
        <f t="shared" ca="1" si="1287"/>
        <v>0</v>
      </c>
      <c r="CN143" s="1319">
        <f t="shared" ca="1" si="1287"/>
        <v>0</v>
      </c>
      <c r="CO143" s="1319">
        <f t="shared" ca="1" si="1287"/>
        <v>0</v>
      </c>
      <c r="CX143" s="1334"/>
      <c r="DA143" s="1319">
        <f t="shared" ca="1" si="1288"/>
        <v>0</v>
      </c>
      <c r="DB143" s="1319">
        <f t="shared" ca="1" si="1288"/>
        <v>0</v>
      </c>
      <c r="DC143" s="1319">
        <f t="shared" ca="1" si="1288"/>
        <v>0</v>
      </c>
      <c r="DD143" s="1319">
        <f t="shared" ca="1" si="1288"/>
        <v>0</v>
      </c>
      <c r="DE143" s="1319">
        <f t="shared" ca="1" si="1288"/>
        <v>0</v>
      </c>
      <c r="DF143" s="1319">
        <f t="shared" ca="1" si="1288"/>
        <v>0</v>
      </c>
      <c r="DG143" s="1319">
        <f t="shared" ca="1" si="1288"/>
        <v>0</v>
      </c>
      <c r="DH143" s="1319">
        <f t="shared" ca="1" si="1288"/>
        <v>0</v>
      </c>
      <c r="DI143" s="1319">
        <f t="shared" ca="1" si="1288"/>
        <v>0</v>
      </c>
      <c r="DJ143" s="1319">
        <f t="shared" ca="1" si="1288"/>
        <v>0</v>
      </c>
      <c r="DS143" s="1334"/>
      <c r="DV143" s="1319">
        <f t="shared" ca="1" si="1289"/>
        <v>0</v>
      </c>
      <c r="DW143" s="1319">
        <f t="shared" ca="1" si="1289"/>
        <v>0</v>
      </c>
      <c r="DX143" s="1319">
        <f t="shared" ca="1" si="1289"/>
        <v>0</v>
      </c>
      <c r="DY143" s="1319">
        <f t="shared" ca="1" si="1289"/>
        <v>0</v>
      </c>
      <c r="DZ143" s="1319">
        <f t="shared" ca="1" si="1289"/>
        <v>0</v>
      </c>
      <c r="EA143" s="1319">
        <f t="shared" ca="1" si="1289"/>
        <v>0</v>
      </c>
      <c r="EB143" s="1319">
        <f t="shared" ca="1" si="1289"/>
        <v>0</v>
      </c>
      <c r="EC143" s="1319">
        <f t="shared" ca="1" si="1289"/>
        <v>0</v>
      </c>
      <c r="ED143" s="1319">
        <f t="shared" ca="1" si="1289"/>
        <v>0</v>
      </c>
      <c r="EE143" s="1319">
        <f t="shared" ca="1" si="1289"/>
        <v>0</v>
      </c>
      <c r="EF143" s="1319">
        <f t="shared" ca="1" si="1289"/>
        <v>0</v>
      </c>
      <c r="EG143" s="1319">
        <f t="shared" ca="1" si="1289"/>
        <v>0</v>
      </c>
      <c r="EH143" s="1319">
        <f t="shared" ca="1" si="1289"/>
        <v>0</v>
      </c>
      <c r="EI143" s="1319">
        <f t="shared" ca="1" si="1289"/>
        <v>0</v>
      </c>
      <c r="EJ143" s="1319">
        <f t="shared" ca="1" si="1289"/>
        <v>0</v>
      </c>
      <c r="EK143" s="1319">
        <f t="shared" ca="1" si="1289"/>
        <v>0</v>
      </c>
      <c r="ET143" s="1334"/>
      <c r="EW143" s="1319">
        <f t="shared" ca="1" si="1290"/>
        <v>0</v>
      </c>
      <c r="EX143" s="1319">
        <f t="shared" ca="1" si="1290"/>
        <v>0</v>
      </c>
      <c r="EY143" s="1319">
        <f t="shared" ca="1" si="1290"/>
        <v>0</v>
      </c>
      <c r="EZ143" s="1319">
        <f t="shared" ca="1" si="1290"/>
        <v>0</v>
      </c>
      <c r="FA143" s="1319">
        <f t="shared" ca="1" si="1290"/>
        <v>0</v>
      </c>
      <c r="FB143" s="1319">
        <f t="shared" ca="1" si="1290"/>
        <v>0</v>
      </c>
      <c r="FK143" s="1334"/>
      <c r="FN143" s="1319">
        <f t="shared" ca="1" si="1291"/>
        <v>0</v>
      </c>
      <c r="FO143" s="1319">
        <f t="shared" ca="1" si="1291"/>
        <v>0</v>
      </c>
      <c r="FP143" s="1319">
        <f t="shared" ca="1" si="1291"/>
        <v>0</v>
      </c>
      <c r="FQ143" s="1319">
        <f t="shared" ca="1" si="1291"/>
        <v>0</v>
      </c>
      <c r="FR143" s="1319">
        <f t="shared" ca="1" si="1291"/>
        <v>0</v>
      </c>
      <c r="FS143" s="1319">
        <f t="shared" ca="1" si="1291"/>
        <v>0</v>
      </c>
      <c r="FT143" s="1319">
        <f t="shared" ca="1" si="1291"/>
        <v>0</v>
      </c>
      <c r="FU143" s="1319">
        <f t="shared" ca="1" si="1291"/>
        <v>0</v>
      </c>
      <c r="FV143" s="1319">
        <f t="shared" ca="1" si="1291"/>
        <v>0</v>
      </c>
      <c r="FW143" s="1319">
        <f t="shared" ca="1" si="1291"/>
        <v>0</v>
      </c>
      <c r="FX143" s="1319">
        <f t="shared" ca="1" si="1291"/>
        <v>0</v>
      </c>
      <c r="GG143" s="1334"/>
      <c r="GJ143" s="1319">
        <f t="shared" ca="1" si="1292"/>
        <v>0</v>
      </c>
      <c r="GK143" s="1319">
        <f t="shared" ca="1" si="1292"/>
        <v>0</v>
      </c>
      <c r="GL143" s="1319">
        <f t="shared" ca="1" si="1292"/>
        <v>0</v>
      </c>
      <c r="GM143" s="1319">
        <f t="shared" ca="1" si="1292"/>
        <v>0</v>
      </c>
      <c r="GN143" s="1319">
        <f t="shared" ca="1" si="1292"/>
        <v>0</v>
      </c>
      <c r="GO143" s="1319">
        <f t="shared" ca="1" si="1292"/>
        <v>0</v>
      </c>
      <c r="GP143" s="1319">
        <f t="shared" ca="1" si="1292"/>
        <v>0</v>
      </c>
      <c r="GQ143" s="1319">
        <f t="shared" ca="1" si="1292"/>
        <v>0</v>
      </c>
      <c r="GZ143" s="1334"/>
      <c r="HC143" s="1319">
        <f t="shared" ca="1" si="1293"/>
        <v>0</v>
      </c>
      <c r="HD143" s="1319">
        <f t="shared" ca="1" si="1293"/>
        <v>0</v>
      </c>
      <c r="HE143" s="1319">
        <f t="shared" ca="1" si="1293"/>
        <v>0</v>
      </c>
      <c r="HF143" s="1319">
        <f t="shared" ca="1" si="1293"/>
        <v>0</v>
      </c>
      <c r="HG143" s="1319">
        <f t="shared" ca="1" si="1293"/>
        <v>0</v>
      </c>
      <c r="HH143" s="1319">
        <f t="shared" ca="1" si="1293"/>
        <v>0</v>
      </c>
      <c r="HQ143" s="1334"/>
      <c r="HT143" s="1319">
        <f t="shared" ca="1" si="1294"/>
        <v>0</v>
      </c>
      <c r="HU143" s="1319">
        <f t="shared" ca="1" si="1294"/>
        <v>0</v>
      </c>
      <c r="HV143" s="1319">
        <f t="shared" ca="1" si="1294"/>
        <v>0</v>
      </c>
      <c r="HW143" s="1319">
        <f t="shared" ca="1" si="1294"/>
        <v>0</v>
      </c>
      <c r="HX143" s="1319">
        <f t="shared" ca="1" si="1294"/>
        <v>0</v>
      </c>
      <c r="HY143" s="1319">
        <f t="shared" ca="1" si="1294"/>
        <v>0</v>
      </c>
      <c r="HZ143" s="1319">
        <f t="shared" ca="1" si="1294"/>
        <v>0</v>
      </c>
      <c r="IA143" s="1319">
        <f t="shared" ca="1" si="1294"/>
        <v>0</v>
      </c>
      <c r="IB143" s="1319">
        <f t="shared" ca="1" si="1294"/>
        <v>0</v>
      </c>
      <c r="IC143" s="1319">
        <f t="shared" ca="1" si="1294"/>
        <v>0</v>
      </c>
      <c r="ID143" s="1319">
        <f t="shared" ca="1" si="1294"/>
        <v>0</v>
      </c>
      <c r="IE143" s="1319">
        <f t="shared" ca="1" si="1294"/>
        <v>0</v>
      </c>
      <c r="IN143" s="1334"/>
      <c r="IQ143" s="1319">
        <f t="shared" ca="1" si="1295"/>
        <v>0</v>
      </c>
      <c r="IR143" s="1319">
        <f t="shared" ca="1" si="1295"/>
        <v>0</v>
      </c>
      <c r="IS143" s="1319">
        <f t="shared" ca="1" si="1295"/>
        <v>0</v>
      </c>
      <c r="IT143" s="1319">
        <f t="shared" ca="1" si="1295"/>
        <v>0</v>
      </c>
      <c r="IU143" s="1319">
        <f t="shared" ca="1" si="1295"/>
        <v>0</v>
      </c>
      <c r="IV143" s="1319">
        <f t="shared" ca="1" si="1295"/>
        <v>0</v>
      </c>
      <c r="IW143" s="1319">
        <f t="shared" ca="1" si="1295"/>
        <v>0</v>
      </c>
      <c r="IX143" s="1319">
        <f t="shared" ca="1" si="1295"/>
        <v>0</v>
      </c>
      <c r="IY143" s="1319">
        <f t="shared" ca="1" si="1295"/>
        <v>0</v>
      </c>
      <c r="IZ143" s="1319">
        <f t="shared" ca="1" si="1295"/>
        <v>0</v>
      </c>
      <c r="JA143" s="1319">
        <f t="shared" ca="1" si="1295"/>
        <v>0</v>
      </c>
      <c r="JB143" s="1319">
        <f t="shared" ca="1" si="1296"/>
        <v>0</v>
      </c>
      <c r="JC143" s="1319">
        <f t="shared" ca="1" si="1296"/>
        <v>0</v>
      </c>
      <c r="JD143" s="1319">
        <f t="shared" ca="1" si="1296"/>
        <v>0</v>
      </c>
      <c r="JE143" s="1319">
        <f t="shared" ca="1" si="1296"/>
        <v>0</v>
      </c>
      <c r="JF143" s="1319">
        <f t="shared" ca="1" si="1296"/>
        <v>0</v>
      </c>
      <c r="JG143" s="1319">
        <f t="shared" ca="1" si="1296"/>
        <v>0</v>
      </c>
      <c r="JH143" s="1319">
        <f t="shared" ca="1" si="1296"/>
        <v>0</v>
      </c>
      <c r="JQ143" s="1334"/>
      <c r="JT143" s="1319">
        <f t="shared" ca="1" si="1297"/>
        <v>0</v>
      </c>
      <c r="JU143" s="1319">
        <f t="shared" ca="1" si="1297"/>
        <v>0</v>
      </c>
      <c r="JV143" s="1319">
        <f t="shared" ca="1" si="1297"/>
        <v>0</v>
      </c>
      <c r="JW143" s="1319">
        <f t="shared" ca="1" si="1297"/>
        <v>0</v>
      </c>
      <c r="JX143" s="1319">
        <f t="shared" ca="1" si="1297"/>
        <v>0</v>
      </c>
      <c r="JY143" s="1319">
        <f t="shared" ca="1" si="1297"/>
        <v>0</v>
      </c>
      <c r="JZ143" s="1319">
        <f t="shared" ca="1" si="1297"/>
        <v>0</v>
      </c>
      <c r="KA143" s="1319">
        <f t="shared" ca="1" si="1297"/>
        <v>0</v>
      </c>
      <c r="KB143" s="1319">
        <f t="shared" ca="1" si="1297"/>
        <v>0</v>
      </c>
      <c r="KC143" s="1319">
        <f t="shared" ca="1" si="1297"/>
        <v>0</v>
      </c>
      <c r="KI143" s="1334"/>
      <c r="KL143" s="1319">
        <f t="shared" ca="1" si="1298"/>
        <v>0</v>
      </c>
      <c r="KM143" s="1319">
        <f t="shared" ca="1" si="1298"/>
        <v>0</v>
      </c>
      <c r="KN143" s="1319">
        <f t="shared" ca="1" si="1298"/>
        <v>0</v>
      </c>
      <c r="KO143" s="1319">
        <f t="shared" ca="1" si="1298"/>
        <v>0</v>
      </c>
      <c r="KP143" s="1319">
        <f t="shared" ca="1" si="1298"/>
        <v>0</v>
      </c>
      <c r="KQ143" s="1319">
        <f t="shared" ca="1" si="1298"/>
        <v>0</v>
      </c>
      <c r="KR143" s="1319">
        <f t="shared" ca="1" si="1298"/>
        <v>0</v>
      </c>
      <c r="KX143" s="1334"/>
      <c r="LA143" s="1319">
        <f t="shared" ca="1" si="1299"/>
        <v>0</v>
      </c>
      <c r="LB143" s="1319">
        <f t="shared" ca="1" si="1299"/>
        <v>0</v>
      </c>
      <c r="LC143" s="1319">
        <f t="shared" ca="1" si="1299"/>
        <v>0</v>
      </c>
      <c r="LD143" s="1319">
        <f t="shared" ca="1" si="1299"/>
        <v>0</v>
      </c>
      <c r="LE143" s="1319">
        <f t="shared" ca="1" si="1299"/>
        <v>0</v>
      </c>
      <c r="LF143" s="1319">
        <f t="shared" ca="1" si="1299"/>
        <v>0</v>
      </c>
      <c r="LG143" s="1319">
        <f t="shared" ca="1" si="1299"/>
        <v>0</v>
      </c>
      <c r="LH143" s="1319">
        <f t="shared" ca="1" si="1299"/>
        <v>0</v>
      </c>
      <c r="LI143" s="1319">
        <f t="shared" ca="1" si="1299"/>
        <v>0</v>
      </c>
      <c r="LJ143" s="1319">
        <f t="shared" ca="1" si="1299"/>
        <v>0</v>
      </c>
      <c r="LK143" s="1319">
        <f t="shared" ca="1" si="1299"/>
        <v>0</v>
      </c>
      <c r="LT143" s="1334"/>
      <c r="LW143" s="1319">
        <f t="shared" ca="1" si="1300"/>
        <v>0</v>
      </c>
      <c r="LX143" s="1319">
        <f t="shared" ca="1" si="1300"/>
        <v>0</v>
      </c>
      <c r="LY143" s="1319">
        <f t="shared" ca="1" si="1300"/>
        <v>0</v>
      </c>
      <c r="LZ143" s="1319">
        <f t="shared" ca="1" si="1300"/>
        <v>0</v>
      </c>
      <c r="MA143" s="1319">
        <f t="shared" ca="1" si="1300"/>
        <v>0</v>
      </c>
      <c r="MB143" s="1319">
        <f t="shared" ca="1" si="1300"/>
        <v>0</v>
      </c>
      <c r="MC143" s="1319">
        <f t="shared" ca="1" si="1300"/>
        <v>0</v>
      </c>
      <c r="MD143" s="1319">
        <f t="shared" ca="1" si="1300"/>
        <v>0</v>
      </c>
      <c r="ME143" s="1319">
        <f t="shared" ca="1" si="1300"/>
        <v>0</v>
      </c>
      <c r="MF143" s="1319">
        <f t="shared" ca="1" si="1300"/>
        <v>0</v>
      </c>
      <c r="MG143" s="1319">
        <f t="shared" ca="1" si="1301"/>
        <v>0</v>
      </c>
      <c r="MH143" s="1319">
        <f t="shared" ca="1" si="1301"/>
        <v>0</v>
      </c>
      <c r="MI143" s="1319">
        <f t="shared" ca="1" si="1301"/>
        <v>0</v>
      </c>
      <c r="MJ143" s="1319">
        <f t="shared" ca="1" si="1301"/>
        <v>0</v>
      </c>
      <c r="MK143" s="1319">
        <f t="shared" ca="1" si="1301"/>
        <v>0</v>
      </c>
      <c r="ML143" s="1319">
        <f t="shared" ca="1" si="1301"/>
        <v>0</v>
      </c>
      <c r="MM143" s="1319">
        <f t="shared" ca="1" si="1301"/>
        <v>0</v>
      </c>
      <c r="MN143" s="1319">
        <f t="shared" ca="1" si="1301"/>
        <v>0</v>
      </c>
      <c r="MO143" s="1319">
        <f t="shared" ca="1" si="1301"/>
        <v>0</v>
      </c>
      <c r="MX143" s="1334"/>
      <c r="NA143" s="1319">
        <f t="shared" ca="1" si="1302"/>
        <v>0</v>
      </c>
      <c r="NB143" s="1319">
        <f t="shared" ca="1" si="1302"/>
        <v>0</v>
      </c>
      <c r="NC143" s="1319">
        <f t="shared" ca="1" si="1302"/>
        <v>0</v>
      </c>
      <c r="ND143" s="1319">
        <f t="shared" ca="1" si="1302"/>
        <v>0</v>
      </c>
      <c r="NE143" s="1319">
        <f t="shared" ca="1" si="1302"/>
        <v>0</v>
      </c>
      <c r="NF143" s="1319">
        <f t="shared" ca="1" si="1302"/>
        <v>0</v>
      </c>
      <c r="NG143" s="1319">
        <f t="shared" ca="1" si="1302"/>
        <v>0</v>
      </c>
      <c r="NH143" s="1319">
        <f t="shared" ca="1" si="1302"/>
        <v>0</v>
      </c>
      <c r="NI143" s="1319">
        <f t="shared" ca="1" si="1302"/>
        <v>0</v>
      </c>
      <c r="NJ143" s="1319">
        <f t="shared" ca="1" si="1302"/>
        <v>0</v>
      </c>
      <c r="NK143" s="1319">
        <f t="shared" ca="1" si="1302"/>
        <v>0</v>
      </c>
      <c r="NL143" s="1319">
        <f t="shared" ca="1" si="1302"/>
        <v>0</v>
      </c>
      <c r="NM143" s="1319">
        <f t="shared" ca="1" si="1302"/>
        <v>0</v>
      </c>
      <c r="NN143" s="1319">
        <f t="shared" ca="1" si="1302"/>
        <v>0</v>
      </c>
      <c r="NO143" s="1319">
        <f t="shared" ca="1" si="1302"/>
        <v>0</v>
      </c>
      <c r="NP143" s="1319">
        <f t="shared" ca="1" si="1302"/>
        <v>0</v>
      </c>
      <c r="NY143" s="1334"/>
      <c r="OE143" s="1334"/>
      <c r="OH143" s="1319">
        <f t="shared" ca="1" si="1303"/>
        <v>0</v>
      </c>
      <c r="OI143" s="1319">
        <f t="shared" ca="1" si="1303"/>
        <v>0</v>
      </c>
      <c r="OJ143" s="1319">
        <f t="shared" ca="1" si="1303"/>
        <v>0</v>
      </c>
      <c r="OK143" s="1319">
        <f t="shared" ca="1" si="1303"/>
        <v>0</v>
      </c>
      <c r="OL143" s="1319">
        <f t="shared" ca="1" si="1303"/>
        <v>0</v>
      </c>
      <c r="OM143" s="1319">
        <f t="shared" ca="1" si="1303"/>
        <v>0</v>
      </c>
      <c r="ON143" s="1319">
        <f t="shared" ca="1" si="1303"/>
        <v>0</v>
      </c>
      <c r="OO143" s="1319">
        <f t="shared" ca="1" si="1303"/>
        <v>0</v>
      </c>
      <c r="OX143" s="1334"/>
      <c r="PA143" s="1319">
        <f t="shared" ca="1" si="1304"/>
        <v>0</v>
      </c>
      <c r="PB143" s="1319">
        <f t="shared" ca="1" si="1304"/>
        <v>0</v>
      </c>
      <c r="PC143" s="1319">
        <f t="shared" ca="1" si="1304"/>
        <v>0</v>
      </c>
      <c r="PD143" s="1319">
        <f t="shared" ca="1" si="1304"/>
        <v>0</v>
      </c>
      <c r="PE143" s="1319">
        <f t="shared" ca="1" si="1304"/>
        <v>0</v>
      </c>
      <c r="PF143" s="1319">
        <f t="shared" ca="1" si="1304"/>
        <v>0</v>
      </c>
      <c r="PG143" s="1319">
        <f t="shared" ca="1" si="1304"/>
        <v>0</v>
      </c>
      <c r="PH143" s="1319">
        <f t="shared" ca="1" si="1304"/>
        <v>0</v>
      </c>
      <c r="PI143" s="1319">
        <f t="shared" ca="1" si="1304"/>
        <v>0</v>
      </c>
      <c r="PJ143" s="1319">
        <f t="shared" ca="1" si="1304"/>
        <v>0</v>
      </c>
      <c r="PK143" s="1319">
        <f t="shared" ca="1" si="1304"/>
        <v>0</v>
      </c>
      <c r="PT143" s="1334"/>
      <c r="PW143" s="1319">
        <f t="shared" ca="1" si="1305"/>
        <v>0</v>
      </c>
      <c r="PX143" s="1319">
        <f t="shared" ca="1" si="1305"/>
        <v>0</v>
      </c>
      <c r="PY143" s="1319">
        <f t="shared" ca="1" si="1305"/>
        <v>0</v>
      </c>
      <c r="PZ143" s="1319">
        <f t="shared" ca="1" si="1305"/>
        <v>0</v>
      </c>
    </row>
    <row r="144" spans="1:442" x14ac:dyDescent="0.25">
      <c r="A144" s="189">
        <v>33</v>
      </c>
      <c r="B144" s="189" t="s">
        <v>1256</v>
      </c>
      <c r="C144" s="1317" t="s">
        <v>2636</v>
      </c>
      <c r="D144" s="1317" t="s">
        <v>206</v>
      </c>
      <c r="E144" s="1318">
        <v>84.994709999999998</v>
      </c>
      <c r="F144" s="1322">
        <v>0.11527327405000001</v>
      </c>
      <c r="G144" s="1334"/>
      <c r="J144" s="1319">
        <f t="shared" ca="1" si="1283"/>
        <v>0</v>
      </c>
      <c r="K144" s="1319">
        <f t="shared" ca="1" si="1283"/>
        <v>0</v>
      </c>
      <c r="Q144" s="1334"/>
      <c r="T144" s="1319">
        <f t="shared" ca="1" si="1284"/>
        <v>0</v>
      </c>
      <c r="U144" s="1319">
        <f t="shared" ca="1" si="1284"/>
        <v>0</v>
      </c>
      <c r="V144" s="1319">
        <f t="shared" ca="1" si="1284"/>
        <v>0</v>
      </c>
      <c r="W144" s="1319">
        <f t="shared" ca="1" si="1284"/>
        <v>0</v>
      </c>
      <c r="X144" s="1319">
        <f t="shared" ca="1" si="1284"/>
        <v>0</v>
      </c>
      <c r="Y144" s="1319">
        <f t="shared" ca="1" si="1284"/>
        <v>0</v>
      </c>
      <c r="Z144" s="1319">
        <f t="shared" ca="1" si="1284"/>
        <v>0</v>
      </c>
      <c r="AA144" s="1319">
        <f t="shared" ca="1" si="1284"/>
        <v>0</v>
      </c>
      <c r="AB144" s="1319">
        <f t="shared" ca="1" si="1284"/>
        <v>0</v>
      </c>
      <c r="AC144" s="1319">
        <f t="shared" ca="1" si="1284"/>
        <v>0</v>
      </c>
      <c r="AD144" s="1319">
        <f t="shared" ca="1" si="1284"/>
        <v>0</v>
      </c>
      <c r="AJ144" s="1334"/>
      <c r="AM144" s="1319">
        <f t="shared" ca="1" si="1285"/>
        <v>0</v>
      </c>
      <c r="AN144" s="1319">
        <f t="shared" ca="1" si="1285"/>
        <v>0</v>
      </c>
      <c r="AO144" s="1319">
        <f t="shared" ca="1" si="1285"/>
        <v>0</v>
      </c>
      <c r="AP144" s="1319">
        <f t="shared" ca="1" si="1285"/>
        <v>0</v>
      </c>
      <c r="AQ144" s="1319">
        <f t="shared" ca="1" si="1285"/>
        <v>0</v>
      </c>
      <c r="AR144" s="1319">
        <f t="shared" ca="1" si="1285"/>
        <v>0</v>
      </c>
      <c r="AS144" s="1319">
        <f t="shared" ca="1" si="1285"/>
        <v>0</v>
      </c>
      <c r="AT144" s="1319">
        <f t="shared" ca="1" si="1285"/>
        <v>0</v>
      </c>
      <c r="AU144" s="1319">
        <f t="shared" ca="1" si="1285"/>
        <v>0</v>
      </c>
      <c r="AV144" s="1319">
        <f t="shared" ca="1" si="1285"/>
        <v>0</v>
      </c>
      <c r="AW144" s="1319">
        <f t="shared" ca="1" si="1285"/>
        <v>0</v>
      </c>
      <c r="AX144" s="1319">
        <f t="shared" ca="1" si="1285"/>
        <v>0</v>
      </c>
      <c r="AY144" s="1319">
        <f t="shared" ca="1" si="1285"/>
        <v>0</v>
      </c>
      <c r="AZ144" s="1319">
        <f t="shared" ca="1" si="1285"/>
        <v>0</v>
      </c>
      <c r="BA144" s="1319">
        <f t="shared" ca="1" si="1285"/>
        <v>0</v>
      </c>
      <c r="BB144" s="1319">
        <f t="shared" ca="1" si="1285"/>
        <v>0</v>
      </c>
      <c r="BK144" s="1334"/>
      <c r="BN144" s="1319">
        <f t="shared" ca="1" si="1286"/>
        <v>0</v>
      </c>
      <c r="BO144" s="1319">
        <f t="shared" ca="1" si="1286"/>
        <v>0</v>
      </c>
      <c r="BP144" s="1319">
        <f t="shared" ca="1" si="1286"/>
        <v>0</v>
      </c>
      <c r="BQ144" s="1319">
        <f t="shared" ca="1" si="1286"/>
        <v>0</v>
      </c>
      <c r="BR144" s="1319">
        <f t="shared" ca="1" si="1286"/>
        <v>0</v>
      </c>
      <c r="CA144" s="1334"/>
      <c r="CD144" s="1319">
        <f t="shared" ca="1" si="1287"/>
        <v>0</v>
      </c>
      <c r="CE144" s="1319">
        <f t="shared" ca="1" si="1287"/>
        <v>0</v>
      </c>
      <c r="CF144" s="1319">
        <f t="shared" ca="1" si="1287"/>
        <v>0</v>
      </c>
      <c r="CG144" s="1319">
        <f t="shared" ca="1" si="1287"/>
        <v>0</v>
      </c>
      <c r="CH144" s="1319">
        <f t="shared" ca="1" si="1287"/>
        <v>0</v>
      </c>
      <c r="CI144" s="1319">
        <f t="shared" ca="1" si="1287"/>
        <v>0</v>
      </c>
      <c r="CJ144" s="1319">
        <f t="shared" ca="1" si="1287"/>
        <v>0</v>
      </c>
      <c r="CK144" s="1319">
        <f t="shared" ca="1" si="1287"/>
        <v>0</v>
      </c>
      <c r="CL144" s="1319">
        <f t="shared" ca="1" si="1287"/>
        <v>0</v>
      </c>
      <c r="CM144" s="1319">
        <f t="shared" ca="1" si="1287"/>
        <v>0</v>
      </c>
      <c r="CN144" s="1319">
        <f t="shared" ca="1" si="1287"/>
        <v>0</v>
      </c>
      <c r="CO144" s="1319">
        <f t="shared" ca="1" si="1287"/>
        <v>0</v>
      </c>
      <c r="CX144" s="1334"/>
      <c r="DA144" s="1319">
        <f t="shared" ca="1" si="1288"/>
        <v>0</v>
      </c>
      <c r="DB144" s="1319">
        <f t="shared" ca="1" si="1288"/>
        <v>0</v>
      </c>
      <c r="DC144" s="1319">
        <f t="shared" ca="1" si="1288"/>
        <v>0</v>
      </c>
      <c r="DD144" s="1319">
        <f t="shared" ca="1" si="1288"/>
        <v>0</v>
      </c>
      <c r="DE144" s="1319">
        <f t="shared" ca="1" si="1288"/>
        <v>0</v>
      </c>
      <c r="DF144" s="1319">
        <f t="shared" ca="1" si="1288"/>
        <v>0</v>
      </c>
      <c r="DG144" s="1319">
        <f t="shared" ca="1" si="1288"/>
        <v>0</v>
      </c>
      <c r="DH144" s="1319">
        <f t="shared" ca="1" si="1288"/>
        <v>0</v>
      </c>
      <c r="DI144" s="1319">
        <f t="shared" ca="1" si="1288"/>
        <v>0</v>
      </c>
      <c r="DJ144" s="1319">
        <f t="shared" ca="1" si="1288"/>
        <v>0</v>
      </c>
      <c r="DS144" s="1334"/>
      <c r="DV144" s="1319">
        <f t="shared" ca="1" si="1289"/>
        <v>0</v>
      </c>
      <c r="DW144" s="1319">
        <f t="shared" ca="1" si="1289"/>
        <v>0</v>
      </c>
      <c r="DX144" s="1319">
        <f t="shared" ca="1" si="1289"/>
        <v>0</v>
      </c>
      <c r="DY144" s="1319">
        <f t="shared" ca="1" si="1289"/>
        <v>0</v>
      </c>
      <c r="DZ144" s="1319">
        <f t="shared" ca="1" si="1289"/>
        <v>0</v>
      </c>
      <c r="EA144" s="1319">
        <f t="shared" ca="1" si="1289"/>
        <v>0</v>
      </c>
      <c r="EB144" s="1319">
        <f t="shared" ca="1" si="1289"/>
        <v>0</v>
      </c>
      <c r="EC144" s="1319">
        <f t="shared" ca="1" si="1289"/>
        <v>0</v>
      </c>
      <c r="ED144" s="1319">
        <f t="shared" ca="1" si="1289"/>
        <v>0</v>
      </c>
      <c r="EE144" s="1319">
        <f t="shared" ca="1" si="1289"/>
        <v>0</v>
      </c>
      <c r="EF144" s="1319">
        <f t="shared" ca="1" si="1289"/>
        <v>0</v>
      </c>
      <c r="EG144" s="1319">
        <f t="shared" ca="1" si="1289"/>
        <v>0</v>
      </c>
      <c r="EH144" s="1319">
        <f t="shared" ca="1" si="1289"/>
        <v>0</v>
      </c>
      <c r="EI144" s="1319">
        <f t="shared" ca="1" si="1289"/>
        <v>0</v>
      </c>
      <c r="EJ144" s="1319">
        <f t="shared" ca="1" si="1289"/>
        <v>0</v>
      </c>
      <c r="EK144" s="1319">
        <f t="shared" ca="1" si="1289"/>
        <v>0</v>
      </c>
      <c r="ET144" s="1334"/>
      <c r="EW144" s="1319">
        <f t="shared" ca="1" si="1290"/>
        <v>0</v>
      </c>
      <c r="EX144" s="1319">
        <f t="shared" ca="1" si="1290"/>
        <v>0</v>
      </c>
      <c r="EY144" s="1319">
        <f t="shared" ca="1" si="1290"/>
        <v>0</v>
      </c>
      <c r="EZ144" s="1319">
        <f t="shared" ca="1" si="1290"/>
        <v>0</v>
      </c>
      <c r="FA144" s="1319">
        <f t="shared" ca="1" si="1290"/>
        <v>0</v>
      </c>
      <c r="FB144" s="1319">
        <f t="shared" ca="1" si="1290"/>
        <v>0</v>
      </c>
      <c r="FK144" s="1334"/>
      <c r="FN144" s="1319">
        <f t="shared" ca="1" si="1291"/>
        <v>0</v>
      </c>
      <c r="FO144" s="1319">
        <f t="shared" ca="1" si="1291"/>
        <v>0</v>
      </c>
      <c r="FP144" s="1319">
        <f t="shared" ca="1" si="1291"/>
        <v>0</v>
      </c>
      <c r="FQ144" s="1319">
        <f t="shared" ca="1" si="1291"/>
        <v>0</v>
      </c>
      <c r="FR144" s="1319">
        <f t="shared" ca="1" si="1291"/>
        <v>0</v>
      </c>
      <c r="FS144" s="1319">
        <f t="shared" ca="1" si="1291"/>
        <v>0</v>
      </c>
      <c r="FT144" s="1319">
        <f t="shared" ca="1" si="1291"/>
        <v>0</v>
      </c>
      <c r="FU144" s="1319">
        <f t="shared" ca="1" si="1291"/>
        <v>0</v>
      </c>
      <c r="FV144" s="1319">
        <f t="shared" ca="1" si="1291"/>
        <v>0</v>
      </c>
      <c r="FW144" s="1319">
        <f t="shared" ca="1" si="1291"/>
        <v>0</v>
      </c>
      <c r="FX144" s="1319">
        <f t="shared" ca="1" si="1291"/>
        <v>0</v>
      </c>
      <c r="GG144" s="1334"/>
      <c r="GJ144" s="1319">
        <f t="shared" ca="1" si="1292"/>
        <v>0</v>
      </c>
      <c r="GK144" s="1319">
        <f t="shared" ca="1" si="1292"/>
        <v>0</v>
      </c>
      <c r="GL144" s="1319">
        <f t="shared" ca="1" si="1292"/>
        <v>0</v>
      </c>
      <c r="GM144" s="1319">
        <f t="shared" ca="1" si="1292"/>
        <v>0</v>
      </c>
      <c r="GN144" s="1319">
        <f t="shared" ca="1" si="1292"/>
        <v>0</v>
      </c>
      <c r="GO144" s="1319">
        <f t="shared" ca="1" si="1292"/>
        <v>0</v>
      </c>
      <c r="GP144" s="1319">
        <f t="shared" ca="1" si="1292"/>
        <v>0</v>
      </c>
      <c r="GQ144" s="1319">
        <f t="shared" ca="1" si="1292"/>
        <v>0</v>
      </c>
      <c r="GZ144" s="1334"/>
      <c r="HC144" s="1319">
        <f t="shared" ca="1" si="1293"/>
        <v>0</v>
      </c>
      <c r="HD144" s="1319">
        <f t="shared" ca="1" si="1293"/>
        <v>0</v>
      </c>
      <c r="HE144" s="1319">
        <f t="shared" ca="1" si="1293"/>
        <v>0</v>
      </c>
      <c r="HF144" s="1319">
        <f t="shared" ca="1" si="1293"/>
        <v>0</v>
      </c>
      <c r="HG144" s="1319">
        <f t="shared" ca="1" si="1293"/>
        <v>0</v>
      </c>
      <c r="HH144" s="1319">
        <f t="shared" ca="1" si="1293"/>
        <v>0</v>
      </c>
      <c r="HQ144" s="1334"/>
      <c r="HT144" s="1319">
        <f t="shared" ca="1" si="1294"/>
        <v>0</v>
      </c>
      <c r="HU144" s="1319">
        <f t="shared" ca="1" si="1294"/>
        <v>0</v>
      </c>
      <c r="HV144" s="1319">
        <f t="shared" ca="1" si="1294"/>
        <v>0</v>
      </c>
      <c r="HW144" s="1319">
        <f t="shared" ca="1" si="1294"/>
        <v>0</v>
      </c>
      <c r="HX144" s="1319">
        <f t="shared" ca="1" si="1294"/>
        <v>0</v>
      </c>
      <c r="HY144" s="1319">
        <f t="shared" ca="1" si="1294"/>
        <v>0</v>
      </c>
      <c r="HZ144" s="1319">
        <f t="shared" ca="1" si="1294"/>
        <v>4.3775921451245393E-6</v>
      </c>
      <c r="IA144" s="1319">
        <f t="shared" ca="1" si="1294"/>
        <v>4.3775921451245393E-6</v>
      </c>
      <c r="IB144" s="1319">
        <f t="shared" ca="1" si="1294"/>
        <v>0</v>
      </c>
      <c r="IC144" s="1319">
        <f t="shared" ca="1" si="1294"/>
        <v>0</v>
      </c>
      <c r="ID144" s="1319">
        <f t="shared" ca="1" si="1294"/>
        <v>0</v>
      </c>
      <c r="IE144" s="1319">
        <f t="shared" ca="1" si="1294"/>
        <v>0</v>
      </c>
      <c r="IN144" s="1334"/>
      <c r="IQ144" s="1319">
        <f t="shared" ca="1" si="1295"/>
        <v>0</v>
      </c>
      <c r="IR144" s="1319">
        <f t="shared" ca="1" si="1295"/>
        <v>0</v>
      </c>
      <c r="IS144" s="1319">
        <f t="shared" ca="1" si="1295"/>
        <v>1.4816568702349824</v>
      </c>
      <c r="IT144" s="1319">
        <f t="shared" ca="1" si="1295"/>
        <v>1.4816568702349824</v>
      </c>
      <c r="IU144" s="1319">
        <f t="shared" ca="1" si="1295"/>
        <v>1.3828252056943149</v>
      </c>
      <c r="IV144" s="1319">
        <f t="shared" ca="1" si="1295"/>
        <v>43.432333634890846</v>
      </c>
      <c r="IW144" s="1319">
        <f t="shared" ca="1" si="1295"/>
        <v>35.559764939889199</v>
      </c>
      <c r="IX144" s="1319">
        <f t="shared" ca="1" si="1295"/>
        <v>5.6662331429687578E-4</v>
      </c>
      <c r="IY144" s="1319">
        <f t="shared" ca="1" si="1295"/>
        <v>9.8831661285690042E-2</v>
      </c>
      <c r="IZ144" s="1319">
        <f t="shared" ca="1" si="1295"/>
        <v>6.3909131131952046</v>
      </c>
      <c r="JA144" s="1319">
        <f t="shared" ca="1" si="1295"/>
        <v>37.041421823686584</v>
      </c>
      <c r="JB144" s="1319">
        <f t="shared" ca="1" si="1296"/>
        <v>0</v>
      </c>
      <c r="JC144" s="1319">
        <f t="shared" ca="1" si="1296"/>
        <v>6.3909087325381613</v>
      </c>
      <c r="JD144" s="1319">
        <f t="shared" ca="1" si="1296"/>
        <v>0</v>
      </c>
      <c r="JE144" s="1319">
        <f t="shared" ca="1" si="1296"/>
        <v>6.3909131131952046</v>
      </c>
      <c r="JF144" s="1319">
        <f t="shared" ca="1" si="1296"/>
        <v>0</v>
      </c>
      <c r="JG144" s="1319">
        <f t="shared" ca="1" si="1296"/>
        <v>0</v>
      </c>
      <c r="JH144" s="1319">
        <f t="shared" ca="1" si="1296"/>
        <v>4.3775921451245393E-6</v>
      </c>
      <c r="JQ144" s="1334"/>
      <c r="JT144" s="1319">
        <f t="shared" ca="1" si="1297"/>
        <v>0</v>
      </c>
      <c r="JU144" s="1319">
        <f t="shared" ca="1" si="1297"/>
        <v>0</v>
      </c>
      <c r="JV144" s="1319">
        <f t="shared" ca="1" si="1297"/>
        <v>0</v>
      </c>
      <c r="JW144" s="1319">
        <f t="shared" ca="1" si="1297"/>
        <v>0</v>
      </c>
      <c r="JX144" s="1319">
        <f t="shared" ca="1" si="1297"/>
        <v>0</v>
      </c>
      <c r="JY144" s="1319">
        <f t="shared" ca="1" si="1297"/>
        <v>0</v>
      </c>
      <c r="JZ144" s="1319">
        <f t="shared" ca="1" si="1297"/>
        <v>0</v>
      </c>
      <c r="KA144" s="1319">
        <f t="shared" ca="1" si="1297"/>
        <v>0</v>
      </c>
      <c r="KB144" s="1319">
        <f t="shared" ca="1" si="1297"/>
        <v>0</v>
      </c>
      <c r="KC144" s="1319">
        <f t="shared" ca="1" si="1297"/>
        <v>0</v>
      </c>
      <c r="KI144" s="1334"/>
      <c r="KL144" s="1319">
        <f t="shared" ca="1" si="1298"/>
        <v>0</v>
      </c>
      <c r="KM144" s="1319">
        <f t="shared" ca="1" si="1298"/>
        <v>0</v>
      </c>
      <c r="KN144" s="1319">
        <f t="shared" ca="1" si="1298"/>
        <v>0</v>
      </c>
      <c r="KO144" s="1319">
        <f t="shared" ca="1" si="1298"/>
        <v>0</v>
      </c>
      <c r="KP144" s="1319">
        <f t="shared" ca="1" si="1298"/>
        <v>0</v>
      </c>
      <c r="KQ144" s="1319">
        <f t="shared" ca="1" si="1298"/>
        <v>0</v>
      </c>
      <c r="KR144" s="1319">
        <f t="shared" ca="1" si="1298"/>
        <v>0</v>
      </c>
      <c r="KX144" s="1334"/>
      <c r="LA144" s="1319">
        <f t="shared" ca="1" si="1299"/>
        <v>0</v>
      </c>
      <c r="LB144" s="1319">
        <f t="shared" ca="1" si="1299"/>
        <v>4.3775921451245393E-6</v>
      </c>
      <c r="LC144" s="1319">
        <f t="shared" ca="1" si="1299"/>
        <v>4.3775921451245393E-6</v>
      </c>
      <c r="LD144" s="1319">
        <f t="shared" ca="1" si="1299"/>
        <v>4.3775921451245393E-6</v>
      </c>
      <c r="LE144" s="1319">
        <f t="shared" ca="1" si="1299"/>
        <v>0</v>
      </c>
      <c r="LF144" s="1319">
        <f t="shared" ca="1" si="1299"/>
        <v>9.8836038823382114E-2</v>
      </c>
      <c r="LG144" s="1319">
        <f t="shared" ca="1" si="1299"/>
        <v>9.8836038823382114E-2</v>
      </c>
      <c r="LH144" s="1319">
        <f t="shared" ca="1" si="1299"/>
        <v>0</v>
      </c>
      <c r="LI144" s="1319">
        <f t="shared" ca="1" si="1299"/>
        <v>9.8836038823382114E-2</v>
      </c>
      <c r="LJ144" s="1319">
        <f t="shared" ca="1" si="1299"/>
        <v>0</v>
      </c>
      <c r="LK144" s="1319">
        <f t="shared" ca="1" si="1299"/>
        <v>0</v>
      </c>
      <c r="LT144" s="1334"/>
      <c r="LW144" s="1319">
        <f t="shared" ca="1" si="1300"/>
        <v>0</v>
      </c>
      <c r="LX144" s="1319">
        <f t="shared" ca="1" si="1300"/>
        <v>0</v>
      </c>
      <c r="LY144" s="1319">
        <f t="shared" ca="1" si="1300"/>
        <v>0</v>
      </c>
      <c r="LZ144" s="1319">
        <f t="shared" ca="1" si="1300"/>
        <v>9.8831661285690042E-2</v>
      </c>
      <c r="MA144" s="1319">
        <f t="shared" ca="1" si="1300"/>
        <v>9.8831661285690042E-2</v>
      </c>
      <c r="MB144" s="1319">
        <f t="shared" ca="1" si="1300"/>
        <v>4.3775921451245393E-6</v>
      </c>
      <c r="MC144" s="1319">
        <f t="shared" ca="1" si="1300"/>
        <v>9.8836038823382114E-2</v>
      </c>
      <c r="MD144" s="1319">
        <f t="shared" ca="1" si="1300"/>
        <v>0</v>
      </c>
      <c r="ME144" s="1319">
        <f t="shared" ca="1" si="1300"/>
        <v>0</v>
      </c>
      <c r="MF144" s="1319">
        <f t="shared" ca="1" si="1300"/>
        <v>0</v>
      </c>
      <c r="MG144" s="1319">
        <f t="shared" ca="1" si="1301"/>
        <v>0</v>
      </c>
      <c r="MH144" s="1319">
        <f t="shared" ca="1" si="1301"/>
        <v>0</v>
      </c>
      <c r="MI144" s="1319">
        <f t="shared" ca="1" si="1301"/>
        <v>0</v>
      </c>
      <c r="MJ144" s="1319">
        <f t="shared" ca="1" si="1301"/>
        <v>0</v>
      </c>
      <c r="MK144" s="1319">
        <f t="shared" ca="1" si="1301"/>
        <v>0</v>
      </c>
      <c r="ML144" s="1319">
        <f t="shared" ca="1" si="1301"/>
        <v>0</v>
      </c>
      <c r="MM144" s="1319">
        <f t="shared" ca="1" si="1301"/>
        <v>0</v>
      </c>
      <c r="MN144" s="1319">
        <f t="shared" ca="1" si="1301"/>
        <v>0</v>
      </c>
      <c r="MO144" s="1319">
        <f t="shared" ca="1" si="1301"/>
        <v>0</v>
      </c>
      <c r="MX144" s="1334"/>
      <c r="NA144" s="1319">
        <f t="shared" ca="1" si="1302"/>
        <v>0</v>
      </c>
      <c r="NB144" s="1319">
        <f t="shared" ca="1" si="1302"/>
        <v>0</v>
      </c>
      <c r="NC144" s="1319">
        <f t="shared" ca="1" si="1302"/>
        <v>0</v>
      </c>
      <c r="ND144" s="1319">
        <f t="shared" ca="1" si="1302"/>
        <v>0</v>
      </c>
      <c r="NE144" s="1319">
        <f t="shared" ca="1" si="1302"/>
        <v>0</v>
      </c>
      <c r="NF144" s="1319">
        <f t="shared" ca="1" si="1302"/>
        <v>0</v>
      </c>
      <c r="NG144" s="1319">
        <f t="shared" ca="1" si="1302"/>
        <v>0</v>
      </c>
      <c r="NH144" s="1319">
        <f t="shared" ca="1" si="1302"/>
        <v>0</v>
      </c>
      <c r="NI144" s="1319">
        <f t="shared" ca="1" si="1302"/>
        <v>0</v>
      </c>
      <c r="NJ144" s="1319">
        <f t="shared" ca="1" si="1302"/>
        <v>0</v>
      </c>
      <c r="NK144" s="1319">
        <f t="shared" ca="1" si="1302"/>
        <v>0</v>
      </c>
      <c r="NL144" s="1319">
        <f t="shared" ca="1" si="1302"/>
        <v>0</v>
      </c>
      <c r="NM144" s="1319">
        <f t="shared" ca="1" si="1302"/>
        <v>0</v>
      </c>
      <c r="NN144" s="1319">
        <f t="shared" ca="1" si="1302"/>
        <v>0</v>
      </c>
      <c r="NO144" s="1319">
        <f t="shared" ca="1" si="1302"/>
        <v>0</v>
      </c>
      <c r="NP144" s="1319">
        <f t="shared" ca="1" si="1302"/>
        <v>0</v>
      </c>
      <c r="NY144" s="1334"/>
      <c r="OE144" s="1334"/>
      <c r="OH144" s="1319">
        <f t="shared" ca="1" si="1303"/>
        <v>0</v>
      </c>
      <c r="OI144" s="1319">
        <f t="shared" ca="1" si="1303"/>
        <v>0</v>
      </c>
      <c r="OJ144" s="1319">
        <f t="shared" ca="1" si="1303"/>
        <v>0</v>
      </c>
      <c r="OK144" s="1319">
        <f t="shared" ca="1" si="1303"/>
        <v>0</v>
      </c>
      <c r="OL144" s="1319">
        <f t="shared" ca="1" si="1303"/>
        <v>0</v>
      </c>
      <c r="OM144" s="1319">
        <f t="shared" ca="1" si="1303"/>
        <v>0</v>
      </c>
      <c r="ON144" s="1319">
        <f t="shared" ca="1" si="1303"/>
        <v>0</v>
      </c>
      <c r="OO144" s="1319">
        <f t="shared" ca="1" si="1303"/>
        <v>0</v>
      </c>
      <c r="OX144" s="1334"/>
      <c r="PA144" s="1319">
        <f t="shared" ca="1" si="1304"/>
        <v>0</v>
      </c>
      <c r="PB144" s="1319">
        <f t="shared" ca="1" si="1304"/>
        <v>0</v>
      </c>
      <c r="PC144" s="1319">
        <f t="shared" ca="1" si="1304"/>
        <v>0</v>
      </c>
      <c r="PD144" s="1319">
        <f t="shared" ca="1" si="1304"/>
        <v>0</v>
      </c>
      <c r="PE144" s="1319">
        <f t="shared" ca="1" si="1304"/>
        <v>0</v>
      </c>
      <c r="PF144" s="1319">
        <f t="shared" ca="1" si="1304"/>
        <v>0</v>
      </c>
      <c r="PG144" s="1319">
        <f t="shared" ca="1" si="1304"/>
        <v>0</v>
      </c>
      <c r="PH144" s="1319">
        <f t="shared" ca="1" si="1304"/>
        <v>0</v>
      </c>
      <c r="PI144" s="1319">
        <f t="shared" ca="1" si="1304"/>
        <v>0</v>
      </c>
      <c r="PJ144" s="1319">
        <f t="shared" ca="1" si="1304"/>
        <v>0</v>
      </c>
      <c r="PK144" s="1319">
        <f t="shared" ca="1" si="1304"/>
        <v>0</v>
      </c>
      <c r="PT144" s="1334"/>
      <c r="PW144" s="1319">
        <f t="shared" ca="1" si="1305"/>
        <v>0</v>
      </c>
      <c r="PX144" s="1319">
        <f t="shared" ca="1" si="1305"/>
        <v>0</v>
      </c>
      <c r="PY144" s="1319">
        <f t="shared" ca="1" si="1305"/>
        <v>0</v>
      </c>
      <c r="PZ144" s="1319">
        <f t="shared" ca="1" si="1305"/>
        <v>0</v>
      </c>
    </row>
    <row r="145" spans="1:442" x14ac:dyDescent="0.25">
      <c r="A145" s="189">
        <v>34</v>
      </c>
      <c r="B145" s="189" t="s">
        <v>1256</v>
      </c>
      <c r="C145" s="1317" t="s">
        <v>2635</v>
      </c>
      <c r="D145" s="1317" t="s">
        <v>206</v>
      </c>
      <c r="E145" s="1318">
        <v>39.997109999999999</v>
      </c>
      <c r="F145" s="1322">
        <v>3.4685475225000005E-2</v>
      </c>
      <c r="G145" s="1334"/>
      <c r="J145" s="1319">
        <f t="shared" ca="1" si="1283"/>
        <v>0</v>
      </c>
      <c r="K145" s="1319">
        <f t="shared" ca="1" si="1283"/>
        <v>0</v>
      </c>
      <c r="Q145" s="1334"/>
      <c r="T145" s="1319">
        <f t="shared" ref="T145:AD154" ca="1" si="1306">VLOOKUP(T$1,INDIRECT(LU_MAT),$A145,FALSE)*$F145/$E145</f>
        <v>0</v>
      </c>
      <c r="U145" s="1319">
        <f t="shared" ca="1" si="1306"/>
        <v>0</v>
      </c>
      <c r="V145" s="1319">
        <f t="shared" ca="1" si="1306"/>
        <v>0</v>
      </c>
      <c r="W145" s="1319">
        <f t="shared" ca="1" si="1306"/>
        <v>0</v>
      </c>
      <c r="X145" s="1319">
        <f t="shared" ca="1" si="1306"/>
        <v>0</v>
      </c>
      <c r="Y145" s="1319">
        <f t="shared" ca="1" si="1306"/>
        <v>0</v>
      </c>
      <c r="Z145" s="1319">
        <f t="shared" ca="1" si="1306"/>
        <v>0</v>
      </c>
      <c r="AA145" s="1319">
        <f t="shared" ca="1" si="1306"/>
        <v>0</v>
      </c>
      <c r="AB145" s="1319">
        <f t="shared" ca="1" si="1306"/>
        <v>0</v>
      </c>
      <c r="AC145" s="1319">
        <f t="shared" ca="1" si="1306"/>
        <v>0</v>
      </c>
      <c r="AD145" s="1319">
        <f t="shared" ca="1" si="1306"/>
        <v>0</v>
      </c>
      <c r="AJ145" s="1334"/>
      <c r="AM145" s="1319">
        <f t="shared" ref="AM145:BB154" ca="1" si="1307">VLOOKUP(AM$1,INDIRECT(LU_MAT),$A145,FALSE)*$F145/$E145</f>
        <v>0</v>
      </c>
      <c r="AN145" s="1319">
        <f t="shared" ca="1" si="1307"/>
        <v>0</v>
      </c>
      <c r="AO145" s="1319">
        <f t="shared" ca="1" si="1307"/>
        <v>0</v>
      </c>
      <c r="AP145" s="1319">
        <f t="shared" ca="1" si="1307"/>
        <v>0</v>
      </c>
      <c r="AQ145" s="1319">
        <f t="shared" ca="1" si="1307"/>
        <v>0</v>
      </c>
      <c r="AR145" s="1319">
        <f t="shared" ca="1" si="1307"/>
        <v>0</v>
      </c>
      <c r="AS145" s="1319">
        <f t="shared" ca="1" si="1307"/>
        <v>0</v>
      </c>
      <c r="AT145" s="1319">
        <f t="shared" ca="1" si="1307"/>
        <v>0</v>
      </c>
      <c r="AU145" s="1319">
        <f t="shared" ca="1" si="1307"/>
        <v>0</v>
      </c>
      <c r="AV145" s="1319">
        <f t="shared" ca="1" si="1307"/>
        <v>0</v>
      </c>
      <c r="AW145" s="1319">
        <f t="shared" ca="1" si="1307"/>
        <v>0</v>
      </c>
      <c r="AX145" s="1319">
        <f t="shared" ca="1" si="1307"/>
        <v>0</v>
      </c>
      <c r="AY145" s="1319">
        <f t="shared" ca="1" si="1307"/>
        <v>0</v>
      </c>
      <c r="AZ145" s="1319">
        <f t="shared" ca="1" si="1307"/>
        <v>0</v>
      </c>
      <c r="BA145" s="1319">
        <f t="shared" ca="1" si="1307"/>
        <v>0</v>
      </c>
      <c r="BB145" s="1319">
        <f t="shared" ca="1" si="1307"/>
        <v>0</v>
      </c>
      <c r="BK145" s="1334"/>
      <c r="BN145" s="1319">
        <f t="shared" ref="BN145:BR154" ca="1" si="1308">VLOOKUP(BN$1,INDIRECT(LU_MAT),$A145,FALSE)*$F145/$E145</f>
        <v>0</v>
      </c>
      <c r="BO145" s="1319">
        <f t="shared" ca="1" si="1308"/>
        <v>0</v>
      </c>
      <c r="BP145" s="1319">
        <f t="shared" ca="1" si="1308"/>
        <v>0</v>
      </c>
      <c r="BQ145" s="1319">
        <f t="shared" ca="1" si="1308"/>
        <v>0</v>
      </c>
      <c r="BR145" s="1319">
        <f t="shared" ca="1" si="1308"/>
        <v>0</v>
      </c>
      <c r="CA145" s="1334"/>
      <c r="CD145" s="1319">
        <f t="shared" ref="CD145:CO154" ca="1" si="1309">VLOOKUP(CD$1,INDIRECT(LU_MAT),$A145,FALSE)*$F145/$E145</f>
        <v>0</v>
      </c>
      <c r="CE145" s="1319">
        <f t="shared" ca="1" si="1309"/>
        <v>0</v>
      </c>
      <c r="CF145" s="1319">
        <f t="shared" ca="1" si="1309"/>
        <v>0</v>
      </c>
      <c r="CG145" s="1319">
        <f t="shared" ca="1" si="1309"/>
        <v>0</v>
      </c>
      <c r="CH145" s="1319">
        <f t="shared" ca="1" si="1309"/>
        <v>0</v>
      </c>
      <c r="CI145" s="1319">
        <f t="shared" ca="1" si="1309"/>
        <v>0</v>
      </c>
      <c r="CJ145" s="1319">
        <f t="shared" ca="1" si="1309"/>
        <v>0</v>
      </c>
      <c r="CK145" s="1319">
        <f t="shared" ca="1" si="1309"/>
        <v>0</v>
      </c>
      <c r="CL145" s="1319">
        <f t="shared" ca="1" si="1309"/>
        <v>0</v>
      </c>
      <c r="CM145" s="1319">
        <f t="shared" ca="1" si="1309"/>
        <v>0</v>
      </c>
      <c r="CN145" s="1319">
        <f t="shared" ca="1" si="1309"/>
        <v>0</v>
      </c>
      <c r="CO145" s="1319">
        <f t="shared" ca="1" si="1309"/>
        <v>0</v>
      </c>
      <c r="CX145" s="1334"/>
      <c r="DA145" s="1319">
        <f t="shared" ref="DA145:DJ154" ca="1" si="1310">VLOOKUP(DA$1,INDIRECT(LU_MAT),$A145,FALSE)*$F145/$E145</f>
        <v>0</v>
      </c>
      <c r="DB145" s="1319">
        <f t="shared" ca="1" si="1310"/>
        <v>0</v>
      </c>
      <c r="DC145" s="1319">
        <f t="shared" ca="1" si="1310"/>
        <v>0</v>
      </c>
      <c r="DD145" s="1319">
        <f t="shared" ca="1" si="1310"/>
        <v>0</v>
      </c>
      <c r="DE145" s="1319">
        <f t="shared" ca="1" si="1310"/>
        <v>0</v>
      </c>
      <c r="DF145" s="1319">
        <f t="shared" ca="1" si="1310"/>
        <v>0</v>
      </c>
      <c r="DG145" s="1319">
        <f t="shared" ca="1" si="1310"/>
        <v>0</v>
      </c>
      <c r="DH145" s="1319">
        <f t="shared" ca="1" si="1310"/>
        <v>0</v>
      </c>
      <c r="DI145" s="1319">
        <f t="shared" ca="1" si="1310"/>
        <v>0</v>
      </c>
      <c r="DJ145" s="1319">
        <f t="shared" ca="1" si="1310"/>
        <v>0</v>
      </c>
      <c r="DS145" s="1334"/>
      <c r="DV145" s="1319">
        <f t="shared" ref="DV145:EK154" ca="1" si="1311">VLOOKUP(DV$1,INDIRECT(LU_MAT),$A145,FALSE)*$F145/$E145</f>
        <v>0</v>
      </c>
      <c r="DW145" s="1319">
        <f t="shared" ca="1" si="1311"/>
        <v>0</v>
      </c>
      <c r="DX145" s="1319">
        <f t="shared" ca="1" si="1311"/>
        <v>0</v>
      </c>
      <c r="DY145" s="1319">
        <f t="shared" ca="1" si="1311"/>
        <v>0</v>
      </c>
      <c r="DZ145" s="1319">
        <f t="shared" ca="1" si="1311"/>
        <v>0</v>
      </c>
      <c r="EA145" s="1319">
        <f t="shared" ca="1" si="1311"/>
        <v>0</v>
      </c>
      <c r="EB145" s="1319">
        <f t="shared" ca="1" si="1311"/>
        <v>0</v>
      </c>
      <c r="EC145" s="1319">
        <f t="shared" ca="1" si="1311"/>
        <v>0</v>
      </c>
      <c r="ED145" s="1319">
        <f t="shared" ca="1" si="1311"/>
        <v>0</v>
      </c>
      <c r="EE145" s="1319">
        <f t="shared" ca="1" si="1311"/>
        <v>0</v>
      </c>
      <c r="EF145" s="1319">
        <f t="shared" ca="1" si="1311"/>
        <v>0</v>
      </c>
      <c r="EG145" s="1319">
        <f t="shared" ca="1" si="1311"/>
        <v>0</v>
      </c>
      <c r="EH145" s="1319">
        <f t="shared" ca="1" si="1311"/>
        <v>0</v>
      </c>
      <c r="EI145" s="1319">
        <f t="shared" ca="1" si="1311"/>
        <v>0</v>
      </c>
      <c r="EJ145" s="1319">
        <f t="shared" ca="1" si="1311"/>
        <v>0</v>
      </c>
      <c r="EK145" s="1319">
        <f t="shared" ca="1" si="1311"/>
        <v>0</v>
      </c>
      <c r="ET145" s="1334"/>
      <c r="EW145" s="1319">
        <f t="shared" ref="EW145:FB154" ca="1" si="1312">VLOOKUP(EW$1,INDIRECT(LU_MAT),$A145,FALSE)*$F145/$E145</f>
        <v>0</v>
      </c>
      <c r="EX145" s="1319">
        <f t="shared" ca="1" si="1312"/>
        <v>0</v>
      </c>
      <c r="EY145" s="1319">
        <f t="shared" ca="1" si="1312"/>
        <v>0</v>
      </c>
      <c r="EZ145" s="1319">
        <f t="shared" ca="1" si="1312"/>
        <v>0</v>
      </c>
      <c r="FA145" s="1319">
        <f t="shared" ca="1" si="1312"/>
        <v>0</v>
      </c>
      <c r="FB145" s="1319">
        <f t="shared" ca="1" si="1312"/>
        <v>0</v>
      </c>
      <c r="FK145" s="1334"/>
      <c r="FN145" s="1319">
        <f t="shared" ref="FN145:FX154" ca="1" si="1313">VLOOKUP(FN$1,INDIRECT(LU_MAT),$A145,FALSE)*$F145/$E145</f>
        <v>0</v>
      </c>
      <c r="FO145" s="1319">
        <f t="shared" ca="1" si="1313"/>
        <v>0</v>
      </c>
      <c r="FP145" s="1319">
        <f t="shared" ca="1" si="1313"/>
        <v>0</v>
      </c>
      <c r="FQ145" s="1319">
        <f t="shared" ca="1" si="1313"/>
        <v>0</v>
      </c>
      <c r="FR145" s="1319">
        <f t="shared" ca="1" si="1313"/>
        <v>0</v>
      </c>
      <c r="FS145" s="1319">
        <f t="shared" ca="1" si="1313"/>
        <v>0</v>
      </c>
      <c r="FT145" s="1319">
        <f t="shared" ca="1" si="1313"/>
        <v>0</v>
      </c>
      <c r="FU145" s="1319">
        <f t="shared" ca="1" si="1313"/>
        <v>0</v>
      </c>
      <c r="FV145" s="1319">
        <f t="shared" ca="1" si="1313"/>
        <v>0</v>
      </c>
      <c r="FW145" s="1319">
        <f t="shared" ca="1" si="1313"/>
        <v>0</v>
      </c>
      <c r="FX145" s="1319">
        <f t="shared" ca="1" si="1313"/>
        <v>0</v>
      </c>
      <c r="GG145" s="1334"/>
      <c r="GJ145" s="1319">
        <f t="shared" ref="GJ145:GQ154" ca="1" si="1314">VLOOKUP(GJ$1,INDIRECT(LU_MAT),$A145,FALSE)*$F145/$E145</f>
        <v>0</v>
      </c>
      <c r="GK145" s="1319">
        <f t="shared" ca="1" si="1314"/>
        <v>0</v>
      </c>
      <c r="GL145" s="1319">
        <f t="shared" ca="1" si="1314"/>
        <v>0</v>
      </c>
      <c r="GM145" s="1319">
        <f t="shared" ca="1" si="1314"/>
        <v>0</v>
      </c>
      <c r="GN145" s="1319">
        <f t="shared" ca="1" si="1314"/>
        <v>0</v>
      </c>
      <c r="GO145" s="1319">
        <f t="shared" ca="1" si="1314"/>
        <v>0</v>
      </c>
      <c r="GP145" s="1319">
        <f t="shared" ca="1" si="1314"/>
        <v>0</v>
      </c>
      <c r="GQ145" s="1319">
        <f t="shared" ca="1" si="1314"/>
        <v>0</v>
      </c>
      <c r="GZ145" s="1334"/>
      <c r="HC145" s="1319">
        <f t="shared" ref="HC145:HH154" ca="1" si="1315">VLOOKUP(HC$1,INDIRECT(LU_MAT),$A145,FALSE)*$F145/$E145</f>
        <v>0</v>
      </c>
      <c r="HD145" s="1319">
        <f t="shared" ca="1" si="1315"/>
        <v>0</v>
      </c>
      <c r="HE145" s="1319">
        <f t="shared" ca="1" si="1315"/>
        <v>0</v>
      </c>
      <c r="HF145" s="1319">
        <f t="shared" ca="1" si="1315"/>
        <v>0</v>
      </c>
      <c r="HG145" s="1319">
        <f t="shared" ca="1" si="1315"/>
        <v>0</v>
      </c>
      <c r="HH145" s="1319">
        <f t="shared" ca="1" si="1315"/>
        <v>0</v>
      </c>
      <c r="HQ145" s="1334"/>
      <c r="HT145" s="1319">
        <f t="shared" ref="HT145:IE154" ca="1" si="1316">VLOOKUP(HT$1,INDIRECT(LU_MAT),$A145,FALSE)*$F145/$E145</f>
        <v>0</v>
      </c>
      <c r="HU145" s="1319">
        <f t="shared" ca="1" si="1316"/>
        <v>0</v>
      </c>
      <c r="HV145" s="1319">
        <f t="shared" ca="1" si="1316"/>
        <v>0</v>
      </c>
      <c r="HW145" s="1319">
        <f t="shared" ca="1" si="1316"/>
        <v>0</v>
      </c>
      <c r="HX145" s="1319">
        <f t="shared" ca="1" si="1316"/>
        <v>0</v>
      </c>
      <c r="HY145" s="1319">
        <f t="shared" ca="1" si="1316"/>
        <v>0</v>
      </c>
      <c r="HZ145" s="1319">
        <f t="shared" ca="1" si="1316"/>
        <v>0</v>
      </c>
      <c r="IA145" s="1319">
        <f t="shared" ca="1" si="1316"/>
        <v>0</v>
      </c>
      <c r="IB145" s="1319">
        <f t="shared" ca="1" si="1316"/>
        <v>0</v>
      </c>
      <c r="IC145" s="1319">
        <f t="shared" ca="1" si="1316"/>
        <v>0</v>
      </c>
      <c r="ID145" s="1319">
        <f t="shared" ca="1" si="1316"/>
        <v>0</v>
      </c>
      <c r="IE145" s="1319">
        <f t="shared" ca="1" si="1316"/>
        <v>0</v>
      </c>
      <c r="IN145" s="1334"/>
      <c r="IQ145" s="1319">
        <f t="shared" ref="IQ145:JA154" ca="1" si="1317">VLOOKUP(IQ$1,INDIRECT(LU_MAT),$A145,FALSE)*$F145/$E145</f>
        <v>0</v>
      </c>
      <c r="IR145" s="1319">
        <f t="shared" ca="1" si="1317"/>
        <v>0</v>
      </c>
      <c r="IS145" s="1319">
        <f t="shared" ca="1" si="1317"/>
        <v>0</v>
      </c>
      <c r="IT145" s="1319">
        <f t="shared" ca="1" si="1317"/>
        <v>0</v>
      </c>
      <c r="IU145" s="1319">
        <f t="shared" ca="1" si="1317"/>
        <v>0</v>
      </c>
      <c r="IV145" s="1319">
        <f t="shared" ca="1" si="1317"/>
        <v>0</v>
      </c>
      <c r="IW145" s="1319">
        <f t="shared" ca="1" si="1317"/>
        <v>0</v>
      </c>
      <c r="IX145" s="1319">
        <f t="shared" ca="1" si="1317"/>
        <v>0</v>
      </c>
      <c r="IY145" s="1319">
        <f t="shared" ca="1" si="1317"/>
        <v>0</v>
      </c>
      <c r="IZ145" s="1319">
        <f t="shared" ca="1" si="1317"/>
        <v>0</v>
      </c>
      <c r="JA145" s="1319">
        <f t="shared" ca="1" si="1317"/>
        <v>0</v>
      </c>
      <c r="JB145" s="1319">
        <f t="shared" ref="JB145:JH154" ca="1" si="1318">VLOOKUP(JB$1,INDIRECT(LU_MAT),$A145,FALSE)*$F145/$E145</f>
        <v>0</v>
      </c>
      <c r="JC145" s="1319">
        <f t="shared" ca="1" si="1318"/>
        <v>0</v>
      </c>
      <c r="JD145" s="1319">
        <f t="shared" ca="1" si="1318"/>
        <v>0</v>
      </c>
      <c r="JE145" s="1319">
        <f t="shared" ca="1" si="1318"/>
        <v>0</v>
      </c>
      <c r="JF145" s="1319">
        <f t="shared" ca="1" si="1318"/>
        <v>0</v>
      </c>
      <c r="JG145" s="1319">
        <f t="shared" ca="1" si="1318"/>
        <v>1.9529200517614915</v>
      </c>
      <c r="JH145" s="1319">
        <f t="shared" ca="1" si="1318"/>
        <v>0</v>
      </c>
      <c r="JQ145" s="1334"/>
      <c r="JT145" s="1319">
        <f t="shared" ref="JT145:KC154" ca="1" si="1319">VLOOKUP(JT$1,INDIRECT(LU_MAT),$A145,FALSE)*$F145/$E145</f>
        <v>0</v>
      </c>
      <c r="JU145" s="1319">
        <f t="shared" ca="1" si="1319"/>
        <v>0</v>
      </c>
      <c r="JV145" s="1319">
        <f t="shared" ca="1" si="1319"/>
        <v>0</v>
      </c>
      <c r="JW145" s="1319">
        <f t="shared" ca="1" si="1319"/>
        <v>0</v>
      </c>
      <c r="JX145" s="1319">
        <f t="shared" ca="1" si="1319"/>
        <v>0</v>
      </c>
      <c r="JY145" s="1319">
        <f t="shared" ca="1" si="1319"/>
        <v>0</v>
      </c>
      <c r="JZ145" s="1319">
        <f t="shared" ca="1" si="1319"/>
        <v>0</v>
      </c>
      <c r="KA145" s="1319">
        <f t="shared" ca="1" si="1319"/>
        <v>0</v>
      </c>
      <c r="KB145" s="1319">
        <f t="shared" ca="1" si="1319"/>
        <v>0</v>
      </c>
      <c r="KC145" s="1319">
        <f t="shared" ca="1" si="1319"/>
        <v>0</v>
      </c>
      <c r="KI145" s="1334"/>
      <c r="KL145" s="1319">
        <f t="shared" ref="KL145:KR154" ca="1" si="1320">VLOOKUP(KL$1,INDIRECT(LU_MAT),$A145,FALSE)*$F145/$E145</f>
        <v>0</v>
      </c>
      <c r="KM145" s="1319">
        <f t="shared" ca="1" si="1320"/>
        <v>0</v>
      </c>
      <c r="KN145" s="1319">
        <f t="shared" ca="1" si="1320"/>
        <v>0</v>
      </c>
      <c r="KO145" s="1319">
        <f t="shared" ca="1" si="1320"/>
        <v>0</v>
      </c>
      <c r="KP145" s="1319">
        <f t="shared" ca="1" si="1320"/>
        <v>0</v>
      </c>
      <c r="KQ145" s="1319">
        <f t="shared" ca="1" si="1320"/>
        <v>0</v>
      </c>
      <c r="KR145" s="1319">
        <f t="shared" ca="1" si="1320"/>
        <v>0</v>
      </c>
      <c r="KX145" s="1334"/>
      <c r="LA145" s="1319">
        <f t="shared" ref="LA145:LK154" ca="1" si="1321">VLOOKUP(LA$1,INDIRECT(LU_MAT),$A145,FALSE)*$F145/$E145</f>
        <v>0</v>
      </c>
      <c r="LB145" s="1319">
        <f t="shared" ca="1" si="1321"/>
        <v>0</v>
      </c>
      <c r="LC145" s="1319">
        <f t="shared" ca="1" si="1321"/>
        <v>0</v>
      </c>
      <c r="LD145" s="1319">
        <f t="shared" ca="1" si="1321"/>
        <v>0</v>
      </c>
      <c r="LE145" s="1319">
        <f t="shared" ca="1" si="1321"/>
        <v>0</v>
      </c>
      <c r="LF145" s="1319">
        <f t="shared" ca="1" si="1321"/>
        <v>0</v>
      </c>
      <c r="LG145" s="1319">
        <f t="shared" ca="1" si="1321"/>
        <v>0</v>
      </c>
      <c r="LH145" s="1319">
        <f t="shared" ca="1" si="1321"/>
        <v>0</v>
      </c>
      <c r="LI145" s="1319">
        <f t="shared" ca="1" si="1321"/>
        <v>0</v>
      </c>
      <c r="LJ145" s="1319">
        <f t="shared" ca="1" si="1321"/>
        <v>0</v>
      </c>
      <c r="LK145" s="1319">
        <f t="shared" ca="1" si="1321"/>
        <v>0</v>
      </c>
      <c r="LT145" s="1334"/>
      <c r="LW145" s="1319">
        <f t="shared" ref="LW145:MF154" ca="1" si="1322">VLOOKUP(LW$1,INDIRECT(LU_MAT),$A145,FALSE)*$F145/$E145</f>
        <v>0</v>
      </c>
      <c r="LX145" s="1319">
        <f t="shared" ca="1" si="1322"/>
        <v>0</v>
      </c>
      <c r="LY145" s="1319">
        <f t="shared" ca="1" si="1322"/>
        <v>0</v>
      </c>
      <c r="LZ145" s="1319">
        <f t="shared" ca="1" si="1322"/>
        <v>0</v>
      </c>
      <c r="MA145" s="1319">
        <f t="shared" ca="1" si="1322"/>
        <v>0</v>
      </c>
      <c r="MB145" s="1319">
        <f t="shared" ca="1" si="1322"/>
        <v>0</v>
      </c>
      <c r="MC145" s="1319">
        <f t="shared" ca="1" si="1322"/>
        <v>0</v>
      </c>
      <c r="MD145" s="1319">
        <f t="shared" ca="1" si="1322"/>
        <v>0</v>
      </c>
      <c r="ME145" s="1319">
        <f t="shared" ca="1" si="1322"/>
        <v>0</v>
      </c>
      <c r="MF145" s="1319">
        <f t="shared" ca="1" si="1322"/>
        <v>0</v>
      </c>
      <c r="MG145" s="1319">
        <f t="shared" ref="MG145:MO154" ca="1" si="1323">VLOOKUP(MG$1,INDIRECT(LU_MAT),$A145,FALSE)*$F145/$E145</f>
        <v>0</v>
      </c>
      <c r="MH145" s="1319">
        <f t="shared" ca="1" si="1323"/>
        <v>0</v>
      </c>
      <c r="MI145" s="1319">
        <f t="shared" ca="1" si="1323"/>
        <v>0</v>
      </c>
      <c r="MJ145" s="1319">
        <f t="shared" ca="1" si="1323"/>
        <v>0</v>
      </c>
      <c r="MK145" s="1319">
        <f t="shared" ca="1" si="1323"/>
        <v>0</v>
      </c>
      <c r="ML145" s="1319">
        <f t="shared" ca="1" si="1323"/>
        <v>0</v>
      </c>
      <c r="MM145" s="1319">
        <f t="shared" ca="1" si="1323"/>
        <v>0</v>
      </c>
      <c r="MN145" s="1319">
        <f t="shared" ca="1" si="1323"/>
        <v>0</v>
      </c>
      <c r="MO145" s="1319">
        <f t="shared" ca="1" si="1323"/>
        <v>0</v>
      </c>
      <c r="MX145" s="1334"/>
      <c r="NA145" s="1319">
        <f t="shared" ref="NA145:NP154" ca="1" si="1324">VLOOKUP(NA$1,INDIRECT(LU_MAT),$A145,FALSE)*$F145/$E145</f>
        <v>0</v>
      </c>
      <c r="NB145" s="1319">
        <f t="shared" ca="1" si="1324"/>
        <v>0</v>
      </c>
      <c r="NC145" s="1319">
        <f t="shared" ca="1" si="1324"/>
        <v>0</v>
      </c>
      <c r="ND145" s="1319">
        <f t="shared" ca="1" si="1324"/>
        <v>0</v>
      </c>
      <c r="NE145" s="1319">
        <f t="shared" ca="1" si="1324"/>
        <v>0</v>
      </c>
      <c r="NF145" s="1319">
        <f t="shared" ca="1" si="1324"/>
        <v>0</v>
      </c>
      <c r="NG145" s="1319">
        <f t="shared" ca="1" si="1324"/>
        <v>0</v>
      </c>
      <c r="NH145" s="1319">
        <f t="shared" ca="1" si="1324"/>
        <v>0</v>
      </c>
      <c r="NI145" s="1319">
        <f t="shared" ca="1" si="1324"/>
        <v>0</v>
      </c>
      <c r="NJ145" s="1319">
        <f t="shared" ca="1" si="1324"/>
        <v>0</v>
      </c>
      <c r="NK145" s="1319">
        <f t="shared" ca="1" si="1324"/>
        <v>0</v>
      </c>
      <c r="NL145" s="1319">
        <f t="shared" ca="1" si="1324"/>
        <v>0</v>
      </c>
      <c r="NM145" s="1319">
        <f t="shared" ca="1" si="1324"/>
        <v>0</v>
      </c>
      <c r="NN145" s="1319">
        <f t="shared" ca="1" si="1324"/>
        <v>0</v>
      </c>
      <c r="NO145" s="1319">
        <f t="shared" ca="1" si="1324"/>
        <v>0</v>
      </c>
      <c r="NP145" s="1319">
        <f t="shared" ca="1" si="1324"/>
        <v>0</v>
      </c>
      <c r="NY145" s="1334"/>
      <c r="OE145" s="1334"/>
      <c r="OH145" s="1319">
        <f t="shared" ref="OH145:OO154" ca="1" si="1325">VLOOKUP(OH$1,INDIRECT(LU_MAT),$A145,FALSE)*$F145/$E145</f>
        <v>0</v>
      </c>
      <c r="OI145" s="1319">
        <f t="shared" ca="1" si="1325"/>
        <v>0</v>
      </c>
      <c r="OJ145" s="1319">
        <f t="shared" ca="1" si="1325"/>
        <v>0</v>
      </c>
      <c r="OK145" s="1319">
        <f t="shared" ca="1" si="1325"/>
        <v>0</v>
      </c>
      <c r="OL145" s="1319">
        <f t="shared" ca="1" si="1325"/>
        <v>0</v>
      </c>
      <c r="OM145" s="1319">
        <f t="shared" ca="1" si="1325"/>
        <v>0</v>
      </c>
      <c r="ON145" s="1319">
        <f t="shared" ca="1" si="1325"/>
        <v>0</v>
      </c>
      <c r="OO145" s="1319">
        <f t="shared" ca="1" si="1325"/>
        <v>0</v>
      </c>
      <c r="OX145" s="1334"/>
      <c r="PA145" s="1319">
        <f t="shared" ref="PA145:PK154" ca="1" si="1326">VLOOKUP(PA$1,INDIRECT(LU_MAT),$A145,FALSE)*$F145/$E145</f>
        <v>0</v>
      </c>
      <c r="PB145" s="1319">
        <f t="shared" ca="1" si="1326"/>
        <v>0</v>
      </c>
      <c r="PC145" s="1319">
        <f t="shared" ca="1" si="1326"/>
        <v>0</v>
      </c>
      <c r="PD145" s="1319">
        <f t="shared" ca="1" si="1326"/>
        <v>0</v>
      </c>
      <c r="PE145" s="1319">
        <f t="shared" ca="1" si="1326"/>
        <v>0</v>
      </c>
      <c r="PF145" s="1319">
        <f t="shared" ca="1" si="1326"/>
        <v>0</v>
      </c>
      <c r="PG145" s="1319">
        <f t="shared" ca="1" si="1326"/>
        <v>0</v>
      </c>
      <c r="PH145" s="1319">
        <f t="shared" ca="1" si="1326"/>
        <v>0</v>
      </c>
      <c r="PI145" s="1319">
        <f t="shared" ca="1" si="1326"/>
        <v>0</v>
      </c>
      <c r="PJ145" s="1319">
        <f t="shared" ca="1" si="1326"/>
        <v>0</v>
      </c>
      <c r="PK145" s="1319">
        <f t="shared" ca="1" si="1326"/>
        <v>0</v>
      </c>
      <c r="PT145" s="1334"/>
      <c r="PW145" s="1319">
        <f t="shared" ca="1" si="1305"/>
        <v>0</v>
      </c>
      <c r="PX145" s="1319">
        <f t="shared" ca="1" si="1305"/>
        <v>0</v>
      </c>
      <c r="PY145" s="1319">
        <f t="shared" ca="1" si="1305"/>
        <v>0</v>
      </c>
      <c r="PZ145" s="1319">
        <f t="shared" ca="1" si="1305"/>
        <v>0</v>
      </c>
    </row>
    <row r="146" spans="1:442" x14ac:dyDescent="0.25">
      <c r="A146" s="189">
        <v>35</v>
      </c>
      <c r="B146" s="189" t="s">
        <v>1256</v>
      </c>
      <c r="C146" s="1317" t="s">
        <v>1303</v>
      </c>
      <c r="D146" s="1317" t="s">
        <v>206</v>
      </c>
      <c r="E146" s="1323">
        <v>180.16</v>
      </c>
      <c r="F146" s="1316">
        <v>-0.61003928257999984</v>
      </c>
      <c r="G146" s="1334"/>
      <c r="J146" s="1319">
        <f t="shared" ca="1" si="1283"/>
        <v>0</v>
      </c>
      <c r="K146" s="1319">
        <f t="shared" ca="1" si="1283"/>
        <v>0</v>
      </c>
      <c r="Q146" s="1334"/>
      <c r="T146" s="1319">
        <f t="shared" ca="1" si="1306"/>
        <v>0</v>
      </c>
      <c r="U146" s="1319">
        <f t="shared" ca="1" si="1306"/>
        <v>0</v>
      </c>
      <c r="V146" s="1319">
        <f t="shared" ca="1" si="1306"/>
        <v>0</v>
      </c>
      <c r="W146" s="1319">
        <f t="shared" ca="1" si="1306"/>
        <v>0</v>
      </c>
      <c r="X146" s="1319">
        <f t="shared" ca="1" si="1306"/>
        <v>0</v>
      </c>
      <c r="Y146" s="1319">
        <f t="shared" ca="1" si="1306"/>
        <v>0</v>
      </c>
      <c r="Z146" s="1319">
        <f t="shared" ca="1" si="1306"/>
        <v>0</v>
      </c>
      <c r="AA146" s="1319">
        <f t="shared" ca="1" si="1306"/>
        <v>0</v>
      </c>
      <c r="AB146" s="1319">
        <f t="shared" ca="1" si="1306"/>
        <v>0</v>
      </c>
      <c r="AC146" s="1319">
        <f t="shared" ca="1" si="1306"/>
        <v>0</v>
      </c>
      <c r="AD146" s="1319">
        <f t="shared" ca="1" si="1306"/>
        <v>0</v>
      </c>
      <c r="AJ146" s="1334"/>
      <c r="AM146" s="1319">
        <f t="shared" ca="1" si="1307"/>
        <v>0</v>
      </c>
      <c r="AN146" s="1319">
        <f t="shared" ca="1" si="1307"/>
        <v>0</v>
      </c>
      <c r="AO146" s="1319">
        <f t="shared" ca="1" si="1307"/>
        <v>0</v>
      </c>
      <c r="AP146" s="1319">
        <f t="shared" ca="1" si="1307"/>
        <v>0</v>
      </c>
      <c r="AQ146" s="1319">
        <f t="shared" ca="1" si="1307"/>
        <v>0</v>
      </c>
      <c r="AR146" s="1319">
        <f t="shared" ca="1" si="1307"/>
        <v>0</v>
      </c>
      <c r="AS146" s="1319">
        <f t="shared" ca="1" si="1307"/>
        <v>0</v>
      </c>
      <c r="AT146" s="1319">
        <f t="shared" ca="1" si="1307"/>
        <v>0</v>
      </c>
      <c r="AU146" s="1319">
        <f t="shared" ca="1" si="1307"/>
        <v>0</v>
      </c>
      <c r="AV146" s="1319">
        <f t="shared" ca="1" si="1307"/>
        <v>0</v>
      </c>
      <c r="AW146" s="1319">
        <f t="shared" ca="1" si="1307"/>
        <v>0</v>
      </c>
      <c r="AX146" s="1319">
        <f t="shared" ca="1" si="1307"/>
        <v>0</v>
      </c>
      <c r="AY146" s="1319">
        <f t="shared" ca="1" si="1307"/>
        <v>0</v>
      </c>
      <c r="AZ146" s="1319">
        <f t="shared" ca="1" si="1307"/>
        <v>0</v>
      </c>
      <c r="BA146" s="1319">
        <f t="shared" ca="1" si="1307"/>
        <v>0</v>
      </c>
      <c r="BB146" s="1319">
        <f t="shared" ca="1" si="1307"/>
        <v>0</v>
      </c>
      <c r="BK146" s="1334"/>
      <c r="BN146" s="1319">
        <f t="shared" ca="1" si="1308"/>
        <v>0</v>
      </c>
      <c r="BO146" s="1319">
        <f t="shared" ca="1" si="1308"/>
        <v>0</v>
      </c>
      <c r="BP146" s="1319">
        <f t="shared" ca="1" si="1308"/>
        <v>0</v>
      </c>
      <c r="BQ146" s="1319">
        <f t="shared" ca="1" si="1308"/>
        <v>0</v>
      </c>
      <c r="BR146" s="1319">
        <f t="shared" ca="1" si="1308"/>
        <v>0</v>
      </c>
      <c r="CA146" s="1334"/>
      <c r="CD146" s="1319">
        <f t="shared" ca="1" si="1309"/>
        <v>0</v>
      </c>
      <c r="CE146" s="1319">
        <f t="shared" ca="1" si="1309"/>
        <v>0</v>
      </c>
      <c r="CF146" s="1319">
        <f t="shared" ca="1" si="1309"/>
        <v>0</v>
      </c>
      <c r="CG146" s="1319">
        <f t="shared" ca="1" si="1309"/>
        <v>0</v>
      </c>
      <c r="CH146" s="1319">
        <f t="shared" ca="1" si="1309"/>
        <v>0</v>
      </c>
      <c r="CI146" s="1319">
        <f t="shared" ca="1" si="1309"/>
        <v>0</v>
      </c>
      <c r="CJ146" s="1319">
        <f t="shared" ca="1" si="1309"/>
        <v>0</v>
      </c>
      <c r="CK146" s="1319">
        <f t="shared" ca="1" si="1309"/>
        <v>0</v>
      </c>
      <c r="CL146" s="1319">
        <f t="shared" ca="1" si="1309"/>
        <v>0</v>
      </c>
      <c r="CM146" s="1319">
        <f t="shared" ca="1" si="1309"/>
        <v>0</v>
      </c>
      <c r="CN146" s="1319">
        <f t="shared" ca="1" si="1309"/>
        <v>0</v>
      </c>
      <c r="CO146" s="1319">
        <f t="shared" ca="1" si="1309"/>
        <v>0</v>
      </c>
      <c r="CX146" s="1334"/>
      <c r="DA146" s="1319">
        <f t="shared" ca="1" si="1310"/>
        <v>0</v>
      </c>
      <c r="DB146" s="1319">
        <f t="shared" ca="1" si="1310"/>
        <v>0</v>
      </c>
      <c r="DC146" s="1319">
        <f t="shared" ca="1" si="1310"/>
        <v>0</v>
      </c>
      <c r="DD146" s="1319">
        <f t="shared" ca="1" si="1310"/>
        <v>0</v>
      </c>
      <c r="DE146" s="1319">
        <f t="shared" ca="1" si="1310"/>
        <v>0</v>
      </c>
      <c r="DF146" s="1319">
        <f t="shared" ca="1" si="1310"/>
        <v>0</v>
      </c>
      <c r="DG146" s="1319">
        <f t="shared" ca="1" si="1310"/>
        <v>0</v>
      </c>
      <c r="DH146" s="1319">
        <f t="shared" ca="1" si="1310"/>
        <v>0</v>
      </c>
      <c r="DI146" s="1319">
        <f t="shared" ca="1" si="1310"/>
        <v>0</v>
      </c>
      <c r="DJ146" s="1319">
        <f t="shared" ca="1" si="1310"/>
        <v>0</v>
      </c>
      <c r="DS146" s="1334"/>
      <c r="DV146" s="1319">
        <f t="shared" ca="1" si="1311"/>
        <v>0</v>
      </c>
      <c r="DW146" s="1319">
        <f t="shared" ca="1" si="1311"/>
        <v>0</v>
      </c>
      <c r="DX146" s="1319">
        <f t="shared" ca="1" si="1311"/>
        <v>0</v>
      </c>
      <c r="DY146" s="1319">
        <f t="shared" ca="1" si="1311"/>
        <v>0</v>
      </c>
      <c r="DZ146" s="1319">
        <f t="shared" ca="1" si="1311"/>
        <v>0</v>
      </c>
      <c r="EA146" s="1319">
        <f t="shared" ca="1" si="1311"/>
        <v>0</v>
      </c>
      <c r="EB146" s="1319">
        <f t="shared" ca="1" si="1311"/>
        <v>0</v>
      </c>
      <c r="EC146" s="1319">
        <f t="shared" ca="1" si="1311"/>
        <v>-0.22806057172544733</v>
      </c>
      <c r="ED146" s="1319">
        <f t="shared" ca="1" si="1311"/>
        <v>0</v>
      </c>
      <c r="EE146" s="1319">
        <f t="shared" ca="1" si="1311"/>
        <v>0</v>
      </c>
      <c r="EF146" s="1319">
        <f t="shared" ca="1" si="1311"/>
        <v>-0.22806057172544733</v>
      </c>
      <c r="EG146" s="1319">
        <f t="shared" ca="1" si="1311"/>
        <v>0</v>
      </c>
      <c r="EH146" s="1319">
        <f t="shared" ca="1" si="1311"/>
        <v>0</v>
      </c>
      <c r="EI146" s="1319">
        <f t="shared" ca="1" si="1311"/>
        <v>0</v>
      </c>
      <c r="EJ146" s="1319">
        <f t="shared" ca="1" si="1311"/>
        <v>0</v>
      </c>
      <c r="EK146" s="1319">
        <f t="shared" ca="1" si="1311"/>
        <v>0</v>
      </c>
      <c r="ET146" s="1334"/>
      <c r="EW146" s="1319">
        <f t="shared" ca="1" si="1312"/>
        <v>0</v>
      </c>
      <c r="EX146" s="1319">
        <f t="shared" ca="1" si="1312"/>
        <v>0</v>
      </c>
      <c r="EY146" s="1319">
        <f t="shared" ca="1" si="1312"/>
        <v>0</v>
      </c>
      <c r="EZ146" s="1319">
        <f t="shared" ca="1" si="1312"/>
        <v>0</v>
      </c>
      <c r="FA146" s="1319">
        <f t="shared" ca="1" si="1312"/>
        <v>0</v>
      </c>
      <c r="FB146" s="1319">
        <f t="shared" ca="1" si="1312"/>
        <v>0</v>
      </c>
      <c r="FK146" s="1334"/>
      <c r="FN146" s="1319">
        <f t="shared" ca="1" si="1313"/>
        <v>0</v>
      </c>
      <c r="FO146" s="1319">
        <f t="shared" ca="1" si="1313"/>
        <v>0</v>
      </c>
      <c r="FP146" s="1319">
        <f t="shared" ca="1" si="1313"/>
        <v>0</v>
      </c>
      <c r="FQ146" s="1319">
        <f t="shared" ca="1" si="1313"/>
        <v>0</v>
      </c>
      <c r="FR146" s="1319">
        <f t="shared" ca="1" si="1313"/>
        <v>0</v>
      </c>
      <c r="FS146" s="1319">
        <f t="shared" ca="1" si="1313"/>
        <v>0</v>
      </c>
      <c r="FT146" s="1319">
        <f t="shared" ca="1" si="1313"/>
        <v>0</v>
      </c>
      <c r="FU146" s="1319">
        <f t="shared" ca="1" si="1313"/>
        <v>0</v>
      </c>
      <c r="FV146" s="1319">
        <f t="shared" ca="1" si="1313"/>
        <v>0</v>
      </c>
      <c r="FW146" s="1319">
        <f t="shared" ca="1" si="1313"/>
        <v>0</v>
      </c>
      <c r="FX146" s="1319">
        <f t="shared" ca="1" si="1313"/>
        <v>0</v>
      </c>
      <c r="GG146" s="1334"/>
      <c r="GJ146" s="1319">
        <f t="shared" ca="1" si="1314"/>
        <v>0</v>
      </c>
      <c r="GK146" s="1319">
        <f t="shared" ca="1" si="1314"/>
        <v>0</v>
      </c>
      <c r="GL146" s="1319">
        <f t="shared" ca="1" si="1314"/>
        <v>0</v>
      </c>
      <c r="GM146" s="1319">
        <f t="shared" ca="1" si="1314"/>
        <v>0</v>
      </c>
      <c r="GN146" s="1319">
        <f t="shared" ca="1" si="1314"/>
        <v>0</v>
      </c>
      <c r="GO146" s="1319">
        <f t="shared" ca="1" si="1314"/>
        <v>0</v>
      </c>
      <c r="GP146" s="1319">
        <f t="shared" ca="1" si="1314"/>
        <v>0</v>
      </c>
      <c r="GQ146" s="1319">
        <f t="shared" ca="1" si="1314"/>
        <v>0</v>
      </c>
      <c r="GZ146" s="1334"/>
      <c r="HC146" s="1319">
        <f t="shared" ca="1" si="1315"/>
        <v>0</v>
      </c>
      <c r="HD146" s="1319">
        <f t="shared" ca="1" si="1315"/>
        <v>0</v>
      </c>
      <c r="HE146" s="1319">
        <f t="shared" ca="1" si="1315"/>
        <v>0</v>
      </c>
      <c r="HF146" s="1319">
        <f t="shared" ca="1" si="1315"/>
        <v>0</v>
      </c>
      <c r="HG146" s="1319">
        <f t="shared" ca="1" si="1315"/>
        <v>0</v>
      </c>
      <c r="HH146" s="1319">
        <f t="shared" ca="1" si="1315"/>
        <v>0</v>
      </c>
      <c r="HQ146" s="1334"/>
      <c r="HT146" s="1319">
        <f t="shared" ca="1" si="1316"/>
        <v>0</v>
      </c>
      <c r="HU146" s="1319">
        <f t="shared" ca="1" si="1316"/>
        <v>0</v>
      </c>
      <c r="HV146" s="1319">
        <f t="shared" ca="1" si="1316"/>
        <v>0</v>
      </c>
      <c r="HW146" s="1319">
        <f t="shared" ca="1" si="1316"/>
        <v>0</v>
      </c>
      <c r="HX146" s="1319">
        <f t="shared" ca="1" si="1316"/>
        <v>0</v>
      </c>
      <c r="HY146" s="1319">
        <f t="shared" ca="1" si="1316"/>
        <v>0</v>
      </c>
      <c r="HZ146" s="1319">
        <f t="shared" ca="1" si="1316"/>
        <v>0</v>
      </c>
      <c r="IA146" s="1319">
        <f t="shared" ca="1" si="1316"/>
        <v>0</v>
      </c>
      <c r="IB146" s="1319">
        <f t="shared" ca="1" si="1316"/>
        <v>0</v>
      </c>
      <c r="IC146" s="1319">
        <f t="shared" ca="1" si="1316"/>
        <v>0</v>
      </c>
      <c r="ID146" s="1319">
        <f t="shared" ca="1" si="1316"/>
        <v>0</v>
      </c>
      <c r="IE146" s="1319">
        <f t="shared" ca="1" si="1316"/>
        <v>0</v>
      </c>
      <c r="IN146" s="1334"/>
      <c r="IQ146" s="1319">
        <f t="shared" ca="1" si="1317"/>
        <v>0</v>
      </c>
      <c r="IR146" s="1319">
        <f t="shared" ca="1" si="1317"/>
        <v>0</v>
      </c>
      <c r="IS146" s="1319">
        <f t="shared" ca="1" si="1317"/>
        <v>0</v>
      </c>
      <c r="IT146" s="1319">
        <f t="shared" ca="1" si="1317"/>
        <v>0</v>
      </c>
      <c r="IU146" s="1319">
        <f t="shared" ca="1" si="1317"/>
        <v>0</v>
      </c>
      <c r="IV146" s="1319">
        <f t="shared" ca="1" si="1317"/>
        <v>0</v>
      </c>
      <c r="IW146" s="1319">
        <f t="shared" ca="1" si="1317"/>
        <v>0</v>
      </c>
      <c r="IX146" s="1319">
        <f t="shared" ca="1" si="1317"/>
        <v>0</v>
      </c>
      <c r="IY146" s="1319">
        <f t="shared" ca="1" si="1317"/>
        <v>0</v>
      </c>
      <c r="IZ146" s="1319">
        <f t="shared" ca="1" si="1317"/>
        <v>0</v>
      </c>
      <c r="JA146" s="1319">
        <f t="shared" ca="1" si="1317"/>
        <v>0</v>
      </c>
      <c r="JB146" s="1319">
        <f t="shared" ca="1" si="1318"/>
        <v>0</v>
      </c>
      <c r="JC146" s="1319">
        <f t="shared" ca="1" si="1318"/>
        <v>0</v>
      </c>
      <c r="JD146" s="1319">
        <f t="shared" ca="1" si="1318"/>
        <v>0</v>
      </c>
      <c r="JE146" s="1319">
        <f t="shared" ca="1" si="1318"/>
        <v>0</v>
      </c>
      <c r="JF146" s="1319">
        <f t="shared" ca="1" si="1318"/>
        <v>0</v>
      </c>
      <c r="JG146" s="1319">
        <f t="shared" ca="1" si="1318"/>
        <v>0</v>
      </c>
      <c r="JH146" s="1319">
        <f t="shared" ca="1" si="1318"/>
        <v>0</v>
      </c>
      <c r="JQ146" s="1334"/>
      <c r="JT146" s="1319">
        <f t="shared" ca="1" si="1319"/>
        <v>0</v>
      </c>
      <c r="JU146" s="1319">
        <f t="shared" ca="1" si="1319"/>
        <v>0</v>
      </c>
      <c r="JV146" s="1319">
        <f t="shared" ca="1" si="1319"/>
        <v>0</v>
      </c>
      <c r="JW146" s="1319">
        <f t="shared" ca="1" si="1319"/>
        <v>0</v>
      </c>
      <c r="JX146" s="1319">
        <f t="shared" ca="1" si="1319"/>
        <v>0</v>
      </c>
      <c r="JY146" s="1319">
        <f t="shared" ca="1" si="1319"/>
        <v>0</v>
      </c>
      <c r="JZ146" s="1319">
        <f t="shared" ca="1" si="1319"/>
        <v>0</v>
      </c>
      <c r="KA146" s="1319">
        <f t="shared" ca="1" si="1319"/>
        <v>0</v>
      </c>
      <c r="KB146" s="1319">
        <f t="shared" ca="1" si="1319"/>
        <v>0</v>
      </c>
      <c r="KC146" s="1319">
        <f t="shared" ca="1" si="1319"/>
        <v>0</v>
      </c>
      <c r="KI146" s="1334"/>
      <c r="KL146" s="1319">
        <f t="shared" ca="1" si="1320"/>
        <v>0</v>
      </c>
      <c r="KM146" s="1319">
        <f t="shared" ca="1" si="1320"/>
        <v>0</v>
      </c>
      <c r="KN146" s="1319">
        <f t="shared" ca="1" si="1320"/>
        <v>0</v>
      </c>
      <c r="KO146" s="1319">
        <f t="shared" ca="1" si="1320"/>
        <v>0</v>
      </c>
      <c r="KP146" s="1319">
        <f t="shared" ca="1" si="1320"/>
        <v>0</v>
      </c>
      <c r="KQ146" s="1319">
        <f t="shared" ca="1" si="1320"/>
        <v>0</v>
      </c>
      <c r="KR146" s="1319">
        <f t="shared" ca="1" si="1320"/>
        <v>0</v>
      </c>
      <c r="KX146" s="1334"/>
      <c r="LA146" s="1319">
        <f t="shared" ca="1" si="1321"/>
        <v>0</v>
      </c>
      <c r="LB146" s="1319">
        <f t="shared" ca="1" si="1321"/>
        <v>0</v>
      </c>
      <c r="LC146" s="1319">
        <f t="shared" ca="1" si="1321"/>
        <v>0</v>
      </c>
      <c r="LD146" s="1319">
        <f t="shared" ca="1" si="1321"/>
        <v>0</v>
      </c>
      <c r="LE146" s="1319">
        <f t="shared" ca="1" si="1321"/>
        <v>0</v>
      </c>
      <c r="LF146" s="1319">
        <f t="shared" ca="1" si="1321"/>
        <v>0</v>
      </c>
      <c r="LG146" s="1319">
        <f t="shared" ca="1" si="1321"/>
        <v>0</v>
      </c>
      <c r="LH146" s="1319">
        <f t="shared" ca="1" si="1321"/>
        <v>0</v>
      </c>
      <c r="LI146" s="1319">
        <f t="shared" ca="1" si="1321"/>
        <v>0</v>
      </c>
      <c r="LJ146" s="1319">
        <f t="shared" ca="1" si="1321"/>
        <v>0</v>
      </c>
      <c r="LK146" s="1319">
        <f t="shared" ca="1" si="1321"/>
        <v>0</v>
      </c>
      <c r="LT146" s="1334"/>
      <c r="LW146" s="1319">
        <f t="shared" ca="1" si="1322"/>
        <v>0</v>
      </c>
      <c r="LX146" s="1319">
        <f t="shared" ca="1" si="1322"/>
        <v>0</v>
      </c>
      <c r="LY146" s="1319">
        <f t="shared" ca="1" si="1322"/>
        <v>0</v>
      </c>
      <c r="LZ146" s="1319">
        <f t="shared" ca="1" si="1322"/>
        <v>0</v>
      </c>
      <c r="MA146" s="1319">
        <f t="shared" ca="1" si="1322"/>
        <v>0</v>
      </c>
      <c r="MB146" s="1319">
        <f t="shared" ca="1" si="1322"/>
        <v>0</v>
      </c>
      <c r="MC146" s="1319">
        <f t="shared" ca="1" si="1322"/>
        <v>0</v>
      </c>
      <c r="MD146" s="1319">
        <f t="shared" ca="1" si="1322"/>
        <v>0</v>
      </c>
      <c r="ME146" s="1319">
        <f t="shared" ca="1" si="1322"/>
        <v>0</v>
      </c>
      <c r="MF146" s="1319">
        <f t="shared" ca="1" si="1322"/>
        <v>0</v>
      </c>
      <c r="MG146" s="1319">
        <f t="shared" ca="1" si="1323"/>
        <v>0</v>
      </c>
      <c r="MH146" s="1319">
        <f t="shared" ca="1" si="1323"/>
        <v>0</v>
      </c>
      <c r="MI146" s="1319">
        <f t="shared" ca="1" si="1323"/>
        <v>0</v>
      </c>
      <c r="MJ146" s="1319">
        <f t="shared" ca="1" si="1323"/>
        <v>0</v>
      </c>
      <c r="MK146" s="1319">
        <f t="shared" ca="1" si="1323"/>
        <v>0</v>
      </c>
      <c r="ML146" s="1319">
        <f t="shared" ca="1" si="1323"/>
        <v>0</v>
      </c>
      <c r="MM146" s="1319">
        <f t="shared" ca="1" si="1323"/>
        <v>0</v>
      </c>
      <c r="MN146" s="1319">
        <f t="shared" ca="1" si="1323"/>
        <v>0</v>
      </c>
      <c r="MO146" s="1319">
        <f t="shared" ca="1" si="1323"/>
        <v>0</v>
      </c>
      <c r="MX146" s="1334"/>
      <c r="NA146" s="1319">
        <f t="shared" ca="1" si="1324"/>
        <v>0</v>
      </c>
      <c r="NB146" s="1319">
        <f t="shared" ca="1" si="1324"/>
        <v>0</v>
      </c>
      <c r="NC146" s="1319">
        <f t="shared" ca="1" si="1324"/>
        <v>0</v>
      </c>
      <c r="ND146" s="1319">
        <f t="shared" ca="1" si="1324"/>
        <v>0</v>
      </c>
      <c r="NE146" s="1319">
        <f t="shared" ca="1" si="1324"/>
        <v>0</v>
      </c>
      <c r="NF146" s="1319">
        <f t="shared" ca="1" si="1324"/>
        <v>0</v>
      </c>
      <c r="NG146" s="1319">
        <f t="shared" ca="1" si="1324"/>
        <v>0</v>
      </c>
      <c r="NH146" s="1319">
        <f t="shared" ca="1" si="1324"/>
        <v>0</v>
      </c>
      <c r="NI146" s="1319">
        <f t="shared" ca="1" si="1324"/>
        <v>0</v>
      </c>
      <c r="NJ146" s="1319">
        <f t="shared" ca="1" si="1324"/>
        <v>0</v>
      </c>
      <c r="NK146" s="1319">
        <f t="shared" ca="1" si="1324"/>
        <v>0</v>
      </c>
      <c r="NL146" s="1319">
        <f t="shared" ca="1" si="1324"/>
        <v>0</v>
      </c>
      <c r="NM146" s="1319">
        <f t="shared" ca="1" si="1324"/>
        <v>0</v>
      </c>
      <c r="NN146" s="1319">
        <f t="shared" ca="1" si="1324"/>
        <v>0</v>
      </c>
      <c r="NO146" s="1319">
        <f t="shared" ca="1" si="1324"/>
        <v>0</v>
      </c>
      <c r="NP146" s="1319">
        <f t="shared" ca="1" si="1324"/>
        <v>0</v>
      </c>
      <c r="NY146" s="1334"/>
      <c r="OE146" s="1334"/>
      <c r="OH146" s="1319">
        <f t="shared" ca="1" si="1325"/>
        <v>0</v>
      </c>
      <c r="OI146" s="1319">
        <f t="shared" ca="1" si="1325"/>
        <v>0</v>
      </c>
      <c r="OJ146" s="1319">
        <f t="shared" ca="1" si="1325"/>
        <v>0</v>
      </c>
      <c r="OK146" s="1319">
        <f t="shared" ca="1" si="1325"/>
        <v>0</v>
      </c>
      <c r="OL146" s="1319">
        <f t="shared" ca="1" si="1325"/>
        <v>0</v>
      </c>
      <c r="OM146" s="1319">
        <f t="shared" ca="1" si="1325"/>
        <v>0</v>
      </c>
      <c r="ON146" s="1319">
        <f t="shared" ca="1" si="1325"/>
        <v>0</v>
      </c>
      <c r="OO146" s="1319">
        <f t="shared" ca="1" si="1325"/>
        <v>0</v>
      </c>
      <c r="OX146" s="1334"/>
      <c r="PA146" s="1319">
        <f t="shared" ca="1" si="1326"/>
        <v>0</v>
      </c>
      <c r="PB146" s="1319">
        <f t="shared" ca="1" si="1326"/>
        <v>0</v>
      </c>
      <c r="PC146" s="1319">
        <f t="shared" ca="1" si="1326"/>
        <v>0</v>
      </c>
      <c r="PD146" s="1319">
        <f t="shared" ca="1" si="1326"/>
        <v>0</v>
      </c>
      <c r="PE146" s="1319">
        <f t="shared" ca="1" si="1326"/>
        <v>0</v>
      </c>
      <c r="PF146" s="1319">
        <f t="shared" ca="1" si="1326"/>
        <v>0</v>
      </c>
      <c r="PG146" s="1319">
        <f t="shared" ca="1" si="1326"/>
        <v>0</v>
      </c>
      <c r="PH146" s="1319">
        <f t="shared" ca="1" si="1326"/>
        <v>0</v>
      </c>
      <c r="PI146" s="1319">
        <f t="shared" ca="1" si="1326"/>
        <v>0</v>
      </c>
      <c r="PJ146" s="1319">
        <f t="shared" ca="1" si="1326"/>
        <v>0</v>
      </c>
      <c r="PK146" s="1319">
        <f t="shared" ca="1" si="1326"/>
        <v>0</v>
      </c>
      <c r="PT146" s="1334"/>
      <c r="PW146" s="1319">
        <f t="shared" ca="1" si="1305"/>
        <v>0</v>
      </c>
      <c r="PX146" s="1319">
        <f t="shared" ca="1" si="1305"/>
        <v>0</v>
      </c>
      <c r="PY146" s="1319">
        <f t="shared" ca="1" si="1305"/>
        <v>0</v>
      </c>
      <c r="PZ146" s="1319">
        <f t="shared" ca="1" si="1305"/>
        <v>0</v>
      </c>
    </row>
    <row r="147" spans="1:442" x14ac:dyDescent="0.25">
      <c r="A147" s="189">
        <v>36</v>
      </c>
      <c r="B147" s="189" t="s">
        <v>1256</v>
      </c>
      <c r="C147" s="1317" t="s">
        <v>1304</v>
      </c>
      <c r="D147" s="1317" t="s">
        <v>206</v>
      </c>
      <c r="E147" s="1318">
        <v>180.16</v>
      </c>
      <c r="F147" s="1316">
        <v>-0.61003928257999984</v>
      </c>
      <c r="G147" s="1334"/>
      <c r="J147" s="1319">
        <f t="shared" ca="1" si="1283"/>
        <v>0</v>
      </c>
      <c r="K147" s="1319">
        <f t="shared" ca="1" si="1283"/>
        <v>0</v>
      </c>
      <c r="Q147" s="1334"/>
      <c r="T147" s="1319">
        <f t="shared" ca="1" si="1306"/>
        <v>0</v>
      </c>
      <c r="U147" s="1319">
        <f t="shared" ca="1" si="1306"/>
        <v>0</v>
      </c>
      <c r="V147" s="1319">
        <f t="shared" ca="1" si="1306"/>
        <v>0</v>
      </c>
      <c r="W147" s="1319">
        <f t="shared" ca="1" si="1306"/>
        <v>0</v>
      </c>
      <c r="X147" s="1319">
        <f t="shared" ca="1" si="1306"/>
        <v>0</v>
      </c>
      <c r="Y147" s="1319">
        <f t="shared" ca="1" si="1306"/>
        <v>0</v>
      </c>
      <c r="Z147" s="1319">
        <f t="shared" ca="1" si="1306"/>
        <v>0</v>
      </c>
      <c r="AA147" s="1319">
        <f t="shared" ca="1" si="1306"/>
        <v>0</v>
      </c>
      <c r="AB147" s="1319">
        <f t="shared" ca="1" si="1306"/>
        <v>0</v>
      </c>
      <c r="AC147" s="1319">
        <f t="shared" ca="1" si="1306"/>
        <v>0</v>
      </c>
      <c r="AD147" s="1319">
        <f t="shared" ca="1" si="1306"/>
        <v>0</v>
      </c>
      <c r="AJ147" s="1334"/>
      <c r="AM147" s="1319">
        <f t="shared" ca="1" si="1307"/>
        <v>0</v>
      </c>
      <c r="AN147" s="1319">
        <f t="shared" ca="1" si="1307"/>
        <v>0</v>
      </c>
      <c r="AO147" s="1319">
        <f t="shared" ca="1" si="1307"/>
        <v>0</v>
      </c>
      <c r="AP147" s="1319">
        <f t="shared" ca="1" si="1307"/>
        <v>0</v>
      </c>
      <c r="AQ147" s="1319">
        <f t="shared" ca="1" si="1307"/>
        <v>0</v>
      </c>
      <c r="AR147" s="1319">
        <f t="shared" ca="1" si="1307"/>
        <v>0</v>
      </c>
      <c r="AS147" s="1319">
        <f t="shared" ca="1" si="1307"/>
        <v>0</v>
      </c>
      <c r="AT147" s="1319">
        <f t="shared" ca="1" si="1307"/>
        <v>0</v>
      </c>
      <c r="AU147" s="1319">
        <f t="shared" ca="1" si="1307"/>
        <v>0</v>
      </c>
      <c r="AV147" s="1319">
        <f t="shared" ca="1" si="1307"/>
        <v>0</v>
      </c>
      <c r="AW147" s="1319">
        <f t="shared" ca="1" si="1307"/>
        <v>0</v>
      </c>
      <c r="AX147" s="1319">
        <f t="shared" ca="1" si="1307"/>
        <v>0</v>
      </c>
      <c r="AY147" s="1319">
        <f t="shared" ca="1" si="1307"/>
        <v>0</v>
      </c>
      <c r="AZ147" s="1319">
        <f t="shared" ca="1" si="1307"/>
        <v>0</v>
      </c>
      <c r="BA147" s="1319">
        <f t="shared" ca="1" si="1307"/>
        <v>0</v>
      </c>
      <c r="BB147" s="1319">
        <f t="shared" ca="1" si="1307"/>
        <v>0</v>
      </c>
      <c r="BK147" s="1334"/>
      <c r="BN147" s="1319">
        <f t="shared" ca="1" si="1308"/>
        <v>0</v>
      </c>
      <c r="BO147" s="1319">
        <f t="shared" ca="1" si="1308"/>
        <v>0</v>
      </c>
      <c r="BP147" s="1319">
        <f t="shared" ca="1" si="1308"/>
        <v>0</v>
      </c>
      <c r="BQ147" s="1319">
        <f t="shared" ca="1" si="1308"/>
        <v>0</v>
      </c>
      <c r="BR147" s="1319">
        <f t="shared" ca="1" si="1308"/>
        <v>0</v>
      </c>
      <c r="CA147" s="1334"/>
      <c r="CD147" s="1319">
        <f t="shared" ca="1" si="1309"/>
        <v>0</v>
      </c>
      <c r="CE147" s="1319">
        <f t="shared" ca="1" si="1309"/>
        <v>0</v>
      </c>
      <c r="CF147" s="1319">
        <f t="shared" ca="1" si="1309"/>
        <v>0</v>
      </c>
      <c r="CG147" s="1319">
        <f t="shared" ca="1" si="1309"/>
        <v>0</v>
      </c>
      <c r="CH147" s="1319">
        <f t="shared" ca="1" si="1309"/>
        <v>0</v>
      </c>
      <c r="CI147" s="1319">
        <f t="shared" ca="1" si="1309"/>
        <v>0</v>
      </c>
      <c r="CJ147" s="1319">
        <f t="shared" ca="1" si="1309"/>
        <v>0</v>
      </c>
      <c r="CK147" s="1319">
        <f t="shared" ca="1" si="1309"/>
        <v>0</v>
      </c>
      <c r="CL147" s="1319">
        <f t="shared" ca="1" si="1309"/>
        <v>0</v>
      </c>
      <c r="CM147" s="1319">
        <f t="shared" ca="1" si="1309"/>
        <v>0</v>
      </c>
      <c r="CN147" s="1319">
        <f t="shared" ca="1" si="1309"/>
        <v>0</v>
      </c>
      <c r="CO147" s="1319">
        <f t="shared" ca="1" si="1309"/>
        <v>0</v>
      </c>
      <c r="CX147" s="1334"/>
      <c r="DA147" s="1319">
        <f t="shared" ca="1" si="1310"/>
        <v>0</v>
      </c>
      <c r="DB147" s="1319">
        <f t="shared" ca="1" si="1310"/>
        <v>0</v>
      </c>
      <c r="DC147" s="1319">
        <f t="shared" ca="1" si="1310"/>
        <v>0</v>
      </c>
      <c r="DD147" s="1319">
        <f t="shared" ca="1" si="1310"/>
        <v>0</v>
      </c>
      <c r="DE147" s="1319">
        <f t="shared" ca="1" si="1310"/>
        <v>0</v>
      </c>
      <c r="DF147" s="1319">
        <f t="shared" ca="1" si="1310"/>
        <v>0</v>
      </c>
      <c r="DG147" s="1319">
        <f t="shared" ca="1" si="1310"/>
        <v>0</v>
      </c>
      <c r="DH147" s="1319">
        <f t="shared" ca="1" si="1310"/>
        <v>0</v>
      </c>
      <c r="DI147" s="1319">
        <f t="shared" ca="1" si="1310"/>
        <v>0</v>
      </c>
      <c r="DJ147" s="1319">
        <f t="shared" ca="1" si="1310"/>
        <v>0</v>
      </c>
      <c r="DS147" s="1334"/>
      <c r="DV147" s="1319">
        <f t="shared" ca="1" si="1311"/>
        <v>0</v>
      </c>
      <c r="DW147" s="1319">
        <f t="shared" ca="1" si="1311"/>
        <v>0</v>
      </c>
      <c r="DX147" s="1319">
        <f t="shared" ca="1" si="1311"/>
        <v>0</v>
      </c>
      <c r="DY147" s="1319">
        <f t="shared" ca="1" si="1311"/>
        <v>0</v>
      </c>
      <c r="DZ147" s="1319">
        <f t="shared" ca="1" si="1311"/>
        <v>0</v>
      </c>
      <c r="EA147" s="1319">
        <f t="shared" ca="1" si="1311"/>
        <v>0</v>
      </c>
      <c r="EB147" s="1319">
        <f t="shared" ca="1" si="1311"/>
        <v>0</v>
      </c>
      <c r="EC147" s="1319">
        <f t="shared" ca="1" si="1311"/>
        <v>0</v>
      </c>
      <c r="ED147" s="1319">
        <f t="shared" ca="1" si="1311"/>
        <v>0</v>
      </c>
      <c r="EE147" s="1319">
        <f t="shared" ca="1" si="1311"/>
        <v>0</v>
      </c>
      <c r="EF147" s="1319">
        <f t="shared" ca="1" si="1311"/>
        <v>0</v>
      </c>
      <c r="EG147" s="1319">
        <f t="shared" ca="1" si="1311"/>
        <v>0</v>
      </c>
      <c r="EH147" s="1319">
        <f t="shared" ca="1" si="1311"/>
        <v>0</v>
      </c>
      <c r="EI147" s="1319">
        <f t="shared" ca="1" si="1311"/>
        <v>0</v>
      </c>
      <c r="EJ147" s="1319">
        <f t="shared" ca="1" si="1311"/>
        <v>0</v>
      </c>
      <c r="EK147" s="1319">
        <f t="shared" ca="1" si="1311"/>
        <v>0</v>
      </c>
      <c r="ET147" s="1334"/>
      <c r="EW147" s="1319">
        <f t="shared" ca="1" si="1312"/>
        <v>0</v>
      </c>
      <c r="EX147" s="1319">
        <f t="shared" ca="1" si="1312"/>
        <v>0</v>
      </c>
      <c r="EY147" s="1319">
        <f t="shared" ca="1" si="1312"/>
        <v>0</v>
      </c>
      <c r="EZ147" s="1319">
        <f t="shared" ca="1" si="1312"/>
        <v>0</v>
      </c>
      <c r="FA147" s="1319">
        <f t="shared" ca="1" si="1312"/>
        <v>0</v>
      </c>
      <c r="FB147" s="1319">
        <f t="shared" ca="1" si="1312"/>
        <v>0</v>
      </c>
      <c r="FK147" s="1334"/>
      <c r="FN147" s="1319">
        <f t="shared" ca="1" si="1313"/>
        <v>0</v>
      </c>
      <c r="FO147" s="1319">
        <f t="shared" ca="1" si="1313"/>
        <v>0</v>
      </c>
      <c r="FP147" s="1319">
        <f t="shared" ca="1" si="1313"/>
        <v>0</v>
      </c>
      <c r="FQ147" s="1319">
        <f t="shared" ca="1" si="1313"/>
        <v>0</v>
      </c>
      <c r="FR147" s="1319">
        <f t="shared" ca="1" si="1313"/>
        <v>0</v>
      </c>
      <c r="FS147" s="1319">
        <f t="shared" ca="1" si="1313"/>
        <v>0</v>
      </c>
      <c r="FT147" s="1319">
        <f t="shared" ca="1" si="1313"/>
        <v>0</v>
      </c>
      <c r="FU147" s="1319">
        <f t="shared" ca="1" si="1313"/>
        <v>0</v>
      </c>
      <c r="FV147" s="1319">
        <f t="shared" ca="1" si="1313"/>
        <v>0</v>
      </c>
      <c r="FW147" s="1319">
        <f t="shared" ca="1" si="1313"/>
        <v>0</v>
      </c>
      <c r="FX147" s="1319">
        <f t="shared" ca="1" si="1313"/>
        <v>0</v>
      </c>
      <c r="GG147" s="1334"/>
      <c r="GJ147" s="1319">
        <f t="shared" ca="1" si="1314"/>
        <v>0</v>
      </c>
      <c r="GK147" s="1319">
        <f t="shared" ca="1" si="1314"/>
        <v>0</v>
      </c>
      <c r="GL147" s="1319">
        <f t="shared" ca="1" si="1314"/>
        <v>0</v>
      </c>
      <c r="GM147" s="1319">
        <f t="shared" ca="1" si="1314"/>
        <v>0</v>
      </c>
      <c r="GN147" s="1319">
        <f t="shared" ca="1" si="1314"/>
        <v>0</v>
      </c>
      <c r="GO147" s="1319">
        <f t="shared" ca="1" si="1314"/>
        <v>0</v>
      </c>
      <c r="GP147" s="1319">
        <f t="shared" ca="1" si="1314"/>
        <v>0</v>
      </c>
      <c r="GQ147" s="1319">
        <f t="shared" ca="1" si="1314"/>
        <v>0</v>
      </c>
      <c r="GZ147" s="1334"/>
      <c r="HC147" s="1319">
        <f t="shared" ca="1" si="1315"/>
        <v>0</v>
      </c>
      <c r="HD147" s="1319">
        <f t="shared" ca="1" si="1315"/>
        <v>0</v>
      </c>
      <c r="HE147" s="1319">
        <f t="shared" ca="1" si="1315"/>
        <v>0</v>
      </c>
      <c r="HF147" s="1319">
        <f t="shared" ca="1" si="1315"/>
        <v>0</v>
      </c>
      <c r="HG147" s="1319">
        <f t="shared" ca="1" si="1315"/>
        <v>0</v>
      </c>
      <c r="HH147" s="1319">
        <f t="shared" ca="1" si="1315"/>
        <v>0</v>
      </c>
      <c r="HQ147" s="1334"/>
      <c r="HT147" s="1319">
        <f t="shared" ca="1" si="1316"/>
        <v>0</v>
      </c>
      <c r="HU147" s="1319">
        <f t="shared" ca="1" si="1316"/>
        <v>0</v>
      </c>
      <c r="HV147" s="1319">
        <f t="shared" ca="1" si="1316"/>
        <v>0</v>
      </c>
      <c r="HW147" s="1319">
        <f t="shared" ca="1" si="1316"/>
        <v>0</v>
      </c>
      <c r="HX147" s="1319">
        <f t="shared" ca="1" si="1316"/>
        <v>0</v>
      </c>
      <c r="HY147" s="1319">
        <f t="shared" ca="1" si="1316"/>
        <v>0</v>
      </c>
      <c r="HZ147" s="1319">
        <f t="shared" ca="1" si="1316"/>
        <v>0</v>
      </c>
      <c r="IA147" s="1319">
        <f t="shared" ca="1" si="1316"/>
        <v>0</v>
      </c>
      <c r="IB147" s="1319">
        <f t="shared" ca="1" si="1316"/>
        <v>0</v>
      </c>
      <c r="IC147" s="1319">
        <f t="shared" ca="1" si="1316"/>
        <v>0</v>
      </c>
      <c r="ID147" s="1319">
        <f t="shared" ca="1" si="1316"/>
        <v>0</v>
      </c>
      <c r="IE147" s="1319">
        <f t="shared" ca="1" si="1316"/>
        <v>0</v>
      </c>
      <c r="IN147" s="1334"/>
      <c r="IQ147" s="1319">
        <f t="shared" ca="1" si="1317"/>
        <v>0</v>
      </c>
      <c r="IR147" s="1319">
        <f t="shared" ca="1" si="1317"/>
        <v>0</v>
      </c>
      <c r="IS147" s="1319">
        <f t="shared" ca="1" si="1317"/>
        <v>0</v>
      </c>
      <c r="IT147" s="1319">
        <f t="shared" ca="1" si="1317"/>
        <v>0</v>
      </c>
      <c r="IU147" s="1319">
        <f t="shared" ca="1" si="1317"/>
        <v>0</v>
      </c>
      <c r="IV147" s="1319">
        <f t="shared" ca="1" si="1317"/>
        <v>0</v>
      </c>
      <c r="IW147" s="1319">
        <f t="shared" ca="1" si="1317"/>
        <v>0</v>
      </c>
      <c r="IX147" s="1319">
        <f t="shared" ca="1" si="1317"/>
        <v>0</v>
      </c>
      <c r="IY147" s="1319">
        <f t="shared" ca="1" si="1317"/>
        <v>0</v>
      </c>
      <c r="IZ147" s="1319">
        <f t="shared" ca="1" si="1317"/>
        <v>0</v>
      </c>
      <c r="JA147" s="1319">
        <f t="shared" ca="1" si="1317"/>
        <v>0</v>
      </c>
      <c r="JB147" s="1319">
        <f t="shared" ca="1" si="1318"/>
        <v>0</v>
      </c>
      <c r="JC147" s="1319">
        <f t="shared" ca="1" si="1318"/>
        <v>0</v>
      </c>
      <c r="JD147" s="1319">
        <f t="shared" ca="1" si="1318"/>
        <v>0</v>
      </c>
      <c r="JE147" s="1319">
        <f t="shared" ca="1" si="1318"/>
        <v>0</v>
      </c>
      <c r="JF147" s="1319">
        <f t="shared" ca="1" si="1318"/>
        <v>0</v>
      </c>
      <c r="JG147" s="1319">
        <f t="shared" ca="1" si="1318"/>
        <v>0</v>
      </c>
      <c r="JH147" s="1319">
        <f t="shared" ca="1" si="1318"/>
        <v>0</v>
      </c>
      <c r="JQ147" s="1334"/>
      <c r="JT147" s="1319">
        <f t="shared" ca="1" si="1319"/>
        <v>0</v>
      </c>
      <c r="JU147" s="1319">
        <f t="shared" ca="1" si="1319"/>
        <v>0</v>
      </c>
      <c r="JV147" s="1319">
        <f t="shared" ca="1" si="1319"/>
        <v>0</v>
      </c>
      <c r="JW147" s="1319">
        <f t="shared" ca="1" si="1319"/>
        <v>0</v>
      </c>
      <c r="JX147" s="1319">
        <f t="shared" ca="1" si="1319"/>
        <v>0</v>
      </c>
      <c r="JY147" s="1319">
        <f t="shared" ca="1" si="1319"/>
        <v>0</v>
      </c>
      <c r="JZ147" s="1319">
        <f t="shared" ca="1" si="1319"/>
        <v>0</v>
      </c>
      <c r="KA147" s="1319">
        <f t="shared" ca="1" si="1319"/>
        <v>0</v>
      </c>
      <c r="KB147" s="1319">
        <f t="shared" ca="1" si="1319"/>
        <v>0</v>
      </c>
      <c r="KC147" s="1319">
        <f t="shared" ca="1" si="1319"/>
        <v>0</v>
      </c>
      <c r="KI147" s="1334"/>
      <c r="KL147" s="1319">
        <f t="shared" ca="1" si="1320"/>
        <v>0</v>
      </c>
      <c r="KM147" s="1319">
        <f t="shared" ca="1" si="1320"/>
        <v>0</v>
      </c>
      <c r="KN147" s="1319">
        <f t="shared" ca="1" si="1320"/>
        <v>0</v>
      </c>
      <c r="KO147" s="1319">
        <f t="shared" ca="1" si="1320"/>
        <v>0</v>
      </c>
      <c r="KP147" s="1319">
        <f t="shared" ca="1" si="1320"/>
        <v>0</v>
      </c>
      <c r="KQ147" s="1319">
        <f t="shared" ca="1" si="1320"/>
        <v>0</v>
      </c>
      <c r="KR147" s="1319">
        <f t="shared" ca="1" si="1320"/>
        <v>0</v>
      </c>
      <c r="KX147" s="1334"/>
      <c r="LA147" s="1319">
        <f t="shared" ca="1" si="1321"/>
        <v>0</v>
      </c>
      <c r="LB147" s="1319">
        <f t="shared" ca="1" si="1321"/>
        <v>0</v>
      </c>
      <c r="LC147" s="1319">
        <f t="shared" ca="1" si="1321"/>
        <v>0</v>
      </c>
      <c r="LD147" s="1319">
        <f t="shared" ca="1" si="1321"/>
        <v>0</v>
      </c>
      <c r="LE147" s="1319">
        <f t="shared" ca="1" si="1321"/>
        <v>0</v>
      </c>
      <c r="LF147" s="1319">
        <f t="shared" ca="1" si="1321"/>
        <v>0</v>
      </c>
      <c r="LG147" s="1319">
        <f t="shared" ca="1" si="1321"/>
        <v>0</v>
      </c>
      <c r="LH147" s="1319">
        <f t="shared" ca="1" si="1321"/>
        <v>0</v>
      </c>
      <c r="LI147" s="1319">
        <f t="shared" ca="1" si="1321"/>
        <v>0</v>
      </c>
      <c r="LJ147" s="1319">
        <f t="shared" ca="1" si="1321"/>
        <v>0</v>
      </c>
      <c r="LK147" s="1319">
        <f t="shared" ca="1" si="1321"/>
        <v>0</v>
      </c>
      <c r="LT147" s="1334"/>
      <c r="LW147" s="1319">
        <f t="shared" ca="1" si="1322"/>
        <v>0</v>
      </c>
      <c r="LX147" s="1319">
        <f t="shared" ca="1" si="1322"/>
        <v>0</v>
      </c>
      <c r="LY147" s="1319">
        <f t="shared" ca="1" si="1322"/>
        <v>0</v>
      </c>
      <c r="LZ147" s="1319">
        <f t="shared" ca="1" si="1322"/>
        <v>0</v>
      </c>
      <c r="MA147" s="1319">
        <f t="shared" ca="1" si="1322"/>
        <v>0</v>
      </c>
      <c r="MB147" s="1319">
        <f t="shared" ca="1" si="1322"/>
        <v>0</v>
      </c>
      <c r="MC147" s="1319">
        <f t="shared" ca="1" si="1322"/>
        <v>0</v>
      </c>
      <c r="MD147" s="1319">
        <f t="shared" ca="1" si="1322"/>
        <v>0</v>
      </c>
      <c r="ME147" s="1319">
        <f t="shared" ca="1" si="1322"/>
        <v>0</v>
      </c>
      <c r="MF147" s="1319">
        <f t="shared" ca="1" si="1322"/>
        <v>0</v>
      </c>
      <c r="MG147" s="1319">
        <f t="shared" ca="1" si="1323"/>
        <v>0</v>
      </c>
      <c r="MH147" s="1319">
        <f t="shared" ca="1" si="1323"/>
        <v>0</v>
      </c>
      <c r="MI147" s="1319">
        <f t="shared" ca="1" si="1323"/>
        <v>0</v>
      </c>
      <c r="MJ147" s="1319">
        <f t="shared" ca="1" si="1323"/>
        <v>0</v>
      </c>
      <c r="MK147" s="1319">
        <f t="shared" ca="1" si="1323"/>
        <v>0</v>
      </c>
      <c r="ML147" s="1319">
        <f t="shared" ca="1" si="1323"/>
        <v>0</v>
      </c>
      <c r="MM147" s="1319">
        <f t="shared" ca="1" si="1323"/>
        <v>0</v>
      </c>
      <c r="MN147" s="1319">
        <f t="shared" ca="1" si="1323"/>
        <v>0</v>
      </c>
      <c r="MO147" s="1319">
        <f t="shared" ca="1" si="1323"/>
        <v>0</v>
      </c>
      <c r="MX147" s="1334"/>
      <c r="NA147" s="1319">
        <f t="shared" ca="1" si="1324"/>
        <v>0</v>
      </c>
      <c r="NB147" s="1319">
        <f t="shared" ca="1" si="1324"/>
        <v>0</v>
      </c>
      <c r="NC147" s="1319">
        <f t="shared" ca="1" si="1324"/>
        <v>0</v>
      </c>
      <c r="ND147" s="1319">
        <f t="shared" ca="1" si="1324"/>
        <v>0</v>
      </c>
      <c r="NE147" s="1319">
        <f t="shared" ca="1" si="1324"/>
        <v>0</v>
      </c>
      <c r="NF147" s="1319">
        <f t="shared" ca="1" si="1324"/>
        <v>0</v>
      </c>
      <c r="NG147" s="1319">
        <f t="shared" ca="1" si="1324"/>
        <v>0</v>
      </c>
      <c r="NH147" s="1319">
        <f t="shared" ca="1" si="1324"/>
        <v>0</v>
      </c>
      <c r="NI147" s="1319">
        <f t="shared" ca="1" si="1324"/>
        <v>0</v>
      </c>
      <c r="NJ147" s="1319">
        <f t="shared" ca="1" si="1324"/>
        <v>0</v>
      </c>
      <c r="NK147" s="1319">
        <f t="shared" ca="1" si="1324"/>
        <v>0</v>
      </c>
      <c r="NL147" s="1319">
        <f t="shared" ca="1" si="1324"/>
        <v>0</v>
      </c>
      <c r="NM147" s="1319">
        <f t="shared" ca="1" si="1324"/>
        <v>0</v>
      </c>
      <c r="NN147" s="1319">
        <f t="shared" ca="1" si="1324"/>
        <v>0</v>
      </c>
      <c r="NO147" s="1319">
        <f t="shared" ca="1" si="1324"/>
        <v>0</v>
      </c>
      <c r="NP147" s="1319">
        <f t="shared" ca="1" si="1324"/>
        <v>0</v>
      </c>
      <c r="NY147" s="1334"/>
      <c r="OE147" s="1334"/>
      <c r="OH147" s="1319">
        <f t="shared" ca="1" si="1325"/>
        <v>0</v>
      </c>
      <c r="OI147" s="1319">
        <f t="shared" ca="1" si="1325"/>
        <v>0</v>
      </c>
      <c r="OJ147" s="1319">
        <f t="shared" ca="1" si="1325"/>
        <v>0</v>
      </c>
      <c r="OK147" s="1319">
        <f t="shared" ca="1" si="1325"/>
        <v>0</v>
      </c>
      <c r="OL147" s="1319">
        <f t="shared" ca="1" si="1325"/>
        <v>0</v>
      </c>
      <c r="OM147" s="1319">
        <f t="shared" ca="1" si="1325"/>
        <v>0</v>
      </c>
      <c r="ON147" s="1319">
        <f t="shared" ca="1" si="1325"/>
        <v>0</v>
      </c>
      <c r="OO147" s="1319">
        <f t="shared" ca="1" si="1325"/>
        <v>0</v>
      </c>
      <c r="OX147" s="1334"/>
      <c r="PA147" s="1319">
        <f t="shared" ca="1" si="1326"/>
        <v>0</v>
      </c>
      <c r="PB147" s="1319">
        <f t="shared" ca="1" si="1326"/>
        <v>0</v>
      </c>
      <c r="PC147" s="1319">
        <f t="shared" ca="1" si="1326"/>
        <v>0</v>
      </c>
      <c r="PD147" s="1319">
        <f t="shared" ca="1" si="1326"/>
        <v>0</v>
      </c>
      <c r="PE147" s="1319">
        <f t="shared" ca="1" si="1326"/>
        <v>0</v>
      </c>
      <c r="PF147" s="1319">
        <f t="shared" ca="1" si="1326"/>
        <v>0</v>
      </c>
      <c r="PG147" s="1319">
        <f t="shared" ca="1" si="1326"/>
        <v>0</v>
      </c>
      <c r="PH147" s="1319">
        <f t="shared" ca="1" si="1326"/>
        <v>0</v>
      </c>
      <c r="PI147" s="1319">
        <f t="shared" ca="1" si="1326"/>
        <v>0</v>
      </c>
      <c r="PJ147" s="1319">
        <f t="shared" ca="1" si="1326"/>
        <v>0</v>
      </c>
      <c r="PK147" s="1319">
        <f t="shared" ca="1" si="1326"/>
        <v>0</v>
      </c>
      <c r="PT147" s="1334"/>
      <c r="PW147" s="1319">
        <f t="shared" ca="1" si="1305"/>
        <v>0</v>
      </c>
      <c r="PX147" s="1319">
        <f t="shared" ca="1" si="1305"/>
        <v>0</v>
      </c>
      <c r="PY147" s="1319">
        <f t="shared" ca="1" si="1305"/>
        <v>0</v>
      </c>
      <c r="PZ147" s="1319">
        <f t="shared" ca="1" si="1305"/>
        <v>0</v>
      </c>
    </row>
    <row r="148" spans="1:442" x14ac:dyDescent="0.25">
      <c r="A148" s="189">
        <v>37</v>
      </c>
      <c r="B148" s="189" t="s">
        <v>1256</v>
      </c>
      <c r="C148" s="1317" t="s">
        <v>1301</v>
      </c>
      <c r="D148" s="1317" t="s">
        <v>206</v>
      </c>
      <c r="E148" s="1318">
        <v>100.20403999999999</v>
      </c>
      <c r="F148" s="1316">
        <v>-1.0663997156599998</v>
      </c>
      <c r="G148" s="1334"/>
      <c r="J148" s="1319">
        <f t="shared" ca="1" si="1283"/>
        <v>0</v>
      </c>
      <c r="K148" s="1319">
        <f t="shared" ca="1" si="1283"/>
        <v>0</v>
      </c>
      <c r="Q148" s="1334"/>
      <c r="T148" s="1319">
        <f t="shared" ca="1" si="1306"/>
        <v>0</v>
      </c>
      <c r="U148" s="1319">
        <f t="shared" ca="1" si="1306"/>
        <v>0</v>
      </c>
      <c r="V148" s="1319">
        <f t="shared" ca="1" si="1306"/>
        <v>0</v>
      </c>
      <c r="W148" s="1319">
        <f t="shared" ca="1" si="1306"/>
        <v>0</v>
      </c>
      <c r="X148" s="1319">
        <f t="shared" ca="1" si="1306"/>
        <v>0</v>
      </c>
      <c r="Y148" s="1319">
        <f t="shared" ca="1" si="1306"/>
        <v>0</v>
      </c>
      <c r="Z148" s="1319">
        <f t="shared" ca="1" si="1306"/>
        <v>0</v>
      </c>
      <c r="AA148" s="1319">
        <f t="shared" ca="1" si="1306"/>
        <v>0</v>
      </c>
      <c r="AB148" s="1319">
        <f t="shared" ca="1" si="1306"/>
        <v>0</v>
      </c>
      <c r="AC148" s="1319">
        <f t="shared" ca="1" si="1306"/>
        <v>0</v>
      </c>
      <c r="AD148" s="1319">
        <f t="shared" ca="1" si="1306"/>
        <v>0</v>
      </c>
      <c r="AJ148" s="1334"/>
      <c r="AM148" s="1319">
        <f t="shared" ca="1" si="1307"/>
        <v>0</v>
      </c>
      <c r="AN148" s="1319">
        <f t="shared" ca="1" si="1307"/>
        <v>0</v>
      </c>
      <c r="AO148" s="1319">
        <f t="shared" ca="1" si="1307"/>
        <v>0</v>
      </c>
      <c r="AP148" s="1319">
        <f t="shared" ca="1" si="1307"/>
        <v>0</v>
      </c>
      <c r="AQ148" s="1319">
        <f t="shared" ca="1" si="1307"/>
        <v>0</v>
      </c>
      <c r="AR148" s="1319">
        <f t="shared" ca="1" si="1307"/>
        <v>0</v>
      </c>
      <c r="AS148" s="1319">
        <f t="shared" ca="1" si="1307"/>
        <v>0</v>
      </c>
      <c r="AT148" s="1319">
        <f t="shared" ca="1" si="1307"/>
        <v>0</v>
      </c>
      <c r="AU148" s="1319">
        <f t="shared" ca="1" si="1307"/>
        <v>0</v>
      </c>
      <c r="AV148" s="1319">
        <f t="shared" ca="1" si="1307"/>
        <v>0</v>
      </c>
      <c r="AW148" s="1319">
        <f t="shared" ca="1" si="1307"/>
        <v>0</v>
      </c>
      <c r="AX148" s="1319">
        <f t="shared" ca="1" si="1307"/>
        <v>0</v>
      </c>
      <c r="AY148" s="1319">
        <f t="shared" ca="1" si="1307"/>
        <v>0</v>
      </c>
      <c r="AZ148" s="1319">
        <f t="shared" ca="1" si="1307"/>
        <v>0</v>
      </c>
      <c r="BA148" s="1319">
        <f t="shared" ca="1" si="1307"/>
        <v>0</v>
      </c>
      <c r="BB148" s="1319">
        <f t="shared" ca="1" si="1307"/>
        <v>0</v>
      </c>
      <c r="BK148" s="1334"/>
      <c r="BN148" s="1319">
        <f t="shared" ca="1" si="1308"/>
        <v>0</v>
      </c>
      <c r="BO148" s="1319">
        <f t="shared" ca="1" si="1308"/>
        <v>0</v>
      </c>
      <c r="BP148" s="1319">
        <f t="shared" ca="1" si="1308"/>
        <v>0</v>
      </c>
      <c r="BQ148" s="1319">
        <f t="shared" ca="1" si="1308"/>
        <v>0</v>
      </c>
      <c r="BR148" s="1319">
        <f t="shared" ca="1" si="1308"/>
        <v>0</v>
      </c>
      <c r="CA148" s="1334"/>
      <c r="CD148" s="1319">
        <f t="shared" ca="1" si="1309"/>
        <v>0</v>
      </c>
      <c r="CE148" s="1319">
        <f t="shared" ca="1" si="1309"/>
        <v>0</v>
      </c>
      <c r="CF148" s="1319">
        <f t="shared" ca="1" si="1309"/>
        <v>0</v>
      </c>
      <c r="CG148" s="1319">
        <f t="shared" ca="1" si="1309"/>
        <v>0</v>
      </c>
      <c r="CH148" s="1319">
        <f t="shared" ca="1" si="1309"/>
        <v>0</v>
      </c>
      <c r="CI148" s="1319">
        <f t="shared" ca="1" si="1309"/>
        <v>0</v>
      </c>
      <c r="CJ148" s="1319">
        <f t="shared" ca="1" si="1309"/>
        <v>0</v>
      </c>
      <c r="CK148" s="1319">
        <f t="shared" ca="1" si="1309"/>
        <v>0</v>
      </c>
      <c r="CL148" s="1319">
        <f t="shared" ca="1" si="1309"/>
        <v>0</v>
      </c>
      <c r="CM148" s="1319">
        <f t="shared" ca="1" si="1309"/>
        <v>0</v>
      </c>
      <c r="CN148" s="1319">
        <f t="shared" ca="1" si="1309"/>
        <v>0</v>
      </c>
      <c r="CO148" s="1319">
        <f t="shared" ca="1" si="1309"/>
        <v>0</v>
      </c>
      <c r="CX148" s="1334"/>
      <c r="DA148" s="1319">
        <f t="shared" ca="1" si="1310"/>
        <v>0</v>
      </c>
      <c r="DB148" s="1319">
        <f t="shared" ca="1" si="1310"/>
        <v>0</v>
      </c>
      <c r="DC148" s="1319">
        <f t="shared" ca="1" si="1310"/>
        <v>0</v>
      </c>
      <c r="DD148" s="1319">
        <f t="shared" ca="1" si="1310"/>
        <v>0</v>
      </c>
      <c r="DE148" s="1319">
        <f t="shared" ca="1" si="1310"/>
        <v>0</v>
      </c>
      <c r="DF148" s="1319">
        <f t="shared" ca="1" si="1310"/>
        <v>0</v>
      </c>
      <c r="DG148" s="1319">
        <f t="shared" ca="1" si="1310"/>
        <v>0</v>
      </c>
      <c r="DH148" s="1319">
        <f t="shared" ca="1" si="1310"/>
        <v>0</v>
      </c>
      <c r="DI148" s="1319">
        <f t="shared" ca="1" si="1310"/>
        <v>0</v>
      </c>
      <c r="DJ148" s="1319">
        <f t="shared" ca="1" si="1310"/>
        <v>0</v>
      </c>
      <c r="DS148" s="1334"/>
      <c r="DV148" s="1319">
        <f t="shared" ca="1" si="1311"/>
        <v>0</v>
      </c>
      <c r="DW148" s="1319">
        <f t="shared" ca="1" si="1311"/>
        <v>0</v>
      </c>
      <c r="DX148" s="1319">
        <f t="shared" ca="1" si="1311"/>
        <v>0</v>
      </c>
      <c r="DY148" s="1319">
        <f t="shared" ca="1" si="1311"/>
        <v>0</v>
      </c>
      <c r="DZ148" s="1319">
        <f t="shared" ca="1" si="1311"/>
        <v>0</v>
      </c>
      <c r="EA148" s="1319">
        <f t="shared" ca="1" si="1311"/>
        <v>0</v>
      </c>
      <c r="EB148" s="1319">
        <f t="shared" ca="1" si="1311"/>
        <v>0</v>
      </c>
      <c r="EC148" s="1319">
        <f t="shared" ca="1" si="1311"/>
        <v>0</v>
      </c>
      <c r="ED148" s="1319">
        <f t="shared" ca="1" si="1311"/>
        <v>0</v>
      </c>
      <c r="EE148" s="1319">
        <f t="shared" ca="1" si="1311"/>
        <v>0</v>
      </c>
      <c r="EF148" s="1319">
        <f t="shared" ca="1" si="1311"/>
        <v>0</v>
      </c>
      <c r="EG148" s="1319">
        <f t="shared" ca="1" si="1311"/>
        <v>0</v>
      </c>
      <c r="EH148" s="1319">
        <f t="shared" ca="1" si="1311"/>
        <v>0</v>
      </c>
      <c r="EI148" s="1319">
        <f t="shared" ca="1" si="1311"/>
        <v>0</v>
      </c>
      <c r="EJ148" s="1319">
        <f t="shared" ca="1" si="1311"/>
        <v>0</v>
      </c>
      <c r="EK148" s="1319">
        <f t="shared" ca="1" si="1311"/>
        <v>0</v>
      </c>
      <c r="ET148" s="1334"/>
      <c r="EW148" s="1319">
        <f t="shared" ca="1" si="1312"/>
        <v>0</v>
      </c>
      <c r="EX148" s="1319">
        <f t="shared" ca="1" si="1312"/>
        <v>0</v>
      </c>
      <c r="EY148" s="1319">
        <f t="shared" ca="1" si="1312"/>
        <v>0</v>
      </c>
      <c r="EZ148" s="1319">
        <f t="shared" ca="1" si="1312"/>
        <v>0</v>
      </c>
      <c r="FA148" s="1319">
        <f t="shared" ca="1" si="1312"/>
        <v>0</v>
      </c>
      <c r="FB148" s="1319">
        <f t="shared" ca="1" si="1312"/>
        <v>0</v>
      </c>
      <c r="FK148" s="1334"/>
      <c r="FN148" s="1319">
        <f t="shared" ca="1" si="1313"/>
        <v>0</v>
      </c>
      <c r="FO148" s="1319">
        <f t="shared" ca="1" si="1313"/>
        <v>0</v>
      </c>
      <c r="FP148" s="1319">
        <f t="shared" ca="1" si="1313"/>
        <v>0</v>
      </c>
      <c r="FQ148" s="1319">
        <f t="shared" ca="1" si="1313"/>
        <v>0</v>
      </c>
      <c r="FR148" s="1319">
        <f t="shared" ca="1" si="1313"/>
        <v>0</v>
      </c>
      <c r="FS148" s="1319">
        <f t="shared" ca="1" si="1313"/>
        <v>0</v>
      </c>
      <c r="FT148" s="1319">
        <f t="shared" ca="1" si="1313"/>
        <v>0</v>
      </c>
      <c r="FU148" s="1319">
        <f t="shared" ca="1" si="1313"/>
        <v>0</v>
      </c>
      <c r="FV148" s="1319">
        <f t="shared" ca="1" si="1313"/>
        <v>0</v>
      </c>
      <c r="FW148" s="1319">
        <f t="shared" ca="1" si="1313"/>
        <v>0</v>
      </c>
      <c r="FX148" s="1319">
        <f t="shared" ca="1" si="1313"/>
        <v>0</v>
      </c>
      <c r="GG148" s="1334"/>
      <c r="GJ148" s="1319">
        <f t="shared" ca="1" si="1314"/>
        <v>0</v>
      </c>
      <c r="GK148" s="1319">
        <f t="shared" ca="1" si="1314"/>
        <v>0</v>
      </c>
      <c r="GL148" s="1319">
        <f t="shared" ca="1" si="1314"/>
        <v>0</v>
      </c>
      <c r="GM148" s="1319">
        <f t="shared" ca="1" si="1314"/>
        <v>0</v>
      </c>
      <c r="GN148" s="1319">
        <f t="shared" ca="1" si="1314"/>
        <v>0</v>
      </c>
      <c r="GO148" s="1319">
        <f t="shared" ca="1" si="1314"/>
        <v>0</v>
      </c>
      <c r="GP148" s="1319">
        <f t="shared" ca="1" si="1314"/>
        <v>0</v>
      </c>
      <c r="GQ148" s="1319">
        <f t="shared" ca="1" si="1314"/>
        <v>0</v>
      </c>
      <c r="GZ148" s="1334"/>
      <c r="HC148" s="1319">
        <f t="shared" ca="1" si="1315"/>
        <v>0</v>
      </c>
      <c r="HD148" s="1319">
        <f t="shared" ca="1" si="1315"/>
        <v>0</v>
      </c>
      <c r="HE148" s="1319">
        <f t="shared" ca="1" si="1315"/>
        <v>0</v>
      </c>
      <c r="HF148" s="1319">
        <f t="shared" ca="1" si="1315"/>
        <v>0</v>
      </c>
      <c r="HG148" s="1319">
        <f t="shared" ca="1" si="1315"/>
        <v>0</v>
      </c>
      <c r="HH148" s="1319">
        <f t="shared" ca="1" si="1315"/>
        <v>0</v>
      </c>
      <c r="HQ148" s="1334"/>
      <c r="HT148" s="1319">
        <f t="shared" ca="1" si="1316"/>
        <v>0</v>
      </c>
      <c r="HU148" s="1319">
        <f t="shared" ca="1" si="1316"/>
        <v>0</v>
      </c>
      <c r="HV148" s="1319">
        <f t="shared" ca="1" si="1316"/>
        <v>0</v>
      </c>
      <c r="HW148" s="1319">
        <f t="shared" ca="1" si="1316"/>
        <v>0</v>
      </c>
      <c r="HX148" s="1319">
        <f t="shared" ca="1" si="1316"/>
        <v>0</v>
      </c>
      <c r="HY148" s="1319">
        <f t="shared" ca="1" si="1316"/>
        <v>0</v>
      </c>
      <c r="HZ148" s="1319">
        <f t="shared" ca="1" si="1316"/>
        <v>0</v>
      </c>
      <c r="IA148" s="1319">
        <f t="shared" ca="1" si="1316"/>
        <v>0</v>
      </c>
      <c r="IB148" s="1319">
        <f t="shared" ca="1" si="1316"/>
        <v>0</v>
      </c>
      <c r="IC148" s="1319">
        <f t="shared" ca="1" si="1316"/>
        <v>0</v>
      </c>
      <c r="ID148" s="1319">
        <f t="shared" ca="1" si="1316"/>
        <v>0</v>
      </c>
      <c r="IE148" s="1319">
        <f t="shared" ca="1" si="1316"/>
        <v>0</v>
      </c>
      <c r="IN148" s="1334"/>
      <c r="IQ148" s="1319">
        <f t="shared" ca="1" si="1317"/>
        <v>0</v>
      </c>
      <c r="IR148" s="1319">
        <f t="shared" ca="1" si="1317"/>
        <v>0</v>
      </c>
      <c r="IS148" s="1319">
        <f t="shared" ca="1" si="1317"/>
        <v>0</v>
      </c>
      <c r="IT148" s="1319">
        <f t="shared" ca="1" si="1317"/>
        <v>0</v>
      </c>
      <c r="IU148" s="1319">
        <f t="shared" ca="1" si="1317"/>
        <v>0</v>
      </c>
      <c r="IV148" s="1319">
        <f t="shared" ca="1" si="1317"/>
        <v>0</v>
      </c>
      <c r="IW148" s="1319">
        <f t="shared" ca="1" si="1317"/>
        <v>0</v>
      </c>
      <c r="IX148" s="1319">
        <f t="shared" ca="1" si="1317"/>
        <v>0</v>
      </c>
      <c r="IY148" s="1319">
        <f t="shared" ca="1" si="1317"/>
        <v>0</v>
      </c>
      <c r="IZ148" s="1319">
        <f t="shared" ca="1" si="1317"/>
        <v>0</v>
      </c>
      <c r="JA148" s="1319">
        <f t="shared" ca="1" si="1317"/>
        <v>0</v>
      </c>
      <c r="JB148" s="1319">
        <f t="shared" ca="1" si="1318"/>
        <v>0</v>
      </c>
      <c r="JC148" s="1319">
        <f t="shared" ca="1" si="1318"/>
        <v>0</v>
      </c>
      <c r="JD148" s="1319">
        <f t="shared" ca="1" si="1318"/>
        <v>0</v>
      </c>
      <c r="JE148" s="1319">
        <f t="shared" ca="1" si="1318"/>
        <v>0</v>
      </c>
      <c r="JF148" s="1319">
        <f t="shared" ca="1" si="1318"/>
        <v>0</v>
      </c>
      <c r="JG148" s="1319">
        <f t="shared" ca="1" si="1318"/>
        <v>0</v>
      </c>
      <c r="JH148" s="1319">
        <f t="shared" ca="1" si="1318"/>
        <v>0</v>
      </c>
      <c r="JQ148" s="1334"/>
      <c r="JT148" s="1319">
        <f t="shared" ca="1" si="1319"/>
        <v>0</v>
      </c>
      <c r="JU148" s="1319">
        <f t="shared" ca="1" si="1319"/>
        <v>0</v>
      </c>
      <c r="JV148" s="1319">
        <f t="shared" ca="1" si="1319"/>
        <v>0</v>
      </c>
      <c r="JW148" s="1319">
        <f t="shared" ca="1" si="1319"/>
        <v>0</v>
      </c>
      <c r="JX148" s="1319">
        <f t="shared" ca="1" si="1319"/>
        <v>0</v>
      </c>
      <c r="JY148" s="1319">
        <f t="shared" ca="1" si="1319"/>
        <v>-4.9481345721946584</v>
      </c>
      <c r="JZ148" s="1319">
        <f t="shared" ca="1" si="1319"/>
        <v>-4.9481345721946584</v>
      </c>
      <c r="KA148" s="1319">
        <f t="shared" ca="1" si="1319"/>
        <v>0</v>
      </c>
      <c r="KB148" s="1319">
        <f t="shared" ca="1" si="1319"/>
        <v>0</v>
      </c>
      <c r="KC148" s="1319">
        <f t="shared" ca="1" si="1319"/>
        <v>0</v>
      </c>
      <c r="KI148" s="1334"/>
      <c r="KL148" s="1319">
        <f t="shared" ca="1" si="1320"/>
        <v>0</v>
      </c>
      <c r="KM148" s="1319">
        <f t="shared" ca="1" si="1320"/>
        <v>0</v>
      </c>
      <c r="KN148" s="1319">
        <f t="shared" ca="1" si="1320"/>
        <v>0</v>
      </c>
      <c r="KO148" s="1319">
        <f t="shared" ca="1" si="1320"/>
        <v>0</v>
      </c>
      <c r="KP148" s="1319">
        <f t="shared" ca="1" si="1320"/>
        <v>0</v>
      </c>
      <c r="KQ148" s="1319">
        <f t="shared" ca="1" si="1320"/>
        <v>0</v>
      </c>
      <c r="KR148" s="1319">
        <f t="shared" ca="1" si="1320"/>
        <v>0</v>
      </c>
      <c r="KX148" s="1334"/>
      <c r="LA148" s="1319">
        <f t="shared" ca="1" si="1321"/>
        <v>0</v>
      </c>
      <c r="LB148" s="1319">
        <f t="shared" ca="1" si="1321"/>
        <v>0</v>
      </c>
      <c r="LC148" s="1319">
        <f t="shared" ca="1" si="1321"/>
        <v>0</v>
      </c>
      <c r="LD148" s="1319">
        <f t="shared" ca="1" si="1321"/>
        <v>0</v>
      </c>
      <c r="LE148" s="1319">
        <f t="shared" ca="1" si="1321"/>
        <v>0</v>
      </c>
      <c r="LF148" s="1319">
        <f t="shared" ca="1" si="1321"/>
        <v>0</v>
      </c>
      <c r="LG148" s="1319">
        <f t="shared" ca="1" si="1321"/>
        <v>0</v>
      </c>
      <c r="LH148" s="1319">
        <f t="shared" ca="1" si="1321"/>
        <v>0</v>
      </c>
      <c r="LI148" s="1319">
        <f t="shared" ca="1" si="1321"/>
        <v>0</v>
      </c>
      <c r="LJ148" s="1319">
        <f t="shared" ca="1" si="1321"/>
        <v>0</v>
      </c>
      <c r="LK148" s="1319">
        <f t="shared" ca="1" si="1321"/>
        <v>0</v>
      </c>
      <c r="LT148" s="1334"/>
      <c r="LW148" s="1319">
        <f t="shared" ca="1" si="1322"/>
        <v>0</v>
      </c>
      <c r="LX148" s="1319">
        <f t="shared" ca="1" si="1322"/>
        <v>0</v>
      </c>
      <c r="LY148" s="1319">
        <f t="shared" ca="1" si="1322"/>
        <v>0</v>
      </c>
      <c r="LZ148" s="1319">
        <f t="shared" ca="1" si="1322"/>
        <v>0</v>
      </c>
      <c r="MA148" s="1319">
        <f t="shared" ca="1" si="1322"/>
        <v>0</v>
      </c>
      <c r="MB148" s="1319">
        <f t="shared" ca="1" si="1322"/>
        <v>0</v>
      </c>
      <c r="MC148" s="1319">
        <f t="shared" ca="1" si="1322"/>
        <v>0</v>
      </c>
      <c r="MD148" s="1319">
        <f t="shared" ca="1" si="1322"/>
        <v>0</v>
      </c>
      <c r="ME148" s="1319">
        <f t="shared" ca="1" si="1322"/>
        <v>0</v>
      </c>
      <c r="MF148" s="1319">
        <f t="shared" ca="1" si="1322"/>
        <v>0</v>
      </c>
      <c r="MG148" s="1319">
        <f t="shared" ca="1" si="1323"/>
        <v>0</v>
      </c>
      <c r="MH148" s="1319">
        <f t="shared" ca="1" si="1323"/>
        <v>0</v>
      </c>
      <c r="MI148" s="1319">
        <f t="shared" ca="1" si="1323"/>
        <v>0</v>
      </c>
      <c r="MJ148" s="1319">
        <f t="shared" ca="1" si="1323"/>
        <v>0</v>
      </c>
      <c r="MK148" s="1319">
        <f t="shared" ca="1" si="1323"/>
        <v>0</v>
      </c>
      <c r="ML148" s="1319">
        <f t="shared" ca="1" si="1323"/>
        <v>0</v>
      </c>
      <c r="MM148" s="1319">
        <f t="shared" ca="1" si="1323"/>
        <v>0</v>
      </c>
      <c r="MN148" s="1319">
        <f t="shared" ca="1" si="1323"/>
        <v>0</v>
      </c>
      <c r="MO148" s="1319">
        <f t="shared" ca="1" si="1323"/>
        <v>0</v>
      </c>
      <c r="MX148" s="1334"/>
      <c r="NA148" s="1319">
        <f t="shared" ca="1" si="1324"/>
        <v>0</v>
      </c>
      <c r="NB148" s="1319">
        <f t="shared" ca="1" si="1324"/>
        <v>0</v>
      </c>
      <c r="NC148" s="1319">
        <f t="shared" ca="1" si="1324"/>
        <v>0</v>
      </c>
      <c r="ND148" s="1319">
        <f t="shared" ca="1" si="1324"/>
        <v>0</v>
      </c>
      <c r="NE148" s="1319">
        <f t="shared" ca="1" si="1324"/>
        <v>0</v>
      </c>
      <c r="NF148" s="1319">
        <f t="shared" ca="1" si="1324"/>
        <v>0</v>
      </c>
      <c r="NG148" s="1319">
        <f t="shared" ca="1" si="1324"/>
        <v>0</v>
      </c>
      <c r="NH148" s="1319">
        <f t="shared" ca="1" si="1324"/>
        <v>0</v>
      </c>
      <c r="NI148" s="1319">
        <f t="shared" ca="1" si="1324"/>
        <v>0</v>
      </c>
      <c r="NJ148" s="1319">
        <f t="shared" ca="1" si="1324"/>
        <v>0</v>
      </c>
      <c r="NK148" s="1319">
        <f t="shared" ca="1" si="1324"/>
        <v>0</v>
      </c>
      <c r="NL148" s="1319">
        <f t="shared" ca="1" si="1324"/>
        <v>0</v>
      </c>
      <c r="NM148" s="1319">
        <f t="shared" ca="1" si="1324"/>
        <v>0</v>
      </c>
      <c r="NN148" s="1319">
        <f t="shared" ca="1" si="1324"/>
        <v>0</v>
      </c>
      <c r="NO148" s="1319">
        <f t="shared" ca="1" si="1324"/>
        <v>0</v>
      </c>
      <c r="NP148" s="1319">
        <f t="shared" ca="1" si="1324"/>
        <v>0</v>
      </c>
      <c r="NY148" s="1334"/>
      <c r="OE148" s="1334"/>
      <c r="OH148" s="1319">
        <f t="shared" ca="1" si="1325"/>
        <v>0</v>
      </c>
      <c r="OI148" s="1319">
        <f t="shared" ca="1" si="1325"/>
        <v>0</v>
      </c>
      <c r="OJ148" s="1319">
        <f t="shared" ca="1" si="1325"/>
        <v>0</v>
      </c>
      <c r="OK148" s="1319">
        <f t="shared" ca="1" si="1325"/>
        <v>0</v>
      </c>
      <c r="OL148" s="1319">
        <f t="shared" ca="1" si="1325"/>
        <v>0</v>
      </c>
      <c r="OM148" s="1319">
        <f t="shared" ca="1" si="1325"/>
        <v>0</v>
      </c>
      <c r="ON148" s="1319">
        <f t="shared" ca="1" si="1325"/>
        <v>0</v>
      </c>
      <c r="OO148" s="1319">
        <f t="shared" ca="1" si="1325"/>
        <v>0</v>
      </c>
      <c r="OX148" s="1334"/>
      <c r="PA148" s="1319">
        <f t="shared" ca="1" si="1326"/>
        <v>0</v>
      </c>
      <c r="PB148" s="1319">
        <f t="shared" ca="1" si="1326"/>
        <v>0</v>
      </c>
      <c r="PC148" s="1319">
        <f t="shared" ca="1" si="1326"/>
        <v>0</v>
      </c>
      <c r="PD148" s="1319">
        <f t="shared" ca="1" si="1326"/>
        <v>0</v>
      </c>
      <c r="PE148" s="1319">
        <f t="shared" ca="1" si="1326"/>
        <v>0</v>
      </c>
      <c r="PF148" s="1319">
        <f t="shared" ca="1" si="1326"/>
        <v>0</v>
      </c>
      <c r="PG148" s="1319">
        <f t="shared" ca="1" si="1326"/>
        <v>0</v>
      </c>
      <c r="PH148" s="1319">
        <f t="shared" ca="1" si="1326"/>
        <v>0</v>
      </c>
      <c r="PI148" s="1319">
        <f t="shared" ca="1" si="1326"/>
        <v>0</v>
      </c>
      <c r="PJ148" s="1319">
        <f t="shared" ca="1" si="1326"/>
        <v>0</v>
      </c>
      <c r="PK148" s="1319">
        <f t="shared" ca="1" si="1326"/>
        <v>0</v>
      </c>
      <c r="PT148" s="1334"/>
      <c r="PW148" s="1319">
        <f t="shared" ca="1" si="1305"/>
        <v>0</v>
      </c>
      <c r="PX148" s="1319">
        <f t="shared" ca="1" si="1305"/>
        <v>0</v>
      </c>
      <c r="PY148" s="1319">
        <f t="shared" ca="1" si="1305"/>
        <v>0</v>
      </c>
      <c r="PZ148" s="1319">
        <f t="shared" ca="1" si="1305"/>
        <v>0</v>
      </c>
    </row>
    <row r="149" spans="1:442" x14ac:dyDescent="0.25">
      <c r="A149" s="189">
        <v>38</v>
      </c>
      <c r="B149" s="189" t="s">
        <v>1256</v>
      </c>
      <c r="C149" s="1317" t="s">
        <v>1302</v>
      </c>
      <c r="D149" s="1317" t="s">
        <v>206</v>
      </c>
      <c r="E149" s="1318">
        <v>282.46676000000002</v>
      </c>
      <c r="F149" s="1316">
        <v>-2.4775787360900003</v>
      </c>
      <c r="G149" s="1334"/>
      <c r="J149" s="1319">
        <f t="shared" ca="1" si="1283"/>
        <v>0</v>
      </c>
      <c r="K149" s="1319">
        <f t="shared" ca="1" si="1283"/>
        <v>0</v>
      </c>
      <c r="Q149" s="1334"/>
      <c r="T149" s="1319">
        <f t="shared" ca="1" si="1306"/>
        <v>0</v>
      </c>
      <c r="U149" s="1319">
        <f t="shared" ca="1" si="1306"/>
        <v>0</v>
      </c>
      <c r="V149" s="1319">
        <f t="shared" ca="1" si="1306"/>
        <v>-1.3895961501879339E-7</v>
      </c>
      <c r="W149" s="1319">
        <f t="shared" ca="1" si="1306"/>
        <v>0</v>
      </c>
      <c r="X149" s="1319">
        <f t="shared" ca="1" si="1306"/>
        <v>0</v>
      </c>
      <c r="Y149" s="1319">
        <f t="shared" ca="1" si="1306"/>
        <v>-1.3895961501879339E-7</v>
      </c>
      <c r="Z149" s="1319">
        <f t="shared" ca="1" si="1306"/>
        <v>-3.516087435740164E-13</v>
      </c>
      <c r="AA149" s="1319">
        <f t="shared" ca="1" si="1306"/>
        <v>-1.3895926329278035E-7</v>
      </c>
      <c r="AB149" s="1319">
        <f t="shared" ca="1" si="1306"/>
        <v>0</v>
      </c>
      <c r="AC149" s="1319">
        <f t="shared" ca="1" si="1306"/>
        <v>-1.3895961501879339E-7</v>
      </c>
      <c r="AD149" s="1319">
        <f t="shared" ca="1" si="1306"/>
        <v>0</v>
      </c>
      <c r="AJ149" s="1334"/>
      <c r="AM149" s="1319">
        <f t="shared" ca="1" si="1307"/>
        <v>0</v>
      </c>
      <c r="AN149" s="1319">
        <f t="shared" ca="1" si="1307"/>
        <v>0</v>
      </c>
      <c r="AO149" s="1319">
        <f t="shared" ca="1" si="1307"/>
        <v>-1.3895926329278035E-7</v>
      </c>
      <c r="AP149" s="1319">
        <f t="shared" ca="1" si="1307"/>
        <v>-1.3895926329278035E-7</v>
      </c>
      <c r="AQ149" s="1319">
        <f t="shared" ca="1" si="1307"/>
        <v>-6.165220832922484E-14</v>
      </c>
      <c r="AR149" s="1319">
        <f t="shared" ca="1" si="1307"/>
        <v>0</v>
      </c>
      <c r="AS149" s="1319">
        <f t="shared" ca="1" si="1307"/>
        <v>0</v>
      </c>
      <c r="AT149" s="1319">
        <f t="shared" ca="1" si="1307"/>
        <v>0</v>
      </c>
      <c r="AU149" s="1319">
        <f t="shared" ca="1" si="1307"/>
        <v>0</v>
      </c>
      <c r="AV149" s="1319">
        <f t="shared" ca="1" si="1307"/>
        <v>-1.3895920189422442E-7</v>
      </c>
      <c r="AW149" s="1319">
        <f t="shared" ca="1" si="1307"/>
        <v>0</v>
      </c>
      <c r="AX149" s="1319">
        <f t="shared" ca="1" si="1307"/>
        <v>0</v>
      </c>
      <c r="AY149" s="1319">
        <f t="shared" ca="1" si="1307"/>
        <v>0</v>
      </c>
      <c r="AZ149" s="1319">
        <f t="shared" ca="1" si="1307"/>
        <v>0</v>
      </c>
      <c r="BA149" s="1319">
        <f t="shared" ca="1" si="1307"/>
        <v>0</v>
      </c>
      <c r="BB149" s="1319">
        <f t="shared" ca="1" si="1307"/>
        <v>-1.3895920189422442E-7</v>
      </c>
      <c r="BK149" s="1334"/>
      <c r="BN149" s="1319">
        <f t="shared" ca="1" si="1308"/>
        <v>-1.1716230054944321E-2</v>
      </c>
      <c r="BO149" s="1319">
        <f t="shared" ca="1" si="1308"/>
        <v>-1.1716230054944321E-2</v>
      </c>
      <c r="BP149" s="1319">
        <f t="shared" ca="1" si="1308"/>
        <v>-6.0686256513425033E-13</v>
      </c>
      <c r="BQ149" s="1319">
        <f t="shared" ca="1" si="1308"/>
        <v>0</v>
      </c>
      <c r="BR149" s="1319">
        <f t="shared" ca="1" si="1308"/>
        <v>0</v>
      </c>
      <c r="CA149" s="1334"/>
      <c r="CD149" s="1319">
        <f t="shared" ca="1" si="1309"/>
        <v>-1.3895920189422442E-7</v>
      </c>
      <c r="CE149" s="1319">
        <f t="shared" ca="1" si="1309"/>
        <v>-1.3895920189422442E-7</v>
      </c>
      <c r="CF149" s="1319">
        <f t="shared" ca="1" si="1309"/>
        <v>-1.1716230054944321E-2</v>
      </c>
      <c r="CG149" s="1319">
        <f t="shared" ca="1" si="1309"/>
        <v>-1.1716230054944321E-2</v>
      </c>
      <c r="CH149" s="1319">
        <f t="shared" ca="1" si="1309"/>
        <v>-0.11716217512096473</v>
      </c>
      <c r="CI149" s="1319">
        <f t="shared" ca="1" si="1309"/>
        <v>0</v>
      </c>
      <c r="CJ149" s="1319">
        <f t="shared" ca="1" si="1309"/>
        <v>0</v>
      </c>
      <c r="CK149" s="1319">
        <f t="shared" ca="1" si="1309"/>
        <v>-0.11716230054944321</v>
      </c>
      <c r="CL149" s="1319">
        <f t="shared" ca="1" si="1309"/>
        <v>-5.8738281020409611E-12</v>
      </c>
      <c r="CM149" s="1319">
        <f t="shared" ca="1" si="1309"/>
        <v>-0.11716203565853063</v>
      </c>
      <c r="CN149" s="1319">
        <f t="shared" ca="1" si="1309"/>
        <v>-0.11716230054944321</v>
      </c>
      <c r="CO149" s="1319">
        <f t="shared" ca="1" si="1309"/>
        <v>-6.4807103041876305E-12</v>
      </c>
      <c r="CX149" s="1334"/>
      <c r="DA149" s="1319">
        <f t="shared" ca="1" si="1310"/>
        <v>-6.5090089775411111E-4</v>
      </c>
      <c r="DB149" s="1319">
        <f t="shared" ca="1" si="1310"/>
        <v>0</v>
      </c>
      <c r="DC149" s="1319">
        <f t="shared" ca="1" si="1310"/>
        <v>0</v>
      </c>
      <c r="DD149" s="1319">
        <f t="shared" ca="1" si="1310"/>
        <v>0</v>
      </c>
      <c r="DE149" s="1319">
        <f t="shared" ca="1" si="1310"/>
        <v>-6.5090089687698885E-4</v>
      </c>
      <c r="DF149" s="1319">
        <f t="shared" ca="1" si="1310"/>
        <v>-1.2622881742064188E-12</v>
      </c>
      <c r="DG149" s="1319">
        <f t="shared" ca="1" si="1310"/>
        <v>0</v>
      </c>
      <c r="DH149" s="1319">
        <f t="shared" ca="1" si="1310"/>
        <v>0</v>
      </c>
      <c r="DI149" s="1319">
        <f t="shared" ca="1" si="1310"/>
        <v>0</v>
      </c>
      <c r="DJ149" s="1319">
        <f t="shared" ca="1" si="1310"/>
        <v>0</v>
      </c>
      <c r="DS149" s="1334"/>
      <c r="DV149" s="1319">
        <f t="shared" ca="1" si="1311"/>
        <v>0</v>
      </c>
      <c r="DW149" s="1319">
        <f t="shared" ca="1" si="1311"/>
        <v>0</v>
      </c>
      <c r="DX149" s="1319">
        <f t="shared" ca="1" si="1311"/>
        <v>-1.3018017937539776E-2</v>
      </c>
      <c r="DY149" s="1319">
        <f t="shared" ca="1" si="1311"/>
        <v>-6.5090089775411111E-4</v>
      </c>
      <c r="DZ149" s="1319">
        <f t="shared" ca="1" si="1311"/>
        <v>0</v>
      </c>
      <c r="EA149" s="1319">
        <f t="shared" ca="1" si="1311"/>
        <v>-6.5090089687698885E-4</v>
      </c>
      <c r="EB149" s="1319">
        <f t="shared" ca="1" si="1311"/>
        <v>-1.2367117023120343E-2</v>
      </c>
      <c r="EC149" s="1319">
        <f t="shared" ca="1" si="1311"/>
        <v>0</v>
      </c>
      <c r="ED149" s="1319">
        <f t="shared" ca="1" si="1311"/>
        <v>-0.11716203565853063</v>
      </c>
      <c r="EE149" s="1319">
        <f t="shared" ca="1" si="1311"/>
        <v>-2.4867493471957429E-10</v>
      </c>
      <c r="EF149" s="1319">
        <f t="shared" ca="1" si="1311"/>
        <v>0</v>
      </c>
      <c r="EG149" s="1319">
        <f t="shared" ca="1" si="1311"/>
        <v>0</v>
      </c>
      <c r="EH149" s="1319">
        <f t="shared" ca="1" si="1311"/>
        <v>0</v>
      </c>
      <c r="EI149" s="1319">
        <f t="shared" ca="1" si="1311"/>
        <v>0</v>
      </c>
      <c r="EJ149" s="1319">
        <f t="shared" ca="1" si="1311"/>
        <v>-0.11716175936502911</v>
      </c>
      <c r="EK149" s="1319">
        <f t="shared" ca="1" si="1311"/>
        <v>0</v>
      </c>
      <c r="ET149" s="1334"/>
      <c r="EW149" s="1319">
        <f t="shared" ca="1" si="1312"/>
        <v>-0.11716230054944321</v>
      </c>
      <c r="EX149" s="1319">
        <f t="shared" ca="1" si="1312"/>
        <v>-0.11716230054944321</v>
      </c>
      <c r="EY149" s="1319">
        <f t="shared" ca="1" si="1312"/>
        <v>-0.11716216196413134</v>
      </c>
      <c r="EZ149" s="1319">
        <f t="shared" ca="1" si="1312"/>
        <v>-0.11716216196413134</v>
      </c>
      <c r="FA149" s="1319">
        <f t="shared" ca="1" si="1312"/>
        <v>-1.9639621595492928E-17</v>
      </c>
      <c r="FB149" s="1319">
        <f t="shared" ca="1" si="1312"/>
        <v>-1.3895961414167115E-7</v>
      </c>
      <c r="FK149" s="1334"/>
      <c r="FN149" s="1319">
        <f t="shared" ca="1" si="1313"/>
        <v>-6.0686256513425033E-13</v>
      </c>
      <c r="FO149" s="1319">
        <f t="shared" ca="1" si="1313"/>
        <v>-5.8738281020409611E-12</v>
      </c>
      <c r="FP149" s="1319">
        <f t="shared" ca="1" si="1313"/>
        <v>-1.9639621595492928E-17</v>
      </c>
      <c r="FQ149" s="1319">
        <f t="shared" ca="1" si="1313"/>
        <v>-1.3895961414167115E-7</v>
      </c>
      <c r="FR149" s="1319">
        <f t="shared" ca="1" si="1313"/>
        <v>0</v>
      </c>
      <c r="FS149" s="1319">
        <f t="shared" ca="1" si="1313"/>
        <v>-1.3895961501879339E-7</v>
      </c>
      <c r="FT149" s="1319">
        <f t="shared" ca="1" si="1313"/>
        <v>0</v>
      </c>
      <c r="FU149" s="1319">
        <f t="shared" ca="1" si="1313"/>
        <v>-6.4807103041876305E-12</v>
      </c>
      <c r="FV149" s="1319">
        <f t="shared" ca="1" si="1313"/>
        <v>0</v>
      </c>
      <c r="FW149" s="1319">
        <f t="shared" ca="1" si="1313"/>
        <v>0</v>
      </c>
      <c r="FX149" s="1319">
        <f t="shared" ca="1" si="1313"/>
        <v>-6.4807103041876305E-12</v>
      </c>
      <c r="GG149" s="1334"/>
      <c r="GJ149" s="1319">
        <f t="shared" ca="1" si="1314"/>
        <v>0</v>
      </c>
      <c r="GK149" s="1319">
        <f t="shared" ca="1" si="1314"/>
        <v>0</v>
      </c>
      <c r="GL149" s="1319">
        <f t="shared" ca="1" si="1314"/>
        <v>0</v>
      </c>
      <c r="GM149" s="1319">
        <f t="shared" ca="1" si="1314"/>
        <v>0</v>
      </c>
      <c r="GN149" s="1319">
        <f t="shared" ca="1" si="1314"/>
        <v>0</v>
      </c>
      <c r="GO149" s="1319">
        <f t="shared" ca="1" si="1314"/>
        <v>0</v>
      </c>
      <c r="GP149" s="1319">
        <f t="shared" ca="1" si="1314"/>
        <v>0</v>
      </c>
      <c r="GQ149" s="1319">
        <f t="shared" ca="1" si="1314"/>
        <v>0</v>
      </c>
      <c r="GZ149" s="1334"/>
      <c r="HC149" s="1319">
        <f t="shared" ca="1" si="1315"/>
        <v>-0.11716216196413134</v>
      </c>
      <c r="HD149" s="1319">
        <f t="shared" ca="1" si="1315"/>
        <v>-0.11280002963647538</v>
      </c>
      <c r="HE149" s="1319">
        <f t="shared" ca="1" si="1315"/>
        <v>0</v>
      </c>
      <c r="HF149" s="1319">
        <f t="shared" ca="1" si="1315"/>
        <v>-2.4774795335661166E-11</v>
      </c>
      <c r="HG149" s="1319">
        <f t="shared" ca="1" si="1315"/>
        <v>-4.3621319943495038E-3</v>
      </c>
      <c r="HH149" s="1319">
        <f t="shared" ca="1" si="1315"/>
        <v>-0.11280002963647538</v>
      </c>
      <c r="HQ149" s="1334"/>
      <c r="HT149" s="1319">
        <f t="shared" ca="1" si="1316"/>
        <v>0</v>
      </c>
      <c r="HU149" s="1319">
        <f t="shared" ca="1" si="1316"/>
        <v>-0.11280002963647538</v>
      </c>
      <c r="HV149" s="1319">
        <f t="shared" ca="1" si="1316"/>
        <v>-0.11280002963647538</v>
      </c>
      <c r="HW149" s="1319">
        <f t="shared" ca="1" si="1316"/>
        <v>-0.11280002963647538</v>
      </c>
      <c r="HX149" s="1319">
        <f t="shared" ca="1" si="1316"/>
        <v>-9.4345589365040176E-3</v>
      </c>
      <c r="HY149" s="1319">
        <f t="shared" ca="1" si="1316"/>
        <v>-7.1744375270682158E-4</v>
      </c>
      <c r="HZ149" s="1319">
        <f t="shared" ca="1" si="1316"/>
        <v>-2.5470976106233911E-12</v>
      </c>
      <c r="IA149" s="1319">
        <f t="shared" ca="1" si="1316"/>
        <v>-1.1770884418036286E-12</v>
      </c>
      <c r="IB149" s="1319">
        <f t="shared" ca="1" si="1316"/>
        <v>0</v>
      </c>
      <c r="IC149" s="1319">
        <f t="shared" ca="1" si="1316"/>
        <v>0</v>
      </c>
      <c r="ID149" s="1319">
        <f t="shared" ca="1" si="1316"/>
        <v>0</v>
      </c>
      <c r="IE149" s="1319">
        <f t="shared" ca="1" si="1316"/>
        <v>0</v>
      </c>
      <c r="IN149" s="1334"/>
      <c r="IQ149" s="1319">
        <f t="shared" ca="1" si="1317"/>
        <v>-9.4345589365040176E-3</v>
      </c>
      <c r="IR149" s="1319">
        <f t="shared" ca="1" si="1317"/>
        <v>-7.1744375270682158E-4</v>
      </c>
      <c r="IS149" s="1319">
        <f t="shared" ca="1" si="1317"/>
        <v>-7.988775652132289E-4</v>
      </c>
      <c r="IT149" s="1319">
        <f t="shared" ca="1" si="1317"/>
        <v>-1.5163213223056615E-3</v>
      </c>
      <c r="IU149" s="1319">
        <f t="shared" ca="1" si="1317"/>
        <v>-1.4151774199409005E-3</v>
      </c>
      <c r="IV149" s="1319">
        <f t="shared" ca="1" si="1317"/>
        <v>-2.3417782346540583E-2</v>
      </c>
      <c r="IW149" s="1319">
        <f t="shared" ca="1" si="1317"/>
        <v>-1.9173061600202383E-2</v>
      </c>
      <c r="IX149" s="1319">
        <f t="shared" ca="1" si="1317"/>
        <v>-1.117483881541104E-12</v>
      </c>
      <c r="IY149" s="1319">
        <f t="shared" ca="1" si="1317"/>
        <v>-1.0114390061051656E-4</v>
      </c>
      <c r="IZ149" s="1319">
        <f t="shared" ca="1" si="1317"/>
        <v>-3.4458432249810842E-3</v>
      </c>
      <c r="JA149" s="1319">
        <f t="shared" ca="1" si="1317"/>
        <v>-1.9971939174186833E-2</v>
      </c>
      <c r="JB149" s="1319">
        <f t="shared" ca="1" si="1318"/>
        <v>0</v>
      </c>
      <c r="JC149" s="1319">
        <f t="shared" ca="1" si="1318"/>
        <v>-3.4458432249810842E-3</v>
      </c>
      <c r="JD149" s="1319">
        <f t="shared" ca="1" si="1318"/>
        <v>0</v>
      </c>
      <c r="JE149" s="1319">
        <f t="shared" ca="1" si="1318"/>
        <v>-3.4458432249810842E-3</v>
      </c>
      <c r="JF149" s="1319">
        <f t="shared" ca="1" si="1318"/>
        <v>0</v>
      </c>
      <c r="JG149" s="1319">
        <f t="shared" ca="1" si="1318"/>
        <v>0</v>
      </c>
      <c r="JH149" s="1319">
        <f t="shared" ca="1" si="1318"/>
        <v>-1.1770884418036286E-12</v>
      </c>
      <c r="JQ149" s="1334"/>
      <c r="JT149" s="1319">
        <f t="shared" ca="1" si="1319"/>
        <v>0</v>
      </c>
      <c r="JU149" s="1319">
        <f t="shared" ca="1" si="1319"/>
        <v>0</v>
      </c>
      <c r="JV149" s="1319">
        <f t="shared" ca="1" si="1319"/>
        <v>0</v>
      </c>
      <c r="JW149" s="1319">
        <f t="shared" ca="1" si="1319"/>
        <v>0</v>
      </c>
      <c r="JX149" s="1319">
        <f t="shared" ca="1" si="1319"/>
        <v>0</v>
      </c>
      <c r="JY149" s="1319">
        <f t="shared" ca="1" si="1319"/>
        <v>0</v>
      </c>
      <c r="JZ149" s="1319">
        <f t="shared" ca="1" si="1319"/>
        <v>0</v>
      </c>
      <c r="KA149" s="1319">
        <f t="shared" ca="1" si="1319"/>
        <v>0</v>
      </c>
      <c r="KB149" s="1319">
        <f t="shared" ca="1" si="1319"/>
        <v>0</v>
      </c>
      <c r="KC149" s="1319">
        <f t="shared" ca="1" si="1319"/>
        <v>0</v>
      </c>
      <c r="KI149" s="1334"/>
      <c r="KL149" s="1319">
        <f t="shared" ca="1" si="1320"/>
        <v>0</v>
      </c>
      <c r="KM149" s="1319">
        <f t="shared" ca="1" si="1320"/>
        <v>0</v>
      </c>
      <c r="KN149" s="1319">
        <f t="shared" ca="1" si="1320"/>
        <v>0</v>
      </c>
      <c r="KO149" s="1319">
        <f t="shared" ca="1" si="1320"/>
        <v>0</v>
      </c>
      <c r="KP149" s="1319">
        <f t="shared" ca="1" si="1320"/>
        <v>0</v>
      </c>
      <c r="KQ149" s="1319">
        <f t="shared" ca="1" si="1320"/>
        <v>0</v>
      </c>
      <c r="KR149" s="1319">
        <f t="shared" ca="1" si="1320"/>
        <v>0</v>
      </c>
      <c r="KX149" s="1334"/>
      <c r="LA149" s="1319">
        <f t="shared" ca="1" si="1321"/>
        <v>-2.4774795335661166E-11</v>
      </c>
      <c r="LB149" s="1319">
        <f t="shared" ca="1" si="1321"/>
        <v>-2.5470976106233911E-12</v>
      </c>
      <c r="LC149" s="1319">
        <f t="shared" ca="1" si="1321"/>
        <v>-2.7321892937513335E-11</v>
      </c>
      <c r="LD149" s="1319">
        <f t="shared" ca="1" si="1321"/>
        <v>-2.7321892937513335E-11</v>
      </c>
      <c r="LE149" s="1319">
        <f t="shared" ca="1" si="1321"/>
        <v>0</v>
      </c>
      <c r="LF149" s="1319">
        <f t="shared" ca="1" si="1321"/>
        <v>0</v>
      </c>
      <c r="LG149" s="1319">
        <f t="shared" ca="1" si="1321"/>
        <v>0</v>
      </c>
      <c r="LH149" s="1319">
        <f t="shared" ca="1" si="1321"/>
        <v>0</v>
      </c>
      <c r="LI149" s="1319">
        <f t="shared" ca="1" si="1321"/>
        <v>0</v>
      </c>
      <c r="LJ149" s="1319">
        <f t="shared" ca="1" si="1321"/>
        <v>0</v>
      </c>
      <c r="LK149" s="1319">
        <f t="shared" ca="1" si="1321"/>
        <v>0</v>
      </c>
      <c r="LT149" s="1334"/>
      <c r="LW149" s="1319">
        <f t="shared" ca="1" si="1322"/>
        <v>0</v>
      </c>
      <c r="LX149" s="1319">
        <f t="shared" ca="1" si="1322"/>
        <v>0</v>
      </c>
      <c r="LY149" s="1319">
        <f t="shared" ca="1" si="1322"/>
        <v>-4.3621319943495038E-3</v>
      </c>
      <c r="LZ149" s="1319">
        <f t="shared" ca="1" si="1322"/>
        <v>-1.0114390061051656E-4</v>
      </c>
      <c r="MA149" s="1319">
        <f t="shared" ca="1" si="1322"/>
        <v>-4.4632758967142637E-3</v>
      </c>
      <c r="MB149" s="1319">
        <f t="shared" ca="1" si="1322"/>
        <v>-2.7321892937513335E-11</v>
      </c>
      <c r="MC149" s="1319">
        <f t="shared" ca="1" si="1322"/>
        <v>0</v>
      </c>
      <c r="MD149" s="1319">
        <f t="shared" ca="1" si="1322"/>
        <v>0</v>
      </c>
      <c r="ME149" s="1319">
        <f t="shared" ca="1" si="1322"/>
        <v>0</v>
      </c>
      <c r="MF149" s="1319">
        <f t="shared" ca="1" si="1322"/>
        <v>0</v>
      </c>
      <c r="MG149" s="1319">
        <f t="shared" ca="1" si="1323"/>
        <v>0</v>
      </c>
      <c r="MH149" s="1319">
        <f t="shared" ca="1" si="1323"/>
        <v>0</v>
      </c>
      <c r="MI149" s="1319">
        <f t="shared" ca="1" si="1323"/>
        <v>0</v>
      </c>
      <c r="MJ149" s="1319">
        <f t="shared" ca="1" si="1323"/>
        <v>0</v>
      </c>
      <c r="MK149" s="1319">
        <f t="shared" ca="1" si="1323"/>
        <v>0</v>
      </c>
      <c r="ML149" s="1319">
        <f t="shared" ca="1" si="1323"/>
        <v>0</v>
      </c>
      <c r="MM149" s="1319">
        <f t="shared" ca="1" si="1323"/>
        <v>0</v>
      </c>
      <c r="MN149" s="1319">
        <f t="shared" ca="1" si="1323"/>
        <v>0</v>
      </c>
      <c r="MO149" s="1319">
        <f t="shared" ca="1" si="1323"/>
        <v>0</v>
      </c>
      <c r="MX149" s="1334"/>
      <c r="NA149" s="1319">
        <f t="shared" ca="1" si="1324"/>
        <v>-3.516087435740164E-13</v>
      </c>
      <c r="NB149" s="1319">
        <f t="shared" ca="1" si="1324"/>
        <v>0</v>
      </c>
      <c r="NC149" s="1319">
        <f t="shared" ca="1" si="1324"/>
        <v>0</v>
      </c>
      <c r="ND149" s="1319">
        <f t="shared" ca="1" si="1324"/>
        <v>0</v>
      </c>
      <c r="NE149" s="1319">
        <f t="shared" ca="1" si="1324"/>
        <v>0</v>
      </c>
      <c r="NF149" s="1319">
        <f t="shared" ca="1" si="1324"/>
        <v>0</v>
      </c>
      <c r="NG149" s="1319">
        <f t="shared" ca="1" si="1324"/>
        <v>0</v>
      </c>
      <c r="NH149" s="1319">
        <f t="shared" ca="1" si="1324"/>
        <v>0</v>
      </c>
      <c r="NI149" s="1319">
        <f t="shared" ca="1" si="1324"/>
        <v>0</v>
      </c>
      <c r="NJ149" s="1319">
        <f t="shared" ca="1" si="1324"/>
        <v>0</v>
      </c>
      <c r="NK149" s="1319">
        <f t="shared" ca="1" si="1324"/>
        <v>0</v>
      </c>
      <c r="NL149" s="1319">
        <f t="shared" ca="1" si="1324"/>
        <v>0</v>
      </c>
      <c r="NM149" s="1319">
        <f t="shared" ca="1" si="1324"/>
        <v>0</v>
      </c>
      <c r="NN149" s="1319">
        <f t="shared" ca="1" si="1324"/>
        <v>0</v>
      </c>
      <c r="NO149" s="1319">
        <f t="shared" ca="1" si="1324"/>
        <v>0</v>
      </c>
      <c r="NP149" s="1319">
        <f t="shared" ca="1" si="1324"/>
        <v>0</v>
      </c>
      <c r="NY149" s="1334"/>
      <c r="OE149" s="1334"/>
      <c r="OH149" s="1319">
        <f t="shared" ca="1" si="1325"/>
        <v>0</v>
      </c>
      <c r="OI149" s="1319">
        <f t="shared" ca="1" si="1325"/>
        <v>0</v>
      </c>
      <c r="OJ149" s="1319">
        <f t="shared" ca="1" si="1325"/>
        <v>0</v>
      </c>
      <c r="OK149" s="1319">
        <f t="shared" ca="1" si="1325"/>
        <v>0</v>
      </c>
      <c r="OL149" s="1319">
        <f t="shared" ca="1" si="1325"/>
        <v>0</v>
      </c>
      <c r="OM149" s="1319">
        <f t="shared" ca="1" si="1325"/>
        <v>0</v>
      </c>
      <c r="ON149" s="1319">
        <f t="shared" ca="1" si="1325"/>
        <v>0</v>
      </c>
      <c r="OO149" s="1319">
        <f t="shared" ca="1" si="1325"/>
        <v>0</v>
      </c>
      <c r="OX149" s="1334"/>
      <c r="PA149" s="1319">
        <f t="shared" ca="1" si="1326"/>
        <v>0</v>
      </c>
      <c r="PB149" s="1319">
        <f t="shared" ca="1" si="1326"/>
        <v>0</v>
      </c>
      <c r="PC149" s="1319">
        <f t="shared" ca="1" si="1326"/>
        <v>0</v>
      </c>
      <c r="PD149" s="1319">
        <f t="shared" ca="1" si="1326"/>
        <v>0</v>
      </c>
      <c r="PE149" s="1319">
        <f t="shared" ca="1" si="1326"/>
        <v>0</v>
      </c>
      <c r="PF149" s="1319">
        <f t="shared" ca="1" si="1326"/>
        <v>0</v>
      </c>
      <c r="PG149" s="1319">
        <f t="shared" ca="1" si="1326"/>
        <v>0</v>
      </c>
      <c r="PH149" s="1319">
        <f t="shared" ca="1" si="1326"/>
        <v>0</v>
      </c>
      <c r="PI149" s="1319">
        <f t="shared" ca="1" si="1326"/>
        <v>0</v>
      </c>
      <c r="PJ149" s="1319">
        <f t="shared" ca="1" si="1326"/>
        <v>0</v>
      </c>
      <c r="PK149" s="1319">
        <f t="shared" ca="1" si="1326"/>
        <v>0</v>
      </c>
      <c r="PT149" s="1334"/>
      <c r="PW149" s="1319">
        <f t="shared" ca="1" si="1305"/>
        <v>0</v>
      </c>
      <c r="PX149" s="1319">
        <f t="shared" ca="1" si="1305"/>
        <v>0</v>
      </c>
      <c r="PY149" s="1319">
        <f t="shared" ca="1" si="1305"/>
        <v>0</v>
      </c>
      <c r="PZ149" s="1319">
        <f t="shared" ca="1" si="1305"/>
        <v>0</v>
      </c>
    </row>
    <row r="150" spans="1:442" x14ac:dyDescent="0.25">
      <c r="A150" s="189">
        <v>39</v>
      </c>
      <c r="B150" s="189" t="s">
        <v>1256</v>
      </c>
      <c r="C150" s="1317" t="s">
        <v>1290</v>
      </c>
      <c r="D150" s="1317" t="s">
        <v>206</v>
      </c>
      <c r="E150" s="1318">
        <v>31.998799999999999</v>
      </c>
      <c r="F150" s="1316">
        <v>0</v>
      </c>
      <c r="G150" s="1334"/>
      <c r="J150" s="1319">
        <f t="shared" ca="1" si="1283"/>
        <v>0</v>
      </c>
      <c r="K150" s="1319">
        <f t="shared" ca="1" si="1283"/>
        <v>0</v>
      </c>
      <c r="Q150" s="1334"/>
      <c r="T150" s="1319">
        <f t="shared" ca="1" si="1306"/>
        <v>0</v>
      </c>
      <c r="U150" s="1319">
        <f t="shared" ca="1" si="1306"/>
        <v>0</v>
      </c>
      <c r="V150" s="1319">
        <f t="shared" ca="1" si="1306"/>
        <v>0</v>
      </c>
      <c r="W150" s="1319">
        <f t="shared" ca="1" si="1306"/>
        <v>0</v>
      </c>
      <c r="X150" s="1319">
        <f t="shared" ca="1" si="1306"/>
        <v>0</v>
      </c>
      <c r="Y150" s="1319">
        <f t="shared" ca="1" si="1306"/>
        <v>0</v>
      </c>
      <c r="Z150" s="1319">
        <f t="shared" ca="1" si="1306"/>
        <v>0</v>
      </c>
      <c r="AA150" s="1319">
        <f t="shared" ca="1" si="1306"/>
        <v>0</v>
      </c>
      <c r="AB150" s="1319">
        <f t="shared" ca="1" si="1306"/>
        <v>0</v>
      </c>
      <c r="AC150" s="1319">
        <f t="shared" ca="1" si="1306"/>
        <v>0</v>
      </c>
      <c r="AD150" s="1319">
        <f t="shared" ca="1" si="1306"/>
        <v>0</v>
      </c>
      <c r="AJ150" s="1334"/>
      <c r="AM150" s="1319">
        <f t="shared" ca="1" si="1307"/>
        <v>0</v>
      </c>
      <c r="AN150" s="1319">
        <f t="shared" ca="1" si="1307"/>
        <v>0</v>
      </c>
      <c r="AO150" s="1319">
        <f t="shared" ca="1" si="1307"/>
        <v>0</v>
      </c>
      <c r="AP150" s="1319">
        <f t="shared" ca="1" si="1307"/>
        <v>0</v>
      </c>
      <c r="AQ150" s="1319">
        <f t="shared" ca="1" si="1307"/>
        <v>0</v>
      </c>
      <c r="AR150" s="1319">
        <f t="shared" ca="1" si="1307"/>
        <v>0</v>
      </c>
      <c r="AS150" s="1319">
        <f t="shared" ca="1" si="1307"/>
        <v>0</v>
      </c>
      <c r="AT150" s="1319">
        <f t="shared" ca="1" si="1307"/>
        <v>0</v>
      </c>
      <c r="AU150" s="1319">
        <f t="shared" ca="1" si="1307"/>
        <v>0</v>
      </c>
      <c r="AV150" s="1319">
        <f t="shared" ca="1" si="1307"/>
        <v>0</v>
      </c>
      <c r="AW150" s="1319">
        <f t="shared" ca="1" si="1307"/>
        <v>0</v>
      </c>
      <c r="AX150" s="1319">
        <f t="shared" ca="1" si="1307"/>
        <v>0</v>
      </c>
      <c r="AY150" s="1319">
        <f t="shared" ca="1" si="1307"/>
        <v>0</v>
      </c>
      <c r="AZ150" s="1319">
        <f t="shared" ca="1" si="1307"/>
        <v>0</v>
      </c>
      <c r="BA150" s="1319">
        <f t="shared" ca="1" si="1307"/>
        <v>0</v>
      </c>
      <c r="BB150" s="1319">
        <f t="shared" ca="1" si="1307"/>
        <v>0</v>
      </c>
      <c r="BK150" s="1334"/>
      <c r="BN150" s="1319">
        <f t="shared" ca="1" si="1308"/>
        <v>0</v>
      </c>
      <c r="BO150" s="1319">
        <f t="shared" ca="1" si="1308"/>
        <v>0</v>
      </c>
      <c r="BP150" s="1319">
        <f t="shared" ca="1" si="1308"/>
        <v>0</v>
      </c>
      <c r="BQ150" s="1319">
        <f t="shared" ca="1" si="1308"/>
        <v>0</v>
      </c>
      <c r="BR150" s="1319">
        <f t="shared" ca="1" si="1308"/>
        <v>0</v>
      </c>
      <c r="CA150" s="1334"/>
      <c r="CD150" s="1319">
        <f t="shared" ca="1" si="1309"/>
        <v>0</v>
      </c>
      <c r="CE150" s="1319">
        <f t="shared" ca="1" si="1309"/>
        <v>0</v>
      </c>
      <c r="CF150" s="1319">
        <f t="shared" ca="1" si="1309"/>
        <v>0</v>
      </c>
      <c r="CG150" s="1319">
        <f t="shared" ca="1" si="1309"/>
        <v>0</v>
      </c>
      <c r="CH150" s="1319">
        <f t="shared" ca="1" si="1309"/>
        <v>0</v>
      </c>
      <c r="CI150" s="1319">
        <f t="shared" ca="1" si="1309"/>
        <v>0</v>
      </c>
      <c r="CJ150" s="1319">
        <f t="shared" ca="1" si="1309"/>
        <v>0</v>
      </c>
      <c r="CK150" s="1319">
        <f t="shared" ca="1" si="1309"/>
        <v>0</v>
      </c>
      <c r="CL150" s="1319">
        <f t="shared" ca="1" si="1309"/>
        <v>0</v>
      </c>
      <c r="CM150" s="1319">
        <f t="shared" ca="1" si="1309"/>
        <v>0</v>
      </c>
      <c r="CN150" s="1319">
        <f t="shared" ca="1" si="1309"/>
        <v>0</v>
      </c>
      <c r="CO150" s="1319">
        <f t="shared" ca="1" si="1309"/>
        <v>0</v>
      </c>
      <c r="CX150" s="1334"/>
      <c r="DA150" s="1319">
        <f t="shared" ca="1" si="1310"/>
        <v>0</v>
      </c>
      <c r="DB150" s="1319">
        <f t="shared" ca="1" si="1310"/>
        <v>0</v>
      </c>
      <c r="DC150" s="1319">
        <f t="shared" ca="1" si="1310"/>
        <v>0</v>
      </c>
      <c r="DD150" s="1319">
        <f t="shared" ca="1" si="1310"/>
        <v>0</v>
      </c>
      <c r="DE150" s="1319">
        <f t="shared" ca="1" si="1310"/>
        <v>0</v>
      </c>
      <c r="DF150" s="1319">
        <f t="shared" ca="1" si="1310"/>
        <v>0</v>
      </c>
      <c r="DG150" s="1319">
        <f t="shared" ca="1" si="1310"/>
        <v>0</v>
      </c>
      <c r="DH150" s="1319">
        <f t="shared" ca="1" si="1310"/>
        <v>0</v>
      </c>
      <c r="DI150" s="1319">
        <f t="shared" ca="1" si="1310"/>
        <v>0</v>
      </c>
      <c r="DJ150" s="1319">
        <f t="shared" ca="1" si="1310"/>
        <v>0</v>
      </c>
      <c r="DS150" s="1334"/>
      <c r="DV150" s="1319">
        <f t="shared" ca="1" si="1311"/>
        <v>0</v>
      </c>
      <c r="DW150" s="1319">
        <f t="shared" ca="1" si="1311"/>
        <v>0</v>
      </c>
      <c r="DX150" s="1319">
        <f t="shared" ca="1" si="1311"/>
        <v>0</v>
      </c>
      <c r="DY150" s="1319">
        <f t="shared" ca="1" si="1311"/>
        <v>0</v>
      </c>
      <c r="DZ150" s="1319">
        <f t="shared" ca="1" si="1311"/>
        <v>0</v>
      </c>
      <c r="EA150" s="1319">
        <f t="shared" ca="1" si="1311"/>
        <v>0</v>
      </c>
      <c r="EB150" s="1319">
        <f t="shared" ca="1" si="1311"/>
        <v>0</v>
      </c>
      <c r="EC150" s="1319">
        <f t="shared" ca="1" si="1311"/>
        <v>0</v>
      </c>
      <c r="ED150" s="1319">
        <f t="shared" ca="1" si="1311"/>
        <v>0</v>
      </c>
      <c r="EE150" s="1319">
        <f t="shared" ca="1" si="1311"/>
        <v>0</v>
      </c>
      <c r="EF150" s="1319">
        <f t="shared" ca="1" si="1311"/>
        <v>0</v>
      </c>
      <c r="EG150" s="1319">
        <f t="shared" ca="1" si="1311"/>
        <v>0</v>
      </c>
      <c r="EH150" s="1319">
        <f t="shared" ca="1" si="1311"/>
        <v>0</v>
      </c>
      <c r="EI150" s="1319">
        <f t="shared" ca="1" si="1311"/>
        <v>0</v>
      </c>
      <c r="EJ150" s="1319">
        <f t="shared" ca="1" si="1311"/>
        <v>0</v>
      </c>
      <c r="EK150" s="1319">
        <f t="shared" ca="1" si="1311"/>
        <v>0</v>
      </c>
      <c r="ET150" s="1334"/>
      <c r="EW150" s="1319">
        <f t="shared" ca="1" si="1312"/>
        <v>0</v>
      </c>
      <c r="EX150" s="1319">
        <f t="shared" ca="1" si="1312"/>
        <v>0</v>
      </c>
      <c r="EY150" s="1319">
        <f t="shared" ca="1" si="1312"/>
        <v>0</v>
      </c>
      <c r="EZ150" s="1319">
        <f t="shared" ca="1" si="1312"/>
        <v>0</v>
      </c>
      <c r="FA150" s="1319">
        <f t="shared" ca="1" si="1312"/>
        <v>0</v>
      </c>
      <c r="FB150" s="1319">
        <f t="shared" ca="1" si="1312"/>
        <v>0</v>
      </c>
      <c r="FK150" s="1334"/>
      <c r="FN150" s="1319">
        <f t="shared" ca="1" si="1313"/>
        <v>0</v>
      </c>
      <c r="FO150" s="1319">
        <f t="shared" ca="1" si="1313"/>
        <v>0</v>
      </c>
      <c r="FP150" s="1319">
        <f t="shared" ca="1" si="1313"/>
        <v>0</v>
      </c>
      <c r="FQ150" s="1319">
        <f t="shared" ca="1" si="1313"/>
        <v>0</v>
      </c>
      <c r="FR150" s="1319">
        <f t="shared" ca="1" si="1313"/>
        <v>0</v>
      </c>
      <c r="FS150" s="1319">
        <f t="shared" ca="1" si="1313"/>
        <v>0</v>
      </c>
      <c r="FT150" s="1319">
        <f t="shared" ca="1" si="1313"/>
        <v>0</v>
      </c>
      <c r="FU150" s="1319">
        <f t="shared" ca="1" si="1313"/>
        <v>0</v>
      </c>
      <c r="FV150" s="1319">
        <f t="shared" ca="1" si="1313"/>
        <v>0</v>
      </c>
      <c r="FW150" s="1319">
        <f t="shared" ca="1" si="1313"/>
        <v>0</v>
      </c>
      <c r="FX150" s="1319">
        <f t="shared" ca="1" si="1313"/>
        <v>0</v>
      </c>
      <c r="GG150" s="1334"/>
      <c r="GJ150" s="1319">
        <f t="shared" ca="1" si="1314"/>
        <v>0</v>
      </c>
      <c r="GK150" s="1319">
        <f t="shared" ca="1" si="1314"/>
        <v>0</v>
      </c>
      <c r="GL150" s="1319">
        <f t="shared" ca="1" si="1314"/>
        <v>0</v>
      </c>
      <c r="GM150" s="1319">
        <f t="shared" ca="1" si="1314"/>
        <v>0</v>
      </c>
      <c r="GN150" s="1319">
        <f t="shared" ca="1" si="1314"/>
        <v>0</v>
      </c>
      <c r="GO150" s="1319">
        <f t="shared" ca="1" si="1314"/>
        <v>0</v>
      </c>
      <c r="GP150" s="1319">
        <f t="shared" ca="1" si="1314"/>
        <v>0</v>
      </c>
      <c r="GQ150" s="1319">
        <f t="shared" ca="1" si="1314"/>
        <v>0</v>
      </c>
      <c r="GZ150" s="1334"/>
      <c r="HC150" s="1319">
        <f t="shared" ca="1" si="1315"/>
        <v>0</v>
      </c>
      <c r="HD150" s="1319">
        <f t="shared" ca="1" si="1315"/>
        <v>0</v>
      </c>
      <c r="HE150" s="1319">
        <f t="shared" ca="1" si="1315"/>
        <v>0</v>
      </c>
      <c r="HF150" s="1319">
        <f t="shared" ca="1" si="1315"/>
        <v>0</v>
      </c>
      <c r="HG150" s="1319">
        <f t="shared" ca="1" si="1315"/>
        <v>0</v>
      </c>
      <c r="HH150" s="1319">
        <f t="shared" ca="1" si="1315"/>
        <v>0</v>
      </c>
      <c r="HQ150" s="1334"/>
      <c r="HT150" s="1319">
        <f t="shared" ca="1" si="1316"/>
        <v>0</v>
      </c>
      <c r="HU150" s="1319">
        <f t="shared" ca="1" si="1316"/>
        <v>0</v>
      </c>
      <c r="HV150" s="1319">
        <f t="shared" ca="1" si="1316"/>
        <v>0</v>
      </c>
      <c r="HW150" s="1319">
        <f t="shared" ca="1" si="1316"/>
        <v>0</v>
      </c>
      <c r="HX150" s="1319">
        <f t="shared" ca="1" si="1316"/>
        <v>0</v>
      </c>
      <c r="HY150" s="1319">
        <f t="shared" ca="1" si="1316"/>
        <v>0</v>
      </c>
      <c r="HZ150" s="1319">
        <f t="shared" ca="1" si="1316"/>
        <v>0</v>
      </c>
      <c r="IA150" s="1319">
        <f t="shared" ca="1" si="1316"/>
        <v>0</v>
      </c>
      <c r="IB150" s="1319">
        <f t="shared" ca="1" si="1316"/>
        <v>0</v>
      </c>
      <c r="IC150" s="1319">
        <f t="shared" ca="1" si="1316"/>
        <v>0</v>
      </c>
      <c r="ID150" s="1319">
        <f t="shared" ca="1" si="1316"/>
        <v>0</v>
      </c>
      <c r="IE150" s="1319">
        <f t="shared" ca="1" si="1316"/>
        <v>0</v>
      </c>
      <c r="IN150" s="1334"/>
      <c r="IQ150" s="1319">
        <f t="shared" ca="1" si="1317"/>
        <v>0</v>
      </c>
      <c r="IR150" s="1319">
        <f t="shared" ca="1" si="1317"/>
        <v>0</v>
      </c>
      <c r="IS150" s="1319">
        <f t="shared" ca="1" si="1317"/>
        <v>0</v>
      </c>
      <c r="IT150" s="1319">
        <f t="shared" ca="1" si="1317"/>
        <v>0</v>
      </c>
      <c r="IU150" s="1319">
        <f t="shared" ca="1" si="1317"/>
        <v>0</v>
      </c>
      <c r="IV150" s="1319">
        <f t="shared" ca="1" si="1317"/>
        <v>0</v>
      </c>
      <c r="IW150" s="1319">
        <f t="shared" ca="1" si="1317"/>
        <v>0</v>
      </c>
      <c r="IX150" s="1319">
        <f t="shared" ca="1" si="1317"/>
        <v>0</v>
      </c>
      <c r="IY150" s="1319">
        <f t="shared" ca="1" si="1317"/>
        <v>0</v>
      </c>
      <c r="IZ150" s="1319">
        <f t="shared" ca="1" si="1317"/>
        <v>0</v>
      </c>
      <c r="JA150" s="1319">
        <f t="shared" ca="1" si="1317"/>
        <v>0</v>
      </c>
      <c r="JB150" s="1319">
        <f t="shared" ca="1" si="1318"/>
        <v>0</v>
      </c>
      <c r="JC150" s="1319">
        <f t="shared" ca="1" si="1318"/>
        <v>0</v>
      </c>
      <c r="JD150" s="1319">
        <f t="shared" ca="1" si="1318"/>
        <v>0</v>
      </c>
      <c r="JE150" s="1319">
        <f t="shared" ca="1" si="1318"/>
        <v>0</v>
      </c>
      <c r="JF150" s="1319">
        <f t="shared" ca="1" si="1318"/>
        <v>0</v>
      </c>
      <c r="JG150" s="1319">
        <f t="shared" ca="1" si="1318"/>
        <v>0</v>
      </c>
      <c r="JH150" s="1319">
        <f t="shared" ca="1" si="1318"/>
        <v>0</v>
      </c>
      <c r="JQ150" s="1334"/>
      <c r="JT150" s="1319">
        <f t="shared" ca="1" si="1319"/>
        <v>0</v>
      </c>
      <c r="JU150" s="1319">
        <f t="shared" ca="1" si="1319"/>
        <v>0</v>
      </c>
      <c r="JV150" s="1319">
        <f t="shared" ca="1" si="1319"/>
        <v>0</v>
      </c>
      <c r="JW150" s="1319">
        <f t="shared" ca="1" si="1319"/>
        <v>0</v>
      </c>
      <c r="JX150" s="1319">
        <f t="shared" ca="1" si="1319"/>
        <v>0</v>
      </c>
      <c r="JY150" s="1319">
        <f t="shared" ca="1" si="1319"/>
        <v>0</v>
      </c>
      <c r="JZ150" s="1319">
        <f t="shared" ca="1" si="1319"/>
        <v>0</v>
      </c>
      <c r="KA150" s="1319">
        <f t="shared" ca="1" si="1319"/>
        <v>0</v>
      </c>
      <c r="KB150" s="1319">
        <f t="shared" ca="1" si="1319"/>
        <v>0</v>
      </c>
      <c r="KC150" s="1319">
        <f t="shared" ca="1" si="1319"/>
        <v>0</v>
      </c>
      <c r="KI150" s="1334"/>
      <c r="KL150" s="1319">
        <f t="shared" ca="1" si="1320"/>
        <v>0</v>
      </c>
      <c r="KM150" s="1319">
        <f t="shared" ca="1" si="1320"/>
        <v>0</v>
      </c>
      <c r="KN150" s="1319">
        <f t="shared" ca="1" si="1320"/>
        <v>0</v>
      </c>
      <c r="KO150" s="1319">
        <f t="shared" ca="1" si="1320"/>
        <v>0</v>
      </c>
      <c r="KP150" s="1319">
        <f t="shared" ca="1" si="1320"/>
        <v>0</v>
      </c>
      <c r="KQ150" s="1319">
        <f t="shared" ca="1" si="1320"/>
        <v>0</v>
      </c>
      <c r="KR150" s="1319">
        <f t="shared" ca="1" si="1320"/>
        <v>0</v>
      </c>
      <c r="KX150" s="1334"/>
      <c r="LA150" s="1319">
        <f t="shared" ca="1" si="1321"/>
        <v>0</v>
      </c>
      <c r="LB150" s="1319">
        <f t="shared" ca="1" si="1321"/>
        <v>0</v>
      </c>
      <c r="LC150" s="1319">
        <f t="shared" ca="1" si="1321"/>
        <v>0</v>
      </c>
      <c r="LD150" s="1319">
        <f t="shared" ca="1" si="1321"/>
        <v>0</v>
      </c>
      <c r="LE150" s="1319">
        <f t="shared" ca="1" si="1321"/>
        <v>0</v>
      </c>
      <c r="LF150" s="1319">
        <f t="shared" ca="1" si="1321"/>
        <v>0</v>
      </c>
      <c r="LG150" s="1319">
        <f t="shared" ca="1" si="1321"/>
        <v>0</v>
      </c>
      <c r="LH150" s="1319">
        <f t="shared" ca="1" si="1321"/>
        <v>0</v>
      </c>
      <c r="LI150" s="1319">
        <f t="shared" ca="1" si="1321"/>
        <v>0</v>
      </c>
      <c r="LJ150" s="1319">
        <f t="shared" ca="1" si="1321"/>
        <v>0</v>
      </c>
      <c r="LK150" s="1319">
        <f t="shared" ca="1" si="1321"/>
        <v>0</v>
      </c>
      <c r="LT150" s="1334"/>
      <c r="LW150" s="1319">
        <f t="shared" ca="1" si="1322"/>
        <v>0</v>
      </c>
      <c r="LX150" s="1319">
        <f t="shared" ca="1" si="1322"/>
        <v>0</v>
      </c>
      <c r="LY150" s="1319">
        <f t="shared" ca="1" si="1322"/>
        <v>0</v>
      </c>
      <c r="LZ150" s="1319">
        <f t="shared" ca="1" si="1322"/>
        <v>0</v>
      </c>
      <c r="MA150" s="1319">
        <f t="shared" ca="1" si="1322"/>
        <v>0</v>
      </c>
      <c r="MB150" s="1319">
        <f t="shared" ca="1" si="1322"/>
        <v>0</v>
      </c>
      <c r="MC150" s="1319">
        <f t="shared" ca="1" si="1322"/>
        <v>0</v>
      </c>
      <c r="MD150" s="1319">
        <f t="shared" ca="1" si="1322"/>
        <v>0</v>
      </c>
      <c r="ME150" s="1319">
        <f t="shared" ca="1" si="1322"/>
        <v>0</v>
      </c>
      <c r="MF150" s="1319">
        <f t="shared" ca="1" si="1322"/>
        <v>0</v>
      </c>
      <c r="MG150" s="1319">
        <f t="shared" ca="1" si="1323"/>
        <v>0</v>
      </c>
      <c r="MH150" s="1319">
        <f t="shared" ca="1" si="1323"/>
        <v>0</v>
      </c>
      <c r="MI150" s="1319">
        <f t="shared" ca="1" si="1323"/>
        <v>0</v>
      </c>
      <c r="MJ150" s="1319">
        <f t="shared" ca="1" si="1323"/>
        <v>0</v>
      </c>
      <c r="MK150" s="1319">
        <f t="shared" ca="1" si="1323"/>
        <v>0</v>
      </c>
      <c r="ML150" s="1319">
        <f t="shared" ca="1" si="1323"/>
        <v>0</v>
      </c>
      <c r="MM150" s="1319">
        <f t="shared" ca="1" si="1323"/>
        <v>0</v>
      </c>
      <c r="MN150" s="1319">
        <f t="shared" ca="1" si="1323"/>
        <v>0</v>
      </c>
      <c r="MO150" s="1319">
        <f t="shared" ca="1" si="1323"/>
        <v>0</v>
      </c>
      <c r="MX150" s="1334"/>
      <c r="NA150" s="1319">
        <f t="shared" ca="1" si="1324"/>
        <v>0</v>
      </c>
      <c r="NB150" s="1319">
        <f t="shared" ca="1" si="1324"/>
        <v>0</v>
      </c>
      <c r="NC150" s="1319">
        <f t="shared" ca="1" si="1324"/>
        <v>0</v>
      </c>
      <c r="ND150" s="1319">
        <f t="shared" ca="1" si="1324"/>
        <v>0</v>
      </c>
      <c r="NE150" s="1319">
        <f t="shared" ca="1" si="1324"/>
        <v>0</v>
      </c>
      <c r="NF150" s="1319">
        <f t="shared" ca="1" si="1324"/>
        <v>0</v>
      </c>
      <c r="NG150" s="1319">
        <f t="shared" ca="1" si="1324"/>
        <v>0</v>
      </c>
      <c r="NH150" s="1319">
        <f t="shared" ca="1" si="1324"/>
        <v>0</v>
      </c>
      <c r="NI150" s="1319">
        <f t="shared" ca="1" si="1324"/>
        <v>0</v>
      </c>
      <c r="NJ150" s="1319">
        <f t="shared" ca="1" si="1324"/>
        <v>0</v>
      </c>
      <c r="NK150" s="1319">
        <f t="shared" ca="1" si="1324"/>
        <v>0</v>
      </c>
      <c r="NL150" s="1319">
        <f t="shared" ca="1" si="1324"/>
        <v>0</v>
      </c>
      <c r="NM150" s="1319">
        <f t="shared" ca="1" si="1324"/>
        <v>0</v>
      </c>
      <c r="NN150" s="1319">
        <f t="shared" ca="1" si="1324"/>
        <v>0</v>
      </c>
      <c r="NO150" s="1319">
        <f t="shared" ca="1" si="1324"/>
        <v>0</v>
      </c>
      <c r="NP150" s="1319">
        <f t="shared" ca="1" si="1324"/>
        <v>0</v>
      </c>
      <c r="NY150" s="1334"/>
      <c r="OE150" s="1334"/>
      <c r="OH150" s="1319">
        <f t="shared" ca="1" si="1325"/>
        <v>0</v>
      </c>
      <c r="OI150" s="1319">
        <f t="shared" ca="1" si="1325"/>
        <v>0</v>
      </c>
      <c r="OJ150" s="1319">
        <f t="shared" ca="1" si="1325"/>
        <v>0</v>
      </c>
      <c r="OK150" s="1319">
        <f t="shared" ca="1" si="1325"/>
        <v>0</v>
      </c>
      <c r="OL150" s="1319">
        <f t="shared" ca="1" si="1325"/>
        <v>0</v>
      </c>
      <c r="OM150" s="1319">
        <f t="shared" ca="1" si="1325"/>
        <v>0</v>
      </c>
      <c r="ON150" s="1319">
        <f t="shared" ca="1" si="1325"/>
        <v>0</v>
      </c>
      <c r="OO150" s="1319">
        <f t="shared" ca="1" si="1325"/>
        <v>0</v>
      </c>
      <c r="OX150" s="1334"/>
      <c r="PA150" s="1319">
        <f t="shared" ca="1" si="1326"/>
        <v>0</v>
      </c>
      <c r="PB150" s="1319">
        <f t="shared" ca="1" si="1326"/>
        <v>0</v>
      </c>
      <c r="PC150" s="1319">
        <f t="shared" ca="1" si="1326"/>
        <v>0</v>
      </c>
      <c r="PD150" s="1319">
        <f t="shared" ca="1" si="1326"/>
        <v>0</v>
      </c>
      <c r="PE150" s="1319">
        <f t="shared" ca="1" si="1326"/>
        <v>0</v>
      </c>
      <c r="PF150" s="1319">
        <f t="shared" ca="1" si="1326"/>
        <v>0</v>
      </c>
      <c r="PG150" s="1319">
        <f t="shared" ca="1" si="1326"/>
        <v>0</v>
      </c>
      <c r="PH150" s="1319">
        <f t="shared" ca="1" si="1326"/>
        <v>0</v>
      </c>
      <c r="PI150" s="1319">
        <f t="shared" ca="1" si="1326"/>
        <v>0</v>
      </c>
      <c r="PJ150" s="1319">
        <f t="shared" ca="1" si="1326"/>
        <v>0</v>
      </c>
      <c r="PK150" s="1319">
        <f t="shared" ca="1" si="1326"/>
        <v>0</v>
      </c>
      <c r="PT150" s="1334"/>
      <c r="PW150" s="1319">
        <f t="shared" ca="1" si="1305"/>
        <v>0</v>
      </c>
      <c r="PX150" s="1319">
        <f t="shared" ca="1" si="1305"/>
        <v>0</v>
      </c>
      <c r="PY150" s="1319">
        <f t="shared" ca="1" si="1305"/>
        <v>0</v>
      </c>
      <c r="PZ150" s="1319">
        <f t="shared" ca="1" si="1305"/>
        <v>0</v>
      </c>
    </row>
    <row r="151" spans="1:442" x14ac:dyDescent="0.25">
      <c r="A151" s="189">
        <v>40</v>
      </c>
      <c r="B151" s="189" t="s">
        <v>1256</v>
      </c>
      <c r="C151" s="1317" t="s">
        <v>1288</v>
      </c>
      <c r="D151" s="1317" t="s">
        <v>206</v>
      </c>
      <c r="E151" s="1318">
        <v>28.013480000000001</v>
      </c>
      <c r="F151" s="1316">
        <v>0</v>
      </c>
      <c r="G151" s="1334"/>
      <c r="J151" s="1319">
        <f t="shared" ca="1" si="1283"/>
        <v>0</v>
      </c>
      <c r="K151" s="1319">
        <f t="shared" ca="1" si="1283"/>
        <v>0</v>
      </c>
      <c r="Q151" s="1334"/>
      <c r="T151" s="1319">
        <f t="shared" ca="1" si="1306"/>
        <v>0</v>
      </c>
      <c r="U151" s="1319">
        <f t="shared" ca="1" si="1306"/>
        <v>0</v>
      </c>
      <c r="V151" s="1319">
        <f t="shared" ca="1" si="1306"/>
        <v>0</v>
      </c>
      <c r="W151" s="1319">
        <f t="shared" ca="1" si="1306"/>
        <v>0</v>
      </c>
      <c r="X151" s="1319">
        <f t="shared" ca="1" si="1306"/>
        <v>0</v>
      </c>
      <c r="Y151" s="1319">
        <f t="shared" ca="1" si="1306"/>
        <v>0</v>
      </c>
      <c r="Z151" s="1319">
        <f t="shared" ca="1" si="1306"/>
        <v>0</v>
      </c>
      <c r="AA151" s="1319">
        <f t="shared" ca="1" si="1306"/>
        <v>0</v>
      </c>
      <c r="AB151" s="1319">
        <f t="shared" ca="1" si="1306"/>
        <v>0</v>
      </c>
      <c r="AC151" s="1319">
        <f t="shared" ca="1" si="1306"/>
        <v>0</v>
      </c>
      <c r="AD151" s="1319">
        <f t="shared" ca="1" si="1306"/>
        <v>0</v>
      </c>
      <c r="AJ151" s="1334"/>
      <c r="AM151" s="1319">
        <f t="shared" ca="1" si="1307"/>
        <v>0</v>
      </c>
      <c r="AN151" s="1319">
        <f t="shared" ca="1" si="1307"/>
        <v>0</v>
      </c>
      <c r="AO151" s="1319">
        <f t="shared" ca="1" si="1307"/>
        <v>0</v>
      </c>
      <c r="AP151" s="1319">
        <f t="shared" ca="1" si="1307"/>
        <v>0</v>
      </c>
      <c r="AQ151" s="1319">
        <f t="shared" ca="1" si="1307"/>
        <v>0</v>
      </c>
      <c r="AR151" s="1319">
        <f t="shared" ca="1" si="1307"/>
        <v>0</v>
      </c>
      <c r="AS151" s="1319">
        <f t="shared" ca="1" si="1307"/>
        <v>0</v>
      </c>
      <c r="AT151" s="1319">
        <f t="shared" ca="1" si="1307"/>
        <v>0</v>
      </c>
      <c r="AU151" s="1319">
        <f t="shared" ca="1" si="1307"/>
        <v>0</v>
      </c>
      <c r="AV151" s="1319">
        <f t="shared" ca="1" si="1307"/>
        <v>0</v>
      </c>
      <c r="AW151" s="1319">
        <f t="shared" ca="1" si="1307"/>
        <v>0</v>
      </c>
      <c r="AX151" s="1319">
        <f t="shared" ca="1" si="1307"/>
        <v>0</v>
      </c>
      <c r="AY151" s="1319">
        <f t="shared" ca="1" si="1307"/>
        <v>0</v>
      </c>
      <c r="AZ151" s="1319">
        <f t="shared" ca="1" si="1307"/>
        <v>0</v>
      </c>
      <c r="BA151" s="1319">
        <f t="shared" ca="1" si="1307"/>
        <v>0</v>
      </c>
      <c r="BB151" s="1319">
        <f t="shared" ca="1" si="1307"/>
        <v>0</v>
      </c>
      <c r="BK151" s="1334"/>
      <c r="BN151" s="1319">
        <f t="shared" ca="1" si="1308"/>
        <v>0</v>
      </c>
      <c r="BO151" s="1319">
        <f t="shared" ca="1" si="1308"/>
        <v>0</v>
      </c>
      <c r="BP151" s="1319">
        <f t="shared" ca="1" si="1308"/>
        <v>0</v>
      </c>
      <c r="BQ151" s="1319">
        <f t="shared" ca="1" si="1308"/>
        <v>0</v>
      </c>
      <c r="BR151" s="1319">
        <f t="shared" ca="1" si="1308"/>
        <v>0</v>
      </c>
      <c r="CA151" s="1334"/>
      <c r="CD151" s="1319">
        <f t="shared" ca="1" si="1309"/>
        <v>0</v>
      </c>
      <c r="CE151" s="1319">
        <f t="shared" ca="1" si="1309"/>
        <v>0</v>
      </c>
      <c r="CF151" s="1319">
        <f t="shared" ca="1" si="1309"/>
        <v>0</v>
      </c>
      <c r="CG151" s="1319">
        <f t="shared" ca="1" si="1309"/>
        <v>0</v>
      </c>
      <c r="CH151" s="1319">
        <f t="shared" ca="1" si="1309"/>
        <v>0</v>
      </c>
      <c r="CI151" s="1319">
        <f t="shared" ca="1" si="1309"/>
        <v>0</v>
      </c>
      <c r="CJ151" s="1319">
        <f t="shared" ca="1" si="1309"/>
        <v>0</v>
      </c>
      <c r="CK151" s="1319">
        <f t="shared" ca="1" si="1309"/>
        <v>0</v>
      </c>
      <c r="CL151" s="1319">
        <f t="shared" ca="1" si="1309"/>
        <v>0</v>
      </c>
      <c r="CM151" s="1319">
        <f t="shared" ca="1" si="1309"/>
        <v>0</v>
      </c>
      <c r="CN151" s="1319">
        <f t="shared" ca="1" si="1309"/>
        <v>0</v>
      </c>
      <c r="CO151" s="1319">
        <f t="shared" ca="1" si="1309"/>
        <v>0</v>
      </c>
      <c r="CX151" s="1334"/>
      <c r="DA151" s="1319">
        <f t="shared" ca="1" si="1310"/>
        <v>0</v>
      </c>
      <c r="DB151" s="1319">
        <f t="shared" ca="1" si="1310"/>
        <v>0</v>
      </c>
      <c r="DC151" s="1319">
        <f t="shared" ca="1" si="1310"/>
        <v>0</v>
      </c>
      <c r="DD151" s="1319">
        <f t="shared" ca="1" si="1310"/>
        <v>0</v>
      </c>
      <c r="DE151" s="1319">
        <f t="shared" ca="1" si="1310"/>
        <v>0</v>
      </c>
      <c r="DF151" s="1319">
        <f t="shared" ca="1" si="1310"/>
        <v>0</v>
      </c>
      <c r="DG151" s="1319">
        <f t="shared" ca="1" si="1310"/>
        <v>0</v>
      </c>
      <c r="DH151" s="1319">
        <f t="shared" ca="1" si="1310"/>
        <v>0</v>
      </c>
      <c r="DI151" s="1319">
        <f t="shared" ca="1" si="1310"/>
        <v>0</v>
      </c>
      <c r="DJ151" s="1319">
        <f t="shared" ca="1" si="1310"/>
        <v>0</v>
      </c>
      <c r="DS151" s="1334"/>
      <c r="DV151" s="1319">
        <f t="shared" ca="1" si="1311"/>
        <v>0</v>
      </c>
      <c r="DW151" s="1319">
        <f t="shared" ca="1" si="1311"/>
        <v>0</v>
      </c>
      <c r="DX151" s="1319">
        <f t="shared" ca="1" si="1311"/>
        <v>0</v>
      </c>
      <c r="DY151" s="1319">
        <f t="shared" ca="1" si="1311"/>
        <v>0</v>
      </c>
      <c r="DZ151" s="1319">
        <f t="shared" ca="1" si="1311"/>
        <v>0</v>
      </c>
      <c r="EA151" s="1319">
        <f t="shared" ca="1" si="1311"/>
        <v>0</v>
      </c>
      <c r="EB151" s="1319">
        <f t="shared" ca="1" si="1311"/>
        <v>0</v>
      </c>
      <c r="EC151" s="1319">
        <f t="shared" ca="1" si="1311"/>
        <v>0</v>
      </c>
      <c r="ED151" s="1319">
        <f t="shared" ca="1" si="1311"/>
        <v>0</v>
      </c>
      <c r="EE151" s="1319">
        <f t="shared" ca="1" si="1311"/>
        <v>0</v>
      </c>
      <c r="EF151" s="1319">
        <f t="shared" ca="1" si="1311"/>
        <v>0</v>
      </c>
      <c r="EG151" s="1319">
        <f t="shared" ca="1" si="1311"/>
        <v>0</v>
      </c>
      <c r="EH151" s="1319">
        <f t="shared" ca="1" si="1311"/>
        <v>0</v>
      </c>
      <c r="EI151" s="1319">
        <f t="shared" ca="1" si="1311"/>
        <v>0</v>
      </c>
      <c r="EJ151" s="1319">
        <f t="shared" ca="1" si="1311"/>
        <v>0</v>
      </c>
      <c r="EK151" s="1319">
        <f t="shared" ca="1" si="1311"/>
        <v>0</v>
      </c>
      <c r="ET151" s="1334"/>
      <c r="EW151" s="1319">
        <f t="shared" ca="1" si="1312"/>
        <v>0</v>
      </c>
      <c r="EX151" s="1319">
        <f t="shared" ca="1" si="1312"/>
        <v>0</v>
      </c>
      <c r="EY151" s="1319">
        <f t="shared" ca="1" si="1312"/>
        <v>0</v>
      </c>
      <c r="EZ151" s="1319">
        <f t="shared" ca="1" si="1312"/>
        <v>0</v>
      </c>
      <c r="FA151" s="1319">
        <f t="shared" ca="1" si="1312"/>
        <v>0</v>
      </c>
      <c r="FB151" s="1319">
        <f t="shared" ca="1" si="1312"/>
        <v>0</v>
      </c>
      <c r="FK151" s="1334"/>
      <c r="FN151" s="1319">
        <f t="shared" ca="1" si="1313"/>
        <v>0</v>
      </c>
      <c r="FO151" s="1319">
        <f t="shared" ca="1" si="1313"/>
        <v>0</v>
      </c>
      <c r="FP151" s="1319">
        <f t="shared" ca="1" si="1313"/>
        <v>0</v>
      </c>
      <c r="FQ151" s="1319">
        <f t="shared" ca="1" si="1313"/>
        <v>0</v>
      </c>
      <c r="FR151" s="1319">
        <f t="shared" ca="1" si="1313"/>
        <v>0</v>
      </c>
      <c r="FS151" s="1319">
        <f t="shared" ca="1" si="1313"/>
        <v>0</v>
      </c>
      <c r="FT151" s="1319">
        <f t="shared" ca="1" si="1313"/>
        <v>0</v>
      </c>
      <c r="FU151" s="1319">
        <f t="shared" ca="1" si="1313"/>
        <v>0</v>
      </c>
      <c r="FV151" s="1319">
        <f t="shared" ca="1" si="1313"/>
        <v>0</v>
      </c>
      <c r="FW151" s="1319">
        <f t="shared" ca="1" si="1313"/>
        <v>0</v>
      </c>
      <c r="FX151" s="1319">
        <f t="shared" ca="1" si="1313"/>
        <v>0</v>
      </c>
      <c r="GG151" s="1334"/>
      <c r="GJ151" s="1319">
        <f t="shared" ca="1" si="1314"/>
        <v>0</v>
      </c>
      <c r="GK151" s="1319">
        <f t="shared" ca="1" si="1314"/>
        <v>0</v>
      </c>
      <c r="GL151" s="1319">
        <f t="shared" ca="1" si="1314"/>
        <v>0</v>
      </c>
      <c r="GM151" s="1319">
        <f t="shared" ca="1" si="1314"/>
        <v>0</v>
      </c>
      <c r="GN151" s="1319">
        <f t="shared" ca="1" si="1314"/>
        <v>0</v>
      </c>
      <c r="GO151" s="1319">
        <f t="shared" ca="1" si="1314"/>
        <v>0</v>
      </c>
      <c r="GP151" s="1319">
        <f t="shared" ca="1" si="1314"/>
        <v>0</v>
      </c>
      <c r="GQ151" s="1319">
        <f t="shared" ca="1" si="1314"/>
        <v>0</v>
      </c>
      <c r="GZ151" s="1334"/>
      <c r="HC151" s="1319">
        <f t="shared" ca="1" si="1315"/>
        <v>0</v>
      </c>
      <c r="HD151" s="1319">
        <f t="shared" ca="1" si="1315"/>
        <v>0</v>
      </c>
      <c r="HE151" s="1319">
        <f t="shared" ca="1" si="1315"/>
        <v>0</v>
      </c>
      <c r="HF151" s="1319">
        <f t="shared" ca="1" si="1315"/>
        <v>0</v>
      </c>
      <c r="HG151" s="1319">
        <f t="shared" ca="1" si="1315"/>
        <v>0</v>
      </c>
      <c r="HH151" s="1319">
        <f t="shared" ca="1" si="1315"/>
        <v>0</v>
      </c>
      <c r="HQ151" s="1334"/>
      <c r="HT151" s="1319">
        <f t="shared" ca="1" si="1316"/>
        <v>0</v>
      </c>
      <c r="HU151" s="1319">
        <f t="shared" ca="1" si="1316"/>
        <v>0</v>
      </c>
      <c r="HV151" s="1319">
        <f t="shared" ca="1" si="1316"/>
        <v>0</v>
      </c>
      <c r="HW151" s="1319">
        <f t="shared" ca="1" si="1316"/>
        <v>0</v>
      </c>
      <c r="HX151" s="1319">
        <f t="shared" ca="1" si="1316"/>
        <v>0</v>
      </c>
      <c r="HY151" s="1319">
        <f t="shared" ca="1" si="1316"/>
        <v>0</v>
      </c>
      <c r="HZ151" s="1319">
        <f t="shared" ca="1" si="1316"/>
        <v>0</v>
      </c>
      <c r="IA151" s="1319">
        <f t="shared" ca="1" si="1316"/>
        <v>0</v>
      </c>
      <c r="IB151" s="1319">
        <f t="shared" ca="1" si="1316"/>
        <v>0</v>
      </c>
      <c r="IC151" s="1319">
        <f t="shared" ca="1" si="1316"/>
        <v>0</v>
      </c>
      <c r="ID151" s="1319">
        <f t="shared" ca="1" si="1316"/>
        <v>0</v>
      </c>
      <c r="IE151" s="1319">
        <f t="shared" ca="1" si="1316"/>
        <v>0</v>
      </c>
      <c r="IN151" s="1334"/>
      <c r="IQ151" s="1319">
        <f t="shared" ca="1" si="1317"/>
        <v>0</v>
      </c>
      <c r="IR151" s="1319">
        <f t="shared" ca="1" si="1317"/>
        <v>0</v>
      </c>
      <c r="IS151" s="1319">
        <f t="shared" ca="1" si="1317"/>
        <v>0</v>
      </c>
      <c r="IT151" s="1319">
        <f t="shared" ca="1" si="1317"/>
        <v>0</v>
      </c>
      <c r="IU151" s="1319">
        <f t="shared" ca="1" si="1317"/>
        <v>0</v>
      </c>
      <c r="IV151" s="1319">
        <f t="shared" ca="1" si="1317"/>
        <v>0</v>
      </c>
      <c r="IW151" s="1319">
        <f t="shared" ca="1" si="1317"/>
        <v>0</v>
      </c>
      <c r="IX151" s="1319">
        <f t="shared" ca="1" si="1317"/>
        <v>0</v>
      </c>
      <c r="IY151" s="1319">
        <f t="shared" ca="1" si="1317"/>
        <v>0</v>
      </c>
      <c r="IZ151" s="1319">
        <f t="shared" ca="1" si="1317"/>
        <v>0</v>
      </c>
      <c r="JA151" s="1319">
        <f t="shared" ca="1" si="1317"/>
        <v>0</v>
      </c>
      <c r="JB151" s="1319">
        <f t="shared" ca="1" si="1318"/>
        <v>0</v>
      </c>
      <c r="JC151" s="1319">
        <f t="shared" ca="1" si="1318"/>
        <v>0</v>
      </c>
      <c r="JD151" s="1319">
        <f t="shared" ca="1" si="1318"/>
        <v>0</v>
      </c>
      <c r="JE151" s="1319">
        <f t="shared" ca="1" si="1318"/>
        <v>0</v>
      </c>
      <c r="JF151" s="1319">
        <f t="shared" ca="1" si="1318"/>
        <v>0</v>
      </c>
      <c r="JG151" s="1319">
        <f t="shared" ca="1" si="1318"/>
        <v>0</v>
      </c>
      <c r="JH151" s="1319">
        <f t="shared" ca="1" si="1318"/>
        <v>0</v>
      </c>
      <c r="JQ151" s="1334"/>
      <c r="JT151" s="1319">
        <f t="shared" ca="1" si="1319"/>
        <v>0</v>
      </c>
      <c r="JU151" s="1319">
        <f t="shared" ca="1" si="1319"/>
        <v>0</v>
      </c>
      <c r="JV151" s="1319">
        <f t="shared" ca="1" si="1319"/>
        <v>0</v>
      </c>
      <c r="JW151" s="1319">
        <f t="shared" ca="1" si="1319"/>
        <v>0</v>
      </c>
      <c r="JX151" s="1319">
        <f t="shared" ca="1" si="1319"/>
        <v>0</v>
      </c>
      <c r="JY151" s="1319">
        <f t="shared" ca="1" si="1319"/>
        <v>0</v>
      </c>
      <c r="JZ151" s="1319">
        <f t="shared" ca="1" si="1319"/>
        <v>0</v>
      </c>
      <c r="KA151" s="1319">
        <f t="shared" ca="1" si="1319"/>
        <v>0</v>
      </c>
      <c r="KB151" s="1319">
        <f t="shared" ca="1" si="1319"/>
        <v>0</v>
      </c>
      <c r="KC151" s="1319">
        <f t="shared" ca="1" si="1319"/>
        <v>0</v>
      </c>
      <c r="KI151" s="1334"/>
      <c r="KL151" s="1319">
        <f t="shared" ca="1" si="1320"/>
        <v>0</v>
      </c>
      <c r="KM151" s="1319">
        <f t="shared" ca="1" si="1320"/>
        <v>0</v>
      </c>
      <c r="KN151" s="1319">
        <f t="shared" ca="1" si="1320"/>
        <v>0</v>
      </c>
      <c r="KO151" s="1319">
        <f t="shared" ca="1" si="1320"/>
        <v>0</v>
      </c>
      <c r="KP151" s="1319">
        <f t="shared" ca="1" si="1320"/>
        <v>0</v>
      </c>
      <c r="KQ151" s="1319">
        <f t="shared" ca="1" si="1320"/>
        <v>0</v>
      </c>
      <c r="KR151" s="1319">
        <f t="shared" ca="1" si="1320"/>
        <v>0</v>
      </c>
      <c r="KX151" s="1334"/>
      <c r="LA151" s="1319">
        <f t="shared" ca="1" si="1321"/>
        <v>0</v>
      </c>
      <c r="LB151" s="1319">
        <f t="shared" ca="1" si="1321"/>
        <v>0</v>
      </c>
      <c r="LC151" s="1319">
        <f t="shared" ca="1" si="1321"/>
        <v>0</v>
      </c>
      <c r="LD151" s="1319">
        <f t="shared" ca="1" si="1321"/>
        <v>0</v>
      </c>
      <c r="LE151" s="1319">
        <f t="shared" ca="1" si="1321"/>
        <v>0</v>
      </c>
      <c r="LF151" s="1319">
        <f t="shared" ca="1" si="1321"/>
        <v>0</v>
      </c>
      <c r="LG151" s="1319">
        <f t="shared" ca="1" si="1321"/>
        <v>0</v>
      </c>
      <c r="LH151" s="1319">
        <f t="shared" ca="1" si="1321"/>
        <v>0</v>
      </c>
      <c r="LI151" s="1319">
        <f t="shared" ca="1" si="1321"/>
        <v>0</v>
      </c>
      <c r="LJ151" s="1319">
        <f t="shared" ca="1" si="1321"/>
        <v>0</v>
      </c>
      <c r="LK151" s="1319">
        <f t="shared" ca="1" si="1321"/>
        <v>0</v>
      </c>
      <c r="LT151" s="1334"/>
      <c r="LW151" s="1319">
        <f t="shared" ca="1" si="1322"/>
        <v>0</v>
      </c>
      <c r="LX151" s="1319">
        <f t="shared" ca="1" si="1322"/>
        <v>0</v>
      </c>
      <c r="LY151" s="1319">
        <f t="shared" ca="1" si="1322"/>
        <v>0</v>
      </c>
      <c r="LZ151" s="1319">
        <f t="shared" ca="1" si="1322"/>
        <v>0</v>
      </c>
      <c r="MA151" s="1319">
        <f t="shared" ca="1" si="1322"/>
        <v>0</v>
      </c>
      <c r="MB151" s="1319">
        <f t="shared" ca="1" si="1322"/>
        <v>0</v>
      </c>
      <c r="MC151" s="1319">
        <f t="shared" ca="1" si="1322"/>
        <v>0</v>
      </c>
      <c r="MD151" s="1319">
        <f t="shared" ca="1" si="1322"/>
        <v>0</v>
      </c>
      <c r="ME151" s="1319">
        <f t="shared" ca="1" si="1322"/>
        <v>0</v>
      </c>
      <c r="MF151" s="1319">
        <f t="shared" ca="1" si="1322"/>
        <v>0</v>
      </c>
      <c r="MG151" s="1319">
        <f t="shared" ca="1" si="1323"/>
        <v>0</v>
      </c>
      <c r="MH151" s="1319">
        <f t="shared" ca="1" si="1323"/>
        <v>0</v>
      </c>
      <c r="MI151" s="1319">
        <f t="shared" ca="1" si="1323"/>
        <v>0</v>
      </c>
      <c r="MJ151" s="1319">
        <f t="shared" ca="1" si="1323"/>
        <v>0</v>
      </c>
      <c r="MK151" s="1319">
        <f t="shared" ca="1" si="1323"/>
        <v>0</v>
      </c>
      <c r="ML151" s="1319">
        <f t="shared" ca="1" si="1323"/>
        <v>0</v>
      </c>
      <c r="MM151" s="1319">
        <f t="shared" ca="1" si="1323"/>
        <v>0</v>
      </c>
      <c r="MN151" s="1319">
        <f t="shared" ca="1" si="1323"/>
        <v>0</v>
      </c>
      <c r="MO151" s="1319">
        <f t="shared" ca="1" si="1323"/>
        <v>0</v>
      </c>
      <c r="MX151" s="1334"/>
      <c r="NA151" s="1319">
        <f t="shared" ca="1" si="1324"/>
        <v>0</v>
      </c>
      <c r="NB151" s="1319">
        <f t="shared" ca="1" si="1324"/>
        <v>0</v>
      </c>
      <c r="NC151" s="1319">
        <f t="shared" ca="1" si="1324"/>
        <v>0</v>
      </c>
      <c r="ND151" s="1319">
        <f t="shared" ca="1" si="1324"/>
        <v>0</v>
      </c>
      <c r="NE151" s="1319">
        <f t="shared" ca="1" si="1324"/>
        <v>0</v>
      </c>
      <c r="NF151" s="1319">
        <f t="shared" ca="1" si="1324"/>
        <v>0</v>
      </c>
      <c r="NG151" s="1319">
        <f t="shared" ca="1" si="1324"/>
        <v>0</v>
      </c>
      <c r="NH151" s="1319">
        <f t="shared" ca="1" si="1324"/>
        <v>0</v>
      </c>
      <c r="NI151" s="1319">
        <f t="shared" ca="1" si="1324"/>
        <v>0</v>
      </c>
      <c r="NJ151" s="1319">
        <f t="shared" ca="1" si="1324"/>
        <v>0</v>
      </c>
      <c r="NK151" s="1319">
        <f t="shared" ca="1" si="1324"/>
        <v>0</v>
      </c>
      <c r="NL151" s="1319">
        <f t="shared" ca="1" si="1324"/>
        <v>0</v>
      </c>
      <c r="NM151" s="1319">
        <f t="shared" ca="1" si="1324"/>
        <v>0</v>
      </c>
      <c r="NN151" s="1319">
        <f t="shared" ca="1" si="1324"/>
        <v>0</v>
      </c>
      <c r="NO151" s="1319">
        <f t="shared" ca="1" si="1324"/>
        <v>0</v>
      </c>
      <c r="NP151" s="1319">
        <f t="shared" ca="1" si="1324"/>
        <v>0</v>
      </c>
      <c r="NY151" s="1334"/>
      <c r="OE151" s="1334"/>
      <c r="OH151" s="1319">
        <f t="shared" ca="1" si="1325"/>
        <v>0</v>
      </c>
      <c r="OI151" s="1319">
        <f t="shared" ca="1" si="1325"/>
        <v>0</v>
      </c>
      <c r="OJ151" s="1319">
        <f t="shared" ca="1" si="1325"/>
        <v>0</v>
      </c>
      <c r="OK151" s="1319">
        <f t="shared" ca="1" si="1325"/>
        <v>0</v>
      </c>
      <c r="OL151" s="1319">
        <f t="shared" ca="1" si="1325"/>
        <v>0</v>
      </c>
      <c r="OM151" s="1319">
        <f t="shared" ca="1" si="1325"/>
        <v>0</v>
      </c>
      <c r="ON151" s="1319">
        <f t="shared" ca="1" si="1325"/>
        <v>0</v>
      </c>
      <c r="OO151" s="1319">
        <f t="shared" ca="1" si="1325"/>
        <v>0</v>
      </c>
      <c r="OX151" s="1334"/>
      <c r="PA151" s="1319">
        <f t="shared" ca="1" si="1326"/>
        <v>0</v>
      </c>
      <c r="PB151" s="1319">
        <f t="shared" ca="1" si="1326"/>
        <v>0</v>
      </c>
      <c r="PC151" s="1319">
        <f t="shared" ca="1" si="1326"/>
        <v>0</v>
      </c>
      <c r="PD151" s="1319">
        <f t="shared" ca="1" si="1326"/>
        <v>0</v>
      </c>
      <c r="PE151" s="1319">
        <f t="shared" ca="1" si="1326"/>
        <v>0</v>
      </c>
      <c r="PF151" s="1319">
        <f t="shared" ca="1" si="1326"/>
        <v>0</v>
      </c>
      <c r="PG151" s="1319">
        <f t="shared" ca="1" si="1326"/>
        <v>0</v>
      </c>
      <c r="PH151" s="1319">
        <f t="shared" ca="1" si="1326"/>
        <v>0</v>
      </c>
      <c r="PI151" s="1319">
        <f t="shared" ca="1" si="1326"/>
        <v>0</v>
      </c>
      <c r="PJ151" s="1319">
        <f t="shared" ca="1" si="1326"/>
        <v>0</v>
      </c>
      <c r="PK151" s="1319">
        <f t="shared" ca="1" si="1326"/>
        <v>0</v>
      </c>
      <c r="PT151" s="1334"/>
      <c r="PW151" s="1319">
        <f t="shared" ca="1" si="1305"/>
        <v>0</v>
      </c>
      <c r="PX151" s="1319">
        <f t="shared" ca="1" si="1305"/>
        <v>0</v>
      </c>
      <c r="PY151" s="1319">
        <f t="shared" ca="1" si="1305"/>
        <v>0</v>
      </c>
      <c r="PZ151" s="1319">
        <f t="shared" ca="1" si="1305"/>
        <v>0</v>
      </c>
    </row>
    <row r="152" spans="1:442" x14ac:dyDescent="0.25">
      <c r="A152" s="189">
        <v>41</v>
      </c>
      <c r="B152" s="189" t="s">
        <v>1256</v>
      </c>
      <c r="C152" s="1317" t="s">
        <v>1292</v>
      </c>
      <c r="D152" s="1317" t="s">
        <v>206</v>
      </c>
      <c r="E152" s="1318">
        <v>30.006139999999998</v>
      </c>
      <c r="F152" s="1316">
        <v>-1.3630935320000001E-2</v>
      </c>
      <c r="G152" s="1334"/>
      <c r="J152" s="1319">
        <f t="shared" ca="1" si="1283"/>
        <v>0</v>
      </c>
      <c r="K152" s="1319">
        <f t="shared" ca="1" si="1283"/>
        <v>0</v>
      </c>
      <c r="Q152" s="1334"/>
      <c r="T152" s="1319">
        <f t="shared" ca="1" si="1306"/>
        <v>0</v>
      </c>
      <c r="U152" s="1319">
        <f t="shared" ca="1" si="1306"/>
        <v>0</v>
      </c>
      <c r="V152" s="1319">
        <f t="shared" ca="1" si="1306"/>
        <v>0</v>
      </c>
      <c r="W152" s="1319">
        <f t="shared" ca="1" si="1306"/>
        <v>0</v>
      </c>
      <c r="X152" s="1319">
        <f t="shared" ca="1" si="1306"/>
        <v>0</v>
      </c>
      <c r="Y152" s="1319">
        <f t="shared" ca="1" si="1306"/>
        <v>0</v>
      </c>
      <c r="Z152" s="1319">
        <f t="shared" ca="1" si="1306"/>
        <v>0</v>
      </c>
      <c r="AA152" s="1319">
        <f t="shared" ca="1" si="1306"/>
        <v>0</v>
      </c>
      <c r="AB152" s="1319">
        <f t="shared" ca="1" si="1306"/>
        <v>0</v>
      </c>
      <c r="AC152" s="1319">
        <f t="shared" ca="1" si="1306"/>
        <v>0</v>
      </c>
      <c r="AD152" s="1319">
        <f t="shared" ca="1" si="1306"/>
        <v>0</v>
      </c>
      <c r="AJ152" s="1334"/>
      <c r="AM152" s="1319">
        <f t="shared" ca="1" si="1307"/>
        <v>0</v>
      </c>
      <c r="AN152" s="1319">
        <f t="shared" ca="1" si="1307"/>
        <v>0</v>
      </c>
      <c r="AO152" s="1319">
        <f t="shared" ca="1" si="1307"/>
        <v>0</v>
      </c>
      <c r="AP152" s="1319">
        <f t="shared" ca="1" si="1307"/>
        <v>0</v>
      </c>
      <c r="AQ152" s="1319">
        <f t="shared" ca="1" si="1307"/>
        <v>0</v>
      </c>
      <c r="AR152" s="1319">
        <f t="shared" ca="1" si="1307"/>
        <v>0</v>
      </c>
      <c r="AS152" s="1319">
        <f t="shared" ca="1" si="1307"/>
        <v>0</v>
      </c>
      <c r="AT152" s="1319">
        <f t="shared" ca="1" si="1307"/>
        <v>0</v>
      </c>
      <c r="AU152" s="1319">
        <f t="shared" ca="1" si="1307"/>
        <v>0</v>
      </c>
      <c r="AV152" s="1319">
        <f t="shared" ca="1" si="1307"/>
        <v>0</v>
      </c>
      <c r="AW152" s="1319">
        <f t="shared" ca="1" si="1307"/>
        <v>0</v>
      </c>
      <c r="AX152" s="1319">
        <f t="shared" ca="1" si="1307"/>
        <v>0</v>
      </c>
      <c r="AY152" s="1319">
        <f t="shared" ca="1" si="1307"/>
        <v>0</v>
      </c>
      <c r="AZ152" s="1319">
        <f t="shared" ca="1" si="1307"/>
        <v>0</v>
      </c>
      <c r="BA152" s="1319">
        <f t="shared" ca="1" si="1307"/>
        <v>0</v>
      </c>
      <c r="BB152" s="1319">
        <f t="shared" ca="1" si="1307"/>
        <v>0</v>
      </c>
      <c r="BK152" s="1334"/>
      <c r="BN152" s="1319">
        <f t="shared" ca="1" si="1308"/>
        <v>0</v>
      </c>
      <c r="BO152" s="1319">
        <f t="shared" ca="1" si="1308"/>
        <v>0</v>
      </c>
      <c r="BP152" s="1319">
        <f t="shared" ca="1" si="1308"/>
        <v>0</v>
      </c>
      <c r="BQ152" s="1319">
        <f t="shared" ca="1" si="1308"/>
        <v>0</v>
      </c>
      <c r="BR152" s="1319">
        <f t="shared" ca="1" si="1308"/>
        <v>0</v>
      </c>
      <c r="CA152" s="1334"/>
      <c r="CD152" s="1319">
        <f t="shared" ca="1" si="1309"/>
        <v>0</v>
      </c>
      <c r="CE152" s="1319">
        <f t="shared" ca="1" si="1309"/>
        <v>0</v>
      </c>
      <c r="CF152" s="1319">
        <f t="shared" ca="1" si="1309"/>
        <v>0</v>
      </c>
      <c r="CG152" s="1319">
        <f t="shared" ca="1" si="1309"/>
        <v>0</v>
      </c>
      <c r="CH152" s="1319">
        <f t="shared" ca="1" si="1309"/>
        <v>0</v>
      </c>
      <c r="CI152" s="1319">
        <f t="shared" ca="1" si="1309"/>
        <v>0</v>
      </c>
      <c r="CJ152" s="1319">
        <f t="shared" ca="1" si="1309"/>
        <v>0</v>
      </c>
      <c r="CK152" s="1319">
        <f t="shared" ca="1" si="1309"/>
        <v>0</v>
      </c>
      <c r="CL152" s="1319">
        <f t="shared" ca="1" si="1309"/>
        <v>0</v>
      </c>
      <c r="CM152" s="1319">
        <f t="shared" ca="1" si="1309"/>
        <v>0</v>
      </c>
      <c r="CN152" s="1319">
        <f t="shared" ca="1" si="1309"/>
        <v>0</v>
      </c>
      <c r="CO152" s="1319">
        <f t="shared" ca="1" si="1309"/>
        <v>0</v>
      </c>
      <c r="CX152" s="1334"/>
      <c r="DA152" s="1319">
        <f t="shared" ca="1" si="1310"/>
        <v>0</v>
      </c>
      <c r="DB152" s="1319">
        <f t="shared" ca="1" si="1310"/>
        <v>0</v>
      </c>
      <c r="DC152" s="1319">
        <f t="shared" ca="1" si="1310"/>
        <v>0</v>
      </c>
      <c r="DD152" s="1319">
        <f t="shared" ca="1" si="1310"/>
        <v>0</v>
      </c>
      <c r="DE152" s="1319">
        <f t="shared" ca="1" si="1310"/>
        <v>0</v>
      </c>
      <c r="DF152" s="1319">
        <f t="shared" ca="1" si="1310"/>
        <v>0</v>
      </c>
      <c r="DG152" s="1319">
        <f t="shared" ca="1" si="1310"/>
        <v>0</v>
      </c>
      <c r="DH152" s="1319">
        <f t="shared" ca="1" si="1310"/>
        <v>0</v>
      </c>
      <c r="DI152" s="1319">
        <f t="shared" ca="1" si="1310"/>
        <v>0</v>
      </c>
      <c r="DJ152" s="1319">
        <f t="shared" ca="1" si="1310"/>
        <v>0</v>
      </c>
      <c r="DS152" s="1334"/>
      <c r="DV152" s="1319">
        <f t="shared" ca="1" si="1311"/>
        <v>0</v>
      </c>
      <c r="DW152" s="1319">
        <f t="shared" ca="1" si="1311"/>
        <v>0</v>
      </c>
      <c r="DX152" s="1319">
        <f t="shared" ca="1" si="1311"/>
        <v>0</v>
      </c>
      <c r="DY152" s="1319">
        <f t="shared" ca="1" si="1311"/>
        <v>0</v>
      </c>
      <c r="DZ152" s="1319">
        <f t="shared" ca="1" si="1311"/>
        <v>0</v>
      </c>
      <c r="EA152" s="1319">
        <f t="shared" ca="1" si="1311"/>
        <v>0</v>
      </c>
      <c r="EB152" s="1319">
        <f t="shared" ca="1" si="1311"/>
        <v>0</v>
      </c>
      <c r="EC152" s="1319">
        <f t="shared" ca="1" si="1311"/>
        <v>0</v>
      </c>
      <c r="ED152" s="1319">
        <f t="shared" ca="1" si="1311"/>
        <v>0</v>
      </c>
      <c r="EE152" s="1319">
        <f t="shared" ca="1" si="1311"/>
        <v>0</v>
      </c>
      <c r="EF152" s="1319">
        <f t="shared" ca="1" si="1311"/>
        <v>0</v>
      </c>
      <c r="EG152" s="1319">
        <f t="shared" ca="1" si="1311"/>
        <v>0</v>
      </c>
      <c r="EH152" s="1319">
        <f t="shared" ca="1" si="1311"/>
        <v>0</v>
      </c>
      <c r="EI152" s="1319">
        <f t="shared" ca="1" si="1311"/>
        <v>0</v>
      </c>
      <c r="EJ152" s="1319">
        <f t="shared" ca="1" si="1311"/>
        <v>0</v>
      </c>
      <c r="EK152" s="1319">
        <f t="shared" ca="1" si="1311"/>
        <v>0</v>
      </c>
      <c r="ET152" s="1334"/>
      <c r="EW152" s="1319">
        <f t="shared" ca="1" si="1312"/>
        <v>0</v>
      </c>
      <c r="EX152" s="1319">
        <f t="shared" ca="1" si="1312"/>
        <v>0</v>
      </c>
      <c r="EY152" s="1319">
        <f t="shared" ca="1" si="1312"/>
        <v>0</v>
      </c>
      <c r="EZ152" s="1319">
        <f t="shared" ca="1" si="1312"/>
        <v>0</v>
      </c>
      <c r="FA152" s="1319">
        <f t="shared" ca="1" si="1312"/>
        <v>0</v>
      </c>
      <c r="FB152" s="1319">
        <f t="shared" ca="1" si="1312"/>
        <v>0</v>
      </c>
      <c r="FK152" s="1334"/>
      <c r="FN152" s="1319">
        <f t="shared" ca="1" si="1313"/>
        <v>0</v>
      </c>
      <c r="FO152" s="1319">
        <f t="shared" ca="1" si="1313"/>
        <v>0</v>
      </c>
      <c r="FP152" s="1319">
        <f t="shared" ca="1" si="1313"/>
        <v>0</v>
      </c>
      <c r="FQ152" s="1319">
        <f t="shared" ca="1" si="1313"/>
        <v>0</v>
      </c>
      <c r="FR152" s="1319">
        <f t="shared" ca="1" si="1313"/>
        <v>0</v>
      </c>
      <c r="FS152" s="1319">
        <f t="shared" ca="1" si="1313"/>
        <v>0</v>
      </c>
      <c r="FT152" s="1319">
        <f t="shared" ca="1" si="1313"/>
        <v>0</v>
      </c>
      <c r="FU152" s="1319">
        <f t="shared" ca="1" si="1313"/>
        <v>0</v>
      </c>
      <c r="FV152" s="1319">
        <f t="shared" ca="1" si="1313"/>
        <v>0</v>
      </c>
      <c r="FW152" s="1319">
        <f t="shared" ca="1" si="1313"/>
        <v>0</v>
      </c>
      <c r="FX152" s="1319">
        <f t="shared" ca="1" si="1313"/>
        <v>0</v>
      </c>
      <c r="GG152" s="1334"/>
      <c r="GJ152" s="1319">
        <f t="shared" ca="1" si="1314"/>
        <v>0</v>
      </c>
      <c r="GK152" s="1319">
        <f t="shared" ca="1" si="1314"/>
        <v>0</v>
      </c>
      <c r="GL152" s="1319">
        <f t="shared" ca="1" si="1314"/>
        <v>0</v>
      </c>
      <c r="GM152" s="1319">
        <f t="shared" ca="1" si="1314"/>
        <v>0</v>
      </c>
      <c r="GN152" s="1319">
        <f t="shared" ca="1" si="1314"/>
        <v>0</v>
      </c>
      <c r="GO152" s="1319">
        <f t="shared" ca="1" si="1314"/>
        <v>0</v>
      </c>
      <c r="GP152" s="1319">
        <f t="shared" ca="1" si="1314"/>
        <v>0</v>
      </c>
      <c r="GQ152" s="1319">
        <f t="shared" ca="1" si="1314"/>
        <v>0</v>
      </c>
      <c r="GZ152" s="1334"/>
      <c r="HC152" s="1319">
        <f t="shared" ca="1" si="1315"/>
        <v>0</v>
      </c>
      <c r="HD152" s="1319">
        <f t="shared" ca="1" si="1315"/>
        <v>0</v>
      </c>
      <c r="HE152" s="1319">
        <f t="shared" ca="1" si="1315"/>
        <v>0</v>
      </c>
      <c r="HF152" s="1319">
        <f t="shared" ca="1" si="1315"/>
        <v>0</v>
      </c>
      <c r="HG152" s="1319">
        <f t="shared" ca="1" si="1315"/>
        <v>0</v>
      </c>
      <c r="HH152" s="1319">
        <f t="shared" ca="1" si="1315"/>
        <v>0</v>
      </c>
      <c r="HQ152" s="1334"/>
      <c r="HT152" s="1319">
        <f t="shared" ca="1" si="1316"/>
        <v>0</v>
      </c>
      <c r="HU152" s="1319">
        <f t="shared" ca="1" si="1316"/>
        <v>0</v>
      </c>
      <c r="HV152" s="1319">
        <f t="shared" ca="1" si="1316"/>
        <v>0</v>
      </c>
      <c r="HW152" s="1319">
        <f t="shared" ca="1" si="1316"/>
        <v>0</v>
      </c>
      <c r="HX152" s="1319">
        <f t="shared" ca="1" si="1316"/>
        <v>0</v>
      </c>
      <c r="HY152" s="1319">
        <f t="shared" ca="1" si="1316"/>
        <v>0</v>
      </c>
      <c r="HZ152" s="1319">
        <f t="shared" ca="1" si="1316"/>
        <v>0</v>
      </c>
      <c r="IA152" s="1319">
        <f t="shared" ca="1" si="1316"/>
        <v>0</v>
      </c>
      <c r="IB152" s="1319">
        <f t="shared" ca="1" si="1316"/>
        <v>0</v>
      </c>
      <c r="IC152" s="1319">
        <f t="shared" ca="1" si="1316"/>
        <v>0</v>
      </c>
      <c r="ID152" s="1319">
        <f t="shared" ca="1" si="1316"/>
        <v>0</v>
      </c>
      <c r="IE152" s="1319">
        <f t="shared" ca="1" si="1316"/>
        <v>0</v>
      </c>
      <c r="IN152" s="1334"/>
      <c r="IQ152" s="1319">
        <f t="shared" ca="1" si="1317"/>
        <v>0</v>
      </c>
      <c r="IR152" s="1319">
        <f t="shared" ca="1" si="1317"/>
        <v>0</v>
      </c>
      <c r="IS152" s="1319">
        <f t="shared" ca="1" si="1317"/>
        <v>0</v>
      </c>
      <c r="IT152" s="1319">
        <f t="shared" ca="1" si="1317"/>
        <v>0</v>
      </c>
      <c r="IU152" s="1319">
        <f t="shared" ca="1" si="1317"/>
        <v>0</v>
      </c>
      <c r="IV152" s="1319">
        <f t="shared" ca="1" si="1317"/>
        <v>0</v>
      </c>
      <c r="IW152" s="1319">
        <f t="shared" ca="1" si="1317"/>
        <v>0</v>
      </c>
      <c r="IX152" s="1319">
        <f t="shared" ca="1" si="1317"/>
        <v>0</v>
      </c>
      <c r="IY152" s="1319">
        <f t="shared" ca="1" si="1317"/>
        <v>0</v>
      </c>
      <c r="IZ152" s="1319">
        <f t="shared" ca="1" si="1317"/>
        <v>0</v>
      </c>
      <c r="JA152" s="1319">
        <f t="shared" ca="1" si="1317"/>
        <v>0</v>
      </c>
      <c r="JB152" s="1319">
        <f t="shared" ca="1" si="1318"/>
        <v>0</v>
      </c>
      <c r="JC152" s="1319">
        <f t="shared" ca="1" si="1318"/>
        <v>0</v>
      </c>
      <c r="JD152" s="1319">
        <f t="shared" ca="1" si="1318"/>
        <v>0</v>
      </c>
      <c r="JE152" s="1319">
        <f t="shared" ca="1" si="1318"/>
        <v>0</v>
      </c>
      <c r="JF152" s="1319">
        <f t="shared" ca="1" si="1318"/>
        <v>0</v>
      </c>
      <c r="JG152" s="1319">
        <f t="shared" ca="1" si="1318"/>
        <v>0</v>
      </c>
      <c r="JH152" s="1319">
        <f t="shared" ca="1" si="1318"/>
        <v>0</v>
      </c>
      <c r="JQ152" s="1334"/>
      <c r="JT152" s="1319">
        <f t="shared" ca="1" si="1319"/>
        <v>0</v>
      </c>
      <c r="JU152" s="1319">
        <f t="shared" ca="1" si="1319"/>
        <v>0</v>
      </c>
      <c r="JV152" s="1319">
        <f t="shared" ca="1" si="1319"/>
        <v>0</v>
      </c>
      <c r="JW152" s="1319">
        <f t="shared" ca="1" si="1319"/>
        <v>0</v>
      </c>
      <c r="JX152" s="1319">
        <f t="shared" ca="1" si="1319"/>
        <v>0</v>
      </c>
      <c r="JY152" s="1319">
        <f t="shared" ca="1" si="1319"/>
        <v>0</v>
      </c>
      <c r="JZ152" s="1319">
        <f t="shared" ca="1" si="1319"/>
        <v>0</v>
      </c>
      <c r="KA152" s="1319">
        <f t="shared" ca="1" si="1319"/>
        <v>0</v>
      </c>
      <c r="KB152" s="1319">
        <f t="shared" ca="1" si="1319"/>
        <v>0</v>
      </c>
      <c r="KC152" s="1319">
        <f t="shared" ca="1" si="1319"/>
        <v>0</v>
      </c>
      <c r="KI152" s="1334"/>
      <c r="KL152" s="1319">
        <f t="shared" ca="1" si="1320"/>
        <v>0</v>
      </c>
      <c r="KM152" s="1319">
        <f t="shared" ca="1" si="1320"/>
        <v>0</v>
      </c>
      <c r="KN152" s="1319">
        <f t="shared" ca="1" si="1320"/>
        <v>0</v>
      </c>
      <c r="KO152" s="1319">
        <f t="shared" ca="1" si="1320"/>
        <v>0</v>
      </c>
      <c r="KP152" s="1319">
        <f t="shared" ca="1" si="1320"/>
        <v>0</v>
      </c>
      <c r="KQ152" s="1319">
        <f t="shared" ca="1" si="1320"/>
        <v>0</v>
      </c>
      <c r="KR152" s="1319">
        <f t="shared" ca="1" si="1320"/>
        <v>0</v>
      </c>
      <c r="KX152" s="1334"/>
      <c r="LA152" s="1319">
        <f t="shared" ca="1" si="1321"/>
        <v>0</v>
      </c>
      <c r="LB152" s="1319">
        <f t="shared" ca="1" si="1321"/>
        <v>0</v>
      </c>
      <c r="LC152" s="1319">
        <f t="shared" ca="1" si="1321"/>
        <v>0</v>
      </c>
      <c r="LD152" s="1319">
        <f t="shared" ca="1" si="1321"/>
        <v>0</v>
      </c>
      <c r="LE152" s="1319">
        <f t="shared" ca="1" si="1321"/>
        <v>0</v>
      </c>
      <c r="LF152" s="1319">
        <f t="shared" ca="1" si="1321"/>
        <v>0</v>
      </c>
      <c r="LG152" s="1319">
        <f t="shared" ca="1" si="1321"/>
        <v>0</v>
      </c>
      <c r="LH152" s="1319">
        <f t="shared" ca="1" si="1321"/>
        <v>0</v>
      </c>
      <c r="LI152" s="1319">
        <f t="shared" ca="1" si="1321"/>
        <v>0</v>
      </c>
      <c r="LJ152" s="1319">
        <f t="shared" ca="1" si="1321"/>
        <v>0</v>
      </c>
      <c r="LK152" s="1319">
        <f t="shared" ca="1" si="1321"/>
        <v>0</v>
      </c>
      <c r="LT152" s="1334"/>
      <c r="LW152" s="1319">
        <f t="shared" ca="1" si="1322"/>
        <v>0</v>
      </c>
      <c r="LX152" s="1319">
        <f t="shared" ca="1" si="1322"/>
        <v>0</v>
      </c>
      <c r="LY152" s="1319">
        <f t="shared" ca="1" si="1322"/>
        <v>0</v>
      </c>
      <c r="LZ152" s="1319">
        <f t="shared" ca="1" si="1322"/>
        <v>0</v>
      </c>
      <c r="MA152" s="1319">
        <f t="shared" ca="1" si="1322"/>
        <v>0</v>
      </c>
      <c r="MB152" s="1319">
        <f t="shared" ca="1" si="1322"/>
        <v>0</v>
      </c>
      <c r="MC152" s="1319">
        <f t="shared" ca="1" si="1322"/>
        <v>0</v>
      </c>
      <c r="MD152" s="1319">
        <f t="shared" ca="1" si="1322"/>
        <v>0</v>
      </c>
      <c r="ME152" s="1319">
        <f t="shared" ca="1" si="1322"/>
        <v>0</v>
      </c>
      <c r="MF152" s="1319">
        <f t="shared" ca="1" si="1322"/>
        <v>0</v>
      </c>
      <c r="MG152" s="1319">
        <f t="shared" ca="1" si="1323"/>
        <v>0</v>
      </c>
      <c r="MH152" s="1319">
        <f t="shared" ca="1" si="1323"/>
        <v>0</v>
      </c>
      <c r="MI152" s="1319">
        <f t="shared" ca="1" si="1323"/>
        <v>0</v>
      </c>
      <c r="MJ152" s="1319">
        <f t="shared" ca="1" si="1323"/>
        <v>0</v>
      </c>
      <c r="MK152" s="1319">
        <f t="shared" ca="1" si="1323"/>
        <v>0</v>
      </c>
      <c r="ML152" s="1319">
        <f t="shared" ca="1" si="1323"/>
        <v>0</v>
      </c>
      <c r="MM152" s="1319">
        <f t="shared" ca="1" si="1323"/>
        <v>0</v>
      </c>
      <c r="MN152" s="1319">
        <f t="shared" ca="1" si="1323"/>
        <v>0</v>
      </c>
      <c r="MO152" s="1319">
        <f t="shared" ca="1" si="1323"/>
        <v>0</v>
      </c>
      <c r="MX152" s="1334"/>
      <c r="NA152" s="1319">
        <f t="shared" ca="1" si="1324"/>
        <v>0</v>
      </c>
      <c r="NB152" s="1319">
        <f t="shared" ca="1" si="1324"/>
        <v>0</v>
      </c>
      <c r="NC152" s="1319">
        <f t="shared" ca="1" si="1324"/>
        <v>0</v>
      </c>
      <c r="ND152" s="1319">
        <f t="shared" ca="1" si="1324"/>
        <v>0</v>
      </c>
      <c r="NE152" s="1319">
        <f t="shared" ca="1" si="1324"/>
        <v>0</v>
      </c>
      <c r="NF152" s="1319">
        <f t="shared" ca="1" si="1324"/>
        <v>0</v>
      </c>
      <c r="NG152" s="1319">
        <f t="shared" ca="1" si="1324"/>
        <v>0</v>
      </c>
      <c r="NH152" s="1319">
        <f t="shared" ca="1" si="1324"/>
        <v>0</v>
      </c>
      <c r="NI152" s="1319">
        <f t="shared" ca="1" si="1324"/>
        <v>0</v>
      </c>
      <c r="NJ152" s="1319">
        <f t="shared" ca="1" si="1324"/>
        <v>0</v>
      </c>
      <c r="NK152" s="1319">
        <f t="shared" ca="1" si="1324"/>
        <v>0</v>
      </c>
      <c r="NL152" s="1319">
        <f t="shared" ca="1" si="1324"/>
        <v>0</v>
      </c>
      <c r="NM152" s="1319">
        <f t="shared" ca="1" si="1324"/>
        <v>0</v>
      </c>
      <c r="NN152" s="1319">
        <f t="shared" ca="1" si="1324"/>
        <v>0</v>
      </c>
      <c r="NO152" s="1319">
        <f t="shared" ca="1" si="1324"/>
        <v>0</v>
      </c>
      <c r="NP152" s="1319">
        <f t="shared" ca="1" si="1324"/>
        <v>0</v>
      </c>
      <c r="NY152" s="1334"/>
      <c r="OE152" s="1334"/>
      <c r="OH152" s="1319">
        <f t="shared" ca="1" si="1325"/>
        <v>0</v>
      </c>
      <c r="OI152" s="1319">
        <f t="shared" ca="1" si="1325"/>
        <v>0</v>
      </c>
      <c r="OJ152" s="1319">
        <f t="shared" ca="1" si="1325"/>
        <v>0</v>
      </c>
      <c r="OK152" s="1319">
        <f t="shared" ca="1" si="1325"/>
        <v>0</v>
      </c>
      <c r="OL152" s="1319">
        <f t="shared" ca="1" si="1325"/>
        <v>0</v>
      </c>
      <c r="OM152" s="1319">
        <f t="shared" ca="1" si="1325"/>
        <v>0</v>
      </c>
      <c r="ON152" s="1319">
        <f t="shared" ca="1" si="1325"/>
        <v>0</v>
      </c>
      <c r="OO152" s="1319">
        <f t="shared" ca="1" si="1325"/>
        <v>0</v>
      </c>
      <c r="OX152" s="1334"/>
      <c r="PA152" s="1319">
        <f t="shared" ca="1" si="1326"/>
        <v>0</v>
      </c>
      <c r="PB152" s="1319">
        <f t="shared" ca="1" si="1326"/>
        <v>0</v>
      </c>
      <c r="PC152" s="1319">
        <f t="shared" ca="1" si="1326"/>
        <v>0</v>
      </c>
      <c r="PD152" s="1319">
        <f t="shared" ca="1" si="1326"/>
        <v>0</v>
      </c>
      <c r="PE152" s="1319">
        <f t="shared" ca="1" si="1326"/>
        <v>0</v>
      </c>
      <c r="PF152" s="1319">
        <f t="shared" ca="1" si="1326"/>
        <v>0</v>
      </c>
      <c r="PG152" s="1319">
        <f t="shared" ca="1" si="1326"/>
        <v>0</v>
      </c>
      <c r="PH152" s="1319">
        <f t="shared" ca="1" si="1326"/>
        <v>0</v>
      </c>
      <c r="PI152" s="1319">
        <f t="shared" ca="1" si="1326"/>
        <v>0</v>
      </c>
      <c r="PJ152" s="1319">
        <f t="shared" ca="1" si="1326"/>
        <v>0</v>
      </c>
      <c r="PK152" s="1319">
        <f t="shared" ca="1" si="1326"/>
        <v>0</v>
      </c>
      <c r="PT152" s="1334"/>
      <c r="PW152" s="1319">
        <f t="shared" ca="1" si="1305"/>
        <v>0</v>
      </c>
      <c r="PX152" s="1319">
        <f t="shared" ca="1" si="1305"/>
        <v>0</v>
      </c>
      <c r="PY152" s="1319">
        <f t="shared" ca="1" si="1305"/>
        <v>0</v>
      </c>
      <c r="PZ152" s="1319">
        <f t="shared" ca="1" si="1305"/>
        <v>0</v>
      </c>
    </row>
    <row r="153" spans="1:442" x14ac:dyDescent="0.25">
      <c r="A153" s="189">
        <v>42</v>
      </c>
      <c r="B153" s="189" t="s">
        <v>1256</v>
      </c>
      <c r="C153" s="1317" t="s">
        <v>1293</v>
      </c>
      <c r="D153" s="1317" t="s">
        <v>206</v>
      </c>
      <c r="E153" s="1318">
        <v>46.005540000000003</v>
      </c>
      <c r="F153" s="1316">
        <v>0</v>
      </c>
      <c r="G153" s="1334"/>
      <c r="J153" s="1319">
        <f t="shared" ca="1" si="1283"/>
        <v>0</v>
      </c>
      <c r="K153" s="1319">
        <f t="shared" ca="1" si="1283"/>
        <v>0</v>
      </c>
      <c r="Q153" s="1334"/>
      <c r="T153" s="1319">
        <f t="shared" ca="1" si="1306"/>
        <v>0</v>
      </c>
      <c r="U153" s="1319">
        <f t="shared" ca="1" si="1306"/>
        <v>0</v>
      </c>
      <c r="V153" s="1319">
        <f t="shared" ca="1" si="1306"/>
        <v>0</v>
      </c>
      <c r="W153" s="1319">
        <f t="shared" ca="1" si="1306"/>
        <v>0</v>
      </c>
      <c r="X153" s="1319">
        <f t="shared" ca="1" si="1306"/>
        <v>0</v>
      </c>
      <c r="Y153" s="1319">
        <f t="shared" ca="1" si="1306"/>
        <v>0</v>
      </c>
      <c r="Z153" s="1319">
        <f t="shared" ca="1" si="1306"/>
        <v>0</v>
      </c>
      <c r="AA153" s="1319">
        <f t="shared" ca="1" si="1306"/>
        <v>0</v>
      </c>
      <c r="AB153" s="1319">
        <f t="shared" ca="1" si="1306"/>
        <v>0</v>
      </c>
      <c r="AC153" s="1319">
        <f t="shared" ca="1" si="1306"/>
        <v>0</v>
      </c>
      <c r="AD153" s="1319">
        <f t="shared" ca="1" si="1306"/>
        <v>0</v>
      </c>
      <c r="AJ153" s="1334"/>
      <c r="AM153" s="1319">
        <f t="shared" ca="1" si="1307"/>
        <v>0</v>
      </c>
      <c r="AN153" s="1319">
        <f t="shared" ca="1" si="1307"/>
        <v>0</v>
      </c>
      <c r="AO153" s="1319">
        <f t="shared" ca="1" si="1307"/>
        <v>0</v>
      </c>
      <c r="AP153" s="1319">
        <f t="shared" ca="1" si="1307"/>
        <v>0</v>
      </c>
      <c r="AQ153" s="1319">
        <f t="shared" ca="1" si="1307"/>
        <v>0</v>
      </c>
      <c r="AR153" s="1319">
        <f t="shared" ca="1" si="1307"/>
        <v>0</v>
      </c>
      <c r="AS153" s="1319">
        <f t="shared" ca="1" si="1307"/>
        <v>0</v>
      </c>
      <c r="AT153" s="1319">
        <f t="shared" ca="1" si="1307"/>
        <v>0</v>
      </c>
      <c r="AU153" s="1319">
        <f t="shared" ca="1" si="1307"/>
        <v>0</v>
      </c>
      <c r="AV153" s="1319">
        <f t="shared" ca="1" si="1307"/>
        <v>0</v>
      </c>
      <c r="AW153" s="1319">
        <f t="shared" ca="1" si="1307"/>
        <v>0</v>
      </c>
      <c r="AX153" s="1319">
        <f t="shared" ca="1" si="1307"/>
        <v>0</v>
      </c>
      <c r="AY153" s="1319">
        <f t="shared" ca="1" si="1307"/>
        <v>0</v>
      </c>
      <c r="AZ153" s="1319">
        <f t="shared" ca="1" si="1307"/>
        <v>0</v>
      </c>
      <c r="BA153" s="1319">
        <f t="shared" ca="1" si="1307"/>
        <v>0</v>
      </c>
      <c r="BB153" s="1319">
        <f t="shared" ca="1" si="1307"/>
        <v>0</v>
      </c>
      <c r="BK153" s="1334"/>
      <c r="BN153" s="1319">
        <f t="shared" ca="1" si="1308"/>
        <v>0</v>
      </c>
      <c r="BO153" s="1319">
        <f t="shared" ca="1" si="1308"/>
        <v>0</v>
      </c>
      <c r="BP153" s="1319">
        <f t="shared" ca="1" si="1308"/>
        <v>0</v>
      </c>
      <c r="BQ153" s="1319">
        <f t="shared" ca="1" si="1308"/>
        <v>0</v>
      </c>
      <c r="BR153" s="1319">
        <f t="shared" ca="1" si="1308"/>
        <v>0</v>
      </c>
      <c r="CA153" s="1334"/>
      <c r="CD153" s="1319">
        <f t="shared" ca="1" si="1309"/>
        <v>0</v>
      </c>
      <c r="CE153" s="1319">
        <f t="shared" ca="1" si="1309"/>
        <v>0</v>
      </c>
      <c r="CF153" s="1319">
        <f t="shared" ca="1" si="1309"/>
        <v>0</v>
      </c>
      <c r="CG153" s="1319">
        <f t="shared" ca="1" si="1309"/>
        <v>0</v>
      </c>
      <c r="CH153" s="1319">
        <f t="shared" ca="1" si="1309"/>
        <v>0</v>
      </c>
      <c r="CI153" s="1319">
        <f t="shared" ca="1" si="1309"/>
        <v>0</v>
      </c>
      <c r="CJ153" s="1319">
        <f t="shared" ca="1" si="1309"/>
        <v>0</v>
      </c>
      <c r="CK153" s="1319">
        <f t="shared" ca="1" si="1309"/>
        <v>0</v>
      </c>
      <c r="CL153" s="1319">
        <f t="shared" ca="1" si="1309"/>
        <v>0</v>
      </c>
      <c r="CM153" s="1319">
        <f t="shared" ca="1" si="1309"/>
        <v>0</v>
      </c>
      <c r="CN153" s="1319">
        <f t="shared" ca="1" si="1309"/>
        <v>0</v>
      </c>
      <c r="CO153" s="1319">
        <f t="shared" ca="1" si="1309"/>
        <v>0</v>
      </c>
      <c r="CX153" s="1334"/>
      <c r="DA153" s="1319">
        <f t="shared" ca="1" si="1310"/>
        <v>0</v>
      </c>
      <c r="DB153" s="1319">
        <f t="shared" ca="1" si="1310"/>
        <v>0</v>
      </c>
      <c r="DC153" s="1319">
        <f t="shared" ca="1" si="1310"/>
        <v>0</v>
      </c>
      <c r="DD153" s="1319">
        <f t="shared" ca="1" si="1310"/>
        <v>0</v>
      </c>
      <c r="DE153" s="1319">
        <f t="shared" ca="1" si="1310"/>
        <v>0</v>
      </c>
      <c r="DF153" s="1319">
        <f t="shared" ca="1" si="1310"/>
        <v>0</v>
      </c>
      <c r="DG153" s="1319">
        <f t="shared" ca="1" si="1310"/>
        <v>0</v>
      </c>
      <c r="DH153" s="1319">
        <f t="shared" ca="1" si="1310"/>
        <v>0</v>
      </c>
      <c r="DI153" s="1319">
        <f t="shared" ca="1" si="1310"/>
        <v>0</v>
      </c>
      <c r="DJ153" s="1319">
        <f t="shared" ca="1" si="1310"/>
        <v>0</v>
      </c>
      <c r="DS153" s="1334"/>
      <c r="DV153" s="1319">
        <f t="shared" ca="1" si="1311"/>
        <v>0</v>
      </c>
      <c r="DW153" s="1319">
        <f t="shared" ca="1" si="1311"/>
        <v>0</v>
      </c>
      <c r="DX153" s="1319">
        <f t="shared" ca="1" si="1311"/>
        <v>0</v>
      </c>
      <c r="DY153" s="1319">
        <f t="shared" ca="1" si="1311"/>
        <v>0</v>
      </c>
      <c r="DZ153" s="1319">
        <f t="shared" ca="1" si="1311"/>
        <v>0</v>
      </c>
      <c r="EA153" s="1319">
        <f t="shared" ca="1" si="1311"/>
        <v>0</v>
      </c>
      <c r="EB153" s="1319">
        <f t="shared" ca="1" si="1311"/>
        <v>0</v>
      </c>
      <c r="EC153" s="1319">
        <f t="shared" ca="1" si="1311"/>
        <v>0</v>
      </c>
      <c r="ED153" s="1319">
        <f t="shared" ca="1" si="1311"/>
        <v>0</v>
      </c>
      <c r="EE153" s="1319">
        <f t="shared" ca="1" si="1311"/>
        <v>0</v>
      </c>
      <c r="EF153" s="1319">
        <f t="shared" ca="1" si="1311"/>
        <v>0</v>
      </c>
      <c r="EG153" s="1319">
        <f t="shared" ca="1" si="1311"/>
        <v>0</v>
      </c>
      <c r="EH153" s="1319">
        <f t="shared" ca="1" si="1311"/>
        <v>0</v>
      </c>
      <c r="EI153" s="1319">
        <f t="shared" ca="1" si="1311"/>
        <v>0</v>
      </c>
      <c r="EJ153" s="1319">
        <f t="shared" ca="1" si="1311"/>
        <v>0</v>
      </c>
      <c r="EK153" s="1319">
        <f t="shared" ca="1" si="1311"/>
        <v>0</v>
      </c>
      <c r="ET153" s="1334"/>
      <c r="EW153" s="1319">
        <f t="shared" ca="1" si="1312"/>
        <v>0</v>
      </c>
      <c r="EX153" s="1319">
        <f t="shared" ca="1" si="1312"/>
        <v>0</v>
      </c>
      <c r="EY153" s="1319">
        <f t="shared" ca="1" si="1312"/>
        <v>0</v>
      </c>
      <c r="EZ153" s="1319">
        <f t="shared" ca="1" si="1312"/>
        <v>0</v>
      </c>
      <c r="FA153" s="1319">
        <f t="shared" ca="1" si="1312"/>
        <v>0</v>
      </c>
      <c r="FB153" s="1319">
        <f t="shared" ca="1" si="1312"/>
        <v>0</v>
      </c>
      <c r="FK153" s="1334"/>
      <c r="FN153" s="1319">
        <f t="shared" ca="1" si="1313"/>
        <v>0</v>
      </c>
      <c r="FO153" s="1319">
        <f t="shared" ca="1" si="1313"/>
        <v>0</v>
      </c>
      <c r="FP153" s="1319">
        <f t="shared" ca="1" si="1313"/>
        <v>0</v>
      </c>
      <c r="FQ153" s="1319">
        <f t="shared" ca="1" si="1313"/>
        <v>0</v>
      </c>
      <c r="FR153" s="1319">
        <f t="shared" ca="1" si="1313"/>
        <v>0</v>
      </c>
      <c r="FS153" s="1319">
        <f t="shared" ca="1" si="1313"/>
        <v>0</v>
      </c>
      <c r="FT153" s="1319">
        <f t="shared" ca="1" si="1313"/>
        <v>0</v>
      </c>
      <c r="FU153" s="1319">
        <f t="shared" ca="1" si="1313"/>
        <v>0</v>
      </c>
      <c r="FV153" s="1319">
        <f t="shared" ca="1" si="1313"/>
        <v>0</v>
      </c>
      <c r="FW153" s="1319">
        <f t="shared" ca="1" si="1313"/>
        <v>0</v>
      </c>
      <c r="FX153" s="1319">
        <f t="shared" ca="1" si="1313"/>
        <v>0</v>
      </c>
      <c r="GG153" s="1334"/>
      <c r="GJ153" s="1319">
        <f t="shared" ca="1" si="1314"/>
        <v>0</v>
      </c>
      <c r="GK153" s="1319">
        <f t="shared" ca="1" si="1314"/>
        <v>0</v>
      </c>
      <c r="GL153" s="1319">
        <f t="shared" ca="1" si="1314"/>
        <v>0</v>
      </c>
      <c r="GM153" s="1319">
        <f t="shared" ca="1" si="1314"/>
        <v>0</v>
      </c>
      <c r="GN153" s="1319">
        <f t="shared" ca="1" si="1314"/>
        <v>0</v>
      </c>
      <c r="GO153" s="1319">
        <f t="shared" ca="1" si="1314"/>
        <v>0</v>
      </c>
      <c r="GP153" s="1319">
        <f t="shared" ca="1" si="1314"/>
        <v>0</v>
      </c>
      <c r="GQ153" s="1319">
        <f t="shared" ca="1" si="1314"/>
        <v>0</v>
      </c>
      <c r="GZ153" s="1334"/>
      <c r="HC153" s="1319">
        <f t="shared" ca="1" si="1315"/>
        <v>0</v>
      </c>
      <c r="HD153" s="1319">
        <f t="shared" ca="1" si="1315"/>
        <v>0</v>
      </c>
      <c r="HE153" s="1319">
        <f t="shared" ca="1" si="1315"/>
        <v>0</v>
      </c>
      <c r="HF153" s="1319">
        <f t="shared" ca="1" si="1315"/>
        <v>0</v>
      </c>
      <c r="HG153" s="1319">
        <f t="shared" ca="1" si="1315"/>
        <v>0</v>
      </c>
      <c r="HH153" s="1319">
        <f t="shared" ca="1" si="1315"/>
        <v>0</v>
      </c>
      <c r="HQ153" s="1334"/>
      <c r="HT153" s="1319">
        <f t="shared" ca="1" si="1316"/>
        <v>0</v>
      </c>
      <c r="HU153" s="1319">
        <f t="shared" ca="1" si="1316"/>
        <v>0</v>
      </c>
      <c r="HV153" s="1319">
        <f t="shared" ca="1" si="1316"/>
        <v>0</v>
      </c>
      <c r="HW153" s="1319">
        <f t="shared" ca="1" si="1316"/>
        <v>0</v>
      </c>
      <c r="HX153" s="1319">
        <f t="shared" ca="1" si="1316"/>
        <v>0</v>
      </c>
      <c r="HY153" s="1319">
        <f t="shared" ca="1" si="1316"/>
        <v>0</v>
      </c>
      <c r="HZ153" s="1319">
        <f t="shared" ca="1" si="1316"/>
        <v>0</v>
      </c>
      <c r="IA153" s="1319">
        <f t="shared" ca="1" si="1316"/>
        <v>0</v>
      </c>
      <c r="IB153" s="1319">
        <f t="shared" ca="1" si="1316"/>
        <v>0</v>
      </c>
      <c r="IC153" s="1319">
        <f t="shared" ca="1" si="1316"/>
        <v>0</v>
      </c>
      <c r="ID153" s="1319">
        <f t="shared" ca="1" si="1316"/>
        <v>0</v>
      </c>
      <c r="IE153" s="1319">
        <f t="shared" ca="1" si="1316"/>
        <v>0</v>
      </c>
      <c r="IN153" s="1334"/>
      <c r="IQ153" s="1319">
        <f t="shared" ca="1" si="1317"/>
        <v>0</v>
      </c>
      <c r="IR153" s="1319">
        <f t="shared" ca="1" si="1317"/>
        <v>0</v>
      </c>
      <c r="IS153" s="1319">
        <f t="shared" ca="1" si="1317"/>
        <v>0</v>
      </c>
      <c r="IT153" s="1319">
        <f t="shared" ca="1" si="1317"/>
        <v>0</v>
      </c>
      <c r="IU153" s="1319">
        <f t="shared" ca="1" si="1317"/>
        <v>0</v>
      </c>
      <c r="IV153" s="1319">
        <f t="shared" ca="1" si="1317"/>
        <v>0</v>
      </c>
      <c r="IW153" s="1319">
        <f t="shared" ca="1" si="1317"/>
        <v>0</v>
      </c>
      <c r="IX153" s="1319">
        <f t="shared" ca="1" si="1317"/>
        <v>0</v>
      </c>
      <c r="IY153" s="1319">
        <f t="shared" ca="1" si="1317"/>
        <v>0</v>
      </c>
      <c r="IZ153" s="1319">
        <f t="shared" ca="1" si="1317"/>
        <v>0</v>
      </c>
      <c r="JA153" s="1319">
        <f t="shared" ca="1" si="1317"/>
        <v>0</v>
      </c>
      <c r="JB153" s="1319">
        <f t="shared" ca="1" si="1318"/>
        <v>0</v>
      </c>
      <c r="JC153" s="1319">
        <f t="shared" ca="1" si="1318"/>
        <v>0</v>
      </c>
      <c r="JD153" s="1319">
        <f t="shared" ca="1" si="1318"/>
        <v>0</v>
      </c>
      <c r="JE153" s="1319">
        <f t="shared" ca="1" si="1318"/>
        <v>0</v>
      </c>
      <c r="JF153" s="1319">
        <f t="shared" ca="1" si="1318"/>
        <v>0</v>
      </c>
      <c r="JG153" s="1319">
        <f t="shared" ca="1" si="1318"/>
        <v>0</v>
      </c>
      <c r="JH153" s="1319">
        <f t="shared" ca="1" si="1318"/>
        <v>0</v>
      </c>
      <c r="JQ153" s="1334"/>
      <c r="JT153" s="1319">
        <f t="shared" ca="1" si="1319"/>
        <v>0</v>
      </c>
      <c r="JU153" s="1319">
        <f t="shared" ca="1" si="1319"/>
        <v>0</v>
      </c>
      <c r="JV153" s="1319">
        <f t="shared" ca="1" si="1319"/>
        <v>0</v>
      </c>
      <c r="JW153" s="1319">
        <f t="shared" ca="1" si="1319"/>
        <v>0</v>
      </c>
      <c r="JX153" s="1319">
        <f t="shared" ca="1" si="1319"/>
        <v>0</v>
      </c>
      <c r="JY153" s="1319">
        <f t="shared" ca="1" si="1319"/>
        <v>0</v>
      </c>
      <c r="JZ153" s="1319">
        <f t="shared" ca="1" si="1319"/>
        <v>0</v>
      </c>
      <c r="KA153" s="1319">
        <f t="shared" ca="1" si="1319"/>
        <v>0</v>
      </c>
      <c r="KB153" s="1319">
        <f t="shared" ca="1" si="1319"/>
        <v>0</v>
      </c>
      <c r="KC153" s="1319">
        <f t="shared" ca="1" si="1319"/>
        <v>0</v>
      </c>
      <c r="KI153" s="1334"/>
      <c r="KL153" s="1319">
        <f t="shared" ca="1" si="1320"/>
        <v>0</v>
      </c>
      <c r="KM153" s="1319">
        <f t="shared" ca="1" si="1320"/>
        <v>0</v>
      </c>
      <c r="KN153" s="1319">
        <f t="shared" ca="1" si="1320"/>
        <v>0</v>
      </c>
      <c r="KO153" s="1319">
        <f t="shared" ca="1" si="1320"/>
        <v>0</v>
      </c>
      <c r="KP153" s="1319">
        <f t="shared" ca="1" si="1320"/>
        <v>0</v>
      </c>
      <c r="KQ153" s="1319">
        <f t="shared" ca="1" si="1320"/>
        <v>0</v>
      </c>
      <c r="KR153" s="1319">
        <f t="shared" ca="1" si="1320"/>
        <v>0</v>
      </c>
      <c r="KX153" s="1334"/>
      <c r="LA153" s="1319">
        <f t="shared" ca="1" si="1321"/>
        <v>0</v>
      </c>
      <c r="LB153" s="1319">
        <f t="shared" ca="1" si="1321"/>
        <v>0</v>
      </c>
      <c r="LC153" s="1319">
        <f t="shared" ca="1" si="1321"/>
        <v>0</v>
      </c>
      <c r="LD153" s="1319">
        <f t="shared" ca="1" si="1321"/>
        <v>0</v>
      </c>
      <c r="LE153" s="1319">
        <f t="shared" ca="1" si="1321"/>
        <v>0</v>
      </c>
      <c r="LF153" s="1319">
        <f t="shared" ca="1" si="1321"/>
        <v>0</v>
      </c>
      <c r="LG153" s="1319">
        <f t="shared" ca="1" si="1321"/>
        <v>0</v>
      </c>
      <c r="LH153" s="1319">
        <f t="shared" ca="1" si="1321"/>
        <v>0</v>
      </c>
      <c r="LI153" s="1319">
        <f t="shared" ca="1" si="1321"/>
        <v>0</v>
      </c>
      <c r="LJ153" s="1319">
        <f t="shared" ca="1" si="1321"/>
        <v>0</v>
      </c>
      <c r="LK153" s="1319">
        <f t="shared" ca="1" si="1321"/>
        <v>0</v>
      </c>
      <c r="LT153" s="1334"/>
      <c r="LW153" s="1319">
        <f t="shared" ca="1" si="1322"/>
        <v>0</v>
      </c>
      <c r="LX153" s="1319">
        <f t="shared" ca="1" si="1322"/>
        <v>0</v>
      </c>
      <c r="LY153" s="1319">
        <f t="shared" ca="1" si="1322"/>
        <v>0</v>
      </c>
      <c r="LZ153" s="1319">
        <f t="shared" ca="1" si="1322"/>
        <v>0</v>
      </c>
      <c r="MA153" s="1319">
        <f t="shared" ca="1" si="1322"/>
        <v>0</v>
      </c>
      <c r="MB153" s="1319">
        <f t="shared" ca="1" si="1322"/>
        <v>0</v>
      </c>
      <c r="MC153" s="1319">
        <f t="shared" ca="1" si="1322"/>
        <v>0</v>
      </c>
      <c r="MD153" s="1319">
        <f t="shared" ca="1" si="1322"/>
        <v>0</v>
      </c>
      <c r="ME153" s="1319">
        <f t="shared" ca="1" si="1322"/>
        <v>0</v>
      </c>
      <c r="MF153" s="1319">
        <f t="shared" ca="1" si="1322"/>
        <v>0</v>
      </c>
      <c r="MG153" s="1319">
        <f t="shared" ca="1" si="1323"/>
        <v>0</v>
      </c>
      <c r="MH153" s="1319">
        <f t="shared" ca="1" si="1323"/>
        <v>0</v>
      </c>
      <c r="MI153" s="1319">
        <f t="shared" ca="1" si="1323"/>
        <v>0</v>
      </c>
      <c r="MJ153" s="1319">
        <f t="shared" ca="1" si="1323"/>
        <v>0</v>
      </c>
      <c r="MK153" s="1319">
        <f t="shared" ca="1" si="1323"/>
        <v>0</v>
      </c>
      <c r="ML153" s="1319">
        <f t="shared" ca="1" si="1323"/>
        <v>0</v>
      </c>
      <c r="MM153" s="1319">
        <f t="shared" ca="1" si="1323"/>
        <v>0</v>
      </c>
      <c r="MN153" s="1319">
        <f t="shared" ca="1" si="1323"/>
        <v>0</v>
      </c>
      <c r="MO153" s="1319">
        <f t="shared" ca="1" si="1323"/>
        <v>0</v>
      </c>
      <c r="MX153" s="1334"/>
      <c r="NA153" s="1319">
        <f t="shared" ca="1" si="1324"/>
        <v>0</v>
      </c>
      <c r="NB153" s="1319">
        <f t="shared" ca="1" si="1324"/>
        <v>0</v>
      </c>
      <c r="NC153" s="1319">
        <f t="shared" ca="1" si="1324"/>
        <v>0</v>
      </c>
      <c r="ND153" s="1319">
        <f t="shared" ca="1" si="1324"/>
        <v>0</v>
      </c>
      <c r="NE153" s="1319">
        <f t="shared" ca="1" si="1324"/>
        <v>0</v>
      </c>
      <c r="NF153" s="1319">
        <f t="shared" ca="1" si="1324"/>
        <v>0</v>
      </c>
      <c r="NG153" s="1319">
        <f t="shared" ca="1" si="1324"/>
        <v>0</v>
      </c>
      <c r="NH153" s="1319">
        <f t="shared" ca="1" si="1324"/>
        <v>0</v>
      </c>
      <c r="NI153" s="1319">
        <f t="shared" ca="1" si="1324"/>
        <v>0</v>
      </c>
      <c r="NJ153" s="1319">
        <f t="shared" ca="1" si="1324"/>
        <v>0</v>
      </c>
      <c r="NK153" s="1319">
        <f t="shared" ca="1" si="1324"/>
        <v>0</v>
      </c>
      <c r="NL153" s="1319">
        <f t="shared" ca="1" si="1324"/>
        <v>0</v>
      </c>
      <c r="NM153" s="1319">
        <f t="shared" ca="1" si="1324"/>
        <v>0</v>
      </c>
      <c r="NN153" s="1319">
        <f t="shared" ca="1" si="1324"/>
        <v>0</v>
      </c>
      <c r="NO153" s="1319">
        <f t="shared" ca="1" si="1324"/>
        <v>0</v>
      </c>
      <c r="NP153" s="1319">
        <f t="shared" ca="1" si="1324"/>
        <v>0</v>
      </c>
      <c r="NY153" s="1334"/>
      <c r="OE153" s="1334"/>
      <c r="OH153" s="1319">
        <f t="shared" ca="1" si="1325"/>
        <v>0</v>
      </c>
      <c r="OI153" s="1319">
        <f t="shared" ca="1" si="1325"/>
        <v>0</v>
      </c>
      <c r="OJ153" s="1319">
        <f t="shared" ca="1" si="1325"/>
        <v>0</v>
      </c>
      <c r="OK153" s="1319">
        <f t="shared" ca="1" si="1325"/>
        <v>0</v>
      </c>
      <c r="OL153" s="1319">
        <f t="shared" ca="1" si="1325"/>
        <v>0</v>
      </c>
      <c r="OM153" s="1319">
        <f t="shared" ca="1" si="1325"/>
        <v>0</v>
      </c>
      <c r="ON153" s="1319">
        <f t="shared" ca="1" si="1325"/>
        <v>0</v>
      </c>
      <c r="OO153" s="1319">
        <f t="shared" ca="1" si="1325"/>
        <v>0</v>
      </c>
      <c r="OX153" s="1334"/>
      <c r="PA153" s="1319">
        <f t="shared" ca="1" si="1326"/>
        <v>0</v>
      </c>
      <c r="PB153" s="1319">
        <f t="shared" ca="1" si="1326"/>
        <v>0</v>
      </c>
      <c r="PC153" s="1319">
        <f t="shared" ca="1" si="1326"/>
        <v>0</v>
      </c>
      <c r="PD153" s="1319">
        <f t="shared" ca="1" si="1326"/>
        <v>0</v>
      </c>
      <c r="PE153" s="1319">
        <f t="shared" ca="1" si="1326"/>
        <v>0</v>
      </c>
      <c r="PF153" s="1319">
        <f t="shared" ca="1" si="1326"/>
        <v>0</v>
      </c>
      <c r="PG153" s="1319">
        <f t="shared" ca="1" si="1326"/>
        <v>0</v>
      </c>
      <c r="PH153" s="1319">
        <f t="shared" ca="1" si="1326"/>
        <v>0</v>
      </c>
      <c r="PI153" s="1319">
        <f t="shared" ca="1" si="1326"/>
        <v>0</v>
      </c>
      <c r="PJ153" s="1319">
        <f t="shared" ca="1" si="1326"/>
        <v>0</v>
      </c>
      <c r="PK153" s="1319">
        <f t="shared" ca="1" si="1326"/>
        <v>0</v>
      </c>
      <c r="PT153" s="1334"/>
      <c r="PW153" s="1319">
        <f t="shared" ca="1" si="1305"/>
        <v>0</v>
      </c>
      <c r="PX153" s="1319">
        <f t="shared" ca="1" si="1305"/>
        <v>0</v>
      </c>
      <c r="PY153" s="1319">
        <f t="shared" ca="1" si="1305"/>
        <v>0</v>
      </c>
      <c r="PZ153" s="1319">
        <f t="shared" ca="1" si="1305"/>
        <v>0</v>
      </c>
    </row>
    <row r="154" spans="1:442" x14ac:dyDescent="0.25">
      <c r="A154" s="189">
        <v>43</v>
      </c>
      <c r="B154" s="189" t="s">
        <v>1256</v>
      </c>
      <c r="C154" s="1317" t="s">
        <v>68</v>
      </c>
      <c r="D154" s="1317" t="s">
        <v>206</v>
      </c>
      <c r="E154" s="1318">
        <v>28.010400000000001</v>
      </c>
      <c r="F154" s="1316">
        <v>-6.7588611829999992E-2</v>
      </c>
      <c r="G154" s="1334"/>
      <c r="J154" s="1319">
        <f t="shared" ca="1" si="1283"/>
        <v>0</v>
      </c>
      <c r="K154" s="1319">
        <f t="shared" ca="1" si="1283"/>
        <v>0</v>
      </c>
      <c r="Q154" s="1334"/>
      <c r="T154" s="1319">
        <f t="shared" ca="1" si="1306"/>
        <v>0</v>
      </c>
      <c r="U154" s="1319">
        <f t="shared" ca="1" si="1306"/>
        <v>0</v>
      </c>
      <c r="V154" s="1319">
        <f t="shared" ca="1" si="1306"/>
        <v>0</v>
      </c>
      <c r="W154" s="1319">
        <f t="shared" ca="1" si="1306"/>
        <v>0</v>
      </c>
      <c r="X154" s="1319">
        <f t="shared" ca="1" si="1306"/>
        <v>0</v>
      </c>
      <c r="Y154" s="1319">
        <f t="shared" ca="1" si="1306"/>
        <v>0</v>
      </c>
      <c r="Z154" s="1319">
        <f t="shared" ca="1" si="1306"/>
        <v>0</v>
      </c>
      <c r="AA154" s="1319">
        <f t="shared" ca="1" si="1306"/>
        <v>0</v>
      </c>
      <c r="AB154" s="1319">
        <f t="shared" ca="1" si="1306"/>
        <v>0</v>
      </c>
      <c r="AC154" s="1319">
        <f t="shared" ca="1" si="1306"/>
        <v>0</v>
      </c>
      <c r="AD154" s="1319">
        <f t="shared" ca="1" si="1306"/>
        <v>0</v>
      </c>
      <c r="AJ154" s="1334"/>
      <c r="AM154" s="1319">
        <f t="shared" ca="1" si="1307"/>
        <v>0</v>
      </c>
      <c r="AN154" s="1319">
        <f t="shared" ca="1" si="1307"/>
        <v>0</v>
      </c>
      <c r="AO154" s="1319">
        <f t="shared" ca="1" si="1307"/>
        <v>0</v>
      </c>
      <c r="AP154" s="1319">
        <f t="shared" ca="1" si="1307"/>
        <v>0</v>
      </c>
      <c r="AQ154" s="1319">
        <f t="shared" ca="1" si="1307"/>
        <v>0</v>
      </c>
      <c r="AR154" s="1319">
        <f t="shared" ca="1" si="1307"/>
        <v>0</v>
      </c>
      <c r="AS154" s="1319">
        <f t="shared" ca="1" si="1307"/>
        <v>0</v>
      </c>
      <c r="AT154" s="1319">
        <f t="shared" ca="1" si="1307"/>
        <v>0</v>
      </c>
      <c r="AU154" s="1319">
        <f t="shared" ca="1" si="1307"/>
        <v>0</v>
      </c>
      <c r="AV154" s="1319">
        <f t="shared" ca="1" si="1307"/>
        <v>0</v>
      </c>
      <c r="AW154" s="1319">
        <f t="shared" ca="1" si="1307"/>
        <v>0</v>
      </c>
      <c r="AX154" s="1319">
        <f t="shared" ca="1" si="1307"/>
        <v>0</v>
      </c>
      <c r="AY154" s="1319">
        <f t="shared" ca="1" si="1307"/>
        <v>0</v>
      </c>
      <c r="AZ154" s="1319">
        <f t="shared" ca="1" si="1307"/>
        <v>0</v>
      </c>
      <c r="BA154" s="1319">
        <f t="shared" ca="1" si="1307"/>
        <v>0</v>
      </c>
      <c r="BB154" s="1319">
        <f t="shared" ca="1" si="1307"/>
        <v>0</v>
      </c>
      <c r="BK154" s="1334"/>
      <c r="BN154" s="1319">
        <f t="shared" ca="1" si="1308"/>
        <v>0</v>
      </c>
      <c r="BO154" s="1319">
        <f t="shared" ca="1" si="1308"/>
        <v>0</v>
      </c>
      <c r="BP154" s="1319">
        <f t="shared" ca="1" si="1308"/>
        <v>0</v>
      </c>
      <c r="BQ154" s="1319">
        <f t="shared" ca="1" si="1308"/>
        <v>0</v>
      </c>
      <c r="BR154" s="1319">
        <f t="shared" ca="1" si="1308"/>
        <v>0</v>
      </c>
      <c r="CA154" s="1334"/>
      <c r="CD154" s="1319">
        <f t="shared" ca="1" si="1309"/>
        <v>0</v>
      </c>
      <c r="CE154" s="1319">
        <f t="shared" ca="1" si="1309"/>
        <v>0</v>
      </c>
      <c r="CF154" s="1319">
        <f t="shared" ca="1" si="1309"/>
        <v>0</v>
      </c>
      <c r="CG154" s="1319">
        <f t="shared" ca="1" si="1309"/>
        <v>0</v>
      </c>
      <c r="CH154" s="1319">
        <f t="shared" ca="1" si="1309"/>
        <v>0</v>
      </c>
      <c r="CI154" s="1319">
        <f t="shared" ca="1" si="1309"/>
        <v>0</v>
      </c>
      <c r="CJ154" s="1319">
        <f t="shared" ca="1" si="1309"/>
        <v>0</v>
      </c>
      <c r="CK154" s="1319">
        <f t="shared" ca="1" si="1309"/>
        <v>0</v>
      </c>
      <c r="CL154" s="1319">
        <f t="shared" ca="1" si="1309"/>
        <v>0</v>
      </c>
      <c r="CM154" s="1319">
        <f t="shared" ca="1" si="1309"/>
        <v>0</v>
      </c>
      <c r="CN154" s="1319">
        <f t="shared" ca="1" si="1309"/>
        <v>0</v>
      </c>
      <c r="CO154" s="1319">
        <f t="shared" ca="1" si="1309"/>
        <v>0</v>
      </c>
      <c r="CX154" s="1334"/>
      <c r="DA154" s="1319">
        <f t="shared" ca="1" si="1310"/>
        <v>0</v>
      </c>
      <c r="DB154" s="1319">
        <f t="shared" ca="1" si="1310"/>
        <v>0</v>
      </c>
      <c r="DC154" s="1319">
        <f t="shared" ca="1" si="1310"/>
        <v>0</v>
      </c>
      <c r="DD154" s="1319">
        <f t="shared" ca="1" si="1310"/>
        <v>0</v>
      </c>
      <c r="DE154" s="1319">
        <f t="shared" ca="1" si="1310"/>
        <v>0</v>
      </c>
      <c r="DF154" s="1319">
        <f t="shared" ca="1" si="1310"/>
        <v>0</v>
      </c>
      <c r="DG154" s="1319">
        <f t="shared" ca="1" si="1310"/>
        <v>0</v>
      </c>
      <c r="DH154" s="1319">
        <f t="shared" ca="1" si="1310"/>
        <v>0</v>
      </c>
      <c r="DI154" s="1319">
        <f t="shared" ca="1" si="1310"/>
        <v>0</v>
      </c>
      <c r="DJ154" s="1319">
        <f t="shared" ca="1" si="1310"/>
        <v>0</v>
      </c>
      <c r="DS154" s="1334"/>
      <c r="DV154" s="1319">
        <f t="shared" ca="1" si="1311"/>
        <v>0</v>
      </c>
      <c r="DW154" s="1319">
        <f t="shared" ca="1" si="1311"/>
        <v>0</v>
      </c>
      <c r="DX154" s="1319">
        <f t="shared" ca="1" si="1311"/>
        <v>0</v>
      </c>
      <c r="DY154" s="1319">
        <f t="shared" ca="1" si="1311"/>
        <v>0</v>
      </c>
      <c r="DZ154" s="1319">
        <f t="shared" ca="1" si="1311"/>
        <v>0</v>
      </c>
      <c r="EA154" s="1319">
        <f t="shared" ca="1" si="1311"/>
        <v>0</v>
      </c>
      <c r="EB154" s="1319">
        <f t="shared" ca="1" si="1311"/>
        <v>0</v>
      </c>
      <c r="EC154" s="1319">
        <f t="shared" ca="1" si="1311"/>
        <v>0</v>
      </c>
      <c r="ED154" s="1319">
        <f t="shared" ca="1" si="1311"/>
        <v>0</v>
      </c>
      <c r="EE154" s="1319">
        <f t="shared" ca="1" si="1311"/>
        <v>0</v>
      </c>
      <c r="EF154" s="1319">
        <f t="shared" ca="1" si="1311"/>
        <v>0</v>
      </c>
      <c r="EG154" s="1319">
        <f t="shared" ca="1" si="1311"/>
        <v>0</v>
      </c>
      <c r="EH154" s="1319">
        <f t="shared" ca="1" si="1311"/>
        <v>0</v>
      </c>
      <c r="EI154" s="1319">
        <f t="shared" ca="1" si="1311"/>
        <v>0</v>
      </c>
      <c r="EJ154" s="1319">
        <f t="shared" ca="1" si="1311"/>
        <v>0</v>
      </c>
      <c r="EK154" s="1319">
        <f t="shared" ca="1" si="1311"/>
        <v>0</v>
      </c>
      <c r="ET154" s="1334"/>
      <c r="EW154" s="1319">
        <f t="shared" ca="1" si="1312"/>
        <v>0</v>
      </c>
      <c r="EX154" s="1319">
        <f t="shared" ca="1" si="1312"/>
        <v>0</v>
      </c>
      <c r="EY154" s="1319">
        <f t="shared" ca="1" si="1312"/>
        <v>0</v>
      </c>
      <c r="EZ154" s="1319">
        <f t="shared" ca="1" si="1312"/>
        <v>0</v>
      </c>
      <c r="FA154" s="1319">
        <f t="shared" ca="1" si="1312"/>
        <v>0</v>
      </c>
      <c r="FB154" s="1319">
        <f t="shared" ca="1" si="1312"/>
        <v>0</v>
      </c>
      <c r="FK154" s="1334"/>
      <c r="FN154" s="1319">
        <f t="shared" ca="1" si="1313"/>
        <v>0</v>
      </c>
      <c r="FO154" s="1319">
        <f t="shared" ca="1" si="1313"/>
        <v>0</v>
      </c>
      <c r="FP154" s="1319">
        <f t="shared" ca="1" si="1313"/>
        <v>0</v>
      </c>
      <c r="FQ154" s="1319">
        <f t="shared" ca="1" si="1313"/>
        <v>0</v>
      </c>
      <c r="FR154" s="1319">
        <f t="shared" ca="1" si="1313"/>
        <v>0</v>
      </c>
      <c r="FS154" s="1319">
        <f t="shared" ca="1" si="1313"/>
        <v>0</v>
      </c>
      <c r="FT154" s="1319">
        <f t="shared" ca="1" si="1313"/>
        <v>0</v>
      </c>
      <c r="FU154" s="1319">
        <f t="shared" ca="1" si="1313"/>
        <v>0</v>
      </c>
      <c r="FV154" s="1319">
        <f t="shared" ca="1" si="1313"/>
        <v>0</v>
      </c>
      <c r="FW154" s="1319">
        <f t="shared" ca="1" si="1313"/>
        <v>0</v>
      </c>
      <c r="FX154" s="1319">
        <f t="shared" ca="1" si="1313"/>
        <v>0</v>
      </c>
      <c r="GG154" s="1334"/>
      <c r="GJ154" s="1319">
        <f t="shared" ca="1" si="1314"/>
        <v>0</v>
      </c>
      <c r="GK154" s="1319">
        <f t="shared" ca="1" si="1314"/>
        <v>0</v>
      </c>
      <c r="GL154" s="1319">
        <f t="shared" ca="1" si="1314"/>
        <v>0</v>
      </c>
      <c r="GM154" s="1319">
        <f t="shared" ca="1" si="1314"/>
        <v>0</v>
      </c>
      <c r="GN154" s="1319">
        <f t="shared" ca="1" si="1314"/>
        <v>0</v>
      </c>
      <c r="GO154" s="1319">
        <f t="shared" ca="1" si="1314"/>
        <v>0</v>
      </c>
      <c r="GP154" s="1319">
        <f t="shared" ca="1" si="1314"/>
        <v>0</v>
      </c>
      <c r="GQ154" s="1319">
        <f t="shared" ca="1" si="1314"/>
        <v>0</v>
      </c>
      <c r="GZ154" s="1334"/>
      <c r="HC154" s="1319">
        <f t="shared" ca="1" si="1315"/>
        <v>0</v>
      </c>
      <c r="HD154" s="1319">
        <f t="shared" ca="1" si="1315"/>
        <v>0</v>
      </c>
      <c r="HE154" s="1319">
        <f t="shared" ca="1" si="1315"/>
        <v>0</v>
      </c>
      <c r="HF154" s="1319">
        <f t="shared" ca="1" si="1315"/>
        <v>0</v>
      </c>
      <c r="HG154" s="1319">
        <f t="shared" ca="1" si="1315"/>
        <v>0</v>
      </c>
      <c r="HH154" s="1319">
        <f t="shared" ca="1" si="1315"/>
        <v>0</v>
      </c>
      <c r="HQ154" s="1334"/>
      <c r="HT154" s="1319">
        <f t="shared" ca="1" si="1316"/>
        <v>0</v>
      </c>
      <c r="HU154" s="1319">
        <f t="shared" ca="1" si="1316"/>
        <v>0</v>
      </c>
      <c r="HV154" s="1319">
        <f t="shared" ca="1" si="1316"/>
        <v>0</v>
      </c>
      <c r="HW154" s="1319">
        <f t="shared" ca="1" si="1316"/>
        <v>0</v>
      </c>
      <c r="HX154" s="1319">
        <f t="shared" ca="1" si="1316"/>
        <v>0</v>
      </c>
      <c r="HY154" s="1319">
        <f t="shared" ca="1" si="1316"/>
        <v>0</v>
      </c>
      <c r="HZ154" s="1319">
        <f t="shared" ca="1" si="1316"/>
        <v>0</v>
      </c>
      <c r="IA154" s="1319">
        <f t="shared" ca="1" si="1316"/>
        <v>0</v>
      </c>
      <c r="IB154" s="1319">
        <f t="shared" ca="1" si="1316"/>
        <v>0</v>
      </c>
      <c r="IC154" s="1319">
        <f t="shared" ca="1" si="1316"/>
        <v>0</v>
      </c>
      <c r="ID154" s="1319">
        <f t="shared" ca="1" si="1316"/>
        <v>0</v>
      </c>
      <c r="IE154" s="1319">
        <f t="shared" ca="1" si="1316"/>
        <v>0</v>
      </c>
      <c r="IN154" s="1334"/>
      <c r="IQ154" s="1319">
        <f t="shared" ca="1" si="1317"/>
        <v>0</v>
      </c>
      <c r="IR154" s="1319">
        <f t="shared" ca="1" si="1317"/>
        <v>0</v>
      </c>
      <c r="IS154" s="1319">
        <f t="shared" ca="1" si="1317"/>
        <v>0</v>
      </c>
      <c r="IT154" s="1319">
        <f t="shared" ca="1" si="1317"/>
        <v>0</v>
      </c>
      <c r="IU154" s="1319">
        <f t="shared" ca="1" si="1317"/>
        <v>0</v>
      </c>
      <c r="IV154" s="1319">
        <f t="shared" ca="1" si="1317"/>
        <v>0</v>
      </c>
      <c r="IW154" s="1319">
        <f t="shared" ca="1" si="1317"/>
        <v>0</v>
      </c>
      <c r="IX154" s="1319">
        <f t="shared" ca="1" si="1317"/>
        <v>0</v>
      </c>
      <c r="IY154" s="1319">
        <f t="shared" ca="1" si="1317"/>
        <v>0</v>
      </c>
      <c r="IZ154" s="1319">
        <f t="shared" ca="1" si="1317"/>
        <v>0</v>
      </c>
      <c r="JA154" s="1319">
        <f t="shared" ca="1" si="1317"/>
        <v>0</v>
      </c>
      <c r="JB154" s="1319">
        <f t="shared" ca="1" si="1318"/>
        <v>0</v>
      </c>
      <c r="JC154" s="1319">
        <f t="shared" ca="1" si="1318"/>
        <v>0</v>
      </c>
      <c r="JD154" s="1319">
        <f t="shared" ca="1" si="1318"/>
        <v>0</v>
      </c>
      <c r="JE154" s="1319">
        <f t="shared" ca="1" si="1318"/>
        <v>0</v>
      </c>
      <c r="JF154" s="1319">
        <f t="shared" ca="1" si="1318"/>
        <v>0</v>
      </c>
      <c r="JG154" s="1319">
        <f t="shared" ca="1" si="1318"/>
        <v>0</v>
      </c>
      <c r="JH154" s="1319">
        <f t="shared" ca="1" si="1318"/>
        <v>0</v>
      </c>
      <c r="JQ154" s="1334"/>
      <c r="JT154" s="1319">
        <f t="shared" ca="1" si="1319"/>
        <v>0</v>
      </c>
      <c r="JU154" s="1319">
        <f t="shared" ca="1" si="1319"/>
        <v>0</v>
      </c>
      <c r="JV154" s="1319">
        <f t="shared" ca="1" si="1319"/>
        <v>0</v>
      </c>
      <c r="JW154" s="1319">
        <f t="shared" ca="1" si="1319"/>
        <v>0</v>
      </c>
      <c r="JX154" s="1319">
        <f t="shared" ca="1" si="1319"/>
        <v>0</v>
      </c>
      <c r="JY154" s="1319">
        <f t="shared" ca="1" si="1319"/>
        <v>0</v>
      </c>
      <c r="JZ154" s="1319">
        <f t="shared" ca="1" si="1319"/>
        <v>0</v>
      </c>
      <c r="KA154" s="1319">
        <f t="shared" ca="1" si="1319"/>
        <v>0</v>
      </c>
      <c r="KB154" s="1319">
        <f t="shared" ca="1" si="1319"/>
        <v>0</v>
      </c>
      <c r="KC154" s="1319">
        <f t="shared" ca="1" si="1319"/>
        <v>0</v>
      </c>
      <c r="KI154" s="1334"/>
      <c r="KL154" s="1319">
        <f t="shared" ca="1" si="1320"/>
        <v>0</v>
      </c>
      <c r="KM154" s="1319">
        <f t="shared" ca="1" si="1320"/>
        <v>0</v>
      </c>
      <c r="KN154" s="1319">
        <f t="shared" ca="1" si="1320"/>
        <v>0</v>
      </c>
      <c r="KO154" s="1319">
        <f t="shared" ca="1" si="1320"/>
        <v>0</v>
      </c>
      <c r="KP154" s="1319">
        <f t="shared" ca="1" si="1320"/>
        <v>0</v>
      </c>
      <c r="KQ154" s="1319">
        <f t="shared" ca="1" si="1320"/>
        <v>0</v>
      </c>
      <c r="KR154" s="1319">
        <f t="shared" ca="1" si="1320"/>
        <v>0</v>
      </c>
      <c r="KX154" s="1334"/>
      <c r="LA154" s="1319">
        <f t="shared" ca="1" si="1321"/>
        <v>0</v>
      </c>
      <c r="LB154" s="1319">
        <f t="shared" ca="1" si="1321"/>
        <v>0</v>
      </c>
      <c r="LC154" s="1319">
        <f t="shared" ca="1" si="1321"/>
        <v>0</v>
      </c>
      <c r="LD154" s="1319">
        <f t="shared" ca="1" si="1321"/>
        <v>0</v>
      </c>
      <c r="LE154" s="1319">
        <f t="shared" ca="1" si="1321"/>
        <v>0</v>
      </c>
      <c r="LF154" s="1319">
        <f t="shared" ca="1" si="1321"/>
        <v>-0.14951331949918048</v>
      </c>
      <c r="LG154" s="1319">
        <f t="shared" ca="1" si="1321"/>
        <v>-0.14951331949918048</v>
      </c>
      <c r="LH154" s="1319">
        <f t="shared" ca="1" si="1321"/>
        <v>0</v>
      </c>
      <c r="LI154" s="1319">
        <f t="shared" ca="1" si="1321"/>
        <v>-0.14951331949918048</v>
      </c>
      <c r="LJ154" s="1319">
        <f t="shared" ca="1" si="1321"/>
        <v>0</v>
      </c>
      <c r="LK154" s="1319">
        <f t="shared" ca="1" si="1321"/>
        <v>0</v>
      </c>
      <c r="LT154" s="1334"/>
      <c r="LW154" s="1319">
        <f t="shared" ca="1" si="1322"/>
        <v>0</v>
      </c>
      <c r="LX154" s="1319">
        <f t="shared" ca="1" si="1322"/>
        <v>0</v>
      </c>
      <c r="LY154" s="1319">
        <f t="shared" ca="1" si="1322"/>
        <v>0</v>
      </c>
      <c r="LZ154" s="1319">
        <f t="shared" ca="1" si="1322"/>
        <v>0</v>
      </c>
      <c r="MA154" s="1319">
        <f t="shared" ca="1" si="1322"/>
        <v>0</v>
      </c>
      <c r="MB154" s="1319">
        <f t="shared" ca="1" si="1322"/>
        <v>0</v>
      </c>
      <c r="MC154" s="1319">
        <f t="shared" ca="1" si="1322"/>
        <v>-0.14951331949918048</v>
      </c>
      <c r="MD154" s="1319">
        <f t="shared" ca="1" si="1322"/>
        <v>0</v>
      </c>
      <c r="ME154" s="1319">
        <f t="shared" ca="1" si="1322"/>
        <v>0</v>
      </c>
      <c r="MF154" s="1319">
        <f t="shared" ca="1" si="1322"/>
        <v>0</v>
      </c>
      <c r="MG154" s="1319">
        <f t="shared" ca="1" si="1323"/>
        <v>0</v>
      </c>
      <c r="MH154" s="1319">
        <f t="shared" ca="1" si="1323"/>
        <v>0</v>
      </c>
      <c r="MI154" s="1319">
        <f t="shared" ca="1" si="1323"/>
        <v>0</v>
      </c>
      <c r="MJ154" s="1319">
        <f t="shared" ca="1" si="1323"/>
        <v>0</v>
      </c>
      <c r="MK154" s="1319">
        <f t="shared" ca="1" si="1323"/>
        <v>0</v>
      </c>
      <c r="ML154" s="1319">
        <f t="shared" ca="1" si="1323"/>
        <v>0</v>
      </c>
      <c r="MM154" s="1319">
        <f t="shared" ca="1" si="1323"/>
        <v>0</v>
      </c>
      <c r="MN154" s="1319">
        <f t="shared" ca="1" si="1323"/>
        <v>0</v>
      </c>
      <c r="MO154" s="1319">
        <f t="shared" ca="1" si="1323"/>
        <v>0</v>
      </c>
      <c r="MX154" s="1334"/>
      <c r="NA154" s="1319">
        <f t="shared" ca="1" si="1324"/>
        <v>0</v>
      </c>
      <c r="NB154" s="1319">
        <f t="shared" ca="1" si="1324"/>
        <v>0</v>
      </c>
      <c r="NC154" s="1319">
        <f t="shared" ca="1" si="1324"/>
        <v>0</v>
      </c>
      <c r="ND154" s="1319">
        <f t="shared" ca="1" si="1324"/>
        <v>0</v>
      </c>
      <c r="NE154" s="1319">
        <f t="shared" ca="1" si="1324"/>
        <v>0</v>
      </c>
      <c r="NF154" s="1319">
        <f t="shared" ca="1" si="1324"/>
        <v>0</v>
      </c>
      <c r="NG154" s="1319">
        <f t="shared" ca="1" si="1324"/>
        <v>0</v>
      </c>
      <c r="NH154" s="1319">
        <f t="shared" ca="1" si="1324"/>
        <v>0</v>
      </c>
      <c r="NI154" s="1319">
        <f t="shared" ca="1" si="1324"/>
        <v>0</v>
      </c>
      <c r="NJ154" s="1319">
        <f t="shared" ca="1" si="1324"/>
        <v>0</v>
      </c>
      <c r="NK154" s="1319">
        <f t="shared" ca="1" si="1324"/>
        <v>0</v>
      </c>
      <c r="NL154" s="1319">
        <f t="shared" ca="1" si="1324"/>
        <v>0</v>
      </c>
      <c r="NM154" s="1319">
        <f t="shared" ca="1" si="1324"/>
        <v>0</v>
      </c>
      <c r="NN154" s="1319">
        <f t="shared" ca="1" si="1324"/>
        <v>0</v>
      </c>
      <c r="NO154" s="1319">
        <f t="shared" ca="1" si="1324"/>
        <v>0</v>
      </c>
      <c r="NP154" s="1319">
        <f t="shared" ca="1" si="1324"/>
        <v>0</v>
      </c>
      <c r="NY154" s="1334"/>
      <c r="OE154" s="1334"/>
      <c r="OH154" s="1319">
        <f t="shared" ca="1" si="1325"/>
        <v>0</v>
      </c>
      <c r="OI154" s="1319">
        <f t="shared" ca="1" si="1325"/>
        <v>0</v>
      </c>
      <c r="OJ154" s="1319">
        <f t="shared" ca="1" si="1325"/>
        <v>0</v>
      </c>
      <c r="OK154" s="1319">
        <f t="shared" ca="1" si="1325"/>
        <v>0</v>
      </c>
      <c r="OL154" s="1319">
        <f t="shared" ca="1" si="1325"/>
        <v>0</v>
      </c>
      <c r="OM154" s="1319">
        <f t="shared" ca="1" si="1325"/>
        <v>0</v>
      </c>
      <c r="ON154" s="1319">
        <f t="shared" ca="1" si="1325"/>
        <v>0</v>
      </c>
      <c r="OO154" s="1319">
        <f t="shared" ca="1" si="1325"/>
        <v>0</v>
      </c>
      <c r="OX154" s="1334"/>
      <c r="PA154" s="1319">
        <f t="shared" ca="1" si="1326"/>
        <v>0</v>
      </c>
      <c r="PB154" s="1319">
        <f t="shared" ca="1" si="1326"/>
        <v>0</v>
      </c>
      <c r="PC154" s="1319">
        <f t="shared" ca="1" si="1326"/>
        <v>0</v>
      </c>
      <c r="PD154" s="1319">
        <f t="shared" ca="1" si="1326"/>
        <v>0</v>
      </c>
      <c r="PE154" s="1319">
        <f t="shared" ca="1" si="1326"/>
        <v>0</v>
      </c>
      <c r="PF154" s="1319">
        <f t="shared" ca="1" si="1326"/>
        <v>0</v>
      </c>
      <c r="PG154" s="1319">
        <f t="shared" ca="1" si="1326"/>
        <v>0</v>
      </c>
      <c r="PH154" s="1319">
        <f t="shared" ca="1" si="1326"/>
        <v>0</v>
      </c>
      <c r="PI154" s="1319">
        <f t="shared" ca="1" si="1326"/>
        <v>0</v>
      </c>
      <c r="PJ154" s="1319">
        <f t="shared" ca="1" si="1326"/>
        <v>0</v>
      </c>
      <c r="PK154" s="1319">
        <f t="shared" ca="1" si="1326"/>
        <v>0</v>
      </c>
      <c r="PT154" s="1334"/>
      <c r="PW154" s="1319">
        <f t="shared" ca="1" si="1305"/>
        <v>0</v>
      </c>
      <c r="PX154" s="1319">
        <f t="shared" ca="1" si="1305"/>
        <v>0</v>
      </c>
      <c r="PY154" s="1319">
        <f t="shared" ca="1" si="1305"/>
        <v>0</v>
      </c>
      <c r="PZ154" s="1319">
        <f t="shared" ca="1" si="1305"/>
        <v>0</v>
      </c>
    </row>
    <row r="155" spans="1:442" x14ac:dyDescent="0.25">
      <c r="A155" s="189">
        <v>44</v>
      </c>
      <c r="B155" s="189" t="s">
        <v>1256</v>
      </c>
      <c r="C155" s="1317" t="s">
        <v>1289</v>
      </c>
      <c r="D155" s="1317" t="s">
        <v>206</v>
      </c>
      <c r="E155" s="1318">
        <v>44.009800000000006</v>
      </c>
      <c r="F155" s="1316">
        <v>0</v>
      </c>
      <c r="G155" s="1334"/>
      <c r="J155" s="1319">
        <f t="shared" ref="J155:K176" ca="1" si="1327">VLOOKUP(J$1,INDIRECT(LU_MAT),$A155,FALSE)*$F155/$E155</f>
        <v>0</v>
      </c>
      <c r="K155" s="1319">
        <f t="shared" ca="1" si="1327"/>
        <v>0</v>
      </c>
      <c r="Q155" s="1334"/>
      <c r="T155" s="1319">
        <f t="shared" ref="T155:AD164" ca="1" si="1328">VLOOKUP(T$1,INDIRECT(LU_MAT),$A155,FALSE)*$F155/$E155</f>
        <v>0</v>
      </c>
      <c r="U155" s="1319">
        <f t="shared" ca="1" si="1328"/>
        <v>0</v>
      </c>
      <c r="V155" s="1319">
        <f t="shared" ca="1" si="1328"/>
        <v>0</v>
      </c>
      <c r="W155" s="1319">
        <f t="shared" ca="1" si="1328"/>
        <v>0</v>
      </c>
      <c r="X155" s="1319">
        <f t="shared" ca="1" si="1328"/>
        <v>0</v>
      </c>
      <c r="Y155" s="1319">
        <f t="shared" ca="1" si="1328"/>
        <v>0</v>
      </c>
      <c r="Z155" s="1319">
        <f t="shared" ca="1" si="1328"/>
        <v>0</v>
      </c>
      <c r="AA155" s="1319">
        <f t="shared" ca="1" si="1328"/>
        <v>0</v>
      </c>
      <c r="AB155" s="1319">
        <f t="shared" ca="1" si="1328"/>
        <v>0</v>
      </c>
      <c r="AC155" s="1319">
        <f t="shared" ca="1" si="1328"/>
        <v>0</v>
      </c>
      <c r="AD155" s="1319">
        <f t="shared" ca="1" si="1328"/>
        <v>0</v>
      </c>
      <c r="AJ155" s="1334"/>
      <c r="AM155" s="1319">
        <f t="shared" ref="AM155:BB164" ca="1" si="1329">VLOOKUP(AM$1,INDIRECT(LU_MAT),$A155,FALSE)*$F155/$E155</f>
        <v>0</v>
      </c>
      <c r="AN155" s="1319">
        <f t="shared" ca="1" si="1329"/>
        <v>0</v>
      </c>
      <c r="AO155" s="1319">
        <f t="shared" ca="1" si="1329"/>
        <v>0</v>
      </c>
      <c r="AP155" s="1319">
        <f t="shared" ca="1" si="1329"/>
        <v>0</v>
      </c>
      <c r="AQ155" s="1319">
        <f t="shared" ca="1" si="1329"/>
        <v>0</v>
      </c>
      <c r="AR155" s="1319">
        <f t="shared" ca="1" si="1329"/>
        <v>0</v>
      </c>
      <c r="AS155" s="1319">
        <f t="shared" ca="1" si="1329"/>
        <v>0</v>
      </c>
      <c r="AT155" s="1319">
        <f t="shared" ca="1" si="1329"/>
        <v>0</v>
      </c>
      <c r="AU155" s="1319">
        <f t="shared" ca="1" si="1329"/>
        <v>0</v>
      </c>
      <c r="AV155" s="1319">
        <f t="shared" ca="1" si="1329"/>
        <v>0</v>
      </c>
      <c r="AW155" s="1319">
        <f t="shared" ca="1" si="1329"/>
        <v>0</v>
      </c>
      <c r="AX155" s="1319">
        <f t="shared" ca="1" si="1329"/>
        <v>0</v>
      </c>
      <c r="AY155" s="1319">
        <f t="shared" ca="1" si="1329"/>
        <v>0</v>
      </c>
      <c r="AZ155" s="1319">
        <f t="shared" ca="1" si="1329"/>
        <v>0</v>
      </c>
      <c r="BA155" s="1319">
        <f t="shared" ca="1" si="1329"/>
        <v>0</v>
      </c>
      <c r="BB155" s="1319">
        <f t="shared" ca="1" si="1329"/>
        <v>0</v>
      </c>
      <c r="BK155" s="1334"/>
      <c r="BN155" s="1319">
        <f t="shared" ref="BN155:BR164" ca="1" si="1330">VLOOKUP(BN$1,INDIRECT(LU_MAT),$A155,FALSE)*$F155/$E155</f>
        <v>0</v>
      </c>
      <c r="BO155" s="1319">
        <f t="shared" ca="1" si="1330"/>
        <v>0</v>
      </c>
      <c r="BP155" s="1319">
        <f t="shared" ca="1" si="1330"/>
        <v>0</v>
      </c>
      <c r="BQ155" s="1319">
        <f t="shared" ca="1" si="1330"/>
        <v>0</v>
      </c>
      <c r="BR155" s="1319">
        <f t="shared" ca="1" si="1330"/>
        <v>0</v>
      </c>
      <c r="CA155" s="1334"/>
      <c r="CD155" s="1319">
        <f t="shared" ref="CD155:CO164" ca="1" si="1331">VLOOKUP(CD$1,INDIRECT(LU_MAT),$A155,FALSE)*$F155/$E155</f>
        <v>0</v>
      </c>
      <c r="CE155" s="1319">
        <f t="shared" ca="1" si="1331"/>
        <v>0</v>
      </c>
      <c r="CF155" s="1319">
        <f t="shared" ca="1" si="1331"/>
        <v>0</v>
      </c>
      <c r="CG155" s="1319">
        <f t="shared" ca="1" si="1331"/>
        <v>0</v>
      </c>
      <c r="CH155" s="1319">
        <f t="shared" ca="1" si="1331"/>
        <v>0</v>
      </c>
      <c r="CI155" s="1319">
        <f t="shared" ca="1" si="1331"/>
        <v>0</v>
      </c>
      <c r="CJ155" s="1319">
        <f t="shared" ca="1" si="1331"/>
        <v>0</v>
      </c>
      <c r="CK155" s="1319">
        <f t="shared" ca="1" si="1331"/>
        <v>0</v>
      </c>
      <c r="CL155" s="1319">
        <f t="shared" ca="1" si="1331"/>
        <v>0</v>
      </c>
      <c r="CM155" s="1319">
        <f t="shared" ca="1" si="1331"/>
        <v>0</v>
      </c>
      <c r="CN155" s="1319">
        <f t="shared" ca="1" si="1331"/>
        <v>0</v>
      </c>
      <c r="CO155" s="1319">
        <f t="shared" ca="1" si="1331"/>
        <v>0</v>
      </c>
      <c r="CX155" s="1334"/>
      <c r="DA155" s="1319">
        <f t="shared" ref="DA155:DJ164" ca="1" si="1332">VLOOKUP(DA$1,INDIRECT(LU_MAT),$A155,FALSE)*$F155/$E155</f>
        <v>0</v>
      </c>
      <c r="DB155" s="1319">
        <f t="shared" ca="1" si="1332"/>
        <v>0</v>
      </c>
      <c r="DC155" s="1319">
        <f t="shared" ca="1" si="1332"/>
        <v>0</v>
      </c>
      <c r="DD155" s="1319">
        <f t="shared" ca="1" si="1332"/>
        <v>0</v>
      </c>
      <c r="DE155" s="1319">
        <f t="shared" ca="1" si="1332"/>
        <v>0</v>
      </c>
      <c r="DF155" s="1319">
        <f t="shared" ca="1" si="1332"/>
        <v>0</v>
      </c>
      <c r="DG155" s="1319">
        <f t="shared" ca="1" si="1332"/>
        <v>0</v>
      </c>
      <c r="DH155" s="1319">
        <f t="shared" ca="1" si="1332"/>
        <v>0</v>
      </c>
      <c r="DI155" s="1319">
        <f t="shared" ca="1" si="1332"/>
        <v>0</v>
      </c>
      <c r="DJ155" s="1319">
        <f t="shared" ca="1" si="1332"/>
        <v>0</v>
      </c>
      <c r="DS155" s="1334"/>
      <c r="DV155" s="1319">
        <f t="shared" ref="DV155:EK164" ca="1" si="1333">VLOOKUP(DV$1,INDIRECT(LU_MAT),$A155,FALSE)*$F155/$E155</f>
        <v>0</v>
      </c>
      <c r="DW155" s="1319">
        <f t="shared" ca="1" si="1333"/>
        <v>0</v>
      </c>
      <c r="DX155" s="1319">
        <f t="shared" ca="1" si="1333"/>
        <v>0</v>
      </c>
      <c r="DY155" s="1319">
        <f t="shared" ca="1" si="1333"/>
        <v>0</v>
      </c>
      <c r="DZ155" s="1319">
        <f t="shared" ca="1" si="1333"/>
        <v>0</v>
      </c>
      <c r="EA155" s="1319">
        <f t="shared" ca="1" si="1333"/>
        <v>0</v>
      </c>
      <c r="EB155" s="1319">
        <f t="shared" ca="1" si="1333"/>
        <v>0</v>
      </c>
      <c r="EC155" s="1319">
        <f t="shared" ca="1" si="1333"/>
        <v>0</v>
      </c>
      <c r="ED155" s="1319">
        <f t="shared" ca="1" si="1333"/>
        <v>0</v>
      </c>
      <c r="EE155" s="1319">
        <f t="shared" ca="1" si="1333"/>
        <v>0</v>
      </c>
      <c r="EF155" s="1319">
        <f t="shared" ca="1" si="1333"/>
        <v>0</v>
      </c>
      <c r="EG155" s="1319">
        <f t="shared" ca="1" si="1333"/>
        <v>0</v>
      </c>
      <c r="EH155" s="1319">
        <f t="shared" ca="1" si="1333"/>
        <v>0</v>
      </c>
      <c r="EI155" s="1319">
        <f t="shared" ca="1" si="1333"/>
        <v>0</v>
      </c>
      <c r="EJ155" s="1319">
        <f t="shared" ca="1" si="1333"/>
        <v>0</v>
      </c>
      <c r="EK155" s="1319">
        <f t="shared" ca="1" si="1333"/>
        <v>0</v>
      </c>
      <c r="ET155" s="1334"/>
      <c r="EW155" s="1319">
        <f t="shared" ref="EW155:FB164" ca="1" si="1334">VLOOKUP(EW$1,INDIRECT(LU_MAT),$A155,FALSE)*$F155/$E155</f>
        <v>0</v>
      </c>
      <c r="EX155" s="1319">
        <f t="shared" ca="1" si="1334"/>
        <v>0</v>
      </c>
      <c r="EY155" s="1319">
        <f t="shared" ca="1" si="1334"/>
        <v>0</v>
      </c>
      <c r="EZ155" s="1319">
        <f t="shared" ca="1" si="1334"/>
        <v>0</v>
      </c>
      <c r="FA155" s="1319">
        <f t="shared" ca="1" si="1334"/>
        <v>0</v>
      </c>
      <c r="FB155" s="1319">
        <f t="shared" ca="1" si="1334"/>
        <v>0</v>
      </c>
      <c r="FK155" s="1334"/>
      <c r="FN155" s="1319">
        <f t="shared" ref="FN155:FX164" ca="1" si="1335">VLOOKUP(FN$1,INDIRECT(LU_MAT),$A155,FALSE)*$F155/$E155</f>
        <v>0</v>
      </c>
      <c r="FO155" s="1319">
        <f t="shared" ca="1" si="1335"/>
        <v>0</v>
      </c>
      <c r="FP155" s="1319">
        <f t="shared" ca="1" si="1335"/>
        <v>0</v>
      </c>
      <c r="FQ155" s="1319">
        <f t="shared" ca="1" si="1335"/>
        <v>0</v>
      </c>
      <c r="FR155" s="1319">
        <f t="shared" ca="1" si="1335"/>
        <v>0</v>
      </c>
      <c r="FS155" s="1319">
        <f t="shared" ca="1" si="1335"/>
        <v>0</v>
      </c>
      <c r="FT155" s="1319">
        <f t="shared" ca="1" si="1335"/>
        <v>0</v>
      </c>
      <c r="FU155" s="1319">
        <f t="shared" ca="1" si="1335"/>
        <v>0</v>
      </c>
      <c r="FV155" s="1319">
        <f t="shared" ca="1" si="1335"/>
        <v>0</v>
      </c>
      <c r="FW155" s="1319">
        <f t="shared" ca="1" si="1335"/>
        <v>0</v>
      </c>
      <c r="FX155" s="1319">
        <f t="shared" ca="1" si="1335"/>
        <v>0</v>
      </c>
      <c r="GG155" s="1334"/>
      <c r="GJ155" s="1319">
        <f t="shared" ref="GJ155:GQ164" ca="1" si="1336">VLOOKUP(GJ$1,INDIRECT(LU_MAT),$A155,FALSE)*$F155/$E155</f>
        <v>0</v>
      </c>
      <c r="GK155" s="1319">
        <f t="shared" ca="1" si="1336"/>
        <v>0</v>
      </c>
      <c r="GL155" s="1319">
        <f t="shared" ca="1" si="1336"/>
        <v>0</v>
      </c>
      <c r="GM155" s="1319">
        <f t="shared" ca="1" si="1336"/>
        <v>0</v>
      </c>
      <c r="GN155" s="1319">
        <f t="shared" ca="1" si="1336"/>
        <v>0</v>
      </c>
      <c r="GO155" s="1319">
        <f t="shared" ca="1" si="1336"/>
        <v>0</v>
      </c>
      <c r="GP155" s="1319">
        <f t="shared" ca="1" si="1336"/>
        <v>0</v>
      </c>
      <c r="GQ155" s="1319">
        <f t="shared" ca="1" si="1336"/>
        <v>0</v>
      </c>
      <c r="GZ155" s="1334"/>
      <c r="HC155" s="1319">
        <f t="shared" ref="HC155:HH164" ca="1" si="1337">VLOOKUP(HC$1,INDIRECT(LU_MAT),$A155,FALSE)*$F155/$E155</f>
        <v>0</v>
      </c>
      <c r="HD155" s="1319">
        <f t="shared" ca="1" si="1337"/>
        <v>0</v>
      </c>
      <c r="HE155" s="1319">
        <f t="shared" ca="1" si="1337"/>
        <v>0</v>
      </c>
      <c r="HF155" s="1319">
        <f t="shared" ca="1" si="1337"/>
        <v>0</v>
      </c>
      <c r="HG155" s="1319">
        <f t="shared" ca="1" si="1337"/>
        <v>0</v>
      </c>
      <c r="HH155" s="1319">
        <f t="shared" ca="1" si="1337"/>
        <v>0</v>
      </c>
      <c r="HQ155" s="1334"/>
      <c r="HT155" s="1319">
        <f t="shared" ref="HT155:IE164" ca="1" si="1338">VLOOKUP(HT$1,INDIRECT(LU_MAT),$A155,FALSE)*$F155/$E155</f>
        <v>0</v>
      </c>
      <c r="HU155" s="1319">
        <f t="shared" ca="1" si="1338"/>
        <v>0</v>
      </c>
      <c r="HV155" s="1319">
        <f t="shared" ca="1" si="1338"/>
        <v>0</v>
      </c>
      <c r="HW155" s="1319">
        <f t="shared" ca="1" si="1338"/>
        <v>0</v>
      </c>
      <c r="HX155" s="1319">
        <f t="shared" ca="1" si="1338"/>
        <v>0</v>
      </c>
      <c r="HY155" s="1319">
        <f t="shared" ca="1" si="1338"/>
        <v>0</v>
      </c>
      <c r="HZ155" s="1319">
        <f t="shared" ca="1" si="1338"/>
        <v>0</v>
      </c>
      <c r="IA155" s="1319">
        <f t="shared" ca="1" si="1338"/>
        <v>0</v>
      </c>
      <c r="IB155" s="1319">
        <f t="shared" ca="1" si="1338"/>
        <v>0</v>
      </c>
      <c r="IC155" s="1319">
        <f t="shared" ca="1" si="1338"/>
        <v>0</v>
      </c>
      <c r="ID155" s="1319">
        <f t="shared" ca="1" si="1338"/>
        <v>0</v>
      </c>
      <c r="IE155" s="1319">
        <f t="shared" ca="1" si="1338"/>
        <v>0</v>
      </c>
      <c r="IN155" s="1334"/>
      <c r="IQ155" s="1319">
        <f t="shared" ref="IQ155:JA164" ca="1" si="1339">VLOOKUP(IQ$1,INDIRECT(LU_MAT),$A155,FALSE)*$F155/$E155</f>
        <v>0</v>
      </c>
      <c r="IR155" s="1319">
        <f t="shared" ca="1" si="1339"/>
        <v>0</v>
      </c>
      <c r="IS155" s="1319">
        <f t="shared" ca="1" si="1339"/>
        <v>0</v>
      </c>
      <c r="IT155" s="1319">
        <f t="shared" ca="1" si="1339"/>
        <v>0</v>
      </c>
      <c r="IU155" s="1319">
        <f t="shared" ca="1" si="1339"/>
        <v>0</v>
      </c>
      <c r="IV155" s="1319">
        <f t="shared" ca="1" si="1339"/>
        <v>0</v>
      </c>
      <c r="IW155" s="1319">
        <f t="shared" ca="1" si="1339"/>
        <v>0</v>
      </c>
      <c r="IX155" s="1319">
        <f t="shared" ca="1" si="1339"/>
        <v>0</v>
      </c>
      <c r="IY155" s="1319">
        <f t="shared" ca="1" si="1339"/>
        <v>0</v>
      </c>
      <c r="IZ155" s="1319">
        <f t="shared" ca="1" si="1339"/>
        <v>0</v>
      </c>
      <c r="JA155" s="1319">
        <f t="shared" ca="1" si="1339"/>
        <v>0</v>
      </c>
      <c r="JB155" s="1319">
        <f t="shared" ref="JB155:JH164" ca="1" si="1340">VLOOKUP(JB$1,INDIRECT(LU_MAT),$A155,FALSE)*$F155/$E155</f>
        <v>0</v>
      </c>
      <c r="JC155" s="1319">
        <f t="shared" ca="1" si="1340"/>
        <v>0</v>
      </c>
      <c r="JD155" s="1319">
        <f t="shared" ca="1" si="1340"/>
        <v>0</v>
      </c>
      <c r="JE155" s="1319">
        <f t="shared" ca="1" si="1340"/>
        <v>0</v>
      </c>
      <c r="JF155" s="1319">
        <f t="shared" ca="1" si="1340"/>
        <v>0</v>
      </c>
      <c r="JG155" s="1319">
        <f t="shared" ca="1" si="1340"/>
        <v>0</v>
      </c>
      <c r="JH155" s="1319">
        <f t="shared" ca="1" si="1340"/>
        <v>0</v>
      </c>
      <c r="JQ155" s="1334"/>
      <c r="JT155" s="1319">
        <f t="shared" ref="JT155:KC164" ca="1" si="1341">VLOOKUP(JT$1,INDIRECT(LU_MAT),$A155,FALSE)*$F155/$E155</f>
        <v>0</v>
      </c>
      <c r="JU155" s="1319">
        <f t="shared" ca="1" si="1341"/>
        <v>0</v>
      </c>
      <c r="JV155" s="1319">
        <f t="shared" ca="1" si="1341"/>
        <v>0</v>
      </c>
      <c r="JW155" s="1319">
        <f t="shared" ca="1" si="1341"/>
        <v>0</v>
      </c>
      <c r="JX155" s="1319">
        <f t="shared" ca="1" si="1341"/>
        <v>0</v>
      </c>
      <c r="JY155" s="1319">
        <f t="shared" ca="1" si="1341"/>
        <v>0</v>
      </c>
      <c r="JZ155" s="1319">
        <f t="shared" ca="1" si="1341"/>
        <v>0</v>
      </c>
      <c r="KA155" s="1319">
        <f t="shared" ca="1" si="1341"/>
        <v>0</v>
      </c>
      <c r="KB155" s="1319">
        <f t="shared" ca="1" si="1341"/>
        <v>0</v>
      </c>
      <c r="KC155" s="1319">
        <f t="shared" ca="1" si="1341"/>
        <v>0</v>
      </c>
      <c r="KI155" s="1334"/>
      <c r="KL155" s="1319">
        <f t="shared" ref="KL155:KR164" ca="1" si="1342">VLOOKUP(KL$1,INDIRECT(LU_MAT),$A155,FALSE)*$F155/$E155</f>
        <v>0</v>
      </c>
      <c r="KM155" s="1319">
        <f t="shared" ca="1" si="1342"/>
        <v>0</v>
      </c>
      <c r="KN155" s="1319">
        <f t="shared" ca="1" si="1342"/>
        <v>0</v>
      </c>
      <c r="KO155" s="1319">
        <f t="shared" ca="1" si="1342"/>
        <v>0</v>
      </c>
      <c r="KP155" s="1319">
        <f t="shared" ca="1" si="1342"/>
        <v>0</v>
      </c>
      <c r="KQ155" s="1319">
        <f t="shared" ca="1" si="1342"/>
        <v>0</v>
      </c>
      <c r="KR155" s="1319">
        <f t="shared" ca="1" si="1342"/>
        <v>0</v>
      </c>
      <c r="KX155" s="1334"/>
      <c r="LA155" s="1319">
        <f t="shared" ref="LA155:LK164" ca="1" si="1343">VLOOKUP(LA$1,INDIRECT(LU_MAT),$A155,FALSE)*$F155/$E155</f>
        <v>0</v>
      </c>
      <c r="LB155" s="1319">
        <f t="shared" ca="1" si="1343"/>
        <v>0</v>
      </c>
      <c r="LC155" s="1319">
        <f t="shared" ca="1" si="1343"/>
        <v>0</v>
      </c>
      <c r="LD155" s="1319">
        <f t="shared" ca="1" si="1343"/>
        <v>0</v>
      </c>
      <c r="LE155" s="1319">
        <f t="shared" ca="1" si="1343"/>
        <v>0</v>
      </c>
      <c r="LF155" s="1319">
        <f t="shared" ca="1" si="1343"/>
        <v>0</v>
      </c>
      <c r="LG155" s="1319">
        <f t="shared" ca="1" si="1343"/>
        <v>0</v>
      </c>
      <c r="LH155" s="1319">
        <f t="shared" ca="1" si="1343"/>
        <v>0</v>
      </c>
      <c r="LI155" s="1319">
        <f t="shared" ca="1" si="1343"/>
        <v>0</v>
      </c>
      <c r="LJ155" s="1319">
        <f t="shared" ca="1" si="1343"/>
        <v>0</v>
      </c>
      <c r="LK155" s="1319">
        <f t="shared" ca="1" si="1343"/>
        <v>0</v>
      </c>
      <c r="LT155" s="1334"/>
      <c r="LW155" s="1319">
        <f t="shared" ref="LW155:MF164" ca="1" si="1344">VLOOKUP(LW$1,INDIRECT(LU_MAT),$A155,FALSE)*$F155/$E155</f>
        <v>0</v>
      </c>
      <c r="LX155" s="1319">
        <f t="shared" ca="1" si="1344"/>
        <v>0</v>
      </c>
      <c r="LY155" s="1319">
        <f t="shared" ca="1" si="1344"/>
        <v>0</v>
      </c>
      <c r="LZ155" s="1319">
        <f t="shared" ca="1" si="1344"/>
        <v>0</v>
      </c>
      <c r="MA155" s="1319">
        <f t="shared" ca="1" si="1344"/>
        <v>0</v>
      </c>
      <c r="MB155" s="1319">
        <f t="shared" ca="1" si="1344"/>
        <v>0</v>
      </c>
      <c r="MC155" s="1319">
        <f t="shared" ca="1" si="1344"/>
        <v>0</v>
      </c>
      <c r="MD155" s="1319">
        <f t="shared" ca="1" si="1344"/>
        <v>0</v>
      </c>
      <c r="ME155" s="1319">
        <f t="shared" ca="1" si="1344"/>
        <v>0</v>
      </c>
      <c r="MF155" s="1319">
        <f t="shared" ca="1" si="1344"/>
        <v>0</v>
      </c>
      <c r="MG155" s="1319">
        <f t="shared" ref="MG155:MO164" ca="1" si="1345">VLOOKUP(MG$1,INDIRECT(LU_MAT),$A155,FALSE)*$F155/$E155</f>
        <v>0</v>
      </c>
      <c r="MH155" s="1319">
        <f t="shared" ca="1" si="1345"/>
        <v>0</v>
      </c>
      <c r="MI155" s="1319">
        <f t="shared" ca="1" si="1345"/>
        <v>0</v>
      </c>
      <c r="MJ155" s="1319">
        <f t="shared" ca="1" si="1345"/>
        <v>0</v>
      </c>
      <c r="MK155" s="1319">
        <f t="shared" ca="1" si="1345"/>
        <v>0</v>
      </c>
      <c r="ML155" s="1319">
        <f t="shared" ca="1" si="1345"/>
        <v>0</v>
      </c>
      <c r="MM155" s="1319">
        <f t="shared" ca="1" si="1345"/>
        <v>0</v>
      </c>
      <c r="MN155" s="1319">
        <f t="shared" ca="1" si="1345"/>
        <v>0</v>
      </c>
      <c r="MO155" s="1319">
        <f t="shared" ca="1" si="1345"/>
        <v>0</v>
      </c>
      <c r="MX155" s="1334"/>
      <c r="NA155" s="1319">
        <f t="shared" ref="NA155:NP164" ca="1" si="1346">VLOOKUP(NA$1,INDIRECT(LU_MAT),$A155,FALSE)*$F155/$E155</f>
        <v>0</v>
      </c>
      <c r="NB155" s="1319">
        <f t="shared" ca="1" si="1346"/>
        <v>0</v>
      </c>
      <c r="NC155" s="1319">
        <f t="shared" ca="1" si="1346"/>
        <v>0</v>
      </c>
      <c r="ND155" s="1319">
        <f t="shared" ca="1" si="1346"/>
        <v>0</v>
      </c>
      <c r="NE155" s="1319">
        <f t="shared" ca="1" si="1346"/>
        <v>0</v>
      </c>
      <c r="NF155" s="1319">
        <f t="shared" ca="1" si="1346"/>
        <v>0</v>
      </c>
      <c r="NG155" s="1319">
        <f t="shared" ca="1" si="1346"/>
        <v>0</v>
      </c>
      <c r="NH155" s="1319">
        <f t="shared" ca="1" si="1346"/>
        <v>0</v>
      </c>
      <c r="NI155" s="1319">
        <f t="shared" ca="1" si="1346"/>
        <v>0</v>
      </c>
      <c r="NJ155" s="1319">
        <f t="shared" ca="1" si="1346"/>
        <v>0</v>
      </c>
      <c r="NK155" s="1319">
        <f t="shared" ca="1" si="1346"/>
        <v>0</v>
      </c>
      <c r="NL155" s="1319">
        <f t="shared" ca="1" si="1346"/>
        <v>0</v>
      </c>
      <c r="NM155" s="1319">
        <f t="shared" ca="1" si="1346"/>
        <v>0</v>
      </c>
      <c r="NN155" s="1319">
        <f t="shared" ca="1" si="1346"/>
        <v>0</v>
      </c>
      <c r="NO155" s="1319">
        <f t="shared" ca="1" si="1346"/>
        <v>0</v>
      </c>
      <c r="NP155" s="1319">
        <f t="shared" ca="1" si="1346"/>
        <v>0</v>
      </c>
      <c r="NY155" s="1334"/>
      <c r="OE155" s="1334"/>
      <c r="OH155" s="1319">
        <f t="shared" ref="OH155:OO164" ca="1" si="1347">VLOOKUP(OH$1,INDIRECT(LU_MAT),$A155,FALSE)*$F155/$E155</f>
        <v>0</v>
      </c>
      <c r="OI155" s="1319">
        <f t="shared" ca="1" si="1347"/>
        <v>0</v>
      </c>
      <c r="OJ155" s="1319">
        <f t="shared" ca="1" si="1347"/>
        <v>0</v>
      </c>
      <c r="OK155" s="1319">
        <f t="shared" ca="1" si="1347"/>
        <v>0</v>
      </c>
      <c r="OL155" s="1319">
        <f t="shared" ca="1" si="1347"/>
        <v>0</v>
      </c>
      <c r="OM155" s="1319">
        <f t="shared" ca="1" si="1347"/>
        <v>0</v>
      </c>
      <c r="ON155" s="1319">
        <f t="shared" ca="1" si="1347"/>
        <v>0</v>
      </c>
      <c r="OO155" s="1319">
        <f t="shared" ca="1" si="1347"/>
        <v>0</v>
      </c>
      <c r="OX155" s="1334"/>
      <c r="PA155" s="1319">
        <f t="shared" ref="PA155:PK164" ca="1" si="1348">VLOOKUP(PA$1,INDIRECT(LU_MAT),$A155,FALSE)*$F155/$E155</f>
        <v>0</v>
      </c>
      <c r="PB155" s="1319">
        <f t="shared" ca="1" si="1348"/>
        <v>0</v>
      </c>
      <c r="PC155" s="1319">
        <f t="shared" ca="1" si="1348"/>
        <v>0</v>
      </c>
      <c r="PD155" s="1319">
        <f t="shared" ca="1" si="1348"/>
        <v>0</v>
      </c>
      <c r="PE155" s="1319">
        <f t="shared" ca="1" si="1348"/>
        <v>0</v>
      </c>
      <c r="PF155" s="1319">
        <f t="shared" ca="1" si="1348"/>
        <v>0</v>
      </c>
      <c r="PG155" s="1319">
        <f t="shared" ca="1" si="1348"/>
        <v>0</v>
      </c>
      <c r="PH155" s="1319">
        <f t="shared" ca="1" si="1348"/>
        <v>0</v>
      </c>
      <c r="PI155" s="1319">
        <f t="shared" ca="1" si="1348"/>
        <v>0</v>
      </c>
      <c r="PJ155" s="1319">
        <f t="shared" ca="1" si="1348"/>
        <v>0</v>
      </c>
      <c r="PK155" s="1319">
        <f t="shared" ca="1" si="1348"/>
        <v>0</v>
      </c>
      <c r="PT155" s="1334"/>
      <c r="PW155" s="1319">
        <f t="shared" ref="PW155:PZ176" ca="1" si="1349">VLOOKUP(PW$1,INDIRECT(LU_MAT),$A155,FALSE)*$F155/$E155</f>
        <v>0</v>
      </c>
      <c r="PX155" s="1319">
        <f t="shared" ca="1" si="1349"/>
        <v>0</v>
      </c>
      <c r="PY155" s="1319">
        <f t="shared" ca="1" si="1349"/>
        <v>0</v>
      </c>
      <c r="PZ155" s="1319">
        <f t="shared" ca="1" si="1349"/>
        <v>0</v>
      </c>
    </row>
    <row r="156" spans="1:442" x14ac:dyDescent="0.25">
      <c r="A156" s="189">
        <v>45</v>
      </c>
      <c r="B156" s="189" t="s">
        <v>1256</v>
      </c>
      <c r="C156" s="1317" t="s">
        <v>1291</v>
      </c>
      <c r="D156" s="1317" t="s">
        <v>206</v>
      </c>
      <c r="E156" s="1318">
        <v>16.042760000000001</v>
      </c>
      <c r="F156" s="1316">
        <v>-0.19170201586000002</v>
      </c>
      <c r="G156" s="1334"/>
      <c r="J156" s="1319">
        <f t="shared" ca="1" si="1327"/>
        <v>0</v>
      </c>
      <c r="K156" s="1319">
        <f t="shared" ca="1" si="1327"/>
        <v>0</v>
      </c>
      <c r="Q156" s="1334"/>
      <c r="T156" s="1319">
        <f t="shared" ca="1" si="1328"/>
        <v>0</v>
      </c>
      <c r="U156" s="1319">
        <f t="shared" ca="1" si="1328"/>
        <v>0</v>
      </c>
      <c r="V156" s="1319">
        <f t="shared" ca="1" si="1328"/>
        <v>0</v>
      </c>
      <c r="W156" s="1319">
        <f t="shared" ca="1" si="1328"/>
        <v>0</v>
      </c>
      <c r="X156" s="1319">
        <f t="shared" ca="1" si="1328"/>
        <v>0</v>
      </c>
      <c r="Y156" s="1319">
        <f t="shared" ca="1" si="1328"/>
        <v>0</v>
      </c>
      <c r="Z156" s="1319">
        <f t="shared" ca="1" si="1328"/>
        <v>0</v>
      </c>
      <c r="AA156" s="1319">
        <f t="shared" ca="1" si="1328"/>
        <v>0</v>
      </c>
      <c r="AB156" s="1319">
        <f t="shared" ca="1" si="1328"/>
        <v>0</v>
      </c>
      <c r="AC156" s="1319">
        <f t="shared" ca="1" si="1328"/>
        <v>0</v>
      </c>
      <c r="AD156" s="1319">
        <f t="shared" ca="1" si="1328"/>
        <v>0</v>
      </c>
      <c r="AJ156" s="1334"/>
      <c r="AM156" s="1319">
        <f t="shared" ca="1" si="1329"/>
        <v>0</v>
      </c>
      <c r="AN156" s="1319">
        <f t="shared" ca="1" si="1329"/>
        <v>0</v>
      </c>
      <c r="AO156" s="1319">
        <f t="shared" ca="1" si="1329"/>
        <v>0</v>
      </c>
      <c r="AP156" s="1319">
        <f t="shared" ca="1" si="1329"/>
        <v>0</v>
      </c>
      <c r="AQ156" s="1319">
        <f t="shared" ca="1" si="1329"/>
        <v>0</v>
      </c>
      <c r="AR156" s="1319">
        <f t="shared" ca="1" si="1329"/>
        <v>0</v>
      </c>
      <c r="AS156" s="1319">
        <f t="shared" ca="1" si="1329"/>
        <v>0</v>
      </c>
      <c r="AT156" s="1319">
        <f t="shared" ca="1" si="1329"/>
        <v>0</v>
      </c>
      <c r="AU156" s="1319">
        <f t="shared" ca="1" si="1329"/>
        <v>0</v>
      </c>
      <c r="AV156" s="1319">
        <f t="shared" ca="1" si="1329"/>
        <v>0</v>
      </c>
      <c r="AW156" s="1319">
        <f t="shared" ca="1" si="1329"/>
        <v>0</v>
      </c>
      <c r="AX156" s="1319">
        <f t="shared" ca="1" si="1329"/>
        <v>0</v>
      </c>
      <c r="AY156" s="1319">
        <f t="shared" ca="1" si="1329"/>
        <v>0</v>
      </c>
      <c r="AZ156" s="1319">
        <f t="shared" ca="1" si="1329"/>
        <v>0</v>
      </c>
      <c r="BA156" s="1319">
        <f t="shared" ca="1" si="1329"/>
        <v>0</v>
      </c>
      <c r="BB156" s="1319">
        <f t="shared" ca="1" si="1329"/>
        <v>0</v>
      </c>
      <c r="BK156" s="1334"/>
      <c r="BN156" s="1319">
        <f t="shared" ca="1" si="1330"/>
        <v>0</v>
      </c>
      <c r="BO156" s="1319">
        <f t="shared" ca="1" si="1330"/>
        <v>0</v>
      </c>
      <c r="BP156" s="1319">
        <f t="shared" ca="1" si="1330"/>
        <v>0</v>
      </c>
      <c r="BQ156" s="1319">
        <f t="shared" ca="1" si="1330"/>
        <v>0</v>
      </c>
      <c r="BR156" s="1319">
        <f t="shared" ca="1" si="1330"/>
        <v>0</v>
      </c>
      <c r="CA156" s="1334"/>
      <c r="CD156" s="1319">
        <f t="shared" ca="1" si="1331"/>
        <v>0</v>
      </c>
      <c r="CE156" s="1319">
        <f t="shared" ca="1" si="1331"/>
        <v>0</v>
      </c>
      <c r="CF156" s="1319">
        <f t="shared" ca="1" si="1331"/>
        <v>0</v>
      </c>
      <c r="CG156" s="1319">
        <f t="shared" ca="1" si="1331"/>
        <v>0</v>
      </c>
      <c r="CH156" s="1319">
        <f t="shared" ca="1" si="1331"/>
        <v>0</v>
      </c>
      <c r="CI156" s="1319">
        <f t="shared" ca="1" si="1331"/>
        <v>0</v>
      </c>
      <c r="CJ156" s="1319">
        <f t="shared" ca="1" si="1331"/>
        <v>0</v>
      </c>
      <c r="CK156" s="1319">
        <f t="shared" ca="1" si="1331"/>
        <v>0</v>
      </c>
      <c r="CL156" s="1319">
        <f t="shared" ca="1" si="1331"/>
        <v>0</v>
      </c>
      <c r="CM156" s="1319">
        <f t="shared" ca="1" si="1331"/>
        <v>0</v>
      </c>
      <c r="CN156" s="1319">
        <f t="shared" ca="1" si="1331"/>
        <v>0</v>
      </c>
      <c r="CO156" s="1319">
        <f t="shared" ca="1" si="1331"/>
        <v>0</v>
      </c>
      <c r="CX156" s="1334"/>
      <c r="DA156" s="1319">
        <f t="shared" ca="1" si="1332"/>
        <v>0</v>
      </c>
      <c r="DB156" s="1319">
        <f t="shared" ca="1" si="1332"/>
        <v>0</v>
      </c>
      <c r="DC156" s="1319">
        <f t="shared" ca="1" si="1332"/>
        <v>0</v>
      </c>
      <c r="DD156" s="1319">
        <f t="shared" ca="1" si="1332"/>
        <v>0</v>
      </c>
      <c r="DE156" s="1319">
        <f t="shared" ca="1" si="1332"/>
        <v>0</v>
      </c>
      <c r="DF156" s="1319">
        <f t="shared" ca="1" si="1332"/>
        <v>0</v>
      </c>
      <c r="DG156" s="1319">
        <f t="shared" ca="1" si="1332"/>
        <v>0</v>
      </c>
      <c r="DH156" s="1319">
        <f t="shared" ca="1" si="1332"/>
        <v>0</v>
      </c>
      <c r="DI156" s="1319">
        <f t="shared" ca="1" si="1332"/>
        <v>0</v>
      </c>
      <c r="DJ156" s="1319">
        <f t="shared" ca="1" si="1332"/>
        <v>0</v>
      </c>
      <c r="DS156" s="1334"/>
      <c r="DV156" s="1319">
        <f t="shared" ca="1" si="1333"/>
        <v>0</v>
      </c>
      <c r="DW156" s="1319">
        <f t="shared" ca="1" si="1333"/>
        <v>0</v>
      </c>
      <c r="DX156" s="1319">
        <f t="shared" ca="1" si="1333"/>
        <v>0</v>
      </c>
      <c r="DY156" s="1319">
        <f t="shared" ca="1" si="1333"/>
        <v>0</v>
      </c>
      <c r="DZ156" s="1319">
        <f t="shared" ca="1" si="1333"/>
        <v>0</v>
      </c>
      <c r="EA156" s="1319">
        <f t="shared" ca="1" si="1333"/>
        <v>0</v>
      </c>
      <c r="EB156" s="1319">
        <f t="shared" ca="1" si="1333"/>
        <v>0</v>
      </c>
      <c r="EC156" s="1319">
        <f t="shared" ca="1" si="1333"/>
        <v>0</v>
      </c>
      <c r="ED156" s="1319">
        <f t="shared" ca="1" si="1333"/>
        <v>0</v>
      </c>
      <c r="EE156" s="1319">
        <f t="shared" ca="1" si="1333"/>
        <v>0</v>
      </c>
      <c r="EF156" s="1319">
        <f t="shared" ca="1" si="1333"/>
        <v>0</v>
      </c>
      <c r="EG156" s="1319">
        <f t="shared" ca="1" si="1333"/>
        <v>0</v>
      </c>
      <c r="EH156" s="1319">
        <f t="shared" ca="1" si="1333"/>
        <v>0</v>
      </c>
      <c r="EI156" s="1319">
        <f t="shared" ca="1" si="1333"/>
        <v>0</v>
      </c>
      <c r="EJ156" s="1319">
        <f t="shared" ca="1" si="1333"/>
        <v>0</v>
      </c>
      <c r="EK156" s="1319">
        <f t="shared" ca="1" si="1333"/>
        <v>0</v>
      </c>
      <c r="ET156" s="1334"/>
      <c r="EW156" s="1319">
        <f t="shared" ca="1" si="1334"/>
        <v>0</v>
      </c>
      <c r="EX156" s="1319">
        <f t="shared" ca="1" si="1334"/>
        <v>0</v>
      </c>
      <c r="EY156" s="1319">
        <f t="shared" ca="1" si="1334"/>
        <v>0</v>
      </c>
      <c r="EZ156" s="1319">
        <f t="shared" ca="1" si="1334"/>
        <v>0</v>
      </c>
      <c r="FA156" s="1319">
        <f t="shared" ca="1" si="1334"/>
        <v>0</v>
      </c>
      <c r="FB156" s="1319">
        <f t="shared" ca="1" si="1334"/>
        <v>0</v>
      </c>
      <c r="FK156" s="1334"/>
      <c r="FN156" s="1319">
        <f t="shared" ca="1" si="1335"/>
        <v>0</v>
      </c>
      <c r="FO156" s="1319">
        <f t="shared" ca="1" si="1335"/>
        <v>0</v>
      </c>
      <c r="FP156" s="1319">
        <f t="shared" ca="1" si="1335"/>
        <v>0</v>
      </c>
      <c r="FQ156" s="1319">
        <f t="shared" ca="1" si="1335"/>
        <v>0</v>
      </c>
      <c r="FR156" s="1319">
        <f t="shared" ca="1" si="1335"/>
        <v>0</v>
      </c>
      <c r="FS156" s="1319">
        <f t="shared" ca="1" si="1335"/>
        <v>0</v>
      </c>
      <c r="FT156" s="1319">
        <f t="shared" ca="1" si="1335"/>
        <v>0</v>
      </c>
      <c r="FU156" s="1319">
        <f t="shared" ca="1" si="1335"/>
        <v>0</v>
      </c>
      <c r="FV156" s="1319">
        <f t="shared" ca="1" si="1335"/>
        <v>0</v>
      </c>
      <c r="FW156" s="1319">
        <f t="shared" ca="1" si="1335"/>
        <v>0</v>
      </c>
      <c r="FX156" s="1319">
        <f t="shared" ca="1" si="1335"/>
        <v>0</v>
      </c>
      <c r="GG156" s="1334"/>
      <c r="GJ156" s="1319">
        <f t="shared" ca="1" si="1336"/>
        <v>0</v>
      </c>
      <c r="GK156" s="1319">
        <f t="shared" ca="1" si="1336"/>
        <v>0</v>
      </c>
      <c r="GL156" s="1319">
        <f t="shared" ca="1" si="1336"/>
        <v>0</v>
      </c>
      <c r="GM156" s="1319">
        <f t="shared" ca="1" si="1336"/>
        <v>0</v>
      </c>
      <c r="GN156" s="1319">
        <f t="shared" ca="1" si="1336"/>
        <v>0</v>
      </c>
      <c r="GO156" s="1319">
        <f t="shared" ca="1" si="1336"/>
        <v>0</v>
      </c>
      <c r="GP156" s="1319">
        <f t="shared" ca="1" si="1336"/>
        <v>0</v>
      </c>
      <c r="GQ156" s="1319">
        <f t="shared" ca="1" si="1336"/>
        <v>0</v>
      </c>
      <c r="GZ156" s="1334"/>
      <c r="HC156" s="1319">
        <f t="shared" ca="1" si="1337"/>
        <v>0</v>
      </c>
      <c r="HD156" s="1319">
        <f t="shared" ca="1" si="1337"/>
        <v>0</v>
      </c>
      <c r="HE156" s="1319">
        <f t="shared" ca="1" si="1337"/>
        <v>0</v>
      </c>
      <c r="HF156" s="1319">
        <f t="shared" ca="1" si="1337"/>
        <v>0</v>
      </c>
      <c r="HG156" s="1319">
        <f t="shared" ca="1" si="1337"/>
        <v>0</v>
      </c>
      <c r="HH156" s="1319">
        <f t="shared" ca="1" si="1337"/>
        <v>0</v>
      </c>
      <c r="HQ156" s="1334"/>
      <c r="HT156" s="1319">
        <f t="shared" ca="1" si="1338"/>
        <v>0</v>
      </c>
      <c r="HU156" s="1319">
        <f t="shared" ca="1" si="1338"/>
        <v>0</v>
      </c>
      <c r="HV156" s="1319">
        <f t="shared" ca="1" si="1338"/>
        <v>0</v>
      </c>
      <c r="HW156" s="1319">
        <f t="shared" ca="1" si="1338"/>
        <v>0</v>
      </c>
      <c r="HX156" s="1319">
        <f t="shared" ca="1" si="1338"/>
        <v>-3.6802348305725319E-2</v>
      </c>
      <c r="HY156" s="1319">
        <f t="shared" ca="1" si="1338"/>
        <v>-2.7986061767833262E-3</v>
      </c>
      <c r="HZ156" s="1319">
        <f t="shared" ca="1" si="1338"/>
        <v>-64.268841801908223</v>
      </c>
      <c r="IA156" s="1319">
        <f t="shared" ca="1" si="1338"/>
        <v>-2.5540160779642735E-6</v>
      </c>
      <c r="IB156" s="1319">
        <f t="shared" ca="1" si="1338"/>
        <v>0</v>
      </c>
      <c r="IC156" s="1319">
        <f t="shared" ca="1" si="1338"/>
        <v>0</v>
      </c>
      <c r="ID156" s="1319">
        <f t="shared" ca="1" si="1338"/>
        <v>0</v>
      </c>
      <c r="IE156" s="1319">
        <f t="shared" ca="1" si="1338"/>
        <v>0</v>
      </c>
      <c r="IN156" s="1334"/>
      <c r="IQ156" s="1319">
        <f t="shared" ca="1" si="1339"/>
        <v>-3.6802348305725319E-2</v>
      </c>
      <c r="IR156" s="1319">
        <f t="shared" ca="1" si="1339"/>
        <v>-2.7986061767833262E-3</v>
      </c>
      <c r="IS156" s="1319">
        <f t="shared" ca="1" si="1339"/>
        <v>-6.3365642937134421E-7</v>
      </c>
      <c r="IT156" s="1319">
        <f t="shared" ca="1" si="1339"/>
        <v>-2.7992398317465013E-3</v>
      </c>
      <c r="IU156" s="1319">
        <f t="shared" ca="1" si="1339"/>
        <v>-2.6125208164754104E-3</v>
      </c>
      <c r="IV156" s="1319">
        <f t="shared" ca="1" si="1339"/>
        <v>-1.8574520632233768E-5</v>
      </c>
      <c r="IW156" s="1319">
        <f t="shared" ca="1" si="1339"/>
        <v>-1.5207754367049355E-5</v>
      </c>
      <c r="IX156" s="1319">
        <f t="shared" ca="1" si="1339"/>
        <v>-3.941150231937026E-2</v>
      </c>
      <c r="IY156" s="1319">
        <f t="shared" ca="1" si="1339"/>
        <v>-1.8671902244075535E-4</v>
      </c>
      <c r="IZ156" s="1319">
        <f t="shared" ca="1" si="1339"/>
        <v>-2.7331745265024066E-6</v>
      </c>
      <c r="JA156" s="1319">
        <f t="shared" ca="1" si="1339"/>
        <v>-1.5841410764157209E-5</v>
      </c>
      <c r="JB156" s="1319">
        <f t="shared" ca="1" si="1340"/>
        <v>0</v>
      </c>
      <c r="JC156" s="1319">
        <f t="shared" ca="1" si="1340"/>
        <v>-1.7915843897857986E-7</v>
      </c>
      <c r="JD156" s="1319">
        <f t="shared" ca="1" si="1340"/>
        <v>0</v>
      </c>
      <c r="JE156" s="1319">
        <f t="shared" ca="1" si="1340"/>
        <v>-2.7331745265024066E-6</v>
      </c>
      <c r="JF156" s="1319">
        <f t="shared" ca="1" si="1340"/>
        <v>0</v>
      </c>
      <c r="JG156" s="1319">
        <f t="shared" ca="1" si="1340"/>
        <v>0</v>
      </c>
      <c r="JH156" s="1319">
        <f t="shared" ca="1" si="1340"/>
        <v>-2.5540160779642735E-6</v>
      </c>
      <c r="JQ156" s="1334"/>
      <c r="JT156" s="1319">
        <f t="shared" ca="1" si="1341"/>
        <v>0</v>
      </c>
      <c r="JU156" s="1319">
        <f t="shared" ca="1" si="1341"/>
        <v>0</v>
      </c>
      <c r="JV156" s="1319">
        <f t="shared" ca="1" si="1341"/>
        <v>0</v>
      </c>
      <c r="JW156" s="1319">
        <f t="shared" ca="1" si="1341"/>
        <v>0</v>
      </c>
      <c r="JX156" s="1319">
        <f t="shared" ca="1" si="1341"/>
        <v>0</v>
      </c>
      <c r="JY156" s="1319">
        <f t="shared" ca="1" si="1341"/>
        <v>0</v>
      </c>
      <c r="JZ156" s="1319">
        <f t="shared" ca="1" si="1341"/>
        <v>0</v>
      </c>
      <c r="KA156" s="1319">
        <f t="shared" ca="1" si="1341"/>
        <v>0</v>
      </c>
      <c r="KB156" s="1319">
        <f t="shared" ca="1" si="1341"/>
        <v>0</v>
      </c>
      <c r="KC156" s="1319">
        <f t="shared" ca="1" si="1341"/>
        <v>0</v>
      </c>
      <c r="KI156" s="1334"/>
      <c r="KL156" s="1319">
        <f t="shared" ca="1" si="1342"/>
        <v>0</v>
      </c>
      <c r="KM156" s="1319">
        <f t="shared" ca="1" si="1342"/>
        <v>0</v>
      </c>
      <c r="KN156" s="1319">
        <f t="shared" ca="1" si="1342"/>
        <v>0</v>
      </c>
      <c r="KO156" s="1319">
        <f t="shared" ca="1" si="1342"/>
        <v>0</v>
      </c>
      <c r="KP156" s="1319">
        <f t="shared" ca="1" si="1342"/>
        <v>0</v>
      </c>
      <c r="KQ156" s="1319">
        <f t="shared" ca="1" si="1342"/>
        <v>0</v>
      </c>
      <c r="KR156" s="1319">
        <f t="shared" ca="1" si="1342"/>
        <v>0</v>
      </c>
      <c r="KX156" s="1334"/>
      <c r="LA156" s="1319">
        <f t="shared" ca="1" si="1343"/>
        <v>0</v>
      </c>
      <c r="LB156" s="1319">
        <f t="shared" ca="1" si="1343"/>
        <v>-64.268841801908223</v>
      </c>
      <c r="LC156" s="1319">
        <f t="shared" ca="1" si="1343"/>
        <v>-64.268841801908223</v>
      </c>
      <c r="LD156" s="1319">
        <f t="shared" ca="1" si="1343"/>
        <v>-64.268841801908223</v>
      </c>
      <c r="LE156" s="1319">
        <f t="shared" ca="1" si="1343"/>
        <v>0</v>
      </c>
      <c r="LF156" s="1319">
        <f t="shared" ca="1" si="1343"/>
        <v>0</v>
      </c>
      <c r="LG156" s="1319">
        <f t="shared" ca="1" si="1343"/>
        <v>0</v>
      </c>
      <c r="LH156" s="1319">
        <f t="shared" ca="1" si="1343"/>
        <v>0</v>
      </c>
      <c r="LI156" s="1319">
        <f t="shared" ca="1" si="1343"/>
        <v>0</v>
      </c>
      <c r="LJ156" s="1319">
        <f t="shared" ca="1" si="1343"/>
        <v>0</v>
      </c>
      <c r="LK156" s="1319">
        <f t="shared" ca="1" si="1343"/>
        <v>0</v>
      </c>
      <c r="LT156" s="1334"/>
      <c r="LW156" s="1319">
        <f t="shared" ca="1" si="1344"/>
        <v>0</v>
      </c>
      <c r="LX156" s="1319">
        <f t="shared" ca="1" si="1344"/>
        <v>0</v>
      </c>
      <c r="LY156" s="1319">
        <f t="shared" ca="1" si="1344"/>
        <v>0</v>
      </c>
      <c r="LZ156" s="1319">
        <f t="shared" ca="1" si="1344"/>
        <v>-1.8671902244075535E-4</v>
      </c>
      <c r="MA156" s="1319">
        <f t="shared" ca="1" si="1344"/>
        <v>-1.8672021738486635E-4</v>
      </c>
      <c r="MB156" s="1319">
        <f t="shared" ca="1" si="1344"/>
        <v>-64.268841801908223</v>
      </c>
      <c r="MC156" s="1319">
        <f t="shared" ca="1" si="1344"/>
        <v>0</v>
      </c>
      <c r="MD156" s="1319">
        <f t="shared" ca="1" si="1344"/>
        <v>0</v>
      </c>
      <c r="ME156" s="1319">
        <f t="shared" ca="1" si="1344"/>
        <v>0</v>
      </c>
      <c r="MF156" s="1319">
        <f t="shared" ca="1" si="1344"/>
        <v>0</v>
      </c>
      <c r="MG156" s="1319">
        <f t="shared" ca="1" si="1345"/>
        <v>0</v>
      </c>
      <c r="MH156" s="1319">
        <f t="shared" ca="1" si="1345"/>
        <v>0</v>
      </c>
      <c r="MI156" s="1319">
        <f t="shared" ca="1" si="1345"/>
        <v>0</v>
      </c>
      <c r="MJ156" s="1319">
        <f t="shared" ca="1" si="1345"/>
        <v>0</v>
      </c>
      <c r="MK156" s="1319">
        <f t="shared" ca="1" si="1345"/>
        <v>0</v>
      </c>
      <c r="ML156" s="1319">
        <f t="shared" ca="1" si="1345"/>
        <v>0</v>
      </c>
      <c r="MM156" s="1319">
        <f t="shared" ca="1" si="1345"/>
        <v>0</v>
      </c>
      <c r="MN156" s="1319">
        <f t="shared" ca="1" si="1345"/>
        <v>0</v>
      </c>
      <c r="MO156" s="1319">
        <f t="shared" ca="1" si="1345"/>
        <v>-1.1949441109883836E-9</v>
      </c>
      <c r="MX156" s="1334"/>
      <c r="NA156" s="1319">
        <f t="shared" ca="1" si="1346"/>
        <v>0</v>
      </c>
      <c r="NB156" s="1319">
        <f t="shared" ca="1" si="1346"/>
        <v>0</v>
      </c>
      <c r="NC156" s="1319">
        <f t="shared" ca="1" si="1346"/>
        <v>0</v>
      </c>
      <c r="ND156" s="1319">
        <f t="shared" ca="1" si="1346"/>
        <v>0</v>
      </c>
      <c r="NE156" s="1319">
        <f t="shared" ca="1" si="1346"/>
        <v>0</v>
      </c>
      <c r="NF156" s="1319">
        <f t="shared" ca="1" si="1346"/>
        <v>0</v>
      </c>
      <c r="NG156" s="1319">
        <f t="shared" ca="1" si="1346"/>
        <v>0</v>
      </c>
      <c r="NH156" s="1319">
        <f t="shared" ca="1" si="1346"/>
        <v>0</v>
      </c>
      <c r="NI156" s="1319">
        <f t="shared" ca="1" si="1346"/>
        <v>0</v>
      </c>
      <c r="NJ156" s="1319">
        <f t="shared" ca="1" si="1346"/>
        <v>0</v>
      </c>
      <c r="NK156" s="1319">
        <f t="shared" ca="1" si="1346"/>
        <v>0</v>
      </c>
      <c r="NL156" s="1319">
        <f t="shared" ca="1" si="1346"/>
        <v>0</v>
      </c>
      <c r="NM156" s="1319">
        <f t="shared" ca="1" si="1346"/>
        <v>0</v>
      </c>
      <c r="NN156" s="1319">
        <f t="shared" ca="1" si="1346"/>
        <v>0</v>
      </c>
      <c r="NO156" s="1319">
        <f t="shared" ca="1" si="1346"/>
        <v>0</v>
      </c>
      <c r="NP156" s="1319">
        <f t="shared" ca="1" si="1346"/>
        <v>0</v>
      </c>
      <c r="NY156" s="1334"/>
      <c r="OE156" s="1334"/>
      <c r="OH156" s="1319">
        <f t="shared" ca="1" si="1347"/>
        <v>0</v>
      </c>
      <c r="OI156" s="1319">
        <f t="shared" ca="1" si="1347"/>
        <v>0</v>
      </c>
      <c r="OJ156" s="1319">
        <f t="shared" ca="1" si="1347"/>
        <v>0</v>
      </c>
      <c r="OK156" s="1319">
        <f t="shared" ca="1" si="1347"/>
        <v>0</v>
      </c>
      <c r="OL156" s="1319">
        <f t="shared" ca="1" si="1347"/>
        <v>0</v>
      </c>
      <c r="OM156" s="1319">
        <f t="shared" ca="1" si="1347"/>
        <v>0</v>
      </c>
      <c r="ON156" s="1319">
        <f t="shared" ca="1" si="1347"/>
        <v>0</v>
      </c>
      <c r="OO156" s="1319">
        <f t="shared" ca="1" si="1347"/>
        <v>0</v>
      </c>
      <c r="OX156" s="1334"/>
      <c r="PA156" s="1319">
        <f t="shared" ca="1" si="1348"/>
        <v>0</v>
      </c>
      <c r="PB156" s="1319">
        <f t="shared" ca="1" si="1348"/>
        <v>0</v>
      </c>
      <c r="PC156" s="1319">
        <f t="shared" ca="1" si="1348"/>
        <v>0</v>
      </c>
      <c r="PD156" s="1319">
        <f t="shared" ca="1" si="1348"/>
        <v>0</v>
      </c>
      <c r="PE156" s="1319">
        <f t="shared" ca="1" si="1348"/>
        <v>0</v>
      </c>
      <c r="PF156" s="1319">
        <f t="shared" ca="1" si="1348"/>
        <v>0</v>
      </c>
      <c r="PG156" s="1319">
        <f t="shared" ca="1" si="1348"/>
        <v>0</v>
      </c>
      <c r="PH156" s="1319">
        <f t="shared" ca="1" si="1348"/>
        <v>0</v>
      </c>
      <c r="PI156" s="1319">
        <f t="shared" ca="1" si="1348"/>
        <v>0</v>
      </c>
      <c r="PJ156" s="1319">
        <f t="shared" ca="1" si="1348"/>
        <v>0</v>
      </c>
      <c r="PK156" s="1319">
        <f t="shared" ca="1" si="1348"/>
        <v>0</v>
      </c>
      <c r="PT156" s="1334"/>
      <c r="PW156" s="1319">
        <f t="shared" ca="1" si="1349"/>
        <v>0</v>
      </c>
      <c r="PX156" s="1319">
        <f t="shared" ca="1" si="1349"/>
        <v>0</v>
      </c>
      <c r="PY156" s="1319">
        <f t="shared" ca="1" si="1349"/>
        <v>0</v>
      </c>
      <c r="PZ156" s="1319">
        <f t="shared" ca="1" si="1349"/>
        <v>0</v>
      </c>
    </row>
    <row r="157" spans="1:442" x14ac:dyDescent="0.25">
      <c r="A157" s="189">
        <v>46</v>
      </c>
      <c r="B157" s="189" t="s">
        <v>1256</v>
      </c>
      <c r="C157" s="1317" t="s">
        <v>1306</v>
      </c>
      <c r="D157" s="1317" t="s">
        <v>206</v>
      </c>
      <c r="E157" s="1318">
        <v>34.081879999999998</v>
      </c>
      <c r="F157" s="1316">
        <v>-0.12372790675299999</v>
      </c>
      <c r="G157" s="1334"/>
      <c r="J157" s="1319">
        <f t="shared" ca="1" si="1327"/>
        <v>0</v>
      </c>
      <c r="K157" s="1319">
        <f t="shared" ca="1" si="1327"/>
        <v>0</v>
      </c>
      <c r="Q157" s="1334"/>
      <c r="T157" s="1319">
        <f t="shared" ca="1" si="1328"/>
        <v>0</v>
      </c>
      <c r="U157" s="1319">
        <f t="shared" ca="1" si="1328"/>
        <v>0</v>
      </c>
      <c r="V157" s="1319">
        <f t="shared" ca="1" si="1328"/>
        <v>0</v>
      </c>
      <c r="W157" s="1319">
        <f t="shared" ca="1" si="1328"/>
        <v>0</v>
      </c>
      <c r="X157" s="1319">
        <f t="shared" ca="1" si="1328"/>
        <v>0</v>
      </c>
      <c r="Y157" s="1319">
        <f t="shared" ca="1" si="1328"/>
        <v>0</v>
      </c>
      <c r="Z157" s="1319">
        <f t="shared" ca="1" si="1328"/>
        <v>0</v>
      </c>
      <c r="AA157" s="1319">
        <f t="shared" ca="1" si="1328"/>
        <v>0</v>
      </c>
      <c r="AB157" s="1319">
        <f t="shared" ca="1" si="1328"/>
        <v>0</v>
      </c>
      <c r="AC157" s="1319">
        <f t="shared" ca="1" si="1328"/>
        <v>0</v>
      </c>
      <c r="AD157" s="1319">
        <f t="shared" ca="1" si="1328"/>
        <v>0</v>
      </c>
      <c r="AJ157" s="1334"/>
      <c r="AM157" s="1319">
        <f t="shared" ca="1" si="1329"/>
        <v>0</v>
      </c>
      <c r="AN157" s="1319">
        <f t="shared" ca="1" si="1329"/>
        <v>0</v>
      </c>
      <c r="AO157" s="1319">
        <f t="shared" ca="1" si="1329"/>
        <v>0</v>
      </c>
      <c r="AP157" s="1319">
        <f t="shared" ca="1" si="1329"/>
        <v>0</v>
      </c>
      <c r="AQ157" s="1319">
        <f t="shared" ca="1" si="1329"/>
        <v>0</v>
      </c>
      <c r="AR157" s="1319">
        <f t="shared" ca="1" si="1329"/>
        <v>0</v>
      </c>
      <c r="AS157" s="1319">
        <f t="shared" ca="1" si="1329"/>
        <v>0</v>
      </c>
      <c r="AT157" s="1319">
        <f t="shared" ca="1" si="1329"/>
        <v>0</v>
      </c>
      <c r="AU157" s="1319">
        <f t="shared" ca="1" si="1329"/>
        <v>0</v>
      </c>
      <c r="AV157" s="1319">
        <f t="shared" ca="1" si="1329"/>
        <v>0</v>
      </c>
      <c r="AW157" s="1319">
        <f t="shared" ca="1" si="1329"/>
        <v>0</v>
      </c>
      <c r="AX157" s="1319">
        <f t="shared" ca="1" si="1329"/>
        <v>0</v>
      </c>
      <c r="AY157" s="1319">
        <f t="shared" ca="1" si="1329"/>
        <v>0</v>
      </c>
      <c r="AZ157" s="1319">
        <f t="shared" ca="1" si="1329"/>
        <v>0</v>
      </c>
      <c r="BA157" s="1319">
        <f t="shared" ca="1" si="1329"/>
        <v>0</v>
      </c>
      <c r="BB157" s="1319">
        <f t="shared" ca="1" si="1329"/>
        <v>0</v>
      </c>
      <c r="BK157" s="1334"/>
      <c r="BN157" s="1319">
        <f t="shared" ca="1" si="1330"/>
        <v>0</v>
      </c>
      <c r="BO157" s="1319">
        <f t="shared" ca="1" si="1330"/>
        <v>0</v>
      </c>
      <c r="BP157" s="1319">
        <f t="shared" ca="1" si="1330"/>
        <v>0</v>
      </c>
      <c r="BQ157" s="1319">
        <f t="shared" ca="1" si="1330"/>
        <v>0</v>
      </c>
      <c r="BR157" s="1319">
        <f t="shared" ca="1" si="1330"/>
        <v>0</v>
      </c>
      <c r="CA157" s="1334"/>
      <c r="CD157" s="1319">
        <f t="shared" ca="1" si="1331"/>
        <v>0</v>
      </c>
      <c r="CE157" s="1319">
        <f t="shared" ca="1" si="1331"/>
        <v>0</v>
      </c>
      <c r="CF157" s="1319">
        <f t="shared" ca="1" si="1331"/>
        <v>0</v>
      </c>
      <c r="CG157" s="1319">
        <f t="shared" ca="1" si="1331"/>
        <v>0</v>
      </c>
      <c r="CH157" s="1319">
        <f t="shared" ca="1" si="1331"/>
        <v>0</v>
      </c>
      <c r="CI157" s="1319">
        <f t="shared" ca="1" si="1331"/>
        <v>0</v>
      </c>
      <c r="CJ157" s="1319">
        <f t="shared" ca="1" si="1331"/>
        <v>0</v>
      </c>
      <c r="CK157" s="1319">
        <f t="shared" ca="1" si="1331"/>
        <v>0</v>
      </c>
      <c r="CL157" s="1319">
        <f t="shared" ca="1" si="1331"/>
        <v>0</v>
      </c>
      <c r="CM157" s="1319">
        <f t="shared" ca="1" si="1331"/>
        <v>0</v>
      </c>
      <c r="CN157" s="1319">
        <f t="shared" ca="1" si="1331"/>
        <v>0</v>
      </c>
      <c r="CO157" s="1319">
        <f t="shared" ca="1" si="1331"/>
        <v>0</v>
      </c>
      <c r="CX157" s="1334"/>
      <c r="DA157" s="1319">
        <f t="shared" ca="1" si="1332"/>
        <v>0</v>
      </c>
      <c r="DB157" s="1319">
        <f t="shared" ca="1" si="1332"/>
        <v>0</v>
      </c>
      <c r="DC157" s="1319">
        <f t="shared" ca="1" si="1332"/>
        <v>0</v>
      </c>
      <c r="DD157" s="1319">
        <f t="shared" ca="1" si="1332"/>
        <v>0</v>
      </c>
      <c r="DE157" s="1319">
        <f t="shared" ca="1" si="1332"/>
        <v>0</v>
      </c>
      <c r="DF157" s="1319">
        <f t="shared" ca="1" si="1332"/>
        <v>0</v>
      </c>
      <c r="DG157" s="1319">
        <f t="shared" ca="1" si="1332"/>
        <v>0</v>
      </c>
      <c r="DH157" s="1319">
        <f t="shared" ca="1" si="1332"/>
        <v>0</v>
      </c>
      <c r="DI157" s="1319">
        <f t="shared" ca="1" si="1332"/>
        <v>0</v>
      </c>
      <c r="DJ157" s="1319">
        <f t="shared" ca="1" si="1332"/>
        <v>0</v>
      </c>
      <c r="DS157" s="1334"/>
      <c r="DV157" s="1319">
        <f t="shared" ca="1" si="1333"/>
        <v>0</v>
      </c>
      <c r="DW157" s="1319">
        <f t="shared" ca="1" si="1333"/>
        <v>0</v>
      </c>
      <c r="DX157" s="1319">
        <f t="shared" ca="1" si="1333"/>
        <v>0</v>
      </c>
      <c r="DY157" s="1319">
        <f t="shared" ca="1" si="1333"/>
        <v>0</v>
      </c>
      <c r="DZ157" s="1319">
        <f t="shared" ca="1" si="1333"/>
        <v>0</v>
      </c>
      <c r="EA157" s="1319">
        <f t="shared" ca="1" si="1333"/>
        <v>0</v>
      </c>
      <c r="EB157" s="1319">
        <f t="shared" ca="1" si="1333"/>
        <v>0</v>
      </c>
      <c r="EC157" s="1319">
        <f t="shared" ca="1" si="1333"/>
        <v>0</v>
      </c>
      <c r="ED157" s="1319">
        <f t="shared" ca="1" si="1333"/>
        <v>0</v>
      </c>
      <c r="EE157" s="1319">
        <f t="shared" ca="1" si="1333"/>
        <v>0</v>
      </c>
      <c r="EF157" s="1319">
        <f t="shared" ca="1" si="1333"/>
        <v>0</v>
      </c>
      <c r="EG157" s="1319">
        <f t="shared" ca="1" si="1333"/>
        <v>0</v>
      </c>
      <c r="EH157" s="1319">
        <f t="shared" ca="1" si="1333"/>
        <v>0</v>
      </c>
      <c r="EI157" s="1319">
        <f t="shared" ca="1" si="1333"/>
        <v>0</v>
      </c>
      <c r="EJ157" s="1319">
        <f t="shared" ca="1" si="1333"/>
        <v>0</v>
      </c>
      <c r="EK157" s="1319">
        <f t="shared" ca="1" si="1333"/>
        <v>0</v>
      </c>
      <c r="ET157" s="1334"/>
      <c r="EW157" s="1319">
        <f t="shared" ca="1" si="1334"/>
        <v>0</v>
      </c>
      <c r="EX157" s="1319">
        <f t="shared" ca="1" si="1334"/>
        <v>0</v>
      </c>
      <c r="EY157" s="1319">
        <f t="shared" ca="1" si="1334"/>
        <v>0</v>
      </c>
      <c r="EZ157" s="1319">
        <f t="shared" ca="1" si="1334"/>
        <v>0</v>
      </c>
      <c r="FA157" s="1319">
        <f t="shared" ca="1" si="1334"/>
        <v>0</v>
      </c>
      <c r="FB157" s="1319">
        <f t="shared" ca="1" si="1334"/>
        <v>0</v>
      </c>
      <c r="FK157" s="1334"/>
      <c r="FN157" s="1319">
        <f t="shared" ca="1" si="1335"/>
        <v>0</v>
      </c>
      <c r="FO157" s="1319">
        <f t="shared" ca="1" si="1335"/>
        <v>0</v>
      </c>
      <c r="FP157" s="1319">
        <f t="shared" ca="1" si="1335"/>
        <v>0</v>
      </c>
      <c r="FQ157" s="1319">
        <f t="shared" ca="1" si="1335"/>
        <v>0</v>
      </c>
      <c r="FR157" s="1319">
        <f t="shared" ca="1" si="1335"/>
        <v>0</v>
      </c>
      <c r="FS157" s="1319">
        <f t="shared" ca="1" si="1335"/>
        <v>0</v>
      </c>
      <c r="FT157" s="1319">
        <f t="shared" ca="1" si="1335"/>
        <v>0</v>
      </c>
      <c r="FU157" s="1319">
        <f t="shared" ca="1" si="1335"/>
        <v>0</v>
      </c>
      <c r="FV157" s="1319">
        <f t="shared" ca="1" si="1335"/>
        <v>0</v>
      </c>
      <c r="FW157" s="1319">
        <f t="shared" ca="1" si="1335"/>
        <v>0</v>
      </c>
      <c r="FX157" s="1319">
        <f t="shared" ca="1" si="1335"/>
        <v>0</v>
      </c>
      <c r="GG157" s="1334"/>
      <c r="GJ157" s="1319">
        <f t="shared" ca="1" si="1336"/>
        <v>0</v>
      </c>
      <c r="GK157" s="1319">
        <f t="shared" ca="1" si="1336"/>
        <v>0</v>
      </c>
      <c r="GL157" s="1319">
        <f t="shared" ca="1" si="1336"/>
        <v>0</v>
      </c>
      <c r="GM157" s="1319">
        <f t="shared" ca="1" si="1336"/>
        <v>0</v>
      </c>
      <c r="GN157" s="1319">
        <f t="shared" ca="1" si="1336"/>
        <v>0</v>
      </c>
      <c r="GO157" s="1319">
        <f t="shared" ca="1" si="1336"/>
        <v>0</v>
      </c>
      <c r="GP157" s="1319">
        <f t="shared" ca="1" si="1336"/>
        <v>0</v>
      </c>
      <c r="GQ157" s="1319">
        <f t="shared" ca="1" si="1336"/>
        <v>0</v>
      </c>
      <c r="GZ157" s="1334"/>
      <c r="HC157" s="1319">
        <f t="shared" ca="1" si="1337"/>
        <v>0</v>
      </c>
      <c r="HD157" s="1319">
        <f t="shared" ca="1" si="1337"/>
        <v>0</v>
      </c>
      <c r="HE157" s="1319">
        <f t="shared" ca="1" si="1337"/>
        <v>0</v>
      </c>
      <c r="HF157" s="1319">
        <f t="shared" ca="1" si="1337"/>
        <v>0</v>
      </c>
      <c r="HG157" s="1319">
        <f t="shared" ca="1" si="1337"/>
        <v>0</v>
      </c>
      <c r="HH157" s="1319">
        <f t="shared" ca="1" si="1337"/>
        <v>0</v>
      </c>
      <c r="HQ157" s="1334"/>
      <c r="HT157" s="1319">
        <f t="shared" ca="1" si="1338"/>
        <v>0</v>
      </c>
      <c r="HU157" s="1319">
        <f t="shared" ca="1" si="1338"/>
        <v>0</v>
      </c>
      <c r="HV157" s="1319">
        <f t="shared" ca="1" si="1338"/>
        <v>0</v>
      </c>
      <c r="HW157" s="1319">
        <f t="shared" ca="1" si="1338"/>
        <v>0</v>
      </c>
      <c r="HX157" s="1319">
        <f t="shared" ca="1" si="1338"/>
        <v>-1.0893485472548623</v>
      </c>
      <c r="HY157" s="1319">
        <f t="shared" ca="1" si="1338"/>
        <v>-8.2838669717199137E-2</v>
      </c>
      <c r="HZ157" s="1319">
        <f t="shared" ca="1" si="1338"/>
        <v>-1.0358987673567148</v>
      </c>
      <c r="IA157" s="1319">
        <f t="shared" ca="1" si="1338"/>
        <v>-2.0113245794921753E-3</v>
      </c>
      <c r="IB157" s="1319">
        <f t="shared" ca="1" si="1338"/>
        <v>0</v>
      </c>
      <c r="IC157" s="1319">
        <f t="shared" ca="1" si="1338"/>
        <v>0</v>
      </c>
      <c r="ID157" s="1319">
        <f t="shared" ca="1" si="1338"/>
        <v>0</v>
      </c>
      <c r="IE157" s="1319">
        <f t="shared" ca="1" si="1338"/>
        <v>0</v>
      </c>
      <c r="IN157" s="1334"/>
      <c r="IQ157" s="1319">
        <f t="shared" ca="1" si="1339"/>
        <v>-1.0893485472548623</v>
      </c>
      <c r="IR157" s="1319">
        <f t="shared" ca="1" si="1339"/>
        <v>-8.2838669717199137E-2</v>
      </c>
      <c r="IS157" s="1319">
        <f t="shared" ca="1" si="1339"/>
        <v>-3.2768234782606799E-2</v>
      </c>
      <c r="IT157" s="1319">
        <f t="shared" ca="1" si="1339"/>
        <v>-0.11560690468132162</v>
      </c>
      <c r="IU157" s="1319">
        <f t="shared" ca="1" si="1339"/>
        <v>-0.10789552249118271</v>
      </c>
      <c r="IV157" s="1319">
        <f t="shared" ca="1" si="1339"/>
        <v>-0.96054382142220629</v>
      </c>
      <c r="IW157" s="1319">
        <f t="shared" ca="1" si="1339"/>
        <v>-0.78643763405650058</v>
      </c>
      <c r="IX157" s="1319">
        <f t="shared" ca="1" si="1339"/>
        <v>-1.0231378816542767</v>
      </c>
      <c r="IY157" s="1319">
        <f t="shared" ca="1" si="1339"/>
        <v>-7.71138219013891E-3</v>
      </c>
      <c r="IZ157" s="1319">
        <f t="shared" ca="1" si="1339"/>
        <v>-0.14134060035220061</v>
      </c>
      <c r="JA157" s="1319">
        <f t="shared" ca="1" si="1339"/>
        <v>-0.81920587047274829</v>
      </c>
      <c r="JB157" s="1319">
        <f t="shared" ca="1" si="1340"/>
        <v>0</v>
      </c>
      <c r="JC157" s="1319">
        <f t="shared" ca="1" si="1340"/>
        <v>-0.13932927565653838</v>
      </c>
      <c r="JD157" s="1319">
        <f t="shared" ca="1" si="1340"/>
        <v>0</v>
      </c>
      <c r="JE157" s="1319">
        <f t="shared" ca="1" si="1340"/>
        <v>-0.14134060035220061</v>
      </c>
      <c r="JF157" s="1319">
        <f t="shared" ca="1" si="1340"/>
        <v>0</v>
      </c>
      <c r="JG157" s="1319">
        <f t="shared" ca="1" si="1340"/>
        <v>0</v>
      </c>
      <c r="JH157" s="1319">
        <f t="shared" ca="1" si="1340"/>
        <v>-2.0113245794921753E-3</v>
      </c>
      <c r="JQ157" s="1334"/>
      <c r="JT157" s="1319">
        <f t="shared" ca="1" si="1341"/>
        <v>0</v>
      </c>
      <c r="JU157" s="1319">
        <f t="shared" ca="1" si="1341"/>
        <v>0</v>
      </c>
      <c r="JV157" s="1319">
        <f t="shared" ca="1" si="1341"/>
        <v>0</v>
      </c>
      <c r="JW157" s="1319">
        <f t="shared" ca="1" si="1341"/>
        <v>0</v>
      </c>
      <c r="JX157" s="1319">
        <f t="shared" ca="1" si="1341"/>
        <v>0</v>
      </c>
      <c r="JY157" s="1319">
        <f t="shared" ca="1" si="1341"/>
        <v>0</v>
      </c>
      <c r="JZ157" s="1319">
        <f t="shared" ca="1" si="1341"/>
        <v>0</v>
      </c>
      <c r="KA157" s="1319">
        <f t="shared" ca="1" si="1341"/>
        <v>0</v>
      </c>
      <c r="KB157" s="1319">
        <f t="shared" ca="1" si="1341"/>
        <v>0</v>
      </c>
      <c r="KC157" s="1319">
        <f t="shared" ca="1" si="1341"/>
        <v>0</v>
      </c>
      <c r="KI157" s="1334"/>
      <c r="KL157" s="1319">
        <f t="shared" ca="1" si="1342"/>
        <v>0</v>
      </c>
      <c r="KM157" s="1319">
        <f t="shared" ca="1" si="1342"/>
        <v>0</v>
      </c>
      <c r="KN157" s="1319">
        <f t="shared" ca="1" si="1342"/>
        <v>0</v>
      </c>
      <c r="KO157" s="1319">
        <f t="shared" ca="1" si="1342"/>
        <v>0</v>
      </c>
      <c r="KP157" s="1319">
        <f t="shared" ca="1" si="1342"/>
        <v>0</v>
      </c>
      <c r="KQ157" s="1319">
        <f t="shared" ca="1" si="1342"/>
        <v>0</v>
      </c>
      <c r="KR157" s="1319">
        <f t="shared" ca="1" si="1342"/>
        <v>0</v>
      </c>
      <c r="KX157" s="1334"/>
      <c r="LA157" s="1319">
        <f t="shared" ca="1" si="1343"/>
        <v>0</v>
      </c>
      <c r="LB157" s="1319">
        <f t="shared" ca="1" si="1343"/>
        <v>-1.0358987673567148</v>
      </c>
      <c r="LC157" s="1319">
        <f t="shared" ca="1" si="1343"/>
        <v>-1.0358987673567148</v>
      </c>
      <c r="LD157" s="1319">
        <f t="shared" ca="1" si="1343"/>
        <v>-1.0358987673567148</v>
      </c>
      <c r="LE157" s="1319">
        <f t="shared" ca="1" si="1343"/>
        <v>0</v>
      </c>
      <c r="LF157" s="1319">
        <f t="shared" ca="1" si="1343"/>
        <v>0</v>
      </c>
      <c r="LG157" s="1319">
        <f t="shared" ca="1" si="1343"/>
        <v>0</v>
      </c>
      <c r="LH157" s="1319">
        <f t="shared" ca="1" si="1343"/>
        <v>0</v>
      </c>
      <c r="LI157" s="1319">
        <f t="shared" ca="1" si="1343"/>
        <v>0</v>
      </c>
      <c r="LJ157" s="1319">
        <f t="shared" ca="1" si="1343"/>
        <v>0</v>
      </c>
      <c r="LK157" s="1319">
        <f t="shared" ca="1" si="1343"/>
        <v>0</v>
      </c>
      <c r="LT157" s="1334"/>
      <c r="LW157" s="1319">
        <f t="shared" ca="1" si="1344"/>
        <v>0</v>
      </c>
      <c r="LX157" s="1319">
        <f t="shared" ca="1" si="1344"/>
        <v>0</v>
      </c>
      <c r="LY157" s="1319">
        <f t="shared" ca="1" si="1344"/>
        <v>0</v>
      </c>
      <c r="LZ157" s="1319">
        <f t="shared" ca="1" si="1344"/>
        <v>-7.71138219013891E-3</v>
      </c>
      <c r="MA157" s="1319">
        <f t="shared" ca="1" si="1344"/>
        <v>-7.71138219013891E-3</v>
      </c>
      <c r="MB157" s="1319">
        <f t="shared" ca="1" si="1344"/>
        <v>-1.0358987673567148</v>
      </c>
      <c r="MC157" s="1319">
        <f t="shared" ca="1" si="1344"/>
        <v>0</v>
      </c>
      <c r="MD157" s="1319">
        <f t="shared" ca="1" si="1344"/>
        <v>0</v>
      </c>
      <c r="ME157" s="1319">
        <f t="shared" ca="1" si="1344"/>
        <v>0</v>
      </c>
      <c r="MF157" s="1319">
        <f t="shared" ca="1" si="1344"/>
        <v>0</v>
      </c>
      <c r="MG157" s="1319">
        <f t="shared" ca="1" si="1345"/>
        <v>0</v>
      </c>
      <c r="MH157" s="1319">
        <f t="shared" ca="1" si="1345"/>
        <v>0</v>
      </c>
      <c r="MI157" s="1319">
        <f t="shared" ca="1" si="1345"/>
        <v>0</v>
      </c>
      <c r="MJ157" s="1319">
        <f t="shared" ca="1" si="1345"/>
        <v>0</v>
      </c>
      <c r="MK157" s="1319">
        <f t="shared" ca="1" si="1345"/>
        <v>0</v>
      </c>
      <c r="ML157" s="1319">
        <f t="shared" ca="1" si="1345"/>
        <v>0</v>
      </c>
      <c r="MM157" s="1319">
        <f t="shared" ca="1" si="1345"/>
        <v>0</v>
      </c>
      <c r="MN157" s="1319">
        <f t="shared" ca="1" si="1345"/>
        <v>0</v>
      </c>
      <c r="MO157" s="1319">
        <f t="shared" ca="1" si="1345"/>
        <v>0</v>
      </c>
      <c r="MX157" s="1334"/>
      <c r="NA157" s="1319">
        <f t="shared" ca="1" si="1346"/>
        <v>0</v>
      </c>
      <c r="NB157" s="1319">
        <f t="shared" ca="1" si="1346"/>
        <v>0</v>
      </c>
      <c r="NC157" s="1319">
        <f t="shared" ca="1" si="1346"/>
        <v>0</v>
      </c>
      <c r="ND157" s="1319">
        <f t="shared" ca="1" si="1346"/>
        <v>0</v>
      </c>
      <c r="NE157" s="1319">
        <f t="shared" ca="1" si="1346"/>
        <v>0</v>
      </c>
      <c r="NF157" s="1319">
        <f t="shared" ca="1" si="1346"/>
        <v>0</v>
      </c>
      <c r="NG157" s="1319">
        <f t="shared" ca="1" si="1346"/>
        <v>0</v>
      </c>
      <c r="NH157" s="1319">
        <f t="shared" ca="1" si="1346"/>
        <v>0</v>
      </c>
      <c r="NI157" s="1319">
        <f t="shared" ca="1" si="1346"/>
        <v>0</v>
      </c>
      <c r="NJ157" s="1319">
        <f t="shared" ca="1" si="1346"/>
        <v>0</v>
      </c>
      <c r="NK157" s="1319">
        <f t="shared" ca="1" si="1346"/>
        <v>0</v>
      </c>
      <c r="NL157" s="1319">
        <f t="shared" ca="1" si="1346"/>
        <v>0</v>
      </c>
      <c r="NM157" s="1319">
        <f t="shared" ca="1" si="1346"/>
        <v>0</v>
      </c>
      <c r="NN157" s="1319">
        <f t="shared" ca="1" si="1346"/>
        <v>0</v>
      </c>
      <c r="NO157" s="1319">
        <f t="shared" ca="1" si="1346"/>
        <v>0</v>
      </c>
      <c r="NP157" s="1319">
        <f t="shared" ca="1" si="1346"/>
        <v>0</v>
      </c>
      <c r="NY157" s="1334"/>
      <c r="OE157" s="1334"/>
      <c r="OH157" s="1319">
        <f t="shared" ca="1" si="1347"/>
        <v>0</v>
      </c>
      <c r="OI157" s="1319">
        <f t="shared" ca="1" si="1347"/>
        <v>0</v>
      </c>
      <c r="OJ157" s="1319">
        <f t="shared" ca="1" si="1347"/>
        <v>0</v>
      </c>
      <c r="OK157" s="1319">
        <f t="shared" ca="1" si="1347"/>
        <v>0</v>
      </c>
      <c r="OL157" s="1319">
        <f t="shared" ca="1" si="1347"/>
        <v>0</v>
      </c>
      <c r="OM157" s="1319">
        <f t="shared" ca="1" si="1347"/>
        <v>0</v>
      </c>
      <c r="ON157" s="1319">
        <f t="shared" ca="1" si="1347"/>
        <v>0</v>
      </c>
      <c r="OO157" s="1319">
        <f t="shared" ca="1" si="1347"/>
        <v>0</v>
      </c>
      <c r="OX157" s="1334"/>
      <c r="PA157" s="1319">
        <f t="shared" ca="1" si="1348"/>
        <v>0</v>
      </c>
      <c r="PB157" s="1319">
        <f t="shared" ca="1" si="1348"/>
        <v>0</v>
      </c>
      <c r="PC157" s="1319">
        <f t="shared" ca="1" si="1348"/>
        <v>0</v>
      </c>
      <c r="PD157" s="1319">
        <f t="shared" ca="1" si="1348"/>
        <v>0</v>
      </c>
      <c r="PE157" s="1319">
        <f t="shared" ca="1" si="1348"/>
        <v>0</v>
      </c>
      <c r="PF157" s="1319">
        <f t="shared" ca="1" si="1348"/>
        <v>0</v>
      </c>
      <c r="PG157" s="1319">
        <f t="shared" ca="1" si="1348"/>
        <v>0</v>
      </c>
      <c r="PH157" s="1319">
        <f t="shared" ca="1" si="1348"/>
        <v>0</v>
      </c>
      <c r="PI157" s="1319">
        <f t="shared" ca="1" si="1348"/>
        <v>0</v>
      </c>
      <c r="PJ157" s="1319">
        <f t="shared" ca="1" si="1348"/>
        <v>0</v>
      </c>
      <c r="PK157" s="1319">
        <f t="shared" ca="1" si="1348"/>
        <v>0</v>
      </c>
      <c r="PT157" s="1334"/>
      <c r="PW157" s="1319">
        <f t="shared" ca="1" si="1349"/>
        <v>0</v>
      </c>
      <c r="PX157" s="1319">
        <f t="shared" ca="1" si="1349"/>
        <v>0</v>
      </c>
      <c r="PY157" s="1319">
        <f t="shared" ca="1" si="1349"/>
        <v>0</v>
      </c>
      <c r="PZ157" s="1319">
        <f t="shared" ca="1" si="1349"/>
        <v>0</v>
      </c>
    </row>
    <row r="158" spans="1:442" x14ac:dyDescent="0.25">
      <c r="A158" s="189">
        <v>47</v>
      </c>
      <c r="B158" s="189" t="s">
        <v>1256</v>
      </c>
      <c r="C158" s="1317" t="s">
        <v>1305</v>
      </c>
      <c r="D158" s="1317" t="s">
        <v>206</v>
      </c>
      <c r="E158" s="1318">
        <v>64.064800000000005</v>
      </c>
      <c r="F158" s="1316">
        <v>0</v>
      </c>
      <c r="G158" s="1334"/>
      <c r="J158" s="1319">
        <f t="shared" ca="1" si="1327"/>
        <v>0</v>
      </c>
      <c r="K158" s="1319">
        <f t="shared" ca="1" si="1327"/>
        <v>0</v>
      </c>
      <c r="Q158" s="1334"/>
      <c r="T158" s="1319">
        <f t="shared" ca="1" si="1328"/>
        <v>0</v>
      </c>
      <c r="U158" s="1319">
        <f t="shared" ca="1" si="1328"/>
        <v>0</v>
      </c>
      <c r="V158" s="1319">
        <f t="shared" ca="1" si="1328"/>
        <v>0</v>
      </c>
      <c r="W158" s="1319">
        <f t="shared" ca="1" si="1328"/>
        <v>0</v>
      </c>
      <c r="X158" s="1319">
        <f t="shared" ca="1" si="1328"/>
        <v>0</v>
      </c>
      <c r="Y158" s="1319">
        <f t="shared" ca="1" si="1328"/>
        <v>0</v>
      </c>
      <c r="Z158" s="1319">
        <f t="shared" ca="1" si="1328"/>
        <v>0</v>
      </c>
      <c r="AA158" s="1319">
        <f t="shared" ca="1" si="1328"/>
        <v>0</v>
      </c>
      <c r="AB158" s="1319">
        <f t="shared" ca="1" si="1328"/>
        <v>0</v>
      </c>
      <c r="AC158" s="1319">
        <f t="shared" ca="1" si="1328"/>
        <v>0</v>
      </c>
      <c r="AD158" s="1319">
        <f t="shared" ca="1" si="1328"/>
        <v>0</v>
      </c>
      <c r="AJ158" s="1334"/>
      <c r="AM158" s="1319">
        <f t="shared" ca="1" si="1329"/>
        <v>0</v>
      </c>
      <c r="AN158" s="1319">
        <f t="shared" ca="1" si="1329"/>
        <v>0</v>
      </c>
      <c r="AO158" s="1319">
        <f t="shared" ca="1" si="1329"/>
        <v>0</v>
      </c>
      <c r="AP158" s="1319">
        <f t="shared" ca="1" si="1329"/>
        <v>0</v>
      </c>
      <c r="AQ158" s="1319">
        <f t="shared" ca="1" si="1329"/>
        <v>0</v>
      </c>
      <c r="AR158" s="1319">
        <f t="shared" ca="1" si="1329"/>
        <v>0</v>
      </c>
      <c r="AS158" s="1319">
        <f t="shared" ca="1" si="1329"/>
        <v>0</v>
      </c>
      <c r="AT158" s="1319">
        <f t="shared" ca="1" si="1329"/>
        <v>0</v>
      </c>
      <c r="AU158" s="1319">
        <f t="shared" ca="1" si="1329"/>
        <v>0</v>
      </c>
      <c r="AV158" s="1319">
        <f t="shared" ca="1" si="1329"/>
        <v>0</v>
      </c>
      <c r="AW158" s="1319">
        <f t="shared" ca="1" si="1329"/>
        <v>0</v>
      </c>
      <c r="AX158" s="1319">
        <f t="shared" ca="1" si="1329"/>
        <v>0</v>
      </c>
      <c r="AY158" s="1319">
        <f t="shared" ca="1" si="1329"/>
        <v>0</v>
      </c>
      <c r="AZ158" s="1319">
        <f t="shared" ca="1" si="1329"/>
        <v>0</v>
      </c>
      <c r="BA158" s="1319">
        <f t="shared" ca="1" si="1329"/>
        <v>0</v>
      </c>
      <c r="BB158" s="1319">
        <f t="shared" ca="1" si="1329"/>
        <v>0</v>
      </c>
      <c r="BK158" s="1334"/>
      <c r="BN158" s="1319">
        <f t="shared" ca="1" si="1330"/>
        <v>0</v>
      </c>
      <c r="BO158" s="1319">
        <f t="shared" ca="1" si="1330"/>
        <v>0</v>
      </c>
      <c r="BP158" s="1319">
        <f t="shared" ca="1" si="1330"/>
        <v>0</v>
      </c>
      <c r="BQ158" s="1319">
        <f t="shared" ca="1" si="1330"/>
        <v>0</v>
      </c>
      <c r="BR158" s="1319">
        <f t="shared" ca="1" si="1330"/>
        <v>0</v>
      </c>
      <c r="CA158" s="1334"/>
      <c r="CD158" s="1319">
        <f t="shared" ca="1" si="1331"/>
        <v>0</v>
      </c>
      <c r="CE158" s="1319">
        <f t="shared" ca="1" si="1331"/>
        <v>0</v>
      </c>
      <c r="CF158" s="1319">
        <f t="shared" ca="1" si="1331"/>
        <v>0</v>
      </c>
      <c r="CG158" s="1319">
        <f t="shared" ca="1" si="1331"/>
        <v>0</v>
      </c>
      <c r="CH158" s="1319">
        <f t="shared" ca="1" si="1331"/>
        <v>0</v>
      </c>
      <c r="CI158" s="1319">
        <f t="shared" ca="1" si="1331"/>
        <v>0</v>
      </c>
      <c r="CJ158" s="1319">
        <f t="shared" ca="1" si="1331"/>
        <v>0</v>
      </c>
      <c r="CK158" s="1319">
        <f t="shared" ca="1" si="1331"/>
        <v>0</v>
      </c>
      <c r="CL158" s="1319">
        <f t="shared" ca="1" si="1331"/>
        <v>0</v>
      </c>
      <c r="CM158" s="1319">
        <f t="shared" ca="1" si="1331"/>
        <v>0</v>
      </c>
      <c r="CN158" s="1319">
        <f t="shared" ca="1" si="1331"/>
        <v>0</v>
      </c>
      <c r="CO158" s="1319">
        <f t="shared" ca="1" si="1331"/>
        <v>0</v>
      </c>
      <c r="CX158" s="1334"/>
      <c r="DA158" s="1319">
        <f t="shared" ca="1" si="1332"/>
        <v>0</v>
      </c>
      <c r="DB158" s="1319">
        <f t="shared" ca="1" si="1332"/>
        <v>0</v>
      </c>
      <c r="DC158" s="1319">
        <f t="shared" ca="1" si="1332"/>
        <v>0</v>
      </c>
      <c r="DD158" s="1319">
        <f t="shared" ca="1" si="1332"/>
        <v>0</v>
      </c>
      <c r="DE158" s="1319">
        <f t="shared" ca="1" si="1332"/>
        <v>0</v>
      </c>
      <c r="DF158" s="1319">
        <f t="shared" ca="1" si="1332"/>
        <v>0</v>
      </c>
      <c r="DG158" s="1319">
        <f t="shared" ca="1" si="1332"/>
        <v>0</v>
      </c>
      <c r="DH158" s="1319">
        <f t="shared" ca="1" si="1332"/>
        <v>0</v>
      </c>
      <c r="DI158" s="1319">
        <f t="shared" ca="1" si="1332"/>
        <v>0</v>
      </c>
      <c r="DJ158" s="1319">
        <f t="shared" ca="1" si="1332"/>
        <v>0</v>
      </c>
      <c r="DS158" s="1334"/>
      <c r="DV158" s="1319">
        <f t="shared" ca="1" si="1333"/>
        <v>0</v>
      </c>
      <c r="DW158" s="1319">
        <f t="shared" ca="1" si="1333"/>
        <v>0</v>
      </c>
      <c r="DX158" s="1319">
        <f t="shared" ca="1" si="1333"/>
        <v>0</v>
      </c>
      <c r="DY158" s="1319">
        <f t="shared" ca="1" si="1333"/>
        <v>0</v>
      </c>
      <c r="DZ158" s="1319">
        <f t="shared" ca="1" si="1333"/>
        <v>0</v>
      </c>
      <c r="EA158" s="1319">
        <f t="shared" ca="1" si="1333"/>
        <v>0</v>
      </c>
      <c r="EB158" s="1319">
        <f t="shared" ca="1" si="1333"/>
        <v>0</v>
      </c>
      <c r="EC158" s="1319">
        <f t="shared" ca="1" si="1333"/>
        <v>0</v>
      </c>
      <c r="ED158" s="1319">
        <f t="shared" ca="1" si="1333"/>
        <v>0</v>
      </c>
      <c r="EE158" s="1319">
        <f t="shared" ca="1" si="1333"/>
        <v>0</v>
      </c>
      <c r="EF158" s="1319">
        <f t="shared" ca="1" si="1333"/>
        <v>0</v>
      </c>
      <c r="EG158" s="1319">
        <f t="shared" ca="1" si="1333"/>
        <v>0</v>
      </c>
      <c r="EH158" s="1319">
        <f t="shared" ca="1" si="1333"/>
        <v>0</v>
      </c>
      <c r="EI158" s="1319">
        <f t="shared" ca="1" si="1333"/>
        <v>0</v>
      </c>
      <c r="EJ158" s="1319">
        <f t="shared" ca="1" si="1333"/>
        <v>0</v>
      </c>
      <c r="EK158" s="1319">
        <f t="shared" ca="1" si="1333"/>
        <v>0</v>
      </c>
      <c r="ET158" s="1334"/>
      <c r="EW158" s="1319">
        <f t="shared" ca="1" si="1334"/>
        <v>0</v>
      </c>
      <c r="EX158" s="1319">
        <f t="shared" ca="1" si="1334"/>
        <v>0</v>
      </c>
      <c r="EY158" s="1319">
        <f t="shared" ca="1" si="1334"/>
        <v>0</v>
      </c>
      <c r="EZ158" s="1319">
        <f t="shared" ca="1" si="1334"/>
        <v>0</v>
      </c>
      <c r="FA158" s="1319">
        <f t="shared" ca="1" si="1334"/>
        <v>0</v>
      </c>
      <c r="FB158" s="1319">
        <f t="shared" ca="1" si="1334"/>
        <v>0</v>
      </c>
      <c r="FK158" s="1334"/>
      <c r="FN158" s="1319">
        <f t="shared" ca="1" si="1335"/>
        <v>0</v>
      </c>
      <c r="FO158" s="1319">
        <f t="shared" ca="1" si="1335"/>
        <v>0</v>
      </c>
      <c r="FP158" s="1319">
        <f t="shared" ca="1" si="1335"/>
        <v>0</v>
      </c>
      <c r="FQ158" s="1319">
        <f t="shared" ca="1" si="1335"/>
        <v>0</v>
      </c>
      <c r="FR158" s="1319">
        <f t="shared" ca="1" si="1335"/>
        <v>0</v>
      </c>
      <c r="FS158" s="1319">
        <f t="shared" ca="1" si="1335"/>
        <v>0</v>
      </c>
      <c r="FT158" s="1319">
        <f t="shared" ca="1" si="1335"/>
        <v>0</v>
      </c>
      <c r="FU158" s="1319">
        <f t="shared" ca="1" si="1335"/>
        <v>0</v>
      </c>
      <c r="FV158" s="1319">
        <f t="shared" ca="1" si="1335"/>
        <v>0</v>
      </c>
      <c r="FW158" s="1319">
        <f t="shared" ca="1" si="1335"/>
        <v>0</v>
      </c>
      <c r="FX158" s="1319">
        <f t="shared" ca="1" si="1335"/>
        <v>0</v>
      </c>
      <c r="GG158" s="1334"/>
      <c r="GJ158" s="1319">
        <f t="shared" ca="1" si="1336"/>
        <v>0</v>
      </c>
      <c r="GK158" s="1319">
        <f t="shared" ca="1" si="1336"/>
        <v>0</v>
      </c>
      <c r="GL158" s="1319">
        <f t="shared" ca="1" si="1336"/>
        <v>0</v>
      </c>
      <c r="GM158" s="1319">
        <f t="shared" ca="1" si="1336"/>
        <v>0</v>
      </c>
      <c r="GN158" s="1319">
        <f t="shared" ca="1" si="1336"/>
        <v>0</v>
      </c>
      <c r="GO158" s="1319">
        <f t="shared" ca="1" si="1336"/>
        <v>0</v>
      </c>
      <c r="GP158" s="1319">
        <f t="shared" ca="1" si="1336"/>
        <v>0</v>
      </c>
      <c r="GQ158" s="1319">
        <f t="shared" ca="1" si="1336"/>
        <v>0</v>
      </c>
      <c r="GZ158" s="1334"/>
      <c r="HC158" s="1319">
        <f t="shared" ca="1" si="1337"/>
        <v>0</v>
      </c>
      <c r="HD158" s="1319">
        <f t="shared" ca="1" si="1337"/>
        <v>0</v>
      </c>
      <c r="HE158" s="1319">
        <f t="shared" ca="1" si="1337"/>
        <v>0</v>
      </c>
      <c r="HF158" s="1319">
        <f t="shared" ca="1" si="1337"/>
        <v>0</v>
      </c>
      <c r="HG158" s="1319">
        <f t="shared" ca="1" si="1337"/>
        <v>0</v>
      </c>
      <c r="HH158" s="1319">
        <f t="shared" ca="1" si="1337"/>
        <v>0</v>
      </c>
      <c r="HQ158" s="1334"/>
      <c r="HT158" s="1319">
        <f t="shared" ca="1" si="1338"/>
        <v>0</v>
      </c>
      <c r="HU158" s="1319">
        <f t="shared" ca="1" si="1338"/>
        <v>0</v>
      </c>
      <c r="HV158" s="1319">
        <f t="shared" ca="1" si="1338"/>
        <v>0</v>
      </c>
      <c r="HW158" s="1319">
        <f t="shared" ca="1" si="1338"/>
        <v>0</v>
      </c>
      <c r="HX158" s="1319">
        <f t="shared" ca="1" si="1338"/>
        <v>0</v>
      </c>
      <c r="HY158" s="1319">
        <f t="shared" ca="1" si="1338"/>
        <v>0</v>
      </c>
      <c r="HZ158" s="1319">
        <f t="shared" ca="1" si="1338"/>
        <v>0</v>
      </c>
      <c r="IA158" s="1319">
        <f t="shared" ca="1" si="1338"/>
        <v>0</v>
      </c>
      <c r="IB158" s="1319">
        <f t="shared" ca="1" si="1338"/>
        <v>0</v>
      </c>
      <c r="IC158" s="1319">
        <f t="shared" ca="1" si="1338"/>
        <v>0</v>
      </c>
      <c r="ID158" s="1319">
        <f t="shared" ca="1" si="1338"/>
        <v>0</v>
      </c>
      <c r="IE158" s="1319">
        <f t="shared" ca="1" si="1338"/>
        <v>0</v>
      </c>
      <c r="IN158" s="1334"/>
      <c r="IQ158" s="1319">
        <f t="shared" ca="1" si="1339"/>
        <v>0</v>
      </c>
      <c r="IR158" s="1319">
        <f t="shared" ca="1" si="1339"/>
        <v>0</v>
      </c>
      <c r="IS158" s="1319">
        <f t="shared" ca="1" si="1339"/>
        <v>0</v>
      </c>
      <c r="IT158" s="1319">
        <f t="shared" ca="1" si="1339"/>
        <v>0</v>
      </c>
      <c r="IU158" s="1319">
        <f t="shared" ca="1" si="1339"/>
        <v>0</v>
      </c>
      <c r="IV158" s="1319">
        <f t="shared" ca="1" si="1339"/>
        <v>0</v>
      </c>
      <c r="IW158" s="1319">
        <f t="shared" ca="1" si="1339"/>
        <v>0</v>
      </c>
      <c r="IX158" s="1319">
        <f t="shared" ca="1" si="1339"/>
        <v>0</v>
      </c>
      <c r="IY158" s="1319">
        <f t="shared" ca="1" si="1339"/>
        <v>0</v>
      </c>
      <c r="IZ158" s="1319">
        <f t="shared" ca="1" si="1339"/>
        <v>0</v>
      </c>
      <c r="JA158" s="1319">
        <f t="shared" ca="1" si="1339"/>
        <v>0</v>
      </c>
      <c r="JB158" s="1319">
        <f t="shared" ca="1" si="1340"/>
        <v>0</v>
      </c>
      <c r="JC158" s="1319">
        <f t="shared" ca="1" si="1340"/>
        <v>0</v>
      </c>
      <c r="JD158" s="1319">
        <f t="shared" ca="1" si="1340"/>
        <v>0</v>
      </c>
      <c r="JE158" s="1319">
        <f t="shared" ca="1" si="1340"/>
        <v>0</v>
      </c>
      <c r="JF158" s="1319">
        <f t="shared" ca="1" si="1340"/>
        <v>0</v>
      </c>
      <c r="JG158" s="1319">
        <f t="shared" ca="1" si="1340"/>
        <v>0</v>
      </c>
      <c r="JH158" s="1319">
        <f t="shared" ca="1" si="1340"/>
        <v>0</v>
      </c>
      <c r="JQ158" s="1334"/>
      <c r="JT158" s="1319">
        <f t="shared" ca="1" si="1341"/>
        <v>0</v>
      </c>
      <c r="JU158" s="1319">
        <f t="shared" ca="1" si="1341"/>
        <v>0</v>
      </c>
      <c r="JV158" s="1319">
        <f t="shared" ca="1" si="1341"/>
        <v>0</v>
      </c>
      <c r="JW158" s="1319">
        <f t="shared" ca="1" si="1341"/>
        <v>0</v>
      </c>
      <c r="JX158" s="1319">
        <f t="shared" ca="1" si="1341"/>
        <v>0</v>
      </c>
      <c r="JY158" s="1319">
        <f t="shared" ca="1" si="1341"/>
        <v>0</v>
      </c>
      <c r="JZ158" s="1319">
        <f t="shared" ca="1" si="1341"/>
        <v>0</v>
      </c>
      <c r="KA158" s="1319">
        <f t="shared" ca="1" si="1341"/>
        <v>0</v>
      </c>
      <c r="KB158" s="1319">
        <f t="shared" ca="1" si="1341"/>
        <v>0</v>
      </c>
      <c r="KC158" s="1319">
        <f t="shared" ca="1" si="1341"/>
        <v>0</v>
      </c>
      <c r="KI158" s="1334"/>
      <c r="KL158" s="1319">
        <f t="shared" ca="1" si="1342"/>
        <v>0</v>
      </c>
      <c r="KM158" s="1319">
        <f t="shared" ca="1" si="1342"/>
        <v>0</v>
      </c>
      <c r="KN158" s="1319">
        <f t="shared" ca="1" si="1342"/>
        <v>0</v>
      </c>
      <c r="KO158" s="1319">
        <f t="shared" ca="1" si="1342"/>
        <v>0</v>
      </c>
      <c r="KP158" s="1319">
        <f t="shared" ca="1" si="1342"/>
        <v>0</v>
      </c>
      <c r="KQ158" s="1319">
        <f t="shared" ca="1" si="1342"/>
        <v>0</v>
      </c>
      <c r="KR158" s="1319">
        <f t="shared" ca="1" si="1342"/>
        <v>0</v>
      </c>
      <c r="KX158" s="1334"/>
      <c r="LA158" s="1319">
        <f t="shared" ca="1" si="1343"/>
        <v>0</v>
      </c>
      <c r="LB158" s="1319">
        <f t="shared" ca="1" si="1343"/>
        <v>0</v>
      </c>
      <c r="LC158" s="1319">
        <f t="shared" ca="1" si="1343"/>
        <v>0</v>
      </c>
      <c r="LD158" s="1319">
        <f t="shared" ca="1" si="1343"/>
        <v>0</v>
      </c>
      <c r="LE158" s="1319">
        <f t="shared" ca="1" si="1343"/>
        <v>0</v>
      </c>
      <c r="LF158" s="1319">
        <f t="shared" ca="1" si="1343"/>
        <v>0</v>
      </c>
      <c r="LG158" s="1319">
        <f t="shared" ca="1" si="1343"/>
        <v>0</v>
      </c>
      <c r="LH158" s="1319">
        <f t="shared" ca="1" si="1343"/>
        <v>0</v>
      </c>
      <c r="LI158" s="1319">
        <f t="shared" ca="1" si="1343"/>
        <v>0</v>
      </c>
      <c r="LJ158" s="1319">
        <f t="shared" ca="1" si="1343"/>
        <v>0</v>
      </c>
      <c r="LK158" s="1319">
        <f t="shared" ca="1" si="1343"/>
        <v>0</v>
      </c>
      <c r="LT158" s="1334"/>
      <c r="LW158" s="1319">
        <f t="shared" ca="1" si="1344"/>
        <v>0</v>
      </c>
      <c r="LX158" s="1319">
        <f t="shared" ca="1" si="1344"/>
        <v>0</v>
      </c>
      <c r="LY158" s="1319">
        <f t="shared" ca="1" si="1344"/>
        <v>0</v>
      </c>
      <c r="LZ158" s="1319">
        <f t="shared" ca="1" si="1344"/>
        <v>0</v>
      </c>
      <c r="MA158" s="1319">
        <f t="shared" ca="1" si="1344"/>
        <v>0</v>
      </c>
      <c r="MB158" s="1319">
        <f t="shared" ca="1" si="1344"/>
        <v>0</v>
      </c>
      <c r="MC158" s="1319">
        <f t="shared" ca="1" si="1344"/>
        <v>0</v>
      </c>
      <c r="MD158" s="1319">
        <f t="shared" ca="1" si="1344"/>
        <v>0</v>
      </c>
      <c r="ME158" s="1319">
        <f t="shared" ca="1" si="1344"/>
        <v>0</v>
      </c>
      <c r="MF158" s="1319">
        <f t="shared" ca="1" si="1344"/>
        <v>0</v>
      </c>
      <c r="MG158" s="1319">
        <f t="shared" ca="1" si="1345"/>
        <v>0</v>
      </c>
      <c r="MH158" s="1319">
        <f t="shared" ca="1" si="1345"/>
        <v>0</v>
      </c>
      <c r="MI158" s="1319">
        <f t="shared" ca="1" si="1345"/>
        <v>0</v>
      </c>
      <c r="MJ158" s="1319">
        <f t="shared" ca="1" si="1345"/>
        <v>0</v>
      </c>
      <c r="MK158" s="1319">
        <f t="shared" ca="1" si="1345"/>
        <v>0</v>
      </c>
      <c r="ML158" s="1319">
        <f t="shared" ca="1" si="1345"/>
        <v>0</v>
      </c>
      <c r="MM158" s="1319">
        <f t="shared" ca="1" si="1345"/>
        <v>0</v>
      </c>
      <c r="MN158" s="1319">
        <f t="shared" ca="1" si="1345"/>
        <v>0</v>
      </c>
      <c r="MO158" s="1319">
        <f t="shared" ca="1" si="1345"/>
        <v>0</v>
      </c>
      <c r="MX158" s="1334"/>
      <c r="NA158" s="1319">
        <f t="shared" ca="1" si="1346"/>
        <v>0</v>
      </c>
      <c r="NB158" s="1319">
        <f t="shared" ca="1" si="1346"/>
        <v>0</v>
      </c>
      <c r="NC158" s="1319">
        <f t="shared" ca="1" si="1346"/>
        <v>0</v>
      </c>
      <c r="ND158" s="1319">
        <f t="shared" ca="1" si="1346"/>
        <v>0</v>
      </c>
      <c r="NE158" s="1319">
        <f t="shared" ca="1" si="1346"/>
        <v>0</v>
      </c>
      <c r="NF158" s="1319">
        <f t="shared" ca="1" si="1346"/>
        <v>0</v>
      </c>
      <c r="NG158" s="1319">
        <f t="shared" ca="1" si="1346"/>
        <v>0</v>
      </c>
      <c r="NH158" s="1319">
        <f t="shared" ca="1" si="1346"/>
        <v>0</v>
      </c>
      <c r="NI158" s="1319">
        <f t="shared" ca="1" si="1346"/>
        <v>0</v>
      </c>
      <c r="NJ158" s="1319">
        <f t="shared" ca="1" si="1346"/>
        <v>0</v>
      </c>
      <c r="NK158" s="1319">
        <f t="shared" ca="1" si="1346"/>
        <v>0</v>
      </c>
      <c r="NL158" s="1319">
        <f t="shared" ca="1" si="1346"/>
        <v>0</v>
      </c>
      <c r="NM158" s="1319">
        <f t="shared" ca="1" si="1346"/>
        <v>0</v>
      </c>
      <c r="NN158" s="1319">
        <f t="shared" ca="1" si="1346"/>
        <v>0</v>
      </c>
      <c r="NO158" s="1319">
        <f t="shared" ca="1" si="1346"/>
        <v>0</v>
      </c>
      <c r="NP158" s="1319">
        <f t="shared" ca="1" si="1346"/>
        <v>0</v>
      </c>
      <c r="NY158" s="1334"/>
      <c r="OE158" s="1334"/>
      <c r="OH158" s="1319">
        <f t="shared" ca="1" si="1347"/>
        <v>0</v>
      </c>
      <c r="OI158" s="1319">
        <f t="shared" ca="1" si="1347"/>
        <v>0</v>
      </c>
      <c r="OJ158" s="1319">
        <f t="shared" ca="1" si="1347"/>
        <v>0</v>
      </c>
      <c r="OK158" s="1319">
        <f t="shared" ca="1" si="1347"/>
        <v>0</v>
      </c>
      <c r="OL158" s="1319">
        <f t="shared" ca="1" si="1347"/>
        <v>0</v>
      </c>
      <c r="OM158" s="1319">
        <f t="shared" ca="1" si="1347"/>
        <v>0</v>
      </c>
      <c r="ON158" s="1319">
        <f t="shared" ca="1" si="1347"/>
        <v>0</v>
      </c>
      <c r="OO158" s="1319">
        <f t="shared" ca="1" si="1347"/>
        <v>0</v>
      </c>
      <c r="OX158" s="1334"/>
      <c r="PA158" s="1319">
        <f t="shared" ca="1" si="1348"/>
        <v>0</v>
      </c>
      <c r="PB158" s="1319">
        <f t="shared" ca="1" si="1348"/>
        <v>0</v>
      </c>
      <c r="PC158" s="1319">
        <f t="shared" ca="1" si="1348"/>
        <v>0</v>
      </c>
      <c r="PD158" s="1319">
        <f t="shared" ca="1" si="1348"/>
        <v>0</v>
      </c>
      <c r="PE158" s="1319">
        <f t="shared" ca="1" si="1348"/>
        <v>0</v>
      </c>
      <c r="PF158" s="1319">
        <f t="shared" ca="1" si="1348"/>
        <v>0</v>
      </c>
      <c r="PG158" s="1319">
        <f t="shared" ca="1" si="1348"/>
        <v>0</v>
      </c>
      <c r="PH158" s="1319">
        <f t="shared" ca="1" si="1348"/>
        <v>0</v>
      </c>
      <c r="PI158" s="1319">
        <f t="shared" ca="1" si="1348"/>
        <v>0</v>
      </c>
      <c r="PJ158" s="1319">
        <f t="shared" ca="1" si="1348"/>
        <v>0</v>
      </c>
      <c r="PK158" s="1319">
        <f t="shared" ca="1" si="1348"/>
        <v>0</v>
      </c>
      <c r="PT158" s="1334"/>
      <c r="PW158" s="1319">
        <f t="shared" ca="1" si="1349"/>
        <v>0</v>
      </c>
      <c r="PX158" s="1319">
        <f t="shared" ca="1" si="1349"/>
        <v>0</v>
      </c>
      <c r="PY158" s="1319">
        <f t="shared" ca="1" si="1349"/>
        <v>0</v>
      </c>
      <c r="PZ158" s="1319">
        <f t="shared" ca="1" si="1349"/>
        <v>0</v>
      </c>
    </row>
    <row r="159" spans="1:442" x14ac:dyDescent="0.25">
      <c r="A159" s="189">
        <v>127</v>
      </c>
      <c r="B159" s="189" t="s">
        <v>1320</v>
      </c>
      <c r="C159" s="1317" t="s">
        <v>1258</v>
      </c>
      <c r="D159" s="1317" t="s">
        <v>206</v>
      </c>
      <c r="E159" s="1318">
        <v>162.14239999999998</v>
      </c>
      <c r="F159" s="1322">
        <v>-0.61951084360746889</v>
      </c>
      <c r="G159" s="1334"/>
      <c r="J159" s="1319">
        <f t="shared" ca="1" si="1327"/>
        <v>-111.58549579911998</v>
      </c>
      <c r="K159" s="1319">
        <f t="shared" ca="1" si="1327"/>
        <v>-111.58549579911998</v>
      </c>
      <c r="Q159" s="1334"/>
      <c r="T159" s="1319">
        <f t="shared" ca="1" si="1328"/>
        <v>-111.58549579911998</v>
      </c>
      <c r="U159" s="1319">
        <f t="shared" ca="1" si="1328"/>
        <v>0</v>
      </c>
      <c r="V159" s="1319">
        <f t="shared" ca="1" si="1328"/>
        <v>0</v>
      </c>
      <c r="W159" s="1319">
        <f t="shared" ca="1" si="1328"/>
        <v>0</v>
      </c>
      <c r="X159" s="1319">
        <f t="shared" ca="1" si="1328"/>
        <v>0</v>
      </c>
      <c r="Y159" s="1319">
        <f t="shared" ca="1" si="1328"/>
        <v>-99.869018900685262</v>
      </c>
      <c r="Z159" s="1319">
        <f t="shared" ca="1" si="1328"/>
        <v>0</v>
      </c>
      <c r="AA159" s="1319">
        <f t="shared" ca="1" si="1328"/>
        <v>-99.869018900685262</v>
      </c>
      <c r="AB159" s="1319">
        <f t="shared" ca="1" si="1328"/>
        <v>0</v>
      </c>
      <c r="AC159" s="1319">
        <f t="shared" ca="1" si="1328"/>
        <v>0</v>
      </c>
      <c r="AD159" s="1319">
        <f t="shared" ca="1" si="1328"/>
        <v>0</v>
      </c>
      <c r="AJ159" s="1334"/>
      <c r="AM159" s="1319">
        <f t="shared" ca="1" si="1329"/>
        <v>0</v>
      </c>
      <c r="AN159" s="1319">
        <f t="shared" ca="1" si="1329"/>
        <v>0</v>
      </c>
      <c r="AO159" s="1319">
        <f t="shared" ca="1" si="1329"/>
        <v>-99.869018900685262</v>
      </c>
      <c r="AP159" s="1319">
        <f t="shared" ca="1" si="1329"/>
        <v>-99.869018900685262</v>
      </c>
      <c r="AQ159" s="1319">
        <f t="shared" ca="1" si="1329"/>
        <v>0</v>
      </c>
      <c r="AR159" s="1319">
        <f t="shared" ca="1" si="1329"/>
        <v>0</v>
      </c>
      <c r="AS159" s="1319">
        <f t="shared" ca="1" si="1329"/>
        <v>0</v>
      </c>
      <c r="AT159" s="1319">
        <f t="shared" ca="1" si="1329"/>
        <v>0</v>
      </c>
      <c r="AU159" s="1319">
        <f t="shared" ca="1" si="1329"/>
        <v>0</v>
      </c>
      <c r="AV159" s="1319">
        <f t="shared" ca="1" si="1329"/>
        <v>-99.869018900685262</v>
      </c>
      <c r="AW159" s="1319">
        <f t="shared" ca="1" si="1329"/>
        <v>0</v>
      </c>
      <c r="AX159" s="1319">
        <f t="shared" ca="1" si="1329"/>
        <v>0</v>
      </c>
      <c r="AY159" s="1319">
        <f t="shared" ca="1" si="1329"/>
        <v>0</v>
      </c>
      <c r="AZ159" s="1319">
        <f t="shared" ca="1" si="1329"/>
        <v>0</v>
      </c>
      <c r="BA159" s="1319">
        <f t="shared" ca="1" si="1329"/>
        <v>0</v>
      </c>
      <c r="BB159" s="1319">
        <f t="shared" ca="1" si="1329"/>
        <v>-99.869018900685262</v>
      </c>
      <c r="BK159" s="1334"/>
      <c r="BN159" s="1319">
        <f t="shared" ca="1" si="1330"/>
        <v>-0.47937128919497624</v>
      </c>
      <c r="BO159" s="1319">
        <f t="shared" ca="1" si="1330"/>
        <v>-0.47937128919497624</v>
      </c>
      <c r="BP159" s="1319">
        <f t="shared" ca="1" si="1330"/>
        <v>0</v>
      </c>
      <c r="BQ159" s="1319">
        <f t="shared" ca="1" si="1330"/>
        <v>0</v>
      </c>
      <c r="BR159" s="1319">
        <f t="shared" ca="1" si="1330"/>
        <v>0</v>
      </c>
      <c r="CA159" s="1334"/>
      <c r="CD159" s="1319">
        <f t="shared" ca="1" si="1331"/>
        <v>-99.869018900685262</v>
      </c>
      <c r="CE159" s="1319">
        <f t="shared" ca="1" si="1331"/>
        <v>-99.869018900685262</v>
      </c>
      <c r="CF159" s="1319">
        <f t="shared" ca="1" si="1331"/>
        <v>-0.47937128919497624</v>
      </c>
      <c r="CG159" s="1319">
        <f t="shared" ca="1" si="1331"/>
        <v>-0.47937128919497624</v>
      </c>
      <c r="CH159" s="1319">
        <f t="shared" ca="1" si="1331"/>
        <v>-99.869018900685262</v>
      </c>
      <c r="CI159" s="1319">
        <f t="shared" ca="1" si="1331"/>
        <v>0</v>
      </c>
      <c r="CJ159" s="1319">
        <f t="shared" ca="1" si="1331"/>
        <v>0</v>
      </c>
      <c r="CK159" s="1319">
        <f t="shared" ca="1" si="1331"/>
        <v>-4.7937128919497631</v>
      </c>
      <c r="CL159" s="1319">
        <f t="shared" ca="1" si="1331"/>
        <v>0</v>
      </c>
      <c r="CM159" s="1319">
        <f t="shared" ca="1" si="1331"/>
        <v>0</v>
      </c>
      <c r="CN159" s="1319">
        <f t="shared" ca="1" si="1331"/>
        <v>-4.7937128919497631</v>
      </c>
      <c r="CO159" s="1319">
        <f t="shared" ca="1" si="1331"/>
        <v>0</v>
      </c>
      <c r="CX159" s="1334"/>
      <c r="DA159" s="1319">
        <f t="shared" ca="1" si="1332"/>
        <v>0</v>
      </c>
      <c r="DB159" s="1319">
        <f t="shared" ca="1" si="1332"/>
        <v>0</v>
      </c>
      <c r="DC159" s="1319">
        <f t="shared" ca="1" si="1332"/>
        <v>0</v>
      </c>
      <c r="DD159" s="1319">
        <f t="shared" ca="1" si="1332"/>
        <v>0</v>
      </c>
      <c r="DE159" s="1319">
        <f t="shared" ca="1" si="1332"/>
        <v>0</v>
      </c>
      <c r="DF159" s="1319">
        <f t="shared" ca="1" si="1332"/>
        <v>0</v>
      </c>
      <c r="DG159" s="1319">
        <f t="shared" ca="1" si="1332"/>
        <v>0</v>
      </c>
      <c r="DH159" s="1319">
        <f t="shared" ca="1" si="1332"/>
        <v>0</v>
      </c>
      <c r="DI159" s="1319">
        <f t="shared" ca="1" si="1332"/>
        <v>0</v>
      </c>
      <c r="DJ159" s="1319">
        <f t="shared" ca="1" si="1332"/>
        <v>0</v>
      </c>
      <c r="DS159" s="1334"/>
      <c r="DV159" s="1319">
        <f t="shared" ca="1" si="1333"/>
        <v>0</v>
      </c>
      <c r="DW159" s="1319">
        <f t="shared" ca="1" si="1333"/>
        <v>0</v>
      </c>
      <c r="DX159" s="1319">
        <f t="shared" ca="1" si="1333"/>
        <v>0</v>
      </c>
      <c r="DY159" s="1319">
        <f t="shared" ca="1" si="1333"/>
        <v>0</v>
      </c>
      <c r="DZ159" s="1319">
        <f t="shared" ca="1" si="1333"/>
        <v>0</v>
      </c>
      <c r="EA159" s="1319">
        <f t="shared" ca="1" si="1333"/>
        <v>0</v>
      </c>
      <c r="EB159" s="1319">
        <f t="shared" ca="1" si="1333"/>
        <v>0</v>
      </c>
      <c r="EC159" s="1319">
        <f t="shared" ca="1" si="1333"/>
        <v>0</v>
      </c>
      <c r="ED159" s="1319">
        <f t="shared" ca="1" si="1333"/>
        <v>0</v>
      </c>
      <c r="EE159" s="1319">
        <f t="shared" ca="1" si="1333"/>
        <v>0</v>
      </c>
      <c r="EF159" s="1319">
        <f t="shared" ca="1" si="1333"/>
        <v>0</v>
      </c>
      <c r="EG159" s="1319">
        <f t="shared" ca="1" si="1333"/>
        <v>0</v>
      </c>
      <c r="EH159" s="1319">
        <f t="shared" ca="1" si="1333"/>
        <v>0</v>
      </c>
      <c r="EI159" s="1319">
        <f t="shared" ca="1" si="1333"/>
        <v>0</v>
      </c>
      <c r="EJ159" s="1319">
        <f t="shared" ca="1" si="1333"/>
        <v>0</v>
      </c>
      <c r="EK159" s="1319">
        <f t="shared" ca="1" si="1333"/>
        <v>0</v>
      </c>
      <c r="ET159" s="1334"/>
      <c r="EW159" s="1319">
        <f t="shared" ca="1" si="1334"/>
        <v>-4.7937128919497631</v>
      </c>
      <c r="EX159" s="1319">
        <f t="shared" ca="1" si="1334"/>
        <v>-4.7937128919497631</v>
      </c>
      <c r="EY159" s="1319">
        <f t="shared" ca="1" si="1334"/>
        <v>-4.7937128919497631</v>
      </c>
      <c r="EZ159" s="1319">
        <f t="shared" ca="1" si="1334"/>
        <v>-4.7937128919497631</v>
      </c>
      <c r="FA159" s="1319">
        <f t="shared" ca="1" si="1334"/>
        <v>0</v>
      </c>
      <c r="FB159" s="1319">
        <f t="shared" ca="1" si="1334"/>
        <v>0</v>
      </c>
      <c r="FK159" s="1334"/>
      <c r="FN159" s="1319">
        <f t="shared" ca="1" si="1335"/>
        <v>0</v>
      </c>
      <c r="FO159" s="1319">
        <f t="shared" ca="1" si="1335"/>
        <v>0</v>
      </c>
      <c r="FP159" s="1319">
        <f t="shared" ca="1" si="1335"/>
        <v>0</v>
      </c>
      <c r="FQ159" s="1319">
        <f t="shared" ca="1" si="1335"/>
        <v>0</v>
      </c>
      <c r="FR159" s="1319">
        <f t="shared" ca="1" si="1335"/>
        <v>0</v>
      </c>
      <c r="FS159" s="1319">
        <f t="shared" ca="1" si="1335"/>
        <v>0</v>
      </c>
      <c r="FT159" s="1319">
        <f t="shared" ca="1" si="1335"/>
        <v>0</v>
      </c>
      <c r="FU159" s="1319">
        <f t="shared" ca="1" si="1335"/>
        <v>0</v>
      </c>
      <c r="FV159" s="1319">
        <f t="shared" ca="1" si="1335"/>
        <v>0</v>
      </c>
      <c r="FW159" s="1319">
        <f t="shared" ca="1" si="1335"/>
        <v>0</v>
      </c>
      <c r="FX159" s="1319">
        <f t="shared" ca="1" si="1335"/>
        <v>0</v>
      </c>
      <c r="GG159" s="1334"/>
      <c r="GJ159" s="1319">
        <f t="shared" ca="1" si="1336"/>
        <v>0</v>
      </c>
      <c r="GK159" s="1319">
        <f t="shared" ca="1" si="1336"/>
        <v>0</v>
      </c>
      <c r="GL159" s="1319">
        <f t="shared" ca="1" si="1336"/>
        <v>0</v>
      </c>
      <c r="GM159" s="1319">
        <f t="shared" ca="1" si="1336"/>
        <v>0</v>
      </c>
      <c r="GN159" s="1319">
        <f t="shared" ca="1" si="1336"/>
        <v>0</v>
      </c>
      <c r="GO159" s="1319">
        <f t="shared" ca="1" si="1336"/>
        <v>0</v>
      </c>
      <c r="GP159" s="1319">
        <f t="shared" ca="1" si="1336"/>
        <v>0</v>
      </c>
      <c r="GQ159" s="1319">
        <f t="shared" ca="1" si="1336"/>
        <v>0</v>
      </c>
      <c r="GZ159" s="1334"/>
      <c r="HC159" s="1319">
        <f t="shared" ca="1" si="1337"/>
        <v>-4.7937128919497631</v>
      </c>
      <c r="HD159" s="1319">
        <f t="shared" ca="1" si="1337"/>
        <v>-9.5874257838995253E-2</v>
      </c>
      <c r="HE159" s="1319">
        <f t="shared" ca="1" si="1337"/>
        <v>0</v>
      </c>
      <c r="HF159" s="1319">
        <f t="shared" ca="1" si="1337"/>
        <v>0</v>
      </c>
      <c r="HG159" s="1319">
        <f t="shared" ca="1" si="1337"/>
        <v>-4.6978386463372708</v>
      </c>
      <c r="HH159" s="1319">
        <f t="shared" ca="1" si="1337"/>
        <v>-9.5874257838995253E-2</v>
      </c>
      <c r="HQ159" s="1334"/>
      <c r="HT159" s="1319">
        <f t="shared" ca="1" si="1338"/>
        <v>0</v>
      </c>
      <c r="HU159" s="1319">
        <f t="shared" ca="1" si="1338"/>
        <v>-9.5874257838995253E-2</v>
      </c>
      <c r="HV159" s="1319">
        <f t="shared" ca="1" si="1338"/>
        <v>-9.5874257838995253E-2</v>
      </c>
      <c r="HW159" s="1319">
        <f t="shared" ca="1" si="1338"/>
        <v>-9.5874257838995253E-2</v>
      </c>
      <c r="HX159" s="1319">
        <f t="shared" ca="1" si="1338"/>
        <v>-2.4543810048047239E-2</v>
      </c>
      <c r="HY159" s="1319">
        <f t="shared" ca="1" si="1338"/>
        <v>-7.133044782915586E-2</v>
      </c>
      <c r="HZ159" s="1319">
        <f t="shared" ca="1" si="1338"/>
        <v>0</v>
      </c>
      <c r="IA159" s="1319">
        <f t="shared" ca="1" si="1338"/>
        <v>0</v>
      </c>
      <c r="IB159" s="1319">
        <f t="shared" ca="1" si="1338"/>
        <v>0</v>
      </c>
      <c r="IC159" s="1319">
        <f t="shared" ca="1" si="1338"/>
        <v>0</v>
      </c>
      <c r="ID159" s="1319">
        <f t="shared" ca="1" si="1338"/>
        <v>0</v>
      </c>
      <c r="IE159" s="1319">
        <f t="shared" ca="1" si="1338"/>
        <v>0</v>
      </c>
      <c r="IN159" s="1334"/>
      <c r="IQ159" s="1319">
        <f t="shared" ca="1" si="1339"/>
        <v>-2.4543810048047239E-2</v>
      </c>
      <c r="IR159" s="1319">
        <f t="shared" ca="1" si="1339"/>
        <v>-7.133044782915586E-2</v>
      </c>
      <c r="IS159" s="1319">
        <f t="shared" ca="1" si="1339"/>
        <v>-2.958982361248786E-2</v>
      </c>
      <c r="IT159" s="1319">
        <f t="shared" ca="1" si="1339"/>
        <v>-0.10092027167089067</v>
      </c>
      <c r="IU159" s="1319">
        <f t="shared" ca="1" si="1339"/>
        <v>-5.0460135644406203E-3</v>
      </c>
      <c r="IV159" s="1319">
        <f t="shared" ca="1" si="1339"/>
        <v>-0.73974559222258762</v>
      </c>
      <c r="IW159" s="1319">
        <f t="shared" ca="1" si="1339"/>
        <v>-0.71015576761669641</v>
      </c>
      <c r="IX159" s="1319">
        <f t="shared" ca="1" si="1339"/>
        <v>0</v>
      </c>
      <c r="IY159" s="1319">
        <f t="shared" ca="1" si="1339"/>
        <v>-9.5874257838995253E-2</v>
      </c>
      <c r="IZ159" s="1319">
        <f t="shared" ca="1" si="1339"/>
        <v>0</v>
      </c>
      <c r="JA159" s="1319">
        <f t="shared" ca="1" si="1339"/>
        <v>-0.73974559222258762</v>
      </c>
      <c r="JB159" s="1319">
        <f t="shared" ca="1" si="1340"/>
        <v>0</v>
      </c>
      <c r="JC159" s="1319">
        <f t="shared" ca="1" si="1340"/>
        <v>0</v>
      </c>
      <c r="JD159" s="1319">
        <f t="shared" ca="1" si="1340"/>
        <v>0</v>
      </c>
      <c r="JE159" s="1319">
        <f t="shared" ca="1" si="1340"/>
        <v>0</v>
      </c>
      <c r="JF159" s="1319">
        <f t="shared" ca="1" si="1340"/>
        <v>0</v>
      </c>
      <c r="JG159" s="1319">
        <f t="shared" ca="1" si="1340"/>
        <v>0</v>
      </c>
      <c r="JH159" s="1319">
        <f t="shared" ca="1" si="1340"/>
        <v>0</v>
      </c>
      <c r="JQ159" s="1334"/>
      <c r="JT159" s="1319">
        <f t="shared" ca="1" si="1341"/>
        <v>0</v>
      </c>
      <c r="JU159" s="1319">
        <f t="shared" ca="1" si="1341"/>
        <v>0</v>
      </c>
      <c r="JV159" s="1319">
        <f t="shared" ca="1" si="1341"/>
        <v>0</v>
      </c>
      <c r="JW159" s="1319">
        <f t="shared" ca="1" si="1341"/>
        <v>0</v>
      </c>
      <c r="JX159" s="1319">
        <f t="shared" ca="1" si="1341"/>
        <v>0</v>
      </c>
      <c r="JY159" s="1319">
        <f t="shared" ca="1" si="1341"/>
        <v>0</v>
      </c>
      <c r="JZ159" s="1319">
        <f t="shared" ca="1" si="1341"/>
        <v>0</v>
      </c>
      <c r="KA159" s="1319">
        <f t="shared" ca="1" si="1341"/>
        <v>0</v>
      </c>
      <c r="KB159" s="1319">
        <f t="shared" ca="1" si="1341"/>
        <v>0</v>
      </c>
      <c r="KC159" s="1319">
        <f t="shared" ca="1" si="1341"/>
        <v>0</v>
      </c>
      <c r="KI159" s="1334"/>
      <c r="KL159" s="1319">
        <f t="shared" ca="1" si="1342"/>
        <v>0</v>
      </c>
      <c r="KM159" s="1319">
        <f t="shared" ca="1" si="1342"/>
        <v>0</v>
      </c>
      <c r="KN159" s="1319">
        <f t="shared" ca="1" si="1342"/>
        <v>0</v>
      </c>
      <c r="KO159" s="1319">
        <f t="shared" ca="1" si="1342"/>
        <v>0</v>
      </c>
      <c r="KP159" s="1319">
        <f t="shared" ca="1" si="1342"/>
        <v>0</v>
      </c>
      <c r="KQ159" s="1319">
        <f t="shared" ca="1" si="1342"/>
        <v>0</v>
      </c>
      <c r="KR159" s="1319">
        <f t="shared" ca="1" si="1342"/>
        <v>0</v>
      </c>
      <c r="KX159" s="1334"/>
      <c r="LA159" s="1319">
        <f t="shared" ca="1" si="1343"/>
        <v>0</v>
      </c>
      <c r="LB159" s="1319">
        <f t="shared" ca="1" si="1343"/>
        <v>0</v>
      </c>
      <c r="LC159" s="1319">
        <f t="shared" ca="1" si="1343"/>
        <v>0</v>
      </c>
      <c r="LD159" s="1319">
        <f t="shared" ca="1" si="1343"/>
        <v>0</v>
      </c>
      <c r="LE159" s="1319">
        <f t="shared" ca="1" si="1343"/>
        <v>0</v>
      </c>
      <c r="LF159" s="1319">
        <f t="shared" ca="1" si="1343"/>
        <v>0</v>
      </c>
      <c r="LG159" s="1319">
        <f t="shared" ca="1" si="1343"/>
        <v>0</v>
      </c>
      <c r="LH159" s="1319">
        <f t="shared" ca="1" si="1343"/>
        <v>0</v>
      </c>
      <c r="LI159" s="1319">
        <f t="shared" ca="1" si="1343"/>
        <v>0</v>
      </c>
      <c r="LJ159" s="1319">
        <f t="shared" ca="1" si="1343"/>
        <v>0</v>
      </c>
      <c r="LK159" s="1319">
        <f t="shared" ca="1" si="1343"/>
        <v>0</v>
      </c>
      <c r="LT159" s="1334"/>
      <c r="LW159" s="1319">
        <f t="shared" ca="1" si="1344"/>
        <v>0</v>
      </c>
      <c r="LX159" s="1319">
        <f t="shared" ca="1" si="1344"/>
        <v>0</v>
      </c>
      <c r="LY159" s="1319">
        <f t="shared" ca="1" si="1344"/>
        <v>-4.6978386463372708</v>
      </c>
      <c r="LZ159" s="1319">
        <f t="shared" ca="1" si="1344"/>
        <v>-9.5874257838995253E-2</v>
      </c>
      <c r="MA159" s="1319">
        <f t="shared" ca="1" si="1344"/>
        <v>-4.7937128919497631</v>
      </c>
      <c r="MB159" s="1319">
        <f t="shared" ca="1" si="1344"/>
        <v>0</v>
      </c>
      <c r="MC159" s="1319">
        <f t="shared" ca="1" si="1344"/>
        <v>0</v>
      </c>
      <c r="MD159" s="1319">
        <f t="shared" ca="1" si="1344"/>
        <v>0</v>
      </c>
      <c r="ME159" s="1319">
        <f t="shared" ca="1" si="1344"/>
        <v>0</v>
      </c>
      <c r="MF159" s="1319">
        <f t="shared" ca="1" si="1344"/>
        <v>0</v>
      </c>
      <c r="MG159" s="1319">
        <f t="shared" ca="1" si="1345"/>
        <v>0</v>
      </c>
      <c r="MH159" s="1319">
        <f t="shared" ca="1" si="1345"/>
        <v>0</v>
      </c>
      <c r="MI159" s="1319">
        <f t="shared" ca="1" si="1345"/>
        <v>0</v>
      </c>
      <c r="MJ159" s="1319">
        <f t="shared" ca="1" si="1345"/>
        <v>0</v>
      </c>
      <c r="MK159" s="1319">
        <f t="shared" ca="1" si="1345"/>
        <v>0</v>
      </c>
      <c r="ML159" s="1319">
        <f t="shared" ca="1" si="1345"/>
        <v>0</v>
      </c>
      <c r="MM159" s="1319">
        <f t="shared" ca="1" si="1345"/>
        <v>0</v>
      </c>
      <c r="MN159" s="1319">
        <f t="shared" ca="1" si="1345"/>
        <v>0</v>
      </c>
      <c r="MO159" s="1319">
        <f t="shared" ca="1" si="1345"/>
        <v>0</v>
      </c>
      <c r="MX159" s="1334"/>
      <c r="NA159" s="1319">
        <f t="shared" ca="1" si="1346"/>
        <v>0</v>
      </c>
      <c r="NB159" s="1319">
        <f t="shared" ca="1" si="1346"/>
        <v>0</v>
      </c>
      <c r="NC159" s="1319">
        <f t="shared" ca="1" si="1346"/>
        <v>0</v>
      </c>
      <c r="ND159" s="1319">
        <f t="shared" ca="1" si="1346"/>
        <v>0</v>
      </c>
      <c r="NE159" s="1319">
        <f t="shared" ca="1" si="1346"/>
        <v>0</v>
      </c>
      <c r="NF159" s="1319">
        <f t="shared" ca="1" si="1346"/>
        <v>0</v>
      </c>
      <c r="NG159" s="1319">
        <f t="shared" ca="1" si="1346"/>
        <v>0</v>
      </c>
      <c r="NH159" s="1319">
        <f t="shared" ca="1" si="1346"/>
        <v>0</v>
      </c>
      <c r="NI159" s="1319">
        <f t="shared" ca="1" si="1346"/>
        <v>0</v>
      </c>
      <c r="NJ159" s="1319">
        <f t="shared" ca="1" si="1346"/>
        <v>0</v>
      </c>
      <c r="NK159" s="1319">
        <f t="shared" ca="1" si="1346"/>
        <v>0</v>
      </c>
      <c r="NL159" s="1319">
        <f t="shared" ca="1" si="1346"/>
        <v>0</v>
      </c>
      <c r="NM159" s="1319">
        <f t="shared" ca="1" si="1346"/>
        <v>0</v>
      </c>
      <c r="NN159" s="1319">
        <f t="shared" ca="1" si="1346"/>
        <v>0</v>
      </c>
      <c r="NO159" s="1319">
        <f t="shared" ca="1" si="1346"/>
        <v>0</v>
      </c>
      <c r="NP159" s="1319">
        <f t="shared" ca="1" si="1346"/>
        <v>0</v>
      </c>
      <c r="NY159" s="1334"/>
      <c r="OE159" s="1334"/>
      <c r="OH159" s="1319">
        <f t="shared" ca="1" si="1347"/>
        <v>0</v>
      </c>
      <c r="OI159" s="1319">
        <f t="shared" ca="1" si="1347"/>
        <v>0</v>
      </c>
      <c r="OJ159" s="1319">
        <f t="shared" ca="1" si="1347"/>
        <v>0</v>
      </c>
      <c r="OK159" s="1319">
        <f t="shared" ca="1" si="1347"/>
        <v>0</v>
      </c>
      <c r="OL159" s="1319">
        <f t="shared" ca="1" si="1347"/>
        <v>0</v>
      </c>
      <c r="OM159" s="1319">
        <f t="shared" ca="1" si="1347"/>
        <v>0</v>
      </c>
      <c r="ON159" s="1319">
        <f t="shared" ca="1" si="1347"/>
        <v>0</v>
      </c>
      <c r="OO159" s="1319">
        <f t="shared" ca="1" si="1347"/>
        <v>0</v>
      </c>
      <c r="OX159" s="1334"/>
      <c r="PA159" s="1319">
        <f t="shared" ca="1" si="1348"/>
        <v>0</v>
      </c>
      <c r="PB159" s="1319">
        <f t="shared" ca="1" si="1348"/>
        <v>0</v>
      </c>
      <c r="PC159" s="1319">
        <f t="shared" ca="1" si="1348"/>
        <v>0</v>
      </c>
      <c r="PD159" s="1319">
        <f t="shared" ca="1" si="1348"/>
        <v>0</v>
      </c>
      <c r="PE159" s="1319">
        <f t="shared" ca="1" si="1348"/>
        <v>0</v>
      </c>
      <c r="PF159" s="1319">
        <f t="shared" ca="1" si="1348"/>
        <v>0</v>
      </c>
      <c r="PG159" s="1319">
        <f t="shared" ca="1" si="1348"/>
        <v>0</v>
      </c>
      <c r="PH159" s="1319">
        <f t="shared" ca="1" si="1348"/>
        <v>0</v>
      </c>
      <c r="PI159" s="1319">
        <f t="shared" ca="1" si="1348"/>
        <v>0</v>
      </c>
      <c r="PJ159" s="1319">
        <f t="shared" ca="1" si="1348"/>
        <v>0</v>
      </c>
      <c r="PK159" s="1319">
        <f t="shared" ca="1" si="1348"/>
        <v>0</v>
      </c>
      <c r="PT159" s="1334"/>
      <c r="PW159" s="1319">
        <f t="shared" ca="1" si="1349"/>
        <v>0</v>
      </c>
      <c r="PX159" s="1319">
        <f t="shared" ca="1" si="1349"/>
        <v>0</v>
      </c>
      <c r="PY159" s="1319">
        <f t="shared" ca="1" si="1349"/>
        <v>0</v>
      </c>
      <c r="PZ159" s="1319">
        <f t="shared" ca="1" si="1349"/>
        <v>0</v>
      </c>
    </row>
    <row r="160" spans="1:442" x14ac:dyDescent="0.25">
      <c r="A160" s="189">
        <v>128</v>
      </c>
      <c r="B160" s="189" t="s">
        <v>1320</v>
      </c>
      <c r="C160" s="1317" t="s">
        <v>1272</v>
      </c>
      <c r="D160" s="1317" t="s">
        <v>206</v>
      </c>
      <c r="E160" s="1318">
        <v>162.14239999999998</v>
      </c>
      <c r="F160" s="1316">
        <v>-0.61951084360746889</v>
      </c>
      <c r="G160" s="1334"/>
      <c r="J160" s="1319">
        <f t="shared" ca="1" si="1327"/>
        <v>-4.5525608807008888</v>
      </c>
      <c r="K160" s="1319">
        <f t="shared" ca="1" si="1327"/>
        <v>-4.5525608807008888</v>
      </c>
      <c r="Q160" s="1334"/>
      <c r="T160" s="1319">
        <f t="shared" ca="1" si="1328"/>
        <v>-4.5525608807008888</v>
      </c>
      <c r="U160" s="1319">
        <f t="shared" ca="1" si="1328"/>
        <v>0</v>
      </c>
      <c r="V160" s="1319">
        <f t="shared" ca="1" si="1328"/>
        <v>0</v>
      </c>
      <c r="W160" s="1319">
        <f t="shared" ca="1" si="1328"/>
        <v>0</v>
      </c>
      <c r="X160" s="1319">
        <f t="shared" ca="1" si="1328"/>
        <v>0</v>
      </c>
      <c r="Y160" s="1319">
        <f t="shared" ca="1" si="1328"/>
        <v>-0.11836658312747009</v>
      </c>
      <c r="Z160" s="1319">
        <f t="shared" ca="1" si="1328"/>
        <v>0</v>
      </c>
      <c r="AA160" s="1319">
        <f t="shared" ca="1" si="1328"/>
        <v>-0.11836658312747009</v>
      </c>
      <c r="AB160" s="1319">
        <f t="shared" ca="1" si="1328"/>
        <v>0</v>
      </c>
      <c r="AC160" s="1319">
        <f t="shared" ca="1" si="1328"/>
        <v>0</v>
      </c>
      <c r="AD160" s="1319">
        <f t="shared" ca="1" si="1328"/>
        <v>0</v>
      </c>
      <c r="AJ160" s="1334"/>
      <c r="AM160" s="1319">
        <f t="shared" ca="1" si="1329"/>
        <v>0</v>
      </c>
      <c r="AN160" s="1319">
        <f t="shared" ca="1" si="1329"/>
        <v>0</v>
      </c>
      <c r="AO160" s="1319">
        <f t="shared" ca="1" si="1329"/>
        <v>-0.11836658312747009</v>
      </c>
      <c r="AP160" s="1319">
        <f t="shared" ca="1" si="1329"/>
        <v>-0.11836658312747009</v>
      </c>
      <c r="AQ160" s="1319">
        <f t="shared" ca="1" si="1329"/>
        <v>0</v>
      </c>
      <c r="AR160" s="1319">
        <f t="shared" ca="1" si="1329"/>
        <v>0</v>
      </c>
      <c r="AS160" s="1319">
        <f t="shared" ca="1" si="1329"/>
        <v>0</v>
      </c>
      <c r="AT160" s="1319">
        <f t="shared" ca="1" si="1329"/>
        <v>0</v>
      </c>
      <c r="AU160" s="1319">
        <f t="shared" ca="1" si="1329"/>
        <v>0</v>
      </c>
      <c r="AV160" s="1319">
        <f t="shared" ca="1" si="1329"/>
        <v>-0.11836658312747009</v>
      </c>
      <c r="AW160" s="1319">
        <f t="shared" ca="1" si="1329"/>
        <v>0</v>
      </c>
      <c r="AX160" s="1319">
        <f t="shared" ca="1" si="1329"/>
        <v>0</v>
      </c>
      <c r="AY160" s="1319">
        <f t="shared" ca="1" si="1329"/>
        <v>0</v>
      </c>
      <c r="AZ160" s="1319">
        <f t="shared" ca="1" si="1329"/>
        <v>0</v>
      </c>
      <c r="BA160" s="1319">
        <f t="shared" ca="1" si="1329"/>
        <v>0</v>
      </c>
      <c r="BB160" s="1319">
        <f t="shared" ca="1" si="1329"/>
        <v>-0.11836658312747009</v>
      </c>
      <c r="BK160" s="1334"/>
      <c r="BN160" s="1319">
        <f t="shared" ca="1" si="1330"/>
        <v>-1.1836658312747009E-2</v>
      </c>
      <c r="BO160" s="1319">
        <f t="shared" ca="1" si="1330"/>
        <v>-1.1836658312747009E-2</v>
      </c>
      <c r="BP160" s="1319">
        <f t="shared" ca="1" si="1330"/>
        <v>0</v>
      </c>
      <c r="BQ160" s="1319">
        <f t="shared" ca="1" si="1330"/>
        <v>0</v>
      </c>
      <c r="BR160" s="1319">
        <f t="shared" ca="1" si="1330"/>
        <v>0</v>
      </c>
      <c r="CA160" s="1334"/>
      <c r="CD160" s="1319">
        <f t="shared" ca="1" si="1331"/>
        <v>-0.11836658312747009</v>
      </c>
      <c r="CE160" s="1319">
        <f t="shared" ca="1" si="1331"/>
        <v>-0.11836658312747009</v>
      </c>
      <c r="CF160" s="1319">
        <f t="shared" ca="1" si="1331"/>
        <v>-1.1836658312747009E-2</v>
      </c>
      <c r="CG160" s="1319">
        <f t="shared" ca="1" si="1331"/>
        <v>-1.1836658312747009E-2</v>
      </c>
      <c r="CH160" s="1319">
        <f t="shared" ca="1" si="1331"/>
        <v>-0.11836658312747009</v>
      </c>
      <c r="CI160" s="1319">
        <f t="shared" ca="1" si="1331"/>
        <v>0</v>
      </c>
      <c r="CJ160" s="1319">
        <f t="shared" ca="1" si="1331"/>
        <v>0</v>
      </c>
      <c r="CK160" s="1319">
        <f t="shared" ca="1" si="1331"/>
        <v>-0.11836658312747009</v>
      </c>
      <c r="CL160" s="1319">
        <f t="shared" ca="1" si="1331"/>
        <v>0</v>
      </c>
      <c r="CM160" s="1319">
        <f t="shared" ca="1" si="1331"/>
        <v>0</v>
      </c>
      <c r="CN160" s="1319">
        <f t="shared" ca="1" si="1331"/>
        <v>-0.11836658312747009</v>
      </c>
      <c r="CO160" s="1319">
        <f t="shared" ca="1" si="1331"/>
        <v>0</v>
      </c>
      <c r="CX160" s="1334"/>
      <c r="DA160" s="1319">
        <f t="shared" ca="1" si="1332"/>
        <v>0</v>
      </c>
      <c r="DB160" s="1319">
        <f t="shared" ca="1" si="1332"/>
        <v>0</v>
      </c>
      <c r="DC160" s="1319">
        <f t="shared" ca="1" si="1332"/>
        <v>0</v>
      </c>
      <c r="DD160" s="1319">
        <f t="shared" ca="1" si="1332"/>
        <v>0</v>
      </c>
      <c r="DE160" s="1319">
        <f t="shared" ca="1" si="1332"/>
        <v>0</v>
      </c>
      <c r="DF160" s="1319">
        <f t="shared" ca="1" si="1332"/>
        <v>0</v>
      </c>
      <c r="DG160" s="1319">
        <f t="shared" ca="1" si="1332"/>
        <v>0</v>
      </c>
      <c r="DH160" s="1319">
        <f t="shared" ca="1" si="1332"/>
        <v>0</v>
      </c>
      <c r="DI160" s="1319">
        <f t="shared" ca="1" si="1332"/>
        <v>0</v>
      </c>
      <c r="DJ160" s="1319">
        <f t="shared" ca="1" si="1332"/>
        <v>0</v>
      </c>
      <c r="DS160" s="1334"/>
      <c r="DV160" s="1319">
        <f t="shared" ca="1" si="1333"/>
        <v>0</v>
      </c>
      <c r="DW160" s="1319">
        <f t="shared" ca="1" si="1333"/>
        <v>0</v>
      </c>
      <c r="DX160" s="1319">
        <f t="shared" ca="1" si="1333"/>
        <v>0</v>
      </c>
      <c r="DY160" s="1319">
        <f t="shared" ca="1" si="1333"/>
        <v>0</v>
      </c>
      <c r="DZ160" s="1319">
        <f t="shared" ca="1" si="1333"/>
        <v>0</v>
      </c>
      <c r="EA160" s="1319">
        <f t="shared" ca="1" si="1333"/>
        <v>0</v>
      </c>
      <c r="EB160" s="1319">
        <f t="shared" ca="1" si="1333"/>
        <v>0</v>
      </c>
      <c r="EC160" s="1319">
        <f t="shared" ca="1" si="1333"/>
        <v>0</v>
      </c>
      <c r="ED160" s="1319">
        <f t="shared" ca="1" si="1333"/>
        <v>0</v>
      </c>
      <c r="EE160" s="1319">
        <f t="shared" ca="1" si="1333"/>
        <v>0</v>
      </c>
      <c r="EF160" s="1319">
        <f t="shared" ca="1" si="1333"/>
        <v>0</v>
      </c>
      <c r="EG160" s="1319">
        <f t="shared" ca="1" si="1333"/>
        <v>0</v>
      </c>
      <c r="EH160" s="1319">
        <f t="shared" ca="1" si="1333"/>
        <v>0</v>
      </c>
      <c r="EI160" s="1319">
        <f t="shared" ca="1" si="1333"/>
        <v>0</v>
      </c>
      <c r="EJ160" s="1319">
        <f t="shared" ca="1" si="1333"/>
        <v>0</v>
      </c>
      <c r="EK160" s="1319">
        <f t="shared" ca="1" si="1333"/>
        <v>0</v>
      </c>
      <c r="ET160" s="1334"/>
      <c r="EW160" s="1319">
        <f t="shared" ca="1" si="1334"/>
        <v>-0.11836658312747009</v>
      </c>
      <c r="EX160" s="1319">
        <f t="shared" ca="1" si="1334"/>
        <v>-0.11836658312747009</v>
      </c>
      <c r="EY160" s="1319">
        <f t="shared" ca="1" si="1334"/>
        <v>-0.11836658312747009</v>
      </c>
      <c r="EZ160" s="1319">
        <f t="shared" ca="1" si="1334"/>
        <v>-0.11836658312747009</v>
      </c>
      <c r="FA160" s="1319">
        <f t="shared" ca="1" si="1334"/>
        <v>0</v>
      </c>
      <c r="FB160" s="1319">
        <f t="shared" ca="1" si="1334"/>
        <v>0</v>
      </c>
      <c r="FK160" s="1334"/>
      <c r="FN160" s="1319">
        <f t="shared" ca="1" si="1335"/>
        <v>0</v>
      </c>
      <c r="FO160" s="1319">
        <f t="shared" ca="1" si="1335"/>
        <v>0</v>
      </c>
      <c r="FP160" s="1319">
        <f t="shared" ca="1" si="1335"/>
        <v>0</v>
      </c>
      <c r="FQ160" s="1319">
        <f t="shared" ca="1" si="1335"/>
        <v>0</v>
      </c>
      <c r="FR160" s="1319">
        <f t="shared" ca="1" si="1335"/>
        <v>0</v>
      </c>
      <c r="FS160" s="1319">
        <f t="shared" ca="1" si="1335"/>
        <v>0</v>
      </c>
      <c r="FT160" s="1319">
        <f t="shared" ca="1" si="1335"/>
        <v>0</v>
      </c>
      <c r="FU160" s="1319">
        <f t="shared" ca="1" si="1335"/>
        <v>0</v>
      </c>
      <c r="FV160" s="1319">
        <f t="shared" ca="1" si="1335"/>
        <v>0</v>
      </c>
      <c r="FW160" s="1319">
        <f t="shared" ca="1" si="1335"/>
        <v>0</v>
      </c>
      <c r="FX160" s="1319">
        <f t="shared" ca="1" si="1335"/>
        <v>0</v>
      </c>
      <c r="GG160" s="1334"/>
      <c r="GJ160" s="1319">
        <f t="shared" ca="1" si="1336"/>
        <v>0</v>
      </c>
      <c r="GK160" s="1319">
        <f t="shared" ca="1" si="1336"/>
        <v>0</v>
      </c>
      <c r="GL160" s="1319">
        <f t="shared" ca="1" si="1336"/>
        <v>0</v>
      </c>
      <c r="GM160" s="1319">
        <f t="shared" ca="1" si="1336"/>
        <v>0</v>
      </c>
      <c r="GN160" s="1319">
        <f t="shared" ca="1" si="1336"/>
        <v>0</v>
      </c>
      <c r="GO160" s="1319">
        <f t="shared" ca="1" si="1336"/>
        <v>0</v>
      </c>
      <c r="GP160" s="1319">
        <f t="shared" ca="1" si="1336"/>
        <v>0</v>
      </c>
      <c r="GQ160" s="1319">
        <f t="shared" ca="1" si="1336"/>
        <v>0</v>
      </c>
      <c r="GZ160" s="1334"/>
      <c r="HC160" s="1319">
        <f t="shared" ca="1" si="1337"/>
        <v>-0.11836658312747009</v>
      </c>
      <c r="HD160" s="1319">
        <f t="shared" ca="1" si="1337"/>
        <v>-2.3673316587286188E-3</v>
      </c>
      <c r="HE160" s="1319">
        <f t="shared" ca="1" si="1337"/>
        <v>0</v>
      </c>
      <c r="HF160" s="1319">
        <f t="shared" ca="1" si="1337"/>
        <v>0</v>
      </c>
      <c r="HG160" s="1319">
        <f t="shared" ca="1" si="1337"/>
        <v>-0.11599925151077006</v>
      </c>
      <c r="HH160" s="1319">
        <f t="shared" ca="1" si="1337"/>
        <v>-2.3673316587286188E-3</v>
      </c>
      <c r="HQ160" s="1334"/>
      <c r="HT160" s="1319">
        <f t="shared" ca="1" si="1338"/>
        <v>0</v>
      </c>
      <c r="HU160" s="1319">
        <f t="shared" ca="1" si="1338"/>
        <v>-2.3673316587286188E-3</v>
      </c>
      <c r="HV160" s="1319">
        <f t="shared" ca="1" si="1338"/>
        <v>-2.3673316587286188E-3</v>
      </c>
      <c r="HW160" s="1319">
        <f t="shared" ca="1" si="1338"/>
        <v>-2.3673316587286188E-3</v>
      </c>
      <c r="HX160" s="1319">
        <f t="shared" ca="1" si="1338"/>
        <v>-6.0603690380923753E-4</v>
      </c>
      <c r="HY160" s="1319">
        <f t="shared" ca="1" si="1338"/>
        <v>-1.7612947549193814E-3</v>
      </c>
      <c r="HZ160" s="1319">
        <f t="shared" ca="1" si="1338"/>
        <v>0</v>
      </c>
      <c r="IA160" s="1319">
        <f t="shared" ca="1" si="1338"/>
        <v>0</v>
      </c>
      <c r="IB160" s="1319">
        <f t="shared" ca="1" si="1338"/>
        <v>0</v>
      </c>
      <c r="IC160" s="1319">
        <f t="shared" ca="1" si="1338"/>
        <v>0</v>
      </c>
      <c r="ID160" s="1319">
        <f t="shared" ca="1" si="1338"/>
        <v>0</v>
      </c>
      <c r="IE160" s="1319">
        <f t="shared" ca="1" si="1338"/>
        <v>0</v>
      </c>
      <c r="IN160" s="1334"/>
      <c r="IQ160" s="1319">
        <f t="shared" ca="1" si="1339"/>
        <v>-6.0603690380923753E-4</v>
      </c>
      <c r="IR160" s="1319">
        <f t="shared" ca="1" si="1339"/>
        <v>-1.7612947549193814E-3</v>
      </c>
      <c r="IS160" s="1319">
        <f t="shared" ca="1" si="1339"/>
        <v>-7.3063330871006181E-4</v>
      </c>
      <c r="IT160" s="1319">
        <f t="shared" ca="1" si="1339"/>
        <v>-2.4919280636294433E-3</v>
      </c>
      <c r="IU160" s="1319">
        <f t="shared" ca="1" si="1339"/>
        <v>-1.2459640299043305E-4</v>
      </c>
      <c r="IV160" s="1319">
        <f t="shared" ca="1" si="1339"/>
        <v>-1.8265832698647632E-2</v>
      </c>
      <c r="IW160" s="1319">
        <f t="shared" ca="1" si="1339"/>
        <v>-1.7535199401399918E-2</v>
      </c>
      <c r="IX160" s="1319">
        <f t="shared" ca="1" si="1339"/>
        <v>0</v>
      </c>
      <c r="IY160" s="1319">
        <f t="shared" ca="1" si="1339"/>
        <v>-2.3673316587286188E-3</v>
      </c>
      <c r="IZ160" s="1319">
        <f t="shared" ca="1" si="1339"/>
        <v>0</v>
      </c>
      <c r="JA160" s="1319">
        <f t="shared" ca="1" si="1339"/>
        <v>-1.8265832698647632E-2</v>
      </c>
      <c r="JB160" s="1319">
        <f t="shared" ca="1" si="1340"/>
        <v>0</v>
      </c>
      <c r="JC160" s="1319">
        <f t="shared" ca="1" si="1340"/>
        <v>0</v>
      </c>
      <c r="JD160" s="1319">
        <f t="shared" ca="1" si="1340"/>
        <v>0</v>
      </c>
      <c r="JE160" s="1319">
        <f t="shared" ca="1" si="1340"/>
        <v>0</v>
      </c>
      <c r="JF160" s="1319">
        <f t="shared" ca="1" si="1340"/>
        <v>0</v>
      </c>
      <c r="JG160" s="1319">
        <f t="shared" ca="1" si="1340"/>
        <v>0</v>
      </c>
      <c r="JH160" s="1319">
        <f t="shared" ca="1" si="1340"/>
        <v>0</v>
      </c>
      <c r="JQ160" s="1334"/>
      <c r="JT160" s="1319">
        <f t="shared" ca="1" si="1341"/>
        <v>0</v>
      </c>
      <c r="JU160" s="1319">
        <f t="shared" ca="1" si="1341"/>
        <v>0</v>
      </c>
      <c r="JV160" s="1319">
        <f t="shared" ca="1" si="1341"/>
        <v>0</v>
      </c>
      <c r="JW160" s="1319">
        <f t="shared" ca="1" si="1341"/>
        <v>0</v>
      </c>
      <c r="JX160" s="1319">
        <f t="shared" ca="1" si="1341"/>
        <v>0</v>
      </c>
      <c r="JY160" s="1319">
        <f t="shared" ca="1" si="1341"/>
        <v>0</v>
      </c>
      <c r="JZ160" s="1319">
        <f t="shared" ca="1" si="1341"/>
        <v>0</v>
      </c>
      <c r="KA160" s="1319">
        <f t="shared" ca="1" si="1341"/>
        <v>0</v>
      </c>
      <c r="KB160" s="1319">
        <f t="shared" ca="1" si="1341"/>
        <v>0</v>
      </c>
      <c r="KC160" s="1319">
        <f t="shared" ca="1" si="1341"/>
        <v>0</v>
      </c>
      <c r="KI160" s="1334"/>
      <c r="KL160" s="1319">
        <f t="shared" ca="1" si="1342"/>
        <v>0</v>
      </c>
      <c r="KM160" s="1319">
        <f t="shared" ca="1" si="1342"/>
        <v>0</v>
      </c>
      <c r="KN160" s="1319">
        <f t="shared" ca="1" si="1342"/>
        <v>0</v>
      </c>
      <c r="KO160" s="1319">
        <f t="shared" ca="1" si="1342"/>
        <v>0</v>
      </c>
      <c r="KP160" s="1319">
        <f t="shared" ca="1" si="1342"/>
        <v>0</v>
      </c>
      <c r="KQ160" s="1319">
        <f t="shared" ca="1" si="1342"/>
        <v>0</v>
      </c>
      <c r="KR160" s="1319">
        <f t="shared" ca="1" si="1342"/>
        <v>0</v>
      </c>
      <c r="KX160" s="1334"/>
      <c r="LA160" s="1319">
        <f t="shared" ca="1" si="1343"/>
        <v>0</v>
      </c>
      <c r="LB160" s="1319">
        <f t="shared" ca="1" si="1343"/>
        <v>0</v>
      </c>
      <c r="LC160" s="1319">
        <f t="shared" ca="1" si="1343"/>
        <v>0</v>
      </c>
      <c r="LD160" s="1319">
        <f t="shared" ca="1" si="1343"/>
        <v>0</v>
      </c>
      <c r="LE160" s="1319">
        <f t="shared" ca="1" si="1343"/>
        <v>0</v>
      </c>
      <c r="LF160" s="1319">
        <f t="shared" ca="1" si="1343"/>
        <v>0</v>
      </c>
      <c r="LG160" s="1319">
        <f t="shared" ca="1" si="1343"/>
        <v>0</v>
      </c>
      <c r="LH160" s="1319">
        <f t="shared" ca="1" si="1343"/>
        <v>0</v>
      </c>
      <c r="LI160" s="1319">
        <f t="shared" ca="1" si="1343"/>
        <v>0</v>
      </c>
      <c r="LJ160" s="1319">
        <f t="shared" ca="1" si="1343"/>
        <v>0</v>
      </c>
      <c r="LK160" s="1319">
        <f t="shared" ca="1" si="1343"/>
        <v>0</v>
      </c>
      <c r="LT160" s="1334"/>
      <c r="LW160" s="1319">
        <f t="shared" ca="1" si="1344"/>
        <v>0</v>
      </c>
      <c r="LX160" s="1319">
        <f t="shared" ca="1" si="1344"/>
        <v>0</v>
      </c>
      <c r="LY160" s="1319">
        <f t="shared" ca="1" si="1344"/>
        <v>-0.11599925151077006</v>
      </c>
      <c r="LZ160" s="1319">
        <f t="shared" ca="1" si="1344"/>
        <v>-2.3673316587286188E-3</v>
      </c>
      <c r="MA160" s="1319">
        <f t="shared" ca="1" si="1344"/>
        <v>-0.11836658312747009</v>
      </c>
      <c r="MB160" s="1319">
        <f t="shared" ca="1" si="1344"/>
        <v>0</v>
      </c>
      <c r="MC160" s="1319">
        <f t="shared" ca="1" si="1344"/>
        <v>0</v>
      </c>
      <c r="MD160" s="1319">
        <f t="shared" ca="1" si="1344"/>
        <v>0</v>
      </c>
      <c r="ME160" s="1319">
        <f t="shared" ca="1" si="1344"/>
        <v>0</v>
      </c>
      <c r="MF160" s="1319">
        <f t="shared" ca="1" si="1344"/>
        <v>0</v>
      </c>
      <c r="MG160" s="1319">
        <f t="shared" ca="1" si="1345"/>
        <v>0</v>
      </c>
      <c r="MH160" s="1319">
        <f t="shared" ca="1" si="1345"/>
        <v>0</v>
      </c>
      <c r="MI160" s="1319">
        <f t="shared" ca="1" si="1345"/>
        <v>0</v>
      </c>
      <c r="MJ160" s="1319">
        <f t="shared" ca="1" si="1345"/>
        <v>0</v>
      </c>
      <c r="MK160" s="1319">
        <f t="shared" ca="1" si="1345"/>
        <v>0</v>
      </c>
      <c r="ML160" s="1319">
        <f t="shared" ca="1" si="1345"/>
        <v>0</v>
      </c>
      <c r="MM160" s="1319">
        <f t="shared" ca="1" si="1345"/>
        <v>0</v>
      </c>
      <c r="MN160" s="1319">
        <f t="shared" ca="1" si="1345"/>
        <v>0</v>
      </c>
      <c r="MO160" s="1319">
        <f t="shared" ca="1" si="1345"/>
        <v>0</v>
      </c>
      <c r="MX160" s="1334"/>
      <c r="NA160" s="1319">
        <f t="shared" ca="1" si="1346"/>
        <v>0</v>
      </c>
      <c r="NB160" s="1319">
        <f t="shared" ca="1" si="1346"/>
        <v>0</v>
      </c>
      <c r="NC160" s="1319">
        <f t="shared" ca="1" si="1346"/>
        <v>0</v>
      </c>
      <c r="ND160" s="1319">
        <f t="shared" ca="1" si="1346"/>
        <v>0</v>
      </c>
      <c r="NE160" s="1319">
        <f t="shared" ca="1" si="1346"/>
        <v>0</v>
      </c>
      <c r="NF160" s="1319">
        <f t="shared" ca="1" si="1346"/>
        <v>0</v>
      </c>
      <c r="NG160" s="1319">
        <f t="shared" ca="1" si="1346"/>
        <v>0</v>
      </c>
      <c r="NH160" s="1319">
        <f t="shared" ca="1" si="1346"/>
        <v>0</v>
      </c>
      <c r="NI160" s="1319">
        <f t="shared" ca="1" si="1346"/>
        <v>0</v>
      </c>
      <c r="NJ160" s="1319">
        <f t="shared" ca="1" si="1346"/>
        <v>0</v>
      </c>
      <c r="NK160" s="1319">
        <f t="shared" ca="1" si="1346"/>
        <v>0</v>
      </c>
      <c r="NL160" s="1319">
        <f t="shared" ca="1" si="1346"/>
        <v>0</v>
      </c>
      <c r="NM160" s="1319">
        <f t="shared" ca="1" si="1346"/>
        <v>0</v>
      </c>
      <c r="NN160" s="1319">
        <f t="shared" ca="1" si="1346"/>
        <v>0</v>
      </c>
      <c r="NO160" s="1319">
        <f t="shared" ca="1" si="1346"/>
        <v>0</v>
      </c>
      <c r="NP160" s="1319">
        <f t="shared" ca="1" si="1346"/>
        <v>0</v>
      </c>
      <c r="NY160" s="1334"/>
      <c r="OE160" s="1334"/>
      <c r="OH160" s="1319">
        <f t="shared" ca="1" si="1347"/>
        <v>0</v>
      </c>
      <c r="OI160" s="1319">
        <f t="shared" ca="1" si="1347"/>
        <v>0</v>
      </c>
      <c r="OJ160" s="1319">
        <f t="shared" ca="1" si="1347"/>
        <v>0</v>
      </c>
      <c r="OK160" s="1319">
        <f t="shared" ca="1" si="1347"/>
        <v>0</v>
      </c>
      <c r="OL160" s="1319">
        <f t="shared" ca="1" si="1347"/>
        <v>0</v>
      </c>
      <c r="OM160" s="1319">
        <f t="shared" ca="1" si="1347"/>
        <v>0</v>
      </c>
      <c r="ON160" s="1319">
        <f t="shared" ca="1" si="1347"/>
        <v>0</v>
      </c>
      <c r="OO160" s="1319">
        <f t="shared" ca="1" si="1347"/>
        <v>0</v>
      </c>
      <c r="OX160" s="1334"/>
      <c r="PA160" s="1319">
        <f t="shared" ca="1" si="1348"/>
        <v>0</v>
      </c>
      <c r="PB160" s="1319">
        <f t="shared" ca="1" si="1348"/>
        <v>0</v>
      </c>
      <c r="PC160" s="1319">
        <f t="shared" ca="1" si="1348"/>
        <v>0</v>
      </c>
      <c r="PD160" s="1319">
        <f t="shared" ca="1" si="1348"/>
        <v>0</v>
      </c>
      <c r="PE160" s="1319">
        <f t="shared" ca="1" si="1348"/>
        <v>0</v>
      </c>
      <c r="PF160" s="1319">
        <f t="shared" ca="1" si="1348"/>
        <v>0</v>
      </c>
      <c r="PG160" s="1319">
        <f t="shared" ca="1" si="1348"/>
        <v>0</v>
      </c>
      <c r="PH160" s="1319">
        <f t="shared" ca="1" si="1348"/>
        <v>0</v>
      </c>
      <c r="PI160" s="1319">
        <f t="shared" ca="1" si="1348"/>
        <v>0</v>
      </c>
      <c r="PJ160" s="1319">
        <f t="shared" ca="1" si="1348"/>
        <v>0</v>
      </c>
      <c r="PK160" s="1319">
        <f t="shared" ca="1" si="1348"/>
        <v>0</v>
      </c>
      <c r="PT160" s="1334"/>
      <c r="PW160" s="1319">
        <f t="shared" ca="1" si="1349"/>
        <v>0</v>
      </c>
      <c r="PX160" s="1319">
        <f t="shared" ca="1" si="1349"/>
        <v>0</v>
      </c>
      <c r="PY160" s="1319">
        <f t="shared" ca="1" si="1349"/>
        <v>0</v>
      </c>
      <c r="PZ160" s="1319">
        <f t="shared" ca="1" si="1349"/>
        <v>0</v>
      </c>
    </row>
    <row r="161" spans="1:442" x14ac:dyDescent="0.25">
      <c r="A161" s="189">
        <v>129</v>
      </c>
      <c r="B161" s="189" t="s">
        <v>1320</v>
      </c>
      <c r="C161" s="1317" t="s">
        <v>1271</v>
      </c>
      <c r="D161" s="1317" t="s">
        <v>206</v>
      </c>
      <c r="E161" s="1318">
        <v>162.14239999999998</v>
      </c>
      <c r="F161" s="1316">
        <v>-0.61951084360746889</v>
      </c>
      <c r="G161" s="1334"/>
      <c r="J161" s="1319">
        <f t="shared" ca="1" si="1327"/>
        <v>-1.9101654048372276</v>
      </c>
      <c r="K161" s="1319">
        <f t="shared" ca="1" si="1327"/>
        <v>-1.9101654048372276</v>
      </c>
      <c r="Q161" s="1334"/>
      <c r="T161" s="1319">
        <f t="shared" ca="1" si="1328"/>
        <v>-1.9101654048372276</v>
      </c>
      <c r="U161" s="1319">
        <f t="shared" ca="1" si="1328"/>
        <v>0</v>
      </c>
      <c r="V161" s="1319">
        <f t="shared" ca="1" si="1328"/>
        <v>0</v>
      </c>
      <c r="W161" s="1319">
        <f t="shared" ca="1" si="1328"/>
        <v>0</v>
      </c>
      <c r="X161" s="1319">
        <f t="shared" ca="1" si="1328"/>
        <v>0</v>
      </c>
      <c r="Y161" s="1319">
        <f t="shared" ca="1" si="1328"/>
        <v>-4.9664300655674516E-2</v>
      </c>
      <c r="Z161" s="1319">
        <f t="shared" ca="1" si="1328"/>
        <v>0</v>
      </c>
      <c r="AA161" s="1319">
        <f t="shared" ca="1" si="1328"/>
        <v>-4.9664300655674516E-2</v>
      </c>
      <c r="AB161" s="1319">
        <f t="shared" ca="1" si="1328"/>
        <v>0</v>
      </c>
      <c r="AC161" s="1319">
        <f t="shared" ca="1" si="1328"/>
        <v>0</v>
      </c>
      <c r="AD161" s="1319">
        <f t="shared" ca="1" si="1328"/>
        <v>0</v>
      </c>
      <c r="AJ161" s="1334"/>
      <c r="AM161" s="1319">
        <f t="shared" ca="1" si="1329"/>
        <v>0</v>
      </c>
      <c r="AN161" s="1319">
        <f t="shared" ca="1" si="1329"/>
        <v>0</v>
      </c>
      <c r="AO161" s="1319">
        <f t="shared" ca="1" si="1329"/>
        <v>-4.9664300655674516E-2</v>
      </c>
      <c r="AP161" s="1319">
        <f t="shared" ca="1" si="1329"/>
        <v>-4.9664300655674516E-2</v>
      </c>
      <c r="AQ161" s="1319">
        <f t="shared" ca="1" si="1329"/>
        <v>0</v>
      </c>
      <c r="AR161" s="1319">
        <f t="shared" ca="1" si="1329"/>
        <v>0</v>
      </c>
      <c r="AS161" s="1319">
        <f t="shared" ca="1" si="1329"/>
        <v>0</v>
      </c>
      <c r="AT161" s="1319">
        <f t="shared" ca="1" si="1329"/>
        <v>0</v>
      </c>
      <c r="AU161" s="1319">
        <f t="shared" ca="1" si="1329"/>
        <v>0</v>
      </c>
      <c r="AV161" s="1319">
        <f t="shared" ca="1" si="1329"/>
        <v>-4.9664300655674516E-2</v>
      </c>
      <c r="AW161" s="1319">
        <f t="shared" ca="1" si="1329"/>
        <v>0</v>
      </c>
      <c r="AX161" s="1319">
        <f t="shared" ca="1" si="1329"/>
        <v>0</v>
      </c>
      <c r="AY161" s="1319">
        <f t="shared" ca="1" si="1329"/>
        <v>0</v>
      </c>
      <c r="AZ161" s="1319">
        <f t="shared" ca="1" si="1329"/>
        <v>0</v>
      </c>
      <c r="BA161" s="1319">
        <f t="shared" ca="1" si="1329"/>
        <v>0</v>
      </c>
      <c r="BB161" s="1319">
        <f t="shared" ca="1" si="1329"/>
        <v>-4.9664300655674516E-2</v>
      </c>
      <c r="BK161" s="1334"/>
      <c r="BN161" s="1319">
        <f t="shared" ca="1" si="1330"/>
        <v>-4.9664300655674525E-3</v>
      </c>
      <c r="BO161" s="1319">
        <f t="shared" ca="1" si="1330"/>
        <v>-4.9664300655674525E-3</v>
      </c>
      <c r="BP161" s="1319">
        <f t="shared" ca="1" si="1330"/>
        <v>0</v>
      </c>
      <c r="BQ161" s="1319">
        <f t="shared" ca="1" si="1330"/>
        <v>0</v>
      </c>
      <c r="BR161" s="1319">
        <f t="shared" ca="1" si="1330"/>
        <v>0</v>
      </c>
      <c r="CA161" s="1334"/>
      <c r="CD161" s="1319">
        <f t="shared" ca="1" si="1331"/>
        <v>-4.9664300655674516E-2</v>
      </c>
      <c r="CE161" s="1319">
        <f t="shared" ca="1" si="1331"/>
        <v>-4.9664300655674516E-2</v>
      </c>
      <c r="CF161" s="1319">
        <f t="shared" ca="1" si="1331"/>
        <v>-4.9664300655674525E-3</v>
      </c>
      <c r="CG161" s="1319">
        <f t="shared" ca="1" si="1331"/>
        <v>-4.9664300655674525E-3</v>
      </c>
      <c r="CH161" s="1319">
        <f t="shared" ca="1" si="1331"/>
        <v>-4.9664300655674516E-2</v>
      </c>
      <c r="CI161" s="1319">
        <f t="shared" ca="1" si="1331"/>
        <v>0</v>
      </c>
      <c r="CJ161" s="1319">
        <f t="shared" ca="1" si="1331"/>
        <v>0</v>
      </c>
      <c r="CK161" s="1319">
        <f t="shared" ca="1" si="1331"/>
        <v>-4.9664300655674516E-2</v>
      </c>
      <c r="CL161" s="1319">
        <f t="shared" ca="1" si="1331"/>
        <v>0</v>
      </c>
      <c r="CM161" s="1319">
        <f t="shared" ca="1" si="1331"/>
        <v>0</v>
      </c>
      <c r="CN161" s="1319">
        <f t="shared" ca="1" si="1331"/>
        <v>-4.9664300655674516E-2</v>
      </c>
      <c r="CO161" s="1319">
        <f t="shared" ca="1" si="1331"/>
        <v>0</v>
      </c>
      <c r="CX161" s="1334"/>
      <c r="DA161" s="1319">
        <f t="shared" ca="1" si="1332"/>
        <v>0</v>
      </c>
      <c r="DB161" s="1319">
        <f t="shared" ca="1" si="1332"/>
        <v>0</v>
      </c>
      <c r="DC161" s="1319">
        <f t="shared" ca="1" si="1332"/>
        <v>0</v>
      </c>
      <c r="DD161" s="1319">
        <f t="shared" ca="1" si="1332"/>
        <v>0</v>
      </c>
      <c r="DE161" s="1319">
        <f t="shared" ca="1" si="1332"/>
        <v>0</v>
      </c>
      <c r="DF161" s="1319">
        <f t="shared" ca="1" si="1332"/>
        <v>0</v>
      </c>
      <c r="DG161" s="1319">
        <f t="shared" ca="1" si="1332"/>
        <v>0</v>
      </c>
      <c r="DH161" s="1319">
        <f t="shared" ca="1" si="1332"/>
        <v>0</v>
      </c>
      <c r="DI161" s="1319">
        <f t="shared" ca="1" si="1332"/>
        <v>0</v>
      </c>
      <c r="DJ161" s="1319">
        <f t="shared" ca="1" si="1332"/>
        <v>0</v>
      </c>
      <c r="DS161" s="1334"/>
      <c r="DV161" s="1319">
        <f t="shared" ca="1" si="1333"/>
        <v>0</v>
      </c>
      <c r="DW161" s="1319">
        <f t="shared" ca="1" si="1333"/>
        <v>0</v>
      </c>
      <c r="DX161" s="1319">
        <f t="shared" ca="1" si="1333"/>
        <v>0</v>
      </c>
      <c r="DY161" s="1319">
        <f t="shared" ca="1" si="1333"/>
        <v>0</v>
      </c>
      <c r="DZ161" s="1319">
        <f t="shared" ca="1" si="1333"/>
        <v>0</v>
      </c>
      <c r="EA161" s="1319">
        <f t="shared" ca="1" si="1333"/>
        <v>0</v>
      </c>
      <c r="EB161" s="1319">
        <f t="shared" ca="1" si="1333"/>
        <v>0</v>
      </c>
      <c r="EC161" s="1319">
        <f t="shared" ca="1" si="1333"/>
        <v>0</v>
      </c>
      <c r="ED161" s="1319">
        <f t="shared" ca="1" si="1333"/>
        <v>0</v>
      </c>
      <c r="EE161" s="1319">
        <f t="shared" ca="1" si="1333"/>
        <v>0</v>
      </c>
      <c r="EF161" s="1319">
        <f t="shared" ca="1" si="1333"/>
        <v>0</v>
      </c>
      <c r="EG161" s="1319">
        <f t="shared" ca="1" si="1333"/>
        <v>0</v>
      </c>
      <c r="EH161" s="1319">
        <f t="shared" ca="1" si="1333"/>
        <v>0</v>
      </c>
      <c r="EI161" s="1319">
        <f t="shared" ca="1" si="1333"/>
        <v>0</v>
      </c>
      <c r="EJ161" s="1319">
        <f t="shared" ca="1" si="1333"/>
        <v>0</v>
      </c>
      <c r="EK161" s="1319">
        <f t="shared" ca="1" si="1333"/>
        <v>0</v>
      </c>
      <c r="ET161" s="1334"/>
      <c r="EW161" s="1319">
        <f t="shared" ca="1" si="1334"/>
        <v>-4.9664300655674516E-2</v>
      </c>
      <c r="EX161" s="1319">
        <f t="shared" ca="1" si="1334"/>
        <v>-4.9664300655674516E-2</v>
      </c>
      <c r="EY161" s="1319">
        <f t="shared" ca="1" si="1334"/>
        <v>-4.9664300655674516E-2</v>
      </c>
      <c r="EZ161" s="1319">
        <f t="shared" ca="1" si="1334"/>
        <v>-4.9664300655674516E-2</v>
      </c>
      <c r="FA161" s="1319">
        <f t="shared" ca="1" si="1334"/>
        <v>0</v>
      </c>
      <c r="FB161" s="1319">
        <f t="shared" ca="1" si="1334"/>
        <v>0</v>
      </c>
      <c r="FK161" s="1334"/>
      <c r="FN161" s="1319">
        <f t="shared" ca="1" si="1335"/>
        <v>0</v>
      </c>
      <c r="FO161" s="1319">
        <f t="shared" ca="1" si="1335"/>
        <v>0</v>
      </c>
      <c r="FP161" s="1319">
        <f t="shared" ca="1" si="1335"/>
        <v>0</v>
      </c>
      <c r="FQ161" s="1319">
        <f t="shared" ca="1" si="1335"/>
        <v>0</v>
      </c>
      <c r="FR161" s="1319">
        <f t="shared" ca="1" si="1335"/>
        <v>0</v>
      </c>
      <c r="FS161" s="1319">
        <f t="shared" ca="1" si="1335"/>
        <v>0</v>
      </c>
      <c r="FT161" s="1319">
        <f t="shared" ca="1" si="1335"/>
        <v>0</v>
      </c>
      <c r="FU161" s="1319">
        <f t="shared" ca="1" si="1335"/>
        <v>0</v>
      </c>
      <c r="FV161" s="1319">
        <f t="shared" ca="1" si="1335"/>
        <v>0</v>
      </c>
      <c r="FW161" s="1319">
        <f t="shared" ca="1" si="1335"/>
        <v>0</v>
      </c>
      <c r="FX161" s="1319">
        <f t="shared" ca="1" si="1335"/>
        <v>0</v>
      </c>
      <c r="GG161" s="1334"/>
      <c r="GJ161" s="1319">
        <f t="shared" ca="1" si="1336"/>
        <v>0</v>
      </c>
      <c r="GK161" s="1319">
        <f t="shared" ca="1" si="1336"/>
        <v>0</v>
      </c>
      <c r="GL161" s="1319">
        <f t="shared" ca="1" si="1336"/>
        <v>0</v>
      </c>
      <c r="GM161" s="1319">
        <f t="shared" ca="1" si="1336"/>
        <v>0</v>
      </c>
      <c r="GN161" s="1319">
        <f t="shared" ca="1" si="1336"/>
        <v>0</v>
      </c>
      <c r="GO161" s="1319">
        <f t="shared" ca="1" si="1336"/>
        <v>0</v>
      </c>
      <c r="GP161" s="1319">
        <f t="shared" ca="1" si="1336"/>
        <v>0</v>
      </c>
      <c r="GQ161" s="1319">
        <f t="shared" ca="1" si="1336"/>
        <v>0</v>
      </c>
      <c r="GZ161" s="1334"/>
      <c r="HC161" s="1319">
        <f t="shared" ca="1" si="1337"/>
        <v>-4.9664300655674516E-2</v>
      </c>
      <c r="HD161" s="1319">
        <f t="shared" ca="1" si="1337"/>
        <v>-9.9328601311349045E-4</v>
      </c>
      <c r="HE161" s="1319">
        <f t="shared" ca="1" si="1337"/>
        <v>0</v>
      </c>
      <c r="HF161" s="1319">
        <f t="shared" ca="1" si="1337"/>
        <v>0</v>
      </c>
      <c r="HG161" s="1319">
        <f t="shared" ca="1" si="1337"/>
        <v>-4.8671014505012856E-2</v>
      </c>
      <c r="HH161" s="1319">
        <f t="shared" ca="1" si="1337"/>
        <v>-9.9328601311349045E-4</v>
      </c>
      <c r="HQ161" s="1334"/>
      <c r="HT161" s="1319">
        <f t="shared" ca="1" si="1338"/>
        <v>0</v>
      </c>
      <c r="HU161" s="1319">
        <f t="shared" ca="1" si="1338"/>
        <v>-9.9328601311349045E-4</v>
      </c>
      <c r="HV161" s="1319">
        <f t="shared" ca="1" si="1338"/>
        <v>-9.9328601311349045E-4</v>
      </c>
      <c r="HW161" s="1319">
        <f t="shared" ca="1" si="1338"/>
        <v>-9.9328601311349045E-4</v>
      </c>
      <c r="HX161" s="1319">
        <f t="shared" ca="1" si="1338"/>
        <v>-2.542812190361078E-4</v>
      </c>
      <c r="HY161" s="1319">
        <f t="shared" ca="1" si="1338"/>
        <v>-7.3900479216699132E-4</v>
      </c>
      <c r="HZ161" s="1319">
        <f t="shared" ca="1" si="1338"/>
        <v>0</v>
      </c>
      <c r="IA161" s="1319">
        <f t="shared" ca="1" si="1338"/>
        <v>0</v>
      </c>
      <c r="IB161" s="1319">
        <f t="shared" ca="1" si="1338"/>
        <v>0</v>
      </c>
      <c r="IC161" s="1319">
        <f t="shared" ca="1" si="1338"/>
        <v>0</v>
      </c>
      <c r="ID161" s="1319">
        <f t="shared" ca="1" si="1338"/>
        <v>0</v>
      </c>
      <c r="IE161" s="1319">
        <f t="shared" ca="1" si="1338"/>
        <v>0</v>
      </c>
      <c r="IN161" s="1334"/>
      <c r="IQ161" s="1319">
        <f t="shared" ca="1" si="1339"/>
        <v>-2.542812190361078E-4</v>
      </c>
      <c r="IR161" s="1319">
        <f t="shared" ca="1" si="1339"/>
        <v>-7.3900479216699132E-4</v>
      </c>
      <c r="IS161" s="1319">
        <f t="shared" ca="1" si="1339"/>
        <v>-3.0655942970965401E-4</v>
      </c>
      <c r="IT161" s="1319">
        <f t="shared" ca="1" si="1339"/>
        <v>-1.0455642211124891E-3</v>
      </c>
      <c r="IU161" s="1319">
        <f t="shared" ca="1" si="1339"/>
        <v>-5.2278211055624451E-5</v>
      </c>
      <c r="IV161" s="1319">
        <f t="shared" ca="1" si="1339"/>
        <v>-7.6639857618452639E-3</v>
      </c>
      <c r="IW161" s="1319">
        <f t="shared" ca="1" si="1339"/>
        <v>-7.3574263099750693E-3</v>
      </c>
      <c r="IX161" s="1319">
        <f t="shared" ca="1" si="1339"/>
        <v>0</v>
      </c>
      <c r="IY161" s="1319">
        <f t="shared" ca="1" si="1339"/>
        <v>-9.93286009292708E-4</v>
      </c>
      <c r="IZ161" s="1319">
        <f t="shared" ca="1" si="1339"/>
        <v>0</v>
      </c>
      <c r="JA161" s="1319">
        <f t="shared" ca="1" si="1339"/>
        <v>-7.6639857618452639E-3</v>
      </c>
      <c r="JB161" s="1319">
        <f t="shared" ca="1" si="1340"/>
        <v>0</v>
      </c>
      <c r="JC161" s="1319">
        <f t="shared" ca="1" si="1340"/>
        <v>0</v>
      </c>
      <c r="JD161" s="1319">
        <f t="shared" ca="1" si="1340"/>
        <v>0</v>
      </c>
      <c r="JE161" s="1319">
        <f t="shared" ca="1" si="1340"/>
        <v>0</v>
      </c>
      <c r="JF161" s="1319">
        <f t="shared" ca="1" si="1340"/>
        <v>0</v>
      </c>
      <c r="JG161" s="1319">
        <f t="shared" ca="1" si="1340"/>
        <v>0</v>
      </c>
      <c r="JH161" s="1319">
        <f t="shared" ca="1" si="1340"/>
        <v>0</v>
      </c>
      <c r="JQ161" s="1334"/>
      <c r="JT161" s="1319">
        <f t="shared" ca="1" si="1341"/>
        <v>0</v>
      </c>
      <c r="JU161" s="1319">
        <f t="shared" ca="1" si="1341"/>
        <v>0</v>
      </c>
      <c r="JV161" s="1319">
        <f t="shared" ca="1" si="1341"/>
        <v>0</v>
      </c>
      <c r="JW161" s="1319">
        <f t="shared" ca="1" si="1341"/>
        <v>0</v>
      </c>
      <c r="JX161" s="1319">
        <f t="shared" ca="1" si="1341"/>
        <v>0</v>
      </c>
      <c r="JY161" s="1319">
        <f t="shared" ca="1" si="1341"/>
        <v>0</v>
      </c>
      <c r="JZ161" s="1319">
        <f t="shared" ca="1" si="1341"/>
        <v>0</v>
      </c>
      <c r="KA161" s="1319">
        <f t="shared" ca="1" si="1341"/>
        <v>0</v>
      </c>
      <c r="KB161" s="1319">
        <f t="shared" ca="1" si="1341"/>
        <v>0</v>
      </c>
      <c r="KC161" s="1319">
        <f t="shared" ca="1" si="1341"/>
        <v>0</v>
      </c>
      <c r="KI161" s="1334"/>
      <c r="KL161" s="1319">
        <f t="shared" ca="1" si="1342"/>
        <v>0</v>
      </c>
      <c r="KM161" s="1319">
        <f t="shared" ca="1" si="1342"/>
        <v>0</v>
      </c>
      <c r="KN161" s="1319">
        <f t="shared" ca="1" si="1342"/>
        <v>0</v>
      </c>
      <c r="KO161" s="1319">
        <f t="shared" ca="1" si="1342"/>
        <v>0</v>
      </c>
      <c r="KP161" s="1319">
        <f t="shared" ca="1" si="1342"/>
        <v>0</v>
      </c>
      <c r="KQ161" s="1319">
        <f t="shared" ca="1" si="1342"/>
        <v>0</v>
      </c>
      <c r="KR161" s="1319">
        <f t="shared" ca="1" si="1342"/>
        <v>0</v>
      </c>
      <c r="KX161" s="1334"/>
      <c r="LA161" s="1319">
        <f t="shared" ca="1" si="1343"/>
        <v>0</v>
      </c>
      <c r="LB161" s="1319">
        <f t="shared" ca="1" si="1343"/>
        <v>0</v>
      </c>
      <c r="LC161" s="1319">
        <f t="shared" ca="1" si="1343"/>
        <v>0</v>
      </c>
      <c r="LD161" s="1319">
        <f t="shared" ca="1" si="1343"/>
        <v>0</v>
      </c>
      <c r="LE161" s="1319">
        <f t="shared" ca="1" si="1343"/>
        <v>0</v>
      </c>
      <c r="LF161" s="1319">
        <f t="shared" ca="1" si="1343"/>
        <v>0</v>
      </c>
      <c r="LG161" s="1319">
        <f t="shared" ca="1" si="1343"/>
        <v>0</v>
      </c>
      <c r="LH161" s="1319">
        <f t="shared" ca="1" si="1343"/>
        <v>0</v>
      </c>
      <c r="LI161" s="1319">
        <f t="shared" ca="1" si="1343"/>
        <v>0</v>
      </c>
      <c r="LJ161" s="1319">
        <f t="shared" ca="1" si="1343"/>
        <v>0</v>
      </c>
      <c r="LK161" s="1319">
        <f t="shared" ca="1" si="1343"/>
        <v>0</v>
      </c>
      <c r="LT161" s="1334"/>
      <c r="LW161" s="1319">
        <f t="shared" ca="1" si="1344"/>
        <v>0</v>
      </c>
      <c r="LX161" s="1319">
        <f t="shared" ca="1" si="1344"/>
        <v>0</v>
      </c>
      <c r="LY161" s="1319">
        <f t="shared" ca="1" si="1344"/>
        <v>-4.8671014505012856E-2</v>
      </c>
      <c r="LZ161" s="1319">
        <f t="shared" ca="1" si="1344"/>
        <v>-9.93286009292708E-4</v>
      </c>
      <c r="MA161" s="1319">
        <f t="shared" ca="1" si="1344"/>
        <v>-4.9664300655674516E-2</v>
      </c>
      <c r="MB161" s="1319">
        <f t="shared" ca="1" si="1344"/>
        <v>0</v>
      </c>
      <c r="MC161" s="1319">
        <f t="shared" ca="1" si="1344"/>
        <v>0</v>
      </c>
      <c r="MD161" s="1319">
        <f t="shared" ca="1" si="1344"/>
        <v>0</v>
      </c>
      <c r="ME161" s="1319">
        <f t="shared" ca="1" si="1344"/>
        <v>0</v>
      </c>
      <c r="MF161" s="1319">
        <f t="shared" ca="1" si="1344"/>
        <v>0</v>
      </c>
      <c r="MG161" s="1319">
        <f t="shared" ca="1" si="1345"/>
        <v>0</v>
      </c>
      <c r="MH161" s="1319">
        <f t="shared" ca="1" si="1345"/>
        <v>0</v>
      </c>
      <c r="MI161" s="1319">
        <f t="shared" ca="1" si="1345"/>
        <v>0</v>
      </c>
      <c r="MJ161" s="1319">
        <f t="shared" ca="1" si="1345"/>
        <v>0</v>
      </c>
      <c r="MK161" s="1319">
        <f t="shared" ca="1" si="1345"/>
        <v>0</v>
      </c>
      <c r="ML161" s="1319">
        <f t="shared" ca="1" si="1345"/>
        <v>0</v>
      </c>
      <c r="MM161" s="1319">
        <f t="shared" ca="1" si="1345"/>
        <v>0</v>
      </c>
      <c r="MN161" s="1319">
        <f t="shared" ca="1" si="1345"/>
        <v>0</v>
      </c>
      <c r="MO161" s="1319">
        <f t="shared" ca="1" si="1345"/>
        <v>0</v>
      </c>
      <c r="MX161" s="1334"/>
      <c r="NA161" s="1319">
        <f t="shared" ca="1" si="1346"/>
        <v>0</v>
      </c>
      <c r="NB161" s="1319">
        <f t="shared" ca="1" si="1346"/>
        <v>0</v>
      </c>
      <c r="NC161" s="1319">
        <f t="shared" ca="1" si="1346"/>
        <v>0</v>
      </c>
      <c r="ND161" s="1319">
        <f t="shared" ca="1" si="1346"/>
        <v>0</v>
      </c>
      <c r="NE161" s="1319">
        <f t="shared" ca="1" si="1346"/>
        <v>0</v>
      </c>
      <c r="NF161" s="1319">
        <f t="shared" ca="1" si="1346"/>
        <v>0</v>
      </c>
      <c r="NG161" s="1319">
        <f t="shared" ca="1" si="1346"/>
        <v>0</v>
      </c>
      <c r="NH161" s="1319">
        <f t="shared" ca="1" si="1346"/>
        <v>0</v>
      </c>
      <c r="NI161" s="1319">
        <f t="shared" ca="1" si="1346"/>
        <v>0</v>
      </c>
      <c r="NJ161" s="1319">
        <f t="shared" ca="1" si="1346"/>
        <v>0</v>
      </c>
      <c r="NK161" s="1319">
        <f t="shared" ca="1" si="1346"/>
        <v>0</v>
      </c>
      <c r="NL161" s="1319">
        <f t="shared" ca="1" si="1346"/>
        <v>0</v>
      </c>
      <c r="NM161" s="1319">
        <f t="shared" ca="1" si="1346"/>
        <v>0</v>
      </c>
      <c r="NN161" s="1319">
        <f t="shared" ca="1" si="1346"/>
        <v>0</v>
      </c>
      <c r="NO161" s="1319">
        <f t="shared" ca="1" si="1346"/>
        <v>0</v>
      </c>
      <c r="NP161" s="1319">
        <f t="shared" ca="1" si="1346"/>
        <v>0</v>
      </c>
      <c r="NY161" s="1334"/>
      <c r="OE161" s="1334"/>
      <c r="OH161" s="1319">
        <f t="shared" ca="1" si="1347"/>
        <v>0</v>
      </c>
      <c r="OI161" s="1319">
        <f t="shared" ca="1" si="1347"/>
        <v>0</v>
      </c>
      <c r="OJ161" s="1319">
        <f t="shared" ca="1" si="1347"/>
        <v>0</v>
      </c>
      <c r="OK161" s="1319">
        <f t="shared" ca="1" si="1347"/>
        <v>0</v>
      </c>
      <c r="OL161" s="1319">
        <f t="shared" ca="1" si="1347"/>
        <v>0</v>
      </c>
      <c r="OM161" s="1319">
        <f t="shared" ca="1" si="1347"/>
        <v>0</v>
      </c>
      <c r="ON161" s="1319">
        <f t="shared" ca="1" si="1347"/>
        <v>0</v>
      </c>
      <c r="OO161" s="1319">
        <f t="shared" ca="1" si="1347"/>
        <v>0</v>
      </c>
      <c r="OX161" s="1334"/>
      <c r="PA161" s="1319">
        <f t="shared" ca="1" si="1348"/>
        <v>0</v>
      </c>
      <c r="PB161" s="1319">
        <f t="shared" ca="1" si="1348"/>
        <v>0</v>
      </c>
      <c r="PC161" s="1319">
        <f t="shared" ca="1" si="1348"/>
        <v>0</v>
      </c>
      <c r="PD161" s="1319">
        <f t="shared" ca="1" si="1348"/>
        <v>0</v>
      </c>
      <c r="PE161" s="1319">
        <f t="shared" ca="1" si="1348"/>
        <v>0</v>
      </c>
      <c r="PF161" s="1319">
        <f t="shared" ca="1" si="1348"/>
        <v>0</v>
      </c>
      <c r="PG161" s="1319">
        <f t="shared" ca="1" si="1348"/>
        <v>0</v>
      </c>
      <c r="PH161" s="1319">
        <f t="shared" ca="1" si="1348"/>
        <v>0</v>
      </c>
      <c r="PI161" s="1319">
        <f t="shared" ca="1" si="1348"/>
        <v>0</v>
      </c>
      <c r="PJ161" s="1319">
        <f t="shared" ca="1" si="1348"/>
        <v>0</v>
      </c>
      <c r="PK161" s="1319">
        <f t="shared" ca="1" si="1348"/>
        <v>0</v>
      </c>
      <c r="PT161" s="1334"/>
      <c r="PW161" s="1319">
        <f t="shared" ca="1" si="1349"/>
        <v>0</v>
      </c>
      <c r="PX161" s="1319">
        <f t="shared" ca="1" si="1349"/>
        <v>0</v>
      </c>
      <c r="PY161" s="1319">
        <f t="shared" ca="1" si="1349"/>
        <v>0</v>
      </c>
      <c r="PZ161" s="1319">
        <f t="shared" ca="1" si="1349"/>
        <v>0</v>
      </c>
    </row>
    <row r="162" spans="1:442" x14ac:dyDescent="0.25">
      <c r="A162" s="189">
        <v>130</v>
      </c>
      <c r="B162" s="189" t="s">
        <v>1320</v>
      </c>
      <c r="C162" s="1317" t="s">
        <v>1260</v>
      </c>
      <c r="D162" s="1317" t="s">
        <v>206</v>
      </c>
      <c r="E162" s="1318">
        <v>132.11612</v>
      </c>
      <c r="F162" s="1322">
        <v>-0.51886643737722915</v>
      </c>
      <c r="G162" s="1334"/>
      <c r="J162" s="1319">
        <f t="shared" ca="1" si="1327"/>
        <v>-63.910088861895815</v>
      </c>
      <c r="K162" s="1319">
        <f t="shared" ca="1" si="1327"/>
        <v>-63.910088861895815</v>
      </c>
      <c r="Q162" s="1334"/>
      <c r="T162" s="1319">
        <f t="shared" ca="1" si="1328"/>
        <v>-63.910088861895815</v>
      </c>
      <c r="U162" s="1319">
        <f t="shared" ca="1" si="1328"/>
        <v>0</v>
      </c>
      <c r="V162" s="1319">
        <f t="shared" ca="1" si="1328"/>
        <v>0</v>
      </c>
      <c r="W162" s="1319">
        <f t="shared" ca="1" si="1328"/>
        <v>0</v>
      </c>
      <c r="X162" s="1319">
        <f t="shared" ca="1" si="1328"/>
        <v>0</v>
      </c>
      <c r="Y162" s="1319">
        <f t="shared" ca="1" si="1328"/>
        <v>-1.6616623104092914</v>
      </c>
      <c r="Z162" s="1319">
        <f t="shared" ca="1" si="1328"/>
        <v>0</v>
      </c>
      <c r="AA162" s="1319">
        <f t="shared" ca="1" si="1328"/>
        <v>-1.6616623104092914</v>
      </c>
      <c r="AB162" s="1319">
        <f t="shared" ca="1" si="1328"/>
        <v>0</v>
      </c>
      <c r="AC162" s="1319">
        <f t="shared" ca="1" si="1328"/>
        <v>0</v>
      </c>
      <c r="AD162" s="1319">
        <f t="shared" ca="1" si="1328"/>
        <v>0</v>
      </c>
      <c r="AJ162" s="1334"/>
      <c r="AM162" s="1319">
        <f t="shared" ca="1" si="1329"/>
        <v>0</v>
      </c>
      <c r="AN162" s="1319">
        <f t="shared" ca="1" si="1329"/>
        <v>0</v>
      </c>
      <c r="AO162" s="1319">
        <f t="shared" ca="1" si="1329"/>
        <v>-1.6616623104092914</v>
      </c>
      <c r="AP162" s="1319">
        <f t="shared" ca="1" si="1329"/>
        <v>-1.6616623104092914</v>
      </c>
      <c r="AQ162" s="1319">
        <f t="shared" ca="1" si="1329"/>
        <v>0</v>
      </c>
      <c r="AR162" s="1319">
        <f t="shared" ca="1" si="1329"/>
        <v>0</v>
      </c>
      <c r="AS162" s="1319">
        <f t="shared" ca="1" si="1329"/>
        <v>0</v>
      </c>
      <c r="AT162" s="1319">
        <f t="shared" ca="1" si="1329"/>
        <v>0</v>
      </c>
      <c r="AU162" s="1319">
        <f t="shared" ca="1" si="1329"/>
        <v>0</v>
      </c>
      <c r="AV162" s="1319">
        <f t="shared" ca="1" si="1329"/>
        <v>-1.6616623104092914</v>
      </c>
      <c r="AW162" s="1319">
        <f t="shared" ca="1" si="1329"/>
        <v>0</v>
      </c>
      <c r="AX162" s="1319">
        <f t="shared" ca="1" si="1329"/>
        <v>0</v>
      </c>
      <c r="AY162" s="1319">
        <f t="shared" ca="1" si="1329"/>
        <v>0</v>
      </c>
      <c r="AZ162" s="1319">
        <f t="shared" ca="1" si="1329"/>
        <v>0</v>
      </c>
      <c r="BA162" s="1319">
        <f t="shared" ca="1" si="1329"/>
        <v>0</v>
      </c>
      <c r="BB162" s="1319">
        <f t="shared" ca="1" si="1329"/>
        <v>-1.6616623104092914</v>
      </c>
      <c r="BK162" s="1334"/>
      <c r="BN162" s="1319">
        <f t="shared" ca="1" si="1330"/>
        <v>-0.16616623104092912</v>
      </c>
      <c r="BO162" s="1319">
        <f t="shared" ca="1" si="1330"/>
        <v>-0.16616623104092912</v>
      </c>
      <c r="BP162" s="1319">
        <f t="shared" ca="1" si="1330"/>
        <v>0</v>
      </c>
      <c r="BQ162" s="1319">
        <f t="shared" ca="1" si="1330"/>
        <v>0</v>
      </c>
      <c r="BR162" s="1319">
        <f t="shared" ca="1" si="1330"/>
        <v>0</v>
      </c>
      <c r="CA162" s="1334"/>
      <c r="CD162" s="1319">
        <f t="shared" ca="1" si="1331"/>
        <v>-1.6616623104092914</v>
      </c>
      <c r="CE162" s="1319">
        <f t="shared" ca="1" si="1331"/>
        <v>-1.6616623104092914</v>
      </c>
      <c r="CF162" s="1319">
        <f t="shared" ca="1" si="1331"/>
        <v>-0.16616623104092912</v>
      </c>
      <c r="CG162" s="1319">
        <f t="shared" ca="1" si="1331"/>
        <v>-0.16616623104092912</v>
      </c>
      <c r="CH162" s="1319">
        <f t="shared" ca="1" si="1331"/>
        <v>-1.6616623104092914</v>
      </c>
      <c r="CI162" s="1319">
        <f t="shared" ca="1" si="1331"/>
        <v>0</v>
      </c>
      <c r="CJ162" s="1319">
        <f t="shared" ca="1" si="1331"/>
        <v>0</v>
      </c>
      <c r="CK162" s="1319">
        <f t="shared" ca="1" si="1331"/>
        <v>-1.6616623104092914</v>
      </c>
      <c r="CL162" s="1319">
        <f t="shared" ca="1" si="1331"/>
        <v>0</v>
      </c>
      <c r="CM162" s="1319">
        <f t="shared" ca="1" si="1331"/>
        <v>0</v>
      </c>
      <c r="CN162" s="1319">
        <f t="shared" ca="1" si="1331"/>
        <v>-1.6616623104092914</v>
      </c>
      <c r="CO162" s="1319">
        <f t="shared" ca="1" si="1331"/>
        <v>0</v>
      </c>
      <c r="CX162" s="1334"/>
      <c r="DA162" s="1319">
        <f t="shared" ca="1" si="1332"/>
        <v>0</v>
      </c>
      <c r="DB162" s="1319">
        <f t="shared" ca="1" si="1332"/>
        <v>0</v>
      </c>
      <c r="DC162" s="1319">
        <f t="shared" ca="1" si="1332"/>
        <v>0</v>
      </c>
      <c r="DD162" s="1319">
        <f t="shared" ca="1" si="1332"/>
        <v>0</v>
      </c>
      <c r="DE162" s="1319">
        <f t="shared" ca="1" si="1332"/>
        <v>0</v>
      </c>
      <c r="DF162" s="1319">
        <f t="shared" ca="1" si="1332"/>
        <v>0</v>
      </c>
      <c r="DG162" s="1319">
        <f t="shared" ca="1" si="1332"/>
        <v>0</v>
      </c>
      <c r="DH162" s="1319">
        <f t="shared" ca="1" si="1332"/>
        <v>0</v>
      </c>
      <c r="DI162" s="1319">
        <f t="shared" ca="1" si="1332"/>
        <v>0</v>
      </c>
      <c r="DJ162" s="1319">
        <f t="shared" ca="1" si="1332"/>
        <v>0</v>
      </c>
      <c r="DS162" s="1334"/>
      <c r="DV162" s="1319">
        <f t="shared" ca="1" si="1333"/>
        <v>0</v>
      </c>
      <c r="DW162" s="1319">
        <f t="shared" ca="1" si="1333"/>
        <v>0</v>
      </c>
      <c r="DX162" s="1319">
        <f t="shared" ca="1" si="1333"/>
        <v>0</v>
      </c>
      <c r="DY162" s="1319">
        <f t="shared" ca="1" si="1333"/>
        <v>0</v>
      </c>
      <c r="DZ162" s="1319">
        <f t="shared" ca="1" si="1333"/>
        <v>0</v>
      </c>
      <c r="EA162" s="1319">
        <f t="shared" ca="1" si="1333"/>
        <v>0</v>
      </c>
      <c r="EB162" s="1319">
        <f t="shared" ca="1" si="1333"/>
        <v>0</v>
      </c>
      <c r="EC162" s="1319">
        <f t="shared" ca="1" si="1333"/>
        <v>0</v>
      </c>
      <c r="ED162" s="1319">
        <f t="shared" ca="1" si="1333"/>
        <v>0</v>
      </c>
      <c r="EE162" s="1319">
        <f t="shared" ca="1" si="1333"/>
        <v>0</v>
      </c>
      <c r="EF162" s="1319">
        <f t="shared" ca="1" si="1333"/>
        <v>0</v>
      </c>
      <c r="EG162" s="1319">
        <f t="shared" ca="1" si="1333"/>
        <v>0</v>
      </c>
      <c r="EH162" s="1319">
        <f t="shared" ca="1" si="1333"/>
        <v>0</v>
      </c>
      <c r="EI162" s="1319">
        <f t="shared" ca="1" si="1333"/>
        <v>0</v>
      </c>
      <c r="EJ162" s="1319">
        <f t="shared" ca="1" si="1333"/>
        <v>0</v>
      </c>
      <c r="EK162" s="1319">
        <f t="shared" ca="1" si="1333"/>
        <v>0</v>
      </c>
      <c r="ET162" s="1334"/>
      <c r="EW162" s="1319">
        <f t="shared" ca="1" si="1334"/>
        <v>-1.6616623104092914</v>
      </c>
      <c r="EX162" s="1319">
        <f t="shared" ca="1" si="1334"/>
        <v>-1.6616623104092914</v>
      </c>
      <c r="EY162" s="1319">
        <f t="shared" ca="1" si="1334"/>
        <v>-1.6616623104092914</v>
      </c>
      <c r="EZ162" s="1319">
        <f t="shared" ca="1" si="1334"/>
        <v>-1.6616623104092914</v>
      </c>
      <c r="FA162" s="1319">
        <f t="shared" ca="1" si="1334"/>
        <v>0</v>
      </c>
      <c r="FB162" s="1319">
        <f t="shared" ca="1" si="1334"/>
        <v>0</v>
      </c>
      <c r="FK162" s="1334"/>
      <c r="FN162" s="1319">
        <f t="shared" ca="1" si="1335"/>
        <v>0</v>
      </c>
      <c r="FO162" s="1319">
        <f t="shared" ca="1" si="1335"/>
        <v>0</v>
      </c>
      <c r="FP162" s="1319">
        <f t="shared" ca="1" si="1335"/>
        <v>0</v>
      </c>
      <c r="FQ162" s="1319">
        <f t="shared" ca="1" si="1335"/>
        <v>0</v>
      </c>
      <c r="FR162" s="1319">
        <f t="shared" ca="1" si="1335"/>
        <v>0</v>
      </c>
      <c r="FS162" s="1319">
        <f t="shared" ca="1" si="1335"/>
        <v>0</v>
      </c>
      <c r="FT162" s="1319">
        <f t="shared" ca="1" si="1335"/>
        <v>0</v>
      </c>
      <c r="FU162" s="1319">
        <f t="shared" ca="1" si="1335"/>
        <v>0</v>
      </c>
      <c r="FV162" s="1319">
        <f t="shared" ca="1" si="1335"/>
        <v>0</v>
      </c>
      <c r="FW162" s="1319">
        <f t="shared" ca="1" si="1335"/>
        <v>0</v>
      </c>
      <c r="FX162" s="1319">
        <f t="shared" ca="1" si="1335"/>
        <v>0</v>
      </c>
      <c r="GG162" s="1334"/>
      <c r="GJ162" s="1319">
        <f t="shared" ca="1" si="1336"/>
        <v>0</v>
      </c>
      <c r="GK162" s="1319">
        <f t="shared" ca="1" si="1336"/>
        <v>0</v>
      </c>
      <c r="GL162" s="1319">
        <f t="shared" ca="1" si="1336"/>
        <v>0</v>
      </c>
      <c r="GM162" s="1319">
        <f t="shared" ca="1" si="1336"/>
        <v>0</v>
      </c>
      <c r="GN162" s="1319">
        <f t="shared" ca="1" si="1336"/>
        <v>0</v>
      </c>
      <c r="GO162" s="1319">
        <f t="shared" ca="1" si="1336"/>
        <v>0</v>
      </c>
      <c r="GP162" s="1319">
        <f t="shared" ca="1" si="1336"/>
        <v>0</v>
      </c>
      <c r="GQ162" s="1319">
        <f t="shared" ca="1" si="1336"/>
        <v>0</v>
      </c>
      <c r="GZ162" s="1334"/>
      <c r="HC162" s="1319">
        <f t="shared" ca="1" si="1337"/>
        <v>-1.6616623104092914</v>
      </c>
      <c r="HD162" s="1319">
        <f t="shared" ca="1" si="1337"/>
        <v>-3.3233246247459339E-2</v>
      </c>
      <c r="HE162" s="1319">
        <f t="shared" ca="1" si="1337"/>
        <v>0</v>
      </c>
      <c r="HF162" s="1319">
        <f t="shared" ca="1" si="1337"/>
        <v>0</v>
      </c>
      <c r="HG162" s="1319">
        <f t="shared" ca="1" si="1337"/>
        <v>-1.6284290662433281</v>
      </c>
      <c r="HH162" s="1319">
        <f t="shared" ca="1" si="1337"/>
        <v>-3.3233246247459339E-2</v>
      </c>
      <c r="HQ162" s="1334"/>
      <c r="HT162" s="1319">
        <f t="shared" ca="1" si="1338"/>
        <v>0</v>
      </c>
      <c r="HU162" s="1319">
        <f t="shared" ca="1" si="1338"/>
        <v>-3.3233246247459339E-2</v>
      </c>
      <c r="HV162" s="1319">
        <f t="shared" ca="1" si="1338"/>
        <v>-3.3233246247459339E-2</v>
      </c>
      <c r="HW162" s="1319">
        <f t="shared" ca="1" si="1338"/>
        <v>-3.3233246247459339E-2</v>
      </c>
      <c r="HX162" s="1319">
        <f t="shared" ca="1" si="1338"/>
        <v>-8.5077110406063423E-3</v>
      </c>
      <c r="HY162" s="1319">
        <f t="shared" ca="1" si="1338"/>
        <v>-2.4725535206852993E-2</v>
      </c>
      <c r="HZ162" s="1319">
        <f t="shared" ca="1" si="1338"/>
        <v>0</v>
      </c>
      <c r="IA162" s="1319">
        <f t="shared" ca="1" si="1338"/>
        <v>0</v>
      </c>
      <c r="IB162" s="1319">
        <f t="shared" ca="1" si="1338"/>
        <v>0</v>
      </c>
      <c r="IC162" s="1319">
        <f t="shared" ca="1" si="1338"/>
        <v>0</v>
      </c>
      <c r="ID162" s="1319">
        <f t="shared" ca="1" si="1338"/>
        <v>0</v>
      </c>
      <c r="IE162" s="1319">
        <f t="shared" ca="1" si="1338"/>
        <v>0</v>
      </c>
      <c r="IN162" s="1334"/>
      <c r="IQ162" s="1319">
        <f t="shared" ca="1" si="1339"/>
        <v>-8.5077110406063423E-3</v>
      </c>
      <c r="IR162" s="1319">
        <f t="shared" ca="1" si="1339"/>
        <v>-2.4725535206852993E-2</v>
      </c>
      <c r="IS162" s="1319">
        <f t="shared" ca="1" si="1339"/>
        <v>-1.0256829278626024E-2</v>
      </c>
      <c r="IT162" s="1319">
        <f t="shared" ca="1" si="1339"/>
        <v>-3.4982364446205505E-2</v>
      </c>
      <c r="IU162" s="1319">
        <f t="shared" ca="1" si="1339"/>
        <v>-1.7491182223102753E-3</v>
      </c>
      <c r="IV162" s="1319">
        <f t="shared" ca="1" si="1339"/>
        <v>-0.25642073157291545</v>
      </c>
      <c r="IW162" s="1319">
        <f t="shared" ca="1" si="1339"/>
        <v>-0.24616390221574239</v>
      </c>
      <c r="IX162" s="1319">
        <f t="shared" ca="1" si="1339"/>
        <v>0</v>
      </c>
      <c r="IY162" s="1319">
        <f t="shared" ca="1" si="1339"/>
        <v>-3.3233246247459339E-2</v>
      </c>
      <c r="IZ162" s="1319">
        <f t="shared" ca="1" si="1339"/>
        <v>0</v>
      </c>
      <c r="JA162" s="1319">
        <f t="shared" ca="1" si="1339"/>
        <v>-0.25642073157291545</v>
      </c>
      <c r="JB162" s="1319">
        <f t="shared" ca="1" si="1340"/>
        <v>0</v>
      </c>
      <c r="JC162" s="1319">
        <f t="shared" ca="1" si="1340"/>
        <v>0</v>
      </c>
      <c r="JD162" s="1319">
        <f t="shared" ca="1" si="1340"/>
        <v>0</v>
      </c>
      <c r="JE162" s="1319">
        <f t="shared" ca="1" si="1340"/>
        <v>0</v>
      </c>
      <c r="JF162" s="1319">
        <f t="shared" ca="1" si="1340"/>
        <v>0</v>
      </c>
      <c r="JG162" s="1319">
        <f t="shared" ca="1" si="1340"/>
        <v>0</v>
      </c>
      <c r="JH162" s="1319">
        <f t="shared" ca="1" si="1340"/>
        <v>0</v>
      </c>
      <c r="JQ162" s="1334"/>
      <c r="JT162" s="1319">
        <f t="shared" ca="1" si="1341"/>
        <v>0</v>
      </c>
      <c r="JU162" s="1319">
        <f t="shared" ca="1" si="1341"/>
        <v>0</v>
      </c>
      <c r="JV162" s="1319">
        <f t="shared" ca="1" si="1341"/>
        <v>0</v>
      </c>
      <c r="JW162" s="1319">
        <f t="shared" ca="1" si="1341"/>
        <v>0</v>
      </c>
      <c r="JX162" s="1319">
        <f t="shared" ca="1" si="1341"/>
        <v>0</v>
      </c>
      <c r="JY162" s="1319">
        <f t="shared" ca="1" si="1341"/>
        <v>0</v>
      </c>
      <c r="JZ162" s="1319">
        <f t="shared" ca="1" si="1341"/>
        <v>0</v>
      </c>
      <c r="KA162" s="1319">
        <f t="shared" ca="1" si="1341"/>
        <v>0</v>
      </c>
      <c r="KB162" s="1319">
        <f t="shared" ca="1" si="1341"/>
        <v>0</v>
      </c>
      <c r="KC162" s="1319">
        <f t="shared" ca="1" si="1341"/>
        <v>0</v>
      </c>
      <c r="KI162" s="1334"/>
      <c r="KL162" s="1319">
        <f t="shared" ca="1" si="1342"/>
        <v>0</v>
      </c>
      <c r="KM162" s="1319">
        <f t="shared" ca="1" si="1342"/>
        <v>0</v>
      </c>
      <c r="KN162" s="1319">
        <f t="shared" ca="1" si="1342"/>
        <v>0</v>
      </c>
      <c r="KO162" s="1319">
        <f t="shared" ca="1" si="1342"/>
        <v>0</v>
      </c>
      <c r="KP162" s="1319">
        <f t="shared" ca="1" si="1342"/>
        <v>0</v>
      </c>
      <c r="KQ162" s="1319">
        <f t="shared" ca="1" si="1342"/>
        <v>0</v>
      </c>
      <c r="KR162" s="1319">
        <f t="shared" ca="1" si="1342"/>
        <v>0</v>
      </c>
      <c r="KX162" s="1334"/>
      <c r="LA162" s="1319">
        <f t="shared" ca="1" si="1343"/>
        <v>0</v>
      </c>
      <c r="LB162" s="1319">
        <f t="shared" ca="1" si="1343"/>
        <v>0</v>
      </c>
      <c r="LC162" s="1319">
        <f t="shared" ca="1" si="1343"/>
        <v>0</v>
      </c>
      <c r="LD162" s="1319">
        <f t="shared" ca="1" si="1343"/>
        <v>0</v>
      </c>
      <c r="LE162" s="1319">
        <f t="shared" ca="1" si="1343"/>
        <v>0</v>
      </c>
      <c r="LF162" s="1319">
        <f t="shared" ca="1" si="1343"/>
        <v>0</v>
      </c>
      <c r="LG162" s="1319">
        <f t="shared" ca="1" si="1343"/>
        <v>0</v>
      </c>
      <c r="LH162" s="1319">
        <f t="shared" ca="1" si="1343"/>
        <v>0</v>
      </c>
      <c r="LI162" s="1319">
        <f t="shared" ca="1" si="1343"/>
        <v>0</v>
      </c>
      <c r="LJ162" s="1319">
        <f t="shared" ca="1" si="1343"/>
        <v>0</v>
      </c>
      <c r="LK162" s="1319">
        <f t="shared" ca="1" si="1343"/>
        <v>0</v>
      </c>
      <c r="LT162" s="1334"/>
      <c r="LW162" s="1319">
        <f t="shared" ca="1" si="1344"/>
        <v>0</v>
      </c>
      <c r="LX162" s="1319">
        <f t="shared" ca="1" si="1344"/>
        <v>0</v>
      </c>
      <c r="LY162" s="1319">
        <f t="shared" ca="1" si="1344"/>
        <v>-1.6284290662433281</v>
      </c>
      <c r="LZ162" s="1319">
        <f t="shared" ca="1" si="1344"/>
        <v>-3.3233246247459339E-2</v>
      </c>
      <c r="MA162" s="1319">
        <f t="shared" ca="1" si="1344"/>
        <v>-1.6616623104092914</v>
      </c>
      <c r="MB162" s="1319">
        <f t="shared" ca="1" si="1344"/>
        <v>0</v>
      </c>
      <c r="MC162" s="1319">
        <f t="shared" ca="1" si="1344"/>
        <v>0</v>
      </c>
      <c r="MD162" s="1319">
        <f t="shared" ca="1" si="1344"/>
        <v>0</v>
      </c>
      <c r="ME162" s="1319">
        <f t="shared" ca="1" si="1344"/>
        <v>0</v>
      </c>
      <c r="MF162" s="1319">
        <f t="shared" ca="1" si="1344"/>
        <v>0</v>
      </c>
      <c r="MG162" s="1319">
        <f t="shared" ca="1" si="1345"/>
        <v>0</v>
      </c>
      <c r="MH162" s="1319">
        <f t="shared" ca="1" si="1345"/>
        <v>0</v>
      </c>
      <c r="MI162" s="1319">
        <f t="shared" ca="1" si="1345"/>
        <v>0</v>
      </c>
      <c r="MJ162" s="1319">
        <f t="shared" ca="1" si="1345"/>
        <v>0</v>
      </c>
      <c r="MK162" s="1319">
        <f t="shared" ca="1" si="1345"/>
        <v>0</v>
      </c>
      <c r="ML162" s="1319">
        <f t="shared" ca="1" si="1345"/>
        <v>0</v>
      </c>
      <c r="MM162" s="1319">
        <f t="shared" ca="1" si="1345"/>
        <v>0</v>
      </c>
      <c r="MN162" s="1319">
        <f t="shared" ca="1" si="1345"/>
        <v>0</v>
      </c>
      <c r="MO162" s="1319">
        <f t="shared" ca="1" si="1345"/>
        <v>0</v>
      </c>
      <c r="MX162" s="1334"/>
      <c r="NA162" s="1319">
        <f t="shared" ca="1" si="1346"/>
        <v>0</v>
      </c>
      <c r="NB162" s="1319">
        <f t="shared" ca="1" si="1346"/>
        <v>0</v>
      </c>
      <c r="NC162" s="1319">
        <f t="shared" ca="1" si="1346"/>
        <v>0</v>
      </c>
      <c r="ND162" s="1319">
        <f t="shared" ca="1" si="1346"/>
        <v>0</v>
      </c>
      <c r="NE162" s="1319">
        <f t="shared" ca="1" si="1346"/>
        <v>0</v>
      </c>
      <c r="NF162" s="1319">
        <f t="shared" ca="1" si="1346"/>
        <v>0</v>
      </c>
      <c r="NG162" s="1319">
        <f t="shared" ca="1" si="1346"/>
        <v>0</v>
      </c>
      <c r="NH162" s="1319">
        <f t="shared" ca="1" si="1346"/>
        <v>0</v>
      </c>
      <c r="NI162" s="1319">
        <f t="shared" ca="1" si="1346"/>
        <v>0</v>
      </c>
      <c r="NJ162" s="1319">
        <f t="shared" ca="1" si="1346"/>
        <v>0</v>
      </c>
      <c r="NK162" s="1319">
        <f t="shared" ca="1" si="1346"/>
        <v>0</v>
      </c>
      <c r="NL162" s="1319">
        <f t="shared" ca="1" si="1346"/>
        <v>0</v>
      </c>
      <c r="NM162" s="1319">
        <f t="shared" ca="1" si="1346"/>
        <v>0</v>
      </c>
      <c r="NN162" s="1319">
        <f t="shared" ca="1" si="1346"/>
        <v>0</v>
      </c>
      <c r="NO162" s="1319">
        <f t="shared" ca="1" si="1346"/>
        <v>0</v>
      </c>
      <c r="NP162" s="1319">
        <f t="shared" ca="1" si="1346"/>
        <v>0</v>
      </c>
      <c r="NY162" s="1334"/>
      <c r="OE162" s="1334"/>
      <c r="OH162" s="1319">
        <f t="shared" ca="1" si="1347"/>
        <v>0</v>
      </c>
      <c r="OI162" s="1319">
        <f t="shared" ca="1" si="1347"/>
        <v>0</v>
      </c>
      <c r="OJ162" s="1319">
        <f t="shared" ca="1" si="1347"/>
        <v>0</v>
      </c>
      <c r="OK162" s="1319">
        <f t="shared" ca="1" si="1347"/>
        <v>0</v>
      </c>
      <c r="OL162" s="1319">
        <f t="shared" ca="1" si="1347"/>
        <v>0</v>
      </c>
      <c r="OM162" s="1319">
        <f t="shared" ca="1" si="1347"/>
        <v>0</v>
      </c>
      <c r="ON162" s="1319">
        <f t="shared" ca="1" si="1347"/>
        <v>0</v>
      </c>
      <c r="OO162" s="1319">
        <f t="shared" ca="1" si="1347"/>
        <v>0</v>
      </c>
      <c r="OX162" s="1334"/>
      <c r="PA162" s="1319">
        <f t="shared" ca="1" si="1348"/>
        <v>0</v>
      </c>
      <c r="PB162" s="1319">
        <f t="shared" ca="1" si="1348"/>
        <v>0</v>
      </c>
      <c r="PC162" s="1319">
        <f t="shared" ca="1" si="1348"/>
        <v>0</v>
      </c>
      <c r="PD162" s="1319">
        <f t="shared" ca="1" si="1348"/>
        <v>0</v>
      </c>
      <c r="PE162" s="1319">
        <f t="shared" ca="1" si="1348"/>
        <v>0</v>
      </c>
      <c r="PF162" s="1319">
        <f t="shared" ca="1" si="1348"/>
        <v>0</v>
      </c>
      <c r="PG162" s="1319">
        <f t="shared" ca="1" si="1348"/>
        <v>0</v>
      </c>
      <c r="PH162" s="1319">
        <f t="shared" ca="1" si="1348"/>
        <v>0</v>
      </c>
      <c r="PI162" s="1319">
        <f t="shared" ca="1" si="1348"/>
        <v>0</v>
      </c>
      <c r="PJ162" s="1319">
        <f t="shared" ca="1" si="1348"/>
        <v>0</v>
      </c>
      <c r="PK162" s="1319">
        <f t="shared" ca="1" si="1348"/>
        <v>0</v>
      </c>
      <c r="PT162" s="1334"/>
      <c r="PW162" s="1319">
        <f t="shared" ca="1" si="1349"/>
        <v>0</v>
      </c>
      <c r="PX162" s="1319">
        <f t="shared" ca="1" si="1349"/>
        <v>0</v>
      </c>
      <c r="PY162" s="1319">
        <f t="shared" ca="1" si="1349"/>
        <v>0</v>
      </c>
      <c r="PZ162" s="1319">
        <f t="shared" ca="1" si="1349"/>
        <v>0</v>
      </c>
    </row>
    <row r="163" spans="1:442" x14ac:dyDescent="0.25">
      <c r="A163" s="189">
        <v>131</v>
      </c>
      <c r="B163" s="189" t="s">
        <v>1320</v>
      </c>
      <c r="C163" s="1317" t="s">
        <v>1270</v>
      </c>
      <c r="D163" s="1317" t="s">
        <v>206</v>
      </c>
      <c r="E163" s="1318">
        <v>132.11612</v>
      </c>
      <c r="F163" s="1316">
        <v>-0.51886643737722915</v>
      </c>
      <c r="G163" s="1334"/>
      <c r="J163" s="1319">
        <f t="shared" ca="1" si="1327"/>
        <v>-7.7883262515104805</v>
      </c>
      <c r="K163" s="1319">
        <f t="shared" ca="1" si="1327"/>
        <v>-7.7883262515104805</v>
      </c>
      <c r="Q163" s="1334"/>
      <c r="T163" s="1319">
        <f t="shared" ca="1" si="1328"/>
        <v>-7.7883262515104805</v>
      </c>
      <c r="U163" s="1319">
        <f t="shared" ca="1" si="1328"/>
        <v>0</v>
      </c>
      <c r="V163" s="1319">
        <f t="shared" ca="1" si="1328"/>
        <v>0</v>
      </c>
      <c r="W163" s="1319">
        <f t="shared" ca="1" si="1328"/>
        <v>0</v>
      </c>
      <c r="X163" s="1319">
        <f t="shared" ca="1" si="1328"/>
        <v>0</v>
      </c>
      <c r="Y163" s="1319">
        <f t="shared" ca="1" si="1328"/>
        <v>-0.20249648246072546</v>
      </c>
      <c r="Z163" s="1319">
        <f t="shared" ca="1" si="1328"/>
        <v>0</v>
      </c>
      <c r="AA163" s="1319">
        <f t="shared" ca="1" si="1328"/>
        <v>-0.20249648246072546</v>
      </c>
      <c r="AB163" s="1319">
        <f t="shared" ca="1" si="1328"/>
        <v>0</v>
      </c>
      <c r="AC163" s="1319">
        <f t="shared" ca="1" si="1328"/>
        <v>0</v>
      </c>
      <c r="AD163" s="1319">
        <f t="shared" ca="1" si="1328"/>
        <v>0</v>
      </c>
      <c r="AJ163" s="1334"/>
      <c r="AM163" s="1319">
        <f t="shared" ca="1" si="1329"/>
        <v>0</v>
      </c>
      <c r="AN163" s="1319">
        <f t="shared" ca="1" si="1329"/>
        <v>0</v>
      </c>
      <c r="AO163" s="1319">
        <f t="shared" ca="1" si="1329"/>
        <v>-0.20249648246072546</v>
      </c>
      <c r="AP163" s="1319">
        <f t="shared" ca="1" si="1329"/>
        <v>-0.20249648246072546</v>
      </c>
      <c r="AQ163" s="1319">
        <f t="shared" ca="1" si="1329"/>
        <v>0</v>
      </c>
      <c r="AR163" s="1319">
        <f t="shared" ca="1" si="1329"/>
        <v>0</v>
      </c>
      <c r="AS163" s="1319">
        <f t="shared" ca="1" si="1329"/>
        <v>0</v>
      </c>
      <c r="AT163" s="1319">
        <f t="shared" ca="1" si="1329"/>
        <v>0</v>
      </c>
      <c r="AU163" s="1319">
        <f t="shared" ca="1" si="1329"/>
        <v>0</v>
      </c>
      <c r="AV163" s="1319">
        <f t="shared" ca="1" si="1329"/>
        <v>-0.20249648246072546</v>
      </c>
      <c r="AW163" s="1319">
        <f t="shared" ca="1" si="1329"/>
        <v>0</v>
      </c>
      <c r="AX163" s="1319">
        <f t="shared" ca="1" si="1329"/>
        <v>0</v>
      </c>
      <c r="AY163" s="1319">
        <f t="shared" ca="1" si="1329"/>
        <v>0</v>
      </c>
      <c r="AZ163" s="1319">
        <f t="shared" ca="1" si="1329"/>
        <v>0</v>
      </c>
      <c r="BA163" s="1319">
        <f t="shared" ca="1" si="1329"/>
        <v>0</v>
      </c>
      <c r="BB163" s="1319">
        <f t="shared" ca="1" si="1329"/>
        <v>-0.20249648246072546</v>
      </c>
      <c r="BK163" s="1334"/>
      <c r="BN163" s="1319">
        <f t="shared" ca="1" si="1330"/>
        <v>-2.024964824607255E-2</v>
      </c>
      <c r="BO163" s="1319">
        <f t="shared" ca="1" si="1330"/>
        <v>-2.024964824607255E-2</v>
      </c>
      <c r="BP163" s="1319">
        <f t="shared" ca="1" si="1330"/>
        <v>0</v>
      </c>
      <c r="BQ163" s="1319">
        <f t="shared" ca="1" si="1330"/>
        <v>0</v>
      </c>
      <c r="BR163" s="1319">
        <f t="shared" ca="1" si="1330"/>
        <v>0</v>
      </c>
      <c r="CA163" s="1334"/>
      <c r="CD163" s="1319">
        <f t="shared" ca="1" si="1331"/>
        <v>-0.20249648246072546</v>
      </c>
      <c r="CE163" s="1319">
        <f t="shared" ca="1" si="1331"/>
        <v>-0.20249648246072546</v>
      </c>
      <c r="CF163" s="1319">
        <f t="shared" ca="1" si="1331"/>
        <v>-2.024964824607255E-2</v>
      </c>
      <c r="CG163" s="1319">
        <f t="shared" ca="1" si="1331"/>
        <v>-2.024964824607255E-2</v>
      </c>
      <c r="CH163" s="1319">
        <f t="shared" ca="1" si="1331"/>
        <v>-0.20249648246072546</v>
      </c>
      <c r="CI163" s="1319">
        <f t="shared" ca="1" si="1331"/>
        <v>0</v>
      </c>
      <c r="CJ163" s="1319">
        <f t="shared" ca="1" si="1331"/>
        <v>0</v>
      </c>
      <c r="CK163" s="1319">
        <f t="shared" ca="1" si="1331"/>
        <v>-0.20249648246072546</v>
      </c>
      <c r="CL163" s="1319">
        <f t="shared" ca="1" si="1331"/>
        <v>0</v>
      </c>
      <c r="CM163" s="1319">
        <f t="shared" ca="1" si="1331"/>
        <v>0</v>
      </c>
      <c r="CN163" s="1319">
        <f t="shared" ca="1" si="1331"/>
        <v>-0.20249648246072546</v>
      </c>
      <c r="CO163" s="1319">
        <f t="shared" ca="1" si="1331"/>
        <v>0</v>
      </c>
      <c r="CX163" s="1334"/>
      <c r="DA163" s="1319">
        <f t="shared" ca="1" si="1332"/>
        <v>0</v>
      </c>
      <c r="DB163" s="1319">
        <f t="shared" ca="1" si="1332"/>
        <v>0</v>
      </c>
      <c r="DC163" s="1319">
        <f t="shared" ca="1" si="1332"/>
        <v>0</v>
      </c>
      <c r="DD163" s="1319">
        <f t="shared" ca="1" si="1332"/>
        <v>0</v>
      </c>
      <c r="DE163" s="1319">
        <f t="shared" ca="1" si="1332"/>
        <v>0</v>
      </c>
      <c r="DF163" s="1319">
        <f t="shared" ca="1" si="1332"/>
        <v>0</v>
      </c>
      <c r="DG163" s="1319">
        <f t="shared" ca="1" si="1332"/>
        <v>0</v>
      </c>
      <c r="DH163" s="1319">
        <f t="shared" ca="1" si="1332"/>
        <v>0</v>
      </c>
      <c r="DI163" s="1319">
        <f t="shared" ca="1" si="1332"/>
        <v>0</v>
      </c>
      <c r="DJ163" s="1319">
        <f t="shared" ca="1" si="1332"/>
        <v>0</v>
      </c>
      <c r="DS163" s="1334"/>
      <c r="DV163" s="1319">
        <f t="shared" ca="1" si="1333"/>
        <v>0</v>
      </c>
      <c r="DW163" s="1319">
        <f t="shared" ca="1" si="1333"/>
        <v>0</v>
      </c>
      <c r="DX163" s="1319">
        <f t="shared" ca="1" si="1333"/>
        <v>0</v>
      </c>
      <c r="DY163" s="1319">
        <f t="shared" ca="1" si="1333"/>
        <v>0</v>
      </c>
      <c r="DZ163" s="1319">
        <f t="shared" ca="1" si="1333"/>
        <v>0</v>
      </c>
      <c r="EA163" s="1319">
        <f t="shared" ca="1" si="1333"/>
        <v>0</v>
      </c>
      <c r="EB163" s="1319">
        <f t="shared" ca="1" si="1333"/>
        <v>0</v>
      </c>
      <c r="EC163" s="1319">
        <f t="shared" ca="1" si="1333"/>
        <v>0</v>
      </c>
      <c r="ED163" s="1319">
        <f t="shared" ca="1" si="1333"/>
        <v>0</v>
      </c>
      <c r="EE163" s="1319">
        <f t="shared" ca="1" si="1333"/>
        <v>0</v>
      </c>
      <c r="EF163" s="1319">
        <f t="shared" ca="1" si="1333"/>
        <v>0</v>
      </c>
      <c r="EG163" s="1319">
        <f t="shared" ca="1" si="1333"/>
        <v>0</v>
      </c>
      <c r="EH163" s="1319">
        <f t="shared" ca="1" si="1333"/>
        <v>0</v>
      </c>
      <c r="EI163" s="1319">
        <f t="shared" ca="1" si="1333"/>
        <v>0</v>
      </c>
      <c r="EJ163" s="1319">
        <f t="shared" ca="1" si="1333"/>
        <v>0</v>
      </c>
      <c r="EK163" s="1319">
        <f t="shared" ca="1" si="1333"/>
        <v>0</v>
      </c>
      <c r="ET163" s="1334"/>
      <c r="EW163" s="1319">
        <f t="shared" ca="1" si="1334"/>
        <v>-0.20249648246072546</v>
      </c>
      <c r="EX163" s="1319">
        <f t="shared" ca="1" si="1334"/>
        <v>-0.20249648246072546</v>
      </c>
      <c r="EY163" s="1319">
        <f t="shared" ca="1" si="1334"/>
        <v>-0.20249648246072546</v>
      </c>
      <c r="EZ163" s="1319">
        <f t="shared" ca="1" si="1334"/>
        <v>-0.20249648246072546</v>
      </c>
      <c r="FA163" s="1319">
        <f t="shared" ca="1" si="1334"/>
        <v>0</v>
      </c>
      <c r="FB163" s="1319">
        <f t="shared" ca="1" si="1334"/>
        <v>0</v>
      </c>
      <c r="FK163" s="1334"/>
      <c r="FN163" s="1319">
        <f t="shared" ca="1" si="1335"/>
        <v>0</v>
      </c>
      <c r="FO163" s="1319">
        <f t="shared" ca="1" si="1335"/>
        <v>0</v>
      </c>
      <c r="FP163" s="1319">
        <f t="shared" ca="1" si="1335"/>
        <v>0</v>
      </c>
      <c r="FQ163" s="1319">
        <f t="shared" ca="1" si="1335"/>
        <v>0</v>
      </c>
      <c r="FR163" s="1319">
        <f t="shared" ca="1" si="1335"/>
        <v>0</v>
      </c>
      <c r="FS163" s="1319">
        <f t="shared" ca="1" si="1335"/>
        <v>0</v>
      </c>
      <c r="FT163" s="1319">
        <f t="shared" ca="1" si="1335"/>
        <v>0</v>
      </c>
      <c r="FU163" s="1319">
        <f t="shared" ca="1" si="1335"/>
        <v>0</v>
      </c>
      <c r="FV163" s="1319">
        <f t="shared" ca="1" si="1335"/>
        <v>0</v>
      </c>
      <c r="FW163" s="1319">
        <f t="shared" ca="1" si="1335"/>
        <v>0</v>
      </c>
      <c r="FX163" s="1319">
        <f t="shared" ca="1" si="1335"/>
        <v>0</v>
      </c>
      <c r="GG163" s="1334"/>
      <c r="GJ163" s="1319">
        <f t="shared" ca="1" si="1336"/>
        <v>0</v>
      </c>
      <c r="GK163" s="1319">
        <f t="shared" ca="1" si="1336"/>
        <v>0</v>
      </c>
      <c r="GL163" s="1319">
        <f t="shared" ca="1" si="1336"/>
        <v>0</v>
      </c>
      <c r="GM163" s="1319">
        <f t="shared" ca="1" si="1336"/>
        <v>0</v>
      </c>
      <c r="GN163" s="1319">
        <f t="shared" ca="1" si="1336"/>
        <v>0</v>
      </c>
      <c r="GO163" s="1319">
        <f t="shared" ca="1" si="1336"/>
        <v>0</v>
      </c>
      <c r="GP163" s="1319">
        <f t="shared" ca="1" si="1336"/>
        <v>0</v>
      </c>
      <c r="GQ163" s="1319">
        <f t="shared" ca="1" si="1336"/>
        <v>0</v>
      </c>
      <c r="GZ163" s="1334"/>
      <c r="HC163" s="1319">
        <f t="shared" ca="1" si="1337"/>
        <v>-0.20249648246072546</v>
      </c>
      <c r="HD163" s="1319">
        <f t="shared" ca="1" si="1337"/>
        <v>-4.0499296413598071E-3</v>
      </c>
      <c r="HE163" s="1319">
        <f t="shared" ca="1" si="1337"/>
        <v>0</v>
      </c>
      <c r="HF163" s="1319">
        <f t="shared" ca="1" si="1337"/>
        <v>0</v>
      </c>
      <c r="HG163" s="1319">
        <f t="shared" ca="1" si="1337"/>
        <v>-0.19844655285863921</v>
      </c>
      <c r="HH163" s="1319">
        <f t="shared" ca="1" si="1337"/>
        <v>-4.0499296413598071E-3</v>
      </c>
      <c r="HQ163" s="1334"/>
      <c r="HT163" s="1319">
        <f t="shared" ca="1" si="1338"/>
        <v>0</v>
      </c>
      <c r="HU163" s="1319">
        <f t="shared" ca="1" si="1338"/>
        <v>-4.0499296413598071E-3</v>
      </c>
      <c r="HV163" s="1319">
        <f t="shared" ca="1" si="1338"/>
        <v>-4.0499296413598071E-3</v>
      </c>
      <c r="HW163" s="1319">
        <f t="shared" ca="1" si="1338"/>
        <v>-4.0499296413598071E-3</v>
      </c>
      <c r="HX163" s="1319">
        <f t="shared" ca="1" si="1338"/>
        <v>-1.0367819883452046E-3</v>
      </c>
      <c r="HY163" s="1319">
        <f t="shared" ca="1" si="1338"/>
        <v>-3.0131476569419534E-3</v>
      </c>
      <c r="HZ163" s="1319">
        <f t="shared" ca="1" si="1338"/>
        <v>0</v>
      </c>
      <c r="IA163" s="1319">
        <f t="shared" ca="1" si="1338"/>
        <v>0</v>
      </c>
      <c r="IB163" s="1319">
        <f t="shared" ca="1" si="1338"/>
        <v>0</v>
      </c>
      <c r="IC163" s="1319">
        <f t="shared" ca="1" si="1338"/>
        <v>0</v>
      </c>
      <c r="ID163" s="1319">
        <f t="shared" ca="1" si="1338"/>
        <v>0</v>
      </c>
      <c r="IE163" s="1319">
        <f t="shared" ca="1" si="1338"/>
        <v>0</v>
      </c>
      <c r="IN163" s="1334"/>
      <c r="IQ163" s="1319">
        <f t="shared" ca="1" si="1339"/>
        <v>-1.0367819883452046E-3</v>
      </c>
      <c r="IR163" s="1319">
        <f t="shared" ca="1" si="1339"/>
        <v>-3.0131476569419534E-3</v>
      </c>
      <c r="IS163" s="1319">
        <f t="shared" ca="1" si="1339"/>
        <v>-1.2499361810292342E-3</v>
      </c>
      <c r="IT163" s="1319">
        <f t="shared" ca="1" si="1339"/>
        <v>-4.2630838536805941E-3</v>
      </c>
      <c r="IU163" s="1319">
        <f t="shared" ca="1" si="1339"/>
        <v>-2.1315419189855939E-4</v>
      </c>
      <c r="IV163" s="1319">
        <f t="shared" ca="1" si="1339"/>
        <v>-3.124840456500437E-2</v>
      </c>
      <c r="IW163" s="1319">
        <f t="shared" ca="1" si="1339"/>
        <v>-2.9998468368265738E-2</v>
      </c>
      <c r="IX163" s="1319">
        <f t="shared" ca="1" si="1339"/>
        <v>0</v>
      </c>
      <c r="IY163" s="1319">
        <f t="shared" ca="1" si="1339"/>
        <v>-4.0499296413598071E-3</v>
      </c>
      <c r="IZ163" s="1319">
        <f t="shared" ca="1" si="1339"/>
        <v>0</v>
      </c>
      <c r="JA163" s="1319">
        <f t="shared" ca="1" si="1339"/>
        <v>-3.124840456500437E-2</v>
      </c>
      <c r="JB163" s="1319">
        <f t="shared" ca="1" si="1340"/>
        <v>0</v>
      </c>
      <c r="JC163" s="1319">
        <f t="shared" ca="1" si="1340"/>
        <v>0</v>
      </c>
      <c r="JD163" s="1319">
        <f t="shared" ca="1" si="1340"/>
        <v>0</v>
      </c>
      <c r="JE163" s="1319">
        <f t="shared" ca="1" si="1340"/>
        <v>0</v>
      </c>
      <c r="JF163" s="1319">
        <f t="shared" ca="1" si="1340"/>
        <v>0</v>
      </c>
      <c r="JG163" s="1319">
        <f t="shared" ca="1" si="1340"/>
        <v>0</v>
      </c>
      <c r="JH163" s="1319">
        <f t="shared" ca="1" si="1340"/>
        <v>0</v>
      </c>
      <c r="JQ163" s="1334"/>
      <c r="JT163" s="1319">
        <f t="shared" ca="1" si="1341"/>
        <v>0</v>
      </c>
      <c r="JU163" s="1319">
        <f t="shared" ca="1" si="1341"/>
        <v>0</v>
      </c>
      <c r="JV163" s="1319">
        <f t="shared" ca="1" si="1341"/>
        <v>0</v>
      </c>
      <c r="JW163" s="1319">
        <f t="shared" ca="1" si="1341"/>
        <v>0</v>
      </c>
      <c r="JX163" s="1319">
        <f t="shared" ca="1" si="1341"/>
        <v>0</v>
      </c>
      <c r="JY163" s="1319">
        <f t="shared" ca="1" si="1341"/>
        <v>0</v>
      </c>
      <c r="JZ163" s="1319">
        <f t="shared" ca="1" si="1341"/>
        <v>0</v>
      </c>
      <c r="KA163" s="1319">
        <f t="shared" ca="1" si="1341"/>
        <v>0</v>
      </c>
      <c r="KB163" s="1319">
        <f t="shared" ca="1" si="1341"/>
        <v>0</v>
      </c>
      <c r="KC163" s="1319">
        <f t="shared" ca="1" si="1341"/>
        <v>0</v>
      </c>
      <c r="KI163" s="1334"/>
      <c r="KL163" s="1319">
        <f t="shared" ca="1" si="1342"/>
        <v>0</v>
      </c>
      <c r="KM163" s="1319">
        <f t="shared" ca="1" si="1342"/>
        <v>0</v>
      </c>
      <c r="KN163" s="1319">
        <f t="shared" ca="1" si="1342"/>
        <v>0</v>
      </c>
      <c r="KO163" s="1319">
        <f t="shared" ca="1" si="1342"/>
        <v>0</v>
      </c>
      <c r="KP163" s="1319">
        <f t="shared" ca="1" si="1342"/>
        <v>0</v>
      </c>
      <c r="KQ163" s="1319">
        <f t="shared" ca="1" si="1342"/>
        <v>0</v>
      </c>
      <c r="KR163" s="1319">
        <f t="shared" ca="1" si="1342"/>
        <v>0</v>
      </c>
      <c r="KX163" s="1334"/>
      <c r="LA163" s="1319">
        <f t="shared" ca="1" si="1343"/>
        <v>0</v>
      </c>
      <c r="LB163" s="1319">
        <f t="shared" ca="1" si="1343"/>
        <v>0</v>
      </c>
      <c r="LC163" s="1319">
        <f t="shared" ca="1" si="1343"/>
        <v>0</v>
      </c>
      <c r="LD163" s="1319">
        <f t="shared" ca="1" si="1343"/>
        <v>0</v>
      </c>
      <c r="LE163" s="1319">
        <f t="shared" ca="1" si="1343"/>
        <v>0</v>
      </c>
      <c r="LF163" s="1319">
        <f t="shared" ca="1" si="1343"/>
        <v>0</v>
      </c>
      <c r="LG163" s="1319">
        <f t="shared" ca="1" si="1343"/>
        <v>0</v>
      </c>
      <c r="LH163" s="1319">
        <f t="shared" ca="1" si="1343"/>
        <v>0</v>
      </c>
      <c r="LI163" s="1319">
        <f t="shared" ca="1" si="1343"/>
        <v>0</v>
      </c>
      <c r="LJ163" s="1319">
        <f t="shared" ca="1" si="1343"/>
        <v>0</v>
      </c>
      <c r="LK163" s="1319">
        <f t="shared" ca="1" si="1343"/>
        <v>0</v>
      </c>
      <c r="LT163" s="1334"/>
      <c r="LW163" s="1319">
        <f t="shared" ca="1" si="1344"/>
        <v>0</v>
      </c>
      <c r="LX163" s="1319">
        <f t="shared" ca="1" si="1344"/>
        <v>0</v>
      </c>
      <c r="LY163" s="1319">
        <f t="shared" ca="1" si="1344"/>
        <v>-0.19844655285863921</v>
      </c>
      <c r="LZ163" s="1319">
        <f t="shared" ca="1" si="1344"/>
        <v>-4.0499296413598071E-3</v>
      </c>
      <c r="MA163" s="1319">
        <f t="shared" ca="1" si="1344"/>
        <v>-0.20249648246072546</v>
      </c>
      <c r="MB163" s="1319">
        <f t="shared" ca="1" si="1344"/>
        <v>0</v>
      </c>
      <c r="MC163" s="1319">
        <f t="shared" ca="1" si="1344"/>
        <v>0</v>
      </c>
      <c r="MD163" s="1319">
        <f t="shared" ca="1" si="1344"/>
        <v>0</v>
      </c>
      <c r="ME163" s="1319">
        <f t="shared" ca="1" si="1344"/>
        <v>0</v>
      </c>
      <c r="MF163" s="1319">
        <f t="shared" ca="1" si="1344"/>
        <v>0</v>
      </c>
      <c r="MG163" s="1319">
        <f t="shared" ca="1" si="1345"/>
        <v>0</v>
      </c>
      <c r="MH163" s="1319">
        <f t="shared" ca="1" si="1345"/>
        <v>0</v>
      </c>
      <c r="MI163" s="1319">
        <f t="shared" ca="1" si="1345"/>
        <v>0</v>
      </c>
      <c r="MJ163" s="1319">
        <f t="shared" ca="1" si="1345"/>
        <v>0</v>
      </c>
      <c r="MK163" s="1319">
        <f t="shared" ca="1" si="1345"/>
        <v>0</v>
      </c>
      <c r="ML163" s="1319">
        <f t="shared" ca="1" si="1345"/>
        <v>0</v>
      </c>
      <c r="MM163" s="1319">
        <f t="shared" ca="1" si="1345"/>
        <v>0</v>
      </c>
      <c r="MN163" s="1319">
        <f t="shared" ca="1" si="1345"/>
        <v>0</v>
      </c>
      <c r="MO163" s="1319">
        <f t="shared" ca="1" si="1345"/>
        <v>0</v>
      </c>
      <c r="MX163" s="1334"/>
      <c r="NA163" s="1319">
        <f t="shared" ca="1" si="1346"/>
        <v>0</v>
      </c>
      <c r="NB163" s="1319">
        <f t="shared" ca="1" si="1346"/>
        <v>0</v>
      </c>
      <c r="NC163" s="1319">
        <f t="shared" ca="1" si="1346"/>
        <v>0</v>
      </c>
      <c r="ND163" s="1319">
        <f t="shared" ca="1" si="1346"/>
        <v>0</v>
      </c>
      <c r="NE163" s="1319">
        <f t="shared" ca="1" si="1346"/>
        <v>0</v>
      </c>
      <c r="NF163" s="1319">
        <f t="shared" ca="1" si="1346"/>
        <v>0</v>
      </c>
      <c r="NG163" s="1319">
        <f t="shared" ca="1" si="1346"/>
        <v>0</v>
      </c>
      <c r="NH163" s="1319">
        <f t="shared" ca="1" si="1346"/>
        <v>0</v>
      </c>
      <c r="NI163" s="1319">
        <f t="shared" ca="1" si="1346"/>
        <v>0</v>
      </c>
      <c r="NJ163" s="1319">
        <f t="shared" ca="1" si="1346"/>
        <v>0</v>
      </c>
      <c r="NK163" s="1319">
        <f t="shared" ca="1" si="1346"/>
        <v>0</v>
      </c>
      <c r="NL163" s="1319">
        <f t="shared" ca="1" si="1346"/>
        <v>0</v>
      </c>
      <c r="NM163" s="1319">
        <f t="shared" ca="1" si="1346"/>
        <v>0</v>
      </c>
      <c r="NN163" s="1319">
        <f t="shared" ca="1" si="1346"/>
        <v>0</v>
      </c>
      <c r="NO163" s="1319">
        <f t="shared" ca="1" si="1346"/>
        <v>0</v>
      </c>
      <c r="NP163" s="1319">
        <f t="shared" ca="1" si="1346"/>
        <v>0</v>
      </c>
      <c r="NY163" s="1334"/>
      <c r="OE163" s="1334"/>
      <c r="OH163" s="1319">
        <f t="shared" ca="1" si="1347"/>
        <v>0</v>
      </c>
      <c r="OI163" s="1319">
        <f t="shared" ca="1" si="1347"/>
        <v>0</v>
      </c>
      <c r="OJ163" s="1319">
        <f t="shared" ca="1" si="1347"/>
        <v>0</v>
      </c>
      <c r="OK163" s="1319">
        <f t="shared" ca="1" si="1347"/>
        <v>0</v>
      </c>
      <c r="OL163" s="1319">
        <f t="shared" ca="1" si="1347"/>
        <v>0</v>
      </c>
      <c r="OM163" s="1319">
        <f t="shared" ca="1" si="1347"/>
        <v>0</v>
      </c>
      <c r="ON163" s="1319">
        <f t="shared" ca="1" si="1347"/>
        <v>0</v>
      </c>
      <c r="OO163" s="1319">
        <f t="shared" ca="1" si="1347"/>
        <v>0</v>
      </c>
      <c r="OX163" s="1334"/>
      <c r="PA163" s="1319">
        <f t="shared" ca="1" si="1348"/>
        <v>0</v>
      </c>
      <c r="PB163" s="1319">
        <f t="shared" ca="1" si="1348"/>
        <v>0</v>
      </c>
      <c r="PC163" s="1319">
        <f t="shared" ca="1" si="1348"/>
        <v>0</v>
      </c>
      <c r="PD163" s="1319">
        <f t="shared" ca="1" si="1348"/>
        <v>0</v>
      </c>
      <c r="PE163" s="1319">
        <f t="shared" ca="1" si="1348"/>
        <v>0</v>
      </c>
      <c r="PF163" s="1319">
        <f t="shared" ca="1" si="1348"/>
        <v>0</v>
      </c>
      <c r="PG163" s="1319">
        <f t="shared" ca="1" si="1348"/>
        <v>0</v>
      </c>
      <c r="PH163" s="1319">
        <f t="shared" ca="1" si="1348"/>
        <v>0</v>
      </c>
      <c r="PI163" s="1319">
        <f t="shared" ca="1" si="1348"/>
        <v>0</v>
      </c>
      <c r="PJ163" s="1319">
        <f t="shared" ca="1" si="1348"/>
        <v>0</v>
      </c>
      <c r="PK163" s="1319">
        <f t="shared" ca="1" si="1348"/>
        <v>0</v>
      </c>
      <c r="PT163" s="1334"/>
      <c r="PW163" s="1319">
        <f t="shared" ca="1" si="1349"/>
        <v>0</v>
      </c>
      <c r="PX163" s="1319">
        <f t="shared" ca="1" si="1349"/>
        <v>0</v>
      </c>
      <c r="PY163" s="1319">
        <f t="shared" ca="1" si="1349"/>
        <v>0</v>
      </c>
      <c r="PZ163" s="1319">
        <f t="shared" ca="1" si="1349"/>
        <v>0</v>
      </c>
    </row>
    <row r="164" spans="1:442" x14ac:dyDescent="0.25">
      <c r="A164" s="189">
        <v>132</v>
      </c>
      <c r="B164" s="189" t="s">
        <v>1320</v>
      </c>
      <c r="C164" s="1317" t="s">
        <v>1261</v>
      </c>
      <c r="D164" s="1317" t="s">
        <v>206</v>
      </c>
      <c r="E164" s="1318">
        <v>152.15</v>
      </c>
      <c r="F164" s="1322">
        <v>-0.87468325683999992</v>
      </c>
      <c r="G164" s="1334"/>
      <c r="J164" s="1319">
        <f t="shared" ca="1" si="1327"/>
        <v>-75.492268884552431</v>
      </c>
      <c r="K164" s="1319">
        <f t="shared" ca="1" si="1327"/>
        <v>-75.492268884552431</v>
      </c>
      <c r="Q164" s="1334"/>
      <c r="T164" s="1319">
        <f t="shared" ca="1" si="1328"/>
        <v>-75.492268884552431</v>
      </c>
      <c r="U164" s="1319">
        <f t="shared" ca="1" si="1328"/>
        <v>0</v>
      </c>
      <c r="V164" s="1319">
        <f t="shared" ca="1" si="1328"/>
        <v>0</v>
      </c>
      <c r="W164" s="1319">
        <f t="shared" ca="1" si="1328"/>
        <v>0</v>
      </c>
      <c r="X164" s="1319">
        <f t="shared" ca="1" si="1328"/>
        <v>0</v>
      </c>
      <c r="Y164" s="1319">
        <f t="shared" ca="1" si="1328"/>
        <v>-71.717655641533582</v>
      </c>
      <c r="Z164" s="1319">
        <f t="shared" ca="1" si="1328"/>
        <v>0</v>
      </c>
      <c r="AA164" s="1319">
        <f t="shared" ca="1" si="1328"/>
        <v>-71.717655641533582</v>
      </c>
      <c r="AB164" s="1319">
        <f t="shared" ca="1" si="1328"/>
        <v>0</v>
      </c>
      <c r="AC164" s="1319">
        <f t="shared" ca="1" si="1328"/>
        <v>0</v>
      </c>
      <c r="AD164" s="1319">
        <f t="shared" ca="1" si="1328"/>
        <v>0</v>
      </c>
      <c r="AJ164" s="1334"/>
      <c r="AM164" s="1319">
        <f t="shared" ca="1" si="1329"/>
        <v>0</v>
      </c>
      <c r="AN164" s="1319">
        <f t="shared" ca="1" si="1329"/>
        <v>0</v>
      </c>
      <c r="AO164" s="1319">
        <f t="shared" ca="1" si="1329"/>
        <v>-71.717655641533582</v>
      </c>
      <c r="AP164" s="1319">
        <f t="shared" ca="1" si="1329"/>
        <v>-71.717655641533582</v>
      </c>
      <c r="AQ164" s="1319">
        <f t="shared" ca="1" si="1329"/>
        <v>0</v>
      </c>
      <c r="AR164" s="1319">
        <f t="shared" ca="1" si="1329"/>
        <v>0</v>
      </c>
      <c r="AS164" s="1319">
        <f t="shared" ca="1" si="1329"/>
        <v>0</v>
      </c>
      <c r="AT164" s="1319">
        <f t="shared" ca="1" si="1329"/>
        <v>0</v>
      </c>
      <c r="AU164" s="1319">
        <f t="shared" ca="1" si="1329"/>
        <v>0</v>
      </c>
      <c r="AV164" s="1319">
        <f t="shared" ca="1" si="1329"/>
        <v>-71.717655641533582</v>
      </c>
      <c r="AW164" s="1319">
        <f t="shared" ca="1" si="1329"/>
        <v>0</v>
      </c>
      <c r="AX164" s="1319">
        <f t="shared" ca="1" si="1329"/>
        <v>0</v>
      </c>
      <c r="AY164" s="1319">
        <f t="shared" ca="1" si="1329"/>
        <v>0</v>
      </c>
      <c r="AZ164" s="1319">
        <f t="shared" ca="1" si="1329"/>
        <v>0</v>
      </c>
      <c r="BA164" s="1319">
        <f t="shared" ca="1" si="1329"/>
        <v>0</v>
      </c>
      <c r="BB164" s="1319">
        <f t="shared" ca="1" si="1329"/>
        <v>-71.717655641533582</v>
      </c>
      <c r="BK164" s="1334"/>
      <c r="BN164" s="1319">
        <f t="shared" ca="1" si="1330"/>
        <v>-7.1717655641533593</v>
      </c>
      <c r="BO164" s="1319">
        <f t="shared" ca="1" si="1330"/>
        <v>-7.1717655641533593</v>
      </c>
      <c r="BP164" s="1319">
        <f t="shared" ca="1" si="1330"/>
        <v>0</v>
      </c>
      <c r="BQ164" s="1319">
        <f t="shared" ca="1" si="1330"/>
        <v>0</v>
      </c>
      <c r="BR164" s="1319">
        <f t="shared" ca="1" si="1330"/>
        <v>0</v>
      </c>
      <c r="CA164" s="1334"/>
      <c r="CD164" s="1319">
        <f t="shared" ca="1" si="1331"/>
        <v>-71.717655641533582</v>
      </c>
      <c r="CE164" s="1319">
        <f t="shared" ca="1" si="1331"/>
        <v>-71.717655641533582</v>
      </c>
      <c r="CF164" s="1319">
        <f t="shared" ca="1" si="1331"/>
        <v>-7.1717655641533593</v>
      </c>
      <c r="CG164" s="1319">
        <f t="shared" ca="1" si="1331"/>
        <v>-7.1717655641533593</v>
      </c>
      <c r="CH164" s="1319">
        <f t="shared" ca="1" si="1331"/>
        <v>-71.717655641533582</v>
      </c>
      <c r="CI164" s="1319">
        <f t="shared" ca="1" si="1331"/>
        <v>0</v>
      </c>
      <c r="CJ164" s="1319">
        <f t="shared" ca="1" si="1331"/>
        <v>0</v>
      </c>
      <c r="CK164" s="1319">
        <f t="shared" ca="1" si="1331"/>
        <v>-71.717655641533582</v>
      </c>
      <c r="CL164" s="1319">
        <f t="shared" ca="1" si="1331"/>
        <v>0</v>
      </c>
      <c r="CM164" s="1319">
        <f t="shared" ca="1" si="1331"/>
        <v>0</v>
      </c>
      <c r="CN164" s="1319">
        <f t="shared" ca="1" si="1331"/>
        <v>-71.717655641533582</v>
      </c>
      <c r="CO164" s="1319">
        <f t="shared" ca="1" si="1331"/>
        <v>0</v>
      </c>
      <c r="CX164" s="1334"/>
      <c r="DA164" s="1319">
        <f t="shared" ca="1" si="1332"/>
        <v>0</v>
      </c>
      <c r="DB164" s="1319">
        <f t="shared" ca="1" si="1332"/>
        <v>0</v>
      </c>
      <c r="DC164" s="1319">
        <f t="shared" ca="1" si="1332"/>
        <v>0</v>
      </c>
      <c r="DD164" s="1319">
        <f t="shared" ca="1" si="1332"/>
        <v>0</v>
      </c>
      <c r="DE164" s="1319">
        <f t="shared" ca="1" si="1332"/>
        <v>0</v>
      </c>
      <c r="DF164" s="1319">
        <f t="shared" ca="1" si="1332"/>
        <v>0</v>
      </c>
      <c r="DG164" s="1319">
        <f t="shared" ca="1" si="1332"/>
        <v>0</v>
      </c>
      <c r="DH164" s="1319">
        <f t="shared" ca="1" si="1332"/>
        <v>0</v>
      </c>
      <c r="DI164" s="1319">
        <f t="shared" ca="1" si="1332"/>
        <v>0</v>
      </c>
      <c r="DJ164" s="1319">
        <f t="shared" ca="1" si="1332"/>
        <v>0</v>
      </c>
      <c r="DS164" s="1334"/>
      <c r="DV164" s="1319">
        <f t="shared" ca="1" si="1333"/>
        <v>0</v>
      </c>
      <c r="DW164" s="1319">
        <f t="shared" ca="1" si="1333"/>
        <v>0</v>
      </c>
      <c r="DX164" s="1319">
        <f t="shared" ca="1" si="1333"/>
        <v>0</v>
      </c>
      <c r="DY164" s="1319">
        <f t="shared" ca="1" si="1333"/>
        <v>0</v>
      </c>
      <c r="DZ164" s="1319">
        <f t="shared" ca="1" si="1333"/>
        <v>0</v>
      </c>
      <c r="EA164" s="1319">
        <f t="shared" ca="1" si="1333"/>
        <v>0</v>
      </c>
      <c r="EB164" s="1319">
        <f t="shared" ca="1" si="1333"/>
        <v>0</v>
      </c>
      <c r="EC164" s="1319">
        <f t="shared" ca="1" si="1333"/>
        <v>0</v>
      </c>
      <c r="ED164" s="1319">
        <f t="shared" ca="1" si="1333"/>
        <v>0</v>
      </c>
      <c r="EE164" s="1319">
        <f t="shared" ca="1" si="1333"/>
        <v>0</v>
      </c>
      <c r="EF164" s="1319">
        <f t="shared" ca="1" si="1333"/>
        <v>0</v>
      </c>
      <c r="EG164" s="1319">
        <f t="shared" ca="1" si="1333"/>
        <v>0</v>
      </c>
      <c r="EH164" s="1319">
        <f t="shared" ca="1" si="1333"/>
        <v>0</v>
      </c>
      <c r="EI164" s="1319">
        <f t="shared" ca="1" si="1333"/>
        <v>0</v>
      </c>
      <c r="EJ164" s="1319">
        <f t="shared" ca="1" si="1333"/>
        <v>0</v>
      </c>
      <c r="EK164" s="1319">
        <f t="shared" ca="1" si="1333"/>
        <v>0</v>
      </c>
      <c r="ET164" s="1334"/>
      <c r="EW164" s="1319">
        <f t="shared" ca="1" si="1334"/>
        <v>-71.717655641533582</v>
      </c>
      <c r="EX164" s="1319">
        <f t="shared" ca="1" si="1334"/>
        <v>-71.717655641533582</v>
      </c>
      <c r="EY164" s="1319">
        <f t="shared" ca="1" si="1334"/>
        <v>-71.717655641533582</v>
      </c>
      <c r="EZ164" s="1319">
        <f t="shared" ca="1" si="1334"/>
        <v>-71.717655641533582</v>
      </c>
      <c r="FA164" s="1319">
        <f t="shared" ca="1" si="1334"/>
        <v>0</v>
      </c>
      <c r="FB164" s="1319">
        <f t="shared" ca="1" si="1334"/>
        <v>0</v>
      </c>
      <c r="FK164" s="1334"/>
      <c r="FN164" s="1319">
        <f t="shared" ca="1" si="1335"/>
        <v>0</v>
      </c>
      <c r="FO164" s="1319">
        <f t="shared" ca="1" si="1335"/>
        <v>0</v>
      </c>
      <c r="FP164" s="1319">
        <f t="shared" ca="1" si="1335"/>
        <v>0</v>
      </c>
      <c r="FQ164" s="1319">
        <f t="shared" ca="1" si="1335"/>
        <v>0</v>
      </c>
      <c r="FR164" s="1319">
        <f t="shared" ca="1" si="1335"/>
        <v>0</v>
      </c>
      <c r="FS164" s="1319">
        <f t="shared" ca="1" si="1335"/>
        <v>0</v>
      </c>
      <c r="FT164" s="1319">
        <f t="shared" ca="1" si="1335"/>
        <v>0</v>
      </c>
      <c r="FU164" s="1319">
        <f t="shared" ca="1" si="1335"/>
        <v>0</v>
      </c>
      <c r="FV164" s="1319">
        <f t="shared" ca="1" si="1335"/>
        <v>0</v>
      </c>
      <c r="FW164" s="1319">
        <f t="shared" ca="1" si="1335"/>
        <v>0</v>
      </c>
      <c r="FX164" s="1319">
        <f t="shared" ca="1" si="1335"/>
        <v>0</v>
      </c>
      <c r="GG164" s="1334"/>
      <c r="GJ164" s="1319">
        <f t="shared" ca="1" si="1336"/>
        <v>0</v>
      </c>
      <c r="GK164" s="1319">
        <f t="shared" ca="1" si="1336"/>
        <v>0</v>
      </c>
      <c r="GL164" s="1319">
        <f t="shared" ca="1" si="1336"/>
        <v>0</v>
      </c>
      <c r="GM164" s="1319">
        <f t="shared" ca="1" si="1336"/>
        <v>0</v>
      </c>
      <c r="GN164" s="1319">
        <f t="shared" ca="1" si="1336"/>
        <v>0</v>
      </c>
      <c r="GO164" s="1319">
        <f t="shared" ca="1" si="1336"/>
        <v>0</v>
      </c>
      <c r="GP164" s="1319">
        <f t="shared" ca="1" si="1336"/>
        <v>0</v>
      </c>
      <c r="GQ164" s="1319">
        <f t="shared" ca="1" si="1336"/>
        <v>0</v>
      </c>
      <c r="GZ164" s="1334"/>
      <c r="HC164" s="1319">
        <f t="shared" ca="1" si="1337"/>
        <v>-71.717655641533582</v>
      </c>
      <c r="HD164" s="1319">
        <f t="shared" ca="1" si="1337"/>
        <v>-1.4343531128306719</v>
      </c>
      <c r="HE164" s="1319">
        <f t="shared" ca="1" si="1337"/>
        <v>0</v>
      </c>
      <c r="HF164" s="1319">
        <f t="shared" ca="1" si="1337"/>
        <v>0</v>
      </c>
      <c r="HG164" s="1319">
        <f t="shared" ca="1" si="1337"/>
        <v>-70.283302724162866</v>
      </c>
      <c r="HH164" s="1319">
        <f t="shared" ca="1" si="1337"/>
        <v>-1.4343531128306719</v>
      </c>
      <c r="HQ164" s="1334"/>
      <c r="HT164" s="1319">
        <f t="shared" ca="1" si="1338"/>
        <v>0</v>
      </c>
      <c r="HU164" s="1319">
        <f t="shared" ca="1" si="1338"/>
        <v>-1.4343531128306719</v>
      </c>
      <c r="HV164" s="1319">
        <f t="shared" ca="1" si="1338"/>
        <v>-1.4343531128306719</v>
      </c>
      <c r="HW164" s="1319">
        <f t="shared" ca="1" si="1338"/>
        <v>-1.4343531128306719</v>
      </c>
      <c r="HX164" s="1319">
        <f t="shared" ca="1" si="1338"/>
        <v>-0.36719439743653887</v>
      </c>
      <c r="HY164" s="1319">
        <f t="shared" ca="1" si="1338"/>
        <v>-1.0671587188434259</v>
      </c>
      <c r="HZ164" s="1319">
        <f t="shared" ca="1" si="1338"/>
        <v>0</v>
      </c>
      <c r="IA164" s="1319">
        <f t="shared" ca="1" si="1338"/>
        <v>0</v>
      </c>
      <c r="IB164" s="1319">
        <f t="shared" ca="1" si="1338"/>
        <v>0</v>
      </c>
      <c r="IC164" s="1319">
        <f t="shared" ca="1" si="1338"/>
        <v>0</v>
      </c>
      <c r="ID164" s="1319">
        <f t="shared" ca="1" si="1338"/>
        <v>0</v>
      </c>
      <c r="IE164" s="1319">
        <f t="shared" ca="1" si="1338"/>
        <v>0</v>
      </c>
      <c r="IN164" s="1334"/>
      <c r="IQ164" s="1319">
        <f t="shared" ca="1" si="1339"/>
        <v>-0.36719439743653887</v>
      </c>
      <c r="IR164" s="1319">
        <f t="shared" ca="1" si="1339"/>
        <v>-1.0671587188434259</v>
      </c>
      <c r="IS164" s="1319">
        <f t="shared" ca="1" si="1339"/>
        <v>-0.44268666632109127</v>
      </c>
      <c r="IT164" s="1319">
        <f t="shared" ca="1" si="1339"/>
        <v>-1.5098453834398706</v>
      </c>
      <c r="IU164" s="1319">
        <f t="shared" ca="1" si="1339"/>
        <v>-7.5492268884552446E-2</v>
      </c>
      <c r="IV164" s="1319">
        <f t="shared" ca="1" si="1339"/>
        <v>-11.067166672399336</v>
      </c>
      <c r="IW164" s="1319">
        <f t="shared" ca="1" si="1339"/>
        <v>-10.624480019300536</v>
      </c>
      <c r="IX164" s="1319">
        <f t="shared" ca="1" si="1339"/>
        <v>0</v>
      </c>
      <c r="IY164" s="1319">
        <f t="shared" ca="1" si="1339"/>
        <v>-1.4343531128306719</v>
      </c>
      <c r="IZ164" s="1319">
        <f t="shared" ca="1" si="1339"/>
        <v>0</v>
      </c>
      <c r="JA164" s="1319">
        <f t="shared" ca="1" si="1339"/>
        <v>-11.067166672399336</v>
      </c>
      <c r="JB164" s="1319">
        <f t="shared" ca="1" si="1340"/>
        <v>0</v>
      </c>
      <c r="JC164" s="1319">
        <f t="shared" ca="1" si="1340"/>
        <v>0</v>
      </c>
      <c r="JD164" s="1319">
        <f t="shared" ca="1" si="1340"/>
        <v>0</v>
      </c>
      <c r="JE164" s="1319">
        <f t="shared" ca="1" si="1340"/>
        <v>0</v>
      </c>
      <c r="JF164" s="1319">
        <f t="shared" ca="1" si="1340"/>
        <v>0</v>
      </c>
      <c r="JG164" s="1319">
        <f t="shared" ca="1" si="1340"/>
        <v>0</v>
      </c>
      <c r="JH164" s="1319">
        <f t="shared" ca="1" si="1340"/>
        <v>0</v>
      </c>
      <c r="JQ164" s="1334"/>
      <c r="JT164" s="1319">
        <f t="shared" ca="1" si="1341"/>
        <v>0</v>
      </c>
      <c r="JU164" s="1319">
        <f t="shared" ca="1" si="1341"/>
        <v>0</v>
      </c>
      <c r="JV164" s="1319">
        <f t="shared" ca="1" si="1341"/>
        <v>0</v>
      </c>
      <c r="JW164" s="1319">
        <f t="shared" ca="1" si="1341"/>
        <v>0</v>
      </c>
      <c r="JX164" s="1319">
        <f t="shared" ca="1" si="1341"/>
        <v>0</v>
      </c>
      <c r="JY164" s="1319">
        <f t="shared" ca="1" si="1341"/>
        <v>0</v>
      </c>
      <c r="JZ164" s="1319">
        <f t="shared" ca="1" si="1341"/>
        <v>0</v>
      </c>
      <c r="KA164" s="1319">
        <f t="shared" ca="1" si="1341"/>
        <v>0</v>
      </c>
      <c r="KB164" s="1319">
        <f t="shared" ca="1" si="1341"/>
        <v>0</v>
      </c>
      <c r="KC164" s="1319">
        <f t="shared" ca="1" si="1341"/>
        <v>0</v>
      </c>
      <c r="KI164" s="1334"/>
      <c r="KL164" s="1319">
        <f t="shared" ca="1" si="1342"/>
        <v>0</v>
      </c>
      <c r="KM164" s="1319">
        <f t="shared" ca="1" si="1342"/>
        <v>0</v>
      </c>
      <c r="KN164" s="1319">
        <f t="shared" ca="1" si="1342"/>
        <v>0</v>
      </c>
      <c r="KO164" s="1319">
        <f t="shared" ca="1" si="1342"/>
        <v>0</v>
      </c>
      <c r="KP164" s="1319">
        <f t="shared" ca="1" si="1342"/>
        <v>0</v>
      </c>
      <c r="KQ164" s="1319">
        <f t="shared" ca="1" si="1342"/>
        <v>0</v>
      </c>
      <c r="KR164" s="1319">
        <f t="shared" ca="1" si="1342"/>
        <v>0</v>
      </c>
      <c r="KX164" s="1334"/>
      <c r="LA164" s="1319">
        <f t="shared" ca="1" si="1343"/>
        <v>0</v>
      </c>
      <c r="LB164" s="1319">
        <f t="shared" ca="1" si="1343"/>
        <v>0</v>
      </c>
      <c r="LC164" s="1319">
        <f t="shared" ca="1" si="1343"/>
        <v>0</v>
      </c>
      <c r="LD164" s="1319">
        <f t="shared" ca="1" si="1343"/>
        <v>0</v>
      </c>
      <c r="LE164" s="1319">
        <f t="shared" ca="1" si="1343"/>
        <v>0</v>
      </c>
      <c r="LF164" s="1319">
        <f t="shared" ca="1" si="1343"/>
        <v>0</v>
      </c>
      <c r="LG164" s="1319">
        <f t="shared" ca="1" si="1343"/>
        <v>0</v>
      </c>
      <c r="LH164" s="1319">
        <f t="shared" ca="1" si="1343"/>
        <v>0</v>
      </c>
      <c r="LI164" s="1319">
        <f t="shared" ca="1" si="1343"/>
        <v>0</v>
      </c>
      <c r="LJ164" s="1319">
        <f t="shared" ca="1" si="1343"/>
        <v>0</v>
      </c>
      <c r="LK164" s="1319">
        <f t="shared" ca="1" si="1343"/>
        <v>0</v>
      </c>
      <c r="LT164" s="1334"/>
      <c r="LW164" s="1319">
        <f t="shared" ca="1" si="1344"/>
        <v>0</v>
      </c>
      <c r="LX164" s="1319">
        <f t="shared" ca="1" si="1344"/>
        <v>0</v>
      </c>
      <c r="LY164" s="1319">
        <f t="shared" ca="1" si="1344"/>
        <v>-70.283302724162866</v>
      </c>
      <c r="LZ164" s="1319">
        <f t="shared" ca="1" si="1344"/>
        <v>-1.4343531128306719</v>
      </c>
      <c r="MA164" s="1319">
        <f t="shared" ca="1" si="1344"/>
        <v>-71.717655641533582</v>
      </c>
      <c r="MB164" s="1319">
        <f t="shared" ca="1" si="1344"/>
        <v>0</v>
      </c>
      <c r="MC164" s="1319">
        <f t="shared" ca="1" si="1344"/>
        <v>0</v>
      </c>
      <c r="MD164" s="1319">
        <f t="shared" ca="1" si="1344"/>
        <v>0</v>
      </c>
      <c r="ME164" s="1319">
        <f t="shared" ca="1" si="1344"/>
        <v>0</v>
      </c>
      <c r="MF164" s="1319">
        <f t="shared" ca="1" si="1344"/>
        <v>0</v>
      </c>
      <c r="MG164" s="1319">
        <f t="shared" ca="1" si="1345"/>
        <v>0</v>
      </c>
      <c r="MH164" s="1319">
        <f t="shared" ca="1" si="1345"/>
        <v>0</v>
      </c>
      <c r="MI164" s="1319">
        <f t="shared" ca="1" si="1345"/>
        <v>0</v>
      </c>
      <c r="MJ164" s="1319">
        <f t="shared" ca="1" si="1345"/>
        <v>0</v>
      </c>
      <c r="MK164" s="1319">
        <f t="shared" ca="1" si="1345"/>
        <v>0</v>
      </c>
      <c r="ML164" s="1319">
        <f t="shared" ca="1" si="1345"/>
        <v>0</v>
      </c>
      <c r="MM164" s="1319">
        <f t="shared" ca="1" si="1345"/>
        <v>0</v>
      </c>
      <c r="MN164" s="1319">
        <f t="shared" ca="1" si="1345"/>
        <v>0</v>
      </c>
      <c r="MO164" s="1319">
        <f t="shared" ca="1" si="1345"/>
        <v>0</v>
      </c>
      <c r="MX164" s="1334"/>
      <c r="NA164" s="1319">
        <f t="shared" ca="1" si="1346"/>
        <v>0</v>
      </c>
      <c r="NB164" s="1319">
        <f t="shared" ca="1" si="1346"/>
        <v>0</v>
      </c>
      <c r="NC164" s="1319">
        <f t="shared" ca="1" si="1346"/>
        <v>0</v>
      </c>
      <c r="ND164" s="1319">
        <f t="shared" ca="1" si="1346"/>
        <v>0</v>
      </c>
      <c r="NE164" s="1319">
        <f t="shared" ca="1" si="1346"/>
        <v>0</v>
      </c>
      <c r="NF164" s="1319">
        <f t="shared" ca="1" si="1346"/>
        <v>0</v>
      </c>
      <c r="NG164" s="1319">
        <f t="shared" ca="1" si="1346"/>
        <v>0</v>
      </c>
      <c r="NH164" s="1319">
        <f t="shared" ca="1" si="1346"/>
        <v>0</v>
      </c>
      <c r="NI164" s="1319">
        <f t="shared" ca="1" si="1346"/>
        <v>0</v>
      </c>
      <c r="NJ164" s="1319">
        <f t="shared" ca="1" si="1346"/>
        <v>0</v>
      </c>
      <c r="NK164" s="1319">
        <f t="shared" ca="1" si="1346"/>
        <v>0</v>
      </c>
      <c r="NL164" s="1319">
        <f t="shared" ca="1" si="1346"/>
        <v>0</v>
      </c>
      <c r="NM164" s="1319">
        <f t="shared" ca="1" si="1346"/>
        <v>0</v>
      </c>
      <c r="NN164" s="1319">
        <f t="shared" ca="1" si="1346"/>
        <v>0</v>
      </c>
      <c r="NO164" s="1319">
        <f t="shared" ca="1" si="1346"/>
        <v>0</v>
      </c>
      <c r="NP164" s="1319">
        <f t="shared" ca="1" si="1346"/>
        <v>0</v>
      </c>
      <c r="NY164" s="1334"/>
      <c r="OE164" s="1334"/>
      <c r="OH164" s="1319">
        <f t="shared" ca="1" si="1347"/>
        <v>0</v>
      </c>
      <c r="OI164" s="1319">
        <f t="shared" ca="1" si="1347"/>
        <v>0</v>
      </c>
      <c r="OJ164" s="1319">
        <f t="shared" ca="1" si="1347"/>
        <v>0</v>
      </c>
      <c r="OK164" s="1319">
        <f t="shared" ca="1" si="1347"/>
        <v>0</v>
      </c>
      <c r="OL164" s="1319">
        <f t="shared" ca="1" si="1347"/>
        <v>0</v>
      </c>
      <c r="OM164" s="1319">
        <f t="shared" ca="1" si="1347"/>
        <v>0</v>
      </c>
      <c r="ON164" s="1319">
        <f t="shared" ca="1" si="1347"/>
        <v>0</v>
      </c>
      <c r="OO164" s="1319">
        <f t="shared" ca="1" si="1347"/>
        <v>0</v>
      </c>
      <c r="OX164" s="1334"/>
      <c r="PA164" s="1319">
        <f t="shared" ca="1" si="1348"/>
        <v>0</v>
      </c>
      <c r="PB164" s="1319">
        <f t="shared" ca="1" si="1348"/>
        <v>0</v>
      </c>
      <c r="PC164" s="1319">
        <f t="shared" ca="1" si="1348"/>
        <v>0</v>
      </c>
      <c r="PD164" s="1319">
        <f t="shared" ca="1" si="1348"/>
        <v>0</v>
      </c>
      <c r="PE164" s="1319">
        <f t="shared" ca="1" si="1348"/>
        <v>0</v>
      </c>
      <c r="PF164" s="1319">
        <f t="shared" ca="1" si="1348"/>
        <v>0</v>
      </c>
      <c r="PG164" s="1319">
        <f t="shared" ca="1" si="1348"/>
        <v>0</v>
      </c>
      <c r="PH164" s="1319">
        <f t="shared" ca="1" si="1348"/>
        <v>0</v>
      </c>
      <c r="PI164" s="1319">
        <f t="shared" ca="1" si="1348"/>
        <v>0</v>
      </c>
      <c r="PJ164" s="1319">
        <f t="shared" ca="1" si="1348"/>
        <v>0</v>
      </c>
      <c r="PK164" s="1319">
        <f t="shared" ca="1" si="1348"/>
        <v>0</v>
      </c>
      <c r="PT164" s="1334"/>
      <c r="PW164" s="1319">
        <f t="shared" ca="1" si="1349"/>
        <v>0</v>
      </c>
      <c r="PX164" s="1319">
        <f t="shared" ca="1" si="1349"/>
        <v>0</v>
      </c>
      <c r="PY164" s="1319">
        <f t="shared" ca="1" si="1349"/>
        <v>0</v>
      </c>
      <c r="PZ164" s="1319">
        <f t="shared" ca="1" si="1349"/>
        <v>0</v>
      </c>
    </row>
    <row r="165" spans="1:442" x14ac:dyDescent="0.25">
      <c r="A165" s="189">
        <v>133</v>
      </c>
      <c r="B165" s="189" t="s">
        <v>1320</v>
      </c>
      <c r="C165" s="1317" t="s">
        <v>1264</v>
      </c>
      <c r="D165" s="1317" t="s">
        <v>206</v>
      </c>
      <c r="E165" s="1318">
        <v>60.05256</v>
      </c>
      <c r="F165" s="1316">
        <v>-0.1944969905439943</v>
      </c>
      <c r="G165" s="1334"/>
      <c r="J165" s="1319">
        <f t="shared" ca="1" si="1327"/>
        <v>-4.8845813178292063</v>
      </c>
      <c r="K165" s="1319">
        <f t="shared" ca="1" si="1327"/>
        <v>-4.8845813178292063</v>
      </c>
      <c r="Q165" s="1334"/>
      <c r="T165" s="1319">
        <f t="shared" ref="T165:AD176" ca="1" si="1350">VLOOKUP(T$1,INDIRECT(LU_MAT),$A165,FALSE)*$F165/$E165</f>
        <v>-4.8845813178292063</v>
      </c>
      <c r="U165" s="1319">
        <f t="shared" ca="1" si="1350"/>
        <v>0</v>
      </c>
      <c r="V165" s="1319">
        <f t="shared" ca="1" si="1350"/>
        <v>0</v>
      </c>
      <c r="W165" s="1319">
        <f t="shared" ca="1" si="1350"/>
        <v>0</v>
      </c>
      <c r="X165" s="1319">
        <f t="shared" ca="1" si="1350"/>
        <v>0</v>
      </c>
      <c r="Y165" s="1319">
        <f t="shared" ca="1" si="1350"/>
        <v>0</v>
      </c>
      <c r="Z165" s="1319">
        <f t="shared" ca="1" si="1350"/>
        <v>0</v>
      </c>
      <c r="AA165" s="1319">
        <f t="shared" ca="1" si="1350"/>
        <v>0</v>
      </c>
      <c r="AB165" s="1319">
        <f t="shared" ca="1" si="1350"/>
        <v>0</v>
      </c>
      <c r="AC165" s="1319">
        <f t="shared" ca="1" si="1350"/>
        <v>0</v>
      </c>
      <c r="AD165" s="1319">
        <f t="shared" ca="1" si="1350"/>
        <v>0</v>
      </c>
      <c r="AJ165" s="1334"/>
      <c r="AM165" s="1319">
        <f t="shared" ref="AM165:BB176" ca="1" si="1351">VLOOKUP(AM$1,INDIRECT(LU_MAT),$A165,FALSE)*$F165/$E165</f>
        <v>0</v>
      </c>
      <c r="AN165" s="1319">
        <f t="shared" ca="1" si="1351"/>
        <v>0</v>
      </c>
      <c r="AO165" s="1319">
        <f t="shared" ca="1" si="1351"/>
        <v>0</v>
      </c>
      <c r="AP165" s="1319">
        <f t="shared" ca="1" si="1351"/>
        <v>0</v>
      </c>
      <c r="AQ165" s="1319">
        <f t="shared" ca="1" si="1351"/>
        <v>0</v>
      </c>
      <c r="AR165" s="1319">
        <f t="shared" ca="1" si="1351"/>
        <v>0</v>
      </c>
      <c r="AS165" s="1319">
        <f t="shared" ca="1" si="1351"/>
        <v>0</v>
      </c>
      <c r="AT165" s="1319">
        <f t="shared" ca="1" si="1351"/>
        <v>0</v>
      </c>
      <c r="AU165" s="1319">
        <f t="shared" ca="1" si="1351"/>
        <v>0</v>
      </c>
      <c r="AV165" s="1319">
        <f t="shared" ca="1" si="1351"/>
        <v>0</v>
      </c>
      <c r="AW165" s="1319">
        <f t="shared" ca="1" si="1351"/>
        <v>0</v>
      </c>
      <c r="AX165" s="1319">
        <f t="shared" ca="1" si="1351"/>
        <v>0</v>
      </c>
      <c r="AY165" s="1319">
        <f t="shared" ca="1" si="1351"/>
        <v>0</v>
      </c>
      <c r="AZ165" s="1319">
        <f t="shared" ca="1" si="1351"/>
        <v>0</v>
      </c>
      <c r="BA165" s="1319">
        <f t="shared" ca="1" si="1351"/>
        <v>0</v>
      </c>
      <c r="BB165" s="1319">
        <f t="shared" ca="1" si="1351"/>
        <v>0</v>
      </c>
      <c r="BK165" s="1334"/>
      <c r="BN165" s="1319">
        <f t="shared" ref="BN165:BR176" ca="1" si="1352">VLOOKUP(BN$1,INDIRECT(LU_MAT),$A165,FALSE)*$F165/$E165</f>
        <v>0</v>
      </c>
      <c r="BO165" s="1319">
        <f t="shared" ca="1" si="1352"/>
        <v>0</v>
      </c>
      <c r="BP165" s="1319">
        <f t="shared" ca="1" si="1352"/>
        <v>0</v>
      </c>
      <c r="BQ165" s="1319">
        <f t="shared" ca="1" si="1352"/>
        <v>0</v>
      </c>
      <c r="BR165" s="1319">
        <f t="shared" ca="1" si="1352"/>
        <v>0</v>
      </c>
      <c r="CA165" s="1334"/>
      <c r="CD165" s="1319">
        <f t="shared" ref="CD165:CO176" ca="1" si="1353">VLOOKUP(CD$1,INDIRECT(LU_MAT),$A165,FALSE)*$F165/$E165</f>
        <v>0</v>
      </c>
      <c r="CE165" s="1319">
        <f t="shared" ca="1" si="1353"/>
        <v>0</v>
      </c>
      <c r="CF165" s="1319">
        <f t="shared" ca="1" si="1353"/>
        <v>0</v>
      </c>
      <c r="CG165" s="1319">
        <f t="shared" ca="1" si="1353"/>
        <v>0</v>
      </c>
      <c r="CH165" s="1319">
        <f t="shared" ca="1" si="1353"/>
        <v>0</v>
      </c>
      <c r="CI165" s="1319">
        <f t="shared" ca="1" si="1353"/>
        <v>0</v>
      </c>
      <c r="CJ165" s="1319">
        <f t="shared" ca="1" si="1353"/>
        <v>0</v>
      </c>
      <c r="CK165" s="1319">
        <f t="shared" ca="1" si="1353"/>
        <v>0</v>
      </c>
      <c r="CL165" s="1319">
        <f t="shared" ca="1" si="1353"/>
        <v>0</v>
      </c>
      <c r="CM165" s="1319">
        <f t="shared" ca="1" si="1353"/>
        <v>0</v>
      </c>
      <c r="CN165" s="1319">
        <f t="shared" ca="1" si="1353"/>
        <v>0</v>
      </c>
      <c r="CO165" s="1319">
        <f t="shared" ca="1" si="1353"/>
        <v>0</v>
      </c>
      <c r="CX165" s="1334"/>
      <c r="DA165" s="1319">
        <f t="shared" ref="DA165:DJ176" ca="1" si="1354">VLOOKUP(DA$1,INDIRECT(LU_MAT),$A165,FALSE)*$F165/$E165</f>
        <v>0</v>
      </c>
      <c r="DB165" s="1319">
        <f t="shared" ca="1" si="1354"/>
        <v>0</v>
      </c>
      <c r="DC165" s="1319">
        <f t="shared" ca="1" si="1354"/>
        <v>0</v>
      </c>
      <c r="DD165" s="1319">
        <f t="shared" ca="1" si="1354"/>
        <v>0</v>
      </c>
      <c r="DE165" s="1319">
        <f t="shared" ca="1" si="1354"/>
        <v>0</v>
      </c>
      <c r="DF165" s="1319">
        <f t="shared" ca="1" si="1354"/>
        <v>0</v>
      </c>
      <c r="DG165" s="1319">
        <f t="shared" ca="1" si="1354"/>
        <v>0</v>
      </c>
      <c r="DH165" s="1319">
        <f t="shared" ca="1" si="1354"/>
        <v>0</v>
      </c>
      <c r="DI165" s="1319">
        <f t="shared" ca="1" si="1354"/>
        <v>0</v>
      </c>
      <c r="DJ165" s="1319">
        <f t="shared" ca="1" si="1354"/>
        <v>0</v>
      </c>
      <c r="DS165" s="1334"/>
      <c r="DV165" s="1319">
        <f t="shared" ref="DV165:EK176" ca="1" si="1355">VLOOKUP(DV$1,INDIRECT(LU_MAT),$A165,FALSE)*$F165/$E165</f>
        <v>0</v>
      </c>
      <c r="DW165" s="1319">
        <f t="shared" ca="1" si="1355"/>
        <v>0</v>
      </c>
      <c r="DX165" s="1319">
        <f t="shared" ca="1" si="1355"/>
        <v>0</v>
      </c>
      <c r="DY165" s="1319">
        <f t="shared" ca="1" si="1355"/>
        <v>0</v>
      </c>
      <c r="DZ165" s="1319">
        <f t="shared" ca="1" si="1355"/>
        <v>0</v>
      </c>
      <c r="EA165" s="1319">
        <f t="shared" ca="1" si="1355"/>
        <v>0</v>
      </c>
      <c r="EB165" s="1319">
        <f t="shared" ca="1" si="1355"/>
        <v>0</v>
      </c>
      <c r="EC165" s="1319">
        <f t="shared" ca="1" si="1355"/>
        <v>0</v>
      </c>
      <c r="ED165" s="1319">
        <f t="shared" ca="1" si="1355"/>
        <v>0</v>
      </c>
      <c r="EE165" s="1319">
        <f t="shared" ca="1" si="1355"/>
        <v>0</v>
      </c>
      <c r="EF165" s="1319">
        <f t="shared" ca="1" si="1355"/>
        <v>0</v>
      </c>
      <c r="EG165" s="1319">
        <f t="shared" ca="1" si="1355"/>
        <v>0</v>
      </c>
      <c r="EH165" s="1319">
        <f t="shared" ca="1" si="1355"/>
        <v>0</v>
      </c>
      <c r="EI165" s="1319">
        <f t="shared" ca="1" si="1355"/>
        <v>0</v>
      </c>
      <c r="EJ165" s="1319">
        <f t="shared" ca="1" si="1355"/>
        <v>0</v>
      </c>
      <c r="EK165" s="1319">
        <f t="shared" ca="1" si="1355"/>
        <v>0</v>
      </c>
      <c r="ET165" s="1334"/>
      <c r="EW165" s="1319">
        <f t="shared" ref="EW165:FB176" ca="1" si="1356">VLOOKUP(EW$1,INDIRECT(LU_MAT),$A165,FALSE)*$F165/$E165</f>
        <v>0</v>
      </c>
      <c r="EX165" s="1319">
        <f t="shared" ca="1" si="1356"/>
        <v>0</v>
      </c>
      <c r="EY165" s="1319">
        <f t="shared" ca="1" si="1356"/>
        <v>0</v>
      </c>
      <c r="EZ165" s="1319">
        <f t="shared" ca="1" si="1356"/>
        <v>0</v>
      </c>
      <c r="FA165" s="1319">
        <f t="shared" ca="1" si="1356"/>
        <v>0</v>
      </c>
      <c r="FB165" s="1319">
        <f t="shared" ca="1" si="1356"/>
        <v>0</v>
      </c>
      <c r="FK165" s="1334"/>
      <c r="FN165" s="1319">
        <f t="shared" ref="FN165:FX176" ca="1" si="1357">VLOOKUP(FN$1,INDIRECT(LU_MAT),$A165,FALSE)*$F165/$E165</f>
        <v>0</v>
      </c>
      <c r="FO165" s="1319">
        <f t="shared" ca="1" si="1357"/>
        <v>0</v>
      </c>
      <c r="FP165" s="1319">
        <f t="shared" ca="1" si="1357"/>
        <v>0</v>
      </c>
      <c r="FQ165" s="1319">
        <f t="shared" ca="1" si="1357"/>
        <v>0</v>
      </c>
      <c r="FR165" s="1319">
        <f t="shared" ca="1" si="1357"/>
        <v>0</v>
      </c>
      <c r="FS165" s="1319">
        <f t="shared" ca="1" si="1357"/>
        <v>0</v>
      </c>
      <c r="FT165" s="1319">
        <f t="shared" ca="1" si="1357"/>
        <v>0</v>
      </c>
      <c r="FU165" s="1319">
        <f t="shared" ca="1" si="1357"/>
        <v>0</v>
      </c>
      <c r="FV165" s="1319">
        <f t="shared" ca="1" si="1357"/>
        <v>0</v>
      </c>
      <c r="FW165" s="1319">
        <f t="shared" ca="1" si="1357"/>
        <v>0</v>
      </c>
      <c r="FX165" s="1319">
        <f t="shared" ca="1" si="1357"/>
        <v>0</v>
      </c>
      <c r="GG165" s="1334"/>
      <c r="GJ165" s="1319">
        <f t="shared" ref="GJ165:GQ176" ca="1" si="1358">VLOOKUP(GJ$1,INDIRECT(LU_MAT),$A165,FALSE)*$F165/$E165</f>
        <v>0</v>
      </c>
      <c r="GK165" s="1319">
        <f t="shared" ca="1" si="1358"/>
        <v>0</v>
      </c>
      <c r="GL165" s="1319">
        <f t="shared" ca="1" si="1358"/>
        <v>0</v>
      </c>
      <c r="GM165" s="1319">
        <f t="shared" ca="1" si="1358"/>
        <v>0</v>
      </c>
      <c r="GN165" s="1319">
        <f t="shared" ca="1" si="1358"/>
        <v>0</v>
      </c>
      <c r="GO165" s="1319">
        <f t="shared" ca="1" si="1358"/>
        <v>0</v>
      </c>
      <c r="GP165" s="1319">
        <f t="shared" ca="1" si="1358"/>
        <v>0</v>
      </c>
      <c r="GQ165" s="1319">
        <f t="shared" ca="1" si="1358"/>
        <v>0</v>
      </c>
      <c r="GZ165" s="1334"/>
      <c r="HC165" s="1319">
        <f t="shared" ref="HC165:HH176" ca="1" si="1359">VLOOKUP(HC$1,INDIRECT(LU_MAT),$A165,FALSE)*$F165/$E165</f>
        <v>0</v>
      </c>
      <c r="HD165" s="1319">
        <f t="shared" ca="1" si="1359"/>
        <v>0</v>
      </c>
      <c r="HE165" s="1319">
        <f t="shared" ca="1" si="1359"/>
        <v>0</v>
      </c>
      <c r="HF165" s="1319">
        <f t="shared" ca="1" si="1359"/>
        <v>0</v>
      </c>
      <c r="HG165" s="1319">
        <f t="shared" ca="1" si="1359"/>
        <v>0</v>
      </c>
      <c r="HH165" s="1319">
        <f t="shared" ca="1" si="1359"/>
        <v>0</v>
      </c>
      <c r="HQ165" s="1334"/>
      <c r="HT165" s="1319">
        <f t="shared" ref="HT165:IE176" ca="1" si="1360">VLOOKUP(HT$1,INDIRECT(LU_MAT),$A165,FALSE)*$F165/$E165</f>
        <v>0</v>
      </c>
      <c r="HU165" s="1319">
        <f t="shared" ca="1" si="1360"/>
        <v>0</v>
      </c>
      <c r="HV165" s="1319">
        <f t="shared" ca="1" si="1360"/>
        <v>0</v>
      </c>
      <c r="HW165" s="1319">
        <f t="shared" ca="1" si="1360"/>
        <v>0</v>
      </c>
      <c r="HX165" s="1319">
        <f t="shared" ca="1" si="1360"/>
        <v>0</v>
      </c>
      <c r="HY165" s="1319">
        <f t="shared" ca="1" si="1360"/>
        <v>0</v>
      </c>
      <c r="HZ165" s="1319">
        <f t="shared" ca="1" si="1360"/>
        <v>0</v>
      </c>
      <c r="IA165" s="1319">
        <f t="shared" ca="1" si="1360"/>
        <v>0</v>
      </c>
      <c r="IB165" s="1319">
        <f t="shared" ca="1" si="1360"/>
        <v>0</v>
      </c>
      <c r="IC165" s="1319">
        <f t="shared" ca="1" si="1360"/>
        <v>0</v>
      </c>
      <c r="ID165" s="1319">
        <f t="shared" ca="1" si="1360"/>
        <v>0</v>
      </c>
      <c r="IE165" s="1319">
        <f t="shared" ca="1" si="1360"/>
        <v>0</v>
      </c>
      <c r="IN165" s="1334"/>
      <c r="IQ165" s="1319">
        <f t="shared" ref="IQ165:JA176" ca="1" si="1361">VLOOKUP(IQ$1,INDIRECT(LU_MAT),$A165,FALSE)*$F165/$E165</f>
        <v>0</v>
      </c>
      <c r="IR165" s="1319">
        <f t="shared" ca="1" si="1361"/>
        <v>0</v>
      </c>
      <c r="IS165" s="1319">
        <f t="shared" ca="1" si="1361"/>
        <v>0</v>
      </c>
      <c r="IT165" s="1319">
        <f t="shared" ca="1" si="1361"/>
        <v>0</v>
      </c>
      <c r="IU165" s="1319">
        <f t="shared" ca="1" si="1361"/>
        <v>0</v>
      </c>
      <c r="IV165" s="1319">
        <f t="shared" ca="1" si="1361"/>
        <v>0</v>
      </c>
      <c r="IW165" s="1319">
        <f t="shared" ca="1" si="1361"/>
        <v>0</v>
      </c>
      <c r="IX165" s="1319">
        <f t="shared" ca="1" si="1361"/>
        <v>0</v>
      </c>
      <c r="IY165" s="1319">
        <f t="shared" ca="1" si="1361"/>
        <v>0</v>
      </c>
      <c r="IZ165" s="1319">
        <f t="shared" ca="1" si="1361"/>
        <v>0</v>
      </c>
      <c r="JA165" s="1319">
        <f t="shared" ca="1" si="1361"/>
        <v>0</v>
      </c>
      <c r="JB165" s="1319">
        <f t="shared" ref="JB165:JH176" ca="1" si="1362">VLOOKUP(JB$1,INDIRECT(LU_MAT),$A165,FALSE)*$F165/$E165</f>
        <v>0</v>
      </c>
      <c r="JC165" s="1319">
        <f t="shared" ca="1" si="1362"/>
        <v>0</v>
      </c>
      <c r="JD165" s="1319">
        <f t="shared" ca="1" si="1362"/>
        <v>0</v>
      </c>
      <c r="JE165" s="1319">
        <f t="shared" ca="1" si="1362"/>
        <v>0</v>
      </c>
      <c r="JF165" s="1319">
        <f t="shared" ca="1" si="1362"/>
        <v>0</v>
      </c>
      <c r="JG165" s="1319">
        <f t="shared" ca="1" si="1362"/>
        <v>0</v>
      </c>
      <c r="JH165" s="1319">
        <f t="shared" ca="1" si="1362"/>
        <v>0</v>
      </c>
      <c r="JQ165" s="1334"/>
      <c r="JT165" s="1319">
        <f t="shared" ref="JT165:KC176" ca="1" si="1363">VLOOKUP(JT$1,INDIRECT(LU_MAT),$A165,FALSE)*$F165/$E165</f>
        <v>0</v>
      </c>
      <c r="JU165" s="1319">
        <f t="shared" ca="1" si="1363"/>
        <v>0</v>
      </c>
      <c r="JV165" s="1319">
        <f t="shared" ca="1" si="1363"/>
        <v>0</v>
      </c>
      <c r="JW165" s="1319">
        <f t="shared" ca="1" si="1363"/>
        <v>0</v>
      </c>
      <c r="JX165" s="1319">
        <f t="shared" ca="1" si="1363"/>
        <v>0</v>
      </c>
      <c r="JY165" s="1319">
        <f t="shared" ca="1" si="1363"/>
        <v>0</v>
      </c>
      <c r="JZ165" s="1319">
        <f t="shared" ca="1" si="1363"/>
        <v>0</v>
      </c>
      <c r="KA165" s="1319">
        <f t="shared" ca="1" si="1363"/>
        <v>0</v>
      </c>
      <c r="KB165" s="1319">
        <f t="shared" ca="1" si="1363"/>
        <v>0</v>
      </c>
      <c r="KC165" s="1319">
        <f t="shared" ca="1" si="1363"/>
        <v>0</v>
      </c>
      <c r="KI165" s="1334"/>
      <c r="KL165" s="1319">
        <f t="shared" ref="KL165:KR176" ca="1" si="1364">VLOOKUP(KL$1,INDIRECT(LU_MAT),$A165,FALSE)*$F165/$E165</f>
        <v>0</v>
      </c>
      <c r="KM165" s="1319">
        <f t="shared" ca="1" si="1364"/>
        <v>0</v>
      </c>
      <c r="KN165" s="1319">
        <f t="shared" ca="1" si="1364"/>
        <v>0</v>
      </c>
      <c r="KO165" s="1319">
        <f t="shared" ca="1" si="1364"/>
        <v>0</v>
      </c>
      <c r="KP165" s="1319">
        <f t="shared" ca="1" si="1364"/>
        <v>0</v>
      </c>
      <c r="KQ165" s="1319">
        <f t="shared" ca="1" si="1364"/>
        <v>0</v>
      </c>
      <c r="KR165" s="1319">
        <f t="shared" ca="1" si="1364"/>
        <v>0</v>
      </c>
      <c r="KX165" s="1334"/>
      <c r="LA165" s="1319">
        <f t="shared" ref="LA165:LK176" ca="1" si="1365">VLOOKUP(LA$1,INDIRECT(LU_MAT),$A165,FALSE)*$F165/$E165</f>
        <v>0</v>
      </c>
      <c r="LB165" s="1319">
        <f t="shared" ca="1" si="1365"/>
        <v>0</v>
      </c>
      <c r="LC165" s="1319">
        <f t="shared" ca="1" si="1365"/>
        <v>0</v>
      </c>
      <c r="LD165" s="1319">
        <f t="shared" ca="1" si="1365"/>
        <v>0</v>
      </c>
      <c r="LE165" s="1319">
        <f t="shared" ca="1" si="1365"/>
        <v>0</v>
      </c>
      <c r="LF165" s="1319">
        <f t="shared" ca="1" si="1365"/>
        <v>0</v>
      </c>
      <c r="LG165" s="1319">
        <f t="shared" ca="1" si="1365"/>
        <v>0</v>
      </c>
      <c r="LH165" s="1319">
        <f t="shared" ca="1" si="1365"/>
        <v>0</v>
      </c>
      <c r="LI165" s="1319">
        <f t="shared" ca="1" si="1365"/>
        <v>0</v>
      </c>
      <c r="LJ165" s="1319">
        <f t="shared" ca="1" si="1365"/>
        <v>0</v>
      </c>
      <c r="LK165" s="1319">
        <f t="shared" ca="1" si="1365"/>
        <v>0</v>
      </c>
      <c r="LT165" s="1334"/>
      <c r="LW165" s="1319">
        <f t="shared" ref="LW165:MF176" ca="1" si="1366">VLOOKUP(LW$1,INDIRECT(LU_MAT),$A165,FALSE)*$F165/$E165</f>
        <v>0</v>
      </c>
      <c r="LX165" s="1319">
        <f t="shared" ca="1" si="1366"/>
        <v>0</v>
      </c>
      <c r="LY165" s="1319">
        <f t="shared" ca="1" si="1366"/>
        <v>0</v>
      </c>
      <c r="LZ165" s="1319">
        <f t="shared" ca="1" si="1366"/>
        <v>0</v>
      </c>
      <c r="MA165" s="1319">
        <f t="shared" ca="1" si="1366"/>
        <v>0</v>
      </c>
      <c r="MB165" s="1319">
        <f t="shared" ca="1" si="1366"/>
        <v>0</v>
      </c>
      <c r="MC165" s="1319">
        <f t="shared" ca="1" si="1366"/>
        <v>0</v>
      </c>
      <c r="MD165" s="1319">
        <f t="shared" ca="1" si="1366"/>
        <v>0</v>
      </c>
      <c r="ME165" s="1319">
        <f t="shared" ca="1" si="1366"/>
        <v>0</v>
      </c>
      <c r="MF165" s="1319">
        <f t="shared" ca="1" si="1366"/>
        <v>0</v>
      </c>
      <c r="MG165" s="1319">
        <f t="shared" ref="MG165:MO176" ca="1" si="1367">VLOOKUP(MG$1,INDIRECT(LU_MAT),$A165,FALSE)*$F165/$E165</f>
        <v>0</v>
      </c>
      <c r="MH165" s="1319">
        <f t="shared" ca="1" si="1367"/>
        <v>0</v>
      </c>
      <c r="MI165" s="1319">
        <f t="shared" ca="1" si="1367"/>
        <v>0</v>
      </c>
      <c r="MJ165" s="1319">
        <f t="shared" ca="1" si="1367"/>
        <v>0</v>
      </c>
      <c r="MK165" s="1319">
        <f t="shared" ca="1" si="1367"/>
        <v>0</v>
      </c>
      <c r="ML165" s="1319">
        <f t="shared" ca="1" si="1367"/>
        <v>0</v>
      </c>
      <c r="MM165" s="1319">
        <f t="shared" ca="1" si="1367"/>
        <v>0</v>
      </c>
      <c r="MN165" s="1319">
        <f t="shared" ca="1" si="1367"/>
        <v>0</v>
      </c>
      <c r="MO165" s="1319">
        <f t="shared" ca="1" si="1367"/>
        <v>0</v>
      </c>
      <c r="MX165" s="1334"/>
      <c r="NA165" s="1319">
        <f t="shared" ref="NA165:NP176" ca="1" si="1368">VLOOKUP(NA$1,INDIRECT(LU_MAT),$A165,FALSE)*$F165/$E165</f>
        <v>0</v>
      </c>
      <c r="NB165" s="1319">
        <f t="shared" ca="1" si="1368"/>
        <v>0</v>
      </c>
      <c r="NC165" s="1319">
        <f t="shared" ca="1" si="1368"/>
        <v>0</v>
      </c>
      <c r="ND165" s="1319">
        <f t="shared" ca="1" si="1368"/>
        <v>0</v>
      </c>
      <c r="NE165" s="1319">
        <f t="shared" ca="1" si="1368"/>
        <v>0</v>
      </c>
      <c r="NF165" s="1319">
        <f t="shared" ca="1" si="1368"/>
        <v>0</v>
      </c>
      <c r="NG165" s="1319">
        <f t="shared" ca="1" si="1368"/>
        <v>0</v>
      </c>
      <c r="NH165" s="1319">
        <f t="shared" ca="1" si="1368"/>
        <v>0</v>
      </c>
      <c r="NI165" s="1319">
        <f t="shared" ca="1" si="1368"/>
        <v>0</v>
      </c>
      <c r="NJ165" s="1319">
        <f t="shared" ca="1" si="1368"/>
        <v>0</v>
      </c>
      <c r="NK165" s="1319">
        <f t="shared" ca="1" si="1368"/>
        <v>0</v>
      </c>
      <c r="NL165" s="1319">
        <f t="shared" ca="1" si="1368"/>
        <v>0</v>
      </c>
      <c r="NM165" s="1319">
        <f t="shared" ca="1" si="1368"/>
        <v>0</v>
      </c>
      <c r="NN165" s="1319">
        <f t="shared" ca="1" si="1368"/>
        <v>0</v>
      </c>
      <c r="NO165" s="1319">
        <f t="shared" ca="1" si="1368"/>
        <v>0</v>
      </c>
      <c r="NP165" s="1319">
        <f t="shared" ca="1" si="1368"/>
        <v>0</v>
      </c>
      <c r="NY165" s="1334"/>
      <c r="OE165" s="1334"/>
      <c r="OH165" s="1319">
        <f t="shared" ref="OH165:OO176" ca="1" si="1369">VLOOKUP(OH$1,INDIRECT(LU_MAT),$A165,FALSE)*$F165/$E165</f>
        <v>0</v>
      </c>
      <c r="OI165" s="1319">
        <f t="shared" ca="1" si="1369"/>
        <v>0</v>
      </c>
      <c r="OJ165" s="1319">
        <f t="shared" ca="1" si="1369"/>
        <v>0</v>
      </c>
      <c r="OK165" s="1319">
        <f t="shared" ca="1" si="1369"/>
        <v>0</v>
      </c>
      <c r="OL165" s="1319">
        <f t="shared" ca="1" si="1369"/>
        <v>0</v>
      </c>
      <c r="OM165" s="1319">
        <f t="shared" ca="1" si="1369"/>
        <v>0</v>
      </c>
      <c r="ON165" s="1319">
        <f t="shared" ca="1" si="1369"/>
        <v>0</v>
      </c>
      <c r="OO165" s="1319">
        <f t="shared" ca="1" si="1369"/>
        <v>0</v>
      </c>
      <c r="OX165" s="1334"/>
      <c r="PA165" s="1319">
        <f t="shared" ref="PA165:PK176" ca="1" si="1370">VLOOKUP(PA$1,INDIRECT(LU_MAT),$A165,FALSE)*$F165/$E165</f>
        <v>0</v>
      </c>
      <c r="PB165" s="1319">
        <f t="shared" ca="1" si="1370"/>
        <v>0</v>
      </c>
      <c r="PC165" s="1319">
        <f t="shared" ca="1" si="1370"/>
        <v>0</v>
      </c>
      <c r="PD165" s="1319">
        <f t="shared" ca="1" si="1370"/>
        <v>0</v>
      </c>
      <c r="PE165" s="1319">
        <f t="shared" ca="1" si="1370"/>
        <v>0</v>
      </c>
      <c r="PF165" s="1319">
        <f t="shared" ca="1" si="1370"/>
        <v>0</v>
      </c>
      <c r="PG165" s="1319">
        <f t="shared" ca="1" si="1370"/>
        <v>0</v>
      </c>
      <c r="PH165" s="1319">
        <f t="shared" ca="1" si="1370"/>
        <v>0</v>
      </c>
      <c r="PI165" s="1319">
        <f t="shared" ca="1" si="1370"/>
        <v>0</v>
      </c>
      <c r="PJ165" s="1319">
        <f t="shared" ca="1" si="1370"/>
        <v>0</v>
      </c>
      <c r="PK165" s="1319">
        <f t="shared" ca="1" si="1370"/>
        <v>0</v>
      </c>
      <c r="PT165" s="1334"/>
      <c r="PW165" s="1319">
        <f t="shared" ca="1" si="1349"/>
        <v>0</v>
      </c>
      <c r="PX165" s="1319">
        <f t="shared" ca="1" si="1349"/>
        <v>0</v>
      </c>
      <c r="PY165" s="1319">
        <f t="shared" ca="1" si="1349"/>
        <v>0</v>
      </c>
      <c r="PZ165" s="1319">
        <f t="shared" ca="1" si="1349"/>
        <v>0</v>
      </c>
    </row>
    <row r="166" spans="1:442" x14ac:dyDescent="0.25">
      <c r="A166" s="189">
        <v>134</v>
      </c>
      <c r="B166" s="189" t="s">
        <v>1320</v>
      </c>
      <c r="C166" s="1317" t="s">
        <v>1282</v>
      </c>
      <c r="D166" s="1317" t="s">
        <v>206</v>
      </c>
      <c r="E166" s="1318">
        <v>22.839600000000001</v>
      </c>
      <c r="F166" s="1322">
        <v>-0.12220488302725781</v>
      </c>
      <c r="G166" s="1334"/>
      <c r="J166" s="1319">
        <f t="shared" ca="1" si="1327"/>
        <v>-13.820672308789939</v>
      </c>
      <c r="K166" s="1319">
        <f t="shared" ca="1" si="1327"/>
        <v>-13.820672308789939</v>
      </c>
      <c r="Q166" s="1334"/>
      <c r="T166" s="1319">
        <f t="shared" ca="1" si="1350"/>
        <v>-13.820672308789939</v>
      </c>
      <c r="U166" s="1319">
        <f t="shared" ca="1" si="1350"/>
        <v>0</v>
      </c>
      <c r="V166" s="1319">
        <f t="shared" ca="1" si="1350"/>
        <v>0</v>
      </c>
      <c r="W166" s="1319">
        <f t="shared" ca="1" si="1350"/>
        <v>0</v>
      </c>
      <c r="X166" s="1319">
        <f t="shared" ca="1" si="1350"/>
        <v>0</v>
      </c>
      <c r="Y166" s="1319">
        <f t="shared" ca="1" si="1350"/>
        <v>-13.820672308789939</v>
      </c>
      <c r="Z166" s="1319">
        <f t="shared" ca="1" si="1350"/>
        <v>0</v>
      </c>
      <c r="AA166" s="1319">
        <f t="shared" ca="1" si="1350"/>
        <v>-13.820672308789939</v>
      </c>
      <c r="AB166" s="1319">
        <f t="shared" ca="1" si="1350"/>
        <v>0</v>
      </c>
      <c r="AC166" s="1319">
        <f t="shared" ca="1" si="1350"/>
        <v>0</v>
      </c>
      <c r="AD166" s="1319">
        <f t="shared" ca="1" si="1350"/>
        <v>0</v>
      </c>
      <c r="AJ166" s="1334"/>
      <c r="AM166" s="1319">
        <f t="shared" ca="1" si="1351"/>
        <v>0</v>
      </c>
      <c r="AN166" s="1319">
        <f t="shared" ca="1" si="1351"/>
        <v>0</v>
      </c>
      <c r="AO166" s="1319">
        <f t="shared" ca="1" si="1351"/>
        <v>-13.820672308789939</v>
      </c>
      <c r="AP166" s="1319">
        <f t="shared" ca="1" si="1351"/>
        <v>-13.820672308789939</v>
      </c>
      <c r="AQ166" s="1319">
        <f t="shared" ca="1" si="1351"/>
        <v>0</v>
      </c>
      <c r="AR166" s="1319">
        <f t="shared" ca="1" si="1351"/>
        <v>0</v>
      </c>
      <c r="AS166" s="1319">
        <f t="shared" ca="1" si="1351"/>
        <v>0</v>
      </c>
      <c r="AT166" s="1319">
        <f t="shared" ca="1" si="1351"/>
        <v>0</v>
      </c>
      <c r="AU166" s="1319">
        <f t="shared" ca="1" si="1351"/>
        <v>0</v>
      </c>
      <c r="AV166" s="1319">
        <f t="shared" ca="1" si="1351"/>
        <v>-13.820672308789939</v>
      </c>
      <c r="AW166" s="1319">
        <f t="shared" ca="1" si="1351"/>
        <v>0</v>
      </c>
      <c r="AX166" s="1319">
        <f t="shared" ca="1" si="1351"/>
        <v>0</v>
      </c>
      <c r="AY166" s="1319">
        <f t="shared" ca="1" si="1351"/>
        <v>0</v>
      </c>
      <c r="AZ166" s="1319">
        <f t="shared" ca="1" si="1351"/>
        <v>0</v>
      </c>
      <c r="BA166" s="1319">
        <f t="shared" ca="1" si="1351"/>
        <v>0</v>
      </c>
      <c r="BB166" s="1319">
        <f t="shared" ca="1" si="1351"/>
        <v>-13.820672308789939</v>
      </c>
      <c r="BK166" s="1334"/>
      <c r="BN166" s="1319">
        <f t="shared" ca="1" si="1352"/>
        <v>-1.4040697493248862</v>
      </c>
      <c r="BO166" s="1319">
        <f t="shared" ca="1" si="1352"/>
        <v>-1.6396269220836801</v>
      </c>
      <c r="BP166" s="1319">
        <f t="shared" ca="1" si="1352"/>
        <v>0</v>
      </c>
      <c r="BQ166" s="1319">
        <f t="shared" ca="1" si="1352"/>
        <v>-0.28195470213170587</v>
      </c>
      <c r="BR166" s="1319">
        <f t="shared" ca="1" si="1352"/>
        <v>0</v>
      </c>
      <c r="CA166" s="1334"/>
      <c r="CD166" s="1319">
        <f t="shared" ca="1" si="1353"/>
        <v>-13.820672308789939</v>
      </c>
      <c r="CE166" s="1319">
        <f t="shared" ca="1" si="1353"/>
        <v>-13.820672308789939</v>
      </c>
      <c r="CF166" s="1319">
        <f t="shared" ca="1" si="1353"/>
        <v>-1.4040697493248862</v>
      </c>
      <c r="CG166" s="1319">
        <f t="shared" ca="1" si="1353"/>
        <v>-1.6396269220836801</v>
      </c>
      <c r="CH166" s="1319">
        <f t="shared" ca="1" si="1353"/>
        <v>-14.040707338298018</v>
      </c>
      <c r="CI166" s="1319">
        <f t="shared" ca="1" si="1353"/>
        <v>-1.2687961574524487</v>
      </c>
      <c r="CJ166" s="1319">
        <f t="shared" ca="1" si="1353"/>
        <v>0</v>
      </c>
      <c r="CK166" s="1319">
        <f t="shared" ca="1" si="1353"/>
        <v>-15.335340505677223</v>
      </c>
      <c r="CL166" s="1319">
        <f t="shared" ca="1" si="1353"/>
        <v>0</v>
      </c>
      <c r="CM166" s="1319">
        <f t="shared" ca="1" si="1353"/>
        <v>-0.22003503004313602</v>
      </c>
      <c r="CN166" s="1319">
        <f t="shared" ca="1" si="1353"/>
        <v>-15.335340505677223</v>
      </c>
      <c r="CO166" s="1319">
        <f t="shared" ca="1" si="1353"/>
        <v>0</v>
      </c>
      <c r="CX166" s="1334"/>
      <c r="DA166" s="1319">
        <f t="shared" ca="1" si="1354"/>
        <v>-1.2223622078183329E-3</v>
      </c>
      <c r="DB166" s="1319">
        <f t="shared" ca="1" si="1354"/>
        <v>-1.0514159257086261E-2</v>
      </c>
      <c r="DC166" s="1319">
        <f t="shared" ca="1" si="1354"/>
        <v>0</v>
      </c>
      <c r="DD166" s="1319">
        <f t="shared" ca="1" si="1354"/>
        <v>0</v>
      </c>
      <c r="DE166" s="1319">
        <f t="shared" ca="1" si="1354"/>
        <v>-1.1736521470255164E-2</v>
      </c>
      <c r="DF166" s="1319">
        <f t="shared" ca="1" si="1354"/>
        <v>0</v>
      </c>
      <c r="DG166" s="1319">
        <f t="shared" ca="1" si="1354"/>
        <v>0</v>
      </c>
      <c r="DH166" s="1319">
        <f t="shared" ca="1" si="1354"/>
        <v>0</v>
      </c>
      <c r="DI166" s="1319">
        <f t="shared" ca="1" si="1354"/>
        <v>0</v>
      </c>
      <c r="DJ166" s="1319">
        <f t="shared" ca="1" si="1354"/>
        <v>0</v>
      </c>
      <c r="DS166" s="1334"/>
      <c r="DV166" s="1319">
        <f t="shared" ca="1" si="1355"/>
        <v>0</v>
      </c>
      <c r="DW166" s="1319">
        <f t="shared" ca="1" si="1355"/>
        <v>0</v>
      </c>
      <c r="DX166" s="1319">
        <f t="shared" ca="1" si="1355"/>
        <v>-2.4447244102860956E-2</v>
      </c>
      <c r="DY166" s="1319">
        <f t="shared" ca="1" si="1355"/>
        <v>-1.2223622078183329E-3</v>
      </c>
      <c r="DZ166" s="1319">
        <f t="shared" ca="1" si="1355"/>
        <v>0</v>
      </c>
      <c r="EA166" s="1319">
        <f t="shared" ca="1" si="1355"/>
        <v>-1.1736521470255164E-2</v>
      </c>
      <c r="EB166" s="1319">
        <f t="shared" ca="1" si="1355"/>
        <v>-2.3224881889692055E-2</v>
      </c>
      <c r="EC166" s="1319">
        <f t="shared" ca="1" si="1355"/>
        <v>-0.20951851107758229</v>
      </c>
      <c r="ED166" s="1319">
        <f t="shared" ca="1" si="1355"/>
        <v>-0.22003503004313602</v>
      </c>
      <c r="EE166" s="1319">
        <f t="shared" ca="1" si="1355"/>
        <v>0</v>
      </c>
      <c r="EF166" s="1319">
        <f t="shared" ca="1" si="1355"/>
        <v>0</v>
      </c>
      <c r="EG166" s="1319">
        <f t="shared" ca="1" si="1355"/>
        <v>0</v>
      </c>
      <c r="EH166" s="1319">
        <f t="shared" ca="1" si="1355"/>
        <v>0</v>
      </c>
      <c r="EI166" s="1319">
        <f t="shared" ca="1" si="1355"/>
        <v>-0.20951851107758229</v>
      </c>
      <c r="EJ166" s="1319">
        <f t="shared" ca="1" si="1355"/>
        <v>0</v>
      </c>
      <c r="EK166" s="1319">
        <f t="shared" ca="1" si="1355"/>
        <v>0</v>
      </c>
      <c r="ET166" s="1334"/>
      <c r="EW166" s="1319">
        <f t="shared" ca="1" si="1356"/>
        <v>-15.335340505677223</v>
      </c>
      <c r="EX166" s="1319">
        <f t="shared" ca="1" si="1356"/>
        <v>-15.335340505677223</v>
      </c>
      <c r="EY166" s="1319">
        <f t="shared" ca="1" si="1356"/>
        <v>-15.335340505677223</v>
      </c>
      <c r="EZ166" s="1319">
        <f t="shared" ca="1" si="1356"/>
        <v>-15.335340505677223</v>
      </c>
      <c r="FA166" s="1319">
        <f t="shared" ca="1" si="1356"/>
        <v>0</v>
      </c>
      <c r="FB166" s="1319">
        <f t="shared" ca="1" si="1356"/>
        <v>0</v>
      </c>
      <c r="FK166" s="1334"/>
      <c r="FN166" s="1319">
        <f t="shared" ca="1" si="1357"/>
        <v>0</v>
      </c>
      <c r="FO166" s="1319">
        <f t="shared" ca="1" si="1357"/>
        <v>0</v>
      </c>
      <c r="FP166" s="1319">
        <f t="shared" ca="1" si="1357"/>
        <v>0</v>
      </c>
      <c r="FQ166" s="1319">
        <f t="shared" ca="1" si="1357"/>
        <v>0</v>
      </c>
      <c r="FR166" s="1319">
        <f t="shared" ca="1" si="1357"/>
        <v>0</v>
      </c>
      <c r="FS166" s="1319">
        <f t="shared" ca="1" si="1357"/>
        <v>0</v>
      </c>
      <c r="FT166" s="1319">
        <f t="shared" ca="1" si="1357"/>
        <v>0</v>
      </c>
      <c r="FU166" s="1319">
        <f t="shared" ca="1" si="1357"/>
        <v>0</v>
      </c>
      <c r="FV166" s="1319">
        <f t="shared" ca="1" si="1357"/>
        <v>0</v>
      </c>
      <c r="FW166" s="1319">
        <f t="shared" ca="1" si="1357"/>
        <v>0</v>
      </c>
      <c r="FX166" s="1319">
        <f t="shared" ca="1" si="1357"/>
        <v>0</v>
      </c>
      <c r="GG166" s="1334"/>
      <c r="GJ166" s="1319">
        <f t="shared" ca="1" si="1358"/>
        <v>0</v>
      </c>
      <c r="GK166" s="1319">
        <f t="shared" ca="1" si="1358"/>
        <v>0</v>
      </c>
      <c r="GL166" s="1319">
        <f t="shared" ca="1" si="1358"/>
        <v>0</v>
      </c>
      <c r="GM166" s="1319">
        <f t="shared" ca="1" si="1358"/>
        <v>0</v>
      </c>
      <c r="GN166" s="1319">
        <f t="shared" ca="1" si="1358"/>
        <v>0</v>
      </c>
      <c r="GO166" s="1319">
        <f t="shared" ca="1" si="1358"/>
        <v>0</v>
      </c>
      <c r="GP166" s="1319">
        <f t="shared" ca="1" si="1358"/>
        <v>0</v>
      </c>
      <c r="GQ166" s="1319">
        <f t="shared" ca="1" si="1358"/>
        <v>0</v>
      </c>
      <c r="GZ166" s="1334"/>
      <c r="HC166" s="1319">
        <f t="shared" ca="1" si="1359"/>
        <v>-15.335340505677223</v>
      </c>
      <c r="HD166" s="1319">
        <f t="shared" ca="1" si="1359"/>
        <v>-0.30670681011354445</v>
      </c>
      <c r="HE166" s="1319">
        <f t="shared" ca="1" si="1359"/>
        <v>0</v>
      </c>
      <c r="HF166" s="1319">
        <f t="shared" ca="1" si="1359"/>
        <v>0</v>
      </c>
      <c r="HG166" s="1319">
        <f t="shared" ca="1" si="1359"/>
        <v>-15.028633676301627</v>
      </c>
      <c r="HH166" s="1319">
        <f t="shared" ca="1" si="1359"/>
        <v>-0.30670681011354445</v>
      </c>
      <c r="HQ166" s="1334"/>
      <c r="HT166" s="1319">
        <f t="shared" ca="1" si="1360"/>
        <v>0</v>
      </c>
      <c r="HU166" s="1319">
        <f t="shared" ca="1" si="1360"/>
        <v>-0.30670681011354445</v>
      </c>
      <c r="HV166" s="1319">
        <f t="shared" ca="1" si="1360"/>
        <v>-0.30670681011354445</v>
      </c>
      <c r="HW166" s="1319">
        <f t="shared" ca="1" si="1360"/>
        <v>-0.30670681011354445</v>
      </c>
      <c r="HX166" s="1319">
        <f t="shared" ca="1" si="1360"/>
        <v>-7.8516943397628297E-2</v>
      </c>
      <c r="HY166" s="1319">
        <f t="shared" ca="1" si="1360"/>
        <v>-0.22818986671591618</v>
      </c>
      <c r="HZ166" s="1319">
        <f t="shared" ca="1" si="1360"/>
        <v>0</v>
      </c>
      <c r="IA166" s="1319">
        <f t="shared" ca="1" si="1360"/>
        <v>0</v>
      </c>
      <c r="IB166" s="1319">
        <f t="shared" ca="1" si="1360"/>
        <v>0</v>
      </c>
      <c r="IC166" s="1319">
        <f t="shared" ca="1" si="1360"/>
        <v>0</v>
      </c>
      <c r="ID166" s="1319">
        <f t="shared" ca="1" si="1360"/>
        <v>0</v>
      </c>
      <c r="IE166" s="1319">
        <f t="shared" ca="1" si="1360"/>
        <v>0</v>
      </c>
      <c r="IN166" s="1334"/>
      <c r="IQ166" s="1319">
        <f t="shared" ca="1" si="1361"/>
        <v>-7.8516943397628297E-2</v>
      </c>
      <c r="IR166" s="1319">
        <f t="shared" ca="1" si="1361"/>
        <v>-0.22818986671591618</v>
      </c>
      <c r="IS166" s="1319">
        <f t="shared" ca="1" si="1361"/>
        <v>-1.4964046408419949E-4</v>
      </c>
      <c r="IT166" s="1319">
        <f t="shared" ca="1" si="1361"/>
        <v>-0.22833950718267565</v>
      </c>
      <c r="IU166" s="1319">
        <f t="shared" ca="1" si="1361"/>
        <v>-1.1416975359133785E-2</v>
      </c>
      <c r="IV166" s="1319">
        <f t="shared" ca="1" si="1361"/>
        <v>-3.7410115940791321E-3</v>
      </c>
      <c r="IW166" s="1319">
        <f t="shared" ca="1" si="1361"/>
        <v>-3.5913711326702176E-3</v>
      </c>
      <c r="IX166" s="1319">
        <f t="shared" ca="1" si="1361"/>
        <v>0</v>
      </c>
      <c r="IY166" s="1319">
        <f t="shared" ca="1" si="1361"/>
        <v>-0.21692253166302478</v>
      </c>
      <c r="IZ166" s="1319">
        <f t="shared" ca="1" si="1361"/>
        <v>0</v>
      </c>
      <c r="JA166" s="1319">
        <f t="shared" ca="1" si="1361"/>
        <v>-3.7410115940791321E-3</v>
      </c>
      <c r="JB166" s="1319">
        <f t="shared" ca="1" si="1362"/>
        <v>0</v>
      </c>
      <c r="JC166" s="1319">
        <f t="shared" ca="1" si="1362"/>
        <v>0</v>
      </c>
      <c r="JD166" s="1319">
        <f t="shared" ca="1" si="1362"/>
        <v>0</v>
      </c>
      <c r="JE166" s="1319">
        <f t="shared" ca="1" si="1362"/>
        <v>0</v>
      </c>
      <c r="JF166" s="1319">
        <f t="shared" ca="1" si="1362"/>
        <v>0</v>
      </c>
      <c r="JG166" s="1319">
        <f t="shared" ca="1" si="1362"/>
        <v>0</v>
      </c>
      <c r="JH166" s="1319">
        <f t="shared" ca="1" si="1362"/>
        <v>0</v>
      </c>
      <c r="JQ166" s="1334"/>
      <c r="JT166" s="1319">
        <f t="shared" ca="1" si="1363"/>
        <v>-0.28195470213170587</v>
      </c>
      <c r="JU166" s="1319">
        <f t="shared" ca="1" si="1363"/>
        <v>-1.2687961574524487</v>
      </c>
      <c r="JV166" s="1319">
        <f t="shared" ca="1" si="1363"/>
        <v>-1.0514159257086261E-2</v>
      </c>
      <c r="JW166" s="1319">
        <f t="shared" ca="1" si="1363"/>
        <v>-0.20951851107758229</v>
      </c>
      <c r="JX166" s="1319">
        <f t="shared" ca="1" si="1363"/>
        <v>0</v>
      </c>
      <c r="JY166" s="1319">
        <f t="shared" ca="1" si="1363"/>
        <v>0</v>
      </c>
      <c r="JZ166" s="1319">
        <f t="shared" ca="1" si="1363"/>
        <v>0</v>
      </c>
      <c r="KA166" s="1319">
        <f t="shared" ca="1" si="1363"/>
        <v>0</v>
      </c>
      <c r="KB166" s="1319">
        <f t="shared" ca="1" si="1363"/>
        <v>0</v>
      </c>
      <c r="KC166" s="1319">
        <f t="shared" ca="1" si="1363"/>
        <v>-1.7707835337712337</v>
      </c>
      <c r="KI166" s="1334"/>
      <c r="KL166" s="1319">
        <f t="shared" ca="1" si="1364"/>
        <v>0</v>
      </c>
      <c r="KM166" s="1319">
        <f t="shared" ca="1" si="1364"/>
        <v>0</v>
      </c>
      <c r="KN166" s="1319">
        <f t="shared" ca="1" si="1364"/>
        <v>0</v>
      </c>
      <c r="KO166" s="1319">
        <f t="shared" ca="1" si="1364"/>
        <v>0</v>
      </c>
      <c r="KP166" s="1319">
        <f t="shared" ca="1" si="1364"/>
        <v>0</v>
      </c>
      <c r="KQ166" s="1319">
        <f t="shared" ca="1" si="1364"/>
        <v>0</v>
      </c>
      <c r="KR166" s="1319">
        <f t="shared" ca="1" si="1364"/>
        <v>0</v>
      </c>
      <c r="KX166" s="1334"/>
      <c r="LA166" s="1319">
        <f t="shared" ca="1" si="1365"/>
        <v>0</v>
      </c>
      <c r="LB166" s="1319">
        <f t="shared" ca="1" si="1365"/>
        <v>0</v>
      </c>
      <c r="LC166" s="1319">
        <f t="shared" ca="1" si="1365"/>
        <v>0</v>
      </c>
      <c r="LD166" s="1319">
        <f t="shared" ca="1" si="1365"/>
        <v>0</v>
      </c>
      <c r="LE166" s="1319">
        <f t="shared" ca="1" si="1365"/>
        <v>0</v>
      </c>
      <c r="LF166" s="1319">
        <f t="shared" ca="1" si="1365"/>
        <v>0</v>
      </c>
      <c r="LG166" s="1319">
        <f t="shared" ca="1" si="1365"/>
        <v>0</v>
      </c>
      <c r="LH166" s="1319">
        <f t="shared" ca="1" si="1365"/>
        <v>0</v>
      </c>
      <c r="LI166" s="1319">
        <f t="shared" ca="1" si="1365"/>
        <v>0</v>
      </c>
      <c r="LJ166" s="1319">
        <f t="shared" ca="1" si="1365"/>
        <v>0</v>
      </c>
      <c r="LK166" s="1319">
        <f t="shared" ca="1" si="1365"/>
        <v>0</v>
      </c>
      <c r="LT166" s="1334"/>
      <c r="LW166" s="1319">
        <f t="shared" ca="1" si="1366"/>
        <v>0</v>
      </c>
      <c r="LX166" s="1319">
        <f t="shared" ca="1" si="1366"/>
        <v>0</v>
      </c>
      <c r="LY166" s="1319">
        <f t="shared" ca="1" si="1366"/>
        <v>-15.028633676301627</v>
      </c>
      <c r="LZ166" s="1319">
        <f t="shared" ca="1" si="1366"/>
        <v>-0.21692253166302478</v>
      </c>
      <c r="MA166" s="1319">
        <f t="shared" ca="1" si="1366"/>
        <v>-15.245556225621533</v>
      </c>
      <c r="MB166" s="1319">
        <f t="shared" ca="1" si="1366"/>
        <v>0</v>
      </c>
      <c r="MC166" s="1319">
        <f t="shared" ca="1" si="1366"/>
        <v>0</v>
      </c>
      <c r="MD166" s="1319">
        <f t="shared" ca="1" si="1366"/>
        <v>0</v>
      </c>
      <c r="ME166" s="1319">
        <f t="shared" ca="1" si="1366"/>
        <v>0</v>
      </c>
      <c r="MF166" s="1319">
        <f t="shared" ca="1" si="1366"/>
        <v>0</v>
      </c>
      <c r="MG166" s="1319">
        <f t="shared" ca="1" si="1367"/>
        <v>0</v>
      </c>
      <c r="MH166" s="1319">
        <f t="shared" ca="1" si="1367"/>
        <v>0</v>
      </c>
      <c r="MI166" s="1319">
        <f t="shared" ca="1" si="1367"/>
        <v>0</v>
      </c>
      <c r="MJ166" s="1319">
        <f t="shared" ca="1" si="1367"/>
        <v>0</v>
      </c>
      <c r="MK166" s="1319">
        <f t="shared" ca="1" si="1367"/>
        <v>0</v>
      </c>
      <c r="ML166" s="1319">
        <f t="shared" ca="1" si="1367"/>
        <v>0</v>
      </c>
      <c r="MM166" s="1319">
        <f t="shared" ca="1" si="1367"/>
        <v>0</v>
      </c>
      <c r="MN166" s="1319">
        <f t="shared" ca="1" si="1367"/>
        <v>0</v>
      </c>
      <c r="MO166" s="1319">
        <f t="shared" ca="1" si="1367"/>
        <v>0</v>
      </c>
      <c r="MX166" s="1334"/>
      <c r="NA166" s="1319">
        <f t="shared" ca="1" si="1368"/>
        <v>0</v>
      </c>
      <c r="NB166" s="1319">
        <f t="shared" ca="1" si="1368"/>
        <v>0</v>
      </c>
      <c r="NC166" s="1319">
        <f t="shared" ca="1" si="1368"/>
        <v>0</v>
      </c>
      <c r="ND166" s="1319">
        <f t="shared" ca="1" si="1368"/>
        <v>0</v>
      </c>
      <c r="NE166" s="1319">
        <f t="shared" ca="1" si="1368"/>
        <v>0</v>
      </c>
      <c r="NF166" s="1319">
        <f t="shared" ca="1" si="1368"/>
        <v>0</v>
      </c>
      <c r="NG166" s="1319">
        <f t="shared" ca="1" si="1368"/>
        <v>0</v>
      </c>
      <c r="NH166" s="1319">
        <f t="shared" ca="1" si="1368"/>
        <v>0</v>
      </c>
      <c r="NI166" s="1319">
        <f t="shared" ca="1" si="1368"/>
        <v>0</v>
      </c>
      <c r="NJ166" s="1319">
        <f t="shared" ca="1" si="1368"/>
        <v>0</v>
      </c>
      <c r="NK166" s="1319">
        <f t="shared" ca="1" si="1368"/>
        <v>0</v>
      </c>
      <c r="NL166" s="1319">
        <f t="shared" ca="1" si="1368"/>
        <v>0</v>
      </c>
      <c r="NM166" s="1319">
        <f t="shared" ca="1" si="1368"/>
        <v>0</v>
      </c>
      <c r="NN166" s="1319">
        <f t="shared" ca="1" si="1368"/>
        <v>0</v>
      </c>
      <c r="NO166" s="1319">
        <f t="shared" ca="1" si="1368"/>
        <v>0</v>
      </c>
      <c r="NP166" s="1319">
        <f t="shared" ca="1" si="1368"/>
        <v>0</v>
      </c>
      <c r="NY166" s="1334"/>
      <c r="OE166" s="1334"/>
      <c r="OH166" s="1319">
        <f t="shared" ca="1" si="1369"/>
        <v>0</v>
      </c>
      <c r="OI166" s="1319">
        <f t="shared" ca="1" si="1369"/>
        <v>0</v>
      </c>
      <c r="OJ166" s="1319">
        <f t="shared" ca="1" si="1369"/>
        <v>0</v>
      </c>
      <c r="OK166" s="1319">
        <f t="shared" ca="1" si="1369"/>
        <v>0</v>
      </c>
      <c r="OL166" s="1319">
        <f t="shared" ca="1" si="1369"/>
        <v>0</v>
      </c>
      <c r="OM166" s="1319">
        <f t="shared" ca="1" si="1369"/>
        <v>0</v>
      </c>
      <c r="ON166" s="1319">
        <f t="shared" ca="1" si="1369"/>
        <v>0</v>
      </c>
      <c r="OO166" s="1319">
        <f t="shared" ca="1" si="1369"/>
        <v>0</v>
      </c>
      <c r="OX166" s="1334"/>
      <c r="PA166" s="1319">
        <f t="shared" ca="1" si="1370"/>
        <v>0</v>
      </c>
      <c r="PB166" s="1319">
        <f t="shared" ca="1" si="1370"/>
        <v>0</v>
      </c>
      <c r="PC166" s="1319">
        <f t="shared" ca="1" si="1370"/>
        <v>0</v>
      </c>
      <c r="PD166" s="1319">
        <f t="shared" ca="1" si="1370"/>
        <v>0</v>
      </c>
      <c r="PE166" s="1319">
        <f t="shared" ca="1" si="1370"/>
        <v>0</v>
      </c>
      <c r="PF166" s="1319">
        <f t="shared" ca="1" si="1370"/>
        <v>0</v>
      </c>
      <c r="PG166" s="1319">
        <f t="shared" ca="1" si="1370"/>
        <v>0</v>
      </c>
      <c r="PH166" s="1319">
        <f t="shared" ca="1" si="1370"/>
        <v>0</v>
      </c>
      <c r="PI166" s="1319">
        <f t="shared" ca="1" si="1370"/>
        <v>0</v>
      </c>
      <c r="PJ166" s="1319">
        <f t="shared" ca="1" si="1370"/>
        <v>0</v>
      </c>
      <c r="PK166" s="1319">
        <f t="shared" ca="1" si="1370"/>
        <v>0</v>
      </c>
      <c r="PT166" s="1334"/>
      <c r="PW166" s="1319">
        <f t="shared" ca="1" si="1349"/>
        <v>0</v>
      </c>
      <c r="PX166" s="1319">
        <f t="shared" ca="1" si="1349"/>
        <v>0</v>
      </c>
      <c r="PY166" s="1319">
        <f t="shared" ca="1" si="1349"/>
        <v>0</v>
      </c>
      <c r="PZ166" s="1319">
        <f t="shared" ca="1" si="1349"/>
        <v>0</v>
      </c>
    </row>
    <row r="167" spans="1:442" x14ac:dyDescent="0.25">
      <c r="A167" s="189">
        <v>135</v>
      </c>
      <c r="B167" s="189" t="s">
        <v>1320</v>
      </c>
      <c r="C167" s="1317" t="s">
        <v>1283</v>
      </c>
      <c r="D167" s="1317" t="s">
        <v>206</v>
      </c>
      <c r="E167" s="1318">
        <v>56.077400000000004</v>
      </c>
      <c r="F167" s="1316">
        <v>0</v>
      </c>
      <c r="G167" s="1334"/>
      <c r="J167" s="1319">
        <f t="shared" ca="1" si="1327"/>
        <v>0</v>
      </c>
      <c r="K167" s="1319">
        <f t="shared" ca="1" si="1327"/>
        <v>0</v>
      </c>
      <c r="Q167" s="1334"/>
      <c r="T167" s="1319">
        <f t="shared" ca="1" si="1350"/>
        <v>0</v>
      </c>
      <c r="U167" s="1319">
        <f t="shared" ca="1" si="1350"/>
        <v>0</v>
      </c>
      <c r="V167" s="1319">
        <f t="shared" ca="1" si="1350"/>
        <v>0</v>
      </c>
      <c r="W167" s="1319">
        <f t="shared" ca="1" si="1350"/>
        <v>0</v>
      </c>
      <c r="X167" s="1319">
        <f t="shared" ca="1" si="1350"/>
        <v>0</v>
      </c>
      <c r="Y167" s="1319">
        <f t="shared" ca="1" si="1350"/>
        <v>0</v>
      </c>
      <c r="Z167" s="1319">
        <f t="shared" ca="1" si="1350"/>
        <v>0</v>
      </c>
      <c r="AA167" s="1319">
        <f t="shared" ca="1" si="1350"/>
        <v>0</v>
      </c>
      <c r="AB167" s="1319">
        <f t="shared" ca="1" si="1350"/>
        <v>0</v>
      </c>
      <c r="AC167" s="1319">
        <f t="shared" ca="1" si="1350"/>
        <v>0</v>
      </c>
      <c r="AD167" s="1319">
        <f t="shared" ca="1" si="1350"/>
        <v>0</v>
      </c>
      <c r="AJ167" s="1334"/>
      <c r="AM167" s="1319">
        <f t="shared" ca="1" si="1351"/>
        <v>0</v>
      </c>
      <c r="AN167" s="1319">
        <f t="shared" ca="1" si="1351"/>
        <v>0</v>
      </c>
      <c r="AO167" s="1319">
        <f t="shared" ca="1" si="1351"/>
        <v>0</v>
      </c>
      <c r="AP167" s="1319">
        <f t="shared" ca="1" si="1351"/>
        <v>0</v>
      </c>
      <c r="AQ167" s="1319">
        <f t="shared" ca="1" si="1351"/>
        <v>0</v>
      </c>
      <c r="AR167" s="1319">
        <f t="shared" ca="1" si="1351"/>
        <v>0</v>
      </c>
      <c r="AS167" s="1319">
        <f t="shared" ca="1" si="1351"/>
        <v>0</v>
      </c>
      <c r="AT167" s="1319">
        <f t="shared" ca="1" si="1351"/>
        <v>0</v>
      </c>
      <c r="AU167" s="1319">
        <f t="shared" ca="1" si="1351"/>
        <v>0</v>
      </c>
      <c r="AV167" s="1319">
        <f t="shared" ca="1" si="1351"/>
        <v>0</v>
      </c>
      <c r="AW167" s="1319">
        <f t="shared" ca="1" si="1351"/>
        <v>0</v>
      </c>
      <c r="AX167" s="1319">
        <f t="shared" ca="1" si="1351"/>
        <v>0</v>
      </c>
      <c r="AY167" s="1319">
        <f t="shared" ca="1" si="1351"/>
        <v>0</v>
      </c>
      <c r="AZ167" s="1319">
        <f t="shared" ca="1" si="1351"/>
        <v>0</v>
      </c>
      <c r="BA167" s="1319">
        <f t="shared" ca="1" si="1351"/>
        <v>0</v>
      </c>
      <c r="BB167" s="1319">
        <f t="shared" ca="1" si="1351"/>
        <v>0</v>
      </c>
      <c r="BK167" s="1334"/>
      <c r="BN167" s="1319">
        <f t="shared" ca="1" si="1352"/>
        <v>0</v>
      </c>
      <c r="BO167" s="1319">
        <f t="shared" ca="1" si="1352"/>
        <v>0</v>
      </c>
      <c r="BP167" s="1319">
        <f t="shared" ca="1" si="1352"/>
        <v>0</v>
      </c>
      <c r="BQ167" s="1319">
        <f t="shared" ca="1" si="1352"/>
        <v>0</v>
      </c>
      <c r="BR167" s="1319">
        <f t="shared" ca="1" si="1352"/>
        <v>0</v>
      </c>
      <c r="CA167" s="1334"/>
      <c r="CD167" s="1319">
        <f t="shared" ca="1" si="1353"/>
        <v>0</v>
      </c>
      <c r="CE167" s="1319">
        <f t="shared" ca="1" si="1353"/>
        <v>0</v>
      </c>
      <c r="CF167" s="1319">
        <f t="shared" ca="1" si="1353"/>
        <v>0</v>
      </c>
      <c r="CG167" s="1319">
        <f t="shared" ca="1" si="1353"/>
        <v>0</v>
      </c>
      <c r="CH167" s="1319">
        <f t="shared" ca="1" si="1353"/>
        <v>0</v>
      </c>
      <c r="CI167" s="1319">
        <f t="shared" ca="1" si="1353"/>
        <v>0</v>
      </c>
      <c r="CJ167" s="1319">
        <f t="shared" ca="1" si="1353"/>
        <v>0</v>
      </c>
      <c r="CK167" s="1319">
        <f t="shared" ca="1" si="1353"/>
        <v>0</v>
      </c>
      <c r="CL167" s="1319">
        <f t="shared" ca="1" si="1353"/>
        <v>0</v>
      </c>
      <c r="CM167" s="1319">
        <f t="shared" ca="1" si="1353"/>
        <v>0</v>
      </c>
      <c r="CN167" s="1319">
        <f t="shared" ca="1" si="1353"/>
        <v>0</v>
      </c>
      <c r="CO167" s="1319">
        <f t="shared" ca="1" si="1353"/>
        <v>0</v>
      </c>
      <c r="CX167" s="1334"/>
      <c r="DA167" s="1319">
        <f t="shared" ca="1" si="1354"/>
        <v>0</v>
      </c>
      <c r="DB167" s="1319">
        <f t="shared" ca="1" si="1354"/>
        <v>0</v>
      </c>
      <c r="DC167" s="1319">
        <f t="shared" ca="1" si="1354"/>
        <v>0</v>
      </c>
      <c r="DD167" s="1319">
        <f t="shared" ca="1" si="1354"/>
        <v>0</v>
      </c>
      <c r="DE167" s="1319">
        <f t="shared" ca="1" si="1354"/>
        <v>0</v>
      </c>
      <c r="DF167" s="1319">
        <f t="shared" ca="1" si="1354"/>
        <v>0</v>
      </c>
      <c r="DG167" s="1319">
        <f t="shared" ca="1" si="1354"/>
        <v>0</v>
      </c>
      <c r="DH167" s="1319">
        <f t="shared" ca="1" si="1354"/>
        <v>0</v>
      </c>
      <c r="DI167" s="1319">
        <f t="shared" ca="1" si="1354"/>
        <v>0</v>
      </c>
      <c r="DJ167" s="1319">
        <f t="shared" ca="1" si="1354"/>
        <v>0</v>
      </c>
      <c r="DS167" s="1334"/>
      <c r="DV167" s="1319">
        <f t="shared" ca="1" si="1355"/>
        <v>0</v>
      </c>
      <c r="DW167" s="1319">
        <f t="shared" ca="1" si="1355"/>
        <v>0</v>
      </c>
      <c r="DX167" s="1319">
        <f t="shared" ca="1" si="1355"/>
        <v>0</v>
      </c>
      <c r="DY167" s="1319">
        <f t="shared" ca="1" si="1355"/>
        <v>0</v>
      </c>
      <c r="DZ167" s="1319">
        <f t="shared" ca="1" si="1355"/>
        <v>0</v>
      </c>
      <c r="EA167" s="1319">
        <f t="shared" ca="1" si="1355"/>
        <v>0</v>
      </c>
      <c r="EB167" s="1319">
        <f t="shared" ca="1" si="1355"/>
        <v>0</v>
      </c>
      <c r="EC167" s="1319">
        <f t="shared" ca="1" si="1355"/>
        <v>0</v>
      </c>
      <c r="ED167" s="1319">
        <f t="shared" ca="1" si="1355"/>
        <v>0</v>
      </c>
      <c r="EE167" s="1319">
        <f t="shared" ca="1" si="1355"/>
        <v>0</v>
      </c>
      <c r="EF167" s="1319">
        <f t="shared" ca="1" si="1355"/>
        <v>0</v>
      </c>
      <c r="EG167" s="1319">
        <f t="shared" ca="1" si="1355"/>
        <v>0</v>
      </c>
      <c r="EH167" s="1319">
        <f t="shared" ca="1" si="1355"/>
        <v>0</v>
      </c>
      <c r="EI167" s="1319">
        <f t="shared" ca="1" si="1355"/>
        <v>0</v>
      </c>
      <c r="EJ167" s="1319">
        <f t="shared" ca="1" si="1355"/>
        <v>0</v>
      </c>
      <c r="EK167" s="1319">
        <f t="shared" ca="1" si="1355"/>
        <v>0</v>
      </c>
      <c r="ET167" s="1334"/>
      <c r="EW167" s="1319">
        <f t="shared" ca="1" si="1356"/>
        <v>0</v>
      </c>
      <c r="EX167" s="1319">
        <f t="shared" ca="1" si="1356"/>
        <v>0</v>
      </c>
      <c r="EY167" s="1319">
        <f t="shared" ca="1" si="1356"/>
        <v>0</v>
      </c>
      <c r="EZ167" s="1319">
        <f t="shared" ca="1" si="1356"/>
        <v>0</v>
      </c>
      <c r="FA167" s="1319">
        <f t="shared" ca="1" si="1356"/>
        <v>0</v>
      </c>
      <c r="FB167" s="1319">
        <f t="shared" ca="1" si="1356"/>
        <v>0</v>
      </c>
      <c r="FK167" s="1334"/>
      <c r="FN167" s="1319">
        <f t="shared" ca="1" si="1357"/>
        <v>0</v>
      </c>
      <c r="FO167" s="1319">
        <f t="shared" ca="1" si="1357"/>
        <v>0</v>
      </c>
      <c r="FP167" s="1319">
        <f t="shared" ca="1" si="1357"/>
        <v>0</v>
      </c>
      <c r="FQ167" s="1319">
        <f t="shared" ca="1" si="1357"/>
        <v>0</v>
      </c>
      <c r="FR167" s="1319">
        <f t="shared" ca="1" si="1357"/>
        <v>0</v>
      </c>
      <c r="FS167" s="1319">
        <f t="shared" ca="1" si="1357"/>
        <v>0</v>
      </c>
      <c r="FT167" s="1319">
        <f t="shared" ca="1" si="1357"/>
        <v>0</v>
      </c>
      <c r="FU167" s="1319">
        <f t="shared" ca="1" si="1357"/>
        <v>0</v>
      </c>
      <c r="FV167" s="1319">
        <f t="shared" ca="1" si="1357"/>
        <v>0</v>
      </c>
      <c r="FW167" s="1319">
        <f t="shared" ca="1" si="1357"/>
        <v>0</v>
      </c>
      <c r="FX167" s="1319">
        <f t="shared" ca="1" si="1357"/>
        <v>0</v>
      </c>
      <c r="GG167" s="1334"/>
      <c r="GJ167" s="1319">
        <f t="shared" ca="1" si="1358"/>
        <v>0</v>
      </c>
      <c r="GK167" s="1319">
        <f t="shared" ca="1" si="1358"/>
        <v>0</v>
      </c>
      <c r="GL167" s="1319">
        <f t="shared" ca="1" si="1358"/>
        <v>0</v>
      </c>
      <c r="GM167" s="1319">
        <f t="shared" ca="1" si="1358"/>
        <v>0</v>
      </c>
      <c r="GN167" s="1319">
        <f t="shared" ca="1" si="1358"/>
        <v>0</v>
      </c>
      <c r="GO167" s="1319">
        <f t="shared" ca="1" si="1358"/>
        <v>0</v>
      </c>
      <c r="GP167" s="1319">
        <f t="shared" ca="1" si="1358"/>
        <v>0</v>
      </c>
      <c r="GQ167" s="1319">
        <f t="shared" ca="1" si="1358"/>
        <v>0</v>
      </c>
      <c r="GZ167" s="1334"/>
      <c r="HC167" s="1319">
        <f t="shared" ca="1" si="1359"/>
        <v>0</v>
      </c>
      <c r="HD167" s="1319">
        <f t="shared" ca="1" si="1359"/>
        <v>0</v>
      </c>
      <c r="HE167" s="1319">
        <f t="shared" ca="1" si="1359"/>
        <v>0</v>
      </c>
      <c r="HF167" s="1319">
        <f t="shared" ca="1" si="1359"/>
        <v>0</v>
      </c>
      <c r="HG167" s="1319">
        <f t="shared" ca="1" si="1359"/>
        <v>0</v>
      </c>
      <c r="HH167" s="1319">
        <f t="shared" ca="1" si="1359"/>
        <v>0</v>
      </c>
      <c r="HQ167" s="1334"/>
      <c r="HT167" s="1319">
        <f t="shared" ca="1" si="1360"/>
        <v>0</v>
      </c>
      <c r="HU167" s="1319">
        <f t="shared" ca="1" si="1360"/>
        <v>0</v>
      </c>
      <c r="HV167" s="1319">
        <f t="shared" ca="1" si="1360"/>
        <v>0</v>
      </c>
      <c r="HW167" s="1319">
        <f t="shared" ca="1" si="1360"/>
        <v>0</v>
      </c>
      <c r="HX167" s="1319">
        <f t="shared" ca="1" si="1360"/>
        <v>0</v>
      </c>
      <c r="HY167" s="1319">
        <f t="shared" ca="1" si="1360"/>
        <v>0</v>
      </c>
      <c r="HZ167" s="1319">
        <f t="shared" ca="1" si="1360"/>
        <v>0</v>
      </c>
      <c r="IA167" s="1319">
        <f t="shared" ca="1" si="1360"/>
        <v>0</v>
      </c>
      <c r="IB167" s="1319">
        <f t="shared" ca="1" si="1360"/>
        <v>0</v>
      </c>
      <c r="IC167" s="1319">
        <f t="shared" ca="1" si="1360"/>
        <v>0</v>
      </c>
      <c r="ID167" s="1319">
        <f t="shared" ca="1" si="1360"/>
        <v>0</v>
      </c>
      <c r="IE167" s="1319">
        <f t="shared" ca="1" si="1360"/>
        <v>0</v>
      </c>
      <c r="IN167" s="1334"/>
      <c r="IQ167" s="1319">
        <f t="shared" ca="1" si="1361"/>
        <v>0</v>
      </c>
      <c r="IR167" s="1319">
        <f t="shared" ca="1" si="1361"/>
        <v>0</v>
      </c>
      <c r="IS167" s="1319">
        <f t="shared" ca="1" si="1361"/>
        <v>0</v>
      </c>
      <c r="IT167" s="1319">
        <f t="shared" ca="1" si="1361"/>
        <v>0</v>
      </c>
      <c r="IU167" s="1319">
        <f t="shared" ca="1" si="1361"/>
        <v>0</v>
      </c>
      <c r="IV167" s="1319">
        <f t="shared" ca="1" si="1361"/>
        <v>0</v>
      </c>
      <c r="IW167" s="1319">
        <f t="shared" ca="1" si="1361"/>
        <v>0</v>
      </c>
      <c r="IX167" s="1319">
        <f t="shared" ca="1" si="1361"/>
        <v>0</v>
      </c>
      <c r="IY167" s="1319">
        <f t="shared" ca="1" si="1361"/>
        <v>0</v>
      </c>
      <c r="IZ167" s="1319">
        <f t="shared" ca="1" si="1361"/>
        <v>0</v>
      </c>
      <c r="JA167" s="1319">
        <f t="shared" ca="1" si="1361"/>
        <v>0</v>
      </c>
      <c r="JB167" s="1319">
        <f t="shared" ca="1" si="1362"/>
        <v>0</v>
      </c>
      <c r="JC167" s="1319">
        <f t="shared" ca="1" si="1362"/>
        <v>0</v>
      </c>
      <c r="JD167" s="1319">
        <f t="shared" ca="1" si="1362"/>
        <v>0</v>
      </c>
      <c r="JE167" s="1319">
        <f t="shared" ca="1" si="1362"/>
        <v>0</v>
      </c>
      <c r="JF167" s="1319">
        <f t="shared" ca="1" si="1362"/>
        <v>0</v>
      </c>
      <c r="JG167" s="1319">
        <f t="shared" ca="1" si="1362"/>
        <v>0</v>
      </c>
      <c r="JH167" s="1319">
        <f t="shared" ca="1" si="1362"/>
        <v>0</v>
      </c>
      <c r="JQ167" s="1334"/>
      <c r="JT167" s="1319">
        <f t="shared" ca="1" si="1363"/>
        <v>0</v>
      </c>
      <c r="JU167" s="1319">
        <f t="shared" ca="1" si="1363"/>
        <v>0</v>
      </c>
      <c r="JV167" s="1319">
        <f t="shared" ca="1" si="1363"/>
        <v>0</v>
      </c>
      <c r="JW167" s="1319">
        <f t="shared" ca="1" si="1363"/>
        <v>0</v>
      </c>
      <c r="JX167" s="1319">
        <f t="shared" ca="1" si="1363"/>
        <v>0</v>
      </c>
      <c r="JY167" s="1319">
        <f t="shared" ca="1" si="1363"/>
        <v>0</v>
      </c>
      <c r="JZ167" s="1319">
        <f t="shared" ca="1" si="1363"/>
        <v>0</v>
      </c>
      <c r="KA167" s="1319">
        <f t="shared" ca="1" si="1363"/>
        <v>0</v>
      </c>
      <c r="KB167" s="1319">
        <f t="shared" ca="1" si="1363"/>
        <v>0</v>
      </c>
      <c r="KC167" s="1319">
        <f t="shared" ca="1" si="1363"/>
        <v>0</v>
      </c>
      <c r="KI167" s="1334"/>
      <c r="KL167" s="1319">
        <f t="shared" ca="1" si="1364"/>
        <v>0</v>
      </c>
      <c r="KM167" s="1319">
        <f t="shared" ca="1" si="1364"/>
        <v>0</v>
      </c>
      <c r="KN167" s="1319">
        <f t="shared" ca="1" si="1364"/>
        <v>0</v>
      </c>
      <c r="KO167" s="1319">
        <f t="shared" ca="1" si="1364"/>
        <v>0</v>
      </c>
      <c r="KP167" s="1319">
        <f t="shared" ca="1" si="1364"/>
        <v>0</v>
      </c>
      <c r="KQ167" s="1319">
        <f t="shared" ca="1" si="1364"/>
        <v>0</v>
      </c>
      <c r="KR167" s="1319">
        <f t="shared" ca="1" si="1364"/>
        <v>0</v>
      </c>
      <c r="KX167" s="1334"/>
      <c r="LA167" s="1319">
        <f t="shared" ca="1" si="1365"/>
        <v>0</v>
      </c>
      <c r="LB167" s="1319">
        <f t="shared" ca="1" si="1365"/>
        <v>0</v>
      </c>
      <c r="LC167" s="1319">
        <f t="shared" ca="1" si="1365"/>
        <v>0</v>
      </c>
      <c r="LD167" s="1319">
        <f t="shared" ca="1" si="1365"/>
        <v>0</v>
      </c>
      <c r="LE167" s="1319">
        <f t="shared" ca="1" si="1365"/>
        <v>0</v>
      </c>
      <c r="LF167" s="1319">
        <f t="shared" ca="1" si="1365"/>
        <v>0</v>
      </c>
      <c r="LG167" s="1319">
        <f t="shared" ca="1" si="1365"/>
        <v>0</v>
      </c>
      <c r="LH167" s="1319">
        <f t="shared" ca="1" si="1365"/>
        <v>0</v>
      </c>
      <c r="LI167" s="1319">
        <f t="shared" ca="1" si="1365"/>
        <v>0</v>
      </c>
      <c r="LJ167" s="1319">
        <f t="shared" ca="1" si="1365"/>
        <v>0</v>
      </c>
      <c r="LK167" s="1319">
        <f t="shared" ca="1" si="1365"/>
        <v>0</v>
      </c>
      <c r="LT167" s="1334"/>
      <c r="LW167" s="1319">
        <f t="shared" ca="1" si="1366"/>
        <v>0</v>
      </c>
      <c r="LX167" s="1319">
        <f t="shared" ca="1" si="1366"/>
        <v>0</v>
      </c>
      <c r="LY167" s="1319">
        <f t="shared" ca="1" si="1366"/>
        <v>0</v>
      </c>
      <c r="LZ167" s="1319">
        <f t="shared" ca="1" si="1366"/>
        <v>0</v>
      </c>
      <c r="MA167" s="1319">
        <f t="shared" ca="1" si="1366"/>
        <v>0</v>
      </c>
      <c r="MB167" s="1319">
        <f t="shared" ca="1" si="1366"/>
        <v>0</v>
      </c>
      <c r="MC167" s="1319">
        <f t="shared" ca="1" si="1366"/>
        <v>0</v>
      </c>
      <c r="MD167" s="1319">
        <f t="shared" ca="1" si="1366"/>
        <v>0</v>
      </c>
      <c r="ME167" s="1319">
        <f t="shared" ca="1" si="1366"/>
        <v>0</v>
      </c>
      <c r="MF167" s="1319">
        <f t="shared" ca="1" si="1366"/>
        <v>0</v>
      </c>
      <c r="MG167" s="1319">
        <f t="shared" ca="1" si="1367"/>
        <v>0</v>
      </c>
      <c r="MH167" s="1319">
        <f t="shared" ca="1" si="1367"/>
        <v>0</v>
      </c>
      <c r="MI167" s="1319">
        <f t="shared" ca="1" si="1367"/>
        <v>0</v>
      </c>
      <c r="MJ167" s="1319">
        <f t="shared" ca="1" si="1367"/>
        <v>0</v>
      </c>
      <c r="MK167" s="1319">
        <f t="shared" ca="1" si="1367"/>
        <v>0</v>
      </c>
      <c r="ML167" s="1319">
        <f t="shared" ca="1" si="1367"/>
        <v>0</v>
      </c>
      <c r="MM167" s="1319">
        <f t="shared" ca="1" si="1367"/>
        <v>0</v>
      </c>
      <c r="MN167" s="1319">
        <f t="shared" ca="1" si="1367"/>
        <v>0</v>
      </c>
      <c r="MO167" s="1319">
        <f t="shared" ca="1" si="1367"/>
        <v>0</v>
      </c>
      <c r="MX167" s="1334"/>
      <c r="NA167" s="1319">
        <f t="shared" ca="1" si="1368"/>
        <v>0</v>
      </c>
      <c r="NB167" s="1319">
        <f t="shared" ca="1" si="1368"/>
        <v>0</v>
      </c>
      <c r="NC167" s="1319">
        <f t="shared" ca="1" si="1368"/>
        <v>0</v>
      </c>
      <c r="ND167" s="1319">
        <f t="shared" ca="1" si="1368"/>
        <v>0</v>
      </c>
      <c r="NE167" s="1319">
        <f t="shared" ca="1" si="1368"/>
        <v>0</v>
      </c>
      <c r="NF167" s="1319">
        <f t="shared" ca="1" si="1368"/>
        <v>0</v>
      </c>
      <c r="NG167" s="1319">
        <f t="shared" ca="1" si="1368"/>
        <v>0</v>
      </c>
      <c r="NH167" s="1319">
        <f t="shared" ca="1" si="1368"/>
        <v>0</v>
      </c>
      <c r="NI167" s="1319">
        <f t="shared" ca="1" si="1368"/>
        <v>0</v>
      </c>
      <c r="NJ167" s="1319">
        <f t="shared" ca="1" si="1368"/>
        <v>0</v>
      </c>
      <c r="NK167" s="1319">
        <f t="shared" ca="1" si="1368"/>
        <v>0</v>
      </c>
      <c r="NL167" s="1319">
        <f t="shared" ca="1" si="1368"/>
        <v>0</v>
      </c>
      <c r="NM167" s="1319">
        <f t="shared" ca="1" si="1368"/>
        <v>0</v>
      </c>
      <c r="NN167" s="1319">
        <f t="shared" ca="1" si="1368"/>
        <v>0</v>
      </c>
      <c r="NO167" s="1319">
        <f t="shared" ca="1" si="1368"/>
        <v>0</v>
      </c>
      <c r="NP167" s="1319">
        <f t="shared" ca="1" si="1368"/>
        <v>0</v>
      </c>
      <c r="NY167" s="1334"/>
      <c r="OE167" s="1334"/>
      <c r="OH167" s="1319">
        <f t="shared" ca="1" si="1369"/>
        <v>0</v>
      </c>
      <c r="OI167" s="1319">
        <f t="shared" ca="1" si="1369"/>
        <v>0</v>
      </c>
      <c r="OJ167" s="1319">
        <f t="shared" ca="1" si="1369"/>
        <v>0</v>
      </c>
      <c r="OK167" s="1319">
        <f t="shared" ca="1" si="1369"/>
        <v>0</v>
      </c>
      <c r="OL167" s="1319">
        <f t="shared" ca="1" si="1369"/>
        <v>0</v>
      </c>
      <c r="OM167" s="1319">
        <f t="shared" ca="1" si="1369"/>
        <v>0</v>
      </c>
      <c r="ON167" s="1319">
        <f t="shared" ca="1" si="1369"/>
        <v>0</v>
      </c>
      <c r="OO167" s="1319">
        <f t="shared" ca="1" si="1369"/>
        <v>0</v>
      </c>
      <c r="OX167" s="1334"/>
      <c r="PA167" s="1319">
        <f t="shared" ca="1" si="1370"/>
        <v>0</v>
      </c>
      <c r="PB167" s="1319">
        <f t="shared" ca="1" si="1370"/>
        <v>0</v>
      </c>
      <c r="PC167" s="1319">
        <f t="shared" ca="1" si="1370"/>
        <v>0</v>
      </c>
      <c r="PD167" s="1319">
        <f t="shared" ca="1" si="1370"/>
        <v>0</v>
      </c>
      <c r="PE167" s="1319">
        <f t="shared" ca="1" si="1370"/>
        <v>0</v>
      </c>
      <c r="PF167" s="1319">
        <f t="shared" ca="1" si="1370"/>
        <v>0</v>
      </c>
      <c r="PG167" s="1319">
        <f t="shared" ca="1" si="1370"/>
        <v>0</v>
      </c>
      <c r="PH167" s="1319">
        <f t="shared" ca="1" si="1370"/>
        <v>0</v>
      </c>
      <c r="PI167" s="1319">
        <f t="shared" ca="1" si="1370"/>
        <v>0</v>
      </c>
      <c r="PJ167" s="1319">
        <f t="shared" ca="1" si="1370"/>
        <v>0</v>
      </c>
      <c r="PK167" s="1319">
        <f t="shared" ca="1" si="1370"/>
        <v>0</v>
      </c>
      <c r="PT167" s="1334"/>
      <c r="PW167" s="1319">
        <f t="shared" ca="1" si="1349"/>
        <v>0</v>
      </c>
      <c r="PX167" s="1319">
        <f t="shared" ca="1" si="1349"/>
        <v>0</v>
      </c>
      <c r="PY167" s="1319">
        <f t="shared" ca="1" si="1349"/>
        <v>0</v>
      </c>
      <c r="PZ167" s="1319">
        <f t="shared" ca="1" si="1349"/>
        <v>0</v>
      </c>
    </row>
    <row r="168" spans="1:442" x14ac:dyDescent="0.25">
      <c r="A168" s="189">
        <v>136</v>
      </c>
      <c r="B168" s="189" t="s">
        <v>1320</v>
      </c>
      <c r="C168" s="1317" t="s">
        <v>1308</v>
      </c>
      <c r="D168" s="1317" t="s">
        <v>206</v>
      </c>
      <c r="E168" s="1318">
        <v>24.015599999999999</v>
      </c>
      <c r="F168" s="1322">
        <v>-0.12271341597443612</v>
      </c>
      <c r="G168" s="1334"/>
      <c r="J168" s="1319">
        <f t="shared" ca="1" si="1327"/>
        <v>0</v>
      </c>
      <c r="K168" s="1319">
        <f t="shared" ca="1" si="1327"/>
        <v>0</v>
      </c>
      <c r="Q168" s="1334"/>
      <c r="T168" s="1319">
        <f t="shared" ca="1" si="1350"/>
        <v>0</v>
      </c>
      <c r="U168" s="1319">
        <f t="shared" ca="1" si="1350"/>
        <v>0</v>
      </c>
      <c r="V168" s="1319">
        <f t="shared" ca="1" si="1350"/>
        <v>0</v>
      </c>
      <c r="W168" s="1319">
        <f t="shared" ca="1" si="1350"/>
        <v>0</v>
      </c>
      <c r="X168" s="1319">
        <f t="shared" ca="1" si="1350"/>
        <v>0</v>
      </c>
      <c r="Y168" s="1319">
        <f t="shared" ca="1" si="1350"/>
        <v>0</v>
      </c>
      <c r="Z168" s="1319">
        <f t="shared" ca="1" si="1350"/>
        <v>0</v>
      </c>
      <c r="AA168" s="1319">
        <f t="shared" ca="1" si="1350"/>
        <v>0</v>
      </c>
      <c r="AB168" s="1319">
        <f t="shared" ca="1" si="1350"/>
        <v>0</v>
      </c>
      <c r="AC168" s="1319">
        <f t="shared" ca="1" si="1350"/>
        <v>0</v>
      </c>
      <c r="AD168" s="1319">
        <f t="shared" ca="1" si="1350"/>
        <v>0</v>
      </c>
      <c r="AJ168" s="1334"/>
      <c r="AM168" s="1319">
        <f t="shared" ca="1" si="1351"/>
        <v>0</v>
      </c>
      <c r="AN168" s="1319">
        <f t="shared" ca="1" si="1351"/>
        <v>0</v>
      </c>
      <c r="AO168" s="1319">
        <f t="shared" ca="1" si="1351"/>
        <v>0</v>
      </c>
      <c r="AP168" s="1319">
        <f t="shared" ca="1" si="1351"/>
        <v>0</v>
      </c>
      <c r="AQ168" s="1319">
        <f t="shared" ca="1" si="1351"/>
        <v>0</v>
      </c>
      <c r="AR168" s="1319">
        <f t="shared" ca="1" si="1351"/>
        <v>0</v>
      </c>
      <c r="AS168" s="1319">
        <f t="shared" ca="1" si="1351"/>
        <v>0</v>
      </c>
      <c r="AT168" s="1319">
        <f t="shared" ca="1" si="1351"/>
        <v>0</v>
      </c>
      <c r="AU168" s="1319">
        <f t="shared" ca="1" si="1351"/>
        <v>0</v>
      </c>
      <c r="AV168" s="1319">
        <f t="shared" ca="1" si="1351"/>
        <v>0</v>
      </c>
      <c r="AW168" s="1319">
        <f t="shared" ca="1" si="1351"/>
        <v>0</v>
      </c>
      <c r="AX168" s="1319">
        <f t="shared" ca="1" si="1351"/>
        <v>0</v>
      </c>
      <c r="AY168" s="1319">
        <f t="shared" ca="1" si="1351"/>
        <v>0</v>
      </c>
      <c r="AZ168" s="1319">
        <f t="shared" ca="1" si="1351"/>
        <v>0</v>
      </c>
      <c r="BA168" s="1319">
        <f t="shared" ca="1" si="1351"/>
        <v>0</v>
      </c>
      <c r="BB168" s="1319">
        <f t="shared" ca="1" si="1351"/>
        <v>0</v>
      </c>
      <c r="BK168" s="1334"/>
      <c r="BN168" s="1319">
        <f t="shared" ca="1" si="1352"/>
        <v>-0.26611677498488945</v>
      </c>
      <c r="BO168" s="1319">
        <f t="shared" ca="1" si="1352"/>
        <v>-0.26611677498488945</v>
      </c>
      <c r="BP168" s="1319">
        <f t="shared" ca="1" si="1352"/>
        <v>0</v>
      </c>
      <c r="BQ168" s="1319">
        <f t="shared" ca="1" si="1352"/>
        <v>0</v>
      </c>
      <c r="BR168" s="1319">
        <f t="shared" ca="1" si="1352"/>
        <v>0</v>
      </c>
      <c r="CA168" s="1334"/>
      <c r="CD168" s="1319">
        <f t="shared" ca="1" si="1353"/>
        <v>0</v>
      </c>
      <c r="CE168" s="1319">
        <f t="shared" ca="1" si="1353"/>
        <v>0</v>
      </c>
      <c r="CF168" s="1319">
        <f t="shared" ca="1" si="1353"/>
        <v>-0.26611677498488945</v>
      </c>
      <c r="CG168" s="1319">
        <f t="shared" ca="1" si="1353"/>
        <v>-0.26611677498488945</v>
      </c>
      <c r="CH168" s="1319">
        <f t="shared" ca="1" si="1353"/>
        <v>-2.6611677498488953</v>
      </c>
      <c r="CI168" s="1319">
        <f t="shared" ca="1" si="1353"/>
        <v>0</v>
      </c>
      <c r="CJ168" s="1319">
        <f t="shared" ca="1" si="1353"/>
        <v>0</v>
      </c>
      <c r="CK168" s="1319">
        <f t="shared" ca="1" si="1353"/>
        <v>-2.6611677498488953</v>
      </c>
      <c r="CL168" s="1319">
        <f t="shared" ca="1" si="1353"/>
        <v>0</v>
      </c>
      <c r="CM168" s="1319">
        <f t="shared" ca="1" si="1353"/>
        <v>-2.6611677498488953</v>
      </c>
      <c r="CN168" s="1319">
        <f t="shared" ca="1" si="1353"/>
        <v>-2.6611677498488953</v>
      </c>
      <c r="CO168" s="1319">
        <f t="shared" ca="1" si="1353"/>
        <v>0</v>
      </c>
      <c r="CX168" s="1334"/>
      <c r="DA168" s="1319">
        <f t="shared" ca="1" si="1354"/>
        <v>0</v>
      </c>
      <c r="DB168" s="1319">
        <f t="shared" ca="1" si="1354"/>
        <v>0</v>
      </c>
      <c r="DC168" s="1319">
        <f t="shared" ca="1" si="1354"/>
        <v>0</v>
      </c>
      <c r="DD168" s="1319">
        <f t="shared" ca="1" si="1354"/>
        <v>0</v>
      </c>
      <c r="DE168" s="1319">
        <f t="shared" ca="1" si="1354"/>
        <v>-7.7202429630355675E-3</v>
      </c>
      <c r="DF168" s="1319">
        <f t="shared" ca="1" si="1354"/>
        <v>0</v>
      </c>
      <c r="DG168" s="1319">
        <f t="shared" ca="1" si="1354"/>
        <v>0</v>
      </c>
      <c r="DH168" s="1319">
        <f t="shared" ca="1" si="1354"/>
        <v>0</v>
      </c>
      <c r="DI168" s="1319">
        <f t="shared" ca="1" si="1354"/>
        <v>0</v>
      </c>
      <c r="DJ168" s="1319">
        <f t="shared" ca="1" si="1354"/>
        <v>0</v>
      </c>
      <c r="DS168" s="1334"/>
      <c r="DV168" s="1319">
        <f t="shared" ca="1" si="1355"/>
        <v>0</v>
      </c>
      <c r="DW168" s="1319">
        <f t="shared" ca="1" si="1355"/>
        <v>0</v>
      </c>
      <c r="DX168" s="1319">
        <f t="shared" ca="1" si="1355"/>
        <v>0</v>
      </c>
      <c r="DY168" s="1319">
        <f t="shared" ca="1" si="1355"/>
        <v>0</v>
      </c>
      <c r="DZ168" s="1319">
        <f t="shared" ca="1" si="1355"/>
        <v>0</v>
      </c>
      <c r="EA168" s="1319">
        <f t="shared" ca="1" si="1355"/>
        <v>-7.7202429630355675E-3</v>
      </c>
      <c r="EB168" s="1319">
        <f t="shared" ca="1" si="1355"/>
        <v>0</v>
      </c>
      <c r="EC168" s="1319">
        <f t="shared" ca="1" si="1355"/>
        <v>0</v>
      </c>
      <c r="ED168" s="1319">
        <f t="shared" ca="1" si="1355"/>
        <v>-2.6611677498488953</v>
      </c>
      <c r="EE168" s="1319">
        <f t="shared" ca="1" si="1355"/>
        <v>0</v>
      </c>
      <c r="EF168" s="1319">
        <f t="shared" ca="1" si="1355"/>
        <v>0</v>
      </c>
      <c r="EG168" s="1319">
        <f t="shared" ca="1" si="1355"/>
        <v>0</v>
      </c>
      <c r="EH168" s="1319">
        <f t="shared" ca="1" si="1355"/>
        <v>0</v>
      </c>
      <c r="EI168" s="1319">
        <f t="shared" ca="1" si="1355"/>
        <v>0</v>
      </c>
      <c r="EJ168" s="1319">
        <f t="shared" ca="1" si="1355"/>
        <v>0</v>
      </c>
      <c r="EK168" s="1319">
        <f t="shared" ca="1" si="1355"/>
        <v>0</v>
      </c>
      <c r="ET168" s="1334"/>
      <c r="EW168" s="1319">
        <f t="shared" ca="1" si="1356"/>
        <v>-2.6611677498488953</v>
      </c>
      <c r="EX168" s="1319">
        <f t="shared" ca="1" si="1356"/>
        <v>-2.6611677498488953</v>
      </c>
      <c r="EY168" s="1319">
        <f t="shared" ca="1" si="1356"/>
        <v>-2.6611677498488953</v>
      </c>
      <c r="EZ168" s="1319">
        <f t="shared" ca="1" si="1356"/>
        <v>-2.6611677498488953</v>
      </c>
      <c r="FA168" s="1319">
        <f t="shared" ca="1" si="1356"/>
        <v>0</v>
      </c>
      <c r="FB168" s="1319">
        <f t="shared" ca="1" si="1356"/>
        <v>0</v>
      </c>
      <c r="FK168" s="1334"/>
      <c r="FN168" s="1319">
        <f t="shared" ca="1" si="1357"/>
        <v>0</v>
      </c>
      <c r="FO168" s="1319">
        <f t="shared" ca="1" si="1357"/>
        <v>0</v>
      </c>
      <c r="FP168" s="1319">
        <f t="shared" ca="1" si="1357"/>
        <v>0</v>
      </c>
      <c r="FQ168" s="1319">
        <f t="shared" ca="1" si="1357"/>
        <v>0</v>
      </c>
      <c r="FR168" s="1319">
        <f t="shared" ca="1" si="1357"/>
        <v>0</v>
      </c>
      <c r="FS168" s="1319">
        <f t="shared" ca="1" si="1357"/>
        <v>0</v>
      </c>
      <c r="FT168" s="1319">
        <f t="shared" ca="1" si="1357"/>
        <v>0</v>
      </c>
      <c r="FU168" s="1319">
        <f t="shared" ca="1" si="1357"/>
        <v>0</v>
      </c>
      <c r="FV168" s="1319">
        <f t="shared" ca="1" si="1357"/>
        <v>0</v>
      </c>
      <c r="FW168" s="1319">
        <f t="shared" ca="1" si="1357"/>
        <v>0</v>
      </c>
      <c r="FX168" s="1319">
        <f t="shared" ca="1" si="1357"/>
        <v>0</v>
      </c>
      <c r="GG168" s="1334"/>
      <c r="GJ168" s="1319">
        <f t="shared" ca="1" si="1358"/>
        <v>0</v>
      </c>
      <c r="GK168" s="1319">
        <f t="shared" ca="1" si="1358"/>
        <v>0</v>
      </c>
      <c r="GL168" s="1319">
        <f t="shared" ca="1" si="1358"/>
        <v>0</v>
      </c>
      <c r="GM168" s="1319">
        <f t="shared" ca="1" si="1358"/>
        <v>0</v>
      </c>
      <c r="GN168" s="1319">
        <f t="shared" ca="1" si="1358"/>
        <v>0</v>
      </c>
      <c r="GO168" s="1319">
        <f t="shared" ca="1" si="1358"/>
        <v>0</v>
      </c>
      <c r="GP168" s="1319">
        <f t="shared" ca="1" si="1358"/>
        <v>0</v>
      </c>
      <c r="GQ168" s="1319">
        <f t="shared" ca="1" si="1358"/>
        <v>0</v>
      </c>
      <c r="GZ168" s="1334"/>
      <c r="HC168" s="1319">
        <f t="shared" ca="1" si="1359"/>
        <v>-2.6611677498488953</v>
      </c>
      <c r="HD168" s="1319">
        <f t="shared" ca="1" si="1359"/>
        <v>-5.3223355099172642E-2</v>
      </c>
      <c r="HE168" s="1319">
        <f t="shared" ca="1" si="1359"/>
        <v>0</v>
      </c>
      <c r="HF168" s="1319">
        <f t="shared" ca="1" si="1359"/>
        <v>0</v>
      </c>
      <c r="HG168" s="1319">
        <f t="shared" ca="1" si="1359"/>
        <v>-2.607944395260696</v>
      </c>
      <c r="HH168" s="1319">
        <f t="shared" ca="1" si="1359"/>
        <v>-5.3223355099172642E-2</v>
      </c>
      <c r="HQ168" s="1334"/>
      <c r="HT168" s="1319">
        <f t="shared" ca="1" si="1360"/>
        <v>0</v>
      </c>
      <c r="HU168" s="1319">
        <f t="shared" ca="1" si="1360"/>
        <v>-5.3223355099172642E-2</v>
      </c>
      <c r="HV168" s="1319">
        <f t="shared" ca="1" si="1360"/>
        <v>-5.3223355099172642E-2</v>
      </c>
      <c r="HW168" s="1319">
        <f t="shared" ca="1" si="1360"/>
        <v>-5.3223355099172642E-2</v>
      </c>
      <c r="HX168" s="1319">
        <f t="shared" ca="1" si="1360"/>
        <v>-1.3625178907432095E-2</v>
      </c>
      <c r="HY168" s="1319">
        <f t="shared" ca="1" si="1360"/>
        <v>-3.9598176140643176E-2</v>
      </c>
      <c r="HZ168" s="1319">
        <f t="shared" ca="1" si="1360"/>
        <v>0</v>
      </c>
      <c r="IA168" s="1319">
        <f t="shared" ca="1" si="1360"/>
        <v>0</v>
      </c>
      <c r="IB168" s="1319">
        <f t="shared" ca="1" si="1360"/>
        <v>0</v>
      </c>
      <c r="IC168" s="1319">
        <f t="shared" ca="1" si="1360"/>
        <v>0</v>
      </c>
      <c r="ID168" s="1319">
        <f t="shared" ca="1" si="1360"/>
        <v>0</v>
      </c>
      <c r="IE168" s="1319">
        <f t="shared" ca="1" si="1360"/>
        <v>0</v>
      </c>
      <c r="IN168" s="1334"/>
      <c r="IQ168" s="1319">
        <f t="shared" ca="1" si="1361"/>
        <v>-1.3625178907432095E-2</v>
      </c>
      <c r="IR168" s="1319">
        <f t="shared" ca="1" si="1361"/>
        <v>-3.9598176140643176E-2</v>
      </c>
      <c r="IS168" s="1319">
        <f t="shared" ca="1" si="1361"/>
        <v>-1.6426408123178023E-2</v>
      </c>
      <c r="IT168" s="1319">
        <f t="shared" ca="1" si="1361"/>
        <v>-5.602458431491858E-2</v>
      </c>
      <c r="IU168" s="1319">
        <f t="shared" ca="1" si="1361"/>
        <v>-2.8012292106361913E-3</v>
      </c>
      <c r="IV168" s="1319">
        <f t="shared" ca="1" si="1361"/>
        <v>-0.41066020231298989</v>
      </c>
      <c r="IW168" s="1319">
        <f t="shared" ca="1" si="1361"/>
        <v>-0.39423379424090921</v>
      </c>
      <c r="IX168" s="1319">
        <f t="shared" ca="1" si="1361"/>
        <v>0</v>
      </c>
      <c r="IY168" s="1319">
        <f t="shared" ca="1" si="1361"/>
        <v>-5.3223355099172642E-2</v>
      </c>
      <c r="IZ168" s="1319">
        <f t="shared" ca="1" si="1361"/>
        <v>0</v>
      </c>
      <c r="JA168" s="1319">
        <f t="shared" ca="1" si="1361"/>
        <v>-0.41066020231298989</v>
      </c>
      <c r="JB168" s="1319">
        <f t="shared" ca="1" si="1362"/>
        <v>0</v>
      </c>
      <c r="JC168" s="1319">
        <f t="shared" ca="1" si="1362"/>
        <v>0</v>
      </c>
      <c r="JD168" s="1319">
        <f t="shared" ca="1" si="1362"/>
        <v>0</v>
      </c>
      <c r="JE168" s="1319">
        <f t="shared" ca="1" si="1362"/>
        <v>0</v>
      </c>
      <c r="JF168" s="1319">
        <f t="shared" ca="1" si="1362"/>
        <v>0</v>
      </c>
      <c r="JG168" s="1319">
        <f t="shared" ca="1" si="1362"/>
        <v>0</v>
      </c>
      <c r="JH168" s="1319">
        <f t="shared" ca="1" si="1362"/>
        <v>0</v>
      </c>
      <c r="JQ168" s="1334"/>
      <c r="JT168" s="1319">
        <f t="shared" ca="1" si="1363"/>
        <v>0</v>
      </c>
      <c r="JU168" s="1319">
        <f t="shared" ca="1" si="1363"/>
        <v>0</v>
      </c>
      <c r="JV168" s="1319">
        <f t="shared" ca="1" si="1363"/>
        <v>0</v>
      </c>
      <c r="JW168" s="1319">
        <f t="shared" ca="1" si="1363"/>
        <v>0</v>
      </c>
      <c r="JX168" s="1319">
        <f t="shared" ca="1" si="1363"/>
        <v>0</v>
      </c>
      <c r="JY168" s="1319">
        <f t="shared" ca="1" si="1363"/>
        <v>0</v>
      </c>
      <c r="JZ168" s="1319">
        <f t="shared" ca="1" si="1363"/>
        <v>0</v>
      </c>
      <c r="KA168" s="1319">
        <f t="shared" ca="1" si="1363"/>
        <v>0</v>
      </c>
      <c r="KB168" s="1319">
        <f t="shared" ca="1" si="1363"/>
        <v>0</v>
      </c>
      <c r="KC168" s="1319">
        <f t="shared" ca="1" si="1363"/>
        <v>0</v>
      </c>
      <c r="KI168" s="1334"/>
      <c r="KL168" s="1319">
        <f t="shared" ca="1" si="1364"/>
        <v>0</v>
      </c>
      <c r="KM168" s="1319">
        <f t="shared" ca="1" si="1364"/>
        <v>0</v>
      </c>
      <c r="KN168" s="1319">
        <f t="shared" ca="1" si="1364"/>
        <v>0</v>
      </c>
      <c r="KO168" s="1319">
        <f t="shared" ca="1" si="1364"/>
        <v>0</v>
      </c>
      <c r="KP168" s="1319">
        <f t="shared" ca="1" si="1364"/>
        <v>0</v>
      </c>
      <c r="KQ168" s="1319">
        <f t="shared" ca="1" si="1364"/>
        <v>0</v>
      </c>
      <c r="KR168" s="1319">
        <f t="shared" ca="1" si="1364"/>
        <v>0</v>
      </c>
      <c r="KX168" s="1334"/>
      <c r="LA168" s="1319">
        <f t="shared" ca="1" si="1365"/>
        <v>0</v>
      </c>
      <c r="LB168" s="1319">
        <f t="shared" ca="1" si="1365"/>
        <v>0</v>
      </c>
      <c r="LC168" s="1319">
        <f t="shared" ca="1" si="1365"/>
        <v>0</v>
      </c>
      <c r="LD168" s="1319">
        <f t="shared" ca="1" si="1365"/>
        <v>0</v>
      </c>
      <c r="LE168" s="1319">
        <f t="shared" ca="1" si="1365"/>
        <v>0</v>
      </c>
      <c r="LF168" s="1319">
        <f t="shared" ca="1" si="1365"/>
        <v>0</v>
      </c>
      <c r="LG168" s="1319">
        <f t="shared" ca="1" si="1365"/>
        <v>0</v>
      </c>
      <c r="LH168" s="1319">
        <f t="shared" ca="1" si="1365"/>
        <v>0</v>
      </c>
      <c r="LI168" s="1319">
        <f t="shared" ca="1" si="1365"/>
        <v>0</v>
      </c>
      <c r="LJ168" s="1319">
        <f t="shared" ca="1" si="1365"/>
        <v>0</v>
      </c>
      <c r="LK168" s="1319">
        <f t="shared" ca="1" si="1365"/>
        <v>0</v>
      </c>
      <c r="LT168" s="1334"/>
      <c r="LW168" s="1319">
        <f t="shared" ca="1" si="1366"/>
        <v>0</v>
      </c>
      <c r="LX168" s="1319">
        <f t="shared" ca="1" si="1366"/>
        <v>0</v>
      </c>
      <c r="LY168" s="1319">
        <f t="shared" ca="1" si="1366"/>
        <v>-2.607944395260696</v>
      </c>
      <c r="LZ168" s="1319">
        <f t="shared" ca="1" si="1366"/>
        <v>-5.3223355099172642E-2</v>
      </c>
      <c r="MA168" s="1319">
        <f t="shared" ca="1" si="1366"/>
        <v>-2.6611677498488953</v>
      </c>
      <c r="MB168" s="1319">
        <f t="shared" ca="1" si="1366"/>
        <v>0</v>
      </c>
      <c r="MC168" s="1319">
        <f t="shared" ca="1" si="1366"/>
        <v>0</v>
      </c>
      <c r="MD168" s="1319">
        <f t="shared" ca="1" si="1366"/>
        <v>0</v>
      </c>
      <c r="ME168" s="1319">
        <f t="shared" ca="1" si="1366"/>
        <v>0</v>
      </c>
      <c r="MF168" s="1319">
        <f t="shared" ca="1" si="1366"/>
        <v>0</v>
      </c>
      <c r="MG168" s="1319">
        <f t="shared" ca="1" si="1367"/>
        <v>0</v>
      </c>
      <c r="MH168" s="1319">
        <f t="shared" ca="1" si="1367"/>
        <v>0</v>
      </c>
      <c r="MI168" s="1319">
        <f t="shared" ca="1" si="1367"/>
        <v>0</v>
      </c>
      <c r="MJ168" s="1319">
        <f t="shared" ca="1" si="1367"/>
        <v>0</v>
      </c>
      <c r="MK168" s="1319">
        <f t="shared" ca="1" si="1367"/>
        <v>0</v>
      </c>
      <c r="ML168" s="1319">
        <f t="shared" ca="1" si="1367"/>
        <v>0</v>
      </c>
      <c r="MM168" s="1319">
        <f t="shared" ca="1" si="1367"/>
        <v>0</v>
      </c>
      <c r="MN168" s="1319">
        <f t="shared" ca="1" si="1367"/>
        <v>0</v>
      </c>
      <c r="MO168" s="1319">
        <f t="shared" ca="1" si="1367"/>
        <v>0</v>
      </c>
      <c r="MX168" s="1334"/>
      <c r="NA168" s="1319">
        <f t="shared" ca="1" si="1368"/>
        <v>0</v>
      </c>
      <c r="NB168" s="1319">
        <f t="shared" ca="1" si="1368"/>
        <v>0</v>
      </c>
      <c r="NC168" s="1319">
        <f t="shared" ca="1" si="1368"/>
        <v>0</v>
      </c>
      <c r="ND168" s="1319">
        <f t="shared" ca="1" si="1368"/>
        <v>0</v>
      </c>
      <c r="NE168" s="1319">
        <f t="shared" ca="1" si="1368"/>
        <v>0</v>
      </c>
      <c r="NF168" s="1319">
        <f t="shared" ca="1" si="1368"/>
        <v>0</v>
      </c>
      <c r="NG168" s="1319">
        <f t="shared" ca="1" si="1368"/>
        <v>0</v>
      </c>
      <c r="NH168" s="1319">
        <f t="shared" ca="1" si="1368"/>
        <v>0</v>
      </c>
      <c r="NI168" s="1319">
        <f t="shared" ca="1" si="1368"/>
        <v>0</v>
      </c>
      <c r="NJ168" s="1319">
        <f t="shared" ca="1" si="1368"/>
        <v>0</v>
      </c>
      <c r="NK168" s="1319">
        <f t="shared" ca="1" si="1368"/>
        <v>0</v>
      </c>
      <c r="NL168" s="1319">
        <f t="shared" ca="1" si="1368"/>
        <v>0</v>
      </c>
      <c r="NM168" s="1319">
        <f t="shared" ca="1" si="1368"/>
        <v>0</v>
      </c>
      <c r="NN168" s="1319">
        <f t="shared" ca="1" si="1368"/>
        <v>0</v>
      </c>
      <c r="NO168" s="1319">
        <f t="shared" ca="1" si="1368"/>
        <v>0</v>
      </c>
      <c r="NP168" s="1319">
        <f t="shared" ca="1" si="1368"/>
        <v>0</v>
      </c>
      <c r="NY168" s="1334"/>
      <c r="OE168" s="1334"/>
      <c r="OH168" s="1319">
        <f t="shared" ca="1" si="1369"/>
        <v>0</v>
      </c>
      <c r="OI168" s="1319">
        <f t="shared" ca="1" si="1369"/>
        <v>0</v>
      </c>
      <c r="OJ168" s="1319">
        <f t="shared" ca="1" si="1369"/>
        <v>0</v>
      </c>
      <c r="OK168" s="1319">
        <f t="shared" ca="1" si="1369"/>
        <v>0</v>
      </c>
      <c r="OL168" s="1319">
        <f t="shared" ca="1" si="1369"/>
        <v>0</v>
      </c>
      <c r="OM168" s="1319">
        <f t="shared" ca="1" si="1369"/>
        <v>0</v>
      </c>
      <c r="ON168" s="1319">
        <f t="shared" ca="1" si="1369"/>
        <v>0</v>
      </c>
      <c r="OO168" s="1319">
        <f t="shared" ca="1" si="1369"/>
        <v>0</v>
      </c>
      <c r="OX168" s="1334"/>
      <c r="PA168" s="1319">
        <f t="shared" ca="1" si="1370"/>
        <v>0</v>
      </c>
      <c r="PB168" s="1319">
        <f t="shared" ca="1" si="1370"/>
        <v>0</v>
      </c>
      <c r="PC168" s="1319">
        <f t="shared" ca="1" si="1370"/>
        <v>0</v>
      </c>
      <c r="PD168" s="1319">
        <f t="shared" ca="1" si="1370"/>
        <v>0</v>
      </c>
      <c r="PE168" s="1319">
        <f t="shared" ca="1" si="1370"/>
        <v>0</v>
      </c>
      <c r="PF168" s="1319">
        <f t="shared" ca="1" si="1370"/>
        <v>0</v>
      </c>
      <c r="PG168" s="1319">
        <f t="shared" ca="1" si="1370"/>
        <v>0</v>
      </c>
      <c r="PH168" s="1319">
        <f t="shared" ca="1" si="1370"/>
        <v>0</v>
      </c>
      <c r="PI168" s="1319">
        <f t="shared" ca="1" si="1370"/>
        <v>0</v>
      </c>
      <c r="PJ168" s="1319">
        <f t="shared" ca="1" si="1370"/>
        <v>0</v>
      </c>
      <c r="PK168" s="1319">
        <f t="shared" ca="1" si="1370"/>
        <v>0</v>
      </c>
      <c r="PT168" s="1334"/>
      <c r="PW168" s="1319">
        <f t="shared" ca="1" si="1349"/>
        <v>0</v>
      </c>
      <c r="PX168" s="1319">
        <f t="shared" ca="1" si="1349"/>
        <v>0</v>
      </c>
      <c r="PY168" s="1319">
        <f t="shared" ca="1" si="1349"/>
        <v>0</v>
      </c>
      <c r="PZ168" s="1319">
        <f t="shared" ca="1" si="1349"/>
        <v>0</v>
      </c>
    </row>
    <row r="169" spans="1:442" x14ac:dyDescent="0.25">
      <c r="A169" s="189">
        <v>137</v>
      </c>
      <c r="B169" s="189" t="s">
        <v>1320</v>
      </c>
      <c r="C169" s="1317" t="s">
        <v>2306</v>
      </c>
      <c r="D169" s="1317" t="s">
        <v>206</v>
      </c>
      <c r="E169" s="1318">
        <f>E168</f>
        <v>24.015599999999999</v>
      </c>
      <c r="F169" s="1322">
        <v>-0.12271341597443612</v>
      </c>
      <c r="G169" s="1334"/>
      <c r="J169" s="1319">
        <f t="shared" ca="1" si="1327"/>
        <v>0</v>
      </c>
      <c r="K169" s="1319">
        <f t="shared" ca="1" si="1327"/>
        <v>0</v>
      </c>
      <c r="Q169" s="1334"/>
      <c r="T169" s="1319">
        <f t="shared" ca="1" si="1350"/>
        <v>0</v>
      </c>
      <c r="U169" s="1319">
        <f t="shared" ca="1" si="1350"/>
        <v>0</v>
      </c>
      <c r="V169" s="1319">
        <f t="shared" ca="1" si="1350"/>
        <v>0</v>
      </c>
      <c r="W169" s="1319">
        <f t="shared" ca="1" si="1350"/>
        <v>0</v>
      </c>
      <c r="X169" s="1319">
        <f t="shared" ca="1" si="1350"/>
        <v>0</v>
      </c>
      <c r="Y169" s="1319">
        <f t="shared" ca="1" si="1350"/>
        <v>0</v>
      </c>
      <c r="Z169" s="1319">
        <f t="shared" ca="1" si="1350"/>
        <v>0</v>
      </c>
      <c r="AA169" s="1319">
        <f t="shared" ca="1" si="1350"/>
        <v>0</v>
      </c>
      <c r="AB169" s="1319">
        <f t="shared" ca="1" si="1350"/>
        <v>0</v>
      </c>
      <c r="AC169" s="1319">
        <f t="shared" ca="1" si="1350"/>
        <v>0</v>
      </c>
      <c r="AD169" s="1319">
        <f t="shared" ca="1" si="1350"/>
        <v>0</v>
      </c>
      <c r="AJ169" s="1334"/>
      <c r="AM169" s="1319">
        <f t="shared" ca="1" si="1351"/>
        <v>0</v>
      </c>
      <c r="AN169" s="1319">
        <f t="shared" ca="1" si="1351"/>
        <v>0</v>
      </c>
      <c r="AO169" s="1319">
        <f t="shared" ca="1" si="1351"/>
        <v>0</v>
      </c>
      <c r="AP169" s="1319">
        <f t="shared" ca="1" si="1351"/>
        <v>0</v>
      </c>
      <c r="AQ169" s="1319">
        <f t="shared" ca="1" si="1351"/>
        <v>0</v>
      </c>
      <c r="AR169" s="1319">
        <f t="shared" ca="1" si="1351"/>
        <v>0</v>
      </c>
      <c r="AS169" s="1319">
        <f t="shared" ca="1" si="1351"/>
        <v>0</v>
      </c>
      <c r="AT169" s="1319">
        <f t="shared" ca="1" si="1351"/>
        <v>0</v>
      </c>
      <c r="AU169" s="1319">
        <f t="shared" ca="1" si="1351"/>
        <v>0</v>
      </c>
      <c r="AV169" s="1319">
        <f t="shared" ca="1" si="1351"/>
        <v>0</v>
      </c>
      <c r="AW169" s="1319">
        <f t="shared" ca="1" si="1351"/>
        <v>0</v>
      </c>
      <c r="AX169" s="1319">
        <f t="shared" ca="1" si="1351"/>
        <v>0</v>
      </c>
      <c r="AY169" s="1319">
        <f t="shared" ca="1" si="1351"/>
        <v>0</v>
      </c>
      <c r="AZ169" s="1319">
        <f t="shared" ca="1" si="1351"/>
        <v>0</v>
      </c>
      <c r="BA169" s="1319">
        <f t="shared" ca="1" si="1351"/>
        <v>0</v>
      </c>
      <c r="BB169" s="1319">
        <f t="shared" ca="1" si="1351"/>
        <v>0</v>
      </c>
      <c r="BK169" s="1334"/>
      <c r="BN169" s="1319">
        <f t="shared" ca="1" si="1352"/>
        <v>-2.9568573237218607E-2</v>
      </c>
      <c r="BO169" s="1319">
        <f t="shared" ca="1" si="1352"/>
        <v>-2.9568573237218607E-2</v>
      </c>
      <c r="BP169" s="1319">
        <f t="shared" ca="1" si="1352"/>
        <v>0</v>
      </c>
      <c r="BQ169" s="1319">
        <f t="shared" ca="1" si="1352"/>
        <v>0</v>
      </c>
      <c r="BR169" s="1319">
        <f t="shared" ca="1" si="1352"/>
        <v>0</v>
      </c>
      <c r="CA169" s="1334"/>
      <c r="CD169" s="1319">
        <f t="shared" ca="1" si="1353"/>
        <v>0</v>
      </c>
      <c r="CE169" s="1319">
        <f t="shared" ca="1" si="1353"/>
        <v>0</v>
      </c>
      <c r="CF169" s="1319">
        <f t="shared" ca="1" si="1353"/>
        <v>-2.9568573237218607E-2</v>
      </c>
      <c r="CG169" s="1319">
        <f t="shared" ca="1" si="1353"/>
        <v>-2.9568573237218607E-2</v>
      </c>
      <c r="CH169" s="1319">
        <f t="shared" ca="1" si="1353"/>
        <v>-0.29568628473482811</v>
      </c>
      <c r="CI169" s="1319">
        <f t="shared" ca="1" si="1353"/>
        <v>0</v>
      </c>
      <c r="CJ169" s="1319">
        <f t="shared" ca="1" si="1353"/>
        <v>0</v>
      </c>
      <c r="CK169" s="1319">
        <f t="shared" ca="1" si="1353"/>
        <v>-0.29568573237218609</v>
      </c>
      <c r="CL169" s="1319">
        <f t="shared" ca="1" si="1353"/>
        <v>0</v>
      </c>
      <c r="CM169" s="1319">
        <f t="shared" ca="1" si="1353"/>
        <v>-0.29568628473482811</v>
      </c>
      <c r="CN169" s="1319">
        <f t="shared" ca="1" si="1353"/>
        <v>-0.29568573237218609</v>
      </c>
      <c r="CO169" s="1319">
        <f t="shared" ca="1" si="1353"/>
        <v>0</v>
      </c>
      <c r="CX169" s="1334"/>
      <c r="DA169" s="1319">
        <f t="shared" ca="1" si="1354"/>
        <v>-1.6426963807149576E-2</v>
      </c>
      <c r="DB169" s="1319">
        <f t="shared" ca="1" si="1354"/>
        <v>0</v>
      </c>
      <c r="DC169" s="1319">
        <f t="shared" ca="1" si="1354"/>
        <v>0</v>
      </c>
      <c r="DD169" s="1319">
        <f t="shared" ca="1" si="1354"/>
        <v>0</v>
      </c>
      <c r="DE169" s="1319">
        <f t="shared" ca="1" si="1354"/>
        <v>-1.6426963807149576E-2</v>
      </c>
      <c r="DF169" s="1319">
        <f t="shared" ca="1" si="1354"/>
        <v>0</v>
      </c>
      <c r="DG169" s="1319">
        <f t="shared" ca="1" si="1354"/>
        <v>0</v>
      </c>
      <c r="DH169" s="1319">
        <f t="shared" ca="1" si="1354"/>
        <v>0</v>
      </c>
      <c r="DI169" s="1319">
        <f t="shared" ca="1" si="1354"/>
        <v>0</v>
      </c>
      <c r="DJ169" s="1319">
        <f t="shared" ca="1" si="1354"/>
        <v>0</v>
      </c>
      <c r="DS169" s="1334"/>
      <c r="DV169" s="1319">
        <f t="shared" ca="1" si="1355"/>
        <v>0</v>
      </c>
      <c r="DW169" s="1319">
        <f t="shared" ca="1" si="1355"/>
        <v>0</v>
      </c>
      <c r="DX169" s="1319">
        <f t="shared" ca="1" si="1355"/>
        <v>-0.3285392761429915</v>
      </c>
      <c r="DY169" s="1319">
        <f t="shared" ca="1" si="1355"/>
        <v>-1.6426963807149576E-2</v>
      </c>
      <c r="DZ169" s="1319">
        <f t="shared" ca="1" si="1355"/>
        <v>0</v>
      </c>
      <c r="EA169" s="1319">
        <f t="shared" ca="1" si="1355"/>
        <v>-1.6426963807149576E-2</v>
      </c>
      <c r="EB169" s="1319">
        <f t="shared" ca="1" si="1355"/>
        <v>-0.31211231213145241</v>
      </c>
      <c r="EC169" s="1319">
        <f t="shared" ca="1" si="1355"/>
        <v>0</v>
      </c>
      <c r="ED169" s="1319">
        <f t="shared" ca="1" si="1355"/>
        <v>-0.29568628473482811</v>
      </c>
      <c r="EE169" s="1319">
        <f t="shared" ca="1" si="1355"/>
        <v>0</v>
      </c>
      <c r="EF169" s="1319">
        <f t="shared" ca="1" si="1355"/>
        <v>0</v>
      </c>
      <c r="EG169" s="1319">
        <f t="shared" ca="1" si="1355"/>
        <v>0</v>
      </c>
      <c r="EH169" s="1319">
        <f t="shared" ca="1" si="1355"/>
        <v>0</v>
      </c>
      <c r="EI169" s="1319">
        <f t="shared" ca="1" si="1355"/>
        <v>0</v>
      </c>
      <c r="EJ169" s="1319">
        <f t="shared" ca="1" si="1355"/>
        <v>0</v>
      </c>
      <c r="EK169" s="1319">
        <f t="shared" ca="1" si="1355"/>
        <v>0</v>
      </c>
      <c r="ET169" s="1334"/>
      <c r="EW169" s="1319">
        <f t="shared" ca="1" si="1356"/>
        <v>-0.29568573237218609</v>
      </c>
      <c r="EX169" s="1319">
        <f t="shared" ca="1" si="1356"/>
        <v>-0.29568573237218609</v>
      </c>
      <c r="EY169" s="1319">
        <f t="shared" ca="1" si="1356"/>
        <v>-0.29568573237218609</v>
      </c>
      <c r="EZ169" s="1319">
        <f t="shared" ca="1" si="1356"/>
        <v>-0.29568573237218609</v>
      </c>
      <c r="FA169" s="1319">
        <f t="shared" ca="1" si="1356"/>
        <v>0</v>
      </c>
      <c r="FB169" s="1319">
        <f t="shared" ca="1" si="1356"/>
        <v>0</v>
      </c>
      <c r="FK169" s="1334"/>
      <c r="FN169" s="1319">
        <f t="shared" ca="1" si="1357"/>
        <v>0</v>
      </c>
      <c r="FO169" s="1319">
        <f t="shared" ca="1" si="1357"/>
        <v>0</v>
      </c>
      <c r="FP169" s="1319">
        <f t="shared" ca="1" si="1357"/>
        <v>0</v>
      </c>
      <c r="FQ169" s="1319">
        <f t="shared" ca="1" si="1357"/>
        <v>0</v>
      </c>
      <c r="FR169" s="1319">
        <f t="shared" ca="1" si="1357"/>
        <v>0</v>
      </c>
      <c r="FS169" s="1319">
        <f t="shared" ca="1" si="1357"/>
        <v>0</v>
      </c>
      <c r="FT169" s="1319">
        <f t="shared" ca="1" si="1357"/>
        <v>0</v>
      </c>
      <c r="FU169" s="1319">
        <f t="shared" ca="1" si="1357"/>
        <v>0</v>
      </c>
      <c r="FV169" s="1319">
        <f t="shared" ca="1" si="1357"/>
        <v>0</v>
      </c>
      <c r="FW169" s="1319">
        <f t="shared" ca="1" si="1357"/>
        <v>0</v>
      </c>
      <c r="FX169" s="1319">
        <f t="shared" ca="1" si="1357"/>
        <v>0</v>
      </c>
      <c r="GG169" s="1334"/>
      <c r="GJ169" s="1319">
        <f t="shared" ca="1" si="1358"/>
        <v>0</v>
      </c>
      <c r="GK169" s="1319">
        <f t="shared" ca="1" si="1358"/>
        <v>0</v>
      </c>
      <c r="GL169" s="1319">
        <f t="shared" ca="1" si="1358"/>
        <v>0</v>
      </c>
      <c r="GM169" s="1319">
        <f t="shared" ca="1" si="1358"/>
        <v>0</v>
      </c>
      <c r="GN169" s="1319">
        <f t="shared" ca="1" si="1358"/>
        <v>0</v>
      </c>
      <c r="GO169" s="1319">
        <f t="shared" ca="1" si="1358"/>
        <v>0</v>
      </c>
      <c r="GP169" s="1319">
        <f t="shared" ca="1" si="1358"/>
        <v>0</v>
      </c>
      <c r="GQ169" s="1319">
        <f t="shared" ca="1" si="1358"/>
        <v>0</v>
      </c>
      <c r="GZ169" s="1334"/>
      <c r="HC169" s="1319">
        <f t="shared" ca="1" si="1359"/>
        <v>-0.29568573237218609</v>
      </c>
      <c r="HD169" s="1319">
        <f t="shared" ca="1" si="1359"/>
        <v>-5.9137146270047706E-3</v>
      </c>
      <c r="HE169" s="1319">
        <f t="shared" ca="1" si="1359"/>
        <v>0</v>
      </c>
      <c r="HF169" s="1319">
        <f t="shared" ca="1" si="1359"/>
        <v>0</v>
      </c>
      <c r="HG169" s="1319">
        <f t="shared" ca="1" si="1359"/>
        <v>-0.289772017847376</v>
      </c>
      <c r="HH169" s="1319">
        <f t="shared" ca="1" si="1359"/>
        <v>-5.9137146270047706E-3</v>
      </c>
      <c r="HQ169" s="1334"/>
      <c r="HT169" s="1319">
        <f t="shared" ca="1" si="1360"/>
        <v>0</v>
      </c>
      <c r="HU169" s="1319">
        <f t="shared" ca="1" si="1360"/>
        <v>-5.9137146270047706E-3</v>
      </c>
      <c r="HV169" s="1319">
        <f t="shared" ca="1" si="1360"/>
        <v>-5.9137146270047706E-3</v>
      </c>
      <c r="HW169" s="1319">
        <f t="shared" ca="1" si="1360"/>
        <v>-5.9137146270047706E-3</v>
      </c>
      <c r="HX169" s="1319">
        <f t="shared" ca="1" si="1360"/>
        <v>-1.5139109510536855E-3</v>
      </c>
      <c r="HY169" s="1319">
        <f t="shared" ca="1" si="1360"/>
        <v>-4.3998036963900358E-3</v>
      </c>
      <c r="HZ169" s="1319">
        <f t="shared" ca="1" si="1360"/>
        <v>0</v>
      </c>
      <c r="IA169" s="1319">
        <f t="shared" ca="1" si="1360"/>
        <v>0</v>
      </c>
      <c r="IB169" s="1319">
        <f t="shared" ca="1" si="1360"/>
        <v>0</v>
      </c>
      <c r="IC169" s="1319">
        <f t="shared" ca="1" si="1360"/>
        <v>0</v>
      </c>
      <c r="ID169" s="1319">
        <f t="shared" ca="1" si="1360"/>
        <v>0</v>
      </c>
      <c r="IE169" s="1319">
        <f t="shared" ca="1" si="1360"/>
        <v>0</v>
      </c>
      <c r="IN169" s="1334"/>
      <c r="IQ169" s="1319">
        <f t="shared" ca="1" si="1361"/>
        <v>-1.5139109510536855E-3</v>
      </c>
      <c r="IR169" s="1319">
        <f t="shared" ca="1" si="1361"/>
        <v>-4.3998036963900358E-3</v>
      </c>
      <c r="IS169" s="1319">
        <f t="shared" ca="1" si="1361"/>
        <v>-1.8251590885102937E-3</v>
      </c>
      <c r="IT169" s="1319">
        <f t="shared" ca="1" si="1361"/>
        <v>-6.2249628002295429E-3</v>
      </c>
      <c r="IU169" s="1319">
        <f t="shared" ca="1" si="1361"/>
        <v>-3.112481389895296E-4</v>
      </c>
      <c r="IV169" s="1319">
        <f t="shared" ca="1" si="1361"/>
        <v>-4.5628977187208659E-2</v>
      </c>
      <c r="IW169" s="1319">
        <f t="shared" ca="1" si="1361"/>
        <v>-4.3803818134466529E-2</v>
      </c>
      <c r="IX169" s="1319">
        <f t="shared" ca="1" si="1361"/>
        <v>0</v>
      </c>
      <c r="IY169" s="1319">
        <f t="shared" ca="1" si="1361"/>
        <v>-5.9137146270047706E-3</v>
      </c>
      <c r="IZ169" s="1319">
        <f t="shared" ca="1" si="1361"/>
        <v>0</v>
      </c>
      <c r="JA169" s="1319">
        <f t="shared" ca="1" si="1361"/>
        <v>-4.5628977187208659E-2</v>
      </c>
      <c r="JB169" s="1319">
        <f t="shared" ca="1" si="1362"/>
        <v>0</v>
      </c>
      <c r="JC169" s="1319">
        <f t="shared" ca="1" si="1362"/>
        <v>0</v>
      </c>
      <c r="JD169" s="1319">
        <f t="shared" ca="1" si="1362"/>
        <v>0</v>
      </c>
      <c r="JE169" s="1319">
        <f t="shared" ca="1" si="1362"/>
        <v>0</v>
      </c>
      <c r="JF169" s="1319">
        <f t="shared" ca="1" si="1362"/>
        <v>0</v>
      </c>
      <c r="JG169" s="1319">
        <f t="shared" ca="1" si="1362"/>
        <v>0</v>
      </c>
      <c r="JH169" s="1319">
        <f t="shared" ca="1" si="1362"/>
        <v>0</v>
      </c>
      <c r="JQ169" s="1334"/>
      <c r="JT169" s="1319">
        <f t="shared" ca="1" si="1363"/>
        <v>0</v>
      </c>
      <c r="JU169" s="1319">
        <f t="shared" ca="1" si="1363"/>
        <v>0</v>
      </c>
      <c r="JV169" s="1319">
        <f t="shared" ca="1" si="1363"/>
        <v>0</v>
      </c>
      <c r="JW169" s="1319">
        <f t="shared" ca="1" si="1363"/>
        <v>0</v>
      </c>
      <c r="JX169" s="1319">
        <f t="shared" ca="1" si="1363"/>
        <v>0</v>
      </c>
      <c r="JY169" s="1319">
        <f t="shared" ca="1" si="1363"/>
        <v>0</v>
      </c>
      <c r="JZ169" s="1319">
        <f t="shared" ca="1" si="1363"/>
        <v>0</v>
      </c>
      <c r="KA169" s="1319">
        <f t="shared" ca="1" si="1363"/>
        <v>0</v>
      </c>
      <c r="KB169" s="1319">
        <f t="shared" ca="1" si="1363"/>
        <v>0</v>
      </c>
      <c r="KC169" s="1319">
        <f t="shared" ca="1" si="1363"/>
        <v>0</v>
      </c>
      <c r="KI169" s="1334"/>
      <c r="KL169" s="1319">
        <f t="shared" ca="1" si="1364"/>
        <v>0</v>
      </c>
      <c r="KM169" s="1319">
        <f t="shared" ca="1" si="1364"/>
        <v>0</v>
      </c>
      <c r="KN169" s="1319">
        <f t="shared" ca="1" si="1364"/>
        <v>0</v>
      </c>
      <c r="KO169" s="1319">
        <f t="shared" ca="1" si="1364"/>
        <v>0</v>
      </c>
      <c r="KP169" s="1319">
        <f t="shared" ca="1" si="1364"/>
        <v>0</v>
      </c>
      <c r="KQ169" s="1319">
        <f t="shared" ca="1" si="1364"/>
        <v>0</v>
      </c>
      <c r="KR169" s="1319">
        <f t="shared" ca="1" si="1364"/>
        <v>0</v>
      </c>
      <c r="KX169" s="1334"/>
      <c r="LA169" s="1319">
        <f t="shared" ca="1" si="1365"/>
        <v>0</v>
      </c>
      <c r="LB169" s="1319">
        <f t="shared" ca="1" si="1365"/>
        <v>0</v>
      </c>
      <c r="LC169" s="1319">
        <f t="shared" ca="1" si="1365"/>
        <v>0</v>
      </c>
      <c r="LD169" s="1319">
        <f t="shared" ca="1" si="1365"/>
        <v>0</v>
      </c>
      <c r="LE169" s="1319">
        <f t="shared" ca="1" si="1365"/>
        <v>0</v>
      </c>
      <c r="LF169" s="1319">
        <f t="shared" ca="1" si="1365"/>
        <v>0</v>
      </c>
      <c r="LG169" s="1319">
        <f t="shared" ca="1" si="1365"/>
        <v>0</v>
      </c>
      <c r="LH169" s="1319">
        <f t="shared" ca="1" si="1365"/>
        <v>0</v>
      </c>
      <c r="LI169" s="1319">
        <f t="shared" ca="1" si="1365"/>
        <v>0</v>
      </c>
      <c r="LJ169" s="1319">
        <f t="shared" ca="1" si="1365"/>
        <v>0</v>
      </c>
      <c r="LK169" s="1319">
        <f t="shared" ca="1" si="1365"/>
        <v>0</v>
      </c>
      <c r="LT169" s="1334"/>
      <c r="LW169" s="1319">
        <f t="shared" ca="1" si="1366"/>
        <v>0</v>
      </c>
      <c r="LX169" s="1319">
        <f t="shared" ca="1" si="1366"/>
        <v>0</v>
      </c>
      <c r="LY169" s="1319">
        <f t="shared" ca="1" si="1366"/>
        <v>-0.289772017847376</v>
      </c>
      <c r="LZ169" s="1319">
        <f t="shared" ca="1" si="1366"/>
        <v>-5.9137146270047706E-3</v>
      </c>
      <c r="MA169" s="1319">
        <f t="shared" ca="1" si="1366"/>
        <v>-0.29568573237218609</v>
      </c>
      <c r="MB169" s="1319">
        <f t="shared" ca="1" si="1366"/>
        <v>0</v>
      </c>
      <c r="MC169" s="1319">
        <f t="shared" ca="1" si="1366"/>
        <v>0</v>
      </c>
      <c r="MD169" s="1319">
        <f t="shared" ca="1" si="1366"/>
        <v>0</v>
      </c>
      <c r="ME169" s="1319">
        <f t="shared" ca="1" si="1366"/>
        <v>0</v>
      </c>
      <c r="MF169" s="1319">
        <f t="shared" ca="1" si="1366"/>
        <v>0</v>
      </c>
      <c r="MG169" s="1319">
        <f t="shared" ca="1" si="1367"/>
        <v>0</v>
      </c>
      <c r="MH169" s="1319">
        <f t="shared" ca="1" si="1367"/>
        <v>0</v>
      </c>
      <c r="MI169" s="1319">
        <f t="shared" ca="1" si="1367"/>
        <v>0</v>
      </c>
      <c r="MJ169" s="1319">
        <f t="shared" ca="1" si="1367"/>
        <v>0</v>
      </c>
      <c r="MK169" s="1319">
        <f t="shared" ca="1" si="1367"/>
        <v>0</v>
      </c>
      <c r="ML169" s="1319">
        <f t="shared" ca="1" si="1367"/>
        <v>0</v>
      </c>
      <c r="MM169" s="1319">
        <f t="shared" ca="1" si="1367"/>
        <v>0</v>
      </c>
      <c r="MN169" s="1319">
        <f t="shared" ca="1" si="1367"/>
        <v>0</v>
      </c>
      <c r="MO169" s="1319">
        <f t="shared" ca="1" si="1367"/>
        <v>0</v>
      </c>
      <c r="MX169" s="1334"/>
      <c r="NA169" s="1319">
        <f t="shared" ca="1" si="1368"/>
        <v>0</v>
      </c>
      <c r="NB169" s="1319">
        <f t="shared" ca="1" si="1368"/>
        <v>0</v>
      </c>
      <c r="NC169" s="1319">
        <f t="shared" ca="1" si="1368"/>
        <v>0</v>
      </c>
      <c r="ND169" s="1319">
        <f t="shared" ca="1" si="1368"/>
        <v>0</v>
      </c>
      <c r="NE169" s="1319">
        <f t="shared" ca="1" si="1368"/>
        <v>0</v>
      </c>
      <c r="NF169" s="1319">
        <f t="shared" ca="1" si="1368"/>
        <v>0</v>
      </c>
      <c r="NG169" s="1319">
        <f t="shared" ca="1" si="1368"/>
        <v>0</v>
      </c>
      <c r="NH169" s="1319">
        <f t="shared" ca="1" si="1368"/>
        <v>0</v>
      </c>
      <c r="NI169" s="1319">
        <f t="shared" ca="1" si="1368"/>
        <v>0</v>
      </c>
      <c r="NJ169" s="1319">
        <f t="shared" ca="1" si="1368"/>
        <v>0</v>
      </c>
      <c r="NK169" s="1319">
        <f t="shared" ca="1" si="1368"/>
        <v>0</v>
      </c>
      <c r="NL169" s="1319">
        <f t="shared" ca="1" si="1368"/>
        <v>0</v>
      </c>
      <c r="NM169" s="1319">
        <f t="shared" ca="1" si="1368"/>
        <v>0</v>
      </c>
      <c r="NN169" s="1319">
        <f t="shared" ca="1" si="1368"/>
        <v>0</v>
      </c>
      <c r="NO169" s="1319">
        <f t="shared" ca="1" si="1368"/>
        <v>0</v>
      </c>
      <c r="NP169" s="1319">
        <f t="shared" ca="1" si="1368"/>
        <v>0</v>
      </c>
      <c r="NY169" s="1334"/>
      <c r="OE169" s="1334"/>
      <c r="OH169" s="1319">
        <f t="shared" ca="1" si="1369"/>
        <v>0</v>
      </c>
      <c r="OI169" s="1319">
        <f t="shared" ca="1" si="1369"/>
        <v>0</v>
      </c>
      <c r="OJ169" s="1319">
        <f t="shared" ca="1" si="1369"/>
        <v>0</v>
      </c>
      <c r="OK169" s="1319">
        <f t="shared" ca="1" si="1369"/>
        <v>0</v>
      </c>
      <c r="OL169" s="1319">
        <f t="shared" ca="1" si="1369"/>
        <v>0</v>
      </c>
      <c r="OM169" s="1319">
        <f t="shared" ca="1" si="1369"/>
        <v>0</v>
      </c>
      <c r="ON169" s="1319">
        <f t="shared" ca="1" si="1369"/>
        <v>0</v>
      </c>
      <c r="OO169" s="1319">
        <f t="shared" ca="1" si="1369"/>
        <v>0</v>
      </c>
      <c r="OX169" s="1334"/>
      <c r="PA169" s="1319">
        <f t="shared" ca="1" si="1370"/>
        <v>0</v>
      </c>
      <c r="PB169" s="1319">
        <f t="shared" ca="1" si="1370"/>
        <v>0</v>
      </c>
      <c r="PC169" s="1319">
        <f t="shared" ca="1" si="1370"/>
        <v>0</v>
      </c>
      <c r="PD169" s="1319">
        <f t="shared" ca="1" si="1370"/>
        <v>0</v>
      </c>
      <c r="PE169" s="1319">
        <f t="shared" ca="1" si="1370"/>
        <v>0</v>
      </c>
      <c r="PF169" s="1319">
        <f t="shared" ca="1" si="1370"/>
        <v>0</v>
      </c>
      <c r="PG169" s="1319">
        <f t="shared" ca="1" si="1370"/>
        <v>0</v>
      </c>
      <c r="PH169" s="1319">
        <f t="shared" ca="1" si="1370"/>
        <v>0</v>
      </c>
      <c r="PI169" s="1319">
        <f t="shared" ca="1" si="1370"/>
        <v>0</v>
      </c>
      <c r="PJ169" s="1319">
        <f t="shared" ca="1" si="1370"/>
        <v>0</v>
      </c>
      <c r="PK169" s="1319">
        <f t="shared" ca="1" si="1370"/>
        <v>0</v>
      </c>
      <c r="PT169" s="1334"/>
      <c r="PW169" s="1319">
        <f t="shared" ca="1" si="1349"/>
        <v>0</v>
      </c>
      <c r="PX169" s="1319">
        <f t="shared" ca="1" si="1349"/>
        <v>0</v>
      </c>
      <c r="PY169" s="1319">
        <f t="shared" ca="1" si="1349"/>
        <v>0</v>
      </c>
      <c r="PZ169" s="1319">
        <f t="shared" ca="1" si="1349"/>
        <v>0</v>
      </c>
    </row>
    <row r="170" spans="1:442" x14ac:dyDescent="0.25">
      <c r="A170" s="189">
        <v>138</v>
      </c>
      <c r="B170" s="189" t="s">
        <v>1320</v>
      </c>
      <c r="C170" s="1317" t="s">
        <v>1263</v>
      </c>
      <c r="D170" s="1317" t="s">
        <v>206</v>
      </c>
      <c r="E170" s="1318">
        <v>24.626339999999999</v>
      </c>
      <c r="F170" s="1316">
        <v>-0.11479951275517648</v>
      </c>
      <c r="G170" s="1334"/>
      <c r="J170" s="1319">
        <f t="shared" ca="1" si="1327"/>
        <v>0</v>
      </c>
      <c r="K170" s="1319">
        <f t="shared" ca="1" si="1327"/>
        <v>0</v>
      </c>
      <c r="Q170" s="1334"/>
      <c r="T170" s="1319">
        <f t="shared" ca="1" si="1350"/>
        <v>0</v>
      </c>
      <c r="U170" s="1319">
        <f t="shared" ca="1" si="1350"/>
        <v>0</v>
      </c>
      <c r="V170" s="1319">
        <f t="shared" ca="1" si="1350"/>
        <v>0</v>
      </c>
      <c r="W170" s="1319">
        <f t="shared" ca="1" si="1350"/>
        <v>0</v>
      </c>
      <c r="X170" s="1319">
        <f t="shared" ca="1" si="1350"/>
        <v>0</v>
      </c>
      <c r="Y170" s="1319">
        <f t="shared" ca="1" si="1350"/>
        <v>0</v>
      </c>
      <c r="Z170" s="1319">
        <f t="shared" ca="1" si="1350"/>
        <v>0</v>
      </c>
      <c r="AA170" s="1319">
        <f t="shared" ca="1" si="1350"/>
        <v>0</v>
      </c>
      <c r="AB170" s="1319">
        <f t="shared" ca="1" si="1350"/>
        <v>0</v>
      </c>
      <c r="AC170" s="1319">
        <f t="shared" ca="1" si="1350"/>
        <v>0</v>
      </c>
      <c r="AD170" s="1319">
        <f t="shared" ca="1" si="1350"/>
        <v>0</v>
      </c>
      <c r="AJ170" s="1334"/>
      <c r="AM170" s="1319">
        <f t="shared" ca="1" si="1351"/>
        <v>0</v>
      </c>
      <c r="AN170" s="1319">
        <f t="shared" ca="1" si="1351"/>
        <v>0</v>
      </c>
      <c r="AO170" s="1319">
        <f t="shared" ca="1" si="1351"/>
        <v>0</v>
      </c>
      <c r="AP170" s="1319">
        <f t="shared" ca="1" si="1351"/>
        <v>0</v>
      </c>
      <c r="AQ170" s="1319">
        <f t="shared" ca="1" si="1351"/>
        <v>0</v>
      </c>
      <c r="AR170" s="1319">
        <f t="shared" ca="1" si="1351"/>
        <v>0</v>
      </c>
      <c r="AS170" s="1319">
        <f t="shared" ca="1" si="1351"/>
        <v>0</v>
      </c>
      <c r="AT170" s="1319">
        <f t="shared" ca="1" si="1351"/>
        <v>0</v>
      </c>
      <c r="AU170" s="1319">
        <f t="shared" ca="1" si="1351"/>
        <v>0</v>
      </c>
      <c r="AV170" s="1319">
        <f t="shared" ca="1" si="1351"/>
        <v>0</v>
      </c>
      <c r="AW170" s="1319">
        <f t="shared" ca="1" si="1351"/>
        <v>0</v>
      </c>
      <c r="AX170" s="1319">
        <f t="shared" ca="1" si="1351"/>
        <v>0</v>
      </c>
      <c r="AY170" s="1319">
        <f t="shared" ca="1" si="1351"/>
        <v>0</v>
      </c>
      <c r="AZ170" s="1319">
        <f t="shared" ca="1" si="1351"/>
        <v>0</v>
      </c>
      <c r="BA170" s="1319">
        <f t="shared" ca="1" si="1351"/>
        <v>0</v>
      </c>
      <c r="BB170" s="1319">
        <f t="shared" ca="1" si="1351"/>
        <v>0</v>
      </c>
      <c r="BK170" s="1334"/>
      <c r="BN170" s="1319">
        <f t="shared" ca="1" si="1352"/>
        <v>0</v>
      </c>
      <c r="BO170" s="1319">
        <f t="shared" ca="1" si="1352"/>
        <v>-0.70601017878071615</v>
      </c>
      <c r="BP170" s="1319">
        <f t="shared" ca="1" si="1352"/>
        <v>0</v>
      </c>
      <c r="BQ170" s="1319">
        <f t="shared" ca="1" si="1352"/>
        <v>0</v>
      </c>
      <c r="BR170" s="1319">
        <f t="shared" ca="1" si="1352"/>
        <v>0</v>
      </c>
      <c r="CA170" s="1334"/>
      <c r="CD170" s="1319">
        <f t="shared" ca="1" si="1353"/>
        <v>0</v>
      </c>
      <c r="CE170" s="1319">
        <f t="shared" ca="1" si="1353"/>
        <v>0</v>
      </c>
      <c r="CF170" s="1319">
        <f t="shared" ca="1" si="1353"/>
        <v>0</v>
      </c>
      <c r="CG170" s="1319">
        <f t="shared" ca="1" si="1353"/>
        <v>-0.70601017878071615</v>
      </c>
      <c r="CH170" s="1319">
        <f t="shared" ca="1" si="1353"/>
        <v>0</v>
      </c>
      <c r="CI170" s="1319">
        <f t="shared" ca="1" si="1353"/>
        <v>0</v>
      </c>
      <c r="CJ170" s="1319">
        <f t="shared" ca="1" si="1353"/>
        <v>0</v>
      </c>
      <c r="CK170" s="1319">
        <f t="shared" ca="1" si="1353"/>
        <v>-3.8970704603368538</v>
      </c>
      <c r="CL170" s="1319">
        <f t="shared" ca="1" si="1353"/>
        <v>0</v>
      </c>
      <c r="CM170" s="1319">
        <f t="shared" ca="1" si="1353"/>
        <v>0</v>
      </c>
      <c r="CN170" s="1319">
        <f t="shared" ca="1" si="1353"/>
        <v>-3.8970704603368538</v>
      </c>
      <c r="CO170" s="1319">
        <f t="shared" ca="1" si="1353"/>
        <v>0</v>
      </c>
      <c r="CX170" s="1334"/>
      <c r="DA170" s="1319">
        <f t="shared" ca="1" si="1354"/>
        <v>0</v>
      </c>
      <c r="DB170" s="1319">
        <f t="shared" ca="1" si="1354"/>
        <v>0</v>
      </c>
      <c r="DC170" s="1319">
        <f t="shared" ca="1" si="1354"/>
        <v>0</v>
      </c>
      <c r="DD170" s="1319">
        <f t="shared" ca="1" si="1354"/>
        <v>0</v>
      </c>
      <c r="DE170" s="1319">
        <f t="shared" ca="1" si="1354"/>
        <v>0</v>
      </c>
      <c r="DF170" s="1319">
        <f t="shared" ca="1" si="1354"/>
        <v>0</v>
      </c>
      <c r="DG170" s="1319">
        <f t="shared" ca="1" si="1354"/>
        <v>0</v>
      </c>
      <c r="DH170" s="1319">
        <f t="shared" ca="1" si="1354"/>
        <v>0</v>
      </c>
      <c r="DI170" s="1319">
        <f t="shared" ca="1" si="1354"/>
        <v>0</v>
      </c>
      <c r="DJ170" s="1319">
        <f t="shared" ca="1" si="1354"/>
        <v>0</v>
      </c>
      <c r="DS170" s="1334"/>
      <c r="DV170" s="1319">
        <f t="shared" ca="1" si="1355"/>
        <v>0</v>
      </c>
      <c r="DW170" s="1319">
        <f t="shared" ca="1" si="1355"/>
        <v>0</v>
      </c>
      <c r="DX170" s="1319">
        <f t="shared" ca="1" si="1355"/>
        <v>0</v>
      </c>
      <c r="DY170" s="1319">
        <f t="shared" ca="1" si="1355"/>
        <v>0</v>
      </c>
      <c r="DZ170" s="1319">
        <f t="shared" ca="1" si="1355"/>
        <v>0</v>
      </c>
      <c r="EA170" s="1319">
        <f t="shared" ca="1" si="1355"/>
        <v>0</v>
      </c>
      <c r="EB170" s="1319">
        <f t="shared" ca="1" si="1355"/>
        <v>0</v>
      </c>
      <c r="EC170" s="1319">
        <f t="shared" ca="1" si="1355"/>
        <v>0</v>
      </c>
      <c r="ED170" s="1319">
        <f t="shared" ca="1" si="1355"/>
        <v>0</v>
      </c>
      <c r="EE170" s="1319">
        <f t="shared" ca="1" si="1355"/>
        <v>0</v>
      </c>
      <c r="EF170" s="1319">
        <f t="shared" ca="1" si="1355"/>
        <v>0</v>
      </c>
      <c r="EG170" s="1319">
        <f t="shared" ca="1" si="1355"/>
        <v>0</v>
      </c>
      <c r="EH170" s="1319">
        <f t="shared" ca="1" si="1355"/>
        <v>0</v>
      </c>
      <c r="EI170" s="1319">
        <f t="shared" ca="1" si="1355"/>
        <v>0</v>
      </c>
      <c r="EJ170" s="1319">
        <f t="shared" ca="1" si="1355"/>
        <v>0</v>
      </c>
      <c r="EK170" s="1319">
        <f t="shared" ca="1" si="1355"/>
        <v>0</v>
      </c>
      <c r="ET170" s="1334"/>
      <c r="EW170" s="1319">
        <f t="shared" ca="1" si="1356"/>
        <v>-3.8970704603368538</v>
      </c>
      <c r="EX170" s="1319">
        <f t="shared" ca="1" si="1356"/>
        <v>-3.8970704603368538</v>
      </c>
      <c r="EY170" s="1319">
        <f t="shared" ca="1" si="1356"/>
        <v>-3.8970704603368538</v>
      </c>
      <c r="EZ170" s="1319">
        <f t="shared" ca="1" si="1356"/>
        <v>-3.8970704603368538</v>
      </c>
      <c r="FA170" s="1319">
        <f t="shared" ca="1" si="1356"/>
        <v>0</v>
      </c>
      <c r="FB170" s="1319">
        <f t="shared" ca="1" si="1356"/>
        <v>0</v>
      </c>
      <c r="FK170" s="1334"/>
      <c r="FN170" s="1319">
        <f t="shared" ca="1" si="1357"/>
        <v>0</v>
      </c>
      <c r="FO170" s="1319">
        <f t="shared" ca="1" si="1357"/>
        <v>0</v>
      </c>
      <c r="FP170" s="1319">
        <f t="shared" ca="1" si="1357"/>
        <v>0</v>
      </c>
      <c r="FQ170" s="1319">
        <f t="shared" ca="1" si="1357"/>
        <v>0</v>
      </c>
      <c r="FR170" s="1319">
        <f t="shared" ca="1" si="1357"/>
        <v>0</v>
      </c>
      <c r="FS170" s="1319">
        <f t="shared" ca="1" si="1357"/>
        <v>0</v>
      </c>
      <c r="FT170" s="1319">
        <f t="shared" ca="1" si="1357"/>
        <v>0</v>
      </c>
      <c r="FU170" s="1319">
        <f t="shared" ca="1" si="1357"/>
        <v>0</v>
      </c>
      <c r="FV170" s="1319">
        <f t="shared" ca="1" si="1357"/>
        <v>0</v>
      </c>
      <c r="FW170" s="1319">
        <f t="shared" ca="1" si="1357"/>
        <v>0</v>
      </c>
      <c r="FX170" s="1319">
        <f t="shared" ca="1" si="1357"/>
        <v>0</v>
      </c>
      <c r="GG170" s="1334"/>
      <c r="GJ170" s="1319">
        <f t="shared" ca="1" si="1358"/>
        <v>0</v>
      </c>
      <c r="GK170" s="1319">
        <f t="shared" ca="1" si="1358"/>
        <v>0</v>
      </c>
      <c r="GL170" s="1319">
        <f t="shared" ca="1" si="1358"/>
        <v>0</v>
      </c>
      <c r="GM170" s="1319">
        <f t="shared" ca="1" si="1358"/>
        <v>0</v>
      </c>
      <c r="GN170" s="1319">
        <f t="shared" ca="1" si="1358"/>
        <v>0</v>
      </c>
      <c r="GO170" s="1319">
        <f t="shared" ca="1" si="1358"/>
        <v>0</v>
      </c>
      <c r="GP170" s="1319">
        <f t="shared" ca="1" si="1358"/>
        <v>0</v>
      </c>
      <c r="GQ170" s="1319">
        <f t="shared" ca="1" si="1358"/>
        <v>0</v>
      </c>
      <c r="GZ170" s="1334"/>
      <c r="HC170" s="1319">
        <f t="shared" ca="1" si="1359"/>
        <v>-3.8970704603368538</v>
      </c>
      <c r="HD170" s="1319">
        <f t="shared" ca="1" si="1359"/>
        <v>-7.7941409299970191E-2</v>
      </c>
      <c r="HE170" s="1319">
        <f t="shared" ca="1" si="1359"/>
        <v>0</v>
      </c>
      <c r="HF170" s="1319">
        <f t="shared" ca="1" si="1359"/>
        <v>0</v>
      </c>
      <c r="HG170" s="1319">
        <f t="shared" ca="1" si="1359"/>
        <v>-3.8191290491722212</v>
      </c>
      <c r="HH170" s="1319">
        <f t="shared" ca="1" si="1359"/>
        <v>-7.7941409299970191E-2</v>
      </c>
      <c r="HQ170" s="1334"/>
      <c r="HT170" s="1319">
        <f t="shared" ca="1" si="1360"/>
        <v>0</v>
      </c>
      <c r="HU170" s="1319">
        <f t="shared" ca="1" si="1360"/>
        <v>-7.7941409299970191E-2</v>
      </c>
      <c r="HV170" s="1319">
        <f t="shared" ca="1" si="1360"/>
        <v>-7.7941409299970191E-2</v>
      </c>
      <c r="HW170" s="1319">
        <f t="shared" ca="1" si="1360"/>
        <v>-7.7941409299970191E-2</v>
      </c>
      <c r="HX170" s="1319">
        <f t="shared" ca="1" si="1360"/>
        <v>-1.9953000745363787E-2</v>
      </c>
      <c r="HY170" s="1319">
        <f t="shared" ca="1" si="1360"/>
        <v>-5.7988408321523625E-2</v>
      </c>
      <c r="HZ170" s="1319">
        <f t="shared" ca="1" si="1360"/>
        <v>0</v>
      </c>
      <c r="IA170" s="1319">
        <f t="shared" ca="1" si="1360"/>
        <v>0</v>
      </c>
      <c r="IB170" s="1319">
        <f t="shared" ca="1" si="1360"/>
        <v>0</v>
      </c>
      <c r="IC170" s="1319">
        <f t="shared" ca="1" si="1360"/>
        <v>0</v>
      </c>
      <c r="ID170" s="1319">
        <f t="shared" ca="1" si="1360"/>
        <v>0</v>
      </c>
      <c r="IE170" s="1319">
        <f t="shared" ca="1" si="1360"/>
        <v>0</v>
      </c>
      <c r="IN170" s="1334"/>
      <c r="IQ170" s="1319">
        <f t="shared" ca="1" si="1361"/>
        <v>-1.9953000745363787E-2</v>
      </c>
      <c r="IR170" s="1319">
        <f t="shared" ca="1" si="1361"/>
        <v>-5.7988408321523625E-2</v>
      </c>
      <c r="IS170" s="1319">
        <f t="shared" ca="1" si="1361"/>
        <v>-2.4055180182204323E-2</v>
      </c>
      <c r="IT170" s="1319">
        <f t="shared" ca="1" si="1361"/>
        <v>-8.2043588736810738E-2</v>
      </c>
      <c r="IU170" s="1319">
        <f t="shared" ca="1" si="1361"/>
        <v>-4.1021794321788813E-3</v>
      </c>
      <c r="IV170" s="1319">
        <f t="shared" ca="1" si="1361"/>
        <v>-0.60137950338969415</v>
      </c>
      <c r="IW170" s="1319">
        <f t="shared" ca="1" si="1361"/>
        <v>-0.57732432623756591</v>
      </c>
      <c r="IX170" s="1319">
        <f t="shared" ca="1" si="1361"/>
        <v>0</v>
      </c>
      <c r="IY170" s="1319">
        <f t="shared" ca="1" si="1361"/>
        <v>-7.7941409299970191E-2</v>
      </c>
      <c r="IZ170" s="1319">
        <f t="shared" ca="1" si="1361"/>
        <v>0</v>
      </c>
      <c r="JA170" s="1319">
        <f t="shared" ca="1" si="1361"/>
        <v>-0.60137950338969415</v>
      </c>
      <c r="JB170" s="1319">
        <f t="shared" ca="1" si="1362"/>
        <v>0</v>
      </c>
      <c r="JC170" s="1319">
        <f t="shared" ca="1" si="1362"/>
        <v>0</v>
      </c>
      <c r="JD170" s="1319">
        <f t="shared" ca="1" si="1362"/>
        <v>0</v>
      </c>
      <c r="JE170" s="1319">
        <f t="shared" ca="1" si="1362"/>
        <v>0</v>
      </c>
      <c r="JF170" s="1319">
        <f t="shared" ca="1" si="1362"/>
        <v>0</v>
      </c>
      <c r="JG170" s="1319">
        <f t="shared" ca="1" si="1362"/>
        <v>0</v>
      </c>
      <c r="JH170" s="1319">
        <f t="shared" ca="1" si="1362"/>
        <v>0</v>
      </c>
      <c r="JQ170" s="1334"/>
      <c r="JT170" s="1319">
        <f t="shared" ca="1" si="1363"/>
        <v>0</v>
      </c>
      <c r="JU170" s="1319">
        <f t="shared" ca="1" si="1363"/>
        <v>0</v>
      </c>
      <c r="JV170" s="1319">
        <f t="shared" ca="1" si="1363"/>
        <v>0</v>
      </c>
      <c r="JW170" s="1319">
        <f t="shared" ca="1" si="1363"/>
        <v>0</v>
      </c>
      <c r="JX170" s="1319">
        <f t="shared" ca="1" si="1363"/>
        <v>0</v>
      </c>
      <c r="JY170" s="1319">
        <f t="shared" ca="1" si="1363"/>
        <v>0</v>
      </c>
      <c r="JZ170" s="1319">
        <f t="shared" ca="1" si="1363"/>
        <v>0</v>
      </c>
      <c r="KA170" s="1319">
        <f t="shared" ca="1" si="1363"/>
        <v>0</v>
      </c>
      <c r="KB170" s="1319">
        <f t="shared" ca="1" si="1363"/>
        <v>0</v>
      </c>
      <c r="KC170" s="1319">
        <f t="shared" ca="1" si="1363"/>
        <v>0</v>
      </c>
      <c r="KI170" s="1334"/>
      <c r="KL170" s="1319">
        <f t="shared" ca="1" si="1364"/>
        <v>0</v>
      </c>
      <c r="KM170" s="1319">
        <f t="shared" ca="1" si="1364"/>
        <v>0</v>
      </c>
      <c r="KN170" s="1319">
        <f t="shared" ca="1" si="1364"/>
        <v>0</v>
      </c>
      <c r="KO170" s="1319">
        <f t="shared" ca="1" si="1364"/>
        <v>0</v>
      </c>
      <c r="KP170" s="1319">
        <f t="shared" ca="1" si="1364"/>
        <v>0</v>
      </c>
      <c r="KQ170" s="1319">
        <f t="shared" ca="1" si="1364"/>
        <v>0</v>
      </c>
      <c r="KR170" s="1319">
        <f t="shared" ca="1" si="1364"/>
        <v>0</v>
      </c>
      <c r="KX170" s="1334"/>
      <c r="LA170" s="1319">
        <f t="shared" ca="1" si="1365"/>
        <v>0</v>
      </c>
      <c r="LB170" s="1319">
        <f t="shared" ca="1" si="1365"/>
        <v>0</v>
      </c>
      <c r="LC170" s="1319">
        <f t="shared" ca="1" si="1365"/>
        <v>0</v>
      </c>
      <c r="LD170" s="1319">
        <f t="shared" ca="1" si="1365"/>
        <v>0</v>
      </c>
      <c r="LE170" s="1319">
        <f t="shared" ca="1" si="1365"/>
        <v>0</v>
      </c>
      <c r="LF170" s="1319">
        <f t="shared" ca="1" si="1365"/>
        <v>0</v>
      </c>
      <c r="LG170" s="1319">
        <f t="shared" ca="1" si="1365"/>
        <v>0</v>
      </c>
      <c r="LH170" s="1319">
        <f t="shared" ca="1" si="1365"/>
        <v>0</v>
      </c>
      <c r="LI170" s="1319">
        <f t="shared" ca="1" si="1365"/>
        <v>0</v>
      </c>
      <c r="LJ170" s="1319">
        <f t="shared" ca="1" si="1365"/>
        <v>0</v>
      </c>
      <c r="LK170" s="1319">
        <f t="shared" ca="1" si="1365"/>
        <v>0</v>
      </c>
      <c r="LT170" s="1334"/>
      <c r="LW170" s="1319">
        <f t="shared" ca="1" si="1366"/>
        <v>0</v>
      </c>
      <c r="LX170" s="1319">
        <f t="shared" ca="1" si="1366"/>
        <v>0</v>
      </c>
      <c r="LY170" s="1319">
        <f t="shared" ca="1" si="1366"/>
        <v>-3.8191290491722212</v>
      </c>
      <c r="LZ170" s="1319">
        <f t="shared" ca="1" si="1366"/>
        <v>-7.7941409299970191E-2</v>
      </c>
      <c r="MA170" s="1319">
        <f t="shared" ca="1" si="1366"/>
        <v>-3.8970704603368538</v>
      </c>
      <c r="MB170" s="1319">
        <f t="shared" ca="1" si="1366"/>
        <v>0</v>
      </c>
      <c r="MC170" s="1319">
        <f t="shared" ca="1" si="1366"/>
        <v>0</v>
      </c>
      <c r="MD170" s="1319">
        <f t="shared" ca="1" si="1366"/>
        <v>0</v>
      </c>
      <c r="ME170" s="1319">
        <f t="shared" ca="1" si="1366"/>
        <v>0</v>
      </c>
      <c r="MF170" s="1319">
        <f t="shared" ca="1" si="1366"/>
        <v>0</v>
      </c>
      <c r="MG170" s="1319">
        <f t="shared" ca="1" si="1367"/>
        <v>0</v>
      </c>
      <c r="MH170" s="1319">
        <f t="shared" ca="1" si="1367"/>
        <v>0</v>
      </c>
      <c r="MI170" s="1319">
        <f t="shared" ca="1" si="1367"/>
        <v>0</v>
      </c>
      <c r="MJ170" s="1319">
        <f t="shared" ca="1" si="1367"/>
        <v>0</v>
      </c>
      <c r="MK170" s="1319">
        <f t="shared" ca="1" si="1367"/>
        <v>0</v>
      </c>
      <c r="ML170" s="1319">
        <f t="shared" ca="1" si="1367"/>
        <v>0</v>
      </c>
      <c r="MM170" s="1319">
        <f t="shared" ca="1" si="1367"/>
        <v>0</v>
      </c>
      <c r="MN170" s="1319">
        <f t="shared" ca="1" si="1367"/>
        <v>0</v>
      </c>
      <c r="MO170" s="1319">
        <f t="shared" ca="1" si="1367"/>
        <v>0</v>
      </c>
      <c r="MX170" s="1334"/>
      <c r="NA170" s="1319">
        <f t="shared" ca="1" si="1368"/>
        <v>0</v>
      </c>
      <c r="NB170" s="1319">
        <f t="shared" ca="1" si="1368"/>
        <v>0</v>
      </c>
      <c r="NC170" s="1319">
        <f t="shared" ca="1" si="1368"/>
        <v>0</v>
      </c>
      <c r="ND170" s="1319">
        <f t="shared" ca="1" si="1368"/>
        <v>0</v>
      </c>
      <c r="NE170" s="1319">
        <f t="shared" ca="1" si="1368"/>
        <v>0</v>
      </c>
      <c r="NF170" s="1319">
        <f t="shared" ca="1" si="1368"/>
        <v>0</v>
      </c>
      <c r="NG170" s="1319">
        <f t="shared" ca="1" si="1368"/>
        <v>0</v>
      </c>
      <c r="NH170" s="1319">
        <f t="shared" ca="1" si="1368"/>
        <v>0</v>
      </c>
      <c r="NI170" s="1319">
        <f t="shared" ca="1" si="1368"/>
        <v>0</v>
      </c>
      <c r="NJ170" s="1319">
        <f t="shared" ca="1" si="1368"/>
        <v>0</v>
      </c>
      <c r="NK170" s="1319">
        <f t="shared" ca="1" si="1368"/>
        <v>0</v>
      </c>
      <c r="NL170" s="1319">
        <f t="shared" ca="1" si="1368"/>
        <v>0</v>
      </c>
      <c r="NM170" s="1319">
        <f t="shared" ca="1" si="1368"/>
        <v>0</v>
      </c>
      <c r="NN170" s="1319">
        <f t="shared" ca="1" si="1368"/>
        <v>0</v>
      </c>
      <c r="NO170" s="1319">
        <f t="shared" ca="1" si="1368"/>
        <v>0</v>
      </c>
      <c r="NP170" s="1319">
        <f t="shared" ca="1" si="1368"/>
        <v>0</v>
      </c>
      <c r="NY170" s="1334"/>
      <c r="OE170" s="1334"/>
      <c r="OH170" s="1319">
        <f t="shared" ca="1" si="1369"/>
        <v>0</v>
      </c>
      <c r="OI170" s="1319">
        <f t="shared" ca="1" si="1369"/>
        <v>0</v>
      </c>
      <c r="OJ170" s="1319">
        <f t="shared" ca="1" si="1369"/>
        <v>0</v>
      </c>
      <c r="OK170" s="1319">
        <f t="shared" ca="1" si="1369"/>
        <v>0</v>
      </c>
      <c r="OL170" s="1319">
        <f t="shared" ca="1" si="1369"/>
        <v>0</v>
      </c>
      <c r="OM170" s="1319">
        <f t="shared" ca="1" si="1369"/>
        <v>0</v>
      </c>
      <c r="ON170" s="1319">
        <f t="shared" ca="1" si="1369"/>
        <v>0</v>
      </c>
      <c r="OO170" s="1319">
        <f t="shared" ca="1" si="1369"/>
        <v>0</v>
      </c>
      <c r="OX170" s="1334"/>
      <c r="PA170" s="1319">
        <f t="shared" ca="1" si="1370"/>
        <v>0</v>
      </c>
      <c r="PB170" s="1319">
        <f t="shared" ca="1" si="1370"/>
        <v>0</v>
      </c>
      <c r="PC170" s="1319">
        <f t="shared" ca="1" si="1370"/>
        <v>0</v>
      </c>
      <c r="PD170" s="1319">
        <f t="shared" ca="1" si="1370"/>
        <v>0</v>
      </c>
      <c r="PE170" s="1319">
        <f t="shared" ca="1" si="1370"/>
        <v>0</v>
      </c>
      <c r="PF170" s="1319">
        <f t="shared" ca="1" si="1370"/>
        <v>0</v>
      </c>
      <c r="PG170" s="1319">
        <f t="shared" ca="1" si="1370"/>
        <v>0</v>
      </c>
      <c r="PH170" s="1319">
        <f t="shared" ca="1" si="1370"/>
        <v>0</v>
      </c>
      <c r="PI170" s="1319">
        <f t="shared" ca="1" si="1370"/>
        <v>0</v>
      </c>
      <c r="PJ170" s="1319">
        <f t="shared" ca="1" si="1370"/>
        <v>0</v>
      </c>
      <c r="PK170" s="1319">
        <f t="shared" ca="1" si="1370"/>
        <v>0</v>
      </c>
      <c r="PT170" s="1334"/>
      <c r="PW170" s="1319">
        <f t="shared" ca="1" si="1349"/>
        <v>0</v>
      </c>
      <c r="PX170" s="1319">
        <f t="shared" ca="1" si="1349"/>
        <v>0</v>
      </c>
      <c r="PY170" s="1319">
        <f t="shared" ca="1" si="1349"/>
        <v>0</v>
      </c>
      <c r="PZ170" s="1319">
        <f t="shared" ca="1" si="1349"/>
        <v>0</v>
      </c>
    </row>
    <row r="171" spans="1:442" x14ac:dyDescent="0.25">
      <c r="A171" s="189">
        <v>139</v>
      </c>
      <c r="B171" s="189" t="s">
        <v>1320</v>
      </c>
      <c r="C171" s="1317" t="s">
        <v>1307</v>
      </c>
      <c r="D171" s="1317" t="s">
        <v>206</v>
      </c>
      <c r="E171" s="1320">
        <v>23.820399999999999</v>
      </c>
      <c r="F171" s="1324">
        <v>-0.11864727596308729</v>
      </c>
      <c r="G171" s="1334"/>
      <c r="J171" s="1319">
        <f t="shared" ca="1" si="1327"/>
        <v>0</v>
      </c>
      <c r="K171" s="1319">
        <f t="shared" ca="1" si="1327"/>
        <v>0</v>
      </c>
      <c r="Q171" s="1334"/>
      <c r="T171" s="1319">
        <f t="shared" ca="1" si="1350"/>
        <v>0</v>
      </c>
      <c r="U171" s="1319">
        <f t="shared" ca="1" si="1350"/>
        <v>0</v>
      </c>
      <c r="V171" s="1319">
        <f t="shared" ca="1" si="1350"/>
        <v>0</v>
      </c>
      <c r="W171" s="1319">
        <f t="shared" ca="1" si="1350"/>
        <v>0</v>
      </c>
      <c r="X171" s="1319">
        <f t="shared" ca="1" si="1350"/>
        <v>0</v>
      </c>
      <c r="Y171" s="1319">
        <f t="shared" ca="1" si="1350"/>
        <v>0</v>
      </c>
      <c r="Z171" s="1319">
        <f t="shared" ca="1" si="1350"/>
        <v>0</v>
      </c>
      <c r="AA171" s="1319">
        <f t="shared" ca="1" si="1350"/>
        <v>0</v>
      </c>
      <c r="AB171" s="1319">
        <f t="shared" ca="1" si="1350"/>
        <v>0</v>
      </c>
      <c r="AC171" s="1319">
        <f t="shared" ca="1" si="1350"/>
        <v>0</v>
      </c>
      <c r="AD171" s="1319">
        <f t="shared" ca="1" si="1350"/>
        <v>0</v>
      </c>
      <c r="AJ171" s="1334"/>
      <c r="AM171" s="1319">
        <f t="shared" ca="1" si="1351"/>
        <v>0</v>
      </c>
      <c r="AN171" s="1319">
        <f t="shared" ca="1" si="1351"/>
        <v>0</v>
      </c>
      <c r="AO171" s="1319">
        <f t="shared" ca="1" si="1351"/>
        <v>0</v>
      </c>
      <c r="AP171" s="1319">
        <f t="shared" ca="1" si="1351"/>
        <v>0</v>
      </c>
      <c r="AQ171" s="1319">
        <f t="shared" ca="1" si="1351"/>
        <v>0</v>
      </c>
      <c r="AR171" s="1319">
        <f t="shared" ca="1" si="1351"/>
        <v>0</v>
      </c>
      <c r="AS171" s="1319">
        <f t="shared" ca="1" si="1351"/>
        <v>0</v>
      </c>
      <c r="AT171" s="1319">
        <f t="shared" ca="1" si="1351"/>
        <v>0</v>
      </c>
      <c r="AU171" s="1319">
        <f t="shared" ca="1" si="1351"/>
        <v>0</v>
      </c>
      <c r="AV171" s="1319">
        <f t="shared" ca="1" si="1351"/>
        <v>0</v>
      </c>
      <c r="AW171" s="1319">
        <f t="shared" ca="1" si="1351"/>
        <v>0</v>
      </c>
      <c r="AX171" s="1319">
        <f t="shared" ca="1" si="1351"/>
        <v>0</v>
      </c>
      <c r="AY171" s="1319">
        <f t="shared" ca="1" si="1351"/>
        <v>0</v>
      </c>
      <c r="AZ171" s="1319">
        <f t="shared" ca="1" si="1351"/>
        <v>0</v>
      </c>
      <c r="BA171" s="1319">
        <f t="shared" ca="1" si="1351"/>
        <v>0</v>
      </c>
      <c r="BB171" s="1319">
        <f t="shared" ca="1" si="1351"/>
        <v>0</v>
      </c>
      <c r="BK171" s="1334"/>
      <c r="BN171" s="1319">
        <f t="shared" ca="1" si="1352"/>
        <v>-5.3695322895298388E-2</v>
      </c>
      <c r="BO171" s="1319">
        <f t="shared" ca="1" si="1352"/>
        <v>-5.3695322895298388E-2</v>
      </c>
      <c r="BP171" s="1319">
        <f t="shared" ca="1" si="1352"/>
        <v>0</v>
      </c>
      <c r="BQ171" s="1319">
        <f t="shared" ca="1" si="1352"/>
        <v>0</v>
      </c>
      <c r="BR171" s="1319">
        <f t="shared" ca="1" si="1352"/>
        <v>0</v>
      </c>
      <c r="CA171" s="1334"/>
      <c r="CD171" s="1319">
        <f t="shared" ca="1" si="1353"/>
        <v>0</v>
      </c>
      <c r="CE171" s="1319">
        <f t="shared" ca="1" si="1353"/>
        <v>0</v>
      </c>
      <c r="CF171" s="1319">
        <f t="shared" ca="1" si="1353"/>
        <v>-5.3695322895298388E-2</v>
      </c>
      <c r="CG171" s="1319">
        <f t="shared" ca="1" si="1353"/>
        <v>-5.3695322895298388E-2</v>
      </c>
      <c r="CH171" s="1319">
        <f t="shared" ca="1" si="1353"/>
        <v>-0.53695322895298381</v>
      </c>
      <c r="CI171" s="1319">
        <f t="shared" ca="1" si="1353"/>
        <v>0</v>
      </c>
      <c r="CJ171" s="1319">
        <f t="shared" ca="1" si="1353"/>
        <v>0</v>
      </c>
      <c r="CK171" s="1319">
        <f t="shared" ca="1" si="1353"/>
        <v>-0.53695322895298381</v>
      </c>
      <c r="CL171" s="1319">
        <f t="shared" ca="1" si="1353"/>
        <v>0</v>
      </c>
      <c r="CM171" s="1319">
        <f t="shared" ca="1" si="1353"/>
        <v>-0.53695322895298381</v>
      </c>
      <c r="CN171" s="1319">
        <f t="shared" ca="1" si="1353"/>
        <v>-0.53695322895298381</v>
      </c>
      <c r="CO171" s="1319">
        <f t="shared" ca="1" si="1353"/>
        <v>0</v>
      </c>
      <c r="CX171" s="1334"/>
      <c r="DA171" s="1319">
        <f t="shared" ca="1" si="1354"/>
        <v>-2.9830734908626367E-3</v>
      </c>
      <c r="DB171" s="1319">
        <f t="shared" ca="1" si="1354"/>
        <v>0</v>
      </c>
      <c r="DC171" s="1319">
        <f t="shared" ca="1" si="1354"/>
        <v>0</v>
      </c>
      <c r="DD171" s="1319">
        <f t="shared" ca="1" si="1354"/>
        <v>0</v>
      </c>
      <c r="DE171" s="1319">
        <f t="shared" ca="1" si="1354"/>
        <v>-0.16902105192083319</v>
      </c>
      <c r="DF171" s="1319">
        <f t="shared" ca="1" si="1354"/>
        <v>0</v>
      </c>
      <c r="DG171" s="1319">
        <f t="shared" ca="1" si="1354"/>
        <v>0</v>
      </c>
      <c r="DH171" s="1319">
        <f t="shared" ca="1" si="1354"/>
        <v>0</v>
      </c>
      <c r="DI171" s="1319">
        <f t="shared" ca="1" si="1354"/>
        <v>0</v>
      </c>
      <c r="DJ171" s="1319">
        <f t="shared" ca="1" si="1354"/>
        <v>0</v>
      </c>
      <c r="DS171" s="1334"/>
      <c r="DV171" s="1319">
        <f t="shared" ca="1" si="1355"/>
        <v>0</v>
      </c>
      <c r="DW171" s="1319">
        <f t="shared" ca="1" si="1355"/>
        <v>0</v>
      </c>
      <c r="DX171" s="1319">
        <f t="shared" ca="1" si="1355"/>
        <v>-5.9661469717634523E-2</v>
      </c>
      <c r="DY171" s="1319">
        <f t="shared" ca="1" si="1355"/>
        <v>-2.9830734908626367E-3</v>
      </c>
      <c r="DZ171" s="1319">
        <f t="shared" ca="1" si="1355"/>
        <v>0</v>
      </c>
      <c r="EA171" s="1319">
        <f t="shared" ca="1" si="1355"/>
        <v>-0.16902105192083319</v>
      </c>
      <c r="EB171" s="1319">
        <f t="shared" ca="1" si="1355"/>
        <v>-5.6678396555511976E-2</v>
      </c>
      <c r="EC171" s="1319">
        <f t="shared" ca="1" si="1355"/>
        <v>0</v>
      </c>
      <c r="ED171" s="1319">
        <f t="shared" ca="1" si="1355"/>
        <v>-0.53695322895298381</v>
      </c>
      <c r="EE171" s="1319">
        <f t="shared" ca="1" si="1355"/>
        <v>0</v>
      </c>
      <c r="EF171" s="1319">
        <f t="shared" ca="1" si="1355"/>
        <v>0</v>
      </c>
      <c r="EG171" s="1319">
        <f t="shared" ca="1" si="1355"/>
        <v>0</v>
      </c>
      <c r="EH171" s="1319">
        <f t="shared" ca="1" si="1355"/>
        <v>0</v>
      </c>
      <c r="EI171" s="1319">
        <f t="shared" ca="1" si="1355"/>
        <v>0</v>
      </c>
      <c r="EJ171" s="1319">
        <f t="shared" ca="1" si="1355"/>
        <v>0</v>
      </c>
      <c r="EK171" s="1319">
        <f t="shared" ca="1" si="1355"/>
        <v>0</v>
      </c>
      <c r="ET171" s="1334"/>
      <c r="EW171" s="1319">
        <f t="shared" ca="1" si="1356"/>
        <v>-0.53695322895298381</v>
      </c>
      <c r="EX171" s="1319">
        <f t="shared" ca="1" si="1356"/>
        <v>-0.53695322895298381</v>
      </c>
      <c r="EY171" s="1319">
        <f t="shared" ca="1" si="1356"/>
        <v>-0.53695322895298381</v>
      </c>
      <c r="EZ171" s="1319">
        <f t="shared" ca="1" si="1356"/>
        <v>-0.53695322895298381</v>
      </c>
      <c r="FA171" s="1319">
        <f t="shared" ca="1" si="1356"/>
        <v>0</v>
      </c>
      <c r="FB171" s="1319">
        <f t="shared" ca="1" si="1356"/>
        <v>0</v>
      </c>
      <c r="FK171" s="1334"/>
      <c r="FN171" s="1319">
        <f t="shared" ca="1" si="1357"/>
        <v>0</v>
      </c>
      <c r="FO171" s="1319">
        <f t="shared" ca="1" si="1357"/>
        <v>0</v>
      </c>
      <c r="FP171" s="1319">
        <f t="shared" ca="1" si="1357"/>
        <v>0</v>
      </c>
      <c r="FQ171" s="1319">
        <f t="shared" ca="1" si="1357"/>
        <v>0</v>
      </c>
      <c r="FR171" s="1319">
        <f t="shared" ca="1" si="1357"/>
        <v>0</v>
      </c>
      <c r="FS171" s="1319">
        <f t="shared" ca="1" si="1357"/>
        <v>0</v>
      </c>
      <c r="FT171" s="1319">
        <f t="shared" ca="1" si="1357"/>
        <v>0</v>
      </c>
      <c r="FU171" s="1319">
        <f t="shared" ca="1" si="1357"/>
        <v>0</v>
      </c>
      <c r="FV171" s="1319">
        <f t="shared" ca="1" si="1357"/>
        <v>0</v>
      </c>
      <c r="FW171" s="1319">
        <f t="shared" ca="1" si="1357"/>
        <v>0</v>
      </c>
      <c r="FX171" s="1319">
        <f t="shared" ca="1" si="1357"/>
        <v>0</v>
      </c>
      <c r="GG171" s="1334"/>
      <c r="GJ171" s="1319">
        <f t="shared" ca="1" si="1358"/>
        <v>0</v>
      </c>
      <c r="GK171" s="1319">
        <f t="shared" ca="1" si="1358"/>
        <v>0</v>
      </c>
      <c r="GL171" s="1319">
        <f t="shared" ca="1" si="1358"/>
        <v>0</v>
      </c>
      <c r="GM171" s="1319">
        <f t="shared" ca="1" si="1358"/>
        <v>0</v>
      </c>
      <c r="GN171" s="1319">
        <f t="shared" ca="1" si="1358"/>
        <v>0</v>
      </c>
      <c r="GO171" s="1319">
        <f t="shared" ca="1" si="1358"/>
        <v>0</v>
      </c>
      <c r="GP171" s="1319">
        <f t="shared" ca="1" si="1358"/>
        <v>0</v>
      </c>
      <c r="GQ171" s="1319">
        <f t="shared" ca="1" si="1358"/>
        <v>0</v>
      </c>
      <c r="GZ171" s="1334"/>
      <c r="HC171" s="1319">
        <f t="shared" ca="1" si="1359"/>
        <v>-0.53695322895298381</v>
      </c>
      <c r="HD171" s="1319">
        <f t="shared" ca="1" si="1359"/>
        <v>-1.0739064579059678E-2</v>
      </c>
      <c r="HE171" s="1319">
        <f t="shared" ca="1" si="1359"/>
        <v>0</v>
      </c>
      <c r="HF171" s="1319">
        <f t="shared" ca="1" si="1359"/>
        <v>0</v>
      </c>
      <c r="HG171" s="1319">
        <f t="shared" ca="1" si="1359"/>
        <v>-0.52621416218232353</v>
      </c>
      <c r="HH171" s="1319">
        <f t="shared" ca="1" si="1359"/>
        <v>-1.0739064579059678E-2</v>
      </c>
      <c r="HQ171" s="1334"/>
      <c r="HT171" s="1319">
        <f t="shared" ca="1" si="1360"/>
        <v>0</v>
      </c>
      <c r="HU171" s="1319">
        <f t="shared" ca="1" si="1360"/>
        <v>-1.0739064579059678E-2</v>
      </c>
      <c r="HV171" s="1319">
        <f t="shared" ca="1" si="1360"/>
        <v>-1.0739064579059678E-2</v>
      </c>
      <c r="HW171" s="1319">
        <f t="shared" ca="1" si="1360"/>
        <v>-1.0739064579059678E-2</v>
      </c>
      <c r="HX171" s="1319">
        <f t="shared" ca="1" si="1360"/>
        <v>-2.7492005304461495E-3</v>
      </c>
      <c r="HY171" s="1319">
        <f t="shared" ca="1" si="1360"/>
        <v>-7.9898640336707964E-3</v>
      </c>
      <c r="HZ171" s="1319">
        <f t="shared" ca="1" si="1360"/>
        <v>0</v>
      </c>
      <c r="IA171" s="1319">
        <f t="shared" ca="1" si="1360"/>
        <v>0</v>
      </c>
      <c r="IB171" s="1319">
        <f t="shared" ca="1" si="1360"/>
        <v>0</v>
      </c>
      <c r="IC171" s="1319">
        <f t="shared" ca="1" si="1360"/>
        <v>0</v>
      </c>
      <c r="ID171" s="1319">
        <f t="shared" ca="1" si="1360"/>
        <v>0</v>
      </c>
      <c r="IE171" s="1319">
        <f t="shared" ca="1" si="1360"/>
        <v>0</v>
      </c>
      <c r="IN171" s="1334"/>
      <c r="IQ171" s="1319">
        <f t="shared" ca="1" si="1361"/>
        <v>-2.7492005304461495E-3</v>
      </c>
      <c r="IR171" s="1319">
        <f t="shared" ca="1" si="1361"/>
        <v>-7.9898640336707964E-3</v>
      </c>
      <c r="IS171" s="1319">
        <f t="shared" ca="1" si="1361"/>
        <v>-3.3144144533004383E-3</v>
      </c>
      <c r="IT171" s="1319">
        <f t="shared" ca="1" si="1361"/>
        <v>-1.1304278506894876E-2</v>
      </c>
      <c r="IU171" s="1319">
        <f t="shared" ca="1" si="1361"/>
        <v>-5.652139228542886E-4</v>
      </c>
      <c r="IV171" s="1319">
        <f t="shared" ca="1" si="1361"/>
        <v>-8.2860361332510943E-2</v>
      </c>
      <c r="IW171" s="1319">
        <f t="shared" ca="1" si="1361"/>
        <v>-7.9545947058523289E-2</v>
      </c>
      <c r="IX171" s="1319">
        <f t="shared" ca="1" si="1361"/>
        <v>0</v>
      </c>
      <c r="IY171" s="1319">
        <f t="shared" ca="1" si="1361"/>
        <v>-1.0739064579059678E-2</v>
      </c>
      <c r="IZ171" s="1319">
        <f t="shared" ca="1" si="1361"/>
        <v>0</v>
      </c>
      <c r="JA171" s="1319">
        <f t="shared" ca="1" si="1361"/>
        <v>-8.2860361332510943E-2</v>
      </c>
      <c r="JB171" s="1319">
        <f t="shared" ca="1" si="1362"/>
        <v>0</v>
      </c>
      <c r="JC171" s="1319">
        <f t="shared" ca="1" si="1362"/>
        <v>0</v>
      </c>
      <c r="JD171" s="1319">
        <f t="shared" ca="1" si="1362"/>
        <v>0</v>
      </c>
      <c r="JE171" s="1319">
        <f t="shared" ca="1" si="1362"/>
        <v>0</v>
      </c>
      <c r="JF171" s="1319">
        <f t="shared" ca="1" si="1362"/>
        <v>0</v>
      </c>
      <c r="JG171" s="1319">
        <f t="shared" ca="1" si="1362"/>
        <v>0</v>
      </c>
      <c r="JH171" s="1319">
        <f t="shared" ca="1" si="1362"/>
        <v>0</v>
      </c>
      <c r="JQ171" s="1334"/>
      <c r="JT171" s="1319">
        <f t="shared" ca="1" si="1363"/>
        <v>0</v>
      </c>
      <c r="JU171" s="1319">
        <f t="shared" ca="1" si="1363"/>
        <v>0</v>
      </c>
      <c r="JV171" s="1319">
        <f t="shared" ca="1" si="1363"/>
        <v>0</v>
      </c>
      <c r="JW171" s="1319">
        <f t="shared" ca="1" si="1363"/>
        <v>0</v>
      </c>
      <c r="JX171" s="1319">
        <f t="shared" ca="1" si="1363"/>
        <v>0</v>
      </c>
      <c r="JY171" s="1319">
        <f t="shared" ca="1" si="1363"/>
        <v>0</v>
      </c>
      <c r="JZ171" s="1319">
        <f t="shared" ca="1" si="1363"/>
        <v>0</v>
      </c>
      <c r="KA171" s="1319">
        <f t="shared" ca="1" si="1363"/>
        <v>0</v>
      </c>
      <c r="KB171" s="1319">
        <f t="shared" ca="1" si="1363"/>
        <v>0</v>
      </c>
      <c r="KC171" s="1319">
        <f t="shared" ca="1" si="1363"/>
        <v>0</v>
      </c>
      <c r="KI171" s="1334"/>
      <c r="KL171" s="1319">
        <f t="shared" ca="1" si="1364"/>
        <v>0</v>
      </c>
      <c r="KM171" s="1319">
        <f t="shared" ca="1" si="1364"/>
        <v>0</v>
      </c>
      <c r="KN171" s="1319">
        <f t="shared" ca="1" si="1364"/>
        <v>0</v>
      </c>
      <c r="KO171" s="1319">
        <f t="shared" ca="1" si="1364"/>
        <v>0</v>
      </c>
      <c r="KP171" s="1319">
        <f t="shared" ca="1" si="1364"/>
        <v>0</v>
      </c>
      <c r="KQ171" s="1319">
        <f t="shared" ca="1" si="1364"/>
        <v>0</v>
      </c>
      <c r="KR171" s="1319">
        <f t="shared" ca="1" si="1364"/>
        <v>0</v>
      </c>
      <c r="KX171" s="1334"/>
      <c r="LA171" s="1319">
        <f t="shared" ca="1" si="1365"/>
        <v>0</v>
      </c>
      <c r="LB171" s="1319">
        <f t="shared" ca="1" si="1365"/>
        <v>0</v>
      </c>
      <c r="LC171" s="1319">
        <f t="shared" ca="1" si="1365"/>
        <v>0</v>
      </c>
      <c r="LD171" s="1319">
        <f t="shared" ca="1" si="1365"/>
        <v>0</v>
      </c>
      <c r="LE171" s="1319">
        <f t="shared" ca="1" si="1365"/>
        <v>0</v>
      </c>
      <c r="LF171" s="1319">
        <f t="shared" ca="1" si="1365"/>
        <v>0</v>
      </c>
      <c r="LG171" s="1319">
        <f t="shared" ca="1" si="1365"/>
        <v>0</v>
      </c>
      <c r="LH171" s="1319">
        <f t="shared" ca="1" si="1365"/>
        <v>0</v>
      </c>
      <c r="LI171" s="1319">
        <f t="shared" ca="1" si="1365"/>
        <v>0</v>
      </c>
      <c r="LJ171" s="1319">
        <f t="shared" ca="1" si="1365"/>
        <v>0</v>
      </c>
      <c r="LK171" s="1319">
        <f t="shared" ca="1" si="1365"/>
        <v>0</v>
      </c>
      <c r="LT171" s="1334"/>
      <c r="LW171" s="1319">
        <f t="shared" ca="1" si="1366"/>
        <v>0</v>
      </c>
      <c r="LX171" s="1319">
        <f t="shared" ca="1" si="1366"/>
        <v>0</v>
      </c>
      <c r="LY171" s="1319">
        <f t="shared" ca="1" si="1366"/>
        <v>-0.52621416218232353</v>
      </c>
      <c r="LZ171" s="1319">
        <f t="shared" ca="1" si="1366"/>
        <v>-1.0739064579059678E-2</v>
      </c>
      <c r="MA171" s="1319">
        <f t="shared" ca="1" si="1366"/>
        <v>-0.53695322895298381</v>
      </c>
      <c r="MB171" s="1319">
        <f t="shared" ca="1" si="1366"/>
        <v>0</v>
      </c>
      <c r="MC171" s="1319">
        <f t="shared" ca="1" si="1366"/>
        <v>0</v>
      </c>
      <c r="MD171" s="1319">
        <f t="shared" ca="1" si="1366"/>
        <v>0</v>
      </c>
      <c r="ME171" s="1319">
        <f t="shared" ca="1" si="1366"/>
        <v>0</v>
      </c>
      <c r="MF171" s="1319">
        <f t="shared" ca="1" si="1366"/>
        <v>0</v>
      </c>
      <c r="MG171" s="1319">
        <f t="shared" ca="1" si="1367"/>
        <v>0</v>
      </c>
      <c r="MH171" s="1319">
        <f t="shared" ca="1" si="1367"/>
        <v>0</v>
      </c>
      <c r="MI171" s="1319">
        <f t="shared" ca="1" si="1367"/>
        <v>0</v>
      </c>
      <c r="MJ171" s="1319">
        <f t="shared" ca="1" si="1367"/>
        <v>0</v>
      </c>
      <c r="MK171" s="1319">
        <f t="shared" ca="1" si="1367"/>
        <v>0</v>
      </c>
      <c r="ML171" s="1319">
        <f t="shared" ca="1" si="1367"/>
        <v>0</v>
      </c>
      <c r="MM171" s="1319">
        <f t="shared" ca="1" si="1367"/>
        <v>0</v>
      </c>
      <c r="MN171" s="1319">
        <f t="shared" ca="1" si="1367"/>
        <v>0</v>
      </c>
      <c r="MO171" s="1319">
        <f t="shared" ca="1" si="1367"/>
        <v>0</v>
      </c>
      <c r="MX171" s="1334"/>
      <c r="NA171" s="1319">
        <f t="shared" ca="1" si="1368"/>
        <v>0</v>
      </c>
      <c r="NB171" s="1319">
        <f t="shared" ca="1" si="1368"/>
        <v>0</v>
      </c>
      <c r="NC171" s="1319">
        <f t="shared" ca="1" si="1368"/>
        <v>0</v>
      </c>
      <c r="ND171" s="1319">
        <f t="shared" ca="1" si="1368"/>
        <v>0</v>
      </c>
      <c r="NE171" s="1319">
        <f t="shared" ca="1" si="1368"/>
        <v>0</v>
      </c>
      <c r="NF171" s="1319">
        <f t="shared" ca="1" si="1368"/>
        <v>0</v>
      </c>
      <c r="NG171" s="1319">
        <f t="shared" ca="1" si="1368"/>
        <v>0</v>
      </c>
      <c r="NH171" s="1319">
        <f t="shared" ca="1" si="1368"/>
        <v>0</v>
      </c>
      <c r="NI171" s="1319">
        <f t="shared" ca="1" si="1368"/>
        <v>0</v>
      </c>
      <c r="NJ171" s="1319">
        <f t="shared" ca="1" si="1368"/>
        <v>0</v>
      </c>
      <c r="NK171" s="1319">
        <f t="shared" ca="1" si="1368"/>
        <v>0</v>
      </c>
      <c r="NL171" s="1319">
        <f t="shared" ca="1" si="1368"/>
        <v>0</v>
      </c>
      <c r="NM171" s="1319">
        <f t="shared" ca="1" si="1368"/>
        <v>0</v>
      </c>
      <c r="NN171" s="1319">
        <f t="shared" ca="1" si="1368"/>
        <v>0</v>
      </c>
      <c r="NO171" s="1319">
        <f t="shared" ca="1" si="1368"/>
        <v>0</v>
      </c>
      <c r="NP171" s="1319">
        <f t="shared" ca="1" si="1368"/>
        <v>0</v>
      </c>
      <c r="NY171" s="1334"/>
      <c r="OE171" s="1334"/>
      <c r="OH171" s="1319">
        <f t="shared" ca="1" si="1369"/>
        <v>0</v>
      </c>
      <c r="OI171" s="1319">
        <f t="shared" ca="1" si="1369"/>
        <v>0</v>
      </c>
      <c r="OJ171" s="1319">
        <f t="shared" ca="1" si="1369"/>
        <v>0</v>
      </c>
      <c r="OK171" s="1319">
        <f t="shared" ca="1" si="1369"/>
        <v>0</v>
      </c>
      <c r="OL171" s="1319">
        <f t="shared" ca="1" si="1369"/>
        <v>0</v>
      </c>
      <c r="OM171" s="1319">
        <f t="shared" ca="1" si="1369"/>
        <v>0</v>
      </c>
      <c r="ON171" s="1319">
        <f t="shared" ca="1" si="1369"/>
        <v>0</v>
      </c>
      <c r="OO171" s="1319">
        <f t="shared" ca="1" si="1369"/>
        <v>0</v>
      </c>
      <c r="OX171" s="1334"/>
      <c r="PA171" s="1319">
        <f t="shared" ca="1" si="1370"/>
        <v>0</v>
      </c>
      <c r="PB171" s="1319">
        <f t="shared" ca="1" si="1370"/>
        <v>0</v>
      </c>
      <c r="PC171" s="1319">
        <f t="shared" ca="1" si="1370"/>
        <v>0</v>
      </c>
      <c r="PD171" s="1319">
        <f t="shared" ca="1" si="1370"/>
        <v>0</v>
      </c>
      <c r="PE171" s="1319">
        <f t="shared" ca="1" si="1370"/>
        <v>0</v>
      </c>
      <c r="PF171" s="1319">
        <f t="shared" ca="1" si="1370"/>
        <v>0</v>
      </c>
      <c r="PG171" s="1319">
        <f t="shared" ca="1" si="1370"/>
        <v>0</v>
      </c>
      <c r="PH171" s="1319">
        <f t="shared" ca="1" si="1370"/>
        <v>0</v>
      </c>
      <c r="PI171" s="1319">
        <f t="shared" ca="1" si="1370"/>
        <v>0</v>
      </c>
      <c r="PJ171" s="1319">
        <f t="shared" ca="1" si="1370"/>
        <v>0</v>
      </c>
      <c r="PK171" s="1319">
        <f t="shared" ca="1" si="1370"/>
        <v>0</v>
      </c>
      <c r="PT171" s="1334"/>
      <c r="PW171" s="1319">
        <f t="shared" ca="1" si="1349"/>
        <v>0</v>
      </c>
      <c r="PX171" s="1319">
        <f t="shared" ca="1" si="1349"/>
        <v>0</v>
      </c>
      <c r="PY171" s="1319">
        <f t="shared" ca="1" si="1349"/>
        <v>0</v>
      </c>
      <c r="PZ171" s="1319">
        <f t="shared" ca="1" si="1349"/>
        <v>0</v>
      </c>
    </row>
    <row r="172" spans="1:442" x14ac:dyDescent="0.25">
      <c r="A172" s="189">
        <v>140</v>
      </c>
      <c r="B172" s="189" t="s">
        <v>1320</v>
      </c>
      <c r="C172" s="1317" t="s">
        <v>1262</v>
      </c>
      <c r="D172" s="1317" t="s">
        <v>206</v>
      </c>
      <c r="E172" s="1318">
        <v>23.237568800000002</v>
      </c>
      <c r="F172" s="1322">
        <v>-0.11839653673503728</v>
      </c>
      <c r="G172" s="1334"/>
      <c r="J172" s="1319">
        <f t="shared" ca="1" si="1327"/>
        <v>0</v>
      </c>
      <c r="K172" s="1319">
        <f t="shared" ca="1" si="1327"/>
        <v>0</v>
      </c>
      <c r="Q172" s="1334"/>
      <c r="T172" s="1319">
        <f t="shared" ca="1" si="1350"/>
        <v>0</v>
      </c>
      <c r="U172" s="1319">
        <f t="shared" ca="1" si="1350"/>
        <v>0</v>
      </c>
      <c r="V172" s="1319">
        <f t="shared" ca="1" si="1350"/>
        <v>0</v>
      </c>
      <c r="W172" s="1319">
        <f t="shared" ca="1" si="1350"/>
        <v>0</v>
      </c>
      <c r="X172" s="1319">
        <f t="shared" ca="1" si="1350"/>
        <v>0</v>
      </c>
      <c r="Y172" s="1319">
        <f t="shared" ca="1" si="1350"/>
        <v>0</v>
      </c>
      <c r="Z172" s="1319">
        <f t="shared" ca="1" si="1350"/>
        <v>0</v>
      </c>
      <c r="AA172" s="1319">
        <f t="shared" ca="1" si="1350"/>
        <v>0</v>
      </c>
      <c r="AB172" s="1319">
        <f t="shared" ca="1" si="1350"/>
        <v>0</v>
      </c>
      <c r="AC172" s="1319">
        <f t="shared" ca="1" si="1350"/>
        <v>0</v>
      </c>
      <c r="AD172" s="1319">
        <f t="shared" ca="1" si="1350"/>
        <v>0</v>
      </c>
      <c r="AJ172" s="1334"/>
      <c r="AM172" s="1319">
        <f t="shared" ca="1" si="1351"/>
        <v>0</v>
      </c>
      <c r="AN172" s="1319">
        <f t="shared" ca="1" si="1351"/>
        <v>0</v>
      </c>
      <c r="AO172" s="1319">
        <f t="shared" ca="1" si="1351"/>
        <v>0</v>
      </c>
      <c r="AP172" s="1319">
        <f t="shared" ca="1" si="1351"/>
        <v>0</v>
      </c>
      <c r="AQ172" s="1319">
        <f t="shared" ca="1" si="1351"/>
        <v>0</v>
      </c>
      <c r="AR172" s="1319">
        <f t="shared" ca="1" si="1351"/>
        <v>0</v>
      </c>
      <c r="AS172" s="1319">
        <f t="shared" ca="1" si="1351"/>
        <v>0</v>
      </c>
      <c r="AT172" s="1319">
        <f t="shared" ca="1" si="1351"/>
        <v>0</v>
      </c>
      <c r="AU172" s="1319">
        <f t="shared" ca="1" si="1351"/>
        <v>0</v>
      </c>
      <c r="AV172" s="1319">
        <f t="shared" ca="1" si="1351"/>
        <v>0</v>
      </c>
      <c r="AW172" s="1319">
        <f t="shared" ca="1" si="1351"/>
        <v>0</v>
      </c>
      <c r="AX172" s="1319">
        <f t="shared" ca="1" si="1351"/>
        <v>0</v>
      </c>
      <c r="AY172" s="1319">
        <f t="shared" ca="1" si="1351"/>
        <v>0</v>
      </c>
      <c r="AZ172" s="1319">
        <f t="shared" ca="1" si="1351"/>
        <v>0</v>
      </c>
      <c r="BA172" s="1319">
        <f t="shared" ca="1" si="1351"/>
        <v>0</v>
      </c>
      <c r="BB172" s="1319">
        <f t="shared" ca="1" si="1351"/>
        <v>0</v>
      </c>
      <c r="BK172" s="1334"/>
      <c r="BN172" s="1319">
        <f t="shared" ca="1" si="1352"/>
        <v>0</v>
      </c>
      <c r="BO172" s="1319">
        <f t="shared" ca="1" si="1352"/>
        <v>0</v>
      </c>
      <c r="BP172" s="1319">
        <f t="shared" ca="1" si="1352"/>
        <v>0</v>
      </c>
      <c r="BQ172" s="1319">
        <f t="shared" ca="1" si="1352"/>
        <v>0</v>
      </c>
      <c r="BR172" s="1319">
        <f t="shared" ca="1" si="1352"/>
        <v>0</v>
      </c>
      <c r="CA172" s="1334"/>
      <c r="CD172" s="1319">
        <f t="shared" ca="1" si="1353"/>
        <v>0</v>
      </c>
      <c r="CE172" s="1319">
        <f t="shared" ca="1" si="1353"/>
        <v>0</v>
      </c>
      <c r="CF172" s="1319">
        <f t="shared" ca="1" si="1353"/>
        <v>0</v>
      </c>
      <c r="CG172" s="1319">
        <f t="shared" ca="1" si="1353"/>
        <v>0</v>
      </c>
      <c r="CH172" s="1319">
        <f t="shared" ca="1" si="1353"/>
        <v>0</v>
      </c>
      <c r="CI172" s="1319">
        <f t="shared" ca="1" si="1353"/>
        <v>0</v>
      </c>
      <c r="CJ172" s="1319">
        <f t="shared" ca="1" si="1353"/>
        <v>0</v>
      </c>
      <c r="CK172" s="1319">
        <f t="shared" ca="1" si="1353"/>
        <v>0</v>
      </c>
      <c r="CL172" s="1319">
        <f t="shared" ca="1" si="1353"/>
        <v>0</v>
      </c>
      <c r="CM172" s="1319">
        <f t="shared" ca="1" si="1353"/>
        <v>0</v>
      </c>
      <c r="CN172" s="1319">
        <f t="shared" ca="1" si="1353"/>
        <v>0</v>
      </c>
      <c r="CO172" s="1319">
        <f t="shared" ca="1" si="1353"/>
        <v>0</v>
      </c>
      <c r="CX172" s="1334"/>
      <c r="DA172" s="1319">
        <f t="shared" ca="1" si="1354"/>
        <v>0</v>
      </c>
      <c r="DB172" s="1319">
        <f t="shared" ca="1" si="1354"/>
        <v>0</v>
      </c>
      <c r="DC172" s="1319">
        <f t="shared" ca="1" si="1354"/>
        <v>0</v>
      </c>
      <c r="DD172" s="1319">
        <f t="shared" ca="1" si="1354"/>
        <v>0</v>
      </c>
      <c r="DE172" s="1319">
        <f t="shared" ca="1" si="1354"/>
        <v>0</v>
      </c>
      <c r="DF172" s="1319">
        <f t="shared" ca="1" si="1354"/>
        <v>0</v>
      </c>
      <c r="DG172" s="1319">
        <f t="shared" ca="1" si="1354"/>
        <v>0</v>
      </c>
      <c r="DH172" s="1319">
        <f t="shared" ca="1" si="1354"/>
        <v>0</v>
      </c>
      <c r="DI172" s="1319">
        <f t="shared" ca="1" si="1354"/>
        <v>0</v>
      </c>
      <c r="DJ172" s="1319">
        <f t="shared" ca="1" si="1354"/>
        <v>0</v>
      </c>
      <c r="DS172" s="1334"/>
      <c r="DV172" s="1319">
        <f t="shared" ca="1" si="1355"/>
        <v>0</v>
      </c>
      <c r="DW172" s="1319">
        <f t="shared" ca="1" si="1355"/>
        <v>0</v>
      </c>
      <c r="DX172" s="1319">
        <f t="shared" ca="1" si="1355"/>
        <v>0</v>
      </c>
      <c r="DY172" s="1319">
        <f t="shared" ca="1" si="1355"/>
        <v>0</v>
      </c>
      <c r="DZ172" s="1319">
        <f t="shared" ca="1" si="1355"/>
        <v>0</v>
      </c>
      <c r="EA172" s="1319">
        <f t="shared" ca="1" si="1355"/>
        <v>0</v>
      </c>
      <c r="EB172" s="1319">
        <f t="shared" ca="1" si="1355"/>
        <v>0</v>
      </c>
      <c r="EC172" s="1319">
        <f t="shared" ca="1" si="1355"/>
        <v>0</v>
      </c>
      <c r="ED172" s="1319">
        <f t="shared" ca="1" si="1355"/>
        <v>0</v>
      </c>
      <c r="EE172" s="1319">
        <f t="shared" ca="1" si="1355"/>
        <v>0</v>
      </c>
      <c r="EF172" s="1319">
        <f t="shared" ca="1" si="1355"/>
        <v>0</v>
      </c>
      <c r="EG172" s="1319">
        <f t="shared" ca="1" si="1355"/>
        <v>0</v>
      </c>
      <c r="EH172" s="1319">
        <f t="shared" ca="1" si="1355"/>
        <v>0</v>
      </c>
      <c r="EI172" s="1319">
        <f t="shared" ca="1" si="1355"/>
        <v>0</v>
      </c>
      <c r="EJ172" s="1319">
        <f t="shared" ca="1" si="1355"/>
        <v>0</v>
      </c>
      <c r="EK172" s="1319">
        <f t="shared" ca="1" si="1355"/>
        <v>0</v>
      </c>
      <c r="ET172" s="1334"/>
      <c r="EW172" s="1319">
        <f t="shared" ca="1" si="1356"/>
        <v>0</v>
      </c>
      <c r="EX172" s="1319">
        <f t="shared" ca="1" si="1356"/>
        <v>0</v>
      </c>
      <c r="EY172" s="1319">
        <f t="shared" ca="1" si="1356"/>
        <v>0</v>
      </c>
      <c r="EZ172" s="1319">
        <f t="shared" ca="1" si="1356"/>
        <v>0</v>
      </c>
      <c r="FA172" s="1319">
        <f t="shared" ca="1" si="1356"/>
        <v>0</v>
      </c>
      <c r="FB172" s="1319">
        <f t="shared" ca="1" si="1356"/>
        <v>0</v>
      </c>
      <c r="FK172" s="1334"/>
      <c r="FN172" s="1319">
        <f t="shared" ca="1" si="1357"/>
        <v>0</v>
      </c>
      <c r="FO172" s="1319">
        <f t="shared" ca="1" si="1357"/>
        <v>0</v>
      </c>
      <c r="FP172" s="1319">
        <f t="shared" ca="1" si="1357"/>
        <v>0</v>
      </c>
      <c r="FQ172" s="1319">
        <f t="shared" ca="1" si="1357"/>
        <v>0</v>
      </c>
      <c r="FR172" s="1319">
        <f t="shared" ca="1" si="1357"/>
        <v>0</v>
      </c>
      <c r="FS172" s="1319">
        <f t="shared" ca="1" si="1357"/>
        <v>0</v>
      </c>
      <c r="FT172" s="1319">
        <f t="shared" ca="1" si="1357"/>
        <v>0</v>
      </c>
      <c r="FU172" s="1319">
        <f t="shared" ca="1" si="1357"/>
        <v>0</v>
      </c>
      <c r="FV172" s="1319">
        <f t="shared" ca="1" si="1357"/>
        <v>0</v>
      </c>
      <c r="FW172" s="1319">
        <f t="shared" ca="1" si="1357"/>
        <v>0</v>
      </c>
      <c r="FX172" s="1319">
        <f t="shared" ca="1" si="1357"/>
        <v>0</v>
      </c>
      <c r="GG172" s="1334"/>
      <c r="GJ172" s="1319">
        <f t="shared" ca="1" si="1358"/>
        <v>0</v>
      </c>
      <c r="GK172" s="1319">
        <f t="shared" ca="1" si="1358"/>
        <v>0</v>
      </c>
      <c r="GL172" s="1319">
        <f t="shared" ca="1" si="1358"/>
        <v>0</v>
      </c>
      <c r="GM172" s="1319">
        <f t="shared" ca="1" si="1358"/>
        <v>0</v>
      </c>
      <c r="GN172" s="1319">
        <f t="shared" ca="1" si="1358"/>
        <v>0</v>
      </c>
      <c r="GO172" s="1319">
        <f t="shared" ca="1" si="1358"/>
        <v>0</v>
      </c>
      <c r="GP172" s="1319">
        <f t="shared" ca="1" si="1358"/>
        <v>0</v>
      </c>
      <c r="GQ172" s="1319">
        <f t="shared" ca="1" si="1358"/>
        <v>0</v>
      </c>
      <c r="GZ172" s="1334"/>
      <c r="HC172" s="1319">
        <f t="shared" ca="1" si="1359"/>
        <v>0</v>
      </c>
      <c r="HD172" s="1319">
        <f t="shared" ca="1" si="1359"/>
        <v>0</v>
      </c>
      <c r="HE172" s="1319">
        <f t="shared" ca="1" si="1359"/>
        <v>0</v>
      </c>
      <c r="HF172" s="1319">
        <f t="shared" ca="1" si="1359"/>
        <v>0</v>
      </c>
      <c r="HG172" s="1319">
        <f t="shared" ca="1" si="1359"/>
        <v>0</v>
      </c>
      <c r="HH172" s="1319">
        <f t="shared" ca="1" si="1359"/>
        <v>0</v>
      </c>
      <c r="HQ172" s="1334"/>
      <c r="HT172" s="1319">
        <f t="shared" ca="1" si="1360"/>
        <v>0</v>
      </c>
      <c r="HU172" s="1319">
        <f t="shared" ca="1" si="1360"/>
        <v>0</v>
      </c>
      <c r="HV172" s="1319">
        <f t="shared" ca="1" si="1360"/>
        <v>0</v>
      </c>
      <c r="HW172" s="1319">
        <f t="shared" ca="1" si="1360"/>
        <v>0</v>
      </c>
      <c r="HX172" s="1319">
        <f t="shared" ca="1" si="1360"/>
        <v>-1.3999120372206697</v>
      </c>
      <c r="HY172" s="1319">
        <f t="shared" ca="1" si="1360"/>
        <v>-4.0684943557842672</v>
      </c>
      <c r="HZ172" s="1319">
        <f t="shared" ca="1" si="1360"/>
        <v>0</v>
      </c>
      <c r="IA172" s="1319">
        <f t="shared" ca="1" si="1360"/>
        <v>0</v>
      </c>
      <c r="IB172" s="1319">
        <f t="shared" ca="1" si="1360"/>
        <v>0</v>
      </c>
      <c r="IC172" s="1319">
        <f t="shared" ca="1" si="1360"/>
        <v>0</v>
      </c>
      <c r="ID172" s="1319">
        <f t="shared" ca="1" si="1360"/>
        <v>0</v>
      </c>
      <c r="IE172" s="1319">
        <f t="shared" ca="1" si="1360"/>
        <v>0</v>
      </c>
      <c r="IN172" s="1334"/>
      <c r="IQ172" s="1319">
        <f t="shared" ca="1" si="1361"/>
        <v>-1.3999120372206697</v>
      </c>
      <c r="IR172" s="1319">
        <f t="shared" ca="1" si="1361"/>
        <v>-4.0684943557842672</v>
      </c>
      <c r="IS172" s="1319">
        <f t="shared" ca="1" si="1361"/>
        <v>-4.0011339595531652</v>
      </c>
      <c r="IT172" s="1319">
        <f t="shared" ca="1" si="1361"/>
        <v>-8.0696283306225762</v>
      </c>
      <c r="IU172" s="1319">
        <f t="shared" ca="1" si="1361"/>
        <v>-0.40348141602162402</v>
      </c>
      <c r="IV172" s="1319">
        <f t="shared" ca="1" si="1361"/>
        <v>-100.02834835194808</v>
      </c>
      <c r="IW172" s="1319">
        <f t="shared" ca="1" si="1361"/>
        <v>-96.027215029275951</v>
      </c>
      <c r="IX172" s="1319">
        <f t="shared" ca="1" si="1361"/>
        <v>0</v>
      </c>
      <c r="IY172" s="1319">
        <f t="shared" ca="1" si="1361"/>
        <v>-7.6661469166389722</v>
      </c>
      <c r="IZ172" s="1319">
        <f t="shared" ca="1" si="1361"/>
        <v>0</v>
      </c>
      <c r="JA172" s="1319">
        <f t="shared" ca="1" si="1361"/>
        <v>-100.02834886145291</v>
      </c>
      <c r="JB172" s="1319">
        <f t="shared" ca="1" si="1362"/>
        <v>0</v>
      </c>
      <c r="JC172" s="1319">
        <f t="shared" ca="1" si="1362"/>
        <v>0</v>
      </c>
      <c r="JD172" s="1319">
        <f t="shared" ca="1" si="1362"/>
        <v>0</v>
      </c>
      <c r="JE172" s="1319">
        <f t="shared" ca="1" si="1362"/>
        <v>0</v>
      </c>
      <c r="JF172" s="1319">
        <f t="shared" ca="1" si="1362"/>
        <v>0</v>
      </c>
      <c r="JG172" s="1319">
        <f t="shared" ca="1" si="1362"/>
        <v>0</v>
      </c>
      <c r="JH172" s="1319">
        <f t="shared" ca="1" si="1362"/>
        <v>0</v>
      </c>
      <c r="JQ172" s="1334"/>
      <c r="JT172" s="1319">
        <f t="shared" ca="1" si="1363"/>
        <v>0</v>
      </c>
      <c r="JU172" s="1319">
        <f t="shared" ca="1" si="1363"/>
        <v>0</v>
      </c>
      <c r="JV172" s="1319">
        <f t="shared" ca="1" si="1363"/>
        <v>0</v>
      </c>
      <c r="JW172" s="1319">
        <f t="shared" ca="1" si="1363"/>
        <v>0</v>
      </c>
      <c r="JX172" s="1319">
        <f t="shared" ca="1" si="1363"/>
        <v>0</v>
      </c>
      <c r="JY172" s="1319">
        <f t="shared" ca="1" si="1363"/>
        <v>0</v>
      </c>
      <c r="JZ172" s="1319">
        <f t="shared" ca="1" si="1363"/>
        <v>0</v>
      </c>
      <c r="KA172" s="1319">
        <f t="shared" ca="1" si="1363"/>
        <v>0</v>
      </c>
      <c r="KB172" s="1319">
        <f t="shared" ca="1" si="1363"/>
        <v>0</v>
      </c>
      <c r="KC172" s="1319">
        <f t="shared" ca="1" si="1363"/>
        <v>0</v>
      </c>
      <c r="KI172" s="1334"/>
      <c r="KL172" s="1319">
        <f t="shared" ca="1" si="1364"/>
        <v>0</v>
      </c>
      <c r="KM172" s="1319">
        <f t="shared" ca="1" si="1364"/>
        <v>0</v>
      </c>
      <c r="KN172" s="1319">
        <f t="shared" ca="1" si="1364"/>
        <v>0</v>
      </c>
      <c r="KO172" s="1319">
        <f t="shared" ca="1" si="1364"/>
        <v>0</v>
      </c>
      <c r="KP172" s="1319">
        <f t="shared" ca="1" si="1364"/>
        <v>0</v>
      </c>
      <c r="KQ172" s="1319">
        <f t="shared" ca="1" si="1364"/>
        <v>0</v>
      </c>
      <c r="KR172" s="1319">
        <f t="shared" ca="1" si="1364"/>
        <v>0</v>
      </c>
      <c r="KX172" s="1334"/>
      <c r="LA172" s="1319">
        <f t="shared" ca="1" si="1365"/>
        <v>0</v>
      </c>
      <c r="LB172" s="1319">
        <f t="shared" ca="1" si="1365"/>
        <v>0</v>
      </c>
      <c r="LC172" s="1319">
        <f t="shared" ca="1" si="1365"/>
        <v>0</v>
      </c>
      <c r="LD172" s="1319">
        <f t="shared" ca="1" si="1365"/>
        <v>0</v>
      </c>
      <c r="LE172" s="1319">
        <f t="shared" ca="1" si="1365"/>
        <v>0</v>
      </c>
      <c r="LF172" s="1319">
        <f t="shared" ca="1" si="1365"/>
        <v>0</v>
      </c>
      <c r="LG172" s="1319">
        <f t="shared" ca="1" si="1365"/>
        <v>0</v>
      </c>
      <c r="LH172" s="1319">
        <f t="shared" ca="1" si="1365"/>
        <v>0</v>
      </c>
      <c r="LI172" s="1319">
        <f t="shared" ca="1" si="1365"/>
        <v>0</v>
      </c>
      <c r="LJ172" s="1319">
        <f t="shared" ca="1" si="1365"/>
        <v>0</v>
      </c>
      <c r="LK172" s="1319">
        <f t="shared" ca="1" si="1365"/>
        <v>0</v>
      </c>
      <c r="LT172" s="1334"/>
      <c r="LW172" s="1319">
        <f t="shared" ca="1" si="1366"/>
        <v>0</v>
      </c>
      <c r="LX172" s="1319">
        <f t="shared" ca="1" si="1366"/>
        <v>0</v>
      </c>
      <c r="LY172" s="1319">
        <f t="shared" ca="1" si="1366"/>
        <v>0</v>
      </c>
      <c r="LZ172" s="1319">
        <f t="shared" ca="1" si="1366"/>
        <v>-7.6661469166389722</v>
      </c>
      <c r="MA172" s="1319">
        <f t="shared" ca="1" si="1366"/>
        <v>-7.6661469166389722</v>
      </c>
      <c r="MB172" s="1319">
        <f t="shared" ca="1" si="1366"/>
        <v>0</v>
      </c>
      <c r="MC172" s="1319">
        <f t="shared" ca="1" si="1366"/>
        <v>0</v>
      </c>
      <c r="MD172" s="1319">
        <f t="shared" ca="1" si="1366"/>
        <v>0</v>
      </c>
      <c r="ME172" s="1319">
        <f t="shared" ca="1" si="1366"/>
        <v>0</v>
      </c>
      <c r="MF172" s="1319">
        <f t="shared" ca="1" si="1366"/>
        <v>0</v>
      </c>
      <c r="MG172" s="1319">
        <f t="shared" ca="1" si="1367"/>
        <v>0</v>
      </c>
      <c r="MH172" s="1319">
        <f t="shared" ca="1" si="1367"/>
        <v>0</v>
      </c>
      <c r="MI172" s="1319">
        <f t="shared" ca="1" si="1367"/>
        <v>0</v>
      </c>
      <c r="MJ172" s="1319">
        <f t="shared" ca="1" si="1367"/>
        <v>0</v>
      </c>
      <c r="MK172" s="1319">
        <f t="shared" ca="1" si="1367"/>
        <v>0</v>
      </c>
      <c r="ML172" s="1319">
        <f t="shared" ca="1" si="1367"/>
        <v>0</v>
      </c>
      <c r="MM172" s="1319">
        <f t="shared" ca="1" si="1367"/>
        <v>0</v>
      </c>
      <c r="MN172" s="1319">
        <f t="shared" ca="1" si="1367"/>
        <v>0</v>
      </c>
      <c r="MO172" s="1319">
        <f t="shared" ca="1" si="1367"/>
        <v>0</v>
      </c>
      <c r="MX172" s="1334"/>
      <c r="NA172" s="1319">
        <f t="shared" ca="1" si="1368"/>
        <v>0</v>
      </c>
      <c r="NB172" s="1319">
        <f t="shared" ca="1" si="1368"/>
        <v>0</v>
      </c>
      <c r="NC172" s="1319">
        <f t="shared" ca="1" si="1368"/>
        <v>0</v>
      </c>
      <c r="ND172" s="1319">
        <f t="shared" ca="1" si="1368"/>
        <v>0</v>
      </c>
      <c r="NE172" s="1319">
        <f t="shared" ca="1" si="1368"/>
        <v>0</v>
      </c>
      <c r="NF172" s="1319">
        <f t="shared" ca="1" si="1368"/>
        <v>0</v>
      </c>
      <c r="NG172" s="1319">
        <f t="shared" ca="1" si="1368"/>
        <v>0</v>
      </c>
      <c r="NH172" s="1319">
        <f t="shared" ca="1" si="1368"/>
        <v>0</v>
      </c>
      <c r="NI172" s="1319">
        <f t="shared" ca="1" si="1368"/>
        <v>0</v>
      </c>
      <c r="NJ172" s="1319">
        <f t="shared" ca="1" si="1368"/>
        <v>0</v>
      </c>
      <c r="NK172" s="1319">
        <f t="shared" ca="1" si="1368"/>
        <v>0</v>
      </c>
      <c r="NL172" s="1319">
        <f t="shared" ca="1" si="1368"/>
        <v>0</v>
      </c>
      <c r="NM172" s="1319">
        <f t="shared" ca="1" si="1368"/>
        <v>0</v>
      </c>
      <c r="NN172" s="1319">
        <f t="shared" ca="1" si="1368"/>
        <v>0</v>
      </c>
      <c r="NO172" s="1319">
        <f t="shared" ca="1" si="1368"/>
        <v>0</v>
      </c>
      <c r="NP172" s="1319">
        <f t="shared" ca="1" si="1368"/>
        <v>0</v>
      </c>
      <c r="NY172" s="1334"/>
      <c r="OE172" s="1334"/>
      <c r="OH172" s="1319">
        <f t="shared" ca="1" si="1369"/>
        <v>0</v>
      </c>
      <c r="OI172" s="1319">
        <f t="shared" ca="1" si="1369"/>
        <v>0</v>
      </c>
      <c r="OJ172" s="1319">
        <f t="shared" ca="1" si="1369"/>
        <v>0</v>
      </c>
      <c r="OK172" s="1319">
        <f t="shared" ca="1" si="1369"/>
        <v>0</v>
      </c>
      <c r="OL172" s="1319">
        <f t="shared" ca="1" si="1369"/>
        <v>0</v>
      </c>
      <c r="OM172" s="1319">
        <f t="shared" ca="1" si="1369"/>
        <v>0</v>
      </c>
      <c r="ON172" s="1319">
        <f t="shared" ca="1" si="1369"/>
        <v>0</v>
      </c>
      <c r="OO172" s="1319">
        <f t="shared" ca="1" si="1369"/>
        <v>0</v>
      </c>
      <c r="OX172" s="1334"/>
      <c r="PA172" s="1319">
        <f t="shared" ca="1" si="1370"/>
        <v>0</v>
      </c>
      <c r="PB172" s="1319">
        <f t="shared" ca="1" si="1370"/>
        <v>0</v>
      </c>
      <c r="PC172" s="1319">
        <f t="shared" ca="1" si="1370"/>
        <v>0</v>
      </c>
      <c r="PD172" s="1319">
        <f t="shared" ca="1" si="1370"/>
        <v>0</v>
      </c>
      <c r="PE172" s="1319">
        <f t="shared" ca="1" si="1370"/>
        <v>0</v>
      </c>
      <c r="PF172" s="1319">
        <f t="shared" ca="1" si="1370"/>
        <v>0</v>
      </c>
      <c r="PG172" s="1319">
        <f t="shared" ca="1" si="1370"/>
        <v>0</v>
      </c>
      <c r="PH172" s="1319">
        <f t="shared" ca="1" si="1370"/>
        <v>0</v>
      </c>
      <c r="PI172" s="1319">
        <f t="shared" ca="1" si="1370"/>
        <v>0</v>
      </c>
      <c r="PJ172" s="1319">
        <f t="shared" ca="1" si="1370"/>
        <v>0</v>
      </c>
      <c r="PK172" s="1319">
        <f t="shared" ca="1" si="1370"/>
        <v>0</v>
      </c>
      <c r="PT172" s="1334"/>
      <c r="PW172" s="1319">
        <f t="shared" ca="1" si="1349"/>
        <v>0</v>
      </c>
      <c r="PX172" s="1319">
        <f t="shared" ca="1" si="1349"/>
        <v>0</v>
      </c>
      <c r="PY172" s="1319">
        <f t="shared" ca="1" si="1349"/>
        <v>0</v>
      </c>
      <c r="PZ172" s="1319">
        <f t="shared" ca="1" si="1349"/>
        <v>0</v>
      </c>
    </row>
    <row r="173" spans="1:442" x14ac:dyDescent="0.25">
      <c r="A173" s="189">
        <v>141</v>
      </c>
      <c r="B173" s="189" t="s">
        <v>1320</v>
      </c>
      <c r="C173" s="1317" t="s">
        <v>1276</v>
      </c>
      <c r="D173" s="1317" t="s">
        <v>206</v>
      </c>
      <c r="E173" s="1318">
        <v>150.13139999999999</v>
      </c>
      <c r="F173" s="1316">
        <v>-0.57662271902722917</v>
      </c>
      <c r="G173" s="1334"/>
      <c r="J173" s="1319">
        <f t="shared" ca="1" si="1327"/>
        <v>0</v>
      </c>
      <c r="K173" s="1319">
        <f t="shared" ca="1" si="1327"/>
        <v>0</v>
      </c>
      <c r="Q173" s="1334"/>
      <c r="T173" s="1319">
        <f t="shared" ca="1" si="1350"/>
        <v>0</v>
      </c>
      <c r="U173" s="1319">
        <f t="shared" ca="1" si="1350"/>
        <v>0</v>
      </c>
      <c r="V173" s="1319">
        <f t="shared" ca="1" si="1350"/>
        <v>0</v>
      </c>
      <c r="W173" s="1319">
        <f t="shared" ca="1" si="1350"/>
        <v>0</v>
      </c>
      <c r="X173" s="1319">
        <f t="shared" ca="1" si="1350"/>
        <v>0</v>
      </c>
      <c r="Y173" s="1319">
        <f t="shared" ca="1" si="1350"/>
        <v>-1.0349880194184007</v>
      </c>
      <c r="Z173" s="1319">
        <f t="shared" ca="1" si="1350"/>
        <v>0</v>
      </c>
      <c r="AA173" s="1319">
        <f t="shared" ca="1" si="1350"/>
        <v>-1.0349880194184007</v>
      </c>
      <c r="AB173" s="1319">
        <f t="shared" ca="1" si="1350"/>
        <v>0</v>
      </c>
      <c r="AC173" s="1319">
        <f t="shared" ca="1" si="1350"/>
        <v>0</v>
      </c>
      <c r="AD173" s="1319">
        <f t="shared" ca="1" si="1350"/>
        <v>0</v>
      </c>
      <c r="AJ173" s="1334"/>
      <c r="AM173" s="1319">
        <f t="shared" ca="1" si="1351"/>
        <v>0</v>
      </c>
      <c r="AN173" s="1319">
        <f t="shared" ca="1" si="1351"/>
        <v>0</v>
      </c>
      <c r="AO173" s="1319">
        <f t="shared" ca="1" si="1351"/>
        <v>-1.0349880194184007</v>
      </c>
      <c r="AP173" s="1319">
        <f t="shared" ca="1" si="1351"/>
        <v>-1.0349880194184007</v>
      </c>
      <c r="AQ173" s="1319">
        <f t="shared" ca="1" si="1351"/>
        <v>0</v>
      </c>
      <c r="AR173" s="1319">
        <f t="shared" ca="1" si="1351"/>
        <v>0</v>
      </c>
      <c r="AS173" s="1319">
        <f t="shared" ca="1" si="1351"/>
        <v>0</v>
      </c>
      <c r="AT173" s="1319">
        <f t="shared" ca="1" si="1351"/>
        <v>0</v>
      </c>
      <c r="AU173" s="1319">
        <f t="shared" ca="1" si="1351"/>
        <v>0</v>
      </c>
      <c r="AV173" s="1319">
        <f t="shared" ca="1" si="1351"/>
        <v>-1.0349880194184007</v>
      </c>
      <c r="AW173" s="1319">
        <f t="shared" ca="1" si="1351"/>
        <v>0</v>
      </c>
      <c r="AX173" s="1319">
        <f t="shared" ca="1" si="1351"/>
        <v>0</v>
      </c>
      <c r="AY173" s="1319">
        <f t="shared" ca="1" si="1351"/>
        <v>0</v>
      </c>
      <c r="AZ173" s="1319">
        <f t="shared" ca="1" si="1351"/>
        <v>0</v>
      </c>
      <c r="BA173" s="1319">
        <f t="shared" ca="1" si="1351"/>
        <v>0</v>
      </c>
      <c r="BB173" s="1319">
        <f t="shared" ca="1" si="1351"/>
        <v>-1.8170624086901885</v>
      </c>
      <c r="BK173" s="1334"/>
      <c r="BN173" s="1319">
        <f t="shared" ca="1" si="1352"/>
        <v>-0.18170621475166771</v>
      </c>
      <c r="BO173" s="1319">
        <f t="shared" ca="1" si="1352"/>
        <v>-0.18170621475166771</v>
      </c>
      <c r="BP173" s="1319">
        <f t="shared" ca="1" si="1352"/>
        <v>0</v>
      </c>
      <c r="BQ173" s="1319">
        <f t="shared" ca="1" si="1352"/>
        <v>0</v>
      </c>
      <c r="BR173" s="1319">
        <f t="shared" ca="1" si="1352"/>
        <v>0</v>
      </c>
      <c r="CA173" s="1334"/>
      <c r="CD173" s="1319">
        <f t="shared" ca="1" si="1353"/>
        <v>-1.8170624086901885</v>
      </c>
      <c r="CE173" s="1319">
        <f t="shared" ca="1" si="1353"/>
        <v>-1.8170624086901885</v>
      </c>
      <c r="CF173" s="1319">
        <f t="shared" ca="1" si="1353"/>
        <v>-0.18170621475166771</v>
      </c>
      <c r="CG173" s="1319">
        <f t="shared" ca="1" si="1353"/>
        <v>-0.18170621475166771</v>
      </c>
      <c r="CH173" s="1319">
        <f t="shared" ca="1" si="1353"/>
        <v>-1.8170624086901885</v>
      </c>
      <c r="CI173" s="1319">
        <f t="shared" ca="1" si="1353"/>
        <v>0</v>
      </c>
      <c r="CJ173" s="1319">
        <f t="shared" ca="1" si="1353"/>
        <v>0</v>
      </c>
      <c r="CK173" s="1319">
        <f t="shared" ca="1" si="1353"/>
        <v>-1.8170621475166773</v>
      </c>
      <c r="CL173" s="1319">
        <f t="shared" ca="1" si="1353"/>
        <v>0</v>
      </c>
      <c r="CM173" s="1319">
        <f t="shared" ca="1" si="1353"/>
        <v>0</v>
      </c>
      <c r="CN173" s="1319">
        <f t="shared" ca="1" si="1353"/>
        <v>-1.8170621475166773</v>
      </c>
      <c r="CO173" s="1319">
        <f t="shared" ca="1" si="1353"/>
        <v>0</v>
      </c>
      <c r="CX173" s="1334"/>
      <c r="DA173" s="1319">
        <f t="shared" ca="1" si="1354"/>
        <v>0</v>
      </c>
      <c r="DB173" s="1319">
        <f t="shared" ca="1" si="1354"/>
        <v>0</v>
      </c>
      <c r="DC173" s="1319">
        <f t="shared" ca="1" si="1354"/>
        <v>0</v>
      </c>
      <c r="DD173" s="1319">
        <f t="shared" ca="1" si="1354"/>
        <v>0</v>
      </c>
      <c r="DE173" s="1319">
        <f t="shared" ca="1" si="1354"/>
        <v>0</v>
      </c>
      <c r="DF173" s="1319">
        <f t="shared" ca="1" si="1354"/>
        <v>0</v>
      </c>
      <c r="DG173" s="1319">
        <f t="shared" ca="1" si="1354"/>
        <v>0</v>
      </c>
      <c r="DH173" s="1319">
        <f t="shared" ca="1" si="1354"/>
        <v>0</v>
      </c>
      <c r="DI173" s="1319">
        <f t="shared" ca="1" si="1354"/>
        <v>0</v>
      </c>
      <c r="DJ173" s="1319">
        <f t="shared" ca="1" si="1354"/>
        <v>0</v>
      </c>
      <c r="DS173" s="1334"/>
      <c r="DV173" s="1319">
        <f t="shared" ca="1" si="1355"/>
        <v>0</v>
      </c>
      <c r="DW173" s="1319">
        <f t="shared" ca="1" si="1355"/>
        <v>0</v>
      </c>
      <c r="DX173" s="1319">
        <f t="shared" ca="1" si="1355"/>
        <v>0</v>
      </c>
      <c r="DY173" s="1319">
        <f t="shared" ca="1" si="1355"/>
        <v>0</v>
      </c>
      <c r="DZ173" s="1319">
        <f t="shared" ca="1" si="1355"/>
        <v>0</v>
      </c>
      <c r="EA173" s="1319">
        <f t="shared" ca="1" si="1355"/>
        <v>0</v>
      </c>
      <c r="EB173" s="1319">
        <f t="shared" ca="1" si="1355"/>
        <v>0</v>
      </c>
      <c r="EC173" s="1319">
        <f t="shared" ca="1" si="1355"/>
        <v>0</v>
      </c>
      <c r="ED173" s="1319">
        <f t="shared" ca="1" si="1355"/>
        <v>0</v>
      </c>
      <c r="EE173" s="1319">
        <f t="shared" ca="1" si="1355"/>
        <v>0</v>
      </c>
      <c r="EF173" s="1319">
        <f t="shared" ca="1" si="1355"/>
        <v>0</v>
      </c>
      <c r="EG173" s="1319">
        <f t="shared" ca="1" si="1355"/>
        <v>0</v>
      </c>
      <c r="EH173" s="1319">
        <f t="shared" ca="1" si="1355"/>
        <v>0</v>
      </c>
      <c r="EI173" s="1319">
        <f t="shared" ca="1" si="1355"/>
        <v>0</v>
      </c>
      <c r="EJ173" s="1319">
        <f t="shared" ca="1" si="1355"/>
        <v>0</v>
      </c>
      <c r="EK173" s="1319">
        <f t="shared" ca="1" si="1355"/>
        <v>0</v>
      </c>
      <c r="ET173" s="1334"/>
      <c r="EW173" s="1319">
        <f t="shared" ca="1" si="1356"/>
        <v>-1.8170621475166773</v>
      </c>
      <c r="EX173" s="1319">
        <f t="shared" ca="1" si="1356"/>
        <v>-1.8170621475166773</v>
      </c>
      <c r="EY173" s="1319">
        <f t="shared" ca="1" si="1356"/>
        <v>-1.8170621475166773</v>
      </c>
      <c r="EZ173" s="1319">
        <f t="shared" ca="1" si="1356"/>
        <v>-1.8170621475166773</v>
      </c>
      <c r="FA173" s="1319">
        <f t="shared" ca="1" si="1356"/>
        <v>0</v>
      </c>
      <c r="FB173" s="1319">
        <f t="shared" ca="1" si="1356"/>
        <v>0</v>
      </c>
      <c r="FK173" s="1334"/>
      <c r="FN173" s="1319">
        <f t="shared" ca="1" si="1357"/>
        <v>0</v>
      </c>
      <c r="FO173" s="1319">
        <f t="shared" ca="1" si="1357"/>
        <v>0</v>
      </c>
      <c r="FP173" s="1319">
        <f t="shared" ca="1" si="1357"/>
        <v>0</v>
      </c>
      <c r="FQ173" s="1319">
        <f t="shared" ca="1" si="1357"/>
        <v>0</v>
      </c>
      <c r="FR173" s="1319">
        <f t="shared" ca="1" si="1357"/>
        <v>0</v>
      </c>
      <c r="FS173" s="1319">
        <f t="shared" ca="1" si="1357"/>
        <v>0</v>
      </c>
      <c r="FT173" s="1319">
        <f t="shared" ca="1" si="1357"/>
        <v>0</v>
      </c>
      <c r="FU173" s="1319">
        <f t="shared" ca="1" si="1357"/>
        <v>0</v>
      </c>
      <c r="FV173" s="1319">
        <f t="shared" ca="1" si="1357"/>
        <v>0</v>
      </c>
      <c r="FW173" s="1319">
        <f t="shared" ca="1" si="1357"/>
        <v>0</v>
      </c>
      <c r="FX173" s="1319">
        <f t="shared" ca="1" si="1357"/>
        <v>0</v>
      </c>
      <c r="GG173" s="1334"/>
      <c r="GJ173" s="1319">
        <f t="shared" ca="1" si="1358"/>
        <v>0</v>
      </c>
      <c r="GK173" s="1319">
        <f t="shared" ca="1" si="1358"/>
        <v>0</v>
      </c>
      <c r="GL173" s="1319">
        <f t="shared" ca="1" si="1358"/>
        <v>0</v>
      </c>
      <c r="GM173" s="1319">
        <f t="shared" ca="1" si="1358"/>
        <v>0</v>
      </c>
      <c r="GN173" s="1319">
        <f t="shared" ca="1" si="1358"/>
        <v>0</v>
      </c>
      <c r="GO173" s="1319">
        <f t="shared" ca="1" si="1358"/>
        <v>0</v>
      </c>
      <c r="GP173" s="1319">
        <f t="shared" ca="1" si="1358"/>
        <v>0</v>
      </c>
      <c r="GQ173" s="1319">
        <f t="shared" ca="1" si="1358"/>
        <v>0</v>
      </c>
      <c r="GZ173" s="1334"/>
      <c r="HC173" s="1319">
        <f t="shared" ca="1" si="1359"/>
        <v>-1.8170621475166773</v>
      </c>
      <c r="HD173" s="1319">
        <f t="shared" ca="1" si="1359"/>
        <v>-3.6341242950333544E-2</v>
      </c>
      <c r="HE173" s="1319">
        <f t="shared" ca="1" si="1359"/>
        <v>0</v>
      </c>
      <c r="HF173" s="1319">
        <f t="shared" ca="1" si="1359"/>
        <v>0</v>
      </c>
      <c r="HG173" s="1319">
        <f t="shared" ca="1" si="1359"/>
        <v>-1.7807209057953954</v>
      </c>
      <c r="HH173" s="1319">
        <f t="shared" ca="1" si="1359"/>
        <v>-3.6341242950333544E-2</v>
      </c>
      <c r="HQ173" s="1334"/>
      <c r="HT173" s="1319">
        <f t="shared" ca="1" si="1360"/>
        <v>0</v>
      </c>
      <c r="HU173" s="1319">
        <f t="shared" ca="1" si="1360"/>
        <v>-3.6341242950333544E-2</v>
      </c>
      <c r="HV173" s="1319">
        <f t="shared" ca="1" si="1360"/>
        <v>-3.6341242950333544E-2</v>
      </c>
      <c r="HW173" s="1319">
        <f t="shared" ca="1" si="1360"/>
        <v>-3.6341242950333544E-2</v>
      </c>
      <c r="HX173" s="1319">
        <f t="shared" ca="1" si="1360"/>
        <v>-9.3033582032742233E-3</v>
      </c>
      <c r="HY173" s="1319">
        <f t="shared" ca="1" si="1360"/>
        <v>-2.7037884747059319E-2</v>
      </c>
      <c r="HZ173" s="1319">
        <f t="shared" ca="1" si="1360"/>
        <v>0</v>
      </c>
      <c r="IA173" s="1319">
        <f t="shared" ca="1" si="1360"/>
        <v>0</v>
      </c>
      <c r="IB173" s="1319">
        <f t="shared" ca="1" si="1360"/>
        <v>0</v>
      </c>
      <c r="IC173" s="1319">
        <f t="shared" ca="1" si="1360"/>
        <v>0</v>
      </c>
      <c r="ID173" s="1319">
        <f t="shared" ca="1" si="1360"/>
        <v>0</v>
      </c>
      <c r="IE173" s="1319">
        <f t="shared" ca="1" si="1360"/>
        <v>0</v>
      </c>
      <c r="IN173" s="1334"/>
      <c r="IQ173" s="1319">
        <f t="shared" ca="1" si="1361"/>
        <v>-9.3033582032742233E-3</v>
      </c>
      <c r="IR173" s="1319">
        <f t="shared" ca="1" si="1361"/>
        <v>-2.7037884747059319E-2</v>
      </c>
      <c r="IS173" s="1319">
        <f t="shared" ca="1" si="1361"/>
        <v>-1.1216055192574332E-2</v>
      </c>
      <c r="IT173" s="1319">
        <f t="shared" ca="1" si="1361"/>
        <v>-3.8253939939633649E-2</v>
      </c>
      <c r="IU173" s="1319">
        <f t="shared" ca="1" si="1361"/>
        <v>-1.9126969969816821E-3</v>
      </c>
      <c r="IV173" s="1319">
        <f t="shared" ca="1" si="1361"/>
        <v>-0.28040137981435831</v>
      </c>
      <c r="IW173" s="1319">
        <f t="shared" ca="1" si="1361"/>
        <v>-0.26918532446815252</v>
      </c>
      <c r="IX173" s="1319">
        <f t="shared" ca="1" si="1361"/>
        <v>0</v>
      </c>
      <c r="IY173" s="1319">
        <f t="shared" ca="1" si="1361"/>
        <v>-3.6341242950333544E-2</v>
      </c>
      <c r="IZ173" s="1319">
        <f t="shared" ca="1" si="1361"/>
        <v>0</v>
      </c>
      <c r="JA173" s="1319">
        <f t="shared" ca="1" si="1361"/>
        <v>-0.28040137981435831</v>
      </c>
      <c r="JB173" s="1319">
        <f t="shared" ca="1" si="1362"/>
        <v>0</v>
      </c>
      <c r="JC173" s="1319">
        <f t="shared" ca="1" si="1362"/>
        <v>0</v>
      </c>
      <c r="JD173" s="1319">
        <f t="shared" ca="1" si="1362"/>
        <v>0</v>
      </c>
      <c r="JE173" s="1319">
        <f t="shared" ca="1" si="1362"/>
        <v>0</v>
      </c>
      <c r="JF173" s="1319">
        <f t="shared" ca="1" si="1362"/>
        <v>0</v>
      </c>
      <c r="JG173" s="1319">
        <f t="shared" ca="1" si="1362"/>
        <v>0</v>
      </c>
      <c r="JH173" s="1319">
        <f t="shared" ca="1" si="1362"/>
        <v>0</v>
      </c>
      <c r="JQ173" s="1334"/>
      <c r="JT173" s="1319">
        <f t="shared" ca="1" si="1363"/>
        <v>0</v>
      </c>
      <c r="JU173" s="1319">
        <f t="shared" ca="1" si="1363"/>
        <v>0</v>
      </c>
      <c r="JV173" s="1319">
        <f t="shared" ca="1" si="1363"/>
        <v>0</v>
      </c>
      <c r="JW173" s="1319">
        <f t="shared" ca="1" si="1363"/>
        <v>0</v>
      </c>
      <c r="JX173" s="1319">
        <f t="shared" ca="1" si="1363"/>
        <v>0</v>
      </c>
      <c r="JY173" s="1319">
        <f t="shared" ca="1" si="1363"/>
        <v>0</v>
      </c>
      <c r="JZ173" s="1319">
        <f t="shared" ca="1" si="1363"/>
        <v>0</v>
      </c>
      <c r="KA173" s="1319">
        <f t="shared" ca="1" si="1363"/>
        <v>0</v>
      </c>
      <c r="KB173" s="1319">
        <f t="shared" ca="1" si="1363"/>
        <v>0</v>
      </c>
      <c r="KC173" s="1319">
        <f t="shared" ca="1" si="1363"/>
        <v>0</v>
      </c>
      <c r="KI173" s="1334"/>
      <c r="KL173" s="1319">
        <f t="shared" ca="1" si="1364"/>
        <v>0</v>
      </c>
      <c r="KM173" s="1319">
        <f t="shared" ca="1" si="1364"/>
        <v>0</v>
      </c>
      <c r="KN173" s="1319">
        <f t="shared" ca="1" si="1364"/>
        <v>0</v>
      </c>
      <c r="KO173" s="1319">
        <f t="shared" ca="1" si="1364"/>
        <v>0</v>
      </c>
      <c r="KP173" s="1319">
        <f t="shared" ca="1" si="1364"/>
        <v>0</v>
      </c>
      <c r="KQ173" s="1319">
        <f t="shared" ca="1" si="1364"/>
        <v>0</v>
      </c>
      <c r="KR173" s="1319">
        <f t="shared" ca="1" si="1364"/>
        <v>0</v>
      </c>
      <c r="KX173" s="1334"/>
      <c r="LA173" s="1319">
        <f t="shared" ca="1" si="1365"/>
        <v>0</v>
      </c>
      <c r="LB173" s="1319">
        <f t="shared" ca="1" si="1365"/>
        <v>0</v>
      </c>
      <c r="LC173" s="1319">
        <f t="shared" ca="1" si="1365"/>
        <v>0</v>
      </c>
      <c r="LD173" s="1319">
        <f t="shared" ca="1" si="1365"/>
        <v>0</v>
      </c>
      <c r="LE173" s="1319">
        <f t="shared" ca="1" si="1365"/>
        <v>0</v>
      </c>
      <c r="LF173" s="1319">
        <f t="shared" ca="1" si="1365"/>
        <v>0</v>
      </c>
      <c r="LG173" s="1319">
        <f t="shared" ca="1" si="1365"/>
        <v>0</v>
      </c>
      <c r="LH173" s="1319">
        <f t="shared" ca="1" si="1365"/>
        <v>0</v>
      </c>
      <c r="LI173" s="1319">
        <f t="shared" ca="1" si="1365"/>
        <v>0</v>
      </c>
      <c r="LJ173" s="1319">
        <f t="shared" ca="1" si="1365"/>
        <v>0</v>
      </c>
      <c r="LK173" s="1319">
        <f t="shared" ca="1" si="1365"/>
        <v>0</v>
      </c>
      <c r="LT173" s="1334"/>
      <c r="LW173" s="1319">
        <f t="shared" ca="1" si="1366"/>
        <v>0</v>
      </c>
      <c r="LX173" s="1319">
        <f t="shared" ca="1" si="1366"/>
        <v>0</v>
      </c>
      <c r="LY173" s="1319">
        <f t="shared" ca="1" si="1366"/>
        <v>-1.7807209057953954</v>
      </c>
      <c r="LZ173" s="1319">
        <f t="shared" ca="1" si="1366"/>
        <v>-3.6341242950333544E-2</v>
      </c>
      <c r="MA173" s="1319">
        <f t="shared" ca="1" si="1366"/>
        <v>-1.8170621475166773</v>
      </c>
      <c r="MB173" s="1319">
        <f t="shared" ca="1" si="1366"/>
        <v>0</v>
      </c>
      <c r="MC173" s="1319">
        <f t="shared" ca="1" si="1366"/>
        <v>0</v>
      </c>
      <c r="MD173" s="1319">
        <f t="shared" ca="1" si="1366"/>
        <v>0</v>
      </c>
      <c r="ME173" s="1319">
        <f t="shared" ca="1" si="1366"/>
        <v>0</v>
      </c>
      <c r="MF173" s="1319">
        <f t="shared" ca="1" si="1366"/>
        <v>0</v>
      </c>
      <c r="MG173" s="1319">
        <f t="shared" ca="1" si="1367"/>
        <v>0</v>
      </c>
      <c r="MH173" s="1319">
        <f t="shared" ca="1" si="1367"/>
        <v>0</v>
      </c>
      <c r="MI173" s="1319">
        <f t="shared" ca="1" si="1367"/>
        <v>0</v>
      </c>
      <c r="MJ173" s="1319">
        <f t="shared" ca="1" si="1367"/>
        <v>0</v>
      </c>
      <c r="MK173" s="1319">
        <f t="shared" ca="1" si="1367"/>
        <v>0</v>
      </c>
      <c r="ML173" s="1319">
        <f t="shared" ca="1" si="1367"/>
        <v>0</v>
      </c>
      <c r="MM173" s="1319">
        <f t="shared" ca="1" si="1367"/>
        <v>0</v>
      </c>
      <c r="MN173" s="1319">
        <f t="shared" ca="1" si="1367"/>
        <v>0</v>
      </c>
      <c r="MO173" s="1319">
        <f t="shared" ca="1" si="1367"/>
        <v>0</v>
      </c>
      <c r="MX173" s="1334"/>
      <c r="NA173" s="1319">
        <f t="shared" ca="1" si="1368"/>
        <v>0</v>
      </c>
      <c r="NB173" s="1319">
        <f t="shared" ca="1" si="1368"/>
        <v>0</v>
      </c>
      <c r="NC173" s="1319">
        <f t="shared" ca="1" si="1368"/>
        <v>0</v>
      </c>
      <c r="ND173" s="1319">
        <f t="shared" ca="1" si="1368"/>
        <v>0</v>
      </c>
      <c r="NE173" s="1319">
        <f t="shared" ca="1" si="1368"/>
        <v>0</v>
      </c>
      <c r="NF173" s="1319">
        <f t="shared" ca="1" si="1368"/>
        <v>0</v>
      </c>
      <c r="NG173" s="1319">
        <f t="shared" ca="1" si="1368"/>
        <v>0</v>
      </c>
      <c r="NH173" s="1319">
        <f t="shared" ca="1" si="1368"/>
        <v>0</v>
      </c>
      <c r="NI173" s="1319">
        <f t="shared" ca="1" si="1368"/>
        <v>0</v>
      </c>
      <c r="NJ173" s="1319">
        <f t="shared" ca="1" si="1368"/>
        <v>0</v>
      </c>
      <c r="NK173" s="1319">
        <f t="shared" ca="1" si="1368"/>
        <v>0</v>
      </c>
      <c r="NL173" s="1319">
        <f t="shared" ca="1" si="1368"/>
        <v>0</v>
      </c>
      <c r="NM173" s="1319">
        <f t="shared" ca="1" si="1368"/>
        <v>0</v>
      </c>
      <c r="NN173" s="1319">
        <f t="shared" ca="1" si="1368"/>
        <v>0</v>
      </c>
      <c r="NO173" s="1319">
        <f t="shared" ca="1" si="1368"/>
        <v>0</v>
      </c>
      <c r="NP173" s="1319">
        <f t="shared" ca="1" si="1368"/>
        <v>0</v>
      </c>
      <c r="NY173" s="1334"/>
      <c r="OE173" s="1334"/>
      <c r="OH173" s="1319">
        <f t="shared" ca="1" si="1369"/>
        <v>0</v>
      </c>
      <c r="OI173" s="1319">
        <f t="shared" ca="1" si="1369"/>
        <v>0</v>
      </c>
      <c r="OJ173" s="1319">
        <f t="shared" ca="1" si="1369"/>
        <v>0</v>
      </c>
      <c r="OK173" s="1319">
        <f t="shared" ca="1" si="1369"/>
        <v>0</v>
      </c>
      <c r="OL173" s="1319">
        <f t="shared" ca="1" si="1369"/>
        <v>0</v>
      </c>
      <c r="OM173" s="1319">
        <f t="shared" ca="1" si="1369"/>
        <v>0</v>
      </c>
      <c r="ON173" s="1319">
        <f t="shared" ca="1" si="1369"/>
        <v>0</v>
      </c>
      <c r="OO173" s="1319">
        <f t="shared" ca="1" si="1369"/>
        <v>0</v>
      </c>
      <c r="OX173" s="1334"/>
      <c r="PA173" s="1319">
        <f t="shared" ca="1" si="1370"/>
        <v>0</v>
      </c>
      <c r="PB173" s="1319">
        <f t="shared" ca="1" si="1370"/>
        <v>0</v>
      </c>
      <c r="PC173" s="1319">
        <f t="shared" ca="1" si="1370"/>
        <v>0</v>
      </c>
      <c r="PD173" s="1319">
        <f t="shared" ca="1" si="1370"/>
        <v>0</v>
      </c>
      <c r="PE173" s="1319">
        <f t="shared" ca="1" si="1370"/>
        <v>0</v>
      </c>
      <c r="PF173" s="1319">
        <f t="shared" ca="1" si="1370"/>
        <v>0</v>
      </c>
      <c r="PG173" s="1319">
        <f t="shared" ca="1" si="1370"/>
        <v>0</v>
      </c>
      <c r="PH173" s="1319">
        <f t="shared" ca="1" si="1370"/>
        <v>0</v>
      </c>
      <c r="PI173" s="1319">
        <f t="shared" ca="1" si="1370"/>
        <v>0</v>
      </c>
      <c r="PJ173" s="1319">
        <f t="shared" ca="1" si="1370"/>
        <v>0</v>
      </c>
      <c r="PK173" s="1319">
        <f t="shared" ca="1" si="1370"/>
        <v>0</v>
      </c>
      <c r="PT173" s="1334"/>
      <c r="PW173" s="1319">
        <f t="shared" ca="1" si="1349"/>
        <v>0</v>
      </c>
      <c r="PX173" s="1319">
        <f t="shared" ca="1" si="1349"/>
        <v>0</v>
      </c>
      <c r="PY173" s="1319">
        <f t="shared" ca="1" si="1349"/>
        <v>0</v>
      </c>
      <c r="PZ173" s="1319">
        <f t="shared" ca="1" si="1349"/>
        <v>0</v>
      </c>
    </row>
    <row r="174" spans="1:442" x14ac:dyDescent="0.25">
      <c r="A174" s="189">
        <v>142</v>
      </c>
      <c r="B174" s="189" t="s">
        <v>1320</v>
      </c>
      <c r="C174" s="1317" t="s">
        <v>2868</v>
      </c>
      <c r="D174" s="1317" t="s">
        <v>206</v>
      </c>
      <c r="E174" s="1318">
        <v>74.092680000000001</v>
      </c>
      <c r="F174" s="1316">
        <v>2.6077678350000001E-2</v>
      </c>
      <c r="G174" s="1334"/>
      <c r="J174" s="1319">
        <f t="shared" ca="1" si="1327"/>
        <v>0</v>
      </c>
      <c r="K174" s="1319">
        <f t="shared" ca="1" si="1327"/>
        <v>0</v>
      </c>
      <c r="Q174" s="1334"/>
      <c r="T174" s="1319">
        <f t="shared" ca="1" si="1350"/>
        <v>0</v>
      </c>
      <c r="U174" s="1319">
        <f t="shared" ca="1" si="1350"/>
        <v>0</v>
      </c>
      <c r="V174" s="1319">
        <f t="shared" ca="1" si="1350"/>
        <v>0</v>
      </c>
      <c r="W174" s="1319">
        <f t="shared" ca="1" si="1350"/>
        <v>0</v>
      </c>
      <c r="X174" s="1319">
        <f t="shared" ca="1" si="1350"/>
        <v>0</v>
      </c>
      <c r="Y174" s="1319">
        <f t="shared" ca="1" si="1350"/>
        <v>0</v>
      </c>
      <c r="Z174" s="1319">
        <f t="shared" ca="1" si="1350"/>
        <v>0</v>
      </c>
      <c r="AA174" s="1319">
        <f t="shared" ca="1" si="1350"/>
        <v>0</v>
      </c>
      <c r="AB174" s="1319">
        <f t="shared" ca="1" si="1350"/>
        <v>0</v>
      </c>
      <c r="AC174" s="1319">
        <f t="shared" ca="1" si="1350"/>
        <v>0</v>
      </c>
      <c r="AD174" s="1319">
        <f t="shared" ca="1" si="1350"/>
        <v>0</v>
      </c>
      <c r="AJ174" s="1334"/>
      <c r="AM174" s="1319">
        <f t="shared" ca="1" si="1351"/>
        <v>0</v>
      </c>
      <c r="AN174" s="1319">
        <f t="shared" ca="1" si="1351"/>
        <v>0</v>
      </c>
      <c r="AO174" s="1319">
        <f t="shared" ca="1" si="1351"/>
        <v>0</v>
      </c>
      <c r="AP174" s="1319">
        <f t="shared" ca="1" si="1351"/>
        <v>0</v>
      </c>
      <c r="AQ174" s="1319">
        <f t="shared" ca="1" si="1351"/>
        <v>0</v>
      </c>
      <c r="AR174" s="1319">
        <f t="shared" ca="1" si="1351"/>
        <v>0</v>
      </c>
      <c r="AS174" s="1319">
        <f t="shared" ca="1" si="1351"/>
        <v>0</v>
      </c>
      <c r="AT174" s="1319">
        <f t="shared" ca="1" si="1351"/>
        <v>0</v>
      </c>
      <c r="AU174" s="1319">
        <f t="shared" ca="1" si="1351"/>
        <v>0</v>
      </c>
      <c r="AV174" s="1319">
        <f t="shared" ca="1" si="1351"/>
        <v>0</v>
      </c>
      <c r="AW174" s="1319">
        <f t="shared" ca="1" si="1351"/>
        <v>0</v>
      </c>
      <c r="AX174" s="1319">
        <f t="shared" ca="1" si="1351"/>
        <v>0</v>
      </c>
      <c r="AY174" s="1319">
        <f t="shared" ca="1" si="1351"/>
        <v>0</v>
      </c>
      <c r="AZ174" s="1319">
        <f t="shared" ca="1" si="1351"/>
        <v>0</v>
      </c>
      <c r="BA174" s="1319">
        <f t="shared" ca="1" si="1351"/>
        <v>0</v>
      </c>
      <c r="BB174" s="1319">
        <f t="shared" ca="1" si="1351"/>
        <v>0</v>
      </c>
      <c r="BK174" s="1334"/>
      <c r="BN174" s="1319">
        <f t="shared" ca="1" si="1352"/>
        <v>0</v>
      </c>
      <c r="BO174" s="1319">
        <f t="shared" ca="1" si="1352"/>
        <v>0</v>
      </c>
      <c r="BP174" s="1319">
        <f t="shared" ca="1" si="1352"/>
        <v>0</v>
      </c>
      <c r="BQ174" s="1319">
        <f t="shared" ca="1" si="1352"/>
        <v>0</v>
      </c>
      <c r="BR174" s="1319">
        <f t="shared" ca="1" si="1352"/>
        <v>0</v>
      </c>
      <c r="CA174" s="1334"/>
      <c r="CD174" s="1319">
        <f t="shared" ca="1" si="1353"/>
        <v>0</v>
      </c>
      <c r="CE174" s="1319">
        <f t="shared" ca="1" si="1353"/>
        <v>0</v>
      </c>
      <c r="CF174" s="1319">
        <f t="shared" ca="1" si="1353"/>
        <v>0</v>
      </c>
      <c r="CG174" s="1319">
        <f t="shared" ca="1" si="1353"/>
        <v>0</v>
      </c>
      <c r="CH174" s="1319">
        <f t="shared" ca="1" si="1353"/>
        <v>0</v>
      </c>
      <c r="CI174" s="1319">
        <f t="shared" ca="1" si="1353"/>
        <v>0</v>
      </c>
      <c r="CJ174" s="1319">
        <f t="shared" ca="1" si="1353"/>
        <v>0</v>
      </c>
      <c r="CK174" s="1319">
        <f t="shared" ca="1" si="1353"/>
        <v>0</v>
      </c>
      <c r="CL174" s="1319">
        <f t="shared" ca="1" si="1353"/>
        <v>0</v>
      </c>
      <c r="CM174" s="1319">
        <f t="shared" ca="1" si="1353"/>
        <v>0</v>
      </c>
      <c r="CN174" s="1319">
        <f t="shared" ca="1" si="1353"/>
        <v>0</v>
      </c>
      <c r="CO174" s="1319">
        <f t="shared" ca="1" si="1353"/>
        <v>0</v>
      </c>
      <c r="CX174" s="1334"/>
      <c r="DA174" s="1319">
        <f t="shared" ca="1" si="1354"/>
        <v>0</v>
      </c>
      <c r="DB174" s="1319">
        <f t="shared" ca="1" si="1354"/>
        <v>0</v>
      </c>
      <c r="DC174" s="1319">
        <f t="shared" ca="1" si="1354"/>
        <v>0</v>
      </c>
      <c r="DD174" s="1319">
        <f t="shared" ca="1" si="1354"/>
        <v>0</v>
      </c>
      <c r="DE174" s="1319">
        <f t="shared" ca="1" si="1354"/>
        <v>0</v>
      </c>
      <c r="DF174" s="1319">
        <f t="shared" ca="1" si="1354"/>
        <v>0</v>
      </c>
      <c r="DG174" s="1319">
        <f t="shared" ca="1" si="1354"/>
        <v>0</v>
      </c>
      <c r="DH174" s="1319">
        <f t="shared" ca="1" si="1354"/>
        <v>0</v>
      </c>
      <c r="DI174" s="1319">
        <f t="shared" ca="1" si="1354"/>
        <v>0</v>
      </c>
      <c r="DJ174" s="1319">
        <f t="shared" ca="1" si="1354"/>
        <v>0</v>
      </c>
      <c r="DS174" s="1334"/>
      <c r="DV174" s="1319">
        <f t="shared" ca="1" si="1355"/>
        <v>0</v>
      </c>
      <c r="DW174" s="1319">
        <f t="shared" ca="1" si="1355"/>
        <v>0</v>
      </c>
      <c r="DX174" s="1319">
        <f t="shared" ca="1" si="1355"/>
        <v>0</v>
      </c>
      <c r="DY174" s="1319">
        <f t="shared" ca="1" si="1355"/>
        <v>0</v>
      </c>
      <c r="DZ174" s="1319">
        <f t="shared" ca="1" si="1355"/>
        <v>0</v>
      </c>
      <c r="EA174" s="1319">
        <f t="shared" ca="1" si="1355"/>
        <v>0</v>
      </c>
      <c r="EB174" s="1319">
        <f t="shared" ca="1" si="1355"/>
        <v>0</v>
      </c>
      <c r="EC174" s="1319">
        <f t="shared" ca="1" si="1355"/>
        <v>0</v>
      </c>
      <c r="ED174" s="1319">
        <f t="shared" ca="1" si="1355"/>
        <v>0</v>
      </c>
      <c r="EE174" s="1319">
        <f t="shared" ca="1" si="1355"/>
        <v>0</v>
      </c>
      <c r="EF174" s="1319">
        <f t="shared" ca="1" si="1355"/>
        <v>0</v>
      </c>
      <c r="EG174" s="1319">
        <f t="shared" ca="1" si="1355"/>
        <v>0</v>
      </c>
      <c r="EH174" s="1319">
        <f t="shared" ca="1" si="1355"/>
        <v>0</v>
      </c>
      <c r="EI174" s="1319">
        <f t="shared" ca="1" si="1355"/>
        <v>0</v>
      </c>
      <c r="EJ174" s="1319">
        <f t="shared" ca="1" si="1355"/>
        <v>0</v>
      </c>
      <c r="EK174" s="1319">
        <f t="shared" ca="1" si="1355"/>
        <v>0</v>
      </c>
      <c r="ET174" s="1334"/>
      <c r="EW174" s="1319">
        <f t="shared" ca="1" si="1356"/>
        <v>0</v>
      </c>
      <c r="EX174" s="1319">
        <f t="shared" ca="1" si="1356"/>
        <v>0</v>
      </c>
      <c r="EY174" s="1319">
        <f t="shared" ca="1" si="1356"/>
        <v>0</v>
      </c>
      <c r="EZ174" s="1319">
        <f t="shared" ca="1" si="1356"/>
        <v>0</v>
      </c>
      <c r="FA174" s="1319">
        <f t="shared" ca="1" si="1356"/>
        <v>0</v>
      </c>
      <c r="FB174" s="1319">
        <f t="shared" ca="1" si="1356"/>
        <v>0</v>
      </c>
      <c r="FK174" s="1334"/>
      <c r="FN174" s="1319">
        <f t="shared" ca="1" si="1357"/>
        <v>0</v>
      </c>
      <c r="FO174" s="1319">
        <f t="shared" ca="1" si="1357"/>
        <v>0</v>
      </c>
      <c r="FP174" s="1319">
        <f t="shared" ca="1" si="1357"/>
        <v>0</v>
      </c>
      <c r="FQ174" s="1319">
        <f t="shared" ca="1" si="1357"/>
        <v>0</v>
      </c>
      <c r="FR174" s="1319">
        <f t="shared" ca="1" si="1357"/>
        <v>0</v>
      </c>
      <c r="FS174" s="1319">
        <f t="shared" ca="1" si="1357"/>
        <v>0</v>
      </c>
      <c r="FT174" s="1319">
        <f t="shared" ca="1" si="1357"/>
        <v>0</v>
      </c>
      <c r="FU174" s="1319">
        <f t="shared" ca="1" si="1357"/>
        <v>0</v>
      </c>
      <c r="FV174" s="1319">
        <f t="shared" ca="1" si="1357"/>
        <v>0</v>
      </c>
      <c r="FW174" s="1319">
        <f t="shared" ca="1" si="1357"/>
        <v>0</v>
      </c>
      <c r="FX174" s="1319">
        <f t="shared" ca="1" si="1357"/>
        <v>0</v>
      </c>
      <c r="GG174" s="1334"/>
      <c r="GJ174" s="1319">
        <f t="shared" ca="1" si="1358"/>
        <v>0</v>
      </c>
      <c r="GK174" s="1319">
        <f t="shared" ca="1" si="1358"/>
        <v>0</v>
      </c>
      <c r="GL174" s="1319">
        <f t="shared" ca="1" si="1358"/>
        <v>0</v>
      </c>
      <c r="GM174" s="1319">
        <f t="shared" ca="1" si="1358"/>
        <v>0</v>
      </c>
      <c r="GN174" s="1319">
        <f t="shared" ca="1" si="1358"/>
        <v>0</v>
      </c>
      <c r="GO174" s="1319">
        <f t="shared" ca="1" si="1358"/>
        <v>0</v>
      </c>
      <c r="GP174" s="1319">
        <f t="shared" ca="1" si="1358"/>
        <v>0</v>
      </c>
      <c r="GQ174" s="1319">
        <f t="shared" ca="1" si="1358"/>
        <v>0</v>
      </c>
      <c r="GZ174" s="1334"/>
      <c r="HC174" s="1319">
        <f t="shared" ca="1" si="1359"/>
        <v>0</v>
      </c>
      <c r="HD174" s="1319">
        <f t="shared" ca="1" si="1359"/>
        <v>0</v>
      </c>
      <c r="HE174" s="1319">
        <f t="shared" ca="1" si="1359"/>
        <v>0</v>
      </c>
      <c r="HF174" s="1319">
        <f t="shared" ca="1" si="1359"/>
        <v>0</v>
      </c>
      <c r="HG174" s="1319">
        <f t="shared" ca="1" si="1359"/>
        <v>0</v>
      </c>
      <c r="HH174" s="1319">
        <f t="shared" ca="1" si="1359"/>
        <v>0</v>
      </c>
      <c r="HQ174" s="1334"/>
      <c r="HT174" s="1319">
        <f t="shared" ca="1" si="1360"/>
        <v>0</v>
      </c>
      <c r="HU174" s="1319">
        <f t="shared" ca="1" si="1360"/>
        <v>0</v>
      </c>
      <c r="HV174" s="1319">
        <f t="shared" ca="1" si="1360"/>
        <v>0</v>
      </c>
      <c r="HW174" s="1319">
        <f t="shared" ca="1" si="1360"/>
        <v>0</v>
      </c>
      <c r="HX174" s="1319">
        <f t="shared" ca="1" si="1360"/>
        <v>0</v>
      </c>
      <c r="HY174" s="1319">
        <f t="shared" ca="1" si="1360"/>
        <v>0</v>
      </c>
      <c r="HZ174" s="1319">
        <f t="shared" ca="1" si="1360"/>
        <v>0</v>
      </c>
      <c r="IA174" s="1319">
        <f t="shared" ca="1" si="1360"/>
        <v>0</v>
      </c>
      <c r="IB174" s="1319">
        <f t="shared" ca="1" si="1360"/>
        <v>0</v>
      </c>
      <c r="IC174" s="1319">
        <f t="shared" ca="1" si="1360"/>
        <v>0</v>
      </c>
      <c r="ID174" s="1319">
        <f t="shared" ca="1" si="1360"/>
        <v>0</v>
      </c>
      <c r="IE174" s="1319">
        <f t="shared" ca="1" si="1360"/>
        <v>0</v>
      </c>
      <c r="IN174" s="1334"/>
      <c r="IQ174" s="1319">
        <f t="shared" ca="1" si="1361"/>
        <v>0</v>
      </c>
      <c r="IR174" s="1319">
        <f t="shared" ca="1" si="1361"/>
        <v>0</v>
      </c>
      <c r="IS174" s="1319">
        <f t="shared" ca="1" si="1361"/>
        <v>0</v>
      </c>
      <c r="IT174" s="1319">
        <f t="shared" ca="1" si="1361"/>
        <v>0</v>
      </c>
      <c r="IU174" s="1319">
        <f t="shared" ca="1" si="1361"/>
        <v>0</v>
      </c>
      <c r="IV174" s="1319">
        <f t="shared" ca="1" si="1361"/>
        <v>0</v>
      </c>
      <c r="IW174" s="1319">
        <f t="shared" ca="1" si="1361"/>
        <v>0</v>
      </c>
      <c r="IX174" s="1319">
        <f t="shared" ca="1" si="1361"/>
        <v>0</v>
      </c>
      <c r="IY174" s="1319">
        <f t="shared" ca="1" si="1361"/>
        <v>0</v>
      </c>
      <c r="IZ174" s="1319">
        <f t="shared" ca="1" si="1361"/>
        <v>0</v>
      </c>
      <c r="JA174" s="1319">
        <f t="shared" ca="1" si="1361"/>
        <v>0</v>
      </c>
      <c r="JB174" s="1319">
        <f t="shared" ca="1" si="1362"/>
        <v>0</v>
      </c>
      <c r="JC174" s="1319">
        <f t="shared" ca="1" si="1362"/>
        <v>0</v>
      </c>
      <c r="JD174" s="1319">
        <f t="shared" ca="1" si="1362"/>
        <v>0</v>
      </c>
      <c r="JE174" s="1319">
        <f t="shared" ca="1" si="1362"/>
        <v>0</v>
      </c>
      <c r="JF174" s="1319">
        <f t="shared" ca="1" si="1362"/>
        <v>0</v>
      </c>
      <c r="JG174" s="1319">
        <f t="shared" ca="1" si="1362"/>
        <v>0</v>
      </c>
      <c r="JH174" s="1319">
        <f t="shared" ca="1" si="1362"/>
        <v>0</v>
      </c>
      <c r="JQ174" s="1334"/>
      <c r="JT174" s="1319">
        <f t="shared" ca="1" si="1363"/>
        <v>0</v>
      </c>
      <c r="JU174" s="1319">
        <f t="shared" ca="1" si="1363"/>
        <v>0</v>
      </c>
      <c r="JV174" s="1319">
        <f t="shared" ca="1" si="1363"/>
        <v>0</v>
      </c>
      <c r="JW174" s="1319">
        <f t="shared" ca="1" si="1363"/>
        <v>0</v>
      </c>
      <c r="JX174" s="1319">
        <f t="shared" ca="1" si="1363"/>
        <v>0</v>
      </c>
      <c r="JY174" s="1319">
        <f t="shared" ca="1" si="1363"/>
        <v>0</v>
      </c>
      <c r="JZ174" s="1319">
        <f t="shared" ca="1" si="1363"/>
        <v>0</v>
      </c>
      <c r="KA174" s="1319">
        <f t="shared" ca="1" si="1363"/>
        <v>0</v>
      </c>
      <c r="KB174" s="1319">
        <f t="shared" ca="1" si="1363"/>
        <v>0</v>
      </c>
      <c r="KC174" s="1319">
        <f t="shared" ca="1" si="1363"/>
        <v>0</v>
      </c>
      <c r="KI174" s="1334"/>
      <c r="KL174" s="1319">
        <f t="shared" ca="1" si="1364"/>
        <v>0</v>
      </c>
      <c r="KM174" s="1319">
        <f t="shared" ca="1" si="1364"/>
        <v>0</v>
      </c>
      <c r="KN174" s="1319">
        <f t="shared" ca="1" si="1364"/>
        <v>0</v>
      </c>
      <c r="KO174" s="1319">
        <f t="shared" ca="1" si="1364"/>
        <v>0</v>
      </c>
      <c r="KP174" s="1319">
        <f t="shared" ca="1" si="1364"/>
        <v>0</v>
      </c>
      <c r="KQ174" s="1319">
        <f t="shared" ca="1" si="1364"/>
        <v>0</v>
      </c>
      <c r="KR174" s="1319">
        <f t="shared" ca="1" si="1364"/>
        <v>0</v>
      </c>
      <c r="KX174" s="1334"/>
      <c r="LA174" s="1319">
        <f t="shared" ca="1" si="1365"/>
        <v>0</v>
      </c>
      <c r="LB174" s="1319">
        <f t="shared" ca="1" si="1365"/>
        <v>0</v>
      </c>
      <c r="LC174" s="1319">
        <f t="shared" ca="1" si="1365"/>
        <v>0</v>
      </c>
      <c r="LD174" s="1319">
        <f t="shared" ca="1" si="1365"/>
        <v>0</v>
      </c>
      <c r="LE174" s="1319">
        <f t="shared" ca="1" si="1365"/>
        <v>0</v>
      </c>
      <c r="LF174" s="1319">
        <f t="shared" ca="1" si="1365"/>
        <v>0</v>
      </c>
      <c r="LG174" s="1319">
        <f t="shared" ca="1" si="1365"/>
        <v>0</v>
      </c>
      <c r="LH174" s="1319">
        <f t="shared" ca="1" si="1365"/>
        <v>6.2962260700384881E-2</v>
      </c>
      <c r="LI174" s="1319">
        <f t="shared" ca="1" si="1365"/>
        <v>0</v>
      </c>
      <c r="LJ174" s="1319">
        <f t="shared" ca="1" si="1365"/>
        <v>0</v>
      </c>
      <c r="LK174" s="1319">
        <f t="shared" ca="1" si="1365"/>
        <v>0.31481130385388462</v>
      </c>
      <c r="LT174" s="1334"/>
      <c r="LW174" s="1319">
        <f t="shared" ca="1" si="1366"/>
        <v>0</v>
      </c>
      <c r="LX174" s="1319">
        <f t="shared" ca="1" si="1366"/>
        <v>0</v>
      </c>
      <c r="LY174" s="1319">
        <f t="shared" ca="1" si="1366"/>
        <v>0</v>
      </c>
      <c r="LZ174" s="1319">
        <f t="shared" ca="1" si="1366"/>
        <v>0</v>
      </c>
      <c r="MA174" s="1319">
        <f t="shared" ca="1" si="1366"/>
        <v>0</v>
      </c>
      <c r="MB174" s="1319">
        <f t="shared" ca="1" si="1366"/>
        <v>0</v>
      </c>
      <c r="MC174" s="1319">
        <f t="shared" ca="1" si="1366"/>
        <v>0</v>
      </c>
      <c r="MD174" s="1319">
        <f t="shared" ca="1" si="1366"/>
        <v>0</v>
      </c>
      <c r="ME174" s="1319">
        <f t="shared" ca="1" si="1366"/>
        <v>0</v>
      </c>
      <c r="MF174" s="1319">
        <f t="shared" ca="1" si="1366"/>
        <v>0</v>
      </c>
      <c r="MG174" s="1319">
        <f t="shared" ca="1" si="1367"/>
        <v>0</v>
      </c>
      <c r="MH174" s="1319">
        <f t="shared" ca="1" si="1367"/>
        <v>0</v>
      </c>
      <c r="MI174" s="1319">
        <f t="shared" ca="1" si="1367"/>
        <v>0</v>
      </c>
      <c r="MJ174" s="1319">
        <f t="shared" ca="1" si="1367"/>
        <v>0</v>
      </c>
      <c r="MK174" s="1319">
        <f t="shared" ca="1" si="1367"/>
        <v>0</v>
      </c>
      <c r="ML174" s="1319">
        <f t="shared" ca="1" si="1367"/>
        <v>0</v>
      </c>
      <c r="MM174" s="1319">
        <f t="shared" ca="1" si="1367"/>
        <v>0</v>
      </c>
      <c r="MN174" s="1319">
        <f t="shared" ca="1" si="1367"/>
        <v>0</v>
      </c>
      <c r="MO174" s="1319">
        <f t="shared" ca="1" si="1367"/>
        <v>0</v>
      </c>
      <c r="MX174" s="1334"/>
      <c r="NA174" s="1319">
        <f t="shared" ca="1" si="1368"/>
        <v>0</v>
      </c>
      <c r="NB174" s="1319">
        <f t="shared" ca="1" si="1368"/>
        <v>0</v>
      </c>
      <c r="NC174" s="1319">
        <f t="shared" ca="1" si="1368"/>
        <v>0</v>
      </c>
      <c r="ND174" s="1319">
        <f t="shared" ca="1" si="1368"/>
        <v>0</v>
      </c>
      <c r="NE174" s="1319">
        <f t="shared" ca="1" si="1368"/>
        <v>0</v>
      </c>
      <c r="NF174" s="1319">
        <f t="shared" ca="1" si="1368"/>
        <v>0</v>
      </c>
      <c r="NG174" s="1319">
        <f t="shared" ca="1" si="1368"/>
        <v>0</v>
      </c>
      <c r="NH174" s="1319">
        <f t="shared" ca="1" si="1368"/>
        <v>0</v>
      </c>
      <c r="NI174" s="1319">
        <f t="shared" ca="1" si="1368"/>
        <v>0</v>
      </c>
      <c r="NJ174" s="1319">
        <f t="shared" ca="1" si="1368"/>
        <v>0</v>
      </c>
      <c r="NK174" s="1319">
        <f t="shared" ca="1" si="1368"/>
        <v>0</v>
      </c>
      <c r="NL174" s="1319">
        <f t="shared" ca="1" si="1368"/>
        <v>0</v>
      </c>
      <c r="NM174" s="1319">
        <f t="shared" ca="1" si="1368"/>
        <v>0</v>
      </c>
      <c r="NN174" s="1319">
        <f t="shared" ca="1" si="1368"/>
        <v>0</v>
      </c>
      <c r="NO174" s="1319">
        <f t="shared" ca="1" si="1368"/>
        <v>0</v>
      </c>
      <c r="NP174" s="1319">
        <f t="shared" ca="1" si="1368"/>
        <v>0</v>
      </c>
      <c r="NY174" s="1334"/>
      <c r="OE174" s="1334"/>
      <c r="OH174" s="1319">
        <f t="shared" ca="1" si="1369"/>
        <v>0</v>
      </c>
      <c r="OI174" s="1319">
        <f t="shared" ca="1" si="1369"/>
        <v>0</v>
      </c>
      <c r="OJ174" s="1319">
        <f t="shared" ca="1" si="1369"/>
        <v>0</v>
      </c>
      <c r="OK174" s="1319">
        <f t="shared" ca="1" si="1369"/>
        <v>0</v>
      </c>
      <c r="OL174" s="1319">
        <f t="shared" ca="1" si="1369"/>
        <v>0</v>
      </c>
      <c r="OM174" s="1319">
        <f t="shared" ca="1" si="1369"/>
        <v>0</v>
      </c>
      <c r="ON174" s="1319">
        <f t="shared" ca="1" si="1369"/>
        <v>0</v>
      </c>
      <c r="OO174" s="1319">
        <f t="shared" ca="1" si="1369"/>
        <v>0</v>
      </c>
      <c r="OX174" s="1334"/>
      <c r="PA174" s="1319">
        <f t="shared" ca="1" si="1370"/>
        <v>0</v>
      </c>
      <c r="PB174" s="1319">
        <f t="shared" ca="1" si="1370"/>
        <v>0</v>
      </c>
      <c r="PC174" s="1319">
        <f t="shared" ca="1" si="1370"/>
        <v>0</v>
      </c>
      <c r="PD174" s="1319">
        <f t="shared" ca="1" si="1370"/>
        <v>0</v>
      </c>
      <c r="PE174" s="1319">
        <f t="shared" ca="1" si="1370"/>
        <v>0</v>
      </c>
      <c r="PF174" s="1319">
        <f t="shared" ca="1" si="1370"/>
        <v>0</v>
      </c>
      <c r="PG174" s="1319">
        <f t="shared" ca="1" si="1370"/>
        <v>0</v>
      </c>
      <c r="PH174" s="1319">
        <f t="shared" ca="1" si="1370"/>
        <v>0</v>
      </c>
      <c r="PI174" s="1319">
        <f t="shared" ca="1" si="1370"/>
        <v>0</v>
      </c>
      <c r="PJ174" s="1319">
        <f t="shared" ca="1" si="1370"/>
        <v>0</v>
      </c>
      <c r="PK174" s="1319">
        <f t="shared" ca="1" si="1370"/>
        <v>0</v>
      </c>
      <c r="PT174" s="1334"/>
      <c r="PW174" s="1319">
        <f t="shared" ca="1" si="1349"/>
        <v>0</v>
      </c>
      <c r="PX174" s="1319">
        <f t="shared" ca="1" si="1349"/>
        <v>0</v>
      </c>
      <c r="PY174" s="1319">
        <f t="shared" ca="1" si="1349"/>
        <v>0</v>
      </c>
      <c r="PZ174" s="1319">
        <f t="shared" ca="1" si="1349"/>
        <v>0</v>
      </c>
    </row>
    <row r="175" spans="1:442" x14ac:dyDescent="0.25">
      <c r="A175" s="189">
        <v>143</v>
      </c>
      <c r="B175" s="189" t="s">
        <v>1320</v>
      </c>
      <c r="C175" s="1317" t="s">
        <v>3000</v>
      </c>
      <c r="D175" s="1317" t="s">
        <v>206</v>
      </c>
      <c r="E175" s="1318">
        <v>136.14160000000001</v>
      </c>
      <c r="F175" s="1316">
        <v>0.11994387404999998</v>
      </c>
      <c r="G175" s="1334"/>
      <c r="J175" s="1319">
        <f t="shared" ca="1" si="1327"/>
        <v>0</v>
      </c>
      <c r="K175" s="1319">
        <f t="shared" ca="1" si="1327"/>
        <v>0</v>
      </c>
      <c r="Q175" s="1334"/>
      <c r="T175" s="1319">
        <f t="shared" ca="1" si="1350"/>
        <v>0</v>
      </c>
      <c r="U175" s="1319">
        <f t="shared" ca="1" si="1350"/>
        <v>0</v>
      </c>
      <c r="V175" s="1319">
        <f t="shared" ca="1" si="1350"/>
        <v>0</v>
      </c>
      <c r="W175" s="1319">
        <f t="shared" ca="1" si="1350"/>
        <v>0</v>
      </c>
      <c r="X175" s="1319">
        <f t="shared" ca="1" si="1350"/>
        <v>0</v>
      </c>
      <c r="Y175" s="1319">
        <f t="shared" ca="1" si="1350"/>
        <v>0</v>
      </c>
      <c r="Z175" s="1319">
        <f t="shared" ca="1" si="1350"/>
        <v>0</v>
      </c>
      <c r="AA175" s="1319">
        <f t="shared" ca="1" si="1350"/>
        <v>0</v>
      </c>
      <c r="AB175" s="1319">
        <f t="shared" ca="1" si="1350"/>
        <v>0</v>
      </c>
      <c r="AC175" s="1319">
        <f t="shared" ca="1" si="1350"/>
        <v>0</v>
      </c>
      <c r="AD175" s="1319">
        <f t="shared" ca="1" si="1350"/>
        <v>0</v>
      </c>
      <c r="AJ175" s="1334"/>
      <c r="AM175" s="1319">
        <f t="shared" ca="1" si="1351"/>
        <v>0</v>
      </c>
      <c r="AN175" s="1319">
        <f t="shared" ca="1" si="1351"/>
        <v>0</v>
      </c>
      <c r="AO175" s="1319">
        <f t="shared" ca="1" si="1351"/>
        <v>0</v>
      </c>
      <c r="AP175" s="1319">
        <f t="shared" ca="1" si="1351"/>
        <v>0</v>
      </c>
      <c r="AQ175" s="1319">
        <f t="shared" ca="1" si="1351"/>
        <v>0</v>
      </c>
      <c r="AR175" s="1319">
        <f t="shared" ca="1" si="1351"/>
        <v>0</v>
      </c>
      <c r="AS175" s="1319">
        <f t="shared" ca="1" si="1351"/>
        <v>0</v>
      </c>
      <c r="AT175" s="1319">
        <f t="shared" ca="1" si="1351"/>
        <v>0</v>
      </c>
      <c r="AU175" s="1319">
        <f t="shared" ca="1" si="1351"/>
        <v>0</v>
      </c>
      <c r="AV175" s="1319">
        <f t="shared" ca="1" si="1351"/>
        <v>0</v>
      </c>
      <c r="AW175" s="1319">
        <f t="shared" ca="1" si="1351"/>
        <v>0</v>
      </c>
      <c r="AX175" s="1319">
        <f t="shared" ca="1" si="1351"/>
        <v>0</v>
      </c>
      <c r="AY175" s="1319">
        <f t="shared" ca="1" si="1351"/>
        <v>0</v>
      </c>
      <c r="AZ175" s="1319">
        <f t="shared" ca="1" si="1351"/>
        <v>0</v>
      </c>
      <c r="BA175" s="1319">
        <f t="shared" ca="1" si="1351"/>
        <v>0</v>
      </c>
      <c r="BB175" s="1319">
        <f t="shared" ca="1" si="1351"/>
        <v>0</v>
      </c>
      <c r="BK175" s="1334"/>
      <c r="BN175" s="1319">
        <f t="shared" ca="1" si="1352"/>
        <v>0</v>
      </c>
      <c r="BO175" s="1319">
        <f t="shared" ca="1" si="1352"/>
        <v>0</v>
      </c>
      <c r="BP175" s="1319">
        <f t="shared" ca="1" si="1352"/>
        <v>0</v>
      </c>
      <c r="BQ175" s="1319">
        <f t="shared" ca="1" si="1352"/>
        <v>0</v>
      </c>
      <c r="BR175" s="1319">
        <f t="shared" ca="1" si="1352"/>
        <v>0</v>
      </c>
      <c r="CA175" s="1334"/>
      <c r="CD175" s="1319">
        <f t="shared" ca="1" si="1353"/>
        <v>0</v>
      </c>
      <c r="CE175" s="1319">
        <f t="shared" ca="1" si="1353"/>
        <v>0</v>
      </c>
      <c r="CF175" s="1319">
        <f t="shared" ca="1" si="1353"/>
        <v>0</v>
      </c>
      <c r="CG175" s="1319">
        <f t="shared" ca="1" si="1353"/>
        <v>0</v>
      </c>
      <c r="CH175" s="1319">
        <f t="shared" ca="1" si="1353"/>
        <v>0</v>
      </c>
      <c r="CI175" s="1319">
        <f t="shared" ca="1" si="1353"/>
        <v>0</v>
      </c>
      <c r="CJ175" s="1319">
        <f t="shared" ca="1" si="1353"/>
        <v>0</v>
      </c>
      <c r="CK175" s="1319">
        <f t="shared" ca="1" si="1353"/>
        <v>0</v>
      </c>
      <c r="CL175" s="1319">
        <f t="shared" ca="1" si="1353"/>
        <v>0</v>
      </c>
      <c r="CM175" s="1319">
        <f t="shared" ca="1" si="1353"/>
        <v>0</v>
      </c>
      <c r="CN175" s="1319">
        <f t="shared" ca="1" si="1353"/>
        <v>0</v>
      </c>
      <c r="CO175" s="1319">
        <f t="shared" ca="1" si="1353"/>
        <v>0</v>
      </c>
      <c r="CX175" s="1334"/>
      <c r="DA175" s="1319">
        <f t="shared" ca="1" si="1354"/>
        <v>0</v>
      </c>
      <c r="DB175" s="1319">
        <f t="shared" ca="1" si="1354"/>
        <v>0</v>
      </c>
      <c r="DC175" s="1319">
        <f t="shared" ca="1" si="1354"/>
        <v>0</v>
      </c>
      <c r="DD175" s="1319">
        <f t="shared" ca="1" si="1354"/>
        <v>0</v>
      </c>
      <c r="DE175" s="1319">
        <f t="shared" ca="1" si="1354"/>
        <v>0</v>
      </c>
      <c r="DF175" s="1319">
        <f t="shared" ca="1" si="1354"/>
        <v>0</v>
      </c>
      <c r="DG175" s="1319">
        <f t="shared" ca="1" si="1354"/>
        <v>0</v>
      </c>
      <c r="DH175" s="1319">
        <f t="shared" ca="1" si="1354"/>
        <v>0</v>
      </c>
      <c r="DI175" s="1319">
        <f t="shared" ca="1" si="1354"/>
        <v>0</v>
      </c>
      <c r="DJ175" s="1319">
        <f t="shared" ca="1" si="1354"/>
        <v>0</v>
      </c>
      <c r="DS175" s="1334"/>
      <c r="DV175" s="1319">
        <f t="shared" ca="1" si="1355"/>
        <v>0</v>
      </c>
      <c r="DW175" s="1319">
        <f t="shared" ca="1" si="1355"/>
        <v>0</v>
      </c>
      <c r="DX175" s="1319">
        <f t="shared" ca="1" si="1355"/>
        <v>0</v>
      </c>
      <c r="DY175" s="1319">
        <f t="shared" ca="1" si="1355"/>
        <v>0</v>
      </c>
      <c r="DZ175" s="1319">
        <f t="shared" ca="1" si="1355"/>
        <v>0</v>
      </c>
      <c r="EA175" s="1319">
        <f t="shared" ca="1" si="1355"/>
        <v>0</v>
      </c>
      <c r="EB175" s="1319">
        <f t="shared" ca="1" si="1355"/>
        <v>0</v>
      </c>
      <c r="EC175" s="1319">
        <f t="shared" ca="1" si="1355"/>
        <v>0</v>
      </c>
      <c r="ED175" s="1319">
        <f t="shared" ca="1" si="1355"/>
        <v>0</v>
      </c>
      <c r="EE175" s="1319">
        <f t="shared" ca="1" si="1355"/>
        <v>0</v>
      </c>
      <c r="EF175" s="1319">
        <f t="shared" ca="1" si="1355"/>
        <v>0</v>
      </c>
      <c r="EG175" s="1319">
        <f t="shared" ca="1" si="1355"/>
        <v>0</v>
      </c>
      <c r="EH175" s="1319">
        <f t="shared" ca="1" si="1355"/>
        <v>0</v>
      </c>
      <c r="EI175" s="1319">
        <f t="shared" ca="1" si="1355"/>
        <v>0</v>
      </c>
      <c r="EJ175" s="1319">
        <f t="shared" ca="1" si="1355"/>
        <v>0</v>
      </c>
      <c r="EK175" s="1319">
        <f t="shared" ca="1" si="1355"/>
        <v>0</v>
      </c>
      <c r="ET175" s="1334"/>
      <c r="EW175" s="1319">
        <f t="shared" ca="1" si="1356"/>
        <v>0</v>
      </c>
      <c r="EX175" s="1319">
        <f t="shared" ca="1" si="1356"/>
        <v>0</v>
      </c>
      <c r="EY175" s="1319">
        <f t="shared" ca="1" si="1356"/>
        <v>0</v>
      </c>
      <c r="EZ175" s="1319">
        <f t="shared" ca="1" si="1356"/>
        <v>0</v>
      </c>
      <c r="FA175" s="1319">
        <f t="shared" ca="1" si="1356"/>
        <v>0</v>
      </c>
      <c r="FB175" s="1319">
        <f t="shared" ca="1" si="1356"/>
        <v>0</v>
      </c>
      <c r="FK175" s="1334"/>
      <c r="FN175" s="1319">
        <f t="shared" ca="1" si="1357"/>
        <v>0</v>
      </c>
      <c r="FO175" s="1319">
        <f t="shared" ca="1" si="1357"/>
        <v>0</v>
      </c>
      <c r="FP175" s="1319">
        <f t="shared" ca="1" si="1357"/>
        <v>0</v>
      </c>
      <c r="FQ175" s="1319">
        <f t="shared" ca="1" si="1357"/>
        <v>0</v>
      </c>
      <c r="FR175" s="1319">
        <f t="shared" ca="1" si="1357"/>
        <v>0</v>
      </c>
      <c r="FS175" s="1319">
        <f t="shared" ca="1" si="1357"/>
        <v>0</v>
      </c>
      <c r="FT175" s="1319">
        <f t="shared" ca="1" si="1357"/>
        <v>0</v>
      </c>
      <c r="FU175" s="1319">
        <f t="shared" ca="1" si="1357"/>
        <v>0</v>
      </c>
      <c r="FV175" s="1319">
        <f t="shared" ca="1" si="1357"/>
        <v>0</v>
      </c>
      <c r="FW175" s="1319">
        <f t="shared" ca="1" si="1357"/>
        <v>0</v>
      </c>
      <c r="FX175" s="1319">
        <f t="shared" ca="1" si="1357"/>
        <v>0</v>
      </c>
      <c r="GG175" s="1334"/>
      <c r="GJ175" s="1319">
        <f t="shared" ca="1" si="1358"/>
        <v>0</v>
      </c>
      <c r="GK175" s="1319">
        <f t="shared" ca="1" si="1358"/>
        <v>0</v>
      </c>
      <c r="GL175" s="1319">
        <f t="shared" ca="1" si="1358"/>
        <v>0</v>
      </c>
      <c r="GM175" s="1319">
        <f t="shared" ca="1" si="1358"/>
        <v>0</v>
      </c>
      <c r="GN175" s="1319">
        <f t="shared" ca="1" si="1358"/>
        <v>0</v>
      </c>
      <c r="GO175" s="1319">
        <f t="shared" ca="1" si="1358"/>
        <v>0</v>
      </c>
      <c r="GP175" s="1319">
        <f t="shared" ca="1" si="1358"/>
        <v>0</v>
      </c>
      <c r="GQ175" s="1319">
        <f t="shared" ca="1" si="1358"/>
        <v>0</v>
      </c>
      <c r="GZ175" s="1334"/>
      <c r="HC175" s="1319">
        <f t="shared" ca="1" si="1359"/>
        <v>0</v>
      </c>
      <c r="HD175" s="1319">
        <f t="shared" ca="1" si="1359"/>
        <v>0</v>
      </c>
      <c r="HE175" s="1319">
        <f t="shared" ca="1" si="1359"/>
        <v>0</v>
      </c>
      <c r="HF175" s="1319">
        <f t="shared" ca="1" si="1359"/>
        <v>0</v>
      </c>
      <c r="HG175" s="1319">
        <f t="shared" ca="1" si="1359"/>
        <v>0</v>
      </c>
      <c r="HH175" s="1319">
        <f t="shared" ca="1" si="1359"/>
        <v>0</v>
      </c>
      <c r="HQ175" s="1334"/>
      <c r="HT175" s="1319">
        <f t="shared" ca="1" si="1360"/>
        <v>0</v>
      </c>
      <c r="HU175" s="1319">
        <f t="shared" ca="1" si="1360"/>
        <v>0</v>
      </c>
      <c r="HV175" s="1319">
        <f t="shared" ca="1" si="1360"/>
        <v>0</v>
      </c>
      <c r="HW175" s="1319">
        <f t="shared" ca="1" si="1360"/>
        <v>0</v>
      </c>
      <c r="HX175" s="1319">
        <f t="shared" ca="1" si="1360"/>
        <v>0</v>
      </c>
      <c r="HY175" s="1319">
        <f t="shared" ca="1" si="1360"/>
        <v>0</v>
      </c>
      <c r="HZ175" s="1319">
        <f t="shared" ca="1" si="1360"/>
        <v>0</v>
      </c>
      <c r="IA175" s="1319">
        <f t="shared" ca="1" si="1360"/>
        <v>0</v>
      </c>
      <c r="IB175" s="1319">
        <f t="shared" ca="1" si="1360"/>
        <v>0</v>
      </c>
      <c r="IC175" s="1319">
        <f t="shared" ca="1" si="1360"/>
        <v>0</v>
      </c>
      <c r="ID175" s="1319">
        <f t="shared" ca="1" si="1360"/>
        <v>0</v>
      </c>
      <c r="IE175" s="1319">
        <f t="shared" ca="1" si="1360"/>
        <v>0</v>
      </c>
      <c r="IN175" s="1334"/>
      <c r="IQ175" s="1319">
        <f t="shared" ca="1" si="1361"/>
        <v>0</v>
      </c>
      <c r="IR175" s="1319">
        <f t="shared" ca="1" si="1361"/>
        <v>0</v>
      </c>
      <c r="IS175" s="1319">
        <f t="shared" ca="1" si="1361"/>
        <v>0</v>
      </c>
      <c r="IT175" s="1319">
        <f t="shared" ca="1" si="1361"/>
        <v>0</v>
      </c>
      <c r="IU175" s="1319">
        <f t="shared" ca="1" si="1361"/>
        <v>0</v>
      </c>
      <c r="IV175" s="1319">
        <f t="shared" ca="1" si="1361"/>
        <v>0</v>
      </c>
      <c r="IW175" s="1319">
        <f t="shared" ca="1" si="1361"/>
        <v>0</v>
      </c>
      <c r="IX175" s="1319">
        <f t="shared" ca="1" si="1361"/>
        <v>0</v>
      </c>
      <c r="IY175" s="1319">
        <f t="shared" ca="1" si="1361"/>
        <v>0</v>
      </c>
      <c r="IZ175" s="1319">
        <f t="shared" ca="1" si="1361"/>
        <v>0</v>
      </c>
      <c r="JA175" s="1319">
        <f t="shared" ca="1" si="1361"/>
        <v>0</v>
      </c>
      <c r="JB175" s="1319">
        <f t="shared" ca="1" si="1362"/>
        <v>0</v>
      </c>
      <c r="JC175" s="1319">
        <f t="shared" ca="1" si="1362"/>
        <v>0</v>
      </c>
      <c r="JD175" s="1319">
        <f t="shared" ca="1" si="1362"/>
        <v>0</v>
      </c>
      <c r="JE175" s="1319">
        <f t="shared" ca="1" si="1362"/>
        <v>0</v>
      </c>
      <c r="JF175" s="1319">
        <f t="shared" ca="1" si="1362"/>
        <v>0</v>
      </c>
      <c r="JG175" s="1319">
        <f t="shared" ca="1" si="1362"/>
        <v>0</v>
      </c>
      <c r="JH175" s="1319">
        <f t="shared" ca="1" si="1362"/>
        <v>0</v>
      </c>
      <c r="JQ175" s="1334"/>
      <c r="JT175" s="1319">
        <f t="shared" ca="1" si="1363"/>
        <v>0</v>
      </c>
      <c r="JU175" s="1319">
        <f t="shared" ca="1" si="1363"/>
        <v>0</v>
      </c>
      <c r="JV175" s="1319">
        <f t="shared" ca="1" si="1363"/>
        <v>0</v>
      </c>
      <c r="JW175" s="1319">
        <f t="shared" ca="1" si="1363"/>
        <v>0</v>
      </c>
      <c r="JX175" s="1319">
        <f t="shared" ca="1" si="1363"/>
        <v>0</v>
      </c>
      <c r="JY175" s="1319">
        <f t="shared" ca="1" si="1363"/>
        <v>0</v>
      </c>
      <c r="JZ175" s="1319">
        <f t="shared" ca="1" si="1363"/>
        <v>0</v>
      </c>
      <c r="KA175" s="1319">
        <f t="shared" ca="1" si="1363"/>
        <v>0</v>
      </c>
      <c r="KB175" s="1319">
        <f t="shared" ca="1" si="1363"/>
        <v>0</v>
      </c>
      <c r="KC175" s="1319">
        <f t="shared" ca="1" si="1363"/>
        <v>0</v>
      </c>
      <c r="KI175" s="1334"/>
      <c r="KL175" s="1319">
        <f t="shared" ca="1" si="1364"/>
        <v>0</v>
      </c>
      <c r="KM175" s="1319">
        <f t="shared" ca="1" si="1364"/>
        <v>0</v>
      </c>
      <c r="KN175" s="1319">
        <f t="shared" ca="1" si="1364"/>
        <v>0</v>
      </c>
      <c r="KO175" s="1319">
        <f t="shared" ca="1" si="1364"/>
        <v>0</v>
      </c>
      <c r="KP175" s="1319">
        <f t="shared" ca="1" si="1364"/>
        <v>0</v>
      </c>
      <c r="KQ175" s="1319">
        <f t="shared" ca="1" si="1364"/>
        <v>0</v>
      </c>
      <c r="KR175" s="1319">
        <f t="shared" ca="1" si="1364"/>
        <v>0</v>
      </c>
      <c r="KX175" s="1334"/>
      <c r="LA175" s="1319">
        <f t="shared" ca="1" si="1365"/>
        <v>0</v>
      </c>
      <c r="LB175" s="1319">
        <f t="shared" ca="1" si="1365"/>
        <v>0</v>
      </c>
      <c r="LC175" s="1319">
        <f t="shared" ca="1" si="1365"/>
        <v>0</v>
      </c>
      <c r="LD175" s="1319">
        <f t="shared" ca="1" si="1365"/>
        <v>0</v>
      </c>
      <c r="LE175" s="1319">
        <f t="shared" ca="1" si="1365"/>
        <v>0</v>
      </c>
      <c r="LF175" s="1319">
        <f t="shared" ca="1" si="1365"/>
        <v>0</v>
      </c>
      <c r="LG175" s="1319">
        <f t="shared" ca="1" si="1365"/>
        <v>0</v>
      </c>
      <c r="LH175" s="1319">
        <f t="shared" ca="1" si="1365"/>
        <v>1.1583757409189597</v>
      </c>
      <c r="LI175" s="1319">
        <f t="shared" ca="1" si="1365"/>
        <v>0</v>
      </c>
      <c r="LJ175" s="1319">
        <f t="shared" ca="1" si="1365"/>
        <v>0</v>
      </c>
      <c r="LK175" s="1319">
        <f t="shared" ca="1" si="1365"/>
        <v>0</v>
      </c>
      <c r="LT175" s="1334"/>
      <c r="LW175" s="1319">
        <f t="shared" ca="1" si="1366"/>
        <v>0</v>
      </c>
      <c r="LX175" s="1319">
        <f t="shared" ca="1" si="1366"/>
        <v>0</v>
      </c>
      <c r="LY175" s="1319">
        <f t="shared" ca="1" si="1366"/>
        <v>0</v>
      </c>
      <c r="LZ175" s="1319">
        <f t="shared" ca="1" si="1366"/>
        <v>0</v>
      </c>
      <c r="MA175" s="1319">
        <f t="shared" ca="1" si="1366"/>
        <v>0</v>
      </c>
      <c r="MB175" s="1319">
        <f t="shared" ca="1" si="1366"/>
        <v>0</v>
      </c>
      <c r="MC175" s="1319">
        <f t="shared" ca="1" si="1366"/>
        <v>0</v>
      </c>
      <c r="MD175" s="1319">
        <f t="shared" ca="1" si="1366"/>
        <v>0</v>
      </c>
      <c r="ME175" s="1319">
        <f t="shared" ca="1" si="1366"/>
        <v>0</v>
      </c>
      <c r="MF175" s="1319">
        <f t="shared" ca="1" si="1366"/>
        <v>0</v>
      </c>
      <c r="MG175" s="1319">
        <f t="shared" ca="1" si="1367"/>
        <v>0</v>
      </c>
      <c r="MH175" s="1319">
        <f t="shared" ca="1" si="1367"/>
        <v>0</v>
      </c>
      <c r="MI175" s="1319">
        <f t="shared" ca="1" si="1367"/>
        <v>0</v>
      </c>
      <c r="MJ175" s="1319">
        <f t="shared" ca="1" si="1367"/>
        <v>0</v>
      </c>
      <c r="MK175" s="1319">
        <f t="shared" ca="1" si="1367"/>
        <v>0</v>
      </c>
      <c r="ML175" s="1319">
        <f t="shared" ca="1" si="1367"/>
        <v>0</v>
      </c>
      <c r="MM175" s="1319">
        <f t="shared" ca="1" si="1367"/>
        <v>0</v>
      </c>
      <c r="MN175" s="1319">
        <f t="shared" ca="1" si="1367"/>
        <v>0</v>
      </c>
      <c r="MO175" s="1319">
        <f t="shared" ca="1" si="1367"/>
        <v>0</v>
      </c>
      <c r="MX175" s="1334"/>
      <c r="NA175" s="1319">
        <f t="shared" ca="1" si="1368"/>
        <v>0</v>
      </c>
      <c r="NB175" s="1319">
        <f t="shared" ca="1" si="1368"/>
        <v>0</v>
      </c>
      <c r="NC175" s="1319">
        <f t="shared" ca="1" si="1368"/>
        <v>0</v>
      </c>
      <c r="ND175" s="1319">
        <f t="shared" ca="1" si="1368"/>
        <v>0</v>
      </c>
      <c r="NE175" s="1319">
        <f t="shared" ca="1" si="1368"/>
        <v>0</v>
      </c>
      <c r="NF175" s="1319">
        <f t="shared" ca="1" si="1368"/>
        <v>0</v>
      </c>
      <c r="NG175" s="1319">
        <f t="shared" ca="1" si="1368"/>
        <v>0</v>
      </c>
      <c r="NH175" s="1319">
        <f t="shared" ca="1" si="1368"/>
        <v>0</v>
      </c>
      <c r="NI175" s="1319">
        <f t="shared" ca="1" si="1368"/>
        <v>0</v>
      </c>
      <c r="NJ175" s="1319">
        <f t="shared" ca="1" si="1368"/>
        <v>0</v>
      </c>
      <c r="NK175" s="1319">
        <f t="shared" ca="1" si="1368"/>
        <v>0</v>
      </c>
      <c r="NL175" s="1319">
        <f t="shared" ca="1" si="1368"/>
        <v>0</v>
      </c>
      <c r="NM175" s="1319">
        <f t="shared" ca="1" si="1368"/>
        <v>0</v>
      </c>
      <c r="NN175" s="1319">
        <f t="shared" ca="1" si="1368"/>
        <v>0</v>
      </c>
      <c r="NO175" s="1319">
        <f t="shared" ca="1" si="1368"/>
        <v>0</v>
      </c>
      <c r="NP175" s="1319">
        <f t="shared" ca="1" si="1368"/>
        <v>0</v>
      </c>
      <c r="NY175" s="1334"/>
      <c r="OE175" s="1334"/>
      <c r="OH175" s="1319">
        <f t="shared" ca="1" si="1369"/>
        <v>0</v>
      </c>
      <c r="OI175" s="1319">
        <f t="shared" ca="1" si="1369"/>
        <v>0</v>
      </c>
      <c r="OJ175" s="1319">
        <f t="shared" ca="1" si="1369"/>
        <v>0</v>
      </c>
      <c r="OK175" s="1319">
        <f t="shared" ca="1" si="1369"/>
        <v>0</v>
      </c>
      <c r="OL175" s="1319">
        <f t="shared" ca="1" si="1369"/>
        <v>0</v>
      </c>
      <c r="OM175" s="1319">
        <f t="shared" ca="1" si="1369"/>
        <v>0</v>
      </c>
      <c r="ON175" s="1319">
        <f t="shared" ca="1" si="1369"/>
        <v>0</v>
      </c>
      <c r="OO175" s="1319">
        <f t="shared" ca="1" si="1369"/>
        <v>0</v>
      </c>
      <c r="OX175" s="1334"/>
      <c r="PA175" s="1319">
        <f t="shared" ca="1" si="1370"/>
        <v>0</v>
      </c>
      <c r="PB175" s="1319">
        <f t="shared" ca="1" si="1370"/>
        <v>0</v>
      </c>
      <c r="PC175" s="1319">
        <f t="shared" ca="1" si="1370"/>
        <v>0</v>
      </c>
      <c r="PD175" s="1319">
        <f t="shared" ca="1" si="1370"/>
        <v>0</v>
      </c>
      <c r="PE175" s="1319">
        <f t="shared" ca="1" si="1370"/>
        <v>0</v>
      </c>
      <c r="PF175" s="1319">
        <f t="shared" ca="1" si="1370"/>
        <v>0</v>
      </c>
      <c r="PG175" s="1319">
        <f t="shared" ca="1" si="1370"/>
        <v>0</v>
      </c>
      <c r="PH175" s="1319">
        <f t="shared" ca="1" si="1370"/>
        <v>0</v>
      </c>
      <c r="PI175" s="1319">
        <f t="shared" ca="1" si="1370"/>
        <v>0</v>
      </c>
      <c r="PJ175" s="1319">
        <f t="shared" ca="1" si="1370"/>
        <v>0</v>
      </c>
      <c r="PK175" s="1319">
        <f t="shared" ca="1" si="1370"/>
        <v>0</v>
      </c>
      <c r="PT175" s="1334"/>
      <c r="PW175" s="1319">
        <f t="shared" ca="1" si="1349"/>
        <v>0</v>
      </c>
      <c r="PX175" s="1319">
        <f t="shared" ca="1" si="1349"/>
        <v>0</v>
      </c>
      <c r="PY175" s="1319">
        <f t="shared" ca="1" si="1349"/>
        <v>0</v>
      </c>
      <c r="PZ175" s="1319">
        <f t="shared" ca="1" si="1349"/>
        <v>0</v>
      </c>
    </row>
    <row r="176" spans="1:442" x14ac:dyDescent="0.25">
      <c r="A176" s="189">
        <v>144</v>
      </c>
      <c r="B176" s="189" t="s">
        <v>1320</v>
      </c>
      <c r="C176" s="1317" t="s">
        <v>151</v>
      </c>
      <c r="D176" s="1317" t="s">
        <v>206</v>
      </c>
      <c r="E176" s="1318">
        <v>12.010999999999999</v>
      </c>
      <c r="F176" s="1316">
        <v>-9.3988248779999992E-2</v>
      </c>
      <c r="G176" s="1334"/>
      <c r="J176" s="1319">
        <f t="shared" ca="1" si="1327"/>
        <v>0</v>
      </c>
      <c r="K176" s="1319">
        <f t="shared" ca="1" si="1327"/>
        <v>0</v>
      </c>
      <c r="Q176" s="1334"/>
      <c r="T176" s="1319">
        <f t="shared" ca="1" si="1350"/>
        <v>0</v>
      </c>
      <c r="U176" s="1319">
        <f t="shared" ca="1" si="1350"/>
        <v>0</v>
      </c>
      <c r="V176" s="1319">
        <f t="shared" ca="1" si="1350"/>
        <v>0</v>
      </c>
      <c r="W176" s="1319">
        <f t="shared" ca="1" si="1350"/>
        <v>0</v>
      </c>
      <c r="X176" s="1319">
        <f t="shared" ca="1" si="1350"/>
        <v>0</v>
      </c>
      <c r="Y176" s="1319">
        <f t="shared" ca="1" si="1350"/>
        <v>0</v>
      </c>
      <c r="Z176" s="1319">
        <f t="shared" ca="1" si="1350"/>
        <v>0</v>
      </c>
      <c r="AA176" s="1319">
        <f t="shared" ca="1" si="1350"/>
        <v>0</v>
      </c>
      <c r="AB176" s="1319">
        <f t="shared" ca="1" si="1350"/>
        <v>0</v>
      </c>
      <c r="AC176" s="1319">
        <f t="shared" ca="1" si="1350"/>
        <v>0</v>
      </c>
      <c r="AD176" s="1319">
        <f t="shared" ca="1" si="1350"/>
        <v>0</v>
      </c>
      <c r="AJ176" s="1334"/>
      <c r="AM176" s="1319">
        <f t="shared" ca="1" si="1351"/>
        <v>0</v>
      </c>
      <c r="AN176" s="1319">
        <f t="shared" ca="1" si="1351"/>
        <v>0</v>
      </c>
      <c r="AO176" s="1319">
        <f t="shared" ca="1" si="1351"/>
        <v>0</v>
      </c>
      <c r="AP176" s="1319">
        <f t="shared" ca="1" si="1351"/>
        <v>0</v>
      </c>
      <c r="AQ176" s="1319">
        <f t="shared" ca="1" si="1351"/>
        <v>0</v>
      </c>
      <c r="AR176" s="1319">
        <f t="shared" ca="1" si="1351"/>
        <v>0</v>
      </c>
      <c r="AS176" s="1319">
        <f t="shared" ca="1" si="1351"/>
        <v>0</v>
      </c>
      <c r="AT176" s="1319">
        <f t="shared" ca="1" si="1351"/>
        <v>0</v>
      </c>
      <c r="AU176" s="1319">
        <f t="shared" ca="1" si="1351"/>
        <v>0</v>
      </c>
      <c r="AV176" s="1319">
        <f t="shared" ca="1" si="1351"/>
        <v>0</v>
      </c>
      <c r="AW176" s="1319">
        <f t="shared" ca="1" si="1351"/>
        <v>0</v>
      </c>
      <c r="AX176" s="1319">
        <f t="shared" ca="1" si="1351"/>
        <v>0</v>
      </c>
      <c r="AY176" s="1319">
        <f t="shared" ca="1" si="1351"/>
        <v>0</v>
      </c>
      <c r="AZ176" s="1319">
        <f t="shared" ca="1" si="1351"/>
        <v>0</v>
      </c>
      <c r="BA176" s="1319">
        <f t="shared" ca="1" si="1351"/>
        <v>0</v>
      </c>
      <c r="BB176" s="1319">
        <f t="shared" ca="1" si="1351"/>
        <v>0</v>
      </c>
      <c r="BK176" s="1334"/>
      <c r="BN176" s="1319">
        <f t="shared" ca="1" si="1352"/>
        <v>0</v>
      </c>
      <c r="BO176" s="1319">
        <f t="shared" ca="1" si="1352"/>
        <v>0</v>
      </c>
      <c r="BP176" s="1319">
        <f t="shared" ca="1" si="1352"/>
        <v>0</v>
      </c>
      <c r="BQ176" s="1319">
        <f t="shared" ca="1" si="1352"/>
        <v>0</v>
      </c>
      <c r="BR176" s="1319">
        <f t="shared" ca="1" si="1352"/>
        <v>0</v>
      </c>
      <c r="CA176" s="1334"/>
      <c r="CD176" s="1319">
        <f t="shared" ca="1" si="1353"/>
        <v>0</v>
      </c>
      <c r="CE176" s="1319">
        <f t="shared" ca="1" si="1353"/>
        <v>0</v>
      </c>
      <c r="CF176" s="1319">
        <f t="shared" ca="1" si="1353"/>
        <v>0</v>
      </c>
      <c r="CG176" s="1319">
        <f t="shared" ca="1" si="1353"/>
        <v>0</v>
      </c>
      <c r="CH176" s="1319">
        <f t="shared" ca="1" si="1353"/>
        <v>0</v>
      </c>
      <c r="CI176" s="1319">
        <f t="shared" ca="1" si="1353"/>
        <v>0</v>
      </c>
      <c r="CJ176" s="1319">
        <f t="shared" ca="1" si="1353"/>
        <v>0</v>
      </c>
      <c r="CK176" s="1319">
        <f t="shared" ca="1" si="1353"/>
        <v>0</v>
      </c>
      <c r="CL176" s="1319">
        <f t="shared" ca="1" si="1353"/>
        <v>0</v>
      </c>
      <c r="CM176" s="1319">
        <f t="shared" ca="1" si="1353"/>
        <v>0</v>
      </c>
      <c r="CN176" s="1319">
        <f t="shared" ca="1" si="1353"/>
        <v>0</v>
      </c>
      <c r="CO176" s="1319">
        <f t="shared" ca="1" si="1353"/>
        <v>0</v>
      </c>
      <c r="CX176" s="1334"/>
      <c r="DA176" s="1319">
        <f t="shared" ca="1" si="1354"/>
        <v>0</v>
      </c>
      <c r="DB176" s="1319">
        <f t="shared" ca="1" si="1354"/>
        <v>0</v>
      </c>
      <c r="DC176" s="1319">
        <f t="shared" ca="1" si="1354"/>
        <v>0</v>
      </c>
      <c r="DD176" s="1319">
        <f t="shared" ca="1" si="1354"/>
        <v>0</v>
      </c>
      <c r="DE176" s="1319">
        <f t="shared" ca="1" si="1354"/>
        <v>0</v>
      </c>
      <c r="DF176" s="1319">
        <f t="shared" ca="1" si="1354"/>
        <v>0</v>
      </c>
      <c r="DG176" s="1319">
        <f t="shared" ca="1" si="1354"/>
        <v>0</v>
      </c>
      <c r="DH176" s="1319">
        <f t="shared" ca="1" si="1354"/>
        <v>0</v>
      </c>
      <c r="DI176" s="1319">
        <f t="shared" ca="1" si="1354"/>
        <v>0</v>
      </c>
      <c r="DJ176" s="1319">
        <f t="shared" ca="1" si="1354"/>
        <v>0</v>
      </c>
      <c r="DS176" s="1334"/>
      <c r="DV176" s="1319">
        <f t="shared" ca="1" si="1355"/>
        <v>0</v>
      </c>
      <c r="DW176" s="1319">
        <f t="shared" ca="1" si="1355"/>
        <v>0</v>
      </c>
      <c r="DX176" s="1319">
        <f t="shared" ca="1" si="1355"/>
        <v>0</v>
      </c>
      <c r="DY176" s="1319">
        <f t="shared" ca="1" si="1355"/>
        <v>0</v>
      </c>
      <c r="DZ176" s="1319">
        <f t="shared" ca="1" si="1355"/>
        <v>0</v>
      </c>
      <c r="EA176" s="1319">
        <f t="shared" ca="1" si="1355"/>
        <v>0</v>
      </c>
      <c r="EB176" s="1319">
        <f t="shared" ca="1" si="1355"/>
        <v>0</v>
      </c>
      <c r="EC176" s="1319">
        <f t="shared" ca="1" si="1355"/>
        <v>0</v>
      </c>
      <c r="ED176" s="1319">
        <f t="shared" ca="1" si="1355"/>
        <v>0</v>
      </c>
      <c r="EE176" s="1319">
        <f t="shared" ca="1" si="1355"/>
        <v>0</v>
      </c>
      <c r="EF176" s="1319">
        <f t="shared" ca="1" si="1355"/>
        <v>0</v>
      </c>
      <c r="EG176" s="1319">
        <f t="shared" ca="1" si="1355"/>
        <v>0</v>
      </c>
      <c r="EH176" s="1319">
        <f t="shared" ca="1" si="1355"/>
        <v>0</v>
      </c>
      <c r="EI176" s="1319">
        <f t="shared" ca="1" si="1355"/>
        <v>0</v>
      </c>
      <c r="EJ176" s="1319">
        <f t="shared" ca="1" si="1355"/>
        <v>0</v>
      </c>
      <c r="EK176" s="1319">
        <f t="shared" ca="1" si="1355"/>
        <v>0</v>
      </c>
      <c r="ET176" s="1334"/>
      <c r="EW176" s="1319">
        <f t="shared" ca="1" si="1356"/>
        <v>0</v>
      </c>
      <c r="EX176" s="1319">
        <f t="shared" ca="1" si="1356"/>
        <v>0</v>
      </c>
      <c r="EY176" s="1319">
        <f t="shared" ca="1" si="1356"/>
        <v>0</v>
      </c>
      <c r="EZ176" s="1319">
        <f t="shared" ca="1" si="1356"/>
        <v>0</v>
      </c>
      <c r="FA176" s="1319">
        <f t="shared" ca="1" si="1356"/>
        <v>0</v>
      </c>
      <c r="FB176" s="1319">
        <f t="shared" ca="1" si="1356"/>
        <v>0</v>
      </c>
      <c r="FK176" s="1334"/>
      <c r="FN176" s="1319">
        <f t="shared" ca="1" si="1357"/>
        <v>0</v>
      </c>
      <c r="FO176" s="1319">
        <f t="shared" ca="1" si="1357"/>
        <v>0</v>
      </c>
      <c r="FP176" s="1319">
        <f t="shared" ca="1" si="1357"/>
        <v>0</v>
      </c>
      <c r="FQ176" s="1319">
        <f t="shared" ca="1" si="1357"/>
        <v>0</v>
      </c>
      <c r="FR176" s="1319">
        <f t="shared" ca="1" si="1357"/>
        <v>0</v>
      </c>
      <c r="FS176" s="1319">
        <f t="shared" ca="1" si="1357"/>
        <v>0</v>
      </c>
      <c r="FT176" s="1319">
        <f t="shared" ca="1" si="1357"/>
        <v>0</v>
      </c>
      <c r="FU176" s="1319">
        <f t="shared" ca="1" si="1357"/>
        <v>0</v>
      </c>
      <c r="FV176" s="1319">
        <f t="shared" ca="1" si="1357"/>
        <v>0</v>
      </c>
      <c r="FW176" s="1319">
        <f t="shared" ca="1" si="1357"/>
        <v>0</v>
      </c>
      <c r="FX176" s="1319">
        <f t="shared" ca="1" si="1357"/>
        <v>0</v>
      </c>
      <c r="GG176" s="1334"/>
      <c r="GJ176" s="1319">
        <f t="shared" ca="1" si="1358"/>
        <v>0</v>
      </c>
      <c r="GK176" s="1319">
        <f t="shared" ca="1" si="1358"/>
        <v>0</v>
      </c>
      <c r="GL176" s="1319">
        <f t="shared" ca="1" si="1358"/>
        <v>0</v>
      </c>
      <c r="GM176" s="1319">
        <f t="shared" ca="1" si="1358"/>
        <v>0</v>
      </c>
      <c r="GN176" s="1319">
        <f t="shared" ca="1" si="1358"/>
        <v>0</v>
      </c>
      <c r="GO176" s="1319">
        <f t="shared" ca="1" si="1358"/>
        <v>0</v>
      </c>
      <c r="GP176" s="1319">
        <f t="shared" ca="1" si="1358"/>
        <v>0</v>
      </c>
      <c r="GQ176" s="1319">
        <f t="shared" ca="1" si="1358"/>
        <v>0</v>
      </c>
      <c r="GZ176" s="1334"/>
      <c r="HC176" s="1319">
        <f t="shared" ca="1" si="1359"/>
        <v>0</v>
      </c>
      <c r="HD176" s="1319">
        <f t="shared" ca="1" si="1359"/>
        <v>0</v>
      </c>
      <c r="HE176" s="1319">
        <f t="shared" ca="1" si="1359"/>
        <v>0</v>
      </c>
      <c r="HF176" s="1319">
        <f t="shared" ca="1" si="1359"/>
        <v>0</v>
      </c>
      <c r="HG176" s="1319">
        <f t="shared" ca="1" si="1359"/>
        <v>0</v>
      </c>
      <c r="HH176" s="1319">
        <f t="shared" ca="1" si="1359"/>
        <v>0</v>
      </c>
      <c r="HQ176" s="1334"/>
      <c r="HT176" s="1319">
        <f t="shared" ca="1" si="1360"/>
        <v>0</v>
      </c>
      <c r="HU176" s="1319">
        <f t="shared" ca="1" si="1360"/>
        <v>0</v>
      </c>
      <c r="HV176" s="1319">
        <f t="shared" ca="1" si="1360"/>
        <v>0</v>
      </c>
      <c r="HW176" s="1319">
        <f t="shared" ca="1" si="1360"/>
        <v>0</v>
      </c>
      <c r="HX176" s="1319">
        <f t="shared" ca="1" si="1360"/>
        <v>0</v>
      </c>
      <c r="HY176" s="1319">
        <f t="shared" ca="1" si="1360"/>
        <v>0</v>
      </c>
      <c r="HZ176" s="1319">
        <f t="shared" ca="1" si="1360"/>
        <v>0</v>
      </c>
      <c r="IA176" s="1319">
        <f t="shared" ca="1" si="1360"/>
        <v>0</v>
      </c>
      <c r="IB176" s="1319">
        <f t="shared" ca="1" si="1360"/>
        <v>0</v>
      </c>
      <c r="IC176" s="1319">
        <f t="shared" ca="1" si="1360"/>
        <v>0</v>
      </c>
      <c r="ID176" s="1319">
        <f t="shared" ca="1" si="1360"/>
        <v>0</v>
      </c>
      <c r="IE176" s="1319">
        <f t="shared" ca="1" si="1360"/>
        <v>0</v>
      </c>
      <c r="IN176" s="1334"/>
      <c r="IQ176" s="1319">
        <f t="shared" ca="1" si="1361"/>
        <v>0</v>
      </c>
      <c r="IR176" s="1319">
        <f t="shared" ca="1" si="1361"/>
        <v>0</v>
      </c>
      <c r="IS176" s="1319">
        <f t="shared" ca="1" si="1361"/>
        <v>0</v>
      </c>
      <c r="IT176" s="1319">
        <f t="shared" ca="1" si="1361"/>
        <v>0</v>
      </c>
      <c r="IU176" s="1319">
        <f t="shared" ca="1" si="1361"/>
        <v>0</v>
      </c>
      <c r="IV176" s="1319">
        <f t="shared" ca="1" si="1361"/>
        <v>0</v>
      </c>
      <c r="IW176" s="1319">
        <f t="shared" ca="1" si="1361"/>
        <v>0</v>
      </c>
      <c r="IX176" s="1319">
        <f t="shared" ca="1" si="1361"/>
        <v>0</v>
      </c>
      <c r="IY176" s="1319">
        <f t="shared" ca="1" si="1361"/>
        <v>0</v>
      </c>
      <c r="IZ176" s="1319">
        <f t="shared" ca="1" si="1361"/>
        <v>0</v>
      </c>
      <c r="JA176" s="1319">
        <f t="shared" ca="1" si="1361"/>
        <v>0</v>
      </c>
      <c r="JB176" s="1319">
        <f t="shared" ca="1" si="1362"/>
        <v>0</v>
      </c>
      <c r="JC176" s="1319">
        <f t="shared" ca="1" si="1362"/>
        <v>0</v>
      </c>
      <c r="JD176" s="1319">
        <f t="shared" ca="1" si="1362"/>
        <v>0</v>
      </c>
      <c r="JE176" s="1319">
        <f t="shared" ca="1" si="1362"/>
        <v>0</v>
      </c>
      <c r="JF176" s="1319">
        <f t="shared" ca="1" si="1362"/>
        <v>0</v>
      </c>
      <c r="JG176" s="1319">
        <f t="shared" ca="1" si="1362"/>
        <v>0</v>
      </c>
      <c r="JH176" s="1319">
        <f t="shared" ca="1" si="1362"/>
        <v>0</v>
      </c>
      <c r="JQ176" s="1334"/>
      <c r="JT176" s="1319">
        <f t="shared" ca="1" si="1363"/>
        <v>0</v>
      </c>
      <c r="JU176" s="1319">
        <f t="shared" ca="1" si="1363"/>
        <v>0</v>
      </c>
      <c r="JV176" s="1319">
        <f t="shared" ca="1" si="1363"/>
        <v>0</v>
      </c>
      <c r="JW176" s="1319">
        <f t="shared" ca="1" si="1363"/>
        <v>0</v>
      </c>
      <c r="JX176" s="1319">
        <f t="shared" ca="1" si="1363"/>
        <v>0</v>
      </c>
      <c r="JY176" s="1319">
        <f t="shared" ca="1" si="1363"/>
        <v>0</v>
      </c>
      <c r="JZ176" s="1319">
        <f t="shared" ca="1" si="1363"/>
        <v>0</v>
      </c>
      <c r="KA176" s="1319">
        <f t="shared" ca="1" si="1363"/>
        <v>0</v>
      </c>
      <c r="KB176" s="1319">
        <f t="shared" ca="1" si="1363"/>
        <v>0</v>
      </c>
      <c r="KC176" s="1319">
        <f t="shared" ca="1" si="1363"/>
        <v>0</v>
      </c>
      <c r="KI176" s="1334"/>
      <c r="KL176" s="1319">
        <f t="shared" ca="1" si="1364"/>
        <v>0</v>
      </c>
      <c r="KM176" s="1319">
        <f t="shared" ca="1" si="1364"/>
        <v>0</v>
      </c>
      <c r="KN176" s="1319">
        <f t="shared" ca="1" si="1364"/>
        <v>0</v>
      </c>
      <c r="KO176" s="1319">
        <f t="shared" ca="1" si="1364"/>
        <v>0</v>
      </c>
      <c r="KP176" s="1319">
        <f t="shared" ca="1" si="1364"/>
        <v>0</v>
      </c>
      <c r="KQ176" s="1319">
        <f t="shared" ca="1" si="1364"/>
        <v>0</v>
      </c>
      <c r="KR176" s="1319">
        <f t="shared" ca="1" si="1364"/>
        <v>0</v>
      </c>
      <c r="KX176" s="1334"/>
      <c r="LA176" s="1319">
        <f t="shared" ca="1" si="1365"/>
        <v>0</v>
      </c>
      <c r="LB176" s="1319">
        <f t="shared" ca="1" si="1365"/>
        <v>0</v>
      </c>
      <c r="LC176" s="1319">
        <f t="shared" ca="1" si="1365"/>
        <v>0</v>
      </c>
      <c r="LD176" s="1319">
        <f t="shared" ca="1" si="1365"/>
        <v>0</v>
      </c>
      <c r="LE176" s="1319">
        <f t="shared" ca="1" si="1365"/>
        <v>0</v>
      </c>
      <c r="LF176" s="1319">
        <f t="shared" ca="1" si="1365"/>
        <v>-0.95874233209444837</v>
      </c>
      <c r="LG176" s="1319">
        <f t="shared" ca="1" si="1365"/>
        <v>-0.95874233209444837</v>
      </c>
      <c r="LH176" s="1319">
        <f t="shared" ca="1" si="1365"/>
        <v>-0.95874233209444837</v>
      </c>
      <c r="LI176" s="1319">
        <f t="shared" ca="1" si="1365"/>
        <v>0</v>
      </c>
      <c r="LJ176" s="1319">
        <f t="shared" ca="1" si="1365"/>
        <v>0</v>
      </c>
      <c r="LK176" s="1319">
        <f t="shared" ca="1" si="1365"/>
        <v>0</v>
      </c>
      <c r="LT176" s="1334"/>
      <c r="LW176" s="1319">
        <f t="shared" ca="1" si="1366"/>
        <v>0</v>
      </c>
      <c r="LX176" s="1319">
        <f t="shared" ca="1" si="1366"/>
        <v>0</v>
      </c>
      <c r="LY176" s="1319">
        <f t="shared" ca="1" si="1366"/>
        <v>0</v>
      </c>
      <c r="LZ176" s="1319">
        <f t="shared" ca="1" si="1366"/>
        <v>0</v>
      </c>
      <c r="MA176" s="1319">
        <f t="shared" ca="1" si="1366"/>
        <v>0</v>
      </c>
      <c r="MB176" s="1319">
        <f t="shared" ca="1" si="1366"/>
        <v>0</v>
      </c>
      <c r="MC176" s="1319">
        <f t="shared" ca="1" si="1366"/>
        <v>-0.95874233209444837</v>
      </c>
      <c r="MD176" s="1319">
        <f t="shared" ca="1" si="1366"/>
        <v>0</v>
      </c>
      <c r="ME176" s="1319">
        <f t="shared" ca="1" si="1366"/>
        <v>0</v>
      </c>
      <c r="MF176" s="1319">
        <f t="shared" ca="1" si="1366"/>
        <v>0</v>
      </c>
      <c r="MG176" s="1319">
        <f t="shared" ca="1" si="1367"/>
        <v>0</v>
      </c>
      <c r="MH176" s="1319">
        <f t="shared" ca="1" si="1367"/>
        <v>0</v>
      </c>
      <c r="MI176" s="1319">
        <f t="shared" ca="1" si="1367"/>
        <v>0</v>
      </c>
      <c r="MJ176" s="1319">
        <f t="shared" ca="1" si="1367"/>
        <v>0</v>
      </c>
      <c r="MK176" s="1319">
        <f t="shared" ca="1" si="1367"/>
        <v>0</v>
      </c>
      <c r="ML176" s="1319">
        <f t="shared" ca="1" si="1367"/>
        <v>0</v>
      </c>
      <c r="MM176" s="1319">
        <f t="shared" ca="1" si="1367"/>
        <v>0</v>
      </c>
      <c r="MN176" s="1319">
        <f t="shared" ca="1" si="1367"/>
        <v>0</v>
      </c>
      <c r="MO176" s="1319">
        <f t="shared" ca="1" si="1367"/>
        <v>0</v>
      </c>
      <c r="MX176" s="1334"/>
      <c r="NA176" s="1319">
        <f t="shared" ca="1" si="1368"/>
        <v>0</v>
      </c>
      <c r="NB176" s="1319">
        <f t="shared" ca="1" si="1368"/>
        <v>0</v>
      </c>
      <c r="NC176" s="1319">
        <f t="shared" ca="1" si="1368"/>
        <v>0</v>
      </c>
      <c r="ND176" s="1319">
        <f t="shared" ca="1" si="1368"/>
        <v>0</v>
      </c>
      <c r="NE176" s="1319">
        <f t="shared" ca="1" si="1368"/>
        <v>0</v>
      </c>
      <c r="NF176" s="1319">
        <f t="shared" ca="1" si="1368"/>
        <v>0</v>
      </c>
      <c r="NG176" s="1319">
        <f t="shared" ca="1" si="1368"/>
        <v>0</v>
      </c>
      <c r="NH176" s="1319">
        <f t="shared" ca="1" si="1368"/>
        <v>0</v>
      </c>
      <c r="NI176" s="1319">
        <f t="shared" ca="1" si="1368"/>
        <v>0</v>
      </c>
      <c r="NJ176" s="1319">
        <f t="shared" ca="1" si="1368"/>
        <v>0</v>
      </c>
      <c r="NK176" s="1319">
        <f t="shared" ca="1" si="1368"/>
        <v>0</v>
      </c>
      <c r="NL176" s="1319">
        <f t="shared" ca="1" si="1368"/>
        <v>0</v>
      </c>
      <c r="NM176" s="1319">
        <f t="shared" ca="1" si="1368"/>
        <v>0</v>
      </c>
      <c r="NN176" s="1319">
        <f t="shared" ca="1" si="1368"/>
        <v>0</v>
      </c>
      <c r="NO176" s="1319">
        <f t="shared" ca="1" si="1368"/>
        <v>0</v>
      </c>
      <c r="NP176" s="1319">
        <f t="shared" ca="1" si="1368"/>
        <v>0</v>
      </c>
      <c r="NY176" s="1334"/>
      <c r="OE176" s="1334"/>
      <c r="OH176" s="1319">
        <f t="shared" ca="1" si="1369"/>
        <v>0</v>
      </c>
      <c r="OI176" s="1319">
        <f t="shared" ca="1" si="1369"/>
        <v>0</v>
      </c>
      <c r="OJ176" s="1319">
        <f t="shared" ca="1" si="1369"/>
        <v>0</v>
      </c>
      <c r="OK176" s="1319">
        <f t="shared" ca="1" si="1369"/>
        <v>0</v>
      </c>
      <c r="OL176" s="1319">
        <f t="shared" ca="1" si="1369"/>
        <v>0</v>
      </c>
      <c r="OM176" s="1319">
        <f t="shared" ca="1" si="1369"/>
        <v>0</v>
      </c>
      <c r="ON176" s="1319">
        <f t="shared" ca="1" si="1369"/>
        <v>0</v>
      </c>
      <c r="OO176" s="1319">
        <f t="shared" ca="1" si="1369"/>
        <v>0</v>
      </c>
      <c r="OX176" s="1334"/>
      <c r="PA176" s="1319">
        <f t="shared" ca="1" si="1370"/>
        <v>0</v>
      </c>
      <c r="PB176" s="1319">
        <f t="shared" ca="1" si="1370"/>
        <v>0</v>
      </c>
      <c r="PC176" s="1319">
        <f t="shared" ca="1" si="1370"/>
        <v>0</v>
      </c>
      <c r="PD176" s="1319">
        <f t="shared" ca="1" si="1370"/>
        <v>0</v>
      </c>
      <c r="PE176" s="1319">
        <f t="shared" ca="1" si="1370"/>
        <v>0</v>
      </c>
      <c r="PF176" s="1319">
        <f t="shared" ca="1" si="1370"/>
        <v>0</v>
      </c>
      <c r="PG176" s="1319">
        <f t="shared" ca="1" si="1370"/>
        <v>0</v>
      </c>
      <c r="PH176" s="1319">
        <f t="shared" ca="1" si="1370"/>
        <v>0</v>
      </c>
      <c r="PI176" s="1319">
        <f t="shared" ca="1" si="1370"/>
        <v>0</v>
      </c>
      <c r="PJ176" s="1319">
        <f t="shared" ca="1" si="1370"/>
        <v>0</v>
      </c>
      <c r="PK176" s="1319">
        <f t="shared" ca="1" si="1370"/>
        <v>0</v>
      </c>
      <c r="PT176" s="1334"/>
      <c r="PW176" s="1319">
        <f t="shared" ca="1" si="1349"/>
        <v>0</v>
      </c>
      <c r="PX176" s="1319">
        <f t="shared" ca="1" si="1349"/>
        <v>0</v>
      </c>
      <c r="PY176" s="1319">
        <f t="shared" ca="1" si="1349"/>
        <v>0</v>
      </c>
      <c r="PZ176" s="1319">
        <f t="shared" ca="1" si="1349"/>
        <v>0</v>
      </c>
    </row>
    <row r="177" spans="1:442" x14ac:dyDescent="0.25">
      <c r="C177" s="1317" t="s">
        <v>2547</v>
      </c>
      <c r="D177" s="1317" t="s">
        <v>982</v>
      </c>
      <c r="J177" s="189">
        <f ca="1">SUM(J115:J176)</f>
        <v>-327.68648824212124</v>
      </c>
      <c r="K177" s="189">
        <f t="shared" ref="K177" ca="1" si="1371">SUM(K115:K176)</f>
        <v>-327.68648824212124</v>
      </c>
      <c r="T177" s="189">
        <f ca="1">SUM(T115:T176)</f>
        <v>-327.68648824212124</v>
      </c>
      <c r="U177" s="189">
        <f t="shared" ref="U177:AD177" ca="1" si="1372">SUM(U115:U176)</f>
        <v>0</v>
      </c>
      <c r="V177" s="189">
        <f t="shared" ca="1" si="1372"/>
        <v>5.5580061919263367E-2</v>
      </c>
      <c r="W177" s="189">
        <f t="shared" ca="1" si="1372"/>
        <v>0</v>
      </c>
      <c r="X177" s="189">
        <f t="shared" ca="1" si="1372"/>
        <v>0</v>
      </c>
      <c r="Y177" s="189">
        <f t="shared" ca="1" si="1372"/>
        <v>-326.33551306825825</v>
      </c>
      <c r="Z177" s="189">
        <f t="shared" ca="1" si="1372"/>
        <v>-1.3150919623892792</v>
      </c>
      <c r="AA177" s="189">
        <f t="shared" ca="1" si="1372"/>
        <v>-325.02042145189415</v>
      </c>
      <c r="AB177" s="189">
        <f t="shared" ca="1" si="1372"/>
        <v>1.1423163773854637</v>
      </c>
      <c r="AC177" s="189">
        <f t="shared" ca="1" si="1372"/>
        <v>-1.0867363154662002</v>
      </c>
      <c r="AD177" s="189">
        <f t="shared" ca="1" si="1372"/>
        <v>1.142504037739863</v>
      </c>
      <c r="AM177" s="189">
        <f ca="1">SUM(AM115:AM176)</f>
        <v>0</v>
      </c>
      <c r="AN177" s="189">
        <f t="shared" ref="AN177" ca="1" si="1373">SUM(AN115:AN176)</f>
        <v>0</v>
      </c>
      <c r="AO177" s="189">
        <f t="shared" ref="AO177" ca="1" si="1374">SUM(AO115:AO176)</f>
        <v>-325.02042145189415</v>
      </c>
      <c r="AP177" s="189">
        <f t="shared" ref="AP177" ca="1" si="1375">SUM(AP115:AP176)</f>
        <v>-325.02042145189415</v>
      </c>
      <c r="AQ177" s="189">
        <f t="shared" ref="AQ177" ca="1" si="1376">SUM(AQ115:AQ176)</f>
        <v>-0.7943210636796223</v>
      </c>
      <c r="AR177" s="189">
        <f t="shared" ref="AR177" ca="1" si="1377">SUM(AR115:AR176)</f>
        <v>-1.2348695968903107</v>
      </c>
      <c r="AS177" s="189">
        <f t="shared" ref="AS177" ca="1" si="1378">SUM(AS115:AS176)</f>
        <v>-8.0222366130557235E-2</v>
      </c>
      <c r="AT177" s="189">
        <f t="shared" ref="AT177" ca="1" si="1379">SUM(AT115:AT176)</f>
        <v>-1.6491612726731009</v>
      </c>
      <c r="AU177" s="189">
        <f t="shared" ref="AU177" ca="1" si="1380">SUM(AU115:AU176)</f>
        <v>-0.38002939080265996</v>
      </c>
      <c r="AV177" s="189">
        <f t="shared" ref="AV177" ca="1" si="1381">SUM(AV115:AV176)</f>
        <v>-324.226100353812</v>
      </c>
      <c r="AW177" s="189">
        <f t="shared" ref="AW177" ca="1" si="1382">SUM(AW115:AW176)</f>
        <v>-1.6491612726731009</v>
      </c>
      <c r="AX177" s="189">
        <f t="shared" ref="AX177" ca="1" si="1383">SUM(AX115:AX176)</f>
        <v>-2.1094130260831352</v>
      </c>
      <c r="AY177" s="189">
        <f t="shared" ref="AY177" ca="1" si="1384">SUM(AY115:AY176)</f>
        <v>-4.6690964615321535</v>
      </c>
      <c r="AZ177" s="189">
        <f t="shared" ref="AZ177" ca="1" si="1385">SUM(AZ115:AZ176)</f>
        <v>0</v>
      </c>
      <c r="BA177" s="189">
        <f t="shared" ref="BA177" ca="1" si="1386">SUM(BA115:BA176)</f>
        <v>-4.6690964615321535</v>
      </c>
      <c r="BB177" s="189">
        <f t="shared" ref="BB177" ca="1" si="1387">SUM(BB115:BB176)</f>
        <v>-326.69028289045553</v>
      </c>
      <c r="BN177" s="189">
        <f ca="1">SUM(BN115:BN176)</f>
        <v>-32.932184602215457</v>
      </c>
      <c r="BO177" s="189">
        <f t="shared" ref="BO177" ca="1" si="1388">SUM(BO115:BO176)</f>
        <v>-32.807467245797831</v>
      </c>
      <c r="BP177" s="189">
        <f t="shared" ref="BP177" ca="1" si="1389">SUM(BP115:BP176)</f>
        <v>-0.20605922903808216</v>
      </c>
      <c r="BQ177" s="189">
        <f t="shared" ref="BQ177" ca="1" si="1390">SUM(BQ115:BQ176)</f>
        <v>-0.45113132136240541</v>
      </c>
      <c r="BR177" s="189">
        <f t="shared" ref="BR177" ca="1" si="1391">SUM(BR115:BR176)</f>
        <v>0</v>
      </c>
      <c r="CD177" s="189">
        <f ca="1">SUM(CD115:CD176)</f>
        <v>-326.69028289045553</v>
      </c>
      <c r="CE177" s="189">
        <f t="shared" ref="CE177" ca="1" si="1392">SUM(CE115:CE176)</f>
        <v>-326.69028289045553</v>
      </c>
      <c r="CF177" s="189">
        <f t="shared" ref="CF177" ca="1" si="1393">SUM(CF115:CF176)</f>
        <v>-32.932184602215457</v>
      </c>
      <c r="CG177" s="189">
        <f t="shared" ref="CG177" ca="1" si="1394">SUM(CG115:CG176)</f>
        <v>-32.807467245797831</v>
      </c>
      <c r="CH177" s="189">
        <f t="shared" ref="CH177" ca="1" si="1395">SUM(CH115:CH176)</f>
        <v>-330.65420300514046</v>
      </c>
      <c r="CI177" s="189">
        <f t="shared" ref="CI177" ca="1" si="1396">SUM(CI115:CI176)</f>
        <v>-2.0300909459363021</v>
      </c>
      <c r="CJ177" s="189">
        <f t="shared" ref="CJ177" ca="1" si="1397">SUM(CJ115:CJ176)</f>
        <v>0</v>
      </c>
      <c r="CK177" s="189">
        <f t="shared" ref="CK177" ca="1" si="1398">SUM(CK115:CK176)</f>
        <v>-325.08749258698032</v>
      </c>
      <c r="CL177" s="189">
        <f t="shared" ref="CL177" ca="1" si="1399">SUM(CL115:CL176)</f>
        <v>-2.1289196700383166</v>
      </c>
      <c r="CM177" s="189">
        <f t="shared" ref="CM177" ca="1" si="1400">SUM(CM115:CM176)</f>
        <v>-3.9639201148464127</v>
      </c>
      <c r="CN177" s="189">
        <f t="shared" ref="CN177" ca="1" si="1401">SUM(CN115:CN176)</f>
        <v>-327.81525176000611</v>
      </c>
      <c r="CO177" s="189">
        <f t="shared" ref="CO177" ca="1" si="1402">SUM(CO115:CO176)</f>
        <v>-2.7277596245439701</v>
      </c>
      <c r="DA177" s="189">
        <f ca="1">SUM(DA115:DA176)</f>
        <v>-0.4314002884945769</v>
      </c>
      <c r="DB177" s="189">
        <f t="shared" ref="DB177" ca="1" si="1403">SUM(DB115:DB176)</f>
        <v>-1.6822796440614938E-2</v>
      </c>
      <c r="DC177" s="189">
        <f t="shared" ref="DC177" ca="1" si="1404">SUM(DC115:DC176)</f>
        <v>0</v>
      </c>
      <c r="DD177" s="189">
        <f t="shared" ref="DD177" ca="1" si="1405">SUM(DD115:DD176)</f>
        <v>-2.5415921900749518E-2</v>
      </c>
      <c r="DE177" s="189">
        <f t="shared" ref="DE177" ca="1" si="1406">SUM(DE115:DE176)</f>
        <v>-0.25486200992045877</v>
      </c>
      <c r="DF177" s="189">
        <f t="shared" ref="DF177" ca="1" si="1407">SUM(DF115:DF176)</f>
        <v>-1.2430307706378734E-3</v>
      </c>
      <c r="DG177" s="189">
        <f t="shared" ref="DG177" ca="1" si="1408">SUM(DG115:DG176)</f>
        <v>0</v>
      </c>
      <c r="DH177" s="189">
        <f t="shared" ref="DH177" ca="1" si="1409">SUM(DH115:DH176)</f>
        <v>0</v>
      </c>
      <c r="DI177" s="189">
        <f t="shared" ref="DI177" ca="1" si="1410">SUM(DI115:DI176)</f>
        <v>0</v>
      </c>
      <c r="DJ177" s="189">
        <f t="shared" ref="DJ177" ca="1" si="1411">SUM(DJ115:DJ176)</f>
        <v>0</v>
      </c>
      <c r="DV177" s="189">
        <f ca="1">SUM(DV115:DV176)</f>
        <v>0</v>
      </c>
      <c r="DW177" s="189">
        <f t="shared" ref="DW177" ca="1" si="1412">SUM(DW115:DW176)</f>
        <v>-8.1875713181791152</v>
      </c>
      <c r="DX177" s="189">
        <f t="shared" ref="DX177" ca="1" si="1413">SUM(DX115:DX176)</f>
        <v>-8.6280057697208754</v>
      </c>
      <c r="DY177" s="189">
        <f t="shared" ref="DY177" ca="1" si="1414">SUM(DY115:DY176)</f>
        <v>-0.4314002884945769</v>
      </c>
      <c r="DZ177" s="189">
        <f t="shared" ref="DZ177" ca="1" si="1415">SUM(DZ115:DZ176)</f>
        <v>0</v>
      </c>
      <c r="EA177" s="189">
        <f t="shared" ref="EA177" ca="1" si="1416">SUM(EA115:EA176)</f>
        <v>-0.25486200992045877</v>
      </c>
      <c r="EB177" s="189">
        <f t="shared" ref="EB177" ca="1" si="1417">SUM(EB115:EB176)</f>
        <v>-8.1966054745661214</v>
      </c>
      <c r="EC177" s="189">
        <f t="shared" ref="EC177" ca="1" si="1418">SUM(EC115:EC176)</f>
        <v>-0.56329301158872436</v>
      </c>
      <c r="ED177" s="189">
        <f t="shared" ref="ED177" ca="1" si="1419">SUM(ED115:ED176)</f>
        <v>-3.9639201148464127</v>
      </c>
      <c r="EE177" s="189">
        <f t="shared" ref="EE177" ca="1" si="1420">SUM(EE115:EE176)</f>
        <v>-9.135114080338864E-4</v>
      </c>
      <c r="EF177" s="189">
        <f t="shared" ref="EF177" ca="1" si="1421">SUM(EF115:EF176)</f>
        <v>-0.22806057172544733</v>
      </c>
      <c r="EG177" s="189">
        <f t="shared" ref="EG177" ca="1" si="1422">SUM(EG115:EG176)</f>
        <v>-0.48544410893526435</v>
      </c>
      <c r="EH177" s="189">
        <f t="shared" ref="EH177" ca="1" si="1423">SUM(EH115:EH176)</f>
        <v>0</v>
      </c>
      <c r="EI177" s="189">
        <f t="shared" ref="EI177" ca="1" si="1424">SUM(EI115:EI176)</f>
        <v>-0.335232439863277</v>
      </c>
      <c r="EJ177" s="189">
        <f t="shared" ref="EJ177" ca="1" si="1425">SUM(EJ115:EJ176)</f>
        <v>-0.11716175936502911</v>
      </c>
      <c r="EK177" s="189">
        <f t="shared" ref="EK177" ca="1" si="1426">SUM(EK115:EK176)</f>
        <v>0</v>
      </c>
      <c r="EW177" s="189">
        <f ca="1">SUM(EW115:EW176)</f>
        <v>-327.81525176000611</v>
      </c>
      <c r="EX177" s="189">
        <f t="shared" ref="EX177" ca="1" si="1427">SUM(EX115:EX176)</f>
        <v>-327.81525176000611</v>
      </c>
      <c r="EY177" s="189">
        <f t="shared" ref="EY177" ca="1" si="1428">SUM(EY115:EY176)</f>
        <v>-187.54459255141956</v>
      </c>
      <c r="EZ177" s="189">
        <f t="shared" ref="EZ177" ca="1" si="1429">SUM(EZ115:EZ176)</f>
        <v>-187.54459255141956</v>
      </c>
      <c r="FA177" s="189">
        <f t="shared" ref="FA177" ca="1" si="1430">SUM(FA115:FA176)</f>
        <v>-0.4204474103223923</v>
      </c>
      <c r="FB177" s="189">
        <f t="shared" ref="FB177" ca="1" si="1431">SUM(FB115:FB176)</f>
        <v>-139.85021274879335</v>
      </c>
      <c r="FN177" s="189">
        <f ca="1">SUM(FN115:FN176)</f>
        <v>-0.20605922903808216</v>
      </c>
      <c r="FO177" s="189">
        <f t="shared" ref="FO177" ca="1" si="1432">SUM(FO115:FO176)</f>
        <v>-2.1289196700383166</v>
      </c>
      <c r="FP177" s="189">
        <f t="shared" ref="FP177" ca="1" si="1433">SUM(FP115:FP176)</f>
        <v>-0.4204474103223923</v>
      </c>
      <c r="FQ177" s="189">
        <f t="shared" ref="FQ177" ca="1" si="1434">SUM(FQ115:FQ176)</f>
        <v>-139.85021274879335</v>
      </c>
      <c r="FR177" s="189">
        <f t="shared" ref="FR177" ca="1" si="1435">SUM(FR115:FR176)</f>
        <v>-172.77780391200585</v>
      </c>
      <c r="FS177" s="189">
        <f t="shared" ref="FS177" ca="1" si="1436">SUM(FS115:FS176)</f>
        <v>-1.0867363154662002</v>
      </c>
      <c r="FT177" s="189">
        <f t="shared" ref="FT177" ca="1" si="1437">SUM(FT115:FT176)</f>
        <v>-34.014330061764788</v>
      </c>
      <c r="FU177" s="189">
        <f t="shared" ref="FU177" ca="1" si="1438">SUM(FU115:FU176)</f>
        <v>-2.7554263107017376</v>
      </c>
      <c r="FV177" s="189">
        <f t="shared" ref="FV177" ca="1" si="1439">SUM(FV115:FV176)</f>
        <v>0</v>
      </c>
      <c r="FW177" s="189">
        <f t="shared" ref="FW177" ca="1" si="1440">SUM(FW115:FW176)</f>
        <v>-2.7666690755355265E-2</v>
      </c>
      <c r="FX177" s="189">
        <f t="shared" ref="FX177" ca="1" si="1441">SUM(FX115:FX176)</f>
        <v>-2.7277596245439701</v>
      </c>
      <c r="GJ177" s="189">
        <f ca="1">SUM(GJ115:GJ176)</f>
        <v>-172.77780391200585</v>
      </c>
      <c r="GK177" s="189">
        <f t="shared" ref="GK177" ca="1" si="1442">SUM(GK115:GK176)</f>
        <v>-172.77780391200585</v>
      </c>
      <c r="GL177" s="189">
        <f t="shared" ref="GL177" ca="1" si="1443">SUM(GL115:GL176)</f>
        <v>-34.014333647293405</v>
      </c>
      <c r="GM177" s="189">
        <f t="shared" ref="GM177" ca="1" si="1444">SUM(GM115:GM176)</f>
        <v>-138.76347026471245</v>
      </c>
      <c r="GN177" s="189">
        <f t="shared" ref="GN177" ca="1" si="1445">SUM(GN115:GN176)</f>
        <v>-138.76347026471245</v>
      </c>
      <c r="GO177" s="189">
        <f t="shared" ref="GO177" ca="1" si="1446">SUM(GO115:GO176)</f>
        <v>-34.014333647293405</v>
      </c>
      <c r="GP177" s="189">
        <f t="shared" ref="GP177" ca="1" si="1447">SUM(GP115:GP176)</f>
        <v>-138.76347026471245</v>
      </c>
      <c r="GQ177" s="189">
        <f t="shared" ref="GQ177" ca="1" si="1448">SUM(GQ115:GQ176)</f>
        <v>-34.014330061764788</v>
      </c>
      <c r="HC177" s="189">
        <f ca="1">SUM(HC115:HC176)</f>
        <v>-187.54459255141956</v>
      </c>
      <c r="HD177" s="189">
        <f t="shared" ref="HD177" ca="1" si="1449">SUM(HD115:HD176)</f>
        <v>-83.374995857139311</v>
      </c>
      <c r="HE177" s="189">
        <f t="shared" ref="HE177" ca="1" si="1450">SUM(HE115:HE176)</f>
        <v>0</v>
      </c>
      <c r="HF177" s="189">
        <f t="shared" ref="HF177" ca="1" si="1451">SUM(HF115:HF176)</f>
        <v>-1.1166616642324266E-2</v>
      </c>
      <c r="HG177" s="189">
        <f t="shared" ref="HG177" ca="1" si="1452">SUM(HG115:HG176)</f>
        <v>-104.1584302172373</v>
      </c>
      <c r="HH177" s="189">
        <f t="shared" ref="HH177" ca="1" si="1453">SUM(HH115:HH176)</f>
        <v>-83.374995857139311</v>
      </c>
      <c r="HT177" s="189">
        <f ca="1">SUM(HT115:HT176)</f>
        <v>-2.1094130260831352</v>
      </c>
      <c r="HU177" s="189">
        <f t="shared" ref="HU177" ca="1" si="1454">SUM(HU115:HU176)</f>
        <v>-83.374995857139311</v>
      </c>
      <c r="HV177" s="189">
        <f t="shared" ref="HV177" ca="1" si="1455">SUM(HV115:HV176)</f>
        <v>-85.48440870931411</v>
      </c>
      <c r="HW177" s="189">
        <f t="shared" ref="HW177" ca="1" si="1456">SUM(HW115:HW176)</f>
        <v>-85.48440870931411</v>
      </c>
      <c r="HX177" s="189">
        <f t="shared" ref="HX177" ca="1" si="1457">SUM(HX115:HX176)</f>
        <v>-16.072715771925729</v>
      </c>
      <c r="HY177" s="189">
        <f t="shared" ref="HY177" ca="1" si="1458">SUM(HY115:HY176)</f>
        <v>-6.67807205220406</v>
      </c>
      <c r="HZ177" s="189">
        <f t="shared" ref="HZ177" ca="1" si="1459">SUM(HZ115:HZ176)</f>
        <v>-65.434145056844429</v>
      </c>
      <c r="IA177" s="189">
        <f t="shared" ref="IA177" ca="1" si="1460">SUM(IA115:IA176)</f>
        <v>-2.0381870584310073E-3</v>
      </c>
      <c r="IB177" s="189">
        <f t="shared" ref="IB177" ca="1" si="1461">SUM(IB115:IB176)</f>
        <v>0</v>
      </c>
      <c r="IC177" s="189">
        <f t="shared" ref="IC177" ca="1" si="1462">SUM(IC115:IC176)</f>
        <v>0</v>
      </c>
      <c r="ID177" s="189">
        <f t="shared" ref="ID177" ca="1" si="1463">SUM(ID115:ID176)</f>
        <v>0</v>
      </c>
      <c r="IE177" s="189">
        <f t="shared" ref="IE177" ca="1" si="1464">SUM(IE115:IE176)</f>
        <v>0</v>
      </c>
      <c r="IQ177" s="189">
        <f ca="1">SUM(IQ115:IQ176)</f>
        <v>-16.072715771925729</v>
      </c>
      <c r="IR177" s="189">
        <f t="shared" ref="IR177" ca="1" si="1465">SUM(IR115:IR176)</f>
        <v>-6.67807205220406</v>
      </c>
      <c r="IS177" s="189">
        <f t="shared" ref="IS177" ca="1" si="1466">SUM(IS115:IS176)</f>
        <v>-3.193187460412009</v>
      </c>
      <c r="IT177" s="189">
        <f t="shared" ref="IT177:IU177" ca="1" si="1467">SUM(IT115:IT176)</f>
        <v>-9.8712595271216088</v>
      </c>
      <c r="IU177" s="189">
        <f t="shared" ca="1" si="1467"/>
        <v>-0.2514441048878151</v>
      </c>
      <c r="IV177" s="189">
        <f t="shared" ref="IV177" ca="1" si="1468">SUM(IV115:IV176)</f>
        <v>-74.007715749742644</v>
      </c>
      <c r="IW177" s="189">
        <f t="shared" ref="IW177:IX177" ca="1" si="1469">SUM(IW115:IW176)</f>
        <v>-76.636499020909767</v>
      </c>
      <c r="IX177" s="189">
        <f t="shared" ca="1" si="1469"/>
        <v>-1.0647145972311602</v>
      </c>
      <c r="IY177" s="189">
        <f t="shared" ref="IY177" ca="1" si="1470">SUM(IY115:IY176)</f>
        <v>-9.6198154255638801</v>
      </c>
      <c r="IZ177" s="189">
        <f t="shared" ref="IZ177" ca="1" si="1471">SUM(IZ115:IZ176)</f>
        <v>5.8219687124255861</v>
      </c>
      <c r="JA177" s="189">
        <f t="shared" ref="JA177" ca="1" si="1472">SUM(JA115:JA176)</f>
        <v>-79.829686327677152</v>
      </c>
      <c r="JB177" s="189">
        <f t="shared" ref="JB177" ca="1" si="1473">SUM(JB115:JB176)</f>
        <v>0</v>
      </c>
      <c r="JC177" s="189">
        <f t="shared" ref="JC177" ca="1" si="1474">SUM(JC115:JC176)</f>
        <v>5.8240068965931338</v>
      </c>
      <c r="JD177" s="189">
        <f t="shared" ref="JD177" ca="1" si="1475">SUM(JD115:JD176)</f>
        <v>0</v>
      </c>
      <c r="JE177" s="189">
        <f t="shared" ref="JE177" ca="1" si="1476">SUM(JE115:JE176)</f>
        <v>5.8219687124255861</v>
      </c>
      <c r="JF177" s="189">
        <f t="shared" ref="JF177" ca="1" si="1477">SUM(JF115:JF176)</f>
        <v>0</v>
      </c>
      <c r="JG177" s="189">
        <f t="shared" ref="JG177" ca="1" si="1478">SUM(JG115:JG176)</f>
        <v>1.9529200517614915</v>
      </c>
      <c r="JH177" s="189">
        <f t="shared" ref="JH177" ca="1" si="1479">SUM(JH115:JH176)</f>
        <v>-2.0381870584310073E-3</v>
      </c>
      <c r="JT177" s="189">
        <f ca="1">SUM(JT115:JT176)</f>
        <v>-0.45113132136240541</v>
      </c>
      <c r="JU177" s="189">
        <f t="shared" ref="JU177" ca="1" si="1480">SUM(JU115:JU176)</f>
        <v>-2.0300909459363021</v>
      </c>
      <c r="JV177" s="189">
        <f t="shared" ref="JV177" ca="1" si="1481">SUM(JV115:JV176)</f>
        <v>-1.6822796440614938E-2</v>
      </c>
      <c r="JW177" s="189">
        <f t="shared" ref="JW177" ca="1" si="1482">SUM(JW115:JW176)</f>
        <v>-0.335232439863277</v>
      </c>
      <c r="JX177" s="189">
        <f t="shared" ref="JX177" ca="1" si="1483">SUM(JX115:JX176)</f>
        <v>-138.76347026471245</v>
      </c>
      <c r="JY177" s="189">
        <f t="shared" ref="JY177" ca="1" si="1484">SUM(JY115:JY176)</f>
        <v>-4.9481345721946584</v>
      </c>
      <c r="JZ177" s="189">
        <f t="shared" ref="JZ177" ca="1" si="1485">SUM(JZ115:JZ176)</f>
        <v>-143.7116048369071</v>
      </c>
      <c r="KA177" s="189">
        <f t="shared" ref="KA177" ca="1" si="1486">SUM(KA115:KA176)</f>
        <v>1.142504037739863</v>
      </c>
      <c r="KB177" s="189">
        <f t="shared" ref="KB177" ca="1" si="1487">SUM(KB115:KB176)</f>
        <v>0</v>
      </c>
      <c r="KC177" s="189">
        <f t="shared" ref="KC177" ca="1" si="1488">SUM(KC115:KC176)</f>
        <v>-2.8332775073252967</v>
      </c>
      <c r="KL177" s="189">
        <f ca="1">SUM(KL115:KL176)</f>
        <v>-4.6690964615321535</v>
      </c>
      <c r="KM177" s="189">
        <f t="shared" ref="KM177" ca="1" si="1489">SUM(KM115:KM176)</f>
        <v>0</v>
      </c>
      <c r="KN177" s="189">
        <f t="shared" ref="KN177" ca="1" si="1490">SUM(KN115:KN176)</f>
        <v>0</v>
      </c>
      <c r="KO177" s="189">
        <f t="shared" ref="KO177" ca="1" si="1491">SUM(KO115:KO176)</f>
        <v>-2.5415921900749518E-2</v>
      </c>
      <c r="KP177" s="189">
        <f t="shared" ref="KP177" ca="1" si="1492">SUM(KP115:KP176)</f>
        <v>-0.48544410893526435</v>
      </c>
      <c r="KQ177" s="189">
        <f t="shared" ref="KQ177" ca="1" si="1493">SUM(KQ115:KQ176)</f>
        <v>-5.1799564773498163</v>
      </c>
      <c r="KR177" s="189">
        <f t="shared" ref="KR177" ca="1" si="1494">SUM(KR115:KR176)</f>
        <v>0</v>
      </c>
      <c r="LA177" s="189">
        <f ca="1">SUM(LA115:LA176)</f>
        <v>-1.1166616642324266E-2</v>
      </c>
      <c r="LB177" s="189">
        <f t="shared" ref="LB177" ca="1" si="1495">SUM(LB115:LB176)</f>
        <v>-65.434145056844429</v>
      </c>
      <c r="LC177" s="189">
        <f t="shared" ref="LC177" ca="1" si="1496">SUM(LC115:LC176)</f>
        <v>-65.445311673454682</v>
      </c>
      <c r="LD177" s="189">
        <f t="shared" ref="LD177" ca="1" si="1497">SUM(LD115:LD176)</f>
        <v>-65.445311673454682</v>
      </c>
      <c r="LE177" s="189">
        <f t="shared" ref="LE177" ca="1" si="1498">SUM(LE115:LE176)</f>
        <v>0</v>
      </c>
      <c r="LF177" s="189">
        <f t="shared" ref="LF177" ca="1" si="1499">SUM(LF115:LF176)</f>
        <v>-1.1445579029987245</v>
      </c>
      <c r="LG177" s="189">
        <f t="shared" ref="LG177" ca="1" si="1500">SUM(LG115:LG176)</f>
        <v>-1.1445579029987245</v>
      </c>
      <c r="LH177" s="189">
        <f t="shared" ref="LH177" ca="1" si="1501">SUM(LH115:LH176)</f>
        <v>0.2625956695248961</v>
      </c>
      <c r="LI177" s="189">
        <f t="shared" ref="LI177" ca="1" si="1502">SUM(LI115:LI176)</f>
        <v>-0.18581557090427614</v>
      </c>
      <c r="LJ177" s="189">
        <f t="shared" ref="LJ177" ca="1" si="1503">SUM(LJ115:LJ176)</f>
        <v>0</v>
      </c>
      <c r="LK177" s="189">
        <f t="shared" ref="LK177" ca="1" si="1504">SUM(LK115:LK176)</f>
        <v>0.31481130385388462</v>
      </c>
      <c r="LW177" s="189">
        <f ca="1">SUM(LW115:LW176)</f>
        <v>0</v>
      </c>
      <c r="LX177" s="189">
        <f ca="1">SUM(LX115:LX176)</f>
        <v>0</v>
      </c>
      <c r="LY177" s="189">
        <f t="shared" ref="LY177" ca="1" si="1505">SUM(LY115:LY176)</f>
        <v>-104.1584302172373</v>
      </c>
      <c r="LZ177" s="189">
        <f t="shared" ref="LZ177" ca="1" si="1506">SUM(LZ115:LZ176)</f>
        <v>-9.6198154255638801</v>
      </c>
      <c r="MA177" s="189">
        <f t="shared" ref="MA177" ca="1" si="1507">SUM(MA115:MA176)</f>
        <v>-113.77824545509918</v>
      </c>
      <c r="MB177" s="189">
        <f t="shared" ref="MB177" ca="1" si="1508">SUM(MB115:MB176)</f>
        <v>-65.445311673454682</v>
      </c>
      <c r="MC177" s="189">
        <f t="shared" ref="MC177" ca="1" si="1509">SUM(MC115:MC176)</f>
        <v>-1.1445579029987245</v>
      </c>
      <c r="MD177" s="189">
        <f t="shared" ref="MD177" ca="1" si="1510">SUM(MD115:MD176)</f>
        <v>0</v>
      </c>
      <c r="ME177" s="189">
        <f t="shared" ref="ME177" ca="1" si="1511">SUM(ME115:ME176)</f>
        <v>0</v>
      </c>
      <c r="MF177" s="189">
        <f t="shared" ref="MF177" ca="1" si="1512">SUM(MF115:MF176)</f>
        <v>0</v>
      </c>
      <c r="MG177" s="189">
        <f t="shared" ref="MG177" ca="1" si="1513">SUM(MG115:MG176)</f>
        <v>0</v>
      </c>
      <c r="MH177" s="189">
        <f t="shared" ref="MH177" ca="1" si="1514">SUM(MH115:MH176)</f>
        <v>0</v>
      </c>
      <c r="MI177" s="189">
        <f t="shared" ref="MI177" ca="1" si="1515">SUM(MI115:MI176)</f>
        <v>0</v>
      </c>
      <c r="MJ177" s="189">
        <f t="shared" ref="MJ177" ca="1" si="1516">SUM(MJ115:MJ176)</f>
        <v>0</v>
      </c>
      <c r="MK177" s="189">
        <f t="shared" ref="MK177" ca="1" si="1517">SUM(MK115:MK176)</f>
        <v>0</v>
      </c>
      <c r="ML177" s="189">
        <f t="shared" ref="ML177" ca="1" si="1518">SUM(ML115:ML176)</f>
        <v>0</v>
      </c>
      <c r="MM177" s="189">
        <f t="shared" ref="MM177" ca="1" si="1519">SUM(MM115:MM176)</f>
        <v>0</v>
      </c>
      <c r="MN177" s="189">
        <f t="shared" ref="MN177" ca="1" si="1520">SUM(MN115:MN176)</f>
        <v>0</v>
      </c>
      <c r="MO177" s="189">
        <f t="shared" ref="MO177" ca="1" si="1521">SUM(MO115:MO176)</f>
        <v>-1.1949441109883836E-9</v>
      </c>
      <c r="NA177" s="189">
        <f ca="1">SUM(NA115:NA176)</f>
        <v>-1.3150919623892792</v>
      </c>
      <c r="NB177" s="189">
        <f t="shared" ref="NB177" ca="1" si="1522">SUM(NB115:NB176)</f>
        <v>-1.2348695968903107</v>
      </c>
      <c r="NC177" s="189">
        <f t="shared" ref="NC177" ca="1" si="1523">SUM(NC115:NC176)</f>
        <v>-8.0222366130557235E-2</v>
      </c>
      <c r="ND177" s="189">
        <f t="shared" ref="ND177" ca="1" si="1524">SUM(ND115:ND176)</f>
        <v>0</v>
      </c>
      <c r="NE177" s="189">
        <f t="shared" ref="NE177" ca="1" si="1525">SUM(NE115:NE176)</f>
        <v>0</v>
      </c>
      <c r="NF177" s="189">
        <f t="shared" ref="NF177" ca="1" si="1526">SUM(NF115:NF176)</f>
        <v>0</v>
      </c>
      <c r="NG177" s="189">
        <f t="shared" ref="NG177" ca="1" si="1527">SUM(NG115:NG176)</f>
        <v>0</v>
      </c>
      <c r="NH177" s="189">
        <f t="shared" ref="NH177" ca="1" si="1528">SUM(NH115:NH176)</f>
        <v>0</v>
      </c>
      <c r="NI177" s="189">
        <f t="shared" ref="NI177" ca="1" si="1529">SUM(NI115:NI176)</f>
        <v>0</v>
      </c>
      <c r="NJ177" s="189">
        <f t="shared" ref="NJ177" ca="1" si="1530">SUM(NJ115:NJ176)</f>
        <v>0</v>
      </c>
      <c r="NK177" s="189">
        <f t="shared" ref="NK177" ca="1" si="1531">SUM(NK115:NK176)</f>
        <v>0</v>
      </c>
      <c r="NL177" s="189">
        <f t="shared" ref="NL177" ca="1" si="1532">SUM(NL115:NL176)</f>
        <v>0</v>
      </c>
      <c r="NM177" s="189">
        <f t="shared" ref="NM177" ca="1" si="1533">SUM(NM115:NM176)</f>
        <v>0</v>
      </c>
      <c r="NN177" s="189">
        <f t="shared" ref="NN177" ca="1" si="1534">SUM(NN115:NN176)</f>
        <v>0</v>
      </c>
      <c r="NO177" s="189">
        <f t="shared" ref="NO177" ca="1" si="1535">SUM(NO115:NO176)</f>
        <v>0</v>
      </c>
      <c r="NP177" s="189">
        <f t="shared" ref="NP177" ca="1" si="1536">SUM(NP115:NP176)</f>
        <v>0</v>
      </c>
      <c r="OH177" s="189">
        <f ca="1">SUM(OH115:OH176)</f>
        <v>0</v>
      </c>
      <c r="OI177" s="189">
        <f t="shared" ref="OI177" ca="1" si="1537">SUM(OI115:OI176)</f>
        <v>0</v>
      </c>
      <c r="OJ177" s="189">
        <f t="shared" ref="OJ177" ca="1" si="1538">SUM(OJ115:OJ176)</f>
        <v>0</v>
      </c>
      <c r="OK177" s="189">
        <f t="shared" ref="OK177" ca="1" si="1539">SUM(OK115:OK176)</f>
        <v>0</v>
      </c>
      <c r="OL177" s="189">
        <f t="shared" ref="OL177" ca="1" si="1540">SUM(OL115:OL176)</f>
        <v>0</v>
      </c>
      <c r="OM177" s="189">
        <f t="shared" ref="OM177" ca="1" si="1541">SUM(OM115:OM176)</f>
        <v>0</v>
      </c>
      <c r="ON177" s="189">
        <f t="shared" ref="ON177" ca="1" si="1542">SUM(ON115:ON176)</f>
        <v>0</v>
      </c>
      <c r="OO177" s="189">
        <f t="shared" ref="OO177" ca="1" si="1543">SUM(OO115:OO176)</f>
        <v>0</v>
      </c>
      <c r="PA177" s="189">
        <f ca="1">SUM(PA115:PA176)</f>
        <v>0</v>
      </c>
      <c r="PB177" s="189">
        <f t="shared" ref="PB177" ca="1" si="1544">SUM(PB115:PB176)</f>
        <v>0</v>
      </c>
      <c r="PC177" s="189">
        <f t="shared" ref="PC177" ca="1" si="1545">SUM(PC115:PC176)</f>
        <v>0</v>
      </c>
      <c r="PD177" s="189">
        <f t="shared" ref="PD177" ca="1" si="1546">SUM(PD115:PD176)</f>
        <v>0</v>
      </c>
      <c r="PE177" s="189">
        <f t="shared" ref="PE177" ca="1" si="1547">SUM(PE115:PE176)</f>
        <v>0</v>
      </c>
      <c r="PF177" s="189">
        <f t="shared" ref="PF177" ca="1" si="1548">SUM(PF115:PF176)</f>
        <v>0</v>
      </c>
      <c r="PG177" s="189">
        <f t="shared" ref="PG177" ca="1" si="1549">SUM(PG115:PG176)</f>
        <v>0</v>
      </c>
      <c r="PH177" s="189">
        <f t="shared" ref="PH177" ca="1" si="1550">SUM(PH115:PH176)</f>
        <v>0</v>
      </c>
      <c r="PI177" s="189">
        <f t="shared" ref="PI177" ca="1" si="1551">SUM(PI115:PI176)</f>
        <v>0</v>
      </c>
      <c r="PJ177" s="189">
        <f t="shared" ref="PJ177" ca="1" si="1552">SUM(PJ115:PJ176)</f>
        <v>0</v>
      </c>
      <c r="PK177" s="189">
        <f t="shared" ref="PK177" ca="1" si="1553">SUM(PK115:PK176)</f>
        <v>0</v>
      </c>
      <c r="PW177" s="189">
        <f ca="1">SUM(PW115:PW176)</f>
        <v>0</v>
      </c>
      <c r="PX177" s="189">
        <f t="shared" ref="PX177" ca="1" si="1554">SUM(PX115:PX176)</f>
        <v>0</v>
      </c>
      <c r="PY177" s="189">
        <f t="shared" ref="PY177" ca="1" si="1555">SUM(PY115:PY176)</f>
        <v>0</v>
      </c>
      <c r="PZ177" s="189">
        <f t="shared" ref="PZ177" ca="1" si="1556">SUM(PZ115:PZ176)</f>
        <v>0</v>
      </c>
    </row>
    <row r="178" spans="1:442" x14ac:dyDescent="0.25">
      <c r="A178" s="189">
        <v>163</v>
      </c>
      <c r="B178" s="189" t="s">
        <v>1253</v>
      </c>
      <c r="C178" s="1317" t="s">
        <v>3213</v>
      </c>
      <c r="D178" s="1317" t="s">
        <v>982</v>
      </c>
      <c r="J178" s="1319">
        <f ca="1">VLOOKUP(J$1,INDIRECT(LU_MAT),$A178,FALSE)/4.1868*3600/1000000000</f>
        <v>-194.94873999999999</v>
      </c>
      <c r="K178" s="1319">
        <f ca="1">VLOOKUP(K$1,INDIRECT(LU_MAT),$A178,FALSE)/4.1868*3600/1000000000</f>
        <v>-194.94873999999999</v>
      </c>
      <c r="T178" s="1319">
        <f t="shared" ref="T178:AD178" ca="1" si="1557">VLOOKUP(T$1,INDIRECT(LU_MAT),$A178,FALSE)/4.1868*3600/1000000000</f>
        <v>-194.94873999999999</v>
      </c>
      <c r="U178" s="1319">
        <f t="shared" ca="1" si="1557"/>
        <v>-534.02994699999999</v>
      </c>
      <c r="V178" s="1319">
        <f t="shared" ca="1" si="1557"/>
        <v>-143.01464300000001</v>
      </c>
      <c r="W178" s="1319">
        <f t="shared" ca="1" si="1557"/>
        <v>-11.1920661</v>
      </c>
      <c r="X178" s="1319">
        <f t="shared" ca="1" si="1557"/>
        <v>-78.722548099999997</v>
      </c>
      <c r="Y178" s="1319">
        <f t="shared" ca="1" si="1557"/>
        <v>-978.05936400000007</v>
      </c>
      <c r="Z178" s="1319">
        <f t="shared" ca="1" si="1557"/>
        <v>-63.583458700000001</v>
      </c>
      <c r="AA178" s="1319">
        <f t="shared" ca="1" si="1557"/>
        <v>-904.11127800000008</v>
      </c>
      <c r="AB178" s="1319">
        <f t="shared" ca="1" si="1557"/>
        <v>-4.0831322300000004</v>
      </c>
      <c r="AC178" s="1319">
        <f t="shared" ca="1" si="1557"/>
        <v>-138.93089000000001</v>
      </c>
      <c r="AD178" s="1319">
        <f t="shared" ca="1" si="1557"/>
        <v>-4.0838030200000004</v>
      </c>
      <c r="AM178" s="1319">
        <f t="shared" ref="AM178:BB178" ca="1" si="1558">VLOOKUP(AM$1,INDIRECT(LU_MAT),$A178,FALSE)/4.1868*3600/1000000000</f>
        <v>-534.02994699999999</v>
      </c>
      <c r="AN178" s="1319">
        <f t="shared" ca="1" si="1558"/>
        <v>-534.02994699999999</v>
      </c>
      <c r="AO178" s="1319">
        <f t="shared" ca="1" si="1558"/>
        <v>-904.11127800000008</v>
      </c>
      <c r="AP178" s="1319">
        <f t="shared" ca="1" si="1558"/>
        <v>-904.12894400000016</v>
      </c>
      <c r="AQ178" s="1319">
        <f t="shared" ca="1" si="1558"/>
        <v>-44.362254499999999</v>
      </c>
      <c r="AR178" s="1319">
        <f t="shared" ca="1" si="1558"/>
        <v>-50.283507299999997</v>
      </c>
      <c r="AS178" s="1319">
        <f t="shared" ca="1" si="1558"/>
        <v>-14.8060826</v>
      </c>
      <c r="AT178" s="1319">
        <f t="shared" ca="1" si="1558"/>
        <v>-42.840876300000005</v>
      </c>
      <c r="AU178" s="1319">
        <f t="shared" ca="1" si="1558"/>
        <v>-60.880075599999998</v>
      </c>
      <c r="AV178" s="1319">
        <f t="shared" ca="1" si="1558"/>
        <v>-851.75683500000002</v>
      </c>
      <c r="AW178" s="1319">
        <f t="shared" ca="1" si="1558"/>
        <v>-50.614875699999999</v>
      </c>
      <c r="AX178" s="1319">
        <f t="shared" ca="1" si="1558"/>
        <v>-126.300455</v>
      </c>
      <c r="AY178" s="1319">
        <f t="shared" ca="1" si="1558"/>
        <v>-0.9690926769999999</v>
      </c>
      <c r="AZ178" s="1319">
        <f t="shared" ca="1" si="1558"/>
        <v>-569.85537899999986</v>
      </c>
      <c r="BA178" s="1319">
        <f t="shared" ca="1" si="1558"/>
        <v>-571.40958300000011</v>
      </c>
      <c r="BB178" s="1319">
        <f t="shared" ca="1" si="1558"/>
        <v>-1424.49209</v>
      </c>
      <c r="BN178" s="1319">
        <f ca="1">VLOOKUP(BN$1,INDIRECT(LU_MAT),$A178,FALSE)/4.1868*3600/1000000000</f>
        <v>-147.43875700000001</v>
      </c>
      <c r="BO178" s="1319">
        <f ca="1">VLOOKUP(BO$1,INDIRECT(LU_MAT),$A178,FALSE)/4.1868*3600/1000000000</f>
        <v>-144.21673999999999</v>
      </c>
      <c r="BP178" s="1319">
        <f ca="1">VLOOKUP(BP$1,INDIRECT(LU_MAT),$A178,FALSE)/4.1868*3600/1000000000</f>
        <v>-4.1801793000000007</v>
      </c>
      <c r="BQ178" s="1319">
        <f ca="1">VLOOKUP(BQ$1,INDIRECT(LU_MAT),$A178,FALSE)/4.1868*3600/1000000000</f>
        <v>-0.53628653800000003</v>
      </c>
      <c r="BR178" s="1319">
        <f ca="1">VLOOKUP(BR$1,INDIRECT(LU_MAT),$A178,FALSE)/4.1868*3600/1000000000</f>
        <v>-5.6321385900000007E-2</v>
      </c>
      <c r="CD178" s="1319">
        <f t="shared" ref="CD178:CO178" ca="1" si="1559">VLOOKUP(CD$1,INDIRECT(LU_MAT),$A178,FALSE)/4.1868*3600/1000000000</f>
        <v>-1424.49209</v>
      </c>
      <c r="CE178" s="1319">
        <f t="shared" ca="1" si="1559"/>
        <v>-1424.49209</v>
      </c>
      <c r="CF178" s="1319">
        <f t="shared" ca="1" si="1559"/>
        <v>-147.43875700000001</v>
      </c>
      <c r="CG178" s="1319">
        <f t="shared" ca="1" si="1559"/>
        <v>-144.21673999999999</v>
      </c>
      <c r="CH178" s="1319">
        <f t="shared" ca="1" si="1559"/>
        <v>-1474.5849900000001</v>
      </c>
      <c r="CI178" s="1319">
        <f t="shared" ca="1" si="1559"/>
        <v>-2.4132894199999999</v>
      </c>
      <c r="CJ178" s="1319">
        <f t="shared" ca="1" si="1559"/>
        <v>-0.24966345700000001</v>
      </c>
      <c r="CK178" s="1319">
        <f t="shared" ca="1" si="1559"/>
        <v>-1436.6975700000003</v>
      </c>
      <c r="CL178" s="1319">
        <f t="shared" ca="1" si="1559"/>
        <v>-40.716410200000006</v>
      </c>
      <c r="CM178" s="1319">
        <f t="shared" ca="1" si="1559"/>
        <v>-50.0930046</v>
      </c>
      <c r="CN178" s="1319">
        <f t="shared" ca="1" si="1559"/>
        <v>-1538.6266000000001</v>
      </c>
      <c r="CO178" s="1319">
        <f t="shared" ca="1" si="1559"/>
        <v>-101.931568</v>
      </c>
      <c r="DA178" s="1319">
        <f t="shared" ref="DA178:DJ178" ca="1" si="1560">VLOOKUP(DA$1,INDIRECT(LU_MAT),$A178,FALSE)/4.1868*3600/1000000000</f>
        <v>-2.7232007700000005</v>
      </c>
      <c r="DB178" s="1319">
        <f t="shared" ca="1" si="1560"/>
        <v>-1.9998255100000001E-2</v>
      </c>
      <c r="DC178" s="1319">
        <f t="shared" ca="1" si="1560"/>
        <v>-5.4123301100000008E-4</v>
      </c>
      <c r="DD178" s="1319">
        <f t="shared" ca="1" si="1560"/>
        <v>-3.6819927599999994E-3</v>
      </c>
      <c r="DE178" s="1319">
        <f t="shared" ca="1" si="1560"/>
        <v>-2.7678273700000005</v>
      </c>
      <c r="DF178" s="1319">
        <f t="shared" ca="1" si="1560"/>
        <v>-0.32120976899999998</v>
      </c>
      <c r="DG178" s="1319">
        <f t="shared" ca="1" si="1560"/>
        <v>-2.0458972499999999</v>
      </c>
      <c r="DH178" s="1319">
        <f t="shared" ca="1" si="1560"/>
        <v>-2.1281183000000006</v>
      </c>
      <c r="DI178" s="1319">
        <f t="shared" ca="1" si="1560"/>
        <v>-2.0267793300000001</v>
      </c>
      <c r="DJ178" s="1319">
        <f t="shared" ca="1" si="1560"/>
        <v>-0.101338966</v>
      </c>
      <c r="DV178" s="1319">
        <f t="shared" ref="DV178:EK178" ca="1" si="1561">VLOOKUP(DV$1,INDIRECT(LU_MAT),$A178,FALSE)/4.1868*3600/1000000000</f>
        <v>-43.249811700000002</v>
      </c>
      <c r="DW178" s="1319">
        <f t="shared" ca="1" si="1561"/>
        <v>-5.6482670500000012</v>
      </c>
      <c r="DX178" s="1319">
        <f t="shared" ca="1" si="1561"/>
        <v>-54.4640153</v>
      </c>
      <c r="DY178" s="1319">
        <f t="shared" ca="1" si="1561"/>
        <v>-2.7232007700000005</v>
      </c>
      <c r="DZ178" s="1319">
        <f t="shared" ca="1" si="1561"/>
        <v>-5.4123301100000008E-4</v>
      </c>
      <c r="EA178" s="1319">
        <f t="shared" ca="1" si="1561"/>
        <v>-2.7678273700000005</v>
      </c>
      <c r="EB178" s="1319">
        <f t="shared" ca="1" si="1561"/>
        <v>-51.740814499999999</v>
      </c>
      <c r="EC178" s="1319">
        <f t="shared" ca="1" si="1561"/>
        <v>-0.51082579800000005</v>
      </c>
      <c r="ED178" s="1319">
        <f t="shared" ca="1" si="1561"/>
        <v>-50.0930046</v>
      </c>
      <c r="EE178" s="1319">
        <f t="shared" ca="1" si="1561"/>
        <v>-7.2467179499999999</v>
      </c>
      <c r="EF178" s="1319">
        <f t="shared" ca="1" si="1561"/>
        <v>-0.112315129</v>
      </c>
      <c r="EG178" s="1319">
        <f t="shared" ca="1" si="1561"/>
        <v>-7.0326061800000006E-2</v>
      </c>
      <c r="EH178" s="1319">
        <f t="shared" ca="1" si="1561"/>
        <v>-1.8166646500000001E-2</v>
      </c>
      <c r="EI178" s="1319">
        <f t="shared" ca="1" si="1561"/>
        <v>-0.39851066899999998</v>
      </c>
      <c r="EJ178" s="1319">
        <f t="shared" ca="1" si="1561"/>
        <v>-9.2717537300000003E-3</v>
      </c>
      <c r="EK178" s="1319">
        <f t="shared" ca="1" si="1561"/>
        <v>-2.0267793300000001</v>
      </c>
      <c r="EW178" s="1319">
        <f t="shared" ref="EW178:FB178" ca="1" si="1562">VLOOKUP(EW$1,INDIRECT(LU_MAT),$A178,FALSE)/4.1868*3600/1000000000</f>
        <v>-1538.6266000000001</v>
      </c>
      <c r="EX178" s="1319">
        <f t="shared" ca="1" si="1562"/>
        <v>-1538.6266000000001</v>
      </c>
      <c r="EY178" s="1319">
        <f t="shared" ca="1" si="1562"/>
        <v>-1367.1953000000003</v>
      </c>
      <c r="EZ178" s="1319">
        <f t="shared" ca="1" si="1562"/>
        <v>-1367.1953000000003</v>
      </c>
      <c r="FA178" s="1319">
        <f t="shared" ca="1" si="1562"/>
        <v>-1.2675029600000001</v>
      </c>
      <c r="FB178" s="1319">
        <f t="shared" ca="1" si="1562"/>
        <v>-144.40833100000003</v>
      </c>
      <c r="FN178" s="1319">
        <f t="shared" ref="FN178:FX178" ca="1" si="1563">VLOOKUP(FN$1,INDIRECT(LU_MAT),$A178,FALSE)/4.1868*3600/1000000000</f>
        <v>-4.1801793000000007</v>
      </c>
      <c r="FO178" s="1319">
        <f t="shared" ca="1" si="1563"/>
        <v>-40.716410200000006</v>
      </c>
      <c r="FP178" s="1319">
        <f t="shared" ca="1" si="1563"/>
        <v>-1.2675029600000001</v>
      </c>
      <c r="FQ178" s="1319">
        <f t="shared" ca="1" si="1563"/>
        <v>-144.40833100000003</v>
      </c>
      <c r="FR178" s="1319">
        <f t="shared" ca="1" si="1563"/>
        <v>-39.855619599999997</v>
      </c>
      <c r="FS178" s="1319">
        <f t="shared" ca="1" si="1563"/>
        <v>-138.93089000000001</v>
      </c>
      <c r="FT178" s="1319">
        <f t="shared" ca="1" si="1563"/>
        <v>-15.387356799999999</v>
      </c>
      <c r="FU178" s="1319">
        <f t="shared" ca="1" si="1563"/>
        <v>-46.164092500000002</v>
      </c>
      <c r="FV178" s="1319">
        <f t="shared" ca="1" si="1563"/>
        <v>-101.62082100000002</v>
      </c>
      <c r="FW178" s="1319">
        <f t="shared" ca="1" si="1563"/>
        <v>-45.885069299999998</v>
      </c>
      <c r="FX178" s="1319">
        <f t="shared" ca="1" si="1563"/>
        <v>-101.931568</v>
      </c>
      <c r="GJ178" s="1319">
        <f t="shared" ref="GJ178:GQ178" ca="1" si="1564">VLOOKUP(GJ$1,INDIRECT(LU_MAT),$A178,FALSE)/4.1868*3600/1000000000</f>
        <v>-39.855619599999997</v>
      </c>
      <c r="GK178" s="1319">
        <f t="shared" ca="1" si="1564"/>
        <v>-39.855619599999997</v>
      </c>
      <c r="GL178" s="1319">
        <f t="shared" ca="1" si="1564"/>
        <v>-13.044587699999997</v>
      </c>
      <c r="GM178" s="1319">
        <f t="shared" ca="1" si="1564"/>
        <v>-26.8110319</v>
      </c>
      <c r="GN178" s="1319">
        <f t="shared" ca="1" si="1564"/>
        <v>-31.656502100000001</v>
      </c>
      <c r="GO178" s="1319">
        <f t="shared" ca="1" si="1564"/>
        <v>-15.3873373</v>
      </c>
      <c r="GP178" s="1319">
        <f t="shared" ca="1" si="1564"/>
        <v>-26.8110319</v>
      </c>
      <c r="GQ178" s="1319">
        <f t="shared" ca="1" si="1564"/>
        <v>-15.387356799999999</v>
      </c>
      <c r="HC178" s="1319">
        <f t="shared" ref="HC178:HH178" ca="1" si="1565">VLOOKUP(HC$1,INDIRECT(LU_MAT),$A178,FALSE)/4.1868*3600/1000000000</f>
        <v>-1367.1953000000003</v>
      </c>
      <c r="HD178" s="1319">
        <f t="shared" ca="1" si="1565"/>
        <v>-1290.9430400000003</v>
      </c>
      <c r="HE178" s="1319">
        <f t="shared" ca="1" si="1565"/>
        <v>-0.76064300100000004</v>
      </c>
      <c r="HF178" s="1319">
        <f t="shared" ca="1" si="1565"/>
        <v>-0.57078954699999984</v>
      </c>
      <c r="HG178" s="1319">
        <f t="shared" ca="1" si="1565"/>
        <v>-76.491408399999997</v>
      </c>
      <c r="HH178" s="1319">
        <f t="shared" ca="1" si="1565"/>
        <v>-1290.9430400000003</v>
      </c>
      <c r="HT178" s="1319">
        <f t="shared" ref="HT178:IE178" ca="1" si="1566">VLOOKUP(HT$1,INDIRECT(LU_MAT),$A178,FALSE)/4.1868*3600/1000000000</f>
        <v>-126.300455</v>
      </c>
      <c r="HU178" s="1319">
        <f t="shared" ca="1" si="1566"/>
        <v>-1290.9430400000003</v>
      </c>
      <c r="HV178" s="1319">
        <f t="shared" ca="1" si="1566"/>
        <v>-1502.4783199999999</v>
      </c>
      <c r="HW178" s="1319">
        <f t="shared" ca="1" si="1566"/>
        <v>-1502.4783199999999</v>
      </c>
      <c r="HX178" s="1319">
        <f t="shared" ca="1" si="1566"/>
        <v>-1357.36304</v>
      </c>
      <c r="HY178" s="1319">
        <f t="shared" ca="1" si="1566"/>
        <v>-104.385608</v>
      </c>
      <c r="HZ178" s="1319">
        <f t="shared" ca="1" si="1566"/>
        <v>-38.907538700000003</v>
      </c>
      <c r="IA178" s="1319">
        <f t="shared" ca="1" si="1566"/>
        <v>-3.7254776900000001E-2</v>
      </c>
      <c r="IB178" s="1319">
        <f t="shared" ca="1" si="1566"/>
        <v>-17.7417874</v>
      </c>
      <c r="IC178" s="1319">
        <f t="shared" ca="1" si="1566"/>
        <v>-557.27290100000016</v>
      </c>
      <c r="ID178" s="1319">
        <f t="shared" ca="1" si="1566"/>
        <v>-557.27290100000016</v>
      </c>
      <c r="IE178" s="1319">
        <f t="shared" ca="1" si="1566"/>
        <v>-66.951625799999988</v>
      </c>
      <c r="IQ178" s="1319">
        <f t="shared" ref="IQ178:JH178" ca="1" si="1567">VLOOKUP(IQ$1,INDIRECT(LU_MAT),$A178,FALSE)/4.1868*3600/1000000000</f>
        <v>-1357.36304</v>
      </c>
      <c r="IR178" s="1319">
        <f t="shared" ca="1" si="1567"/>
        <v>-104.385608</v>
      </c>
      <c r="IS178" s="1319">
        <f t="shared" ca="1" si="1567"/>
        <v>-337.64970499999993</v>
      </c>
      <c r="IT178" s="1319">
        <f t="shared" ca="1" si="1567"/>
        <v>-442.03538300000002</v>
      </c>
      <c r="IU178" s="1319">
        <f t="shared" ca="1" si="1567"/>
        <v>-410.665414</v>
      </c>
      <c r="IV178" s="1319">
        <f t="shared" ca="1" si="1567"/>
        <v>-9893.5943499999994</v>
      </c>
      <c r="IW178" s="1319">
        <f t="shared" ca="1" si="1567"/>
        <v>-8103.5929299999998</v>
      </c>
      <c r="IX178" s="1319">
        <f t="shared" ca="1" si="1567"/>
        <v>-22.201983899999998</v>
      </c>
      <c r="IY178" s="1319">
        <f t="shared" ca="1" si="1567"/>
        <v>-31.369961199999995</v>
      </c>
      <c r="IZ178" s="1319">
        <f t="shared" ca="1" si="1567"/>
        <v>-1452.3625999999999</v>
      </c>
      <c r="JA178" s="1319">
        <f t="shared" ca="1" si="1567"/>
        <v>-8441.242650000002</v>
      </c>
      <c r="JB178" s="1319">
        <f t="shared" ca="1" si="1567"/>
        <v>-1426.5100700000003</v>
      </c>
      <c r="JC178" s="1319">
        <f t="shared" ca="1" si="1567"/>
        <v>-25.769215200000005</v>
      </c>
      <c r="JD178" s="1319">
        <f t="shared" ca="1" si="1567"/>
        <v>-1156.26278</v>
      </c>
      <c r="JE178" s="1319">
        <f t="shared" ca="1" si="1567"/>
        <v>-296.09908000000001</v>
      </c>
      <c r="JF178" s="1319">
        <f t="shared" ca="1" si="1567"/>
        <v>-14.013872299999999</v>
      </c>
      <c r="JG178" s="1319">
        <f t="shared" ca="1" si="1567"/>
        <v>-12.3048532</v>
      </c>
      <c r="JH178" s="1319">
        <f t="shared" ca="1" si="1567"/>
        <v>-3.7254776900000001E-2</v>
      </c>
      <c r="JT178" s="1319">
        <f t="shared" ref="JT178:KC178" ca="1" si="1568">VLOOKUP(JT$1,INDIRECT(LU_MAT),$A178,FALSE)/4.1868*3600/1000000000</f>
        <v>-0.53628653800000003</v>
      </c>
      <c r="JU178" s="1319">
        <f t="shared" ca="1" si="1568"/>
        <v>-2.4132894199999999</v>
      </c>
      <c r="JV178" s="1319">
        <f t="shared" ca="1" si="1568"/>
        <v>-1.9998255100000001E-2</v>
      </c>
      <c r="JW178" s="1319">
        <f t="shared" ca="1" si="1568"/>
        <v>-0.39851066899999998</v>
      </c>
      <c r="JX178" s="1319">
        <f t="shared" ca="1" si="1568"/>
        <v>-31.656502100000001</v>
      </c>
      <c r="JY178" s="1319">
        <f t="shared" ca="1" si="1568"/>
        <v>-0.24855882100000004</v>
      </c>
      <c r="JZ178" s="1319">
        <f t="shared" ca="1" si="1568"/>
        <v>-31.905109300000003</v>
      </c>
      <c r="KA178" s="1319">
        <f t="shared" ca="1" si="1568"/>
        <v>-4.0838030200000004</v>
      </c>
      <c r="KB178" s="1319">
        <f t="shared" ca="1" si="1568"/>
        <v>-30.383301599999999</v>
      </c>
      <c r="KC178" s="1319">
        <f t="shared" ca="1" si="1568"/>
        <v>-3.3680848800000001</v>
      </c>
      <c r="KL178" s="1319">
        <f t="shared" ref="KL178:KR178" ca="1" si="1569">VLOOKUP(KL$1,INDIRECT(LU_MAT),$A178,FALSE)/4.1868*3600/1000000000</f>
        <v>-0.9690926769999999</v>
      </c>
      <c r="KM178" s="1319">
        <f t="shared" ca="1" si="1569"/>
        <v>-5.6321385900000007E-2</v>
      </c>
      <c r="KN178" s="1319">
        <f t="shared" ca="1" si="1569"/>
        <v>-0.24966345700000001</v>
      </c>
      <c r="KO178" s="1319">
        <f t="shared" ca="1" si="1569"/>
        <v>-3.6819927599999994E-3</v>
      </c>
      <c r="KP178" s="1319">
        <f t="shared" ca="1" si="1569"/>
        <v>-7.0326061800000006E-2</v>
      </c>
      <c r="KQ178" s="1319">
        <f t="shared" ca="1" si="1569"/>
        <v>-1.0751240500000003</v>
      </c>
      <c r="KR178" s="1319">
        <f t="shared" ca="1" si="1569"/>
        <v>-0.30598484300000001</v>
      </c>
      <c r="LA178" s="1319">
        <f t="shared" ref="LA178:LK178" ca="1" si="1570">VLOOKUP(LA$1,INDIRECT(LU_MAT),$A178,FALSE)/4.1868*3600/1000000000</f>
        <v>-0.57078954699999984</v>
      </c>
      <c r="LB178" s="1319">
        <f t="shared" ca="1" si="1570"/>
        <v>-38.907538700000003</v>
      </c>
      <c r="LC178" s="1319">
        <f t="shared" ca="1" si="1570"/>
        <v>-57.335923100000002</v>
      </c>
      <c r="LD178" s="1319">
        <f t="shared" ca="1" si="1570"/>
        <v>-57.335923100000002</v>
      </c>
      <c r="LE178" s="1319">
        <f t="shared" ca="1" si="1570"/>
        <v>-17.863621299999998</v>
      </c>
      <c r="LF178" s="1319">
        <f t="shared" ca="1" si="1570"/>
        <v>-331.32437900000002</v>
      </c>
      <c r="LG178" s="1319">
        <f t="shared" ca="1" si="1570"/>
        <v>-331.32440600000007</v>
      </c>
      <c r="LH178" s="1319">
        <f t="shared" ca="1" si="1570"/>
        <v>-14.988352000000004</v>
      </c>
      <c r="LI178" s="1319">
        <f t="shared" ca="1" si="1570"/>
        <v>-331.55633499999993</v>
      </c>
      <c r="LJ178" s="1319">
        <f t="shared" ca="1" si="1570"/>
        <v>-13.5575113</v>
      </c>
      <c r="LK178" s="1319">
        <f t="shared" ca="1" si="1570"/>
        <v>-2.8432400900000001</v>
      </c>
      <c r="LW178" s="1319">
        <f t="shared" ref="LW178:MO178" ca="1" si="1571">VLOOKUP(LW$1,INDIRECT(LU_MAT),$A178,FALSE)/4.1868*3600/1000000000</f>
        <v>-11.192805900000002</v>
      </c>
      <c r="LX178" s="1319">
        <f t="shared" ca="1" si="1571"/>
        <v>-78.727751799999979</v>
      </c>
      <c r="LY178" s="1319">
        <f t="shared" ca="1" si="1571"/>
        <v>-76.491408399999997</v>
      </c>
      <c r="LZ178" s="1319">
        <f t="shared" ca="1" si="1571"/>
        <v>-31.369961199999995</v>
      </c>
      <c r="MA178" s="1319">
        <f t="shared" ca="1" si="1571"/>
        <v>-107.85352</v>
      </c>
      <c r="MB178" s="1319">
        <f t="shared" ca="1" si="1571"/>
        <v>-57.335923100000002</v>
      </c>
      <c r="MC178" s="1319">
        <f t="shared" ca="1" si="1571"/>
        <v>-331.32437900000002</v>
      </c>
      <c r="MD178" s="1319">
        <f t="shared" ca="1" si="1571"/>
        <v>-752.85093900000004</v>
      </c>
      <c r="ME178" s="1319">
        <f t="shared" ca="1" si="1571"/>
        <v>-96.547583000000003</v>
      </c>
      <c r="MF178" s="1319">
        <f t="shared" ca="1" si="1571"/>
        <v>-916.98949000000005</v>
      </c>
      <c r="MG178" s="1319">
        <f t="shared" ca="1" si="1571"/>
        <v>-916.995182</v>
      </c>
      <c r="MH178" s="1319">
        <f t="shared" ca="1" si="1571"/>
        <v>-240.63628</v>
      </c>
      <c r="MI178" s="1319">
        <f t="shared" ca="1" si="1571"/>
        <v>-0.33826133300000005</v>
      </c>
      <c r="MJ178" s="1319">
        <f t="shared" ca="1" si="1571"/>
        <v>-332.80571600000002</v>
      </c>
      <c r="MK178" s="1319">
        <f t="shared" ca="1" si="1571"/>
        <v>-384.60728899999998</v>
      </c>
      <c r="ML178" s="1319">
        <f t="shared" ca="1" si="1571"/>
        <v>-384.59615300000002</v>
      </c>
      <c r="MM178" s="1319">
        <f t="shared" ca="1" si="1571"/>
        <v>-17.7417874</v>
      </c>
      <c r="MN178" s="1319">
        <f t="shared" ca="1" si="1571"/>
        <v>-114.10304999999998</v>
      </c>
      <c r="MO178" s="1319">
        <f t="shared" ca="1" si="1571"/>
        <v>-1.10945974E-10</v>
      </c>
      <c r="NA178" s="1319">
        <f t="shared" ref="NA178:NP178" ca="1" si="1572">VLOOKUP(NA$1,INDIRECT(LU_MAT),$A178,FALSE)/4.1868*3600/1000000000</f>
        <v>-63.583458700000001</v>
      </c>
      <c r="NB178" s="1319">
        <f t="shared" ca="1" si="1572"/>
        <v>-50.283507299999997</v>
      </c>
      <c r="NC178" s="1319">
        <f t="shared" ca="1" si="1572"/>
        <v>-14.8060826</v>
      </c>
      <c r="ND178" s="1319">
        <f t="shared" ca="1" si="1572"/>
        <v>-133.78917000000001</v>
      </c>
      <c r="NE178" s="1319">
        <f t="shared" ca="1" si="1572"/>
        <v>-783.10873400000014</v>
      </c>
      <c r="NF178" s="1319">
        <f t="shared" ca="1" si="1572"/>
        <v>-916.902379</v>
      </c>
      <c r="NG178" s="1319">
        <f t="shared" ca="1" si="1572"/>
        <v>-133.78917000000001</v>
      </c>
      <c r="NH178" s="1319">
        <f t="shared" ca="1" si="1572"/>
        <v>0</v>
      </c>
      <c r="NI178" s="1319">
        <f t="shared" ca="1" si="1572"/>
        <v>-917.31775700000014</v>
      </c>
      <c r="NJ178" s="1319">
        <f t="shared" ca="1" si="1572"/>
        <v>-916.98949000000005</v>
      </c>
      <c r="NK178" s="1319">
        <f t="shared" ca="1" si="1572"/>
        <v>-0.33826133300000005</v>
      </c>
      <c r="NL178" s="1319">
        <f t="shared" ca="1" si="1572"/>
        <v>-384.59615300000002</v>
      </c>
      <c r="NM178" s="1319">
        <f t="shared" ca="1" si="1572"/>
        <v>-17.7417874</v>
      </c>
      <c r="NN178" s="1319">
        <f t="shared" ca="1" si="1572"/>
        <v>-8.2739833700000016</v>
      </c>
      <c r="NO178" s="1319">
        <f t="shared" ca="1" si="1572"/>
        <v>-114.10304999999998</v>
      </c>
      <c r="NP178" s="1319">
        <f t="shared" ca="1" si="1572"/>
        <v>-284.40012000000007</v>
      </c>
      <c r="OH178" s="1319">
        <f t="shared" ref="OH178:OO178" ca="1" si="1573">VLOOKUP(OH$1,INDIRECT(LU_MAT),$A178,FALSE)/4.1868*3600/1000000000</f>
        <v>-45154.669399999999</v>
      </c>
      <c r="OI178" s="1319">
        <f t="shared" ca="1" si="1573"/>
        <v>-587.20378600000004</v>
      </c>
      <c r="OJ178" s="1319">
        <f t="shared" ca="1" si="1573"/>
        <v>-66.946429900000012</v>
      </c>
      <c r="OK178" s="1319">
        <f t="shared" ca="1" si="1573"/>
        <v>-45154.669399999999</v>
      </c>
      <c r="OL178" s="1319">
        <f t="shared" ca="1" si="1573"/>
        <v>-411.18772100000001</v>
      </c>
      <c r="OM178" s="1319">
        <f t="shared" ca="1" si="1573"/>
        <v>-854.496128</v>
      </c>
      <c r="ON178" s="1319">
        <f t="shared" ca="1" si="1573"/>
        <v>-5200.2095600000011</v>
      </c>
      <c r="OO178" s="1319">
        <f t="shared" ca="1" si="1573"/>
        <v>-5200.2095600000011</v>
      </c>
      <c r="PA178" s="1319">
        <f t="shared" ref="PA178:PK178" ca="1" si="1574">VLOOKUP(PA$1,INDIRECT(LU_MAT),$A178,FALSE)/4.1868*3600/1000000000</f>
        <v>-534.02994699999999</v>
      </c>
      <c r="PB178" s="1319">
        <f t="shared" ca="1" si="1574"/>
        <v>-569.85537899999986</v>
      </c>
      <c r="PC178" s="1319">
        <f t="shared" ca="1" si="1574"/>
        <v>-43.249811700000002</v>
      </c>
      <c r="PD178" s="1319">
        <f t="shared" ca="1" si="1574"/>
        <v>-101.62082100000002</v>
      </c>
      <c r="PE178" s="1319">
        <f t="shared" ca="1" si="1574"/>
        <v>-1426.5100700000003</v>
      </c>
      <c r="PF178" s="1319">
        <f t="shared" ca="1" si="1574"/>
        <v>-133.72324699999999</v>
      </c>
      <c r="PG178" s="1319">
        <f t="shared" ca="1" si="1574"/>
        <v>-13.550799</v>
      </c>
      <c r="PH178" s="1319">
        <f t="shared" ca="1" si="1574"/>
        <v>-557.27290100000016</v>
      </c>
      <c r="PI178" s="1319">
        <f t="shared" ca="1" si="1574"/>
        <v>-1983.78297</v>
      </c>
      <c r="PJ178" s="1319">
        <f t="shared" ca="1" si="1574"/>
        <v>-0.54918190200000017</v>
      </c>
      <c r="PK178" s="1319">
        <f t="shared" ca="1" si="1574"/>
        <v>-587.20378600000004</v>
      </c>
      <c r="PW178" s="1319">
        <f ca="1">VLOOKUP(PW$1,INDIRECT(LU_MAT),$A178,FALSE)/4.1868*3600/1000000000</f>
        <v>-0.54918190200000017</v>
      </c>
      <c r="PX178" s="1319">
        <f ca="1">VLOOKUP(PX$1,INDIRECT(LU_MAT),$A178,FALSE)/4.1868*3600/1000000000</f>
        <v>-0.46486432100000002</v>
      </c>
      <c r="PY178" s="1319">
        <f ca="1">VLOOKUP(PY$1,INDIRECT(LU_MAT),$A178,FALSE)/4.1868*3600/1000000000</f>
        <v>-0.54918190200000017</v>
      </c>
      <c r="PZ178" s="1319">
        <f ca="1">VLOOKUP(PZ$1,INDIRECT(LU_MAT),$A178,FALSE)/4.1868*3600/1000000000</f>
        <v>-0.54918190200000017</v>
      </c>
    </row>
    <row r="179" spans="1:442" x14ac:dyDescent="0.25">
      <c r="C179" s="1317" t="s">
        <v>1170</v>
      </c>
      <c r="D179" s="1317"/>
      <c r="J179" s="189">
        <f ca="1">J178-J42</f>
        <v>0</v>
      </c>
      <c r="K179" s="189">
        <f t="shared" ref="K179" ca="1" si="1575">K178-K42</f>
        <v>0</v>
      </c>
      <c r="T179" s="189">
        <f ca="1">T178-T42</f>
        <v>0</v>
      </c>
      <c r="U179" s="189">
        <f t="shared" ref="U179:AD179" ca="1" si="1576">U178-U42</f>
        <v>-9.683936000000017</v>
      </c>
      <c r="V179" s="189">
        <f t="shared" ca="1" si="1576"/>
        <v>-3.2670280000000105</v>
      </c>
      <c r="W179" s="189">
        <f t="shared" ca="1" si="1576"/>
        <v>-0.38821420000000018</v>
      </c>
      <c r="X179" s="189">
        <f t="shared" ca="1" si="1576"/>
        <v>-2.7306138999999945</v>
      </c>
      <c r="Y179" s="189">
        <f t="shared" ca="1" si="1576"/>
        <v>-35.660962999999924</v>
      </c>
      <c r="Z179" s="189">
        <f t="shared" ca="1" si="1576"/>
        <v>-1.5748421999999991</v>
      </c>
      <c r="AA179" s="189">
        <f t="shared" ca="1" si="1576"/>
        <v>-23.922610000000077</v>
      </c>
      <c r="AB179" s="189">
        <f t="shared" ca="1" si="1576"/>
        <v>1.6546099999992236E-3</v>
      </c>
      <c r="AC179" s="189">
        <f t="shared" ca="1" si="1576"/>
        <v>-3.2680620000000147</v>
      </c>
      <c r="AD179" s="189">
        <f t="shared" ca="1" si="1576"/>
        <v>2.0609000000000322E-3</v>
      </c>
      <c r="AM179" s="189">
        <f ca="1">AM178-AM42</f>
        <v>-1.0389760000000479</v>
      </c>
      <c r="AN179" s="189">
        <f t="shared" ref="AN179" ca="1" si="1577">AN178-AN42</f>
        <v>-9.683936000000017</v>
      </c>
      <c r="AO179" s="189">
        <f t="shared" ref="AO179" ca="1" si="1578">AO178-AO42</f>
        <v>-23.922610000000077</v>
      </c>
      <c r="AP179" s="189">
        <f t="shared" ref="AP179" ca="1" si="1579">AP178-AP42</f>
        <v>-24.049476000000141</v>
      </c>
      <c r="AQ179" s="189">
        <f t="shared" ref="AQ179" ca="1" si="1580">AQ178-AQ42</f>
        <v>-0.68155269999999746</v>
      </c>
      <c r="AR179" s="189">
        <f t="shared" ref="AR179" ca="1" si="1581">AR178-AR42</f>
        <v>-0.53002799999999439</v>
      </c>
      <c r="AS179" s="189">
        <f t="shared" ref="AS179" ca="1" si="1582">AS178-AS42</f>
        <v>-0.28914069999999725</v>
      </c>
      <c r="AT179" s="189">
        <f t="shared" ref="AT179" ca="1" si="1583">AT178-AT42</f>
        <v>-0.45308510000000268</v>
      </c>
      <c r="AU179" s="189">
        <f t="shared" ref="AU179" ca="1" si="1584">AU178-AU42</f>
        <v>-1.1887254999999968</v>
      </c>
      <c r="AV179" s="189">
        <f t="shared" ref="AV179" ca="1" si="1585">AV178-AV42</f>
        <v>-15.601819999999975</v>
      </c>
      <c r="AW179" s="189">
        <f t="shared" ref="AW179" ca="1" si="1586">AW178-AW42</f>
        <v>-0.98561149999999742</v>
      </c>
      <c r="AX179" s="189">
        <f t="shared" ref="AX179" ca="1" si="1587">AX178-AX42</f>
        <v>-2.4628989999999789</v>
      </c>
      <c r="AY179" s="189">
        <f t="shared" ref="AY179" ca="1" si="1588">AY178-AY42</f>
        <v>7.7872300000002559E-3</v>
      </c>
      <c r="AZ179" s="189">
        <f t="shared" ref="AZ179" ca="1" si="1589">AZ178-AZ42</f>
        <v>-1.1086749999998347</v>
      </c>
      <c r="BA179" s="189">
        <f t="shared" ref="BA179" ca="1" si="1590">BA178-BA42</f>
        <v>-1.6859990000001517</v>
      </c>
      <c r="BB179" s="189">
        <f t="shared" ref="BB179" ca="1" si="1591">BB178-BB42</f>
        <v>-18.812729999999874</v>
      </c>
      <c r="BN179" s="189">
        <f ca="1">BN178-BN42</f>
        <v>-0.25493900000000735</v>
      </c>
      <c r="BO179" s="189">
        <f t="shared" ref="BO179" ca="1" si="1592">BO178-BO42</f>
        <v>-0.27684800000000109</v>
      </c>
      <c r="BP179" s="189">
        <f t="shared" ref="BP179" ca="1" si="1593">BP178-BP42</f>
        <v>-2.8965200000010682E-3</v>
      </c>
      <c r="BQ179" s="189">
        <f t="shared" ref="BQ179" ca="1" si="1594">BQ178-BQ42</f>
        <v>7.1062899999996265E-4</v>
      </c>
      <c r="BR179" s="189">
        <f t="shared" ref="BR179" ca="1" si="1595">BR178-BR42</f>
        <v>1.2431099999994644E-5</v>
      </c>
      <c r="CD179" s="189">
        <f ca="1">CD178-CD42</f>
        <v>-18.812729999999874</v>
      </c>
      <c r="CE179" s="189">
        <f t="shared" ref="CE179" ca="1" si="1596">CE178-CE42</f>
        <v>-8.1739299999999275</v>
      </c>
      <c r="CF179" s="189">
        <f t="shared" ref="CF179" ca="1" si="1597">CF178-CF42</f>
        <v>-0.25493900000000735</v>
      </c>
      <c r="CG179" s="189">
        <f t="shared" ref="CG179" ca="1" si="1598">CG178-CG42</f>
        <v>-0.27684800000000109</v>
      </c>
      <c r="CH179" s="189">
        <f t="shared" ref="CH179" ca="1" si="1599">CH178-CH42</f>
        <v>-8.3303100000000541</v>
      </c>
      <c r="CI179" s="189">
        <f t="shared" ref="CI179" ca="1" si="1600">CI178-CI42</f>
        <v>3.1978299999999571E-3</v>
      </c>
      <c r="CJ179" s="189">
        <f t="shared" ref="CJ179" ca="1" si="1601">CJ178-CJ42</f>
        <v>5.5104999999999738E-5</v>
      </c>
      <c r="CK179" s="189">
        <f t="shared" ref="CK179" ca="1" si="1602">CK178-CK42</f>
        <v>-2.503280000000359</v>
      </c>
      <c r="CL179" s="189">
        <f t="shared" ref="CL179" ca="1" si="1603">CL178-CL42</f>
        <v>-2.822820000000803E-2</v>
      </c>
      <c r="CM179" s="189">
        <f t="shared" ref="CM179" ca="1" si="1604">CM178-CM42</f>
        <v>-4.4830699999998558E-2</v>
      </c>
      <c r="CN179" s="189">
        <f t="shared" ref="CN179" ca="1" si="1605">CN178-CN42</f>
        <v>-2.8311000000001059</v>
      </c>
      <c r="CO179" s="189">
        <f t="shared" ref="CO179" ca="1" si="1606">CO178-CO42</f>
        <v>-0.2305640000000011</v>
      </c>
      <c r="DA179" s="189">
        <f ca="1">DA178-DA42</f>
        <v>-2.5691010000000514E-2</v>
      </c>
      <c r="DB179" s="189">
        <f t="shared" ref="DB179" ca="1" si="1607">DB178-DB42</f>
        <v>2.649949999999901E-5</v>
      </c>
      <c r="DC179" s="189">
        <f t="shared" ref="DC179" ca="1" si="1608">DC178-DC42</f>
        <v>-2.1853600000009809E-7</v>
      </c>
      <c r="DD179" s="189">
        <f t="shared" ref="DD179" ca="1" si="1609">DD178-DD42</f>
        <v>-8.5667699999997411E-6</v>
      </c>
      <c r="DE179" s="189">
        <f t="shared" ref="DE179" ca="1" si="1610">DE178-DE42</f>
        <v>-2.1042700000002412E-3</v>
      </c>
      <c r="DF179" s="189">
        <f t="shared" ref="DF179" ca="1" si="1611">DF178-DF42</f>
        <v>-1.1652959999999823E-3</v>
      </c>
      <c r="DG179" s="189">
        <f t="shared" ref="DG179" ca="1" si="1612">DG178-DG42</f>
        <v>0</v>
      </c>
      <c r="DH179" s="189">
        <f t="shared" ref="DH179" ca="1" si="1613">DH178-DH42</f>
        <v>-0.12105616000000063</v>
      </c>
      <c r="DI179" s="189">
        <f t="shared" ref="DI179" ca="1" si="1614">DI178-DI42</f>
        <v>-0.11529158000000006</v>
      </c>
      <c r="DJ179" s="189">
        <f t="shared" ref="DJ179" ca="1" si="1615">DJ178-DJ42</f>
        <v>-5.7645783000000034E-3</v>
      </c>
      <c r="DV179" s="189">
        <f ca="1">DV178-DV42</f>
        <v>-8.4144100000003164E-2</v>
      </c>
      <c r="DW179" s="189">
        <f t="shared" ref="DW179" ca="1" si="1616">DW178-DW42</f>
        <v>-4.7420800000015362E-3</v>
      </c>
      <c r="DX179" s="189">
        <f t="shared" ref="DX179" ca="1" si="1617">DX178-DX42</f>
        <v>-0.51382009999999667</v>
      </c>
      <c r="DY179" s="189">
        <f t="shared" ref="DY179" ca="1" si="1618">DY178-DY42</f>
        <v>-2.5691010000000514E-2</v>
      </c>
      <c r="DZ179" s="189">
        <f t="shared" ref="DZ179" ca="1" si="1619">DZ178-DZ42</f>
        <v>-2.1853600000009809E-7</v>
      </c>
      <c r="EA179" s="189">
        <f t="shared" ref="EA179" ca="1" si="1620">EA178-EA42</f>
        <v>-2.1042700000002412E-3</v>
      </c>
      <c r="EB179" s="189">
        <f t="shared" ref="EB179" ca="1" si="1621">EB178-EB42</f>
        <v>-0.48812910000000187</v>
      </c>
      <c r="EC179" s="189">
        <f t="shared" ref="EC179" ca="1" si="1622">EC178-EC42</f>
        <v>-1.2419630000000126E-3</v>
      </c>
      <c r="ED179" s="189">
        <f t="shared" ref="ED179" ca="1" si="1623">ED178-ED42</f>
        <v>-4.4830699999998558E-2</v>
      </c>
      <c r="EE179" s="189">
        <f t="shared" ref="EE179" ca="1" si="1624">EE178-EE42</f>
        <v>-2.3336480000000215E-2</v>
      </c>
      <c r="EF179" s="189">
        <f t="shared" ref="EF179" ca="1" si="1625">EF178-EF42</f>
        <v>1.6476699999999622E-4</v>
      </c>
      <c r="EG179" s="189">
        <f t="shared" ref="EG179" ca="1" si="1626">EG178-EG42</f>
        <v>-1.6362540000000592E-4</v>
      </c>
      <c r="EH179" s="189">
        <f t="shared" ref="EH179" ca="1" si="1627">EH178-EH42</f>
        <v>-7.3351999999998752E-6</v>
      </c>
      <c r="EI179" s="189">
        <f t="shared" ref="EI179" ca="1" si="1628">EI178-EI42</f>
        <v>5.2806300000002304E-4</v>
      </c>
      <c r="EJ179" s="189">
        <f t="shared" ref="EJ179" ca="1" si="1629">EJ178-EJ42</f>
        <v>2.5780700000000226E-5</v>
      </c>
      <c r="EK179" s="189">
        <f t="shared" ref="EK179" ca="1" si="1630">EK178-EK42</f>
        <v>-0.11529158000000006</v>
      </c>
      <c r="EW179" s="189">
        <f ca="1">EW178-EW42</f>
        <v>-2.8311000000001059</v>
      </c>
      <c r="EX179" s="189">
        <f t="shared" ref="EX179" ca="1" si="1631">EX178-EX42</f>
        <v>-32.250510000000077</v>
      </c>
      <c r="EY179" s="189">
        <f t="shared" ref="EY179" ca="1" si="1632">EY178-EY42</f>
        <v>-36.8569200000004</v>
      </c>
      <c r="EZ179" s="189">
        <f t="shared" ref="EZ179" ca="1" si="1633">EZ178-EZ42</f>
        <v>-7.437570000000278</v>
      </c>
      <c r="FA179" s="189">
        <f t="shared" ref="FA179" ca="1" si="1634">FA178-FA42</f>
        <v>-4.9448400000000614E-3</v>
      </c>
      <c r="FB179" s="189">
        <f t="shared" ref="FB179" ca="1" si="1635">FB178-FB42</f>
        <v>-2.2617320000000234</v>
      </c>
      <c r="FN179" s="189">
        <f ca="1">FN178-FN42</f>
        <v>-2.8965200000010682E-3</v>
      </c>
      <c r="FO179" s="189">
        <f t="shared" ref="FO179" ca="1" si="1636">FO178-FO42</f>
        <v>-2.822820000000803E-2</v>
      </c>
      <c r="FP179" s="189">
        <f t="shared" ref="FP179" ca="1" si="1637">FP178-FP42</f>
        <v>-4.9448400000000614E-3</v>
      </c>
      <c r="FQ179" s="189">
        <f t="shared" ref="FQ179" ca="1" si="1638">FQ178-FQ42</f>
        <v>-2.2617320000000234</v>
      </c>
      <c r="FR179" s="189">
        <f t="shared" ref="FR179" ca="1" si="1639">FR178-FR42</f>
        <v>-0.71210439999999409</v>
      </c>
      <c r="FS179" s="189">
        <f t="shared" ref="FS179" ca="1" si="1640">FS178-FS42</f>
        <v>-3.2680620000000147</v>
      </c>
      <c r="FT179" s="189">
        <f t="shared" ref="FT179" ca="1" si="1641">FT178-FT42</f>
        <v>-0.27129589999999837</v>
      </c>
      <c r="FU179" s="189">
        <f t="shared" ref="FU179" ca="1" si="1642">FU178-FU42</f>
        <v>-3.6069600000004698E-2</v>
      </c>
      <c r="FV179" s="189">
        <f t="shared" ref="FV179" ca="1" si="1643">FV178-FV42</f>
        <v>-0.19770800000001998</v>
      </c>
      <c r="FW179" s="189">
        <f t="shared" ref="FW179" ca="1" si="1644">FW178-FW42</f>
        <v>-3.9004399999996053E-2</v>
      </c>
      <c r="FX179" s="189">
        <f t="shared" ref="FX179" ca="1" si="1645">FX178-FX42</f>
        <v>-0.2305640000000011</v>
      </c>
      <c r="GJ179" s="189">
        <f ca="1">GJ178-GJ42</f>
        <v>-0.71210439999999409</v>
      </c>
      <c r="GK179" s="189">
        <f t="shared" ref="GK179" ca="1" si="1646">GK178-GK42</f>
        <v>-1.0126331999999962</v>
      </c>
      <c r="GL179" s="189">
        <f t="shared" ref="GL179" ca="1" si="1647">GL178-GL42</f>
        <v>-0.26558609999999661</v>
      </c>
      <c r="GM179" s="189">
        <f t="shared" ref="GM179" ca="1" si="1648">GM178-GM42</f>
        <v>-0.74704709999999963</v>
      </c>
      <c r="GN179" s="189">
        <f t="shared" ref="GN179" ca="1" si="1649">GN178-GN42</f>
        <v>-0.19027509999999737</v>
      </c>
      <c r="GO179" s="189">
        <f t="shared" ref="GO179" ca="1" si="1650">GO178-GO42</f>
        <v>-5.6925400000002568E-2</v>
      </c>
      <c r="GP179" s="189">
        <f t="shared" ref="GP179" ca="1" si="1651">GP178-GP42</f>
        <v>-0.53267680000000084</v>
      </c>
      <c r="GQ179" s="189">
        <f t="shared" ref="GQ179" ca="1" si="1652">GQ178-GQ42</f>
        <v>-0.27129589999999837</v>
      </c>
      <c r="HC179" s="189">
        <f ca="1">HC178-HC42</f>
        <v>-7.437570000000278</v>
      </c>
      <c r="HD179" s="189">
        <f t="shared" ref="HD179" ca="1" si="1653">HD178-HD42</f>
        <v>-7.1540400000003501</v>
      </c>
      <c r="HE179" s="189">
        <f t="shared" ref="HE179" ca="1" si="1654">HE178-HE42</f>
        <v>-0.16385498200000004</v>
      </c>
      <c r="HF179" s="189">
        <f t="shared" ref="HF179" ca="1" si="1655">HF178-HF42</f>
        <v>-9.0587248999999814E-2</v>
      </c>
      <c r="HG179" s="189">
        <f t="shared" ref="HG179" ca="1" si="1656">HG178-HG42</f>
        <v>-0.56454519999999775</v>
      </c>
      <c r="HH179" s="189">
        <f t="shared" ref="HH179" ca="1" si="1657">HH178-HH42</f>
        <v>-7.0853400000003148</v>
      </c>
      <c r="HT179" s="189">
        <f ca="1">HT178-HT42</f>
        <v>-2.4628989999999789</v>
      </c>
      <c r="HU179" s="189">
        <f t="shared" ref="HU179" ca="1" si="1658">HU178-HU42</f>
        <v>-7.1540400000003501</v>
      </c>
      <c r="HV179" s="189">
        <f t="shared" ref="HV179" ca="1" si="1659">HV178-HV42</f>
        <v>-10.016599999999926</v>
      </c>
      <c r="HW179" s="189">
        <f t="shared" ref="HW179" ca="1" si="1660">HW178-HW42</f>
        <v>-3.6727699999999004</v>
      </c>
      <c r="HX179" s="189">
        <f t="shared" ref="HX179" ca="1" si="1661">HX178-HX42</f>
        <v>-3.3725099999999202</v>
      </c>
      <c r="HY179" s="189">
        <f t="shared" ref="HY179" ca="1" si="1662">HY178-HY42</f>
        <v>-0.26025599999999827</v>
      </c>
      <c r="HZ179" s="189">
        <f t="shared" ref="HZ179" ca="1" si="1663">HZ178-HZ42</f>
        <v>-8.5709400000006042E-2</v>
      </c>
      <c r="IA179" s="189">
        <f t="shared" ref="IA179" ca="1" si="1664">IA178-IA42</f>
        <v>-4.2524500000000465E-4</v>
      </c>
      <c r="IB179" s="189">
        <f t="shared" ref="IB179" ca="1" si="1665">IB178-IB42</f>
        <v>-0.3520064000000005</v>
      </c>
      <c r="IC179" s="189">
        <f t="shared" ref="IC179" ca="1" si="1666">IC178-IC42</f>
        <v>1.5974949999998671</v>
      </c>
      <c r="ID179" s="189">
        <f t="shared" ref="ID179" ca="1" si="1667">ID178-ID42</f>
        <v>-4.7463340000001608</v>
      </c>
      <c r="IE179" s="189">
        <f t="shared" ref="IE179" ca="1" si="1668">IE178-IE42</f>
        <v>-5.0685999999984688E-2</v>
      </c>
      <c r="IQ179" s="189">
        <f ca="1">IQ178-IQ42</f>
        <v>-3.3725099999999202</v>
      </c>
      <c r="IR179" s="189">
        <f t="shared" ref="IR179" ca="1" si="1669">IR178-IR42</f>
        <v>-0.26025599999999827</v>
      </c>
      <c r="IS179" s="189">
        <f t="shared" ref="IS179" ca="1" si="1670">IS178-IS42</f>
        <v>-1.1294999999904576E-2</v>
      </c>
      <c r="IT179" s="189">
        <f t="shared" ref="IT179:IU179" ca="1" si="1671">IT178-IT42</f>
        <v>-0.47761700000000928</v>
      </c>
      <c r="IU179" s="189">
        <f t="shared" ca="1" si="1671"/>
        <v>-0.44295399999998608</v>
      </c>
      <c r="IV179" s="189">
        <f t="shared" ref="IV179" ca="1" si="1672">IV178-IV42</f>
        <v>0</v>
      </c>
      <c r="IW179" s="189">
        <f t="shared" ref="IW179:IX179" ca="1" si="1673">IW178-IW42</f>
        <v>-0.27108999999927619</v>
      </c>
      <c r="IX179" s="189">
        <f t="shared" ca="1" si="1673"/>
        <v>0</v>
      </c>
      <c r="IY179" s="189">
        <f t="shared" ref="IY179" ca="1" si="1674">IY178-IY42</f>
        <v>-3.5153299999993948E-2</v>
      </c>
      <c r="IZ179" s="189">
        <f t="shared" ref="IZ179" ca="1" si="1675">IZ178-IZ42</f>
        <v>-7.76299999999992E-2</v>
      </c>
      <c r="JA179" s="189">
        <f t="shared" ref="JA179" ca="1" si="1676">JA178-JA42</f>
        <v>-0.21821000000272761</v>
      </c>
      <c r="JB179" s="189">
        <f t="shared" ref="JB179" ca="1" si="1677">JB178-JB42</f>
        <v>-0.72030000000017935</v>
      </c>
      <c r="JC179" s="189">
        <f t="shared" ref="JC179" ca="1" si="1678">JC178-JC42</f>
        <v>-0.46183140000000478</v>
      </c>
      <c r="JD179" s="189">
        <f t="shared" ref="JD179" ca="1" si="1679">JD178-JD42</f>
        <v>-6.1860000000024229E-2</v>
      </c>
      <c r="JE179" s="189">
        <f t="shared" ref="JE179" ca="1" si="1680">JE178-JE42</f>
        <v>-1.8597999999997228E-2</v>
      </c>
      <c r="JF179" s="189">
        <f t="shared" ref="JF179" ca="1" si="1681">JF178-JF42</f>
        <v>0</v>
      </c>
      <c r="JG179" s="189">
        <f t="shared" ref="JG179" ca="1" si="1682">JG178-JG42</f>
        <v>6.34310000000049E-3</v>
      </c>
      <c r="JH179" s="189">
        <f t="shared" ref="JH179" ca="1" si="1683">JH178-JH42</f>
        <v>-4.2524500000000465E-4</v>
      </c>
      <c r="JT179" s="189">
        <f ca="1">JT178-JT42</f>
        <v>6.5693699999991306E-4</v>
      </c>
      <c r="JU179" s="189">
        <f t="shared" ref="JU179" ca="1" si="1684">JU178-JU42</f>
        <v>2.9562200000001759E-3</v>
      </c>
      <c r="JV179" s="189">
        <f t="shared" ref="JV179" ca="1" si="1685">JV178-JV42</f>
        <v>2.649949999999901E-5</v>
      </c>
      <c r="JW179" s="189">
        <f t="shared" ref="JW179" ca="1" si="1686">JW178-JW42</f>
        <v>5.2806300000002304E-4</v>
      </c>
      <c r="JX179" s="189">
        <f t="shared" ref="JX179" ca="1" si="1687">JX178-JX42</f>
        <v>-0.19027509999999737</v>
      </c>
      <c r="JY179" s="189">
        <f t="shared" ref="JY179" ca="1" si="1688">JY178-JY42</f>
        <v>9.0098099999996739E-4</v>
      </c>
      <c r="JZ179" s="189">
        <f t="shared" ref="JZ179" ca="1" si="1689">JZ178-JZ42</f>
        <v>6.827729999999832E-2</v>
      </c>
      <c r="KA179" s="189">
        <f t="shared" ref="KA179" ca="1" si="1690">KA178-KA42</f>
        <v>2.0609000000000322E-3</v>
      </c>
      <c r="KB179" s="189">
        <f t="shared" ref="KB179" ca="1" si="1691">KB178-KB42</f>
        <v>3.6513400000000473E-2</v>
      </c>
      <c r="KC179" s="189">
        <f t="shared" ref="KC179" ca="1" si="1692">KC178-KC42</f>
        <v>4.4630300000001455E-3</v>
      </c>
      <c r="KL179" s="189">
        <f ca="1">KL178-KL42</f>
        <v>7.7872300000002559E-3</v>
      </c>
      <c r="KM179" s="189">
        <f t="shared" ref="KM179" ca="1" si="1693">KM178-KM42</f>
        <v>1.2431099999994644E-5</v>
      </c>
      <c r="KN179" s="189">
        <f t="shared" ref="KN179" ca="1" si="1694">KN178-KN42</f>
        <v>5.5104999999999738E-5</v>
      </c>
      <c r="KO179" s="189">
        <f t="shared" ref="KO179" ca="1" si="1695">KO178-KO42</f>
        <v>-8.5667699999997411E-6</v>
      </c>
      <c r="KP179" s="189">
        <f t="shared" ref="KP179" ca="1" si="1696">KP178-KP42</f>
        <v>-1.6362540000000592E-4</v>
      </c>
      <c r="KQ179" s="189">
        <f t="shared" ref="KQ179" ca="1" si="1697">KQ178-KQ42</f>
        <v>8.6392599999995934E-3</v>
      </c>
      <c r="KR179" s="189">
        <f t="shared" ref="KR179" ca="1" si="1698">KR178-KR42</f>
        <v>6.7535999999979168E-5</v>
      </c>
      <c r="LA179" s="189">
        <f ca="1">LA178-LA42</f>
        <v>-9.0587248999999814E-2</v>
      </c>
      <c r="LB179" s="189">
        <f t="shared" ref="LB179" ca="1" si="1699">LB178-LB42</f>
        <v>-8.5709400000006042E-2</v>
      </c>
      <c r="LC179" s="189">
        <f t="shared" ref="LC179" ca="1" si="1700">LC178-LC42</f>
        <v>-0.29271100000000416</v>
      </c>
      <c r="LD179" s="189">
        <f t="shared" ref="LD179" ca="1" si="1701">LD178-LD42</f>
        <v>-13.405004900000002</v>
      </c>
      <c r="LE179" s="189">
        <f t="shared" ref="LE179" ca="1" si="1702">LE178-LE42</f>
        <v>0</v>
      </c>
      <c r="LF179" s="189">
        <f t="shared" ref="LF179" ca="1" si="1703">LF178-LF42</f>
        <v>-25.281261000000029</v>
      </c>
      <c r="LG179" s="189">
        <f t="shared" ref="LG179" ca="1" si="1704">LG178-LG42</f>
        <v>-12.16899600000005</v>
      </c>
      <c r="LH179" s="189">
        <f t="shared" ref="LH179" ca="1" si="1705">LH178-LH42</f>
        <v>-0.13733210000000362</v>
      </c>
      <c r="LI179" s="189">
        <f t="shared" ref="LI179" ca="1" si="1706">LI178-LI42</f>
        <v>-11.392176999999947</v>
      </c>
      <c r="LJ179" s="189">
        <f t="shared" ref="LJ179" ca="1" si="1707">LJ178-LJ42</f>
        <v>-2.8519599999999201E-2</v>
      </c>
      <c r="LK179" s="189">
        <f t="shared" ref="LK179" ca="1" si="1708">LK178-LK42</f>
        <v>0</v>
      </c>
      <c r="LW179" s="189">
        <f ca="1">LW178-LW42</f>
        <v>-0.34922040000000187</v>
      </c>
      <c r="LX179" s="189">
        <f ca="1">LX178-LX42</f>
        <v>-2.4563401999999854</v>
      </c>
      <c r="LY179" s="189">
        <f t="shared" ref="LY179" ca="1" si="1709">LY178-LY42</f>
        <v>-0.56454519999999775</v>
      </c>
      <c r="LZ179" s="189">
        <f t="shared" ref="LZ179" ca="1" si="1710">LZ178-LZ42</f>
        <v>-3.5153299999993948E-2</v>
      </c>
      <c r="MA179" s="189">
        <f t="shared" ref="MA179" ca="1" si="1711">MA178-MA42</f>
        <v>-0.59184899999999629</v>
      </c>
      <c r="MB179" s="189">
        <f t="shared" ref="MB179" ca="1" si="1712">MB178-MB42</f>
        <v>-13.405004900000002</v>
      </c>
      <c r="MC179" s="189">
        <f t="shared" ref="MC179" ca="1" si="1713">MC178-MC42</f>
        <v>-25.281261000000029</v>
      </c>
      <c r="MD179" s="189">
        <f t="shared" ref="MD179" ca="1" si="1714">MD178-MD42</f>
        <v>-42.932084000000032</v>
      </c>
      <c r="ME179" s="189">
        <f t="shared" ref="ME179" ca="1" si="1715">ME178-ME42</f>
        <v>-3.0123267000000027</v>
      </c>
      <c r="MF179" s="189">
        <f t="shared" ref="MF179" ca="1" si="1716">MF178-MF42</f>
        <v>-21.372772000000055</v>
      </c>
      <c r="MG179" s="189">
        <f t="shared" ref="MG179" ca="1" si="1717">MG178-MG42</f>
        <v>-36.830514999999991</v>
      </c>
      <c r="MH179" s="189">
        <f t="shared" ref="MH179" ca="1" si="1718">MH178-MH42</f>
        <v>-6.4117489999999577</v>
      </c>
      <c r="MI179" s="189">
        <f t="shared" ref="MI179" ca="1" si="1719">MI178-MI42</f>
        <v>-9.0129670000000384E-3</v>
      </c>
      <c r="MJ179" s="189">
        <f t="shared" ref="MJ179" ca="1" si="1720">MJ178-MJ42</f>
        <v>-1.0690740000000005</v>
      </c>
      <c r="MK179" s="189">
        <f t="shared" ref="MK179" ca="1" si="1721">MK178-MK42</f>
        <v>-2.1333319999999958</v>
      </c>
      <c r="ML179" s="189">
        <f t="shared" ref="ML179" ca="1" si="1722">ML178-ML42</f>
        <v>-2.1394760000000019</v>
      </c>
      <c r="MM179" s="189">
        <f t="shared" ref="MM179" ca="1" si="1723">MM178-MM42</f>
        <v>-0.3520064000000005</v>
      </c>
      <c r="MN179" s="189">
        <f t="shared" ref="MN179" ca="1" si="1724">MN178-MN42</f>
        <v>-5.11006399999998</v>
      </c>
      <c r="MO179" s="189">
        <f t="shared" ref="MO179" ca="1" si="1725">MO178-MO42</f>
        <v>0</v>
      </c>
      <c r="NA179" s="189">
        <f ca="1">NA178-NA42</f>
        <v>-1.5748421999999991</v>
      </c>
      <c r="NB179" s="189">
        <f t="shared" ref="NB179" ca="1" si="1726">NB178-NB42</f>
        <v>-0.53002799999999439</v>
      </c>
      <c r="NC179" s="189">
        <f t="shared" ref="NC179" ca="1" si="1727">NC178-NC42</f>
        <v>-0.28914069999999725</v>
      </c>
      <c r="ND179" s="189">
        <f t="shared" ref="ND179" ca="1" si="1728">ND178-ND42</f>
        <v>-0.28143200000002366</v>
      </c>
      <c r="NE179" s="189">
        <f t="shared" ref="NE179" ca="1" si="1729">NE178-NE42</f>
        <v>-18.324873000000139</v>
      </c>
      <c r="NF179" s="189">
        <f t="shared" ref="NF179" ca="1" si="1730">NF178-NF42</f>
        <v>-20.804929000000016</v>
      </c>
      <c r="NG179" s="189">
        <f t="shared" ref="NG179" ca="1" si="1731">NG178-NG42</f>
        <v>-2.4675040000000195</v>
      </c>
      <c r="NH179" s="189">
        <f t="shared" ref="NH179" ca="1" si="1732">NH178-NH42</f>
        <v>0</v>
      </c>
      <c r="NI179" s="189">
        <f t="shared" ref="NI179" ca="1" si="1733">NI178-NI42</f>
        <v>-21.219904000000156</v>
      </c>
      <c r="NJ179" s="189">
        <f t="shared" ref="NJ179" ca="1" si="1734">NJ178-NJ42</f>
        <v>-21.372772000000055</v>
      </c>
      <c r="NK179" s="189">
        <f t="shared" ref="NK179" ca="1" si="1735">NK178-NK42</f>
        <v>-9.0129670000000384E-3</v>
      </c>
      <c r="NL179" s="189">
        <f t="shared" ref="NL179" ca="1" si="1736">NL178-NL42</f>
        <v>-2.1394760000000019</v>
      </c>
      <c r="NM179" s="189">
        <f t="shared" ref="NM179" ca="1" si="1737">NM178-NM42</f>
        <v>-0.3520064000000005</v>
      </c>
      <c r="NN179" s="189">
        <f t="shared" ref="NN179" ca="1" si="1738">NN178-NN42</f>
        <v>-7.9047150000000954E-2</v>
      </c>
      <c r="NO179" s="189">
        <f t="shared" ref="NO179" ca="1" si="1739">NO178-NO42</f>
        <v>-5.11006399999998</v>
      </c>
      <c r="NP179" s="189">
        <f t="shared" ref="NP179" ca="1" si="1740">NP178-NP42</f>
        <v>-11.05890700000009</v>
      </c>
      <c r="OH179" s="189">
        <f ca="1">OH178-OH42</f>
        <v>-34.882400000002235</v>
      </c>
      <c r="OI179" s="189">
        <f t="shared" ref="OI179" ca="1" si="1741">OI178-OI42</f>
        <v>-1.1424269999999979</v>
      </c>
      <c r="OJ179" s="189">
        <f t="shared" ref="OJ179" ca="1" si="1742">OJ178-OJ42</f>
        <v>-5.0682000000008998E-2</v>
      </c>
      <c r="OK179" s="189">
        <f t="shared" ref="OK179" ca="1" si="1743">OK178-OK42</f>
        <v>-132.27040000000125</v>
      </c>
      <c r="OL179" s="189">
        <f t="shared" ref="OL179" ca="1" si="1744">OL178-OL42</f>
        <v>0</v>
      </c>
      <c r="OM179" s="189">
        <f t="shared" ref="OM179" ca="1" si="1745">OM178-OM42</f>
        <v>-20.334017000000017</v>
      </c>
      <c r="ON179" s="189">
        <f t="shared" ref="ON179" ca="1" si="1746">ON178-ON42</f>
        <v>25.88839999999891</v>
      </c>
      <c r="OO179" s="189">
        <f t="shared" ref="OO179" ca="1" si="1747">OO178-OO42</f>
        <v>12.444109999998545</v>
      </c>
      <c r="PA179" s="189">
        <f ca="1">PA178-PA42</f>
        <v>-1.0557479999999941</v>
      </c>
      <c r="PB179" s="189">
        <f t="shared" ref="PB179" ca="1" si="1748">PB178-PB42</f>
        <v>-1.1265729999998939</v>
      </c>
      <c r="PC179" s="189">
        <f t="shared" ref="PC179" ca="1" si="1749">PC178-PC42</f>
        <v>-8.5502500000004034E-2</v>
      </c>
      <c r="PD179" s="189">
        <f t="shared" ref="PD179" ca="1" si="1750">PD178-PD42</f>
        <v>-0.20089900000002103</v>
      </c>
      <c r="PE179" s="189">
        <f t="shared" ref="PE179" ca="1" si="1751">PE178-PE42</f>
        <v>-0.72030000000017935</v>
      </c>
      <c r="PF179" s="189">
        <f t="shared" ref="PF179" ca="1" si="1752">PF178-PF42</f>
        <v>-0.26436299999997459</v>
      </c>
      <c r="PG179" s="189">
        <f t="shared" ref="PG179" ca="1" si="1753">PG178-PG42</f>
        <v>-2.6789199999999624E-2</v>
      </c>
      <c r="PH179" s="189">
        <f t="shared" ref="PH179" ca="1" si="1754">PH178-PH42</f>
        <v>-4.7463340000001608</v>
      </c>
      <c r="PI179" s="189">
        <f t="shared" ref="PI179" ca="1" si="1755">PI178-PI42</f>
        <v>-3.9218299999997726</v>
      </c>
      <c r="PJ179" s="189">
        <f t="shared" ref="PJ179" ca="1" si="1756">PJ178-PJ42</f>
        <v>6.5998499999986304E-4</v>
      </c>
      <c r="PK179" s="189">
        <f t="shared" ref="PK179" ca="1" si="1757">PK178-PK42</f>
        <v>-1.1424269999999979</v>
      </c>
      <c r="PW179" s="189">
        <f ca="1">PW178-PW42</f>
        <v>6.5998499999986304E-4</v>
      </c>
      <c r="PX179" s="189">
        <f t="shared" ref="PX179" ca="1" si="1758">PX178-PX42</f>
        <v>-6.2477589999999639E-3</v>
      </c>
      <c r="PY179" s="189">
        <f t="shared" ref="PY179" ca="1" si="1759">PY178-PY42</f>
        <v>6.5998499999986304E-4</v>
      </c>
      <c r="PZ179" s="189">
        <f t="shared" ref="PZ179" ca="1" si="1760">PZ178-PZ42</f>
        <v>6.5998499999986304E-4</v>
      </c>
    </row>
    <row r="180" spans="1:442" x14ac:dyDescent="0.25">
      <c r="A180" s="1325" t="s">
        <v>2997</v>
      </c>
      <c r="C180" s="1317"/>
      <c r="D180" s="1317"/>
    </row>
    <row r="181" spans="1:442" x14ac:dyDescent="0.25">
      <c r="A181" s="189">
        <v>165</v>
      </c>
      <c r="C181" s="1326" t="s">
        <v>2545</v>
      </c>
      <c r="D181" s="1317"/>
      <c r="E181" s="189">
        <f>E115</f>
        <v>18.015279999999997</v>
      </c>
      <c r="F181" s="1327">
        <v>10475.895349999999</v>
      </c>
      <c r="G181" s="1335"/>
      <c r="J181" s="1319">
        <f ca="1">(VLOOKUP(J1,INDIRECT(LU_MAT),$A182,FALSE)/$E181-VLOOKUP(J1,INDIRECT(LU_MAT),$A181,FALSE)*3600)*$F181/1000000</f>
        <v>12.114594912900056</v>
      </c>
      <c r="K181" s="1319">
        <f ca="1">(VLOOKUP(K1,INDIRECT(LU_MAT),$A182,FALSE)/$E181-VLOOKUP(K1,INDIRECT(LU_MAT),$A181,FALSE)*3600)*$F181/1000000</f>
        <v>12.114594912900056</v>
      </c>
      <c r="Q181" s="1335"/>
      <c r="T181" s="1319">
        <f t="shared" ref="T181:AD181" ca="1" si="1761">(VLOOKUP(T1,INDIRECT(LU_MAT),$A182,FALSE)/$E181-VLOOKUP(T1,INDIRECT(LU_MAT),$A181,FALSE)*3600)*$F181/1000000</f>
        <v>12.114594912900056</v>
      </c>
      <c r="U181" s="1319">
        <f t="shared" ca="1" si="1761"/>
        <v>81.991254605884009</v>
      </c>
      <c r="V181" s="1319">
        <f t="shared" ca="1" si="1761"/>
        <v>21.394383334154153</v>
      </c>
      <c r="W181" s="1319">
        <f t="shared" ca="1" si="1761"/>
        <v>-2.2419068918657589E-8</v>
      </c>
      <c r="X181" s="1319">
        <f t="shared" ca="1" si="1761"/>
        <v>-1.4601923370203552E-7</v>
      </c>
      <c r="Y181" s="1319">
        <f t="shared" ca="1" si="1761"/>
        <v>130.37096002335869</v>
      </c>
      <c r="Z181" s="1319">
        <f t="shared" ca="1" si="1761"/>
        <v>-5.7739185028563243E-8</v>
      </c>
      <c r="AA181" s="1319">
        <f t="shared" ca="1" si="1761"/>
        <v>119.00385750158482</v>
      </c>
      <c r="AB181" s="1319">
        <f t="shared" ca="1" si="1761"/>
        <v>8.0607649044670146E-2</v>
      </c>
      <c r="AC181" s="1319">
        <f t="shared" ca="1" si="1761"/>
        <v>21.313775668827468</v>
      </c>
      <c r="AD181" s="1319">
        <f t="shared" ca="1" si="1761"/>
        <v>8.0620891556849011E-2</v>
      </c>
      <c r="AJ181" s="1335"/>
      <c r="AM181" s="1319">
        <f t="shared" ref="AM181:BB181" ca="1" si="1762">(VLOOKUP(AM1,INDIRECT(LU_MAT),$A182,FALSE)/$E181-VLOOKUP(AM1,INDIRECT(LU_MAT),$A181,FALSE)*3600)*$F181/1000000</f>
        <v>81.991254605884009</v>
      </c>
      <c r="AN181" s="1319">
        <f t="shared" ca="1" si="1762"/>
        <v>81.991254605884009</v>
      </c>
      <c r="AO181" s="1319">
        <f t="shared" ca="1" si="1762"/>
        <v>119.00385750158482</v>
      </c>
      <c r="AP181" s="1319">
        <f t="shared" ca="1" si="1762"/>
        <v>119.00385750158482</v>
      </c>
      <c r="AQ181" s="1319">
        <f t="shared" ca="1" si="1762"/>
        <v>-5.9621233089182947E-8</v>
      </c>
      <c r="AR181" s="1319">
        <f t="shared" ca="1" si="1762"/>
        <v>-4.8036382597457419E-8</v>
      </c>
      <c r="AS181" s="1319">
        <f t="shared" ca="1" si="1762"/>
        <v>2.2695009347420401</v>
      </c>
      <c r="AT181" s="1319">
        <f t="shared" ca="1" si="1762"/>
        <v>-4.2242887859264305E-8</v>
      </c>
      <c r="AU181" s="1319">
        <f t="shared" ca="1" si="1762"/>
        <v>9.3343587595017006</v>
      </c>
      <c r="AV181" s="1319">
        <f t="shared" ca="1" si="1762"/>
        <v>111.0223053007589</v>
      </c>
      <c r="AW181" s="1319">
        <f t="shared" ca="1" si="1762"/>
        <v>7.7447952376962599</v>
      </c>
      <c r="AX181" s="1319">
        <f t="shared" ca="1" si="1762"/>
        <v>19.348261359041448</v>
      </c>
      <c r="AY181" s="1319">
        <f t="shared" ca="1" si="1762"/>
        <v>0</v>
      </c>
      <c r="AZ181" s="1319">
        <f t="shared" ca="1" si="1762"/>
        <v>87.491642786154017</v>
      </c>
      <c r="BA181" s="1319">
        <f t="shared" ca="1" si="1762"/>
        <v>87.491642786154017</v>
      </c>
      <c r="BB181" s="1319">
        <f t="shared" ca="1" si="1762"/>
        <v>198.51396146142571</v>
      </c>
      <c r="BK181" s="1335"/>
      <c r="BN181" s="1319">
        <f ca="1">(VLOOKUP(BN1,INDIRECT(LU_MAT),$A182,FALSE)/$E181-VLOOKUP(BN1,INDIRECT(LU_MAT),$A181,FALSE)*3600)*$F181/1000000</f>
        <v>20.457437073088013</v>
      </c>
      <c r="BO181" s="1319">
        <f ca="1">(VLOOKUP(BO1,INDIRECT(LU_MAT),$A182,FALSE)/$E181-VLOOKUP(BO1,INDIRECT(LU_MAT),$A181,FALSE)*3600)*$F181/1000000</f>
        <v>20.515524791903282</v>
      </c>
      <c r="BP181" s="1319">
        <f ca="1">(VLOOKUP(BP1,INDIRECT(LU_MAT),$A182,FALSE)/$E181-VLOOKUP(BP1,INDIRECT(LU_MAT),$A181,FALSE)*3600)*$F181/1000000</f>
        <v>-1.592356369115422E-10</v>
      </c>
      <c r="BQ181" s="1319">
        <f ca="1">(VLOOKUP(BQ1,INDIRECT(LU_MAT),$A182,FALSE)/$E181-VLOOKUP(BQ1,INDIRECT(LU_MAT),$A181,FALSE)*3600)*$F181/1000000</f>
        <v>6.1592164484559481E-2</v>
      </c>
      <c r="BR181" s="1319">
        <f ca="1">(VLOOKUP(BR1,INDIRECT(LU_MAT),$A182,FALSE)/$E181-VLOOKUP(BR1,INDIRECT(LU_MAT),$A181,FALSE)*3600)*$F181/1000000</f>
        <v>0</v>
      </c>
      <c r="CA181" s="1335"/>
      <c r="CD181" s="1319">
        <f t="shared" ref="CD181:CO181" ca="1" si="1763">(VLOOKUP(CD1,INDIRECT(LU_MAT),$A182,FALSE)/$E181-VLOOKUP(CD1,INDIRECT(LU_MAT),$A181,FALSE)*3600)*$F181/1000000</f>
        <v>198.51396146142571</v>
      </c>
      <c r="CE181" s="1319">
        <f t="shared" ca="1" si="1763"/>
        <v>198.51396146142571</v>
      </c>
      <c r="CF181" s="1319">
        <f t="shared" ca="1" si="1763"/>
        <v>20.457437073088013</v>
      </c>
      <c r="CG181" s="1319">
        <f t="shared" ca="1" si="1763"/>
        <v>20.515524791903282</v>
      </c>
      <c r="CH181" s="1319">
        <f t="shared" ca="1" si="1763"/>
        <v>206.10459642397339</v>
      </c>
      <c r="CI181" s="1319">
        <f t="shared" ca="1" si="1763"/>
        <v>0.27716474134351876</v>
      </c>
      <c r="CJ181" s="1319">
        <f t="shared" ca="1" si="1763"/>
        <v>0</v>
      </c>
      <c r="CK181" s="1319">
        <f t="shared" ca="1" si="1763"/>
        <v>204.74719153334502</v>
      </c>
      <c r="CL181" s="1319">
        <f t="shared" ca="1" si="1763"/>
        <v>-1.3826776543343916E-9</v>
      </c>
      <c r="CM181" s="1319">
        <f t="shared" ca="1" si="1763"/>
        <v>7.5906351951478763</v>
      </c>
      <c r="CN181" s="1319">
        <f t="shared" ca="1" si="1763"/>
        <v>220.29524642361343</v>
      </c>
      <c r="CO181" s="1319">
        <f t="shared" ca="1" si="1763"/>
        <v>15.548055181018739</v>
      </c>
      <c r="CX181" s="1335"/>
      <c r="DA181" s="1319">
        <f t="shared" ref="DA181:DJ181" ca="1" si="1764">(VLOOKUP(DA1,INDIRECT(LU_MAT),$A182,FALSE)/$E181-VLOOKUP(DA1,INDIRECT(LU_MAT),$A181,FALSE)*3600)*$F181/1000000</f>
        <v>0.38659067584435469</v>
      </c>
      <c r="DB181" s="1319">
        <f t="shared" ca="1" si="1764"/>
        <v>2.2967867609614743E-3</v>
      </c>
      <c r="DC181" s="1319">
        <f t="shared" ca="1" si="1764"/>
        <v>0</v>
      </c>
      <c r="DD181" s="1319">
        <f t="shared" ca="1" si="1764"/>
        <v>0</v>
      </c>
      <c r="DE181" s="1319">
        <f t="shared" ca="1" si="1764"/>
        <v>0.41528947689212176</v>
      </c>
      <c r="DF181" s="1319">
        <f t="shared" ca="1" si="1764"/>
        <v>-1.4794448819581424E-10</v>
      </c>
      <c r="DG181" s="1319">
        <f t="shared" ca="1" si="1764"/>
        <v>-2.9133742977092614E-9</v>
      </c>
      <c r="DH181" s="1319">
        <f t="shared" ca="1" si="1764"/>
        <v>8.2220344200448325E-2</v>
      </c>
      <c r="DI181" s="1319">
        <f t="shared" ca="1" si="1764"/>
        <v>7.8305089587040258E-2</v>
      </c>
      <c r="DJ181" s="1319">
        <f t="shared" ca="1" si="1764"/>
        <v>3.9152545317314887E-3</v>
      </c>
      <c r="DS181" s="1335"/>
      <c r="DV181" s="1319">
        <f t="shared" ref="DV181:EK181" ca="1" si="1765">(VLOOKUP(DV1,INDIRECT(LU_MAT),$A182,FALSE)/$E181-VLOOKUP(DV1,INDIRECT(LU_MAT),$A181,FALSE)*3600)*$F181/1000000</f>
        <v>6.6402761585398622</v>
      </c>
      <c r="DW181" s="1319">
        <f t="shared" ca="1" si="1765"/>
        <v>0.24812615381992786</v>
      </c>
      <c r="DX181" s="1319">
        <f t="shared" ca="1" si="1765"/>
        <v>7.7318135285171046</v>
      </c>
      <c r="DY181" s="1319">
        <f t="shared" ca="1" si="1765"/>
        <v>0.38659067584435469</v>
      </c>
      <c r="DZ181" s="1319">
        <f t="shared" ca="1" si="1765"/>
        <v>0</v>
      </c>
      <c r="EA181" s="1319">
        <f t="shared" ca="1" si="1765"/>
        <v>0.41528947689212176</v>
      </c>
      <c r="EB181" s="1319">
        <f t="shared" ca="1" si="1765"/>
        <v>7.3452228288312265</v>
      </c>
      <c r="EC181" s="1319">
        <f t="shared" ca="1" si="1765"/>
        <v>4.5768694532298711E-2</v>
      </c>
      <c r="ED181" s="1319">
        <f t="shared" ca="1" si="1765"/>
        <v>7.5906351951478763</v>
      </c>
      <c r="EE181" s="1319">
        <f t="shared" ca="1" si="1765"/>
        <v>-3.5221752887541637E-9</v>
      </c>
      <c r="EF181" s="1319">
        <f t="shared" ca="1" si="1765"/>
        <v>0</v>
      </c>
      <c r="EG181" s="1319">
        <f t="shared" ca="1" si="1765"/>
        <v>0</v>
      </c>
      <c r="EH181" s="1319">
        <f t="shared" ca="1" si="1765"/>
        <v>0</v>
      </c>
      <c r="EI181" s="1319">
        <f t="shared" ca="1" si="1765"/>
        <v>4.5768694532298711E-2</v>
      </c>
      <c r="EJ181" s="1319">
        <f t="shared" ca="1" si="1765"/>
        <v>0</v>
      </c>
      <c r="EK181" s="1319">
        <f t="shared" ca="1" si="1765"/>
        <v>7.8305089587040258E-2</v>
      </c>
      <c r="ET181" s="1335"/>
      <c r="EW181" s="1319">
        <f t="shared" ref="EW181:FB181" ca="1" si="1766">(VLOOKUP(EW1,INDIRECT(LU_MAT),$A182,FALSE)/$E181-VLOOKUP(EW1,INDIRECT(LU_MAT),$A181,FALSE)*3600)*$F181/1000000</f>
        <v>220.29524642361343</v>
      </c>
      <c r="EX181" s="1319">
        <f t="shared" ca="1" si="1766"/>
        <v>220.29524642361343</v>
      </c>
      <c r="EY181" s="1319">
        <f t="shared" ca="1" si="1766"/>
        <v>198.90403319789442</v>
      </c>
      <c r="EZ181" s="1319">
        <f t="shared" ca="1" si="1766"/>
        <v>198.90403319789442</v>
      </c>
      <c r="FA181" s="1319">
        <f t="shared" ca="1" si="1766"/>
        <v>-1.4421772463671682E-10</v>
      </c>
      <c r="FB181" s="1319">
        <f t="shared" ca="1" si="1766"/>
        <v>-1.233342747579444E-7</v>
      </c>
      <c r="FK181" s="1335"/>
      <c r="FN181" s="1319">
        <f t="shared" ref="FN181:FX181" ca="1" si="1767">(VLOOKUP(FN1,INDIRECT(LU_MAT),$A182,FALSE)/$E181-VLOOKUP(FN1,INDIRECT(LU_MAT),$A181,FALSE)*3600)*$F181/1000000</f>
        <v>-1.592356369115422E-10</v>
      </c>
      <c r="FO181" s="1319">
        <f t="shared" ca="1" si="1767"/>
        <v>-1.3826776543343916E-9</v>
      </c>
      <c r="FP181" s="1319">
        <f t="shared" ca="1" si="1767"/>
        <v>-1.4421772463671682E-10</v>
      </c>
      <c r="FQ181" s="1319">
        <f t="shared" ca="1" si="1767"/>
        <v>-1.233342747579444E-7</v>
      </c>
      <c r="FR181" s="1319">
        <f t="shared" ca="1" si="1767"/>
        <v>-7.2241384312915826E-9</v>
      </c>
      <c r="FS181" s="1319">
        <f t="shared" ca="1" si="1767"/>
        <v>21.313775668827468</v>
      </c>
      <c r="FT181" s="1319">
        <f t="shared" ca="1" si="1767"/>
        <v>1.1923017926277344</v>
      </c>
      <c r="FU181" s="1319">
        <f t="shared" ca="1" si="1767"/>
        <v>-2.5472849069510644E-9</v>
      </c>
      <c r="FV181" s="1319">
        <f t="shared" ca="1" si="1767"/>
        <v>15.602156073866887</v>
      </c>
      <c r="FW181" s="1319">
        <f t="shared" ca="1" si="1767"/>
        <v>-2.1769047439287578E-9</v>
      </c>
      <c r="FX181" s="1319">
        <f t="shared" ca="1" si="1767"/>
        <v>15.548055181018739</v>
      </c>
      <c r="GG181" s="1335"/>
      <c r="GJ181" s="1319">
        <f t="shared" ref="GJ181:GQ181" ca="1" si="1768">(VLOOKUP(GJ1,INDIRECT(LU_MAT),$A182,FALSE)/$E181-VLOOKUP(GJ1,INDIRECT(LU_MAT),$A181,FALSE)*3600)*$F181/1000000</f>
        <v>-7.2241384312915826E-9</v>
      </c>
      <c r="GK181" s="1319">
        <f t="shared" ca="1" si="1768"/>
        <v>-7.2241384312915826E-9</v>
      </c>
      <c r="GL181" s="1319">
        <f t="shared" ca="1" si="1768"/>
        <v>-1.2320427337995037E-8</v>
      </c>
      <c r="GM181" s="1319">
        <f t="shared" ca="1" si="1768"/>
        <v>-4.7724096642980749E-10</v>
      </c>
      <c r="GN181" s="1319">
        <f t="shared" ca="1" si="1768"/>
        <v>6.4265200428820488E-2</v>
      </c>
      <c r="GO181" s="1319">
        <f t="shared" ca="1" si="1768"/>
        <v>1.1922986583397335</v>
      </c>
      <c r="GP181" s="1319">
        <f t="shared" ca="1" si="1768"/>
        <v>-4.7724096642980749E-10</v>
      </c>
      <c r="GQ181" s="1319">
        <f t="shared" ca="1" si="1768"/>
        <v>1.1923017926277344</v>
      </c>
      <c r="GZ181" s="1335"/>
      <c r="HC181" s="1319">
        <f t="shared" ref="HC181:HH181" ca="1" si="1769">(VLOOKUP(HC1,INDIRECT(LU_MAT),$A182,FALSE)/$E181-VLOOKUP(HC1,INDIRECT(LU_MAT),$A181,FALSE)*3600)*$F181/1000000</f>
        <v>198.90403319789442</v>
      </c>
      <c r="HD181" s="1319">
        <f t="shared" ca="1" si="1769"/>
        <v>191.49852242659139</v>
      </c>
      <c r="HE181" s="1319">
        <f t="shared" ca="1" si="1769"/>
        <v>-1.7357883782747199E-9</v>
      </c>
      <c r="HF181" s="1319">
        <f t="shared" ca="1" si="1769"/>
        <v>-8.3665499962678142E-10</v>
      </c>
      <c r="HG181" s="1319">
        <f t="shared" ca="1" si="1769"/>
        <v>7.4413432426603778</v>
      </c>
      <c r="HH181" s="1319">
        <f t="shared" ca="1" si="1769"/>
        <v>191.49852242659139</v>
      </c>
      <c r="HQ181" s="1335"/>
      <c r="HT181" s="1319">
        <f t="shared" ref="HT181:IE181" ca="1" si="1770">(VLOOKUP(HT1,INDIRECT(LU_MAT),$A182,FALSE)/$E181-VLOOKUP(HT1,INDIRECT(LU_MAT),$A181,FALSE)*3600)*$F181/1000000</f>
        <v>19.348261359041448</v>
      </c>
      <c r="HU181" s="1319">
        <f t="shared" ca="1" si="1770"/>
        <v>191.49852242659139</v>
      </c>
      <c r="HV181" s="1319">
        <f t="shared" ca="1" si="1770"/>
        <v>223.93338837490174</v>
      </c>
      <c r="HW181" s="1319">
        <f t="shared" ca="1" si="1770"/>
        <v>223.93338837490174</v>
      </c>
      <c r="HX181" s="1319">
        <f t="shared" ca="1" si="1770"/>
        <v>207.26711779951327</v>
      </c>
      <c r="HY181" s="1319">
        <f t="shared" ca="1" si="1770"/>
        <v>15.761468036897906</v>
      </c>
      <c r="HZ181" s="1319">
        <f t="shared" ca="1" si="1770"/>
        <v>-2.8562697491913342E-9</v>
      </c>
      <c r="IA181" s="1319">
        <f t="shared" ca="1" si="1770"/>
        <v>-4.1046716989080132E-11</v>
      </c>
      <c r="IB181" s="1319">
        <f t="shared" ca="1" si="1770"/>
        <v>2.722609180734215</v>
      </c>
      <c r="IC181" s="1319">
        <f t="shared" ca="1" si="1770"/>
        <v>85.559816526553888</v>
      </c>
      <c r="ID181" s="1319">
        <f t="shared" ca="1" si="1770"/>
        <v>85.559816526553888</v>
      </c>
      <c r="IE181" s="1319">
        <f t="shared" ca="1" si="1770"/>
        <v>10.279283906007112</v>
      </c>
      <c r="IN181" s="1335"/>
      <c r="IQ181" s="1319">
        <f t="shared" ref="IQ181:JH181" ca="1" si="1771">(VLOOKUP(IQ1,INDIRECT(LU_MAT),$A182,FALSE)/$E181-VLOOKUP(IQ1,INDIRECT(LU_MAT),$A181,FALSE)*3600)*$F181/1000000</f>
        <v>207.26711779951327</v>
      </c>
      <c r="IR181" s="1319">
        <f t="shared" ca="1" si="1771"/>
        <v>15.761468036897906</v>
      </c>
      <c r="IS181" s="1319">
        <f t="shared" ca="1" si="1771"/>
        <v>51.446253488098399</v>
      </c>
      <c r="IT181" s="1319">
        <f t="shared" ca="1" si="1771"/>
        <v>67.207721757596531</v>
      </c>
      <c r="IU181" s="1319">
        <f t="shared" ca="1" si="1771"/>
        <v>62.724731712514512</v>
      </c>
      <c r="IV181" s="1319">
        <f t="shared" ca="1" si="1771"/>
        <v>1508.0603805113933</v>
      </c>
      <c r="IW181" s="1319">
        <f t="shared" ca="1" si="1771"/>
        <v>1234.7100816209595</v>
      </c>
      <c r="IX181" s="1319">
        <f t="shared" ref="IX181" ca="1" si="1772">(VLOOKUP(IX1,INDIRECT(LU_MAT),$A182,FALSE)/$E181-VLOOKUP(IX1,INDIRECT(LU_MAT),$A181,FALSE)*3600)*$F181/1000000</f>
        <v>-1.5101398440545494E-8</v>
      </c>
      <c r="IY181" s="1319">
        <f t="shared" ca="1" si="1771"/>
        <v>4.4829885376048955</v>
      </c>
      <c r="IZ181" s="1319">
        <f t="shared" ca="1" si="1771"/>
        <v>221.90571047102981</v>
      </c>
      <c r="JA181" s="1319">
        <f t="shared" ca="1" si="1771"/>
        <v>1286.1563362608881</v>
      </c>
      <c r="JB181" s="1319">
        <f t="shared" ca="1" si="1771"/>
        <v>219.01646331576038</v>
      </c>
      <c r="JC181" s="1319">
        <f t="shared" ca="1" si="1771"/>
        <v>2.8475534182863229</v>
      </c>
      <c r="JD181" s="1319">
        <f t="shared" ca="1" si="1771"/>
        <v>177.52456860942408</v>
      </c>
      <c r="JE181" s="1319">
        <f t="shared" ca="1" si="1771"/>
        <v>44.381061391161239</v>
      </c>
      <c r="JF181" s="1319">
        <f t="shared" ca="1" si="1771"/>
        <v>-1.426208039161771E-8</v>
      </c>
      <c r="JG181" s="1319">
        <f t="shared" ca="1" si="1771"/>
        <v>1.3096249553521611</v>
      </c>
      <c r="JH181" s="1319">
        <f t="shared" ca="1" si="1771"/>
        <v>-4.1046716989080132E-11</v>
      </c>
      <c r="JQ181" s="1335"/>
      <c r="JT181" s="1319">
        <f t="shared" ref="JT181:KC181" ca="1" si="1773">(VLOOKUP(JT1,INDIRECT(LU_MAT),$A182,FALSE)/$E181-VLOOKUP(JT1,INDIRECT(LU_MAT),$A181,FALSE)*3600)*$F181/1000000</f>
        <v>6.1592164484559481E-2</v>
      </c>
      <c r="JU181" s="1319">
        <f t="shared" ca="1" si="1773"/>
        <v>0.27716474134351876</v>
      </c>
      <c r="JV181" s="1319">
        <f t="shared" ca="1" si="1773"/>
        <v>2.2967867609614743E-3</v>
      </c>
      <c r="JW181" s="1319">
        <f t="shared" ca="1" si="1773"/>
        <v>4.5768694532298711E-2</v>
      </c>
      <c r="JX181" s="1319">
        <f t="shared" ca="1" si="1773"/>
        <v>6.4265200428820488E-2</v>
      </c>
      <c r="JY181" s="1319">
        <f t="shared" ca="1" si="1773"/>
        <v>0</v>
      </c>
      <c r="JZ181" s="1319">
        <f t="shared" ca="1" si="1773"/>
        <v>6.4265200428820488E-2</v>
      </c>
      <c r="KA181" s="1319">
        <f t="shared" ca="1" si="1773"/>
        <v>8.0620891556849011E-2</v>
      </c>
      <c r="KB181" s="1319">
        <f t="shared" ca="1" si="1773"/>
        <v>4.6648414218724064</v>
      </c>
      <c r="KC181" s="1319">
        <f t="shared" ca="1" si="1773"/>
        <v>0.38682238753420378</v>
      </c>
      <c r="KI181" s="1335"/>
      <c r="KL181" s="1319">
        <f t="shared" ref="KL181:KR181" ca="1" si="1774">(VLOOKUP(KL1,INDIRECT(LU_MAT),$A182,FALSE)/$E181-VLOOKUP(KL1,INDIRECT(LU_MAT),$A181,FALSE)*3600)*$F181/1000000</f>
        <v>0</v>
      </c>
      <c r="KM181" s="1319">
        <f t="shared" ca="1" si="1774"/>
        <v>0</v>
      </c>
      <c r="KN181" s="1319">
        <f t="shared" ca="1" si="1774"/>
        <v>0</v>
      </c>
      <c r="KO181" s="1319">
        <f t="shared" ca="1" si="1774"/>
        <v>0</v>
      </c>
      <c r="KP181" s="1319">
        <f t="shared" ca="1" si="1774"/>
        <v>0</v>
      </c>
      <c r="KQ181" s="1319">
        <f t="shared" ca="1" si="1774"/>
        <v>0</v>
      </c>
      <c r="KR181" s="1319">
        <f t="shared" ca="1" si="1774"/>
        <v>0</v>
      </c>
      <c r="KX181" s="1335"/>
      <c r="LA181" s="1319">
        <f t="shared" ref="LA181:LK181" ca="1" si="1775">(VLOOKUP(LA1,INDIRECT(LU_MAT),$A182,FALSE)/$E181-VLOOKUP(LA1,INDIRECT(LU_MAT),$A181,FALSE)*3600)*$F181/1000000</f>
        <v>-8.3665499962678142E-10</v>
      </c>
      <c r="LB181" s="1319">
        <f t="shared" ca="1" si="1775"/>
        <v>-2.8562697491913342E-9</v>
      </c>
      <c r="LC181" s="1319">
        <f t="shared" ca="1" si="1775"/>
        <v>-2.3683743301554065E-8</v>
      </c>
      <c r="LD181" s="1319">
        <f t="shared" ca="1" si="1775"/>
        <v>-2.3683743301554065E-8</v>
      </c>
      <c r="LE181" s="1319">
        <f t="shared" ca="1" si="1775"/>
        <v>-2.5354831022583616E-8</v>
      </c>
      <c r="LF181" s="1319">
        <f t="shared" ca="1" si="1775"/>
        <v>1.7031982111587327E-6</v>
      </c>
      <c r="LG181" s="1319">
        <f t="shared" ca="1" si="1775"/>
        <v>2.7473900978635441E-5</v>
      </c>
      <c r="LH181" s="1319">
        <f t="shared" ca="1" si="1775"/>
        <v>0</v>
      </c>
      <c r="LI181" s="1319">
        <f t="shared" ca="1" si="1775"/>
        <v>1.8798680494233472E-4</v>
      </c>
      <c r="LJ181" s="1319">
        <f t="shared" ca="1" si="1775"/>
        <v>2.0804957099266219</v>
      </c>
      <c r="LK181" s="1319">
        <f t="shared" ca="1" si="1775"/>
        <v>0</v>
      </c>
      <c r="LT181" s="1335"/>
      <c r="LW181" s="1319">
        <f t="shared" ref="LW181:MO181" ca="1" si="1776">(VLOOKUP(LW1,INDIRECT(LU_MAT),$A182,FALSE)/$E181-VLOOKUP(LW1,INDIRECT(LU_MAT),$A181,FALSE)*3600)*$F181/1000000</f>
        <v>-2.2419068918657589E-8</v>
      </c>
      <c r="LX181" s="1319">
        <f t="shared" ca="1" si="1776"/>
        <v>-1.4601923370203552E-7</v>
      </c>
      <c r="LY181" s="1319">
        <f t="shared" ca="1" si="1776"/>
        <v>7.4413432426603778</v>
      </c>
      <c r="LZ181" s="1319">
        <f t="shared" ca="1" si="1776"/>
        <v>4.4829885376048955</v>
      </c>
      <c r="MA181" s="1319">
        <f t="shared" ca="1" si="1776"/>
        <v>11.924331768635263</v>
      </c>
      <c r="MB181" s="1319">
        <f t="shared" ca="1" si="1776"/>
        <v>-2.3683743301554065E-8</v>
      </c>
      <c r="MC181" s="1319">
        <f t="shared" ca="1" si="1776"/>
        <v>1.7031982111587327E-6</v>
      </c>
      <c r="MD181" s="1319">
        <f t="shared" ca="1" si="1776"/>
        <v>-1.8216177994575786E-6</v>
      </c>
      <c r="ME181" s="1319">
        <f t="shared" ca="1" si="1776"/>
        <v>-6.8467415038649038E-8</v>
      </c>
      <c r="MF181" s="1319">
        <f t="shared" ca="1" si="1776"/>
        <v>140.76600353594824</v>
      </c>
      <c r="MG181" s="1319">
        <f t="shared" ca="1" si="1776"/>
        <v>140.76687753128502</v>
      </c>
      <c r="MH181" s="1319">
        <f t="shared" ca="1" si="1776"/>
        <v>-3.9444697900420921E-7</v>
      </c>
      <c r="MI181" s="1319">
        <f t="shared" ca="1" si="1776"/>
        <v>-7.882498273714081E-10</v>
      </c>
      <c r="MJ181" s="1319">
        <f t="shared" ca="1" si="1776"/>
        <v>7.3749608266413054</v>
      </c>
      <c r="MK181" s="1319">
        <f t="shared" ca="1" si="1776"/>
        <v>59.018991375410749</v>
      </c>
      <c r="ML181" s="1319">
        <f t="shared" ca="1" si="1776"/>
        <v>59.018991375410749</v>
      </c>
      <c r="MM181" s="1319">
        <f t="shared" ca="1" si="1776"/>
        <v>2.722609180734215</v>
      </c>
      <c r="MN181" s="1319">
        <f t="shared" ca="1" si="1776"/>
        <v>17.510744931568691</v>
      </c>
      <c r="MO181" s="1319">
        <f t="shared" ca="1" si="1776"/>
        <v>0</v>
      </c>
      <c r="MX181" s="1335"/>
      <c r="NA181" s="1319">
        <f t="shared" ref="NA181:NP181" ca="1" si="1777">(VLOOKUP(NA1,INDIRECT(LU_MAT),$A182,FALSE)/$E181-VLOOKUP(NA1,INDIRECT(LU_MAT),$A181,FALSE)*3600)*$F181/1000000</f>
        <v>-5.7739185028563243E-8</v>
      </c>
      <c r="NB181" s="1319">
        <f t="shared" ca="1" si="1777"/>
        <v>-4.8036382597457419E-8</v>
      </c>
      <c r="NC181" s="1319">
        <f t="shared" ca="1" si="1777"/>
        <v>2.2695009347420401</v>
      </c>
      <c r="ND181" s="1319">
        <f t="shared" ca="1" si="1777"/>
        <v>20.530940022762383</v>
      </c>
      <c r="NE181" s="1319">
        <f t="shared" ca="1" si="1777"/>
        <v>120.17371334364699</v>
      </c>
      <c r="NF181" s="1319">
        <f t="shared" ca="1" si="1777"/>
        <v>140.70465348270946</v>
      </c>
      <c r="NG181" s="1319">
        <f t="shared" ca="1" si="1777"/>
        <v>20.530940022762383</v>
      </c>
      <c r="NH181" s="1319">
        <f t="shared" ca="1" si="1777"/>
        <v>0</v>
      </c>
      <c r="NI181" s="1319">
        <f t="shared" ca="1" si="1777"/>
        <v>140.76600353594824</v>
      </c>
      <c r="NJ181" s="1319">
        <f t="shared" ca="1" si="1777"/>
        <v>140.76600353594824</v>
      </c>
      <c r="NK181" s="1319">
        <f t="shared" ca="1" si="1777"/>
        <v>-7.882498273714081E-10</v>
      </c>
      <c r="NL181" s="1319">
        <f t="shared" ca="1" si="1777"/>
        <v>59.018991375410749</v>
      </c>
      <c r="NM181" s="1319">
        <f t="shared" ca="1" si="1777"/>
        <v>2.722609180734215</v>
      </c>
      <c r="NN181" s="1319">
        <f t="shared" ca="1" si="1777"/>
        <v>-1.5536819078453638E-8</v>
      </c>
      <c r="NO181" s="1319">
        <f t="shared" ca="1" si="1777"/>
        <v>17.510744931568691</v>
      </c>
      <c r="NP181" s="1319">
        <f t="shared" ca="1" si="1777"/>
        <v>43.643977152967665</v>
      </c>
      <c r="NY181" s="1335"/>
      <c r="OE181" s="1335"/>
      <c r="OH181" s="1319">
        <f t="shared" ref="OH181:OO181" ca="1" si="1778">(VLOOKUP(OH1,INDIRECT(LU_MAT),$A182,FALSE)/$E181-VLOOKUP(OH1,INDIRECT(LU_MAT),$A181,FALSE)*3600)*$F181/1000000</f>
        <v>6932.7318617474994</v>
      </c>
      <c r="OI181" s="1319">
        <f t="shared" ca="1" si="1778"/>
        <v>90.155197363837217</v>
      </c>
      <c r="OJ181" s="1319">
        <f t="shared" ca="1" si="1778"/>
        <v>10.278486145393311</v>
      </c>
      <c r="OK181" s="1319">
        <f t="shared" ca="1" si="1778"/>
        <v>6932.7318617474994</v>
      </c>
      <c r="OL181" s="1319">
        <f t="shared" ca="1" si="1778"/>
        <v>-7.7653468550014917E-7</v>
      </c>
      <c r="OM181" s="1319">
        <f t="shared" ca="1" si="1778"/>
        <v>-5.8013541967526304E-7</v>
      </c>
      <c r="ON181" s="1319">
        <f t="shared" ca="1" si="1778"/>
        <v>798.40411395089166</v>
      </c>
      <c r="OO181" s="1319">
        <f t="shared" ca="1" si="1778"/>
        <v>798.40411395089166</v>
      </c>
      <c r="OX181" s="1335"/>
      <c r="PA181" s="1319">
        <f t="shared" ref="PA181:PK181" ca="1" si="1779">(VLOOKUP(PA1,INDIRECT(LU_MAT),$A182,FALSE)/$E181-VLOOKUP(PA1,INDIRECT(LU_MAT),$A181,FALSE)*3600)*$F181/1000000</f>
        <v>81.991254605884009</v>
      </c>
      <c r="PB181" s="1319">
        <f t="shared" ca="1" si="1779"/>
        <v>87.491642786154017</v>
      </c>
      <c r="PC181" s="1319">
        <f t="shared" ca="1" si="1779"/>
        <v>6.6402761585398622</v>
      </c>
      <c r="PD181" s="1319">
        <f t="shared" ca="1" si="1779"/>
        <v>15.602156073866887</v>
      </c>
      <c r="PE181" s="1319">
        <f t="shared" ca="1" si="1779"/>
        <v>219.01646331576038</v>
      </c>
      <c r="PF181" s="1319">
        <f t="shared" ca="1" si="1779"/>
        <v>20.530940022762383</v>
      </c>
      <c r="PG181" s="1319">
        <f t="shared" ca="1" si="1779"/>
        <v>2.0804957099266219</v>
      </c>
      <c r="PH181" s="1319">
        <f t="shared" ca="1" si="1779"/>
        <v>85.559816526553888</v>
      </c>
      <c r="PI181" s="1319">
        <f t="shared" ca="1" si="1779"/>
        <v>304.57628042381475</v>
      </c>
      <c r="PJ181" s="1319">
        <f t="shared" ca="1" si="1779"/>
        <v>8.431758072869254E-2</v>
      </c>
      <c r="PK181" s="1319">
        <f t="shared" ca="1" si="1779"/>
        <v>90.155197363837217</v>
      </c>
      <c r="PT181" s="1335"/>
      <c r="PW181" s="1319">
        <f ca="1">(VLOOKUP(PW1,INDIRECT(LU_MAT),$A182,FALSE)/$E181-VLOOKUP(PW1,INDIRECT(LU_MAT),$A181,FALSE)*3600)*$F181/1000000</f>
        <v>8.431758072869254E-2</v>
      </c>
      <c r="PX181" s="1319">
        <f ca="1">(VLOOKUP(PX1,INDIRECT(LU_MAT),$A182,FALSE)/$E181-VLOOKUP(PX1,INDIRECT(LU_MAT),$A181,FALSE)*3600)*$F181/1000000</f>
        <v>-6.3305778498088328E-10</v>
      </c>
      <c r="PY181" s="1319">
        <f ca="1">(VLOOKUP(PY1,INDIRECT(LU_MAT),$A182,FALSE)/$E181-VLOOKUP(PY1,INDIRECT(LU_MAT),$A181,FALSE)*3600)*$F181/1000000</f>
        <v>8.431758072869254E-2</v>
      </c>
      <c r="PZ181" s="1319">
        <f ca="1">(VLOOKUP(PZ1,INDIRECT(LU_MAT),$A182,FALSE)/$E181-VLOOKUP(PZ1,INDIRECT(LU_MAT),$A181,FALSE)*3600)*$F181/1000000</f>
        <v>8.431758072869254E-2</v>
      </c>
    </row>
    <row r="182" spans="1:442" x14ac:dyDescent="0.25">
      <c r="A182" s="189">
        <v>4</v>
      </c>
      <c r="C182" s="1326" t="s">
        <v>2543</v>
      </c>
      <c r="D182" s="1317"/>
    </row>
    <row r="183" spans="1:442" x14ac:dyDescent="0.25">
      <c r="A183" s="189">
        <v>188</v>
      </c>
      <c r="C183" s="1326" t="s">
        <v>2544</v>
      </c>
      <c r="D183" s="1317"/>
      <c r="E183" s="189">
        <f>E138</f>
        <v>17.030560000000001</v>
      </c>
      <c r="F183" s="1327">
        <v>4743.5000400000008</v>
      </c>
      <c r="G183" s="1335"/>
      <c r="J183" s="1319">
        <f ca="1">(VLOOKUP(J1,INDIRECT(LU_MAT),$A184,FALSE)/$E183-VLOOKUP(J1,INDIRECT(LU_MAT),$A183,FALSE)*3600)*$F183/1000000</f>
        <v>0</v>
      </c>
      <c r="K183" s="1319">
        <f ca="1">(VLOOKUP(K1,INDIRECT(LU_MAT),$A184,FALSE)/$E183-VLOOKUP(K1,INDIRECT(LU_MAT),$A183,FALSE)*3600)*$F183/1000000</f>
        <v>0</v>
      </c>
      <c r="Q183" s="1335"/>
      <c r="T183" s="1319">
        <f t="shared" ref="T183:AD183" ca="1" si="1780">(VLOOKUP(T1,INDIRECT(LU_MAT),$A184,FALSE)/$E183-VLOOKUP(T1,INDIRECT(LU_MAT),$A183,FALSE)*3600)*$F183/1000000</f>
        <v>0</v>
      </c>
      <c r="U183" s="1319">
        <f t="shared" ca="1" si="1780"/>
        <v>0</v>
      </c>
      <c r="V183" s="1319">
        <f t="shared" ca="1" si="1780"/>
        <v>5.5542238844261067E-12</v>
      </c>
      <c r="W183" s="1319">
        <f t="shared" ca="1" si="1780"/>
        <v>0</v>
      </c>
      <c r="X183" s="1319">
        <f t="shared" ca="1" si="1780"/>
        <v>0</v>
      </c>
      <c r="Y183" s="1319">
        <f t="shared" ca="1" si="1780"/>
        <v>5.5542238844261067E-12</v>
      </c>
      <c r="Z183" s="1319">
        <f t="shared" ca="1" si="1780"/>
        <v>-1.6568640954262242E-20</v>
      </c>
      <c r="AA183" s="1319">
        <f t="shared" ca="1" si="1780"/>
        <v>3.4918450141316568E-12</v>
      </c>
      <c r="AB183" s="1319">
        <f t="shared" ca="1" si="1780"/>
        <v>0</v>
      </c>
      <c r="AC183" s="1319">
        <f t="shared" ca="1" si="1780"/>
        <v>5.5542238844261067E-12</v>
      </c>
      <c r="AD183" s="1319">
        <f t="shared" ca="1" si="1780"/>
        <v>0</v>
      </c>
      <c r="AJ183" s="1335"/>
      <c r="AM183" s="1319">
        <f t="shared" ref="AM183:BB183" ca="1" si="1781">(VLOOKUP(AM1,INDIRECT(LU_MAT),$A184,FALSE)/$E183-VLOOKUP(AM1,INDIRECT(LU_MAT),$A183,FALSE)*3600)*$F183/1000000</f>
        <v>0</v>
      </c>
      <c r="AN183" s="1319">
        <f t="shared" ca="1" si="1781"/>
        <v>0</v>
      </c>
      <c r="AO183" s="1319">
        <f t="shared" ca="1" si="1781"/>
        <v>3.4918450141316568E-12</v>
      </c>
      <c r="AP183" s="1319">
        <f t="shared" ca="1" si="1781"/>
        <v>3.4918450141316568E-12</v>
      </c>
      <c r="AQ183" s="1319">
        <f t="shared" ca="1" si="1781"/>
        <v>-1.0108315023109471E-20</v>
      </c>
      <c r="AR183" s="1319">
        <f t="shared" ca="1" si="1781"/>
        <v>-1.7937401500877E-20</v>
      </c>
      <c r="AS183" s="1319">
        <f t="shared" ca="1" si="1781"/>
        <v>3.5656820023665626E-14</v>
      </c>
      <c r="AT183" s="1319">
        <f t="shared" ca="1" si="1781"/>
        <v>-1.8817287202396071E-20</v>
      </c>
      <c r="AU183" s="1319">
        <f t="shared" ca="1" si="1781"/>
        <v>2.7507414225526835E-13</v>
      </c>
      <c r="AV183" s="1319">
        <f t="shared" ca="1" si="1781"/>
        <v>2.0142228899525973E-12</v>
      </c>
      <c r="AW183" s="1319">
        <f t="shared" ca="1" si="1781"/>
        <v>3.2292700313589902E-12</v>
      </c>
      <c r="AX183" s="1319">
        <f t="shared" ca="1" si="1781"/>
        <v>3.5389971786701569E-12</v>
      </c>
      <c r="AY183" s="1319">
        <f t="shared" ca="1" si="1781"/>
        <v>0.29268284533290151</v>
      </c>
      <c r="AZ183" s="1319">
        <f t="shared" ca="1" si="1781"/>
        <v>0</v>
      </c>
      <c r="BA183" s="1319">
        <f t="shared" ca="1" si="1781"/>
        <v>0.29268284533290151</v>
      </c>
      <c r="BB183" s="1319">
        <f t="shared" ca="1" si="1781"/>
        <v>0</v>
      </c>
      <c r="BK183" s="1335"/>
      <c r="BN183" s="1319">
        <f ca="1">(VLOOKUP(BN1,INDIRECT(LU_MAT),$A184,FALSE)/$E183-VLOOKUP(BN1,INDIRECT(LU_MAT),$A183,FALSE)*3600)*$F183/1000000</f>
        <v>5.6058043391444229E-6</v>
      </c>
      <c r="BO183" s="1319">
        <f ca="1">(VLOOKUP(BO1,INDIRECT(LU_MAT),$A184,FALSE)/$E183-VLOOKUP(BO1,INDIRECT(LU_MAT),$A183,FALSE)*3600)*$F183/1000000</f>
        <v>5.4927842372727866E-6</v>
      </c>
      <c r="BP183" s="1319">
        <f ca="1">(VLOOKUP(BP1,INDIRECT(LU_MAT),$A184,FALSE)/$E183-VLOOKUP(BP1,INDIRECT(LU_MAT),$A183,FALSE)*3600)*$F183/1000000</f>
        <v>-9.9622682406061753E-16</v>
      </c>
      <c r="BQ183" s="1319">
        <f ca="1">(VLOOKUP(BQ1,INDIRECT(LU_MAT),$A184,FALSE)/$E183-VLOOKUP(BQ1,INDIRECT(LU_MAT),$A183,FALSE)*3600)*$F183/1000000</f>
        <v>0</v>
      </c>
      <c r="BR183" s="1319">
        <f ca="1">(VLOOKUP(BR1,INDIRECT(LU_MAT),$A184,FALSE)/$E183-VLOOKUP(BR1,INDIRECT(LU_MAT),$A183,FALSE)*3600)*$F183/1000000</f>
        <v>0</v>
      </c>
      <c r="CA183" s="1335"/>
      <c r="CD183" s="1319">
        <f t="shared" ref="CD183:CO183" ca="1" si="1782">(VLOOKUP(CD1,INDIRECT(LU_MAT),$A184,FALSE)/$E183-VLOOKUP(CD1,INDIRECT(LU_MAT),$A183,FALSE)*3600)*$F183/1000000</f>
        <v>0</v>
      </c>
      <c r="CE183" s="1319">
        <f t="shared" ca="1" si="1782"/>
        <v>0</v>
      </c>
      <c r="CF183" s="1319">
        <f t="shared" ca="1" si="1782"/>
        <v>5.6058043391444229E-6</v>
      </c>
      <c r="CG183" s="1319">
        <f t="shared" ca="1" si="1782"/>
        <v>5.4927842372727866E-6</v>
      </c>
      <c r="CH183" s="1319">
        <f t="shared" ca="1" si="1782"/>
        <v>5.6057221731726759E-5</v>
      </c>
      <c r="CI183" s="1319">
        <f t="shared" ca="1" si="1782"/>
        <v>0</v>
      </c>
      <c r="CJ183" s="1319">
        <f t="shared" ca="1" si="1782"/>
        <v>0</v>
      </c>
      <c r="CK183" s="1319">
        <f t="shared" ca="1" si="1782"/>
        <v>5.484828259419294E-5</v>
      </c>
      <c r="CL183" s="1319">
        <f t="shared" ca="1" si="1782"/>
        <v>-7.6572258945101875E-15</v>
      </c>
      <c r="CM183" s="1319">
        <f t="shared" ca="1" si="1782"/>
        <v>5.6057221731726759E-5</v>
      </c>
      <c r="CN183" s="1319">
        <f t="shared" ca="1" si="1782"/>
        <v>5.6514762527608297E-5</v>
      </c>
      <c r="CO183" s="1319">
        <f t="shared" ca="1" si="1782"/>
        <v>1.6664799779799449E-6</v>
      </c>
      <c r="CX183" s="1335"/>
      <c r="DA183" s="1319">
        <f t="shared" ref="DA183:DJ183" ca="1" si="1783">(VLOOKUP(DA1,INDIRECT(LU_MAT),$A184,FALSE)/$E183-VLOOKUP(DA1,INDIRECT(LU_MAT),$A183,FALSE)*3600)*$F183/1000000</f>
        <v>3.1143357408743606E-7</v>
      </c>
      <c r="DB183" s="1319">
        <f t="shared" ca="1" si="1783"/>
        <v>0</v>
      </c>
      <c r="DC183" s="1319">
        <f t="shared" ca="1" si="1783"/>
        <v>0</v>
      </c>
      <c r="DD183" s="1319">
        <f t="shared" ca="1" si="1783"/>
        <v>-1.3899332849949312E-11</v>
      </c>
      <c r="DE183" s="1319">
        <f t="shared" ca="1" si="1783"/>
        <v>8.3148441134061027E-5</v>
      </c>
      <c r="DF183" s="1319">
        <f t="shared" ca="1" si="1783"/>
        <v>-8.7961893143938087E-13</v>
      </c>
      <c r="DG183" s="1319">
        <f t="shared" ca="1" si="1783"/>
        <v>0</v>
      </c>
      <c r="DH183" s="1319">
        <f t="shared" ca="1" si="1783"/>
        <v>0</v>
      </c>
      <c r="DI183" s="1319">
        <f t="shared" ca="1" si="1783"/>
        <v>0</v>
      </c>
      <c r="DJ183" s="1319">
        <f t="shared" ca="1" si="1783"/>
        <v>0</v>
      </c>
      <c r="DS183" s="1335"/>
      <c r="DV183" s="1319">
        <f t="shared" ref="DV183:EK183" ca="1" si="1784">(VLOOKUP(DV1,INDIRECT(LU_MAT),$A184,FALSE)/$E183-VLOOKUP(DV1,INDIRECT(LU_MAT),$A183,FALSE)*3600)*$F183/1000000</f>
        <v>0</v>
      </c>
      <c r="DW183" s="1319">
        <f t="shared" ca="1" si="1784"/>
        <v>0</v>
      </c>
      <c r="DX183" s="1319">
        <f t="shared" ca="1" si="1784"/>
        <v>6.2286714817487216E-6</v>
      </c>
      <c r="DY183" s="1319">
        <f t="shared" ca="1" si="1784"/>
        <v>3.1143357408743606E-7</v>
      </c>
      <c r="DZ183" s="1319">
        <f t="shared" ca="1" si="1784"/>
        <v>0</v>
      </c>
      <c r="EA183" s="1319">
        <f t="shared" ca="1" si="1784"/>
        <v>8.3148441134061027E-5</v>
      </c>
      <c r="EB183" s="1319">
        <f t="shared" ca="1" si="1784"/>
        <v>5.9172379104465731E-6</v>
      </c>
      <c r="EC183" s="1319">
        <f t="shared" ca="1" si="1784"/>
        <v>0</v>
      </c>
      <c r="ED183" s="1319">
        <f t="shared" ca="1" si="1784"/>
        <v>5.6057221731726759E-5</v>
      </c>
      <c r="EE183" s="1319">
        <f t="shared" ca="1" si="1784"/>
        <v>-4.0684304747470832E-13</v>
      </c>
      <c r="EF183" s="1319">
        <f t="shared" ca="1" si="1784"/>
        <v>0</v>
      </c>
      <c r="EG183" s="1319">
        <f t="shared" ca="1" si="1784"/>
        <v>-2.074265245671649E-10</v>
      </c>
      <c r="EH183" s="1319">
        <f t="shared" ca="1" si="1784"/>
        <v>0</v>
      </c>
      <c r="EI183" s="1319">
        <f t="shared" ca="1" si="1784"/>
        <v>0</v>
      </c>
      <c r="EJ183" s="1319">
        <f t="shared" ca="1" si="1784"/>
        <v>0</v>
      </c>
      <c r="EK183" s="1319">
        <f t="shared" ca="1" si="1784"/>
        <v>0</v>
      </c>
      <c r="ET183" s="1335"/>
      <c r="EW183" s="1319">
        <f t="shared" ref="EW183:FB183" ca="1" si="1785">(VLOOKUP(EW1,INDIRECT(LU_MAT),$A184,FALSE)/$E183-VLOOKUP(EW1,INDIRECT(LU_MAT),$A183,FALSE)*3600)*$F183/1000000</f>
        <v>5.6514762527608297E-5</v>
      </c>
      <c r="EX183" s="1319">
        <f t="shared" ca="1" si="1785"/>
        <v>5.6514762527608297E-5</v>
      </c>
      <c r="EY183" s="1319">
        <f t="shared" ca="1" si="1785"/>
        <v>2.0696325157037455E-7</v>
      </c>
      <c r="EZ183" s="1319">
        <f t="shared" ca="1" si="1785"/>
        <v>2.0696325157037455E-7</v>
      </c>
      <c r="FA183" s="1319">
        <f t="shared" ca="1" si="1785"/>
        <v>-3.6515269579678519E-15</v>
      </c>
      <c r="FB183" s="1319">
        <f t="shared" ca="1" si="1785"/>
        <v>-5.4302772237548987E-13</v>
      </c>
      <c r="FK183" s="1335"/>
      <c r="FN183" s="1319">
        <f t="shared" ref="FN183:FX183" ca="1" si="1786">(VLOOKUP(FN1,INDIRECT(LU_MAT),$A184,FALSE)/$E183-VLOOKUP(FN1,INDIRECT(LU_MAT),$A183,FALSE)*3600)*$F183/1000000</f>
        <v>-9.9622682406061753E-16</v>
      </c>
      <c r="FO183" s="1319">
        <f t="shared" ca="1" si="1786"/>
        <v>-7.6572258945101875E-15</v>
      </c>
      <c r="FP183" s="1319">
        <f t="shared" ca="1" si="1786"/>
        <v>-3.6515269579678519E-15</v>
      </c>
      <c r="FQ183" s="1319">
        <f t="shared" ca="1" si="1786"/>
        <v>-5.4302772237548987E-13</v>
      </c>
      <c r="FR183" s="1319">
        <f t="shared" ca="1" si="1786"/>
        <v>-3.082881128255279E-13</v>
      </c>
      <c r="FS183" s="1319">
        <f t="shared" ca="1" si="1786"/>
        <v>5.5542238844261067E-12</v>
      </c>
      <c r="FT183" s="1319">
        <f t="shared" ca="1" si="1786"/>
        <v>0</v>
      </c>
      <c r="FU183" s="1319">
        <f t="shared" ca="1" si="1786"/>
        <v>-1.2779329688286209E-14</v>
      </c>
      <c r="FV183" s="1319">
        <f t="shared" ca="1" si="1786"/>
        <v>0</v>
      </c>
      <c r="FW183" s="1319">
        <f t="shared" ca="1" si="1786"/>
        <v>-2.0207653282029084E-16</v>
      </c>
      <c r="FX183" s="1319">
        <f t="shared" ca="1" si="1786"/>
        <v>1.6664799779799449E-6</v>
      </c>
      <c r="GG183" s="1335"/>
      <c r="GJ183" s="1319">
        <f t="shared" ref="GJ183:GQ183" ca="1" si="1787">(VLOOKUP(GJ1,INDIRECT(LU_MAT),$A184,FALSE)/$E183-VLOOKUP(GJ1,INDIRECT(LU_MAT),$A183,FALSE)*3600)*$F183/1000000</f>
        <v>-3.082881128255279E-13</v>
      </c>
      <c r="GK183" s="1319">
        <f t="shared" ca="1" si="1787"/>
        <v>-3.082881128255279E-13</v>
      </c>
      <c r="GL183" s="1319">
        <f t="shared" ca="1" si="1787"/>
        <v>0</v>
      </c>
      <c r="GM183" s="1319">
        <f t="shared" ca="1" si="1787"/>
        <v>-3.082881128255279E-13</v>
      </c>
      <c r="GN183" s="1319">
        <f t="shared" ca="1" si="1787"/>
        <v>5.5824290671799685E-5</v>
      </c>
      <c r="GO183" s="1319">
        <f t="shared" ca="1" si="1787"/>
        <v>0</v>
      </c>
      <c r="GP183" s="1319">
        <f t="shared" ca="1" si="1787"/>
        <v>-3.082881128255279E-13</v>
      </c>
      <c r="GQ183" s="1319">
        <f t="shared" ca="1" si="1787"/>
        <v>0</v>
      </c>
      <c r="GZ183" s="1335"/>
      <c r="HC183" s="1319">
        <f t="shared" ref="HC183:HH183" ca="1" si="1788">(VLOOKUP(HC1,INDIRECT(LU_MAT),$A184,FALSE)/$E183-VLOOKUP(HC1,INDIRECT(LU_MAT),$A183,FALSE)*3600)*$F183/1000000</f>
        <v>2.0696325157037455E-7</v>
      </c>
      <c r="HD183" s="1319">
        <f t="shared" ca="1" si="1788"/>
        <v>1.992576832894366E-7</v>
      </c>
      <c r="HE183" s="1319">
        <f t="shared" ca="1" si="1788"/>
        <v>0</v>
      </c>
      <c r="HF183" s="1319">
        <f t="shared" ca="1" si="1788"/>
        <v>-1.5291294543317851E-17</v>
      </c>
      <c r="HG183" s="1319">
        <f t="shared" ca="1" si="1788"/>
        <v>6.1444006963340147E-9</v>
      </c>
      <c r="HH183" s="1319">
        <f t="shared" ca="1" si="1788"/>
        <v>1.992576832894366E-7</v>
      </c>
      <c r="HQ183" s="1335"/>
      <c r="HT183" s="1319">
        <f t="shared" ref="HT183:IE183" ca="1" si="1789">(VLOOKUP(HT1,INDIRECT(LU_MAT),$A184,FALSE)/$E183-VLOOKUP(HT1,INDIRECT(LU_MAT),$A183,FALSE)*3600)*$F183/1000000</f>
        <v>3.5389971786701569E-12</v>
      </c>
      <c r="HU183" s="1319">
        <f t="shared" ca="1" si="1789"/>
        <v>1.992576832894366E-7</v>
      </c>
      <c r="HV183" s="1319">
        <f t="shared" ca="1" si="1789"/>
        <v>1.9926122338943969E-7</v>
      </c>
      <c r="HW183" s="1319">
        <f t="shared" ca="1" si="1789"/>
        <v>1.9926122338943969E-7</v>
      </c>
      <c r="HX183" s="1319">
        <f t="shared" ca="1" si="1789"/>
        <v>0.17641778836369268</v>
      </c>
      <c r="HY183" s="1319">
        <f t="shared" ca="1" si="1789"/>
        <v>1.341555458794552E-2</v>
      </c>
      <c r="HZ183" s="1319">
        <f t="shared" ca="1" si="1789"/>
        <v>-6.4909670840623993E-11</v>
      </c>
      <c r="IA183" s="1319">
        <f t="shared" ca="1" si="1789"/>
        <v>-1.4790007088078959E-14</v>
      </c>
      <c r="IB183" s="1319">
        <f t="shared" ca="1" si="1789"/>
        <v>0</v>
      </c>
      <c r="IC183" s="1319">
        <f t="shared" ca="1" si="1789"/>
        <v>0</v>
      </c>
      <c r="ID183" s="1319">
        <f t="shared" ca="1" si="1789"/>
        <v>0</v>
      </c>
      <c r="IE183" s="1319">
        <f t="shared" ca="1" si="1789"/>
        <v>0</v>
      </c>
      <c r="IN183" s="1335"/>
      <c r="IQ183" s="1319">
        <f t="shared" ref="IQ183:JH183" ca="1" si="1790">(VLOOKUP(IQ1,INDIRECT(LU_MAT),$A184,FALSE)/$E183-VLOOKUP(IQ1,INDIRECT(LU_MAT),$A183,FALSE)*3600)*$F183/1000000</f>
        <v>0.17641778836369268</v>
      </c>
      <c r="IR183" s="1319">
        <f t="shared" ca="1" si="1790"/>
        <v>1.341555458794552E-2</v>
      </c>
      <c r="IS183" s="1319">
        <f t="shared" ca="1" si="1790"/>
        <v>1.8081976930226285E-4</v>
      </c>
      <c r="IT183" s="1319">
        <f t="shared" ca="1" si="1790"/>
        <v>1.3596374373123919E-2</v>
      </c>
      <c r="IU183" s="1319">
        <f t="shared" ca="1" si="1790"/>
        <v>1.2689444970221737E-2</v>
      </c>
      <c r="IV183" s="1319">
        <f t="shared" ca="1" si="1790"/>
        <v>5.3004336417067097E-3</v>
      </c>
      <c r="IW183" s="1319">
        <f t="shared" ca="1" si="1790"/>
        <v>4.3396744543413909E-3</v>
      </c>
      <c r="IX183" s="1319">
        <f t="shared" ref="IX183" ca="1" si="1791">(VLOOKUP(IX1,INDIRECT(LU_MAT),$A184,FALSE)/$E183-VLOOKUP(IX1,INDIRECT(LU_MAT),$A183,FALSE)*3600)*$F183/1000000</f>
        <v>-1.1156057673472345E-12</v>
      </c>
      <c r="IY183" s="1319">
        <f t="shared" ca="1" si="1790"/>
        <v>9.0692541025252005E-4</v>
      </c>
      <c r="IZ183" s="1319">
        <f t="shared" ca="1" si="1790"/>
        <v>7.7993992303562233E-4</v>
      </c>
      <c r="JA183" s="1319">
        <f t="shared" ca="1" si="1790"/>
        <v>4.5204941833900322E-3</v>
      </c>
      <c r="JB183" s="1319">
        <f t="shared" ca="1" si="1790"/>
        <v>0</v>
      </c>
      <c r="JC183" s="1319">
        <f t="shared" ca="1" si="1790"/>
        <v>6.4940551995098042E-4</v>
      </c>
      <c r="JD183" s="1319">
        <f t="shared" ca="1" si="1790"/>
        <v>0</v>
      </c>
      <c r="JE183" s="1319">
        <f t="shared" ca="1" si="1790"/>
        <v>7.7991508341503622E-4</v>
      </c>
      <c r="JF183" s="1319">
        <f t="shared" ca="1" si="1790"/>
        <v>0</v>
      </c>
      <c r="JG183" s="1319">
        <f t="shared" ca="1" si="1790"/>
        <v>0</v>
      </c>
      <c r="JH183" s="1319">
        <f t="shared" ca="1" si="1790"/>
        <v>-1.4790007088078959E-14</v>
      </c>
      <c r="JQ183" s="1335"/>
      <c r="JT183" s="1319">
        <f t="shared" ref="JT183:KC183" ca="1" si="1792">(VLOOKUP(JT1,INDIRECT(LU_MAT),$A184,FALSE)/$E183-VLOOKUP(JT1,INDIRECT(LU_MAT),$A183,FALSE)*3600)*$F183/1000000</f>
        <v>0</v>
      </c>
      <c r="JU183" s="1319">
        <f t="shared" ca="1" si="1792"/>
        <v>0</v>
      </c>
      <c r="JV183" s="1319">
        <f t="shared" ca="1" si="1792"/>
        <v>0</v>
      </c>
      <c r="JW183" s="1319">
        <f t="shared" ca="1" si="1792"/>
        <v>0</v>
      </c>
      <c r="JX183" s="1319">
        <f t="shared" ca="1" si="1792"/>
        <v>5.5824290671799685E-5</v>
      </c>
      <c r="JY183" s="1319">
        <f t="shared" ca="1" si="1792"/>
        <v>0</v>
      </c>
      <c r="JZ183" s="1319">
        <f t="shared" ca="1" si="1792"/>
        <v>5.5824290671799685E-5</v>
      </c>
      <c r="KA183" s="1319">
        <f t="shared" ca="1" si="1792"/>
        <v>0</v>
      </c>
      <c r="KB183" s="1319">
        <f t="shared" ca="1" si="1792"/>
        <v>0</v>
      </c>
      <c r="KC183" s="1319">
        <f t="shared" ca="1" si="1792"/>
        <v>0</v>
      </c>
      <c r="KI183" s="1335"/>
      <c r="KL183" s="1319">
        <f t="shared" ref="KL183:KR183" ca="1" si="1793">(VLOOKUP(KL1,INDIRECT(LU_MAT),$A184,FALSE)/$E183-VLOOKUP(KL1,INDIRECT(LU_MAT),$A183,FALSE)*3600)*$F183/1000000</f>
        <v>0.29268284533290151</v>
      </c>
      <c r="KM183" s="1319">
        <f t="shared" ca="1" si="1793"/>
        <v>0</v>
      </c>
      <c r="KN183" s="1319">
        <f t="shared" ca="1" si="1793"/>
        <v>0</v>
      </c>
      <c r="KO183" s="1319">
        <f t="shared" ca="1" si="1793"/>
        <v>-1.3899332849949312E-11</v>
      </c>
      <c r="KP183" s="1319">
        <f t="shared" ca="1" si="1793"/>
        <v>-2.074265245671649E-10</v>
      </c>
      <c r="KQ183" s="1319">
        <f t="shared" ca="1" si="1793"/>
        <v>0.32470616381179629</v>
      </c>
      <c r="KR183" s="1319">
        <f t="shared" ca="1" si="1793"/>
        <v>0</v>
      </c>
      <c r="KX183" s="1335"/>
      <c r="LA183" s="1319">
        <f t="shared" ref="LA183:LK183" ca="1" si="1794">(VLOOKUP(LA1,INDIRECT(LU_MAT),$A184,FALSE)/$E183-VLOOKUP(LA1,INDIRECT(LU_MAT),$A183,FALSE)*3600)*$F183/1000000</f>
        <v>-1.5291294543317851E-17</v>
      </c>
      <c r="LB183" s="1319">
        <f t="shared" ca="1" si="1794"/>
        <v>-6.4909670840623993E-11</v>
      </c>
      <c r="LC183" s="1319">
        <f t="shared" ca="1" si="1794"/>
        <v>-7.050387735630426E-11</v>
      </c>
      <c r="LD183" s="1319">
        <f t="shared" ca="1" si="1794"/>
        <v>-7.050387735630426E-11</v>
      </c>
      <c r="LE183" s="1319">
        <f t="shared" ca="1" si="1794"/>
        <v>0</v>
      </c>
      <c r="LF183" s="1319">
        <f t="shared" ca="1" si="1794"/>
        <v>-1.2685217241014507E-11</v>
      </c>
      <c r="LG183" s="1319">
        <f t="shared" ca="1" si="1794"/>
        <v>2.7192478869561948E-10</v>
      </c>
      <c r="LH183" s="1319">
        <f t="shared" ca="1" si="1794"/>
        <v>0</v>
      </c>
      <c r="LI183" s="1319">
        <f t="shared" ca="1" si="1794"/>
        <v>2.0196554810332065E-7</v>
      </c>
      <c r="LJ183" s="1319">
        <f t="shared" ca="1" si="1794"/>
        <v>0</v>
      </c>
      <c r="LK183" s="1319">
        <f t="shared" ca="1" si="1794"/>
        <v>0</v>
      </c>
      <c r="LT183" s="1335"/>
      <c r="LW183" s="1319">
        <f t="shared" ref="LW183:MO183" ca="1" si="1795">(VLOOKUP(LW1,INDIRECT(LU_MAT),$A184,FALSE)/$E183-VLOOKUP(LW1,INDIRECT(LU_MAT),$A183,FALSE)*3600)*$F183/1000000</f>
        <v>0</v>
      </c>
      <c r="LX183" s="1319">
        <f t="shared" ca="1" si="1795"/>
        <v>0</v>
      </c>
      <c r="LY183" s="1319">
        <f t="shared" ca="1" si="1795"/>
        <v>6.1444006963340147E-9</v>
      </c>
      <c r="LZ183" s="1319">
        <f t="shared" ca="1" si="1795"/>
        <v>9.0692541025252005E-4</v>
      </c>
      <c r="MA183" s="1319">
        <f t="shared" ca="1" si="1795"/>
        <v>9.069315545960345E-4</v>
      </c>
      <c r="MB183" s="1319">
        <f t="shared" ca="1" si="1795"/>
        <v>-7.050387735630426E-11</v>
      </c>
      <c r="MC183" s="1319">
        <f t="shared" ca="1" si="1795"/>
        <v>-1.2685217241014507E-11</v>
      </c>
      <c r="MD183" s="1319">
        <f t="shared" ca="1" si="1795"/>
        <v>0</v>
      </c>
      <c r="ME183" s="1319">
        <f t="shared" ca="1" si="1795"/>
        <v>0</v>
      </c>
      <c r="MF183" s="1319">
        <f t="shared" ca="1" si="1795"/>
        <v>0</v>
      </c>
      <c r="MG183" s="1319">
        <f t="shared" ca="1" si="1795"/>
        <v>0</v>
      </c>
      <c r="MH183" s="1319">
        <f t="shared" ca="1" si="1795"/>
        <v>0</v>
      </c>
      <c r="MI183" s="1319">
        <f t="shared" ca="1" si="1795"/>
        <v>0</v>
      </c>
      <c r="MJ183" s="1319">
        <f t="shared" ca="1" si="1795"/>
        <v>0</v>
      </c>
      <c r="MK183" s="1319">
        <f t="shared" ca="1" si="1795"/>
        <v>0</v>
      </c>
      <c r="ML183" s="1319">
        <f t="shared" ca="1" si="1795"/>
        <v>0</v>
      </c>
      <c r="MM183" s="1319">
        <f t="shared" ca="1" si="1795"/>
        <v>0</v>
      </c>
      <c r="MN183" s="1319">
        <f t="shared" ca="1" si="1795"/>
        <v>0</v>
      </c>
      <c r="MO183" s="1319">
        <f t="shared" ca="1" si="1795"/>
        <v>0</v>
      </c>
      <c r="MX183" s="1335"/>
      <c r="NA183" s="1319">
        <f t="shared" ref="NA183:NP183" ca="1" si="1796">(VLOOKUP(NA1,INDIRECT(LU_MAT),$A184,FALSE)/$E183-VLOOKUP(NA1,INDIRECT(LU_MAT),$A183,FALSE)*3600)*$F183/1000000</f>
        <v>-1.6568640954262242E-20</v>
      </c>
      <c r="NB183" s="1319">
        <f t="shared" ca="1" si="1796"/>
        <v>-1.7937401500877E-20</v>
      </c>
      <c r="NC183" s="1319">
        <f t="shared" ca="1" si="1796"/>
        <v>3.5656820023665626E-14</v>
      </c>
      <c r="ND183" s="1319">
        <f t="shared" ca="1" si="1796"/>
        <v>0</v>
      </c>
      <c r="NE183" s="1319">
        <f t="shared" ca="1" si="1796"/>
        <v>0</v>
      </c>
      <c r="NF183" s="1319">
        <f t="shared" ca="1" si="1796"/>
        <v>0</v>
      </c>
      <c r="NG183" s="1319">
        <f t="shared" ca="1" si="1796"/>
        <v>0</v>
      </c>
      <c r="NH183" s="1319">
        <f t="shared" ca="1" si="1796"/>
        <v>0</v>
      </c>
      <c r="NI183" s="1319">
        <f t="shared" ca="1" si="1796"/>
        <v>0</v>
      </c>
      <c r="NJ183" s="1319">
        <f t="shared" ca="1" si="1796"/>
        <v>0</v>
      </c>
      <c r="NK183" s="1319">
        <f t="shared" ca="1" si="1796"/>
        <v>0</v>
      </c>
      <c r="NL183" s="1319">
        <f t="shared" ca="1" si="1796"/>
        <v>0</v>
      </c>
      <c r="NM183" s="1319">
        <f t="shared" ca="1" si="1796"/>
        <v>0</v>
      </c>
      <c r="NN183" s="1319">
        <f t="shared" ca="1" si="1796"/>
        <v>0</v>
      </c>
      <c r="NO183" s="1319">
        <f t="shared" ca="1" si="1796"/>
        <v>0</v>
      </c>
      <c r="NP183" s="1319">
        <f t="shared" ca="1" si="1796"/>
        <v>0</v>
      </c>
      <c r="NY183" s="1335"/>
      <c r="OE183" s="1335"/>
      <c r="OH183" s="1319">
        <f t="shared" ref="OH183:OO183" ca="1" si="1797">(VLOOKUP(OH1,INDIRECT(LU_MAT),$A184,FALSE)/$E183-VLOOKUP(OH1,INDIRECT(LU_MAT),$A183,FALSE)*3600)*$F183/1000000</f>
        <v>0</v>
      </c>
      <c r="OI183" s="1319">
        <f t="shared" ca="1" si="1797"/>
        <v>0</v>
      </c>
      <c r="OJ183" s="1319">
        <f t="shared" ca="1" si="1797"/>
        <v>0</v>
      </c>
      <c r="OK183" s="1319">
        <f t="shared" ca="1" si="1797"/>
        <v>0</v>
      </c>
      <c r="OL183" s="1319">
        <f t="shared" ca="1" si="1797"/>
        <v>0</v>
      </c>
      <c r="OM183" s="1319">
        <f t="shared" ca="1" si="1797"/>
        <v>0</v>
      </c>
      <c r="ON183" s="1319">
        <f t="shared" ca="1" si="1797"/>
        <v>0</v>
      </c>
      <c r="OO183" s="1319">
        <f t="shared" ca="1" si="1797"/>
        <v>0</v>
      </c>
      <c r="OX183" s="1335"/>
      <c r="PA183" s="1319">
        <f t="shared" ref="PA183:PK183" ca="1" si="1798">(VLOOKUP(PA1,INDIRECT(LU_MAT),$A184,FALSE)/$E183-VLOOKUP(PA1,INDIRECT(LU_MAT),$A183,FALSE)*3600)*$F183/1000000</f>
        <v>0</v>
      </c>
      <c r="PB183" s="1319">
        <f t="shared" ca="1" si="1798"/>
        <v>0</v>
      </c>
      <c r="PC183" s="1319">
        <f t="shared" ca="1" si="1798"/>
        <v>0</v>
      </c>
      <c r="PD183" s="1319">
        <f t="shared" ca="1" si="1798"/>
        <v>0</v>
      </c>
      <c r="PE183" s="1319">
        <f t="shared" ca="1" si="1798"/>
        <v>0</v>
      </c>
      <c r="PF183" s="1319">
        <f t="shared" ca="1" si="1798"/>
        <v>0</v>
      </c>
      <c r="PG183" s="1319">
        <f t="shared" ca="1" si="1798"/>
        <v>0</v>
      </c>
      <c r="PH183" s="1319">
        <f t="shared" ca="1" si="1798"/>
        <v>0</v>
      </c>
      <c r="PI183" s="1319">
        <f t="shared" ca="1" si="1798"/>
        <v>0</v>
      </c>
      <c r="PJ183" s="1319">
        <f t="shared" ca="1" si="1798"/>
        <v>0</v>
      </c>
      <c r="PK183" s="1319">
        <f t="shared" ca="1" si="1798"/>
        <v>0</v>
      </c>
      <c r="PT183" s="1335"/>
      <c r="PW183" s="1319">
        <f ca="1">(VLOOKUP(PW1,INDIRECT(LU_MAT),$A184,FALSE)/$E183-VLOOKUP(PW1,INDIRECT(LU_MAT),$A183,FALSE)*3600)*$F183/1000000</f>
        <v>0</v>
      </c>
      <c r="PX183" s="1319">
        <f ca="1">(VLOOKUP(PX1,INDIRECT(LU_MAT),$A184,FALSE)/$E183-VLOOKUP(PX1,INDIRECT(LU_MAT),$A183,FALSE)*3600)*$F183/1000000</f>
        <v>0</v>
      </c>
      <c r="PY183" s="1319">
        <f ca="1">(VLOOKUP(PY1,INDIRECT(LU_MAT),$A184,FALSE)/$E183-VLOOKUP(PY1,INDIRECT(LU_MAT),$A183,FALSE)*3600)*$F183/1000000</f>
        <v>0</v>
      </c>
      <c r="PZ183" s="1319">
        <f ca="1">(VLOOKUP(PZ1,INDIRECT(LU_MAT),$A184,FALSE)/$E183-VLOOKUP(PZ1,INDIRECT(LU_MAT),$A183,FALSE)*3600)*$F183/1000000</f>
        <v>0</v>
      </c>
    </row>
    <row r="184" spans="1:442" x14ac:dyDescent="0.25">
      <c r="A184" s="189">
        <v>27</v>
      </c>
      <c r="C184" s="1326" t="s">
        <v>2543</v>
      </c>
      <c r="D184" s="1317"/>
    </row>
    <row r="185" spans="1:442" x14ac:dyDescent="0.25">
      <c r="A185" s="1325" t="s">
        <v>2996</v>
      </c>
    </row>
    <row r="186" spans="1:442" x14ac:dyDescent="0.25">
      <c r="A186" s="189">
        <v>166</v>
      </c>
      <c r="C186" s="1326" t="s">
        <v>2542</v>
      </c>
      <c r="D186" s="1317"/>
      <c r="E186" s="189">
        <f>E116</f>
        <v>46.069040000000001</v>
      </c>
      <c r="F186" s="1327">
        <v>10160.889999999992</v>
      </c>
      <c r="G186" s="1335"/>
      <c r="J186" s="1319">
        <f t="shared" ref="J186:K188" ca="1" si="1799">(VLOOKUP(J$1,INDIRECT(LU_MAT),$A186,FALSE)*3600)*$F186/1000000</f>
        <v>0</v>
      </c>
      <c r="K186" s="1319">
        <f t="shared" ca="1" si="1799"/>
        <v>0</v>
      </c>
      <c r="Q186" s="1335"/>
      <c r="T186" s="1319">
        <f t="shared" ref="T186:AD188" ca="1" si="1800">(VLOOKUP(T$1,INDIRECT(LU_MAT),$A186,FALSE)*3600)*$F186/1000000</f>
        <v>0</v>
      </c>
      <c r="U186" s="1319">
        <f t="shared" ca="1" si="1800"/>
        <v>0</v>
      </c>
      <c r="V186" s="1319">
        <f t="shared" ca="1" si="1800"/>
        <v>0</v>
      </c>
      <c r="W186" s="1319">
        <f t="shared" ca="1" si="1800"/>
        <v>0</v>
      </c>
      <c r="X186" s="1319">
        <f t="shared" ca="1" si="1800"/>
        <v>0</v>
      </c>
      <c r="Y186" s="1319">
        <f t="shared" ca="1" si="1800"/>
        <v>0</v>
      </c>
      <c r="Z186" s="1319">
        <f t="shared" ca="1" si="1800"/>
        <v>1.8198384178136659E-3</v>
      </c>
      <c r="AA186" s="1319">
        <f t="shared" ca="1" si="1800"/>
        <v>0</v>
      </c>
      <c r="AB186" s="1319">
        <f t="shared" ca="1" si="1800"/>
        <v>0</v>
      </c>
      <c r="AC186" s="1319">
        <f t="shared" ca="1" si="1800"/>
        <v>0</v>
      </c>
      <c r="AD186" s="1319">
        <f t="shared" ca="1" si="1800"/>
        <v>0</v>
      </c>
      <c r="AJ186" s="1335"/>
      <c r="AM186" s="1319">
        <f t="shared" ref="AM186:BB188" ca="1" si="1801">(VLOOKUP(AM$1,INDIRECT(LU_MAT),$A186,FALSE)*3600)*$F186/1000000</f>
        <v>0</v>
      </c>
      <c r="AN186" s="1319">
        <f t="shared" ca="1" si="1801"/>
        <v>0</v>
      </c>
      <c r="AO186" s="1319">
        <f t="shared" ca="1" si="1801"/>
        <v>0</v>
      </c>
      <c r="AP186" s="1319">
        <f t="shared" ca="1" si="1801"/>
        <v>0</v>
      </c>
      <c r="AQ186" s="1319">
        <f t="shared" ca="1" si="1801"/>
        <v>9.4647188006719734E-4</v>
      </c>
      <c r="AR186" s="1319">
        <f t="shared" ca="1" si="1801"/>
        <v>1.7807831875042443E-3</v>
      </c>
      <c r="AS186" s="1319">
        <f t="shared" ca="1" si="1801"/>
        <v>0</v>
      </c>
      <c r="AT186" s="1319">
        <f t="shared" ca="1" si="1801"/>
        <v>2.4656134821031662E-3</v>
      </c>
      <c r="AU186" s="1319">
        <f t="shared" ca="1" si="1801"/>
        <v>0</v>
      </c>
      <c r="AV186" s="1319">
        <f t="shared" ca="1" si="1801"/>
        <v>0</v>
      </c>
      <c r="AW186" s="1319">
        <f t="shared" ca="1" si="1801"/>
        <v>0</v>
      </c>
      <c r="AX186" s="1319">
        <f t="shared" ca="1" si="1801"/>
        <v>6.2949740576293282E-7</v>
      </c>
      <c r="AY186" s="1319">
        <f t="shared" ca="1" si="1801"/>
        <v>0</v>
      </c>
      <c r="AZ186" s="1319">
        <f t="shared" ca="1" si="1801"/>
        <v>0</v>
      </c>
      <c r="BA186" s="1319">
        <f t="shared" ca="1" si="1801"/>
        <v>0</v>
      </c>
      <c r="BB186" s="1319">
        <f t="shared" ca="1" si="1801"/>
        <v>0</v>
      </c>
      <c r="BK186" s="1335"/>
      <c r="BN186" s="1319">
        <f t="shared" ref="BN186:BR188" ca="1" si="1802">(VLOOKUP(BN$1,INDIRECT(LU_MAT),$A186,FALSE)*3600)*$F186/1000000</f>
        <v>0</v>
      </c>
      <c r="BO186" s="1319">
        <f t="shared" ca="1" si="1802"/>
        <v>0</v>
      </c>
      <c r="BP186" s="1319">
        <f t="shared" ca="1" si="1802"/>
        <v>7.0514813741658945E-3</v>
      </c>
      <c r="BQ186" s="1319">
        <f t="shared" ca="1" si="1802"/>
        <v>0</v>
      </c>
      <c r="BR186" s="1319">
        <f t="shared" ca="1" si="1802"/>
        <v>0</v>
      </c>
      <c r="CA186" s="1335"/>
      <c r="CD186" s="1319">
        <f t="shared" ref="CD186:CO188" ca="1" si="1803">(VLOOKUP(CD$1,INDIRECT(LU_MAT),$A186,FALSE)*3600)*$F186/1000000</f>
        <v>0</v>
      </c>
      <c r="CE186" s="1319">
        <f t="shared" ca="1" si="1803"/>
        <v>0</v>
      </c>
      <c r="CF186" s="1319">
        <f t="shared" ca="1" si="1803"/>
        <v>0</v>
      </c>
      <c r="CG186" s="1319">
        <f t="shared" ca="1" si="1803"/>
        <v>0</v>
      </c>
      <c r="CH186" s="1319">
        <f t="shared" ca="1" si="1803"/>
        <v>0</v>
      </c>
      <c r="CI186" s="1319">
        <f t="shared" ca="1" si="1803"/>
        <v>0</v>
      </c>
      <c r="CJ186" s="1319">
        <f t="shared" ca="1" si="1803"/>
        <v>0</v>
      </c>
      <c r="CK186" s="1319">
        <f t="shared" ca="1" si="1803"/>
        <v>0</v>
      </c>
      <c r="CL186" s="1319">
        <f t="shared" ca="1" si="1803"/>
        <v>7.288737680002115E-2</v>
      </c>
      <c r="CM186" s="1319">
        <f t="shared" ca="1" si="1803"/>
        <v>0</v>
      </c>
      <c r="CN186" s="1319">
        <f t="shared" ca="1" si="1803"/>
        <v>0</v>
      </c>
      <c r="CO186" s="1319">
        <f t="shared" ca="1" si="1803"/>
        <v>0</v>
      </c>
      <c r="CX186" s="1335"/>
      <c r="DA186" s="1319">
        <f t="shared" ref="DA186:DJ188" ca="1" si="1804">(VLOOKUP(DA$1,INDIRECT(LU_MAT),$A186,FALSE)*3600)*$F186/1000000</f>
        <v>0</v>
      </c>
      <c r="DB186" s="1319">
        <f t="shared" ca="1" si="1804"/>
        <v>0</v>
      </c>
      <c r="DC186" s="1319">
        <f t="shared" ca="1" si="1804"/>
        <v>0</v>
      </c>
      <c r="DD186" s="1319">
        <f t="shared" ca="1" si="1804"/>
        <v>0</v>
      </c>
      <c r="DE186" s="1319">
        <f t="shared" ca="1" si="1804"/>
        <v>0</v>
      </c>
      <c r="DF186" s="1319">
        <f t="shared" ca="1" si="1804"/>
        <v>0</v>
      </c>
      <c r="DG186" s="1319">
        <f t="shared" ca="1" si="1804"/>
        <v>0</v>
      </c>
      <c r="DH186" s="1319">
        <f t="shared" ca="1" si="1804"/>
        <v>0</v>
      </c>
      <c r="DI186" s="1319">
        <f t="shared" ca="1" si="1804"/>
        <v>0</v>
      </c>
      <c r="DJ186" s="1319">
        <f t="shared" ca="1" si="1804"/>
        <v>0</v>
      </c>
      <c r="DS186" s="1335"/>
      <c r="DV186" s="1319">
        <f t="shared" ref="DV186:EK188" ca="1" si="1805">(VLOOKUP(DV$1,INDIRECT(LU_MAT),$A186,FALSE)*3600)*$F186/1000000</f>
        <v>0</v>
      </c>
      <c r="DW186" s="1319">
        <f t="shared" ca="1" si="1805"/>
        <v>0</v>
      </c>
      <c r="DX186" s="1319">
        <f t="shared" ca="1" si="1805"/>
        <v>0</v>
      </c>
      <c r="DY186" s="1319">
        <f t="shared" ca="1" si="1805"/>
        <v>0</v>
      </c>
      <c r="DZ186" s="1319">
        <f t="shared" ca="1" si="1805"/>
        <v>0</v>
      </c>
      <c r="EA186" s="1319">
        <f t="shared" ca="1" si="1805"/>
        <v>0</v>
      </c>
      <c r="EB186" s="1319">
        <f t="shared" ca="1" si="1805"/>
        <v>0</v>
      </c>
      <c r="EC186" s="1319">
        <f t="shared" ca="1" si="1805"/>
        <v>0</v>
      </c>
      <c r="ED186" s="1319">
        <f t="shared" ca="1" si="1805"/>
        <v>0</v>
      </c>
      <c r="EE186" s="1319">
        <f t="shared" ca="1" si="1805"/>
        <v>0</v>
      </c>
      <c r="EF186" s="1319">
        <f t="shared" ca="1" si="1805"/>
        <v>0</v>
      </c>
      <c r="EG186" s="1319">
        <f t="shared" ca="1" si="1805"/>
        <v>0</v>
      </c>
      <c r="EH186" s="1319">
        <f t="shared" ca="1" si="1805"/>
        <v>0</v>
      </c>
      <c r="EI186" s="1319">
        <f t="shared" ca="1" si="1805"/>
        <v>0</v>
      </c>
      <c r="EJ186" s="1319">
        <f t="shared" ca="1" si="1805"/>
        <v>0</v>
      </c>
      <c r="EK186" s="1319">
        <f t="shared" ca="1" si="1805"/>
        <v>0</v>
      </c>
      <c r="ET186" s="1335"/>
      <c r="EW186" s="1319">
        <f t="shared" ref="EW186:FB188" ca="1" si="1806">(VLOOKUP(EW$1,INDIRECT(LU_MAT),$A186,FALSE)*3600)*$F186/1000000</f>
        <v>0</v>
      </c>
      <c r="EX186" s="1319">
        <f t="shared" ca="1" si="1806"/>
        <v>0</v>
      </c>
      <c r="EY186" s="1319">
        <f t="shared" ca="1" si="1806"/>
        <v>0</v>
      </c>
      <c r="EZ186" s="1319">
        <f t="shared" ca="1" si="1806"/>
        <v>0</v>
      </c>
      <c r="FA186" s="1319">
        <f t="shared" ca="1" si="1806"/>
        <v>1.4454476911733705E-2</v>
      </c>
      <c r="FB186" s="1319">
        <f t="shared" ca="1" si="1806"/>
        <v>4.7840837720063769</v>
      </c>
      <c r="FK186" s="1335"/>
      <c r="FN186" s="1319">
        <f t="shared" ref="FN186:FX188" ca="1" si="1807">(VLOOKUP(FN$1,INDIRECT(LU_MAT),$A186,FALSE)*3600)*$F186/1000000</f>
        <v>7.0514813741658945E-3</v>
      </c>
      <c r="FO186" s="1319">
        <f t="shared" ca="1" si="1807"/>
        <v>7.288737680002115E-2</v>
      </c>
      <c r="FP186" s="1319">
        <f t="shared" ca="1" si="1807"/>
        <v>1.4454476911733705E-2</v>
      </c>
      <c r="FQ186" s="1319">
        <f t="shared" ca="1" si="1807"/>
        <v>4.7840837720063769</v>
      </c>
      <c r="FR186" s="1319">
        <f t="shared" ca="1" si="1807"/>
        <v>5.9517288265755672</v>
      </c>
      <c r="FS186" s="1319">
        <f t="shared" ca="1" si="1807"/>
        <v>0</v>
      </c>
      <c r="FT186" s="1319">
        <f t="shared" ca="1" si="1807"/>
        <v>0</v>
      </c>
      <c r="FU186" s="1319">
        <f t="shared" ca="1" si="1807"/>
        <v>9.4393335035116308E-2</v>
      </c>
      <c r="FV186" s="1319">
        <f t="shared" ca="1" si="1807"/>
        <v>0</v>
      </c>
      <c r="FW186" s="1319">
        <f t="shared" ca="1" si="1807"/>
        <v>9.5192005584859472E-4</v>
      </c>
      <c r="FX186" s="1319">
        <f t="shared" ca="1" si="1807"/>
        <v>0</v>
      </c>
      <c r="GG186" s="1335"/>
      <c r="GJ186" s="1319">
        <f t="shared" ref="GJ186:GQ188" ca="1" si="1808">(VLOOKUP(GJ$1,INDIRECT(LU_MAT),$A186,FALSE)*3600)*$F186/1000000</f>
        <v>5.9517288265755672</v>
      </c>
      <c r="GK186" s="1319">
        <f t="shared" ca="1" si="1808"/>
        <v>5.9517288265755672</v>
      </c>
      <c r="GL186" s="1319">
        <f t="shared" ca="1" si="1808"/>
        <v>1.1717079880770931</v>
      </c>
      <c r="GM186" s="1319">
        <f t="shared" ca="1" si="1808"/>
        <v>4.7800208384984728</v>
      </c>
      <c r="GN186" s="1319">
        <f t="shared" ca="1" si="1808"/>
        <v>0</v>
      </c>
      <c r="GO186" s="1319">
        <f t="shared" ca="1" si="1808"/>
        <v>0</v>
      </c>
      <c r="GP186" s="1319">
        <f t="shared" ca="1" si="1808"/>
        <v>4.7800208384984728</v>
      </c>
      <c r="GQ186" s="1319">
        <f t="shared" ca="1" si="1808"/>
        <v>0</v>
      </c>
      <c r="GZ186" s="1335"/>
      <c r="HC186" s="1319">
        <f t="shared" ref="HC186:HH188" ca="1" si="1809">(VLOOKUP(HC$1,INDIRECT(LU_MAT),$A186,FALSE)*3600)*$F186/1000000</f>
        <v>0</v>
      </c>
      <c r="HD186" s="1319">
        <f t="shared" ca="1" si="1809"/>
        <v>0</v>
      </c>
      <c r="HE186" s="1319">
        <f t="shared" ca="1" si="1809"/>
        <v>0</v>
      </c>
      <c r="HF186" s="1319">
        <f t="shared" ca="1" si="1809"/>
        <v>2.5812747922895559E-4</v>
      </c>
      <c r="HG186" s="1319">
        <f t="shared" ca="1" si="1809"/>
        <v>0</v>
      </c>
      <c r="HH186" s="1319">
        <f t="shared" ca="1" si="1809"/>
        <v>0</v>
      </c>
      <c r="HQ186" s="1335"/>
      <c r="HT186" s="1319">
        <f t="shared" ref="HT186:IE188" ca="1" si="1810">(VLOOKUP(HT$1,INDIRECT(LU_MAT),$A186,FALSE)*3600)*$F186/1000000</f>
        <v>6.2949740576293282E-7</v>
      </c>
      <c r="HU186" s="1319">
        <f t="shared" ca="1" si="1810"/>
        <v>0</v>
      </c>
      <c r="HV186" s="1319">
        <f t="shared" ca="1" si="1810"/>
        <v>0</v>
      </c>
      <c r="HW186" s="1319">
        <f t="shared" ca="1" si="1810"/>
        <v>0</v>
      </c>
      <c r="HX186" s="1319">
        <f t="shared" ca="1" si="1810"/>
        <v>0</v>
      </c>
      <c r="HY186" s="1319">
        <f t="shared" ca="1" si="1810"/>
        <v>0</v>
      </c>
      <c r="HZ186" s="1319">
        <f t="shared" ca="1" si="1810"/>
        <v>1.2464570738436958E-4</v>
      </c>
      <c r="IA186" s="1319">
        <f t="shared" ca="1" si="1810"/>
        <v>3.1596857362062042E-8</v>
      </c>
      <c r="IB186" s="1319">
        <f t="shared" ca="1" si="1810"/>
        <v>0</v>
      </c>
      <c r="IC186" s="1319">
        <f t="shared" ca="1" si="1810"/>
        <v>0</v>
      </c>
      <c r="ID186" s="1319">
        <f t="shared" ca="1" si="1810"/>
        <v>0</v>
      </c>
      <c r="IE186" s="1319">
        <f t="shared" ca="1" si="1810"/>
        <v>0</v>
      </c>
      <c r="IN186" s="1335"/>
      <c r="IQ186" s="1319">
        <f t="shared" ref="IQ186:JA188" ca="1" si="1811">(VLOOKUP(IQ$1,INDIRECT(LU_MAT),$A186,FALSE)*3600)*$F186/1000000</f>
        <v>0</v>
      </c>
      <c r="IR186" s="1319">
        <f t="shared" ca="1" si="1811"/>
        <v>0</v>
      </c>
      <c r="IS186" s="1319">
        <f t="shared" ca="1" si="1811"/>
        <v>0</v>
      </c>
      <c r="IT186" s="1319">
        <f t="shared" ca="1" si="1811"/>
        <v>0</v>
      </c>
      <c r="IU186" s="1319">
        <f t="shared" ca="1" si="1811"/>
        <v>7.6324339224839147E-11</v>
      </c>
      <c r="IV186" s="1319">
        <f t="shared" ca="1" si="1811"/>
        <v>0</v>
      </c>
      <c r="IW186" s="1319">
        <f t="shared" ca="1" si="1811"/>
        <v>0</v>
      </c>
      <c r="IX186" s="1319">
        <f t="shared" ca="1" si="1811"/>
        <v>4.6856082051896512E-6</v>
      </c>
      <c r="IY186" s="1319">
        <f t="shared" ca="1" si="1811"/>
        <v>0</v>
      </c>
      <c r="IZ186" s="1319">
        <f t="shared" ca="1" si="1811"/>
        <v>0</v>
      </c>
      <c r="JA186" s="1319">
        <f t="shared" ca="1" si="1811"/>
        <v>1.7456584130178459E-12</v>
      </c>
      <c r="JB186" s="1319">
        <f t="shared" ref="JB186:JH188" ca="1" si="1812">(VLOOKUP(JB$1,INDIRECT(LU_MAT),$A186,FALSE)*3600)*$F186/1000000</f>
        <v>0</v>
      </c>
      <c r="JC186" s="1319">
        <f t="shared" ca="1" si="1812"/>
        <v>1.8076299051631979E-6</v>
      </c>
      <c r="JD186" s="1319">
        <f t="shared" ca="1" si="1812"/>
        <v>0</v>
      </c>
      <c r="JE186" s="1319">
        <f t="shared" ca="1" si="1812"/>
        <v>7.139278444999701E-10</v>
      </c>
      <c r="JF186" s="1319">
        <f t="shared" ca="1" si="1812"/>
        <v>0</v>
      </c>
      <c r="JG186" s="1319">
        <f t="shared" ca="1" si="1812"/>
        <v>0</v>
      </c>
      <c r="JH186" s="1319">
        <f t="shared" ca="1" si="1812"/>
        <v>3.1596857362062042E-8</v>
      </c>
      <c r="JQ186" s="1335"/>
      <c r="JT186" s="1319">
        <f t="shared" ref="JT186:KC188" ca="1" si="1813">(VLOOKUP(JT$1,INDIRECT(LU_MAT),$A186,FALSE)*3600)*$F186/1000000</f>
        <v>0</v>
      </c>
      <c r="JU186" s="1319">
        <f t="shared" ca="1" si="1813"/>
        <v>0</v>
      </c>
      <c r="JV186" s="1319">
        <f t="shared" ca="1" si="1813"/>
        <v>0</v>
      </c>
      <c r="JW186" s="1319">
        <f t="shared" ca="1" si="1813"/>
        <v>0</v>
      </c>
      <c r="JX186" s="1319">
        <f t="shared" ca="1" si="1813"/>
        <v>0</v>
      </c>
      <c r="JY186" s="1319">
        <f t="shared" ca="1" si="1813"/>
        <v>0</v>
      </c>
      <c r="JZ186" s="1319">
        <f t="shared" ca="1" si="1813"/>
        <v>0</v>
      </c>
      <c r="KA186" s="1319">
        <f t="shared" ca="1" si="1813"/>
        <v>0</v>
      </c>
      <c r="KB186" s="1319">
        <f t="shared" ca="1" si="1813"/>
        <v>0</v>
      </c>
      <c r="KC186" s="1319">
        <f t="shared" ca="1" si="1813"/>
        <v>0</v>
      </c>
      <c r="KI186" s="1335"/>
      <c r="KL186" s="1319">
        <f t="shared" ref="KL186:KR188" ca="1" si="1814">(VLOOKUP(KL$1,INDIRECT(LU_MAT),$A186,FALSE)*3600)*$F186/1000000</f>
        <v>0</v>
      </c>
      <c r="KM186" s="1319">
        <f t="shared" ca="1" si="1814"/>
        <v>0</v>
      </c>
      <c r="KN186" s="1319">
        <f t="shared" ca="1" si="1814"/>
        <v>0</v>
      </c>
      <c r="KO186" s="1319">
        <f t="shared" ca="1" si="1814"/>
        <v>0</v>
      </c>
      <c r="KP186" s="1319">
        <f t="shared" ca="1" si="1814"/>
        <v>0</v>
      </c>
      <c r="KQ186" s="1319">
        <f t="shared" ca="1" si="1814"/>
        <v>0</v>
      </c>
      <c r="KR186" s="1319">
        <f t="shared" ca="1" si="1814"/>
        <v>0</v>
      </c>
      <c r="KX186" s="1335"/>
      <c r="LA186" s="1319">
        <f t="shared" ref="LA186:LK188" ca="1" si="1815">(VLOOKUP(LA$1,INDIRECT(LU_MAT),$A186,FALSE)*3600)*$F186/1000000</f>
        <v>2.5812747922895559E-4</v>
      </c>
      <c r="LB186" s="1319">
        <f t="shared" ca="1" si="1815"/>
        <v>1.2464570738436958E-4</v>
      </c>
      <c r="LC186" s="1319">
        <f t="shared" ca="1" si="1815"/>
        <v>3.8277318762941422E-4</v>
      </c>
      <c r="LD186" s="1319">
        <f t="shared" ca="1" si="1815"/>
        <v>3.8277318762941422E-4</v>
      </c>
      <c r="LE186" s="1319">
        <f t="shared" ca="1" si="1815"/>
        <v>0</v>
      </c>
      <c r="LF186" s="1319">
        <f t="shared" ca="1" si="1815"/>
        <v>0</v>
      </c>
      <c r="LG186" s="1319">
        <f t="shared" ca="1" si="1815"/>
        <v>0</v>
      </c>
      <c r="LH186" s="1319">
        <f t="shared" ca="1" si="1815"/>
        <v>0</v>
      </c>
      <c r="LI186" s="1319">
        <f t="shared" ca="1" si="1815"/>
        <v>0</v>
      </c>
      <c r="LJ186" s="1319">
        <f t="shared" ca="1" si="1815"/>
        <v>0</v>
      </c>
      <c r="LK186" s="1319">
        <f t="shared" ca="1" si="1815"/>
        <v>0</v>
      </c>
      <c r="LT186" s="1335"/>
      <c r="LW186" s="1319">
        <f t="shared" ref="LW186:MF188" ca="1" si="1816">(VLOOKUP(LW$1,INDIRECT(LU_MAT),$A186,FALSE)*3600)*$F186/1000000</f>
        <v>0</v>
      </c>
      <c r="LX186" s="1319">
        <f t="shared" ca="1" si="1816"/>
        <v>0</v>
      </c>
      <c r="LY186" s="1319">
        <f t="shared" ca="1" si="1816"/>
        <v>0</v>
      </c>
      <c r="LZ186" s="1319">
        <f t="shared" ca="1" si="1816"/>
        <v>0</v>
      </c>
      <c r="MA186" s="1319">
        <f t="shared" ca="1" si="1816"/>
        <v>0</v>
      </c>
      <c r="MB186" s="1319">
        <f t="shared" ca="1" si="1816"/>
        <v>3.8277318762941422E-4</v>
      </c>
      <c r="MC186" s="1319">
        <f t="shared" ca="1" si="1816"/>
        <v>0</v>
      </c>
      <c r="MD186" s="1319">
        <f t="shared" ca="1" si="1816"/>
        <v>0</v>
      </c>
      <c r="ME186" s="1319">
        <f t="shared" ca="1" si="1816"/>
        <v>0</v>
      </c>
      <c r="MF186" s="1319">
        <f t="shared" ca="1" si="1816"/>
        <v>0</v>
      </c>
      <c r="MG186" s="1319">
        <f t="shared" ref="MG186:MO188" ca="1" si="1817">(VLOOKUP(MG$1,INDIRECT(LU_MAT),$A186,FALSE)*3600)*$F186/1000000</f>
        <v>0</v>
      </c>
      <c r="MH186" s="1319">
        <f t="shared" ca="1" si="1817"/>
        <v>0</v>
      </c>
      <c r="MI186" s="1319">
        <f t="shared" ca="1" si="1817"/>
        <v>0</v>
      </c>
      <c r="MJ186" s="1319">
        <f t="shared" ca="1" si="1817"/>
        <v>0</v>
      </c>
      <c r="MK186" s="1319">
        <f t="shared" ca="1" si="1817"/>
        <v>0</v>
      </c>
      <c r="ML186" s="1319">
        <f t="shared" ca="1" si="1817"/>
        <v>0</v>
      </c>
      <c r="MM186" s="1319">
        <f t="shared" ca="1" si="1817"/>
        <v>0</v>
      </c>
      <c r="MN186" s="1319">
        <f t="shared" ca="1" si="1817"/>
        <v>0</v>
      </c>
      <c r="MO186" s="1319">
        <f t="shared" ca="1" si="1817"/>
        <v>0</v>
      </c>
      <c r="MX186" s="1335"/>
      <c r="NA186" s="1319">
        <f t="shared" ref="NA186:NP188" ca="1" si="1818">(VLOOKUP(NA$1,INDIRECT(LU_MAT),$A186,FALSE)*3600)*$F186/1000000</f>
        <v>1.8198384178136659E-3</v>
      </c>
      <c r="NB186" s="1319">
        <f t="shared" ca="1" si="1818"/>
        <v>1.7807831875042443E-3</v>
      </c>
      <c r="NC186" s="1319">
        <f t="shared" ca="1" si="1818"/>
        <v>0</v>
      </c>
      <c r="ND186" s="1319">
        <f t="shared" ca="1" si="1818"/>
        <v>0</v>
      </c>
      <c r="NE186" s="1319">
        <f t="shared" ca="1" si="1818"/>
        <v>0</v>
      </c>
      <c r="NF186" s="1319">
        <f t="shared" ca="1" si="1818"/>
        <v>0</v>
      </c>
      <c r="NG186" s="1319">
        <f t="shared" ca="1" si="1818"/>
        <v>0</v>
      </c>
      <c r="NH186" s="1319">
        <f t="shared" ca="1" si="1818"/>
        <v>0</v>
      </c>
      <c r="NI186" s="1319">
        <f t="shared" ca="1" si="1818"/>
        <v>0</v>
      </c>
      <c r="NJ186" s="1319">
        <f t="shared" ca="1" si="1818"/>
        <v>0</v>
      </c>
      <c r="NK186" s="1319">
        <f t="shared" ca="1" si="1818"/>
        <v>0</v>
      </c>
      <c r="NL186" s="1319">
        <f t="shared" ca="1" si="1818"/>
        <v>0</v>
      </c>
      <c r="NM186" s="1319">
        <f t="shared" ca="1" si="1818"/>
        <v>0</v>
      </c>
      <c r="NN186" s="1319">
        <f t="shared" ca="1" si="1818"/>
        <v>0</v>
      </c>
      <c r="NO186" s="1319">
        <f t="shared" ca="1" si="1818"/>
        <v>0</v>
      </c>
      <c r="NP186" s="1319">
        <f t="shared" ca="1" si="1818"/>
        <v>0</v>
      </c>
      <c r="NY186" s="1335"/>
      <c r="OE186" s="1335"/>
      <c r="OH186" s="1319">
        <f t="shared" ref="OH186:OO188" ca="1" si="1819">(VLOOKUP(OH$1,INDIRECT(LU_MAT),$A186,FALSE)*3600)*$F186/1000000</f>
        <v>0</v>
      </c>
      <c r="OI186" s="1319">
        <f t="shared" ca="1" si="1819"/>
        <v>0</v>
      </c>
      <c r="OJ186" s="1319">
        <f t="shared" ca="1" si="1819"/>
        <v>0</v>
      </c>
      <c r="OK186" s="1319">
        <f t="shared" ca="1" si="1819"/>
        <v>0</v>
      </c>
      <c r="OL186" s="1319">
        <f t="shared" ca="1" si="1819"/>
        <v>0</v>
      </c>
      <c r="OM186" s="1319">
        <f t="shared" ca="1" si="1819"/>
        <v>0</v>
      </c>
      <c r="ON186" s="1319">
        <f t="shared" ca="1" si="1819"/>
        <v>0</v>
      </c>
      <c r="OO186" s="1319">
        <f t="shared" ca="1" si="1819"/>
        <v>0</v>
      </c>
      <c r="OX186" s="1335"/>
      <c r="PA186" s="1319">
        <f t="shared" ref="PA186:PK188" ca="1" si="1820">(VLOOKUP(PA$1,INDIRECT(LU_MAT),$A186,FALSE)*3600)*$F186/1000000</f>
        <v>0</v>
      </c>
      <c r="PB186" s="1319">
        <f t="shared" ca="1" si="1820"/>
        <v>0</v>
      </c>
      <c r="PC186" s="1319">
        <f t="shared" ca="1" si="1820"/>
        <v>0</v>
      </c>
      <c r="PD186" s="1319">
        <f t="shared" ca="1" si="1820"/>
        <v>0</v>
      </c>
      <c r="PE186" s="1319">
        <f t="shared" ca="1" si="1820"/>
        <v>0</v>
      </c>
      <c r="PF186" s="1319">
        <f t="shared" ca="1" si="1820"/>
        <v>0</v>
      </c>
      <c r="PG186" s="1319">
        <f t="shared" ca="1" si="1820"/>
        <v>0</v>
      </c>
      <c r="PH186" s="1319">
        <f t="shared" ca="1" si="1820"/>
        <v>0</v>
      </c>
      <c r="PI186" s="1319">
        <f t="shared" ca="1" si="1820"/>
        <v>0</v>
      </c>
      <c r="PJ186" s="1319">
        <f t="shared" ca="1" si="1820"/>
        <v>0</v>
      </c>
      <c r="PK186" s="1319">
        <f t="shared" ca="1" si="1820"/>
        <v>0</v>
      </c>
      <c r="PT186" s="1335"/>
      <c r="PW186" s="1319">
        <f t="shared" ref="PW186:PZ188" ca="1" si="1821">(VLOOKUP(PW$1,INDIRECT(LU_MAT),$A186,FALSE)*3600)*$F186/1000000</f>
        <v>0</v>
      </c>
      <c r="PX186" s="1319">
        <f t="shared" ca="1" si="1821"/>
        <v>0</v>
      </c>
      <c r="PY186" s="1319">
        <f t="shared" ca="1" si="1821"/>
        <v>0</v>
      </c>
      <c r="PZ186" s="1319">
        <f t="shared" ca="1" si="1821"/>
        <v>0</v>
      </c>
    </row>
    <row r="187" spans="1:442" x14ac:dyDescent="0.25">
      <c r="A187" s="189">
        <v>182</v>
      </c>
      <c r="C187" s="1326" t="s">
        <v>2541</v>
      </c>
      <c r="D187" s="1317"/>
      <c r="E187" s="189">
        <f>E132</f>
        <v>96.085560000000001</v>
      </c>
      <c r="F187" s="1327">
        <v>11672.526999999995</v>
      </c>
      <c r="G187" s="1335"/>
      <c r="J187" s="1319">
        <f t="shared" ca="1" si="1799"/>
        <v>0</v>
      </c>
      <c r="K187" s="1319">
        <f t="shared" ca="1" si="1799"/>
        <v>0</v>
      </c>
      <c r="Q187" s="1335"/>
      <c r="T187" s="1319">
        <f t="shared" ca="1" si="1800"/>
        <v>0</v>
      </c>
      <c r="U187" s="1319">
        <f t="shared" ca="1" si="1800"/>
        <v>0</v>
      </c>
      <c r="V187" s="1319">
        <f t="shared" ca="1" si="1800"/>
        <v>0</v>
      </c>
      <c r="W187" s="1319">
        <f t="shared" ca="1" si="1800"/>
        <v>0</v>
      </c>
      <c r="X187" s="1319">
        <f t="shared" ca="1" si="1800"/>
        <v>0</v>
      </c>
      <c r="Y187" s="1319">
        <f t="shared" ca="1" si="1800"/>
        <v>0</v>
      </c>
      <c r="Z187" s="1319">
        <f t="shared" ca="1" si="1800"/>
        <v>2.4812630629662005E-2</v>
      </c>
      <c r="AA187" s="1319">
        <f t="shared" ca="1" si="1800"/>
        <v>0</v>
      </c>
      <c r="AB187" s="1319">
        <f t="shared" ca="1" si="1800"/>
        <v>0</v>
      </c>
      <c r="AC187" s="1319">
        <f t="shared" ca="1" si="1800"/>
        <v>0</v>
      </c>
      <c r="AD187" s="1319">
        <f t="shared" ca="1" si="1800"/>
        <v>0</v>
      </c>
      <c r="AJ187" s="1335"/>
      <c r="AM187" s="1319">
        <f t="shared" ca="1" si="1801"/>
        <v>0</v>
      </c>
      <c r="AN187" s="1319">
        <f t="shared" ca="1" si="1801"/>
        <v>0</v>
      </c>
      <c r="AO187" s="1319">
        <f t="shared" ca="1" si="1801"/>
        <v>0</v>
      </c>
      <c r="AP187" s="1319">
        <f t="shared" ca="1" si="1801"/>
        <v>0</v>
      </c>
      <c r="AQ187" s="1319">
        <f t="shared" ca="1" si="1801"/>
        <v>1.5005776651615024E-2</v>
      </c>
      <c r="AR187" s="1319">
        <f t="shared" ca="1" si="1801"/>
        <v>2.3953608273564783E-2</v>
      </c>
      <c r="AS187" s="1319">
        <f t="shared" ca="1" si="1801"/>
        <v>0</v>
      </c>
      <c r="AT187" s="1319">
        <f t="shared" ca="1" si="1801"/>
        <v>3.319718227891922E-2</v>
      </c>
      <c r="AU187" s="1319">
        <f t="shared" ca="1" si="1801"/>
        <v>0</v>
      </c>
      <c r="AV187" s="1319">
        <f t="shared" ca="1" si="1801"/>
        <v>0</v>
      </c>
      <c r="AW187" s="1319">
        <f t="shared" ca="1" si="1801"/>
        <v>0</v>
      </c>
      <c r="AX187" s="1319">
        <f t="shared" ca="1" si="1801"/>
        <v>5.4266076523855678E-6</v>
      </c>
      <c r="AY187" s="1319">
        <f t="shared" ca="1" si="1801"/>
        <v>0</v>
      </c>
      <c r="AZ187" s="1319">
        <f t="shared" ca="1" si="1801"/>
        <v>0</v>
      </c>
      <c r="BA187" s="1319">
        <f t="shared" ca="1" si="1801"/>
        <v>0</v>
      </c>
      <c r="BB187" s="1319">
        <f t="shared" ca="1" si="1801"/>
        <v>0</v>
      </c>
      <c r="BK187" s="1335"/>
      <c r="BN187" s="1319">
        <f t="shared" ca="1" si="1802"/>
        <v>0</v>
      </c>
      <c r="BO187" s="1319">
        <f t="shared" ca="1" si="1802"/>
        <v>0</v>
      </c>
      <c r="BP187" s="1319">
        <f t="shared" ca="1" si="1802"/>
        <v>2.9400524990857708E-5</v>
      </c>
      <c r="BQ187" s="1319">
        <f t="shared" ca="1" si="1802"/>
        <v>0</v>
      </c>
      <c r="BR187" s="1319">
        <f t="shared" ca="1" si="1802"/>
        <v>0</v>
      </c>
      <c r="CA187" s="1335"/>
      <c r="CD187" s="1319">
        <f t="shared" ca="1" si="1803"/>
        <v>0</v>
      </c>
      <c r="CE187" s="1319">
        <f t="shared" ca="1" si="1803"/>
        <v>0</v>
      </c>
      <c r="CF187" s="1319">
        <f t="shared" ca="1" si="1803"/>
        <v>0</v>
      </c>
      <c r="CG187" s="1319">
        <f t="shared" ca="1" si="1803"/>
        <v>0</v>
      </c>
      <c r="CH187" s="1319">
        <f t="shared" ca="1" si="1803"/>
        <v>0</v>
      </c>
      <c r="CI187" s="1319">
        <f t="shared" ca="1" si="1803"/>
        <v>0</v>
      </c>
      <c r="CJ187" s="1319">
        <f t="shared" ca="1" si="1803"/>
        <v>0</v>
      </c>
      <c r="CK187" s="1319">
        <f t="shared" ca="1" si="1803"/>
        <v>0</v>
      </c>
      <c r="CL187" s="1319">
        <f t="shared" ca="1" si="1803"/>
        <v>2.8212172671369874E-4</v>
      </c>
      <c r="CM187" s="1319">
        <f t="shared" ca="1" si="1803"/>
        <v>0</v>
      </c>
      <c r="CN187" s="1319">
        <f t="shared" ca="1" si="1803"/>
        <v>0</v>
      </c>
      <c r="CO187" s="1319">
        <f t="shared" ca="1" si="1803"/>
        <v>0</v>
      </c>
      <c r="CX187" s="1335"/>
      <c r="DA187" s="1319">
        <f t="shared" ca="1" si="1804"/>
        <v>0</v>
      </c>
      <c r="DB187" s="1319">
        <f t="shared" ca="1" si="1804"/>
        <v>0</v>
      </c>
      <c r="DC187" s="1319">
        <f t="shared" ca="1" si="1804"/>
        <v>0</v>
      </c>
      <c r="DD187" s="1319">
        <f t="shared" ca="1" si="1804"/>
        <v>0</v>
      </c>
      <c r="DE187" s="1319">
        <f t="shared" ca="1" si="1804"/>
        <v>0</v>
      </c>
      <c r="DF187" s="1319">
        <f t="shared" ca="1" si="1804"/>
        <v>0</v>
      </c>
      <c r="DG187" s="1319">
        <f t="shared" ca="1" si="1804"/>
        <v>0</v>
      </c>
      <c r="DH187" s="1319">
        <f t="shared" ca="1" si="1804"/>
        <v>0</v>
      </c>
      <c r="DI187" s="1319">
        <f t="shared" ca="1" si="1804"/>
        <v>0</v>
      </c>
      <c r="DJ187" s="1319">
        <f t="shared" ca="1" si="1804"/>
        <v>0</v>
      </c>
      <c r="DS187" s="1335"/>
      <c r="DV187" s="1319">
        <f t="shared" ca="1" si="1805"/>
        <v>0</v>
      </c>
      <c r="DW187" s="1319">
        <f t="shared" ca="1" si="1805"/>
        <v>0</v>
      </c>
      <c r="DX187" s="1319">
        <f t="shared" ca="1" si="1805"/>
        <v>0</v>
      </c>
      <c r="DY187" s="1319">
        <f t="shared" ca="1" si="1805"/>
        <v>0</v>
      </c>
      <c r="DZ187" s="1319">
        <f t="shared" ca="1" si="1805"/>
        <v>0</v>
      </c>
      <c r="EA187" s="1319">
        <f t="shared" ca="1" si="1805"/>
        <v>0</v>
      </c>
      <c r="EB187" s="1319">
        <f t="shared" ca="1" si="1805"/>
        <v>0</v>
      </c>
      <c r="EC187" s="1319">
        <f t="shared" ca="1" si="1805"/>
        <v>0</v>
      </c>
      <c r="ED187" s="1319">
        <f t="shared" ca="1" si="1805"/>
        <v>0</v>
      </c>
      <c r="EE187" s="1319">
        <f t="shared" ca="1" si="1805"/>
        <v>0</v>
      </c>
      <c r="EF187" s="1319">
        <f t="shared" ca="1" si="1805"/>
        <v>0</v>
      </c>
      <c r="EG187" s="1319">
        <f t="shared" ca="1" si="1805"/>
        <v>0</v>
      </c>
      <c r="EH187" s="1319">
        <f t="shared" ca="1" si="1805"/>
        <v>0</v>
      </c>
      <c r="EI187" s="1319">
        <f t="shared" ca="1" si="1805"/>
        <v>0</v>
      </c>
      <c r="EJ187" s="1319">
        <f t="shared" ca="1" si="1805"/>
        <v>0</v>
      </c>
      <c r="EK187" s="1319">
        <f t="shared" ca="1" si="1805"/>
        <v>0</v>
      </c>
      <c r="ET187" s="1335"/>
      <c r="EW187" s="1319">
        <f t="shared" ca="1" si="1806"/>
        <v>0</v>
      </c>
      <c r="EX187" s="1319">
        <f t="shared" ca="1" si="1806"/>
        <v>0</v>
      </c>
      <c r="EY187" s="1319">
        <f t="shared" ca="1" si="1806"/>
        <v>0</v>
      </c>
      <c r="EZ187" s="1319">
        <f t="shared" ca="1" si="1806"/>
        <v>0</v>
      </c>
      <c r="FA187" s="1319">
        <f t="shared" ca="1" si="1806"/>
        <v>1.8029024083721535E-5</v>
      </c>
      <c r="FB187" s="1319">
        <f t="shared" ca="1" si="1806"/>
        <v>2.0891354524219787E-2</v>
      </c>
      <c r="FK187" s="1335"/>
      <c r="FN187" s="1319">
        <f t="shared" ca="1" si="1807"/>
        <v>2.9400524990857708E-5</v>
      </c>
      <c r="FO187" s="1319">
        <f t="shared" ca="1" si="1807"/>
        <v>2.8212172671369874E-4</v>
      </c>
      <c r="FP187" s="1319">
        <f t="shared" ca="1" si="1807"/>
        <v>1.8029024083721535E-5</v>
      </c>
      <c r="FQ187" s="1319">
        <f t="shared" ca="1" si="1807"/>
        <v>2.0891354524219787E-2</v>
      </c>
      <c r="FR187" s="1319">
        <f t="shared" ca="1" si="1807"/>
        <v>6.030291015411878E-9</v>
      </c>
      <c r="FS187" s="1319">
        <f t="shared" ca="1" si="1807"/>
        <v>0</v>
      </c>
      <c r="FT187" s="1319">
        <f t="shared" ca="1" si="1807"/>
        <v>0</v>
      </c>
      <c r="FU187" s="1319">
        <f t="shared" ca="1" si="1807"/>
        <v>3.2955127567155278E-4</v>
      </c>
      <c r="FV187" s="1319">
        <f t="shared" ca="1" si="1807"/>
        <v>0</v>
      </c>
      <c r="FW187" s="1319">
        <f t="shared" ca="1" si="1807"/>
        <v>7.0133006468114087E-7</v>
      </c>
      <c r="FX187" s="1319">
        <f t="shared" ca="1" si="1807"/>
        <v>0</v>
      </c>
      <c r="GG187" s="1335"/>
      <c r="GJ187" s="1319">
        <f t="shared" ca="1" si="1808"/>
        <v>6.030291015411878E-9</v>
      </c>
      <c r="GK187" s="1319">
        <f t="shared" ca="1" si="1808"/>
        <v>6.030291015411878E-9</v>
      </c>
      <c r="GL187" s="1319">
        <f t="shared" ca="1" si="1808"/>
        <v>0</v>
      </c>
      <c r="GM187" s="1319">
        <f t="shared" ca="1" si="1808"/>
        <v>6.030291015411878E-9</v>
      </c>
      <c r="GN187" s="1319">
        <f t="shared" ca="1" si="1808"/>
        <v>0</v>
      </c>
      <c r="GO187" s="1319">
        <f t="shared" ca="1" si="1808"/>
        <v>0</v>
      </c>
      <c r="GP187" s="1319">
        <f t="shared" ca="1" si="1808"/>
        <v>6.030291015411878E-9</v>
      </c>
      <c r="GQ187" s="1319">
        <f t="shared" ca="1" si="1808"/>
        <v>0</v>
      </c>
      <c r="GZ187" s="1335"/>
      <c r="HC187" s="1319">
        <f t="shared" ca="1" si="1809"/>
        <v>0</v>
      </c>
      <c r="HD187" s="1319">
        <f t="shared" ca="1" si="1809"/>
        <v>0</v>
      </c>
      <c r="HE187" s="1319">
        <f t="shared" ca="1" si="1809"/>
        <v>0</v>
      </c>
      <c r="HF187" s="1319">
        <f t="shared" ca="1" si="1809"/>
        <v>7.9531952314355786E-5</v>
      </c>
      <c r="HG187" s="1319">
        <f t="shared" ca="1" si="1809"/>
        <v>0</v>
      </c>
      <c r="HH187" s="1319">
        <f t="shared" ca="1" si="1809"/>
        <v>0</v>
      </c>
      <c r="HQ187" s="1335"/>
      <c r="HT187" s="1319">
        <f t="shared" ca="1" si="1810"/>
        <v>5.4266076523855678E-6</v>
      </c>
      <c r="HU187" s="1319">
        <f t="shared" ca="1" si="1810"/>
        <v>0</v>
      </c>
      <c r="HV187" s="1319">
        <f t="shared" ca="1" si="1810"/>
        <v>0</v>
      </c>
      <c r="HW187" s="1319">
        <f t="shared" ca="1" si="1810"/>
        <v>0</v>
      </c>
      <c r="HX187" s="1319">
        <f t="shared" ca="1" si="1810"/>
        <v>0</v>
      </c>
      <c r="HY187" s="1319">
        <f t="shared" ca="1" si="1810"/>
        <v>0</v>
      </c>
      <c r="HZ187" s="1319">
        <f t="shared" ca="1" si="1810"/>
        <v>1.1065106408956617E-4</v>
      </c>
      <c r="IA187" s="1319">
        <f t="shared" ca="1" si="1810"/>
        <v>2.4378911855772039E-8</v>
      </c>
      <c r="IB187" s="1319">
        <f t="shared" ca="1" si="1810"/>
        <v>0</v>
      </c>
      <c r="IC187" s="1319">
        <f t="shared" ca="1" si="1810"/>
        <v>0</v>
      </c>
      <c r="ID187" s="1319">
        <f t="shared" ca="1" si="1810"/>
        <v>0</v>
      </c>
      <c r="IE187" s="1319">
        <f t="shared" ca="1" si="1810"/>
        <v>0</v>
      </c>
      <c r="IN187" s="1335"/>
      <c r="IQ187" s="1319">
        <f t="shared" ca="1" si="1811"/>
        <v>0</v>
      </c>
      <c r="IR187" s="1319">
        <f t="shared" ca="1" si="1811"/>
        <v>0</v>
      </c>
      <c r="IS187" s="1319">
        <f t="shared" ca="1" si="1811"/>
        <v>0</v>
      </c>
      <c r="IT187" s="1319">
        <f t="shared" ca="1" si="1811"/>
        <v>0</v>
      </c>
      <c r="IU187" s="1319">
        <f t="shared" ca="1" si="1811"/>
        <v>6.9337674905926079E-11</v>
      </c>
      <c r="IV187" s="1319">
        <f t="shared" ca="1" si="1811"/>
        <v>0</v>
      </c>
      <c r="IW187" s="1319">
        <f t="shared" ca="1" si="1811"/>
        <v>0</v>
      </c>
      <c r="IX187" s="1319">
        <f t="shared" ca="1" si="1811"/>
        <v>4.3478051045613194E-6</v>
      </c>
      <c r="IY187" s="1319">
        <f t="shared" ca="1" si="1811"/>
        <v>0</v>
      </c>
      <c r="IZ187" s="1319">
        <f t="shared" ca="1" si="1811"/>
        <v>0</v>
      </c>
      <c r="JA187" s="1319">
        <f t="shared" ca="1" si="1811"/>
        <v>1.6196596660055664E-12</v>
      </c>
      <c r="JB187" s="1319">
        <f t="shared" ca="1" si="1812"/>
        <v>0</v>
      </c>
      <c r="JC187" s="1319">
        <f t="shared" ca="1" si="1812"/>
        <v>5.033516953303398E-7</v>
      </c>
      <c r="JD187" s="1319">
        <f t="shared" ca="1" si="1812"/>
        <v>0</v>
      </c>
      <c r="JE187" s="1319">
        <f t="shared" ca="1" si="1812"/>
        <v>5.3568022985387011E-10</v>
      </c>
      <c r="JF187" s="1319">
        <f t="shared" ca="1" si="1812"/>
        <v>0</v>
      </c>
      <c r="JG187" s="1319">
        <f t="shared" ca="1" si="1812"/>
        <v>0</v>
      </c>
      <c r="JH187" s="1319">
        <f t="shared" ca="1" si="1812"/>
        <v>2.4378911855772039E-8</v>
      </c>
      <c r="JQ187" s="1335"/>
      <c r="JT187" s="1319">
        <f t="shared" ca="1" si="1813"/>
        <v>0</v>
      </c>
      <c r="JU187" s="1319">
        <f t="shared" ca="1" si="1813"/>
        <v>0</v>
      </c>
      <c r="JV187" s="1319">
        <f t="shared" ca="1" si="1813"/>
        <v>0</v>
      </c>
      <c r="JW187" s="1319">
        <f t="shared" ca="1" si="1813"/>
        <v>0</v>
      </c>
      <c r="JX187" s="1319">
        <f t="shared" ca="1" si="1813"/>
        <v>0</v>
      </c>
      <c r="JY187" s="1319">
        <f t="shared" ca="1" si="1813"/>
        <v>0</v>
      </c>
      <c r="JZ187" s="1319">
        <f t="shared" ca="1" si="1813"/>
        <v>0</v>
      </c>
      <c r="KA187" s="1319">
        <f t="shared" ca="1" si="1813"/>
        <v>0</v>
      </c>
      <c r="KB187" s="1319">
        <f t="shared" ca="1" si="1813"/>
        <v>0</v>
      </c>
      <c r="KC187" s="1319">
        <f t="shared" ca="1" si="1813"/>
        <v>0</v>
      </c>
      <c r="KI187" s="1335"/>
      <c r="KL187" s="1319">
        <f t="shared" ca="1" si="1814"/>
        <v>0</v>
      </c>
      <c r="KM187" s="1319">
        <f t="shared" ca="1" si="1814"/>
        <v>0</v>
      </c>
      <c r="KN187" s="1319">
        <f t="shared" ca="1" si="1814"/>
        <v>0</v>
      </c>
      <c r="KO187" s="1319">
        <f t="shared" ca="1" si="1814"/>
        <v>0</v>
      </c>
      <c r="KP187" s="1319">
        <f t="shared" ca="1" si="1814"/>
        <v>0</v>
      </c>
      <c r="KQ187" s="1319">
        <f t="shared" ca="1" si="1814"/>
        <v>0</v>
      </c>
      <c r="KR187" s="1319">
        <f t="shared" ca="1" si="1814"/>
        <v>0</v>
      </c>
      <c r="KX187" s="1335"/>
      <c r="LA187" s="1319">
        <f t="shared" ca="1" si="1815"/>
        <v>7.9531952314355786E-5</v>
      </c>
      <c r="LB187" s="1319">
        <f t="shared" ca="1" si="1815"/>
        <v>1.1065106408956617E-4</v>
      </c>
      <c r="LC187" s="1319">
        <f t="shared" ca="1" si="1815"/>
        <v>1.9018301687082301E-4</v>
      </c>
      <c r="LD187" s="1319">
        <f t="shared" ca="1" si="1815"/>
        <v>1.9018301687082301E-4</v>
      </c>
      <c r="LE187" s="1319">
        <f t="shared" ca="1" si="1815"/>
        <v>0</v>
      </c>
      <c r="LF187" s="1319">
        <f t="shared" ca="1" si="1815"/>
        <v>0</v>
      </c>
      <c r="LG187" s="1319">
        <f t="shared" ca="1" si="1815"/>
        <v>0</v>
      </c>
      <c r="LH187" s="1319">
        <f t="shared" ca="1" si="1815"/>
        <v>0</v>
      </c>
      <c r="LI187" s="1319">
        <f t="shared" ca="1" si="1815"/>
        <v>0</v>
      </c>
      <c r="LJ187" s="1319">
        <f t="shared" ca="1" si="1815"/>
        <v>0</v>
      </c>
      <c r="LK187" s="1319">
        <f t="shared" ca="1" si="1815"/>
        <v>0</v>
      </c>
      <c r="LT187" s="1335"/>
      <c r="LW187" s="1319">
        <f t="shared" ca="1" si="1816"/>
        <v>0</v>
      </c>
      <c r="LX187" s="1319">
        <f t="shared" ca="1" si="1816"/>
        <v>0</v>
      </c>
      <c r="LY187" s="1319">
        <f t="shared" ca="1" si="1816"/>
        <v>0</v>
      </c>
      <c r="LZ187" s="1319">
        <f t="shared" ca="1" si="1816"/>
        <v>0</v>
      </c>
      <c r="MA187" s="1319">
        <f t="shared" ca="1" si="1816"/>
        <v>0</v>
      </c>
      <c r="MB187" s="1319">
        <f t="shared" ca="1" si="1816"/>
        <v>1.9018301687082301E-4</v>
      </c>
      <c r="MC187" s="1319">
        <f t="shared" ca="1" si="1816"/>
        <v>0</v>
      </c>
      <c r="MD187" s="1319">
        <f t="shared" ca="1" si="1816"/>
        <v>0</v>
      </c>
      <c r="ME187" s="1319">
        <f t="shared" ca="1" si="1816"/>
        <v>0</v>
      </c>
      <c r="MF187" s="1319">
        <f t="shared" ca="1" si="1816"/>
        <v>0</v>
      </c>
      <c r="MG187" s="1319">
        <f t="shared" ca="1" si="1817"/>
        <v>0</v>
      </c>
      <c r="MH187" s="1319">
        <f t="shared" ca="1" si="1817"/>
        <v>0</v>
      </c>
      <c r="MI187" s="1319">
        <f t="shared" ca="1" si="1817"/>
        <v>0</v>
      </c>
      <c r="MJ187" s="1319">
        <f t="shared" ca="1" si="1817"/>
        <v>0</v>
      </c>
      <c r="MK187" s="1319">
        <f t="shared" ca="1" si="1817"/>
        <v>0</v>
      </c>
      <c r="ML187" s="1319">
        <f t="shared" ca="1" si="1817"/>
        <v>0</v>
      </c>
      <c r="MM187" s="1319">
        <f t="shared" ca="1" si="1817"/>
        <v>0</v>
      </c>
      <c r="MN187" s="1319">
        <f t="shared" ca="1" si="1817"/>
        <v>0</v>
      </c>
      <c r="MO187" s="1319">
        <f t="shared" ca="1" si="1817"/>
        <v>0</v>
      </c>
      <c r="MX187" s="1335"/>
      <c r="NA187" s="1319">
        <f t="shared" ca="1" si="1818"/>
        <v>2.4812630629662005E-2</v>
      </c>
      <c r="NB187" s="1319">
        <f t="shared" ca="1" si="1818"/>
        <v>2.3953608273564783E-2</v>
      </c>
      <c r="NC187" s="1319">
        <f t="shared" ca="1" si="1818"/>
        <v>0</v>
      </c>
      <c r="ND187" s="1319">
        <f t="shared" ca="1" si="1818"/>
        <v>0</v>
      </c>
      <c r="NE187" s="1319">
        <f t="shared" ca="1" si="1818"/>
        <v>0</v>
      </c>
      <c r="NF187" s="1319">
        <f t="shared" ca="1" si="1818"/>
        <v>0</v>
      </c>
      <c r="NG187" s="1319">
        <f t="shared" ca="1" si="1818"/>
        <v>0</v>
      </c>
      <c r="NH187" s="1319">
        <f t="shared" ca="1" si="1818"/>
        <v>0</v>
      </c>
      <c r="NI187" s="1319">
        <f t="shared" ca="1" si="1818"/>
        <v>0</v>
      </c>
      <c r="NJ187" s="1319">
        <f t="shared" ca="1" si="1818"/>
        <v>0</v>
      </c>
      <c r="NK187" s="1319">
        <f t="shared" ca="1" si="1818"/>
        <v>0</v>
      </c>
      <c r="NL187" s="1319">
        <f t="shared" ca="1" si="1818"/>
        <v>0</v>
      </c>
      <c r="NM187" s="1319">
        <f t="shared" ca="1" si="1818"/>
        <v>0</v>
      </c>
      <c r="NN187" s="1319">
        <f t="shared" ca="1" si="1818"/>
        <v>0</v>
      </c>
      <c r="NO187" s="1319">
        <f t="shared" ca="1" si="1818"/>
        <v>0</v>
      </c>
      <c r="NP187" s="1319">
        <f t="shared" ca="1" si="1818"/>
        <v>0</v>
      </c>
      <c r="NY187" s="1335"/>
      <c r="OE187" s="1335"/>
      <c r="OH187" s="1319">
        <f t="shared" ca="1" si="1819"/>
        <v>0</v>
      </c>
      <c r="OI187" s="1319">
        <f t="shared" ca="1" si="1819"/>
        <v>0</v>
      </c>
      <c r="OJ187" s="1319">
        <f t="shared" ca="1" si="1819"/>
        <v>0</v>
      </c>
      <c r="OK187" s="1319">
        <f t="shared" ca="1" si="1819"/>
        <v>0</v>
      </c>
      <c r="OL187" s="1319">
        <f t="shared" ca="1" si="1819"/>
        <v>0</v>
      </c>
      <c r="OM187" s="1319">
        <f t="shared" ca="1" si="1819"/>
        <v>0</v>
      </c>
      <c r="ON187" s="1319">
        <f t="shared" ca="1" si="1819"/>
        <v>0</v>
      </c>
      <c r="OO187" s="1319">
        <f t="shared" ca="1" si="1819"/>
        <v>0</v>
      </c>
      <c r="OX187" s="1335"/>
      <c r="PA187" s="1319">
        <f t="shared" ca="1" si="1820"/>
        <v>0</v>
      </c>
      <c r="PB187" s="1319">
        <f t="shared" ca="1" si="1820"/>
        <v>0</v>
      </c>
      <c r="PC187" s="1319">
        <f t="shared" ca="1" si="1820"/>
        <v>0</v>
      </c>
      <c r="PD187" s="1319">
        <f t="shared" ca="1" si="1820"/>
        <v>0</v>
      </c>
      <c r="PE187" s="1319">
        <f t="shared" ca="1" si="1820"/>
        <v>0</v>
      </c>
      <c r="PF187" s="1319">
        <f t="shared" ca="1" si="1820"/>
        <v>0</v>
      </c>
      <c r="PG187" s="1319">
        <f t="shared" ca="1" si="1820"/>
        <v>0</v>
      </c>
      <c r="PH187" s="1319">
        <f t="shared" ca="1" si="1820"/>
        <v>0</v>
      </c>
      <c r="PI187" s="1319">
        <f t="shared" ca="1" si="1820"/>
        <v>0</v>
      </c>
      <c r="PJ187" s="1319">
        <f t="shared" ca="1" si="1820"/>
        <v>0</v>
      </c>
      <c r="PK187" s="1319">
        <f t="shared" ca="1" si="1820"/>
        <v>0</v>
      </c>
      <c r="PT187" s="1335"/>
      <c r="PW187" s="1319">
        <f t="shared" ca="1" si="1821"/>
        <v>0</v>
      </c>
      <c r="PX187" s="1319">
        <f t="shared" ca="1" si="1821"/>
        <v>0</v>
      </c>
      <c r="PY187" s="1319">
        <f t="shared" ca="1" si="1821"/>
        <v>0</v>
      </c>
      <c r="PZ187" s="1319">
        <f t="shared" ca="1" si="1821"/>
        <v>0</v>
      </c>
    </row>
    <row r="188" spans="1:442" x14ac:dyDescent="0.25">
      <c r="A188" s="189">
        <v>181</v>
      </c>
      <c r="C188" s="1328" t="s">
        <v>2540</v>
      </c>
      <c r="D188" s="1317"/>
      <c r="E188" s="189">
        <f>E131</f>
        <v>126.11160000000001</v>
      </c>
      <c r="F188" s="1329">
        <v>19902.544999999998</v>
      </c>
      <c r="G188" s="1335"/>
      <c r="J188" s="1319">
        <f t="shared" ca="1" si="1799"/>
        <v>0</v>
      </c>
      <c r="K188" s="1319">
        <f t="shared" ca="1" si="1799"/>
        <v>0</v>
      </c>
      <c r="Q188" s="1335"/>
      <c r="T188" s="1319">
        <f t="shared" ca="1" si="1800"/>
        <v>0</v>
      </c>
      <c r="U188" s="1319">
        <f t="shared" ca="1" si="1800"/>
        <v>0</v>
      </c>
      <c r="V188" s="1319">
        <f t="shared" ca="1" si="1800"/>
        <v>0</v>
      </c>
      <c r="W188" s="1319">
        <f t="shared" ca="1" si="1800"/>
        <v>0</v>
      </c>
      <c r="X188" s="1319">
        <f t="shared" ca="1" si="1800"/>
        <v>0</v>
      </c>
      <c r="Y188" s="1319">
        <f t="shared" ca="1" si="1800"/>
        <v>0</v>
      </c>
      <c r="Z188" s="1319">
        <f t="shared" ca="1" si="1800"/>
        <v>1.1452045890140868E-4</v>
      </c>
      <c r="AA188" s="1319">
        <f t="shared" ca="1" si="1800"/>
        <v>0</v>
      </c>
      <c r="AB188" s="1319">
        <f t="shared" ca="1" si="1800"/>
        <v>0</v>
      </c>
      <c r="AC188" s="1319">
        <f t="shared" ca="1" si="1800"/>
        <v>0</v>
      </c>
      <c r="AD188" s="1319">
        <f t="shared" ca="1" si="1800"/>
        <v>0</v>
      </c>
      <c r="AJ188" s="1335"/>
      <c r="AM188" s="1319">
        <f t="shared" ca="1" si="1801"/>
        <v>0</v>
      </c>
      <c r="AN188" s="1319">
        <f t="shared" ca="1" si="1801"/>
        <v>0</v>
      </c>
      <c r="AO188" s="1319">
        <f t="shared" ca="1" si="1801"/>
        <v>0</v>
      </c>
      <c r="AP188" s="1319">
        <f t="shared" ca="1" si="1801"/>
        <v>0</v>
      </c>
      <c r="AQ188" s="1319">
        <f t="shared" ca="1" si="1801"/>
        <v>5.1677000898336859E-5</v>
      </c>
      <c r="AR188" s="1319">
        <f t="shared" ca="1" si="1801"/>
        <v>7.3436530543762239E-6</v>
      </c>
      <c r="AS188" s="1319">
        <f t="shared" ca="1" si="1801"/>
        <v>0</v>
      </c>
      <c r="AT188" s="1319">
        <f t="shared" ca="1" si="1801"/>
        <v>8.2290002416418556E-7</v>
      </c>
      <c r="AU188" s="1319">
        <f t="shared" ca="1" si="1801"/>
        <v>0</v>
      </c>
      <c r="AV188" s="1319">
        <f t="shared" ca="1" si="1801"/>
        <v>0</v>
      </c>
      <c r="AW188" s="1319">
        <f t="shared" ca="1" si="1801"/>
        <v>0</v>
      </c>
      <c r="AX188" s="1319">
        <f t="shared" ca="1" si="1801"/>
        <v>5.5205339827174118E-11</v>
      </c>
      <c r="AY188" s="1319">
        <f t="shared" ca="1" si="1801"/>
        <v>0</v>
      </c>
      <c r="AZ188" s="1319">
        <f t="shared" ca="1" si="1801"/>
        <v>0</v>
      </c>
      <c r="BA188" s="1319">
        <f t="shared" ca="1" si="1801"/>
        <v>0</v>
      </c>
      <c r="BB188" s="1319">
        <f t="shared" ca="1" si="1801"/>
        <v>0</v>
      </c>
      <c r="BK188" s="1335"/>
      <c r="BN188" s="1319">
        <f t="shared" ca="1" si="1802"/>
        <v>0</v>
      </c>
      <c r="BO188" s="1319">
        <f t="shared" ca="1" si="1802"/>
        <v>0</v>
      </c>
      <c r="BP188" s="1319">
        <f t="shared" ca="1" si="1802"/>
        <v>1.8276168518198536E-8</v>
      </c>
      <c r="BQ188" s="1319">
        <f t="shared" ca="1" si="1802"/>
        <v>0</v>
      </c>
      <c r="BR188" s="1319">
        <f t="shared" ca="1" si="1802"/>
        <v>0</v>
      </c>
      <c r="CA188" s="1335"/>
      <c r="CD188" s="1319">
        <f t="shared" ca="1" si="1803"/>
        <v>0</v>
      </c>
      <c r="CE188" s="1319">
        <f t="shared" ca="1" si="1803"/>
        <v>0</v>
      </c>
      <c r="CF188" s="1319">
        <f t="shared" ca="1" si="1803"/>
        <v>0</v>
      </c>
      <c r="CG188" s="1319">
        <f t="shared" ca="1" si="1803"/>
        <v>0</v>
      </c>
      <c r="CH188" s="1319">
        <f t="shared" ca="1" si="1803"/>
        <v>0</v>
      </c>
      <c r="CI188" s="1319">
        <f t="shared" ca="1" si="1803"/>
        <v>0</v>
      </c>
      <c r="CJ188" s="1319">
        <f t="shared" ca="1" si="1803"/>
        <v>0</v>
      </c>
      <c r="CK188" s="1319">
        <f t="shared" ca="1" si="1803"/>
        <v>0</v>
      </c>
      <c r="CL188" s="1319">
        <f t="shared" ca="1" si="1803"/>
        <v>1.7562747516841404E-7</v>
      </c>
      <c r="CM188" s="1319">
        <f t="shared" ca="1" si="1803"/>
        <v>0</v>
      </c>
      <c r="CN188" s="1319">
        <f t="shared" ca="1" si="1803"/>
        <v>0</v>
      </c>
      <c r="CO188" s="1319">
        <f t="shared" ca="1" si="1803"/>
        <v>0</v>
      </c>
      <c r="CX188" s="1335"/>
      <c r="DA188" s="1319">
        <f t="shared" ca="1" si="1804"/>
        <v>0</v>
      </c>
      <c r="DB188" s="1319">
        <f t="shared" ca="1" si="1804"/>
        <v>0</v>
      </c>
      <c r="DC188" s="1319">
        <f t="shared" ca="1" si="1804"/>
        <v>0</v>
      </c>
      <c r="DD188" s="1319">
        <f t="shared" ca="1" si="1804"/>
        <v>0</v>
      </c>
      <c r="DE188" s="1319">
        <f t="shared" ca="1" si="1804"/>
        <v>0</v>
      </c>
      <c r="DF188" s="1319">
        <f t="shared" ca="1" si="1804"/>
        <v>0</v>
      </c>
      <c r="DG188" s="1319">
        <f t="shared" ca="1" si="1804"/>
        <v>0</v>
      </c>
      <c r="DH188" s="1319">
        <f t="shared" ca="1" si="1804"/>
        <v>0</v>
      </c>
      <c r="DI188" s="1319">
        <f t="shared" ca="1" si="1804"/>
        <v>0</v>
      </c>
      <c r="DJ188" s="1319">
        <f t="shared" ca="1" si="1804"/>
        <v>0</v>
      </c>
      <c r="DS188" s="1335"/>
      <c r="DV188" s="1319">
        <f t="shared" ca="1" si="1805"/>
        <v>0</v>
      </c>
      <c r="DW188" s="1319">
        <f t="shared" ca="1" si="1805"/>
        <v>0</v>
      </c>
      <c r="DX188" s="1319">
        <f t="shared" ca="1" si="1805"/>
        <v>0</v>
      </c>
      <c r="DY188" s="1319">
        <f t="shared" ca="1" si="1805"/>
        <v>0</v>
      </c>
      <c r="DZ188" s="1319">
        <f t="shared" ca="1" si="1805"/>
        <v>0</v>
      </c>
      <c r="EA188" s="1319">
        <f t="shared" ca="1" si="1805"/>
        <v>0</v>
      </c>
      <c r="EB188" s="1319">
        <f t="shared" ca="1" si="1805"/>
        <v>0</v>
      </c>
      <c r="EC188" s="1319">
        <f t="shared" ca="1" si="1805"/>
        <v>0</v>
      </c>
      <c r="ED188" s="1319">
        <f t="shared" ca="1" si="1805"/>
        <v>0</v>
      </c>
      <c r="EE188" s="1319">
        <f t="shared" ca="1" si="1805"/>
        <v>0</v>
      </c>
      <c r="EF188" s="1319">
        <f t="shared" ca="1" si="1805"/>
        <v>0</v>
      </c>
      <c r="EG188" s="1319">
        <f t="shared" ca="1" si="1805"/>
        <v>0</v>
      </c>
      <c r="EH188" s="1319">
        <f t="shared" ca="1" si="1805"/>
        <v>0</v>
      </c>
      <c r="EI188" s="1319">
        <f t="shared" ca="1" si="1805"/>
        <v>0</v>
      </c>
      <c r="EJ188" s="1319">
        <f t="shared" ca="1" si="1805"/>
        <v>0</v>
      </c>
      <c r="EK188" s="1319">
        <f t="shared" ca="1" si="1805"/>
        <v>0</v>
      </c>
      <c r="ET188" s="1335"/>
      <c r="EW188" s="1319">
        <f t="shared" ca="1" si="1806"/>
        <v>0</v>
      </c>
      <c r="EX188" s="1319">
        <f t="shared" ca="1" si="1806"/>
        <v>0</v>
      </c>
      <c r="EY188" s="1319">
        <f t="shared" ca="1" si="1806"/>
        <v>0</v>
      </c>
      <c r="EZ188" s="1319">
        <f t="shared" ca="1" si="1806"/>
        <v>0</v>
      </c>
      <c r="FA188" s="1319">
        <f t="shared" ca="1" si="1806"/>
        <v>6.7058774078297145E-11</v>
      </c>
      <c r="FB188" s="1319">
        <f t="shared" ca="1" si="1806"/>
        <v>8.5012564911685117E-5</v>
      </c>
      <c r="FK188" s="1335"/>
      <c r="FN188" s="1319">
        <f t="shared" ca="1" si="1807"/>
        <v>1.8276168518198536E-8</v>
      </c>
      <c r="FO188" s="1319">
        <f t="shared" ca="1" si="1807"/>
        <v>1.7562747516841404E-7</v>
      </c>
      <c r="FP188" s="1319">
        <f t="shared" ca="1" si="1807"/>
        <v>6.7058774078297145E-11</v>
      </c>
      <c r="FQ188" s="1319">
        <f t="shared" ca="1" si="1807"/>
        <v>8.5012564911685117E-5</v>
      </c>
      <c r="FR188" s="1319">
        <f t="shared" ca="1" si="1807"/>
        <v>0</v>
      </c>
      <c r="FS188" s="1319">
        <f t="shared" ca="1" si="1807"/>
        <v>0</v>
      </c>
      <c r="FT188" s="1319">
        <f t="shared" ca="1" si="1807"/>
        <v>0</v>
      </c>
      <c r="FU188" s="1319">
        <f t="shared" ca="1" si="1807"/>
        <v>1.9397070248636517E-7</v>
      </c>
      <c r="FV188" s="1319">
        <f t="shared" ca="1" si="1807"/>
        <v>0</v>
      </c>
      <c r="FW188" s="1319">
        <f t="shared" ca="1" si="1807"/>
        <v>2.3730621592817219E-23</v>
      </c>
      <c r="FX188" s="1319">
        <f t="shared" ca="1" si="1807"/>
        <v>0</v>
      </c>
      <c r="GG188" s="1335"/>
      <c r="GJ188" s="1319">
        <f t="shared" ca="1" si="1808"/>
        <v>0</v>
      </c>
      <c r="GK188" s="1319">
        <f t="shared" ca="1" si="1808"/>
        <v>0</v>
      </c>
      <c r="GL188" s="1319">
        <f t="shared" ca="1" si="1808"/>
        <v>0</v>
      </c>
      <c r="GM188" s="1319">
        <f t="shared" ca="1" si="1808"/>
        <v>0</v>
      </c>
      <c r="GN188" s="1319">
        <f t="shared" ca="1" si="1808"/>
        <v>0</v>
      </c>
      <c r="GO188" s="1319">
        <f t="shared" ca="1" si="1808"/>
        <v>0</v>
      </c>
      <c r="GP188" s="1319">
        <f t="shared" ca="1" si="1808"/>
        <v>0</v>
      </c>
      <c r="GQ188" s="1319">
        <f t="shared" ca="1" si="1808"/>
        <v>0</v>
      </c>
      <c r="GZ188" s="1335"/>
      <c r="HC188" s="1319">
        <f t="shared" ca="1" si="1809"/>
        <v>0</v>
      </c>
      <c r="HD188" s="1319">
        <f t="shared" ca="1" si="1809"/>
        <v>0</v>
      </c>
      <c r="HE188" s="1319">
        <f t="shared" ca="1" si="1809"/>
        <v>0</v>
      </c>
      <c r="HF188" s="1319">
        <f t="shared" ca="1" si="1809"/>
        <v>2.1826598436255636E-7</v>
      </c>
      <c r="HG188" s="1319">
        <f t="shared" ca="1" si="1809"/>
        <v>0</v>
      </c>
      <c r="HH188" s="1319">
        <f t="shared" ca="1" si="1809"/>
        <v>0</v>
      </c>
      <c r="HQ188" s="1335"/>
      <c r="HT188" s="1319">
        <f t="shared" ca="1" si="1810"/>
        <v>5.5205339827174118E-11</v>
      </c>
      <c r="HU188" s="1319">
        <f t="shared" ca="1" si="1810"/>
        <v>0</v>
      </c>
      <c r="HV188" s="1319">
        <f t="shared" ca="1" si="1810"/>
        <v>0</v>
      </c>
      <c r="HW188" s="1319">
        <f t="shared" ca="1" si="1810"/>
        <v>0</v>
      </c>
      <c r="HX188" s="1319">
        <f t="shared" ca="1" si="1810"/>
        <v>0</v>
      </c>
      <c r="HY188" s="1319">
        <f t="shared" ca="1" si="1810"/>
        <v>0</v>
      </c>
      <c r="HZ188" s="1319">
        <f t="shared" ca="1" si="1810"/>
        <v>5.0451258670081461E-8</v>
      </c>
      <c r="IA188" s="1319">
        <f t="shared" ca="1" si="1810"/>
        <v>4.3415191689148383E-11</v>
      </c>
      <c r="IB188" s="1319">
        <f t="shared" ca="1" si="1810"/>
        <v>0</v>
      </c>
      <c r="IC188" s="1319">
        <f t="shared" ca="1" si="1810"/>
        <v>0</v>
      </c>
      <c r="ID188" s="1319">
        <f t="shared" ca="1" si="1810"/>
        <v>0</v>
      </c>
      <c r="IE188" s="1319">
        <f t="shared" ca="1" si="1810"/>
        <v>0</v>
      </c>
      <c r="IN188" s="1335"/>
      <c r="IQ188" s="1319">
        <f t="shared" ca="1" si="1811"/>
        <v>0</v>
      </c>
      <c r="IR188" s="1319">
        <f t="shared" ca="1" si="1811"/>
        <v>0</v>
      </c>
      <c r="IS188" s="1319">
        <f t="shared" ca="1" si="1811"/>
        <v>0</v>
      </c>
      <c r="IT188" s="1319">
        <f t="shared" ca="1" si="1811"/>
        <v>0</v>
      </c>
      <c r="IU188" s="1319">
        <f t="shared" ca="1" si="1811"/>
        <v>2.6785366920987385E-14</v>
      </c>
      <c r="IV188" s="1319">
        <f t="shared" ca="1" si="1811"/>
        <v>0</v>
      </c>
      <c r="IW188" s="1319">
        <f t="shared" ca="1" si="1811"/>
        <v>0</v>
      </c>
      <c r="IX188" s="1319">
        <f t="shared" ca="1" si="1811"/>
        <v>1.4977255780633284E-9</v>
      </c>
      <c r="IY188" s="1319">
        <f t="shared" ca="1" si="1811"/>
        <v>0</v>
      </c>
      <c r="IZ188" s="1319">
        <f t="shared" ca="1" si="1811"/>
        <v>0</v>
      </c>
      <c r="JA188" s="1319">
        <f t="shared" ca="1" si="1811"/>
        <v>5.5977746857429086E-16</v>
      </c>
      <c r="JB188" s="1319">
        <f t="shared" ca="1" si="1812"/>
        <v>0</v>
      </c>
      <c r="JC188" s="1319">
        <f t="shared" ca="1" si="1812"/>
        <v>1.2201561550322408E-9</v>
      </c>
      <c r="JD188" s="1319">
        <f t="shared" ca="1" si="1812"/>
        <v>0</v>
      </c>
      <c r="JE188" s="1319">
        <f t="shared" ca="1" si="1812"/>
        <v>1.8478039894430691E-13</v>
      </c>
      <c r="JF188" s="1319">
        <f t="shared" ca="1" si="1812"/>
        <v>0</v>
      </c>
      <c r="JG188" s="1319">
        <f t="shared" ca="1" si="1812"/>
        <v>0</v>
      </c>
      <c r="JH188" s="1319">
        <f t="shared" ca="1" si="1812"/>
        <v>4.3415191689148383E-11</v>
      </c>
      <c r="JQ188" s="1335"/>
      <c r="JT188" s="1319">
        <f t="shared" ca="1" si="1813"/>
        <v>0</v>
      </c>
      <c r="JU188" s="1319">
        <f t="shared" ca="1" si="1813"/>
        <v>0</v>
      </c>
      <c r="JV188" s="1319">
        <f t="shared" ca="1" si="1813"/>
        <v>0</v>
      </c>
      <c r="JW188" s="1319">
        <f t="shared" ca="1" si="1813"/>
        <v>0</v>
      </c>
      <c r="JX188" s="1319">
        <f t="shared" ca="1" si="1813"/>
        <v>0</v>
      </c>
      <c r="JY188" s="1319">
        <f t="shared" ca="1" si="1813"/>
        <v>0</v>
      </c>
      <c r="JZ188" s="1319">
        <f t="shared" ca="1" si="1813"/>
        <v>0</v>
      </c>
      <c r="KA188" s="1319">
        <f t="shared" ca="1" si="1813"/>
        <v>0</v>
      </c>
      <c r="KB188" s="1319">
        <f t="shared" ca="1" si="1813"/>
        <v>0</v>
      </c>
      <c r="KC188" s="1319">
        <f t="shared" ca="1" si="1813"/>
        <v>0</v>
      </c>
      <c r="KI188" s="1335"/>
      <c r="KL188" s="1319">
        <f t="shared" ca="1" si="1814"/>
        <v>0</v>
      </c>
      <c r="KM188" s="1319">
        <f t="shared" ca="1" si="1814"/>
        <v>0</v>
      </c>
      <c r="KN188" s="1319">
        <f t="shared" ca="1" si="1814"/>
        <v>0</v>
      </c>
      <c r="KO188" s="1319">
        <f t="shared" ca="1" si="1814"/>
        <v>0</v>
      </c>
      <c r="KP188" s="1319">
        <f t="shared" ca="1" si="1814"/>
        <v>0</v>
      </c>
      <c r="KQ188" s="1319">
        <f t="shared" ca="1" si="1814"/>
        <v>0</v>
      </c>
      <c r="KR188" s="1319">
        <f t="shared" ca="1" si="1814"/>
        <v>0</v>
      </c>
      <c r="KX188" s="1335"/>
      <c r="LA188" s="1319">
        <f t="shared" ca="1" si="1815"/>
        <v>2.1826598436255636E-7</v>
      </c>
      <c r="LB188" s="1319">
        <f t="shared" ca="1" si="1815"/>
        <v>5.0451258670081461E-8</v>
      </c>
      <c r="LC188" s="1319">
        <f t="shared" ca="1" si="1815"/>
        <v>2.6871724263458696E-7</v>
      </c>
      <c r="LD188" s="1319">
        <f t="shared" ca="1" si="1815"/>
        <v>2.6871724263458696E-7</v>
      </c>
      <c r="LE188" s="1319">
        <f t="shared" ca="1" si="1815"/>
        <v>0</v>
      </c>
      <c r="LF188" s="1319">
        <f t="shared" ca="1" si="1815"/>
        <v>0</v>
      </c>
      <c r="LG188" s="1319">
        <f t="shared" ca="1" si="1815"/>
        <v>0</v>
      </c>
      <c r="LH188" s="1319">
        <f t="shared" ca="1" si="1815"/>
        <v>0</v>
      </c>
      <c r="LI188" s="1319">
        <f t="shared" ca="1" si="1815"/>
        <v>0</v>
      </c>
      <c r="LJ188" s="1319">
        <f t="shared" ca="1" si="1815"/>
        <v>0</v>
      </c>
      <c r="LK188" s="1319">
        <f t="shared" ca="1" si="1815"/>
        <v>0</v>
      </c>
      <c r="LT188" s="1335"/>
      <c r="LW188" s="1319">
        <f t="shared" ca="1" si="1816"/>
        <v>0</v>
      </c>
      <c r="LX188" s="1319">
        <f t="shared" ca="1" si="1816"/>
        <v>0</v>
      </c>
      <c r="LY188" s="1319">
        <f t="shared" ca="1" si="1816"/>
        <v>0</v>
      </c>
      <c r="LZ188" s="1319">
        <f t="shared" ca="1" si="1816"/>
        <v>0</v>
      </c>
      <c r="MA188" s="1319">
        <f t="shared" ca="1" si="1816"/>
        <v>0</v>
      </c>
      <c r="MB188" s="1319">
        <f t="shared" ca="1" si="1816"/>
        <v>2.6871724263458696E-7</v>
      </c>
      <c r="MC188" s="1319">
        <f t="shared" ca="1" si="1816"/>
        <v>0</v>
      </c>
      <c r="MD188" s="1319">
        <f t="shared" ca="1" si="1816"/>
        <v>0</v>
      </c>
      <c r="ME188" s="1319">
        <f t="shared" ca="1" si="1816"/>
        <v>0</v>
      </c>
      <c r="MF188" s="1319">
        <f t="shared" ca="1" si="1816"/>
        <v>0</v>
      </c>
      <c r="MG188" s="1319">
        <f t="shared" ca="1" si="1817"/>
        <v>0</v>
      </c>
      <c r="MH188" s="1319">
        <f t="shared" ca="1" si="1817"/>
        <v>0</v>
      </c>
      <c r="MI188" s="1319">
        <f t="shared" ca="1" si="1817"/>
        <v>0</v>
      </c>
      <c r="MJ188" s="1319">
        <f t="shared" ca="1" si="1817"/>
        <v>0</v>
      </c>
      <c r="MK188" s="1319">
        <f t="shared" ca="1" si="1817"/>
        <v>0</v>
      </c>
      <c r="ML188" s="1319">
        <f t="shared" ca="1" si="1817"/>
        <v>0</v>
      </c>
      <c r="MM188" s="1319">
        <f t="shared" ca="1" si="1817"/>
        <v>0</v>
      </c>
      <c r="MN188" s="1319">
        <f t="shared" ca="1" si="1817"/>
        <v>0</v>
      </c>
      <c r="MO188" s="1319">
        <f t="shared" ca="1" si="1817"/>
        <v>0</v>
      </c>
      <c r="MX188" s="1335"/>
      <c r="NA188" s="1319">
        <f t="shared" ca="1" si="1818"/>
        <v>1.1452045890140868E-4</v>
      </c>
      <c r="NB188" s="1319">
        <f t="shared" ca="1" si="1818"/>
        <v>7.3436530543762239E-6</v>
      </c>
      <c r="NC188" s="1319">
        <f t="shared" ca="1" si="1818"/>
        <v>0</v>
      </c>
      <c r="ND188" s="1319">
        <f t="shared" ca="1" si="1818"/>
        <v>0</v>
      </c>
      <c r="NE188" s="1319">
        <f t="shared" ca="1" si="1818"/>
        <v>0</v>
      </c>
      <c r="NF188" s="1319">
        <f t="shared" ca="1" si="1818"/>
        <v>0</v>
      </c>
      <c r="NG188" s="1319">
        <f t="shared" ca="1" si="1818"/>
        <v>0</v>
      </c>
      <c r="NH188" s="1319">
        <f t="shared" ca="1" si="1818"/>
        <v>0</v>
      </c>
      <c r="NI188" s="1319">
        <f t="shared" ca="1" si="1818"/>
        <v>0</v>
      </c>
      <c r="NJ188" s="1319">
        <f t="shared" ca="1" si="1818"/>
        <v>0</v>
      </c>
      <c r="NK188" s="1319">
        <f t="shared" ca="1" si="1818"/>
        <v>0</v>
      </c>
      <c r="NL188" s="1319">
        <f t="shared" ca="1" si="1818"/>
        <v>0</v>
      </c>
      <c r="NM188" s="1319">
        <f t="shared" ca="1" si="1818"/>
        <v>0</v>
      </c>
      <c r="NN188" s="1319">
        <f t="shared" ca="1" si="1818"/>
        <v>0</v>
      </c>
      <c r="NO188" s="1319">
        <f t="shared" ca="1" si="1818"/>
        <v>0</v>
      </c>
      <c r="NP188" s="1319">
        <f t="shared" ca="1" si="1818"/>
        <v>0</v>
      </c>
      <c r="NY188" s="1335"/>
      <c r="OE188" s="1335"/>
      <c r="OH188" s="1319">
        <f t="shared" ca="1" si="1819"/>
        <v>0</v>
      </c>
      <c r="OI188" s="1319">
        <f t="shared" ca="1" si="1819"/>
        <v>0</v>
      </c>
      <c r="OJ188" s="1319">
        <f t="shared" ca="1" si="1819"/>
        <v>0</v>
      </c>
      <c r="OK188" s="1319">
        <f t="shared" ca="1" si="1819"/>
        <v>0</v>
      </c>
      <c r="OL188" s="1319">
        <f t="shared" ca="1" si="1819"/>
        <v>0</v>
      </c>
      <c r="OM188" s="1319">
        <f t="shared" ca="1" si="1819"/>
        <v>0</v>
      </c>
      <c r="ON188" s="1319">
        <f t="shared" ca="1" si="1819"/>
        <v>0</v>
      </c>
      <c r="OO188" s="1319">
        <f t="shared" ca="1" si="1819"/>
        <v>0</v>
      </c>
      <c r="OX188" s="1335"/>
      <c r="PA188" s="1319">
        <f t="shared" ca="1" si="1820"/>
        <v>0</v>
      </c>
      <c r="PB188" s="1319">
        <f t="shared" ca="1" si="1820"/>
        <v>0</v>
      </c>
      <c r="PC188" s="1319">
        <f t="shared" ca="1" si="1820"/>
        <v>0</v>
      </c>
      <c r="PD188" s="1319">
        <f t="shared" ca="1" si="1820"/>
        <v>0</v>
      </c>
      <c r="PE188" s="1319">
        <f t="shared" ca="1" si="1820"/>
        <v>0</v>
      </c>
      <c r="PF188" s="1319">
        <f t="shared" ca="1" si="1820"/>
        <v>0</v>
      </c>
      <c r="PG188" s="1319">
        <f t="shared" ca="1" si="1820"/>
        <v>0</v>
      </c>
      <c r="PH188" s="1319">
        <f t="shared" ca="1" si="1820"/>
        <v>0</v>
      </c>
      <c r="PI188" s="1319">
        <f t="shared" ca="1" si="1820"/>
        <v>0</v>
      </c>
      <c r="PJ188" s="1319">
        <f t="shared" ca="1" si="1820"/>
        <v>0</v>
      </c>
      <c r="PK188" s="1319">
        <f t="shared" ca="1" si="1820"/>
        <v>0</v>
      </c>
      <c r="PT188" s="1335"/>
      <c r="PW188" s="1319">
        <f t="shared" ca="1" si="1821"/>
        <v>0</v>
      </c>
      <c r="PX188" s="1319">
        <f t="shared" ca="1" si="1821"/>
        <v>0</v>
      </c>
      <c r="PY188" s="1319">
        <f t="shared" ca="1" si="1821"/>
        <v>0</v>
      </c>
      <c r="PZ188" s="1319">
        <f t="shared" ca="1" si="1821"/>
        <v>0</v>
      </c>
    </row>
    <row r="189" spans="1:442" x14ac:dyDescent="0.25">
      <c r="C189" s="1317" t="s">
        <v>3215</v>
      </c>
      <c r="D189" s="1317"/>
      <c r="J189" s="189">
        <f ca="1">SUM(J181:J188)</f>
        <v>12.114594912900056</v>
      </c>
      <c r="K189" s="189">
        <f t="shared" ref="K189" ca="1" si="1822">SUM(K181:K188)</f>
        <v>12.114594912900056</v>
      </c>
      <c r="T189" s="189">
        <f ca="1">SUM(T181:T188)</f>
        <v>12.114594912900056</v>
      </c>
      <c r="U189" s="189">
        <f t="shared" ref="U189:AD189" ca="1" si="1823">SUM(U181:U188)</f>
        <v>81.991254605884009</v>
      </c>
      <c r="V189" s="189">
        <f t="shared" ca="1" si="1823"/>
        <v>21.394383334159706</v>
      </c>
      <c r="W189" s="189">
        <f t="shared" ca="1" si="1823"/>
        <v>-2.2419068918657589E-8</v>
      </c>
      <c r="X189" s="189">
        <f t="shared" ca="1" si="1823"/>
        <v>-1.4601923370203552E-7</v>
      </c>
      <c r="Y189" s="189">
        <f t="shared" ca="1" si="1823"/>
        <v>130.37096002336423</v>
      </c>
      <c r="Z189" s="189">
        <f t="shared" ca="1" si="1823"/>
        <v>2.6746931767192051E-2</v>
      </c>
      <c r="AA189" s="189">
        <f t="shared" ca="1" si="1823"/>
        <v>119.00385750158831</v>
      </c>
      <c r="AB189" s="189">
        <f t="shared" ca="1" si="1823"/>
        <v>8.0607649044670146E-2</v>
      </c>
      <c r="AC189" s="189">
        <f t="shared" ca="1" si="1823"/>
        <v>21.313775668833021</v>
      </c>
      <c r="AD189" s="189">
        <f t="shared" ca="1" si="1823"/>
        <v>8.0620891556849011E-2</v>
      </c>
      <c r="AM189" s="189">
        <f ca="1">SUM(AM181:AM188)</f>
        <v>81.991254605884009</v>
      </c>
      <c r="AN189" s="189">
        <f t="shared" ref="AN189" ca="1" si="1824">SUM(AN181:AN188)</f>
        <v>81.991254605884009</v>
      </c>
      <c r="AO189" s="189">
        <f t="shared" ref="AO189" ca="1" si="1825">SUM(AO181:AO188)</f>
        <v>119.00385750158831</v>
      </c>
      <c r="AP189" s="189">
        <f t="shared" ref="AP189" ca="1" si="1826">SUM(AP181:AP188)</f>
        <v>119.00385750158831</v>
      </c>
      <c r="AQ189" s="189">
        <f t="shared" ref="AQ189" ca="1" si="1827">SUM(AQ181:AQ188)</f>
        <v>1.6003865911347469E-2</v>
      </c>
      <c r="AR189" s="189">
        <f t="shared" ref="AR189" ca="1" si="1828">SUM(AR181:AR188)</f>
        <v>2.574168707774081E-2</v>
      </c>
      <c r="AS189" s="189">
        <f t="shared" ref="AS189" ca="1" si="1829">SUM(AS181:AS188)</f>
        <v>2.2695009347420756</v>
      </c>
      <c r="AT189" s="189">
        <f t="shared" ref="AT189" ca="1" si="1830">SUM(AT181:AT188)</f>
        <v>3.5663576418158691E-2</v>
      </c>
      <c r="AU189" s="189">
        <f t="shared" ref="AU189" ca="1" si="1831">SUM(AU181:AU188)</f>
        <v>9.3343587595019759</v>
      </c>
      <c r="AV189" s="189">
        <f t="shared" ref="AV189" ca="1" si="1832">SUM(AV181:AV188)</f>
        <v>111.02230530076092</v>
      </c>
      <c r="AW189" s="189">
        <f t="shared" ref="AW189" ca="1" si="1833">SUM(AW181:AW188)</f>
        <v>7.7447952376994893</v>
      </c>
      <c r="AX189" s="189">
        <f t="shared" ref="AX189" ca="1" si="1834">SUM(AX181:AX188)</f>
        <v>19.348267415205253</v>
      </c>
      <c r="AY189" s="189">
        <f t="shared" ref="AY189" ca="1" si="1835">SUM(AY181:AY188)</f>
        <v>0.29268284533290151</v>
      </c>
      <c r="AZ189" s="189">
        <f t="shared" ref="AZ189" ca="1" si="1836">SUM(AZ181:AZ188)</f>
        <v>87.491642786154017</v>
      </c>
      <c r="BA189" s="189">
        <f t="shared" ref="BA189" ca="1" si="1837">SUM(BA181:BA188)</f>
        <v>87.784325631486922</v>
      </c>
      <c r="BB189" s="189">
        <f t="shared" ref="BB189" ca="1" si="1838">SUM(BB181:BB188)</f>
        <v>198.51396146142571</v>
      </c>
      <c r="BN189" s="189">
        <f ca="1">SUM(BN181:BN188)</f>
        <v>20.457442678892352</v>
      </c>
      <c r="BO189" s="189">
        <f t="shared" ref="BO189" ca="1" si="1839">SUM(BO181:BO188)</f>
        <v>20.515530284687518</v>
      </c>
      <c r="BP189" s="189">
        <f t="shared" ref="BP189" ca="1" si="1840">SUM(BP181:BP188)</f>
        <v>7.0809000160886367E-3</v>
      </c>
      <c r="BQ189" s="189">
        <f t="shared" ref="BQ189" ca="1" si="1841">SUM(BQ181:BQ188)</f>
        <v>6.1592164484559481E-2</v>
      </c>
      <c r="BR189" s="189">
        <f t="shared" ref="BR189" ca="1" si="1842">SUM(BR181:BR188)</f>
        <v>0</v>
      </c>
      <c r="CD189" s="189">
        <f ca="1">SUM(CD181:CD188)</f>
        <v>198.51396146142571</v>
      </c>
      <c r="CE189" s="189">
        <f t="shared" ref="CE189" ca="1" si="1843">SUM(CE181:CE188)</f>
        <v>198.51396146142571</v>
      </c>
      <c r="CF189" s="189">
        <f t="shared" ref="CF189" ca="1" si="1844">SUM(CF181:CF188)</f>
        <v>20.457442678892352</v>
      </c>
      <c r="CG189" s="189">
        <f t="shared" ref="CG189" ca="1" si="1845">SUM(CG181:CG188)</f>
        <v>20.515530284687518</v>
      </c>
      <c r="CH189" s="189">
        <f t="shared" ref="CH189" ca="1" si="1846">SUM(CH181:CH188)</f>
        <v>206.10465248119513</v>
      </c>
      <c r="CI189" s="189">
        <f t="shared" ref="CI189" ca="1" si="1847">SUM(CI181:CI188)</f>
        <v>0.27716474134351876</v>
      </c>
      <c r="CJ189" s="189">
        <f t="shared" ref="CJ189" ca="1" si="1848">SUM(CJ181:CJ188)</f>
        <v>0</v>
      </c>
      <c r="CK189" s="189">
        <f t="shared" ref="CK189" ca="1" si="1849">SUM(CK181:CK188)</f>
        <v>204.7472463816276</v>
      </c>
      <c r="CL189" s="189">
        <f t="shared" ref="CL189" ca="1" si="1850">SUM(CL181:CL188)</f>
        <v>7.316967277152471E-2</v>
      </c>
      <c r="CM189" s="189">
        <f t="shared" ref="CM189" ca="1" si="1851">SUM(CM181:CM188)</f>
        <v>7.5906912523696084</v>
      </c>
      <c r="CN189" s="189">
        <f t="shared" ref="CN189" ca="1" si="1852">SUM(CN181:CN188)</f>
        <v>220.29530293837595</v>
      </c>
      <c r="CO189" s="189">
        <f t="shared" ref="CO189" ca="1" si="1853">SUM(CO181:CO188)</f>
        <v>15.548056847498717</v>
      </c>
      <c r="DA189" s="189">
        <f ca="1">SUM(DA181:DA188)</f>
        <v>0.38659098727792879</v>
      </c>
      <c r="DB189" s="189">
        <f t="shared" ref="DB189" ca="1" si="1854">SUM(DB181:DB188)</f>
        <v>2.2967867609614743E-3</v>
      </c>
      <c r="DC189" s="189">
        <f t="shared" ref="DC189" ca="1" si="1855">SUM(DC181:DC188)</f>
        <v>0</v>
      </c>
      <c r="DD189" s="189">
        <f t="shared" ref="DD189" ca="1" si="1856">SUM(DD181:DD188)</f>
        <v>-1.3899332849949312E-11</v>
      </c>
      <c r="DE189" s="189">
        <f t="shared" ref="DE189" ca="1" si="1857">SUM(DE181:DE188)</f>
        <v>0.41537262533325581</v>
      </c>
      <c r="DF189" s="189">
        <f t="shared" ref="DF189" ca="1" si="1858">SUM(DF181:DF188)</f>
        <v>-1.4882410712725363E-10</v>
      </c>
      <c r="DG189" s="189">
        <f t="shared" ref="DG189" ca="1" si="1859">SUM(DG181:DG188)</f>
        <v>-2.9133742977092614E-9</v>
      </c>
      <c r="DH189" s="189">
        <f t="shared" ref="DH189" ca="1" si="1860">SUM(DH181:DH188)</f>
        <v>8.2220344200448325E-2</v>
      </c>
      <c r="DI189" s="189">
        <f t="shared" ref="DI189" ca="1" si="1861">SUM(DI181:DI188)</f>
        <v>7.8305089587040258E-2</v>
      </c>
      <c r="DJ189" s="189">
        <f t="shared" ref="DJ189" ca="1" si="1862">SUM(DJ181:DJ188)</f>
        <v>3.9152545317314887E-3</v>
      </c>
      <c r="DV189" s="189">
        <f ca="1">SUM(DV181:DV188)</f>
        <v>6.6402761585398622</v>
      </c>
      <c r="DW189" s="189">
        <f t="shared" ref="DW189" ca="1" si="1863">SUM(DW181:DW188)</f>
        <v>0.24812615381992786</v>
      </c>
      <c r="DX189" s="189">
        <f t="shared" ref="DX189" ca="1" si="1864">SUM(DX181:DX188)</f>
        <v>7.7318197571885863</v>
      </c>
      <c r="DY189" s="189">
        <f t="shared" ref="DY189" ca="1" si="1865">SUM(DY181:DY188)</f>
        <v>0.38659098727792879</v>
      </c>
      <c r="DZ189" s="189">
        <f t="shared" ref="DZ189" ca="1" si="1866">SUM(DZ181:DZ188)</f>
        <v>0</v>
      </c>
      <c r="EA189" s="189">
        <f t="shared" ref="EA189" ca="1" si="1867">SUM(EA181:EA188)</f>
        <v>0.41537262533325581</v>
      </c>
      <c r="EB189" s="189">
        <f t="shared" ref="EB189" ca="1" si="1868">SUM(EB181:EB188)</f>
        <v>7.3452287460691368</v>
      </c>
      <c r="EC189" s="189">
        <f t="shared" ref="EC189" ca="1" si="1869">SUM(EC181:EC188)</f>
        <v>4.5768694532298711E-2</v>
      </c>
      <c r="ED189" s="189">
        <f t="shared" ref="ED189" ca="1" si="1870">SUM(ED181:ED188)</f>
        <v>7.5906912523696084</v>
      </c>
      <c r="EE189" s="189">
        <f t="shared" ref="EE189" ca="1" si="1871">SUM(EE181:EE188)</f>
        <v>-3.5225821318016385E-9</v>
      </c>
      <c r="EF189" s="189">
        <f t="shared" ref="EF189" ca="1" si="1872">SUM(EF181:EF188)</f>
        <v>0</v>
      </c>
      <c r="EG189" s="189">
        <f t="shared" ref="EG189" ca="1" si="1873">SUM(EG181:EG188)</f>
        <v>-2.074265245671649E-10</v>
      </c>
      <c r="EH189" s="189">
        <f t="shared" ref="EH189" ca="1" si="1874">SUM(EH181:EH188)</f>
        <v>0</v>
      </c>
      <c r="EI189" s="189">
        <f t="shared" ref="EI189" ca="1" si="1875">SUM(EI181:EI188)</f>
        <v>4.5768694532298711E-2</v>
      </c>
      <c r="EJ189" s="189">
        <f t="shared" ref="EJ189" ca="1" si="1876">SUM(EJ181:EJ188)</f>
        <v>0</v>
      </c>
      <c r="EK189" s="189">
        <f t="shared" ref="EK189" ca="1" si="1877">SUM(EK181:EK188)</f>
        <v>7.8305089587040258E-2</v>
      </c>
      <c r="EW189" s="189">
        <f ca="1">SUM(EW181:EW188)</f>
        <v>220.29530293837595</v>
      </c>
      <c r="EX189" s="189">
        <f t="shared" ref="EX189" ca="1" si="1878">SUM(EX181:EX188)</f>
        <v>220.29530293837595</v>
      </c>
      <c r="EY189" s="189">
        <f t="shared" ref="EY189" ca="1" si="1879">SUM(EY181:EY188)</f>
        <v>198.90403340485767</v>
      </c>
      <c r="EZ189" s="189">
        <f t="shared" ref="EZ189" ca="1" si="1880">SUM(EZ181:EZ188)</f>
        <v>198.90403340485767</v>
      </c>
      <c r="FA189" s="189">
        <f t="shared" ref="FA189" ca="1" si="1881">SUM(FA181:FA188)</f>
        <v>1.4472505858654824E-2</v>
      </c>
      <c r="FB189" s="189">
        <f t="shared" ref="FB189" ca="1" si="1882">SUM(FB181:FB188)</f>
        <v>4.8050600157606906</v>
      </c>
      <c r="FN189" s="189">
        <f ca="1">SUM(FN181:FN188)</f>
        <v>7.0809000160886367E-3</v>
      </c>
      <c r="FO189" s="189">
        <f t="shared" ref="FO189" ca="1" si="1883">SUM(FO181:FO188)</f>
        <v>7.316967277152471E-2</v>
      </c>
      <c r="FP189" s="189">
        <f t="shared" ref="FP189" ca="1" si="1884">SUM(FP181:FP188)</f>
        <v>1.4472505858654824E-2</v>
      </c>
      <c r="FQ189" s="189">
        <f t="shared" ref="FQ189" ca="1" si="1885">SUM(FQ181:FQ188)</f>
        <v>4.8050600157606906</v>
      </c>
      <c r="FR189" s="189">
        <f t="shared" ref="FR189" ca="1" si="1886">SUM(FR181:FR188)</f>
        <v>5.9517288253814113</v>
      </c>
      <c r="FS189" s="189">
        <f t="shared" ref="FS189" ca="1" si="1887">SUM(FS181:FS188)</f>
        <v>21.313775668833021</v>
      </c>
      <c r="FT189" s="189">
        <f t="shared" ref="FT189" ca="1" si="1888">SUM(FT181:FT188)</f>
        <v>1.1923017926277344</v>
      </c>
      <c r="FU189" s="189">
        <f t="shared" ref="FU189" ca="1" si="1889">SUM(FU181:FU188)</f>
        <v>9.4723077734192654E-2</v>
      </c>
      <c r="FV189" s="189">
        <f t="shared" ref="FV189" ca="1" si="1890">SUM(FV181:FV188)</f>
        <v>15.602156073866887</v>
      </c>
      <c r="FW189" s="189">
        <f t="shared" ref="FW189" ca="1" si="1891">SUM(FW181:FW188)</f>
        <v>9.5261920900832988E-4</v>
      </c>
      <c r="FX189" s="189">
        <f t="shared" ref="FX189" ca="1" si="1892">SUM(FX181:FX188)</f>
        <v>15.548056847498717</v>
      </c>
      <c r="GJ189" s="189">
        <f ca="1">SUM(GJ181:GJ188)</f>
        <v>5.9517288253814113</v>
      </c>
      <c r="GK189" s="189">
        <f t="shared" ref="GK189" ca="1" si="1893">SUM(GK181:GK188)</f>
        <v>5.9517288253814113</v>
      </c>
      <c r="GL189" s="189">
        <f t="shared" ref="GL189" ca="1" si="1894">SUM(GL181:GL188)</f>
        <v>1.1717079757566657</v>
      </c>
      <c r="GM189" s="189">
        <f t="shared" ref="GM189" ca="1" si="1895">SUM(GM181:GM188)</f>
        <v>4.7800208440512142</v>
      </c>
      <c r="GN189" s="189">
        <f t="shared" ref="GN189" ca="1" si="1896">SUM(GN181:GN188)</f>
        <v>6.432102471949229E-2</v>
      </c>
      <c r="GO189" s="189">
        <f t="shared" ref="GO189" ca="1" si="1897">SUM(GO181:GO188)</f>
        <v>1.1922986583397335</v>
      </c>
      <c r="GP189" s="189">
        <f t="shared" ref="GP189" ca="1" si="1898">SUM(GP181:GP188)</f>
        <v>4.7800208440512142</v>
      </c>
      <c r="GQ189" s="189">
        <f t="shared" ref="GQ189" ca="1" si="1899">SUM(GQ181:GQ188)</f>
        <v>1.1923017926277344</v>
      </c>
      <c r="HC189" s="189">
        <f ca="1">SUM(HC181:HC188)</f>
        <v>198.90403340485767</v>
      </c>
      <c r="HD189" s="189">
        <f t="shared" ref="HD189" ca="1" si="1900">SUM(HD181:HD188)</f>
        <v>191.49852262584906</v>
      </c>
      <c r="HE189" s="189">
        <f t="shared" ref="HE189" ca="1" si="1901">SUM(HE181:HE188)</f>
        <v>-1.7357883782747199E-9</v>
      </c>
      <c r="HF189" s="189">
        <f t="shared" ref="HF189" ca="1" si="1902">SUM(HF181:HF188)</f>
        <v>3.37876860872659E-4</v>
      </c>
      <c r="HG189" s="189">
        <f t="shared" ref="HG189" ca="1" si="1903">SUM(HG181:HG188)</f>
        <v>7.4413432488047784</v>
      </c>
      <c r="HH189" s="189">
        <f t="shared" ref="HH189" ca="1" si="1904">SUM(HH181:HH188)</f>
        <v>191.49852262584906</v>
      </c>
      <c r="HT189" s="189">
        <f ca="1">SUM(HT181:HT188)</f>
        <v>19.348267415205253</v>
      </c>
      <c r="HU189" s="189">
        <f t="shared" ref="HU189" ca="1" si="1905">SUM(HU181:HU188)</f>
        <v>191.49852262584906</v>
      </c>
      <c r="HV189" s="189">
        <f t="shared" ref="HV189" ca="1" si="1906">SUM(HV181:HV188)</f>
        <v>223.93338857416296</v>
      </c>
      <c r="HW189" s="189">
        <f t="shared" ref="HW189" ca="1" si="1907">SUM(HW181:HW188)</f>
        <v>223.93338857416296</v>
      </c>
      <c r="HX189" s="189">
        <f t="shared" ref="HX189" ca="1" si="1908">SUM(HX181:HX188)</f>
        <v>207.44353558787697</v>
      </c>
      <c r="HY189" s="189">
        <f t="shared" ref="HY189" ca="1" si="1909">SUM(HY181:HY188)</f>
        <v>15.774883591485851</v>
      </c>
      <c r="HZ189" s="189">
        <f t="shared" ref="HZ189" ca="1" si="1910">SUM(HZ181:HZ188)</f>
        <v>2.3534430155318581E-4</v>
      </c>
      <c r="IA189" s="189">
        <f t="shared" ref="IA189" ca="1" si="1911">SUM(IA181:IA188)</f>
        <v>5.5978122902527058E-8</v>
      </c>
      <c r="IB189" s="189">
        <f t="shared" ref="IB189" ca="1" si="1912">SUM(IB181:IB188)</f>
        <v>2.722609180734215</v>
      </c>
      <c r="IC189" s="189">
        <f t="shared" ref="IC189" ca="1" si="1913">SUM(IC181:IC188)</f>
        <v>85.559816526553888</v>
      </c>
      <c r="ID189" s="189">
        <f t="shared" ref="ID189" ca="1" si="1914">SUM(ID181:ID188)</f>
        <v>85.559816526553888</v>
      </c>
      <c r="IE189" s="189">
        <f t="shared" ref="IE189" ca="1" si="1915">SUM(IE181:IE188)</f>
        <v>10.279283906007112</v>
      </c>
      <c r="IQ189" s="189">
        <f ca="1">SUM(IQ181:IQ188)</f>
        <v>207.44353558787697</v>
      </c>
      <c r="IR189" s="189">
        <f t="shared" ref="IR189" ca="1" si="1916">SUM(IR181:IR188)</f>
        <v>15.774883591485851</v>
      </c>
      <c r="IS189" s="189">
        <f t="shared" ref="IS189" ca="1" si="1917">SUM(IS181:IS188)</f>
        <v>51.446434307867705</v>
      </c>
      <c r="IT189" s="189">
        <f t="shared" ref="IT189:IU189" ca="1" si="1918">SUM(IT181:IT188)</f>
        <v>67.221318131969653</v>
      </c>
      <c r="IU189" s="189">
        <f t="shared" ca="1" si="1918"/>
        <v>62.737421157630422</v>
      </c>
      <c r="IV189" s="189">
        <f t="shared" ref="IV189" ca="1" si="1919">SUM(IV181:IV188)</f>
        <v>1508.065680945035</v>
      </c>
      <c r="IW189" s="189">
        <f t="shared" ref="IW189:IX189" ca="1" si="1920">SUM(IW181:IW188)</f>
        <v>1234.7144212954138</v>
      </c>
      <c r="IX189" s="189">
        <f t="shared" ca="1" si="1920"/>
        <v>9.0198085212827204E-6</v>
      </c>
      <c r="IY189" s="189">
        <f t="shared" ref="IY189" ca="1" si="1921">SUM(IY181:IY188)</f>
        <v>4.4838954630151484</v>
      </c>
      <c r="IZ189" s="189">
        <f t="shared" ref="IZ189" ca="1" si="1922">SUM(IZ181:IZ188)</f>
        <v>221.90649041095284</v>
      </c>
      <c r="JA189" s="189">
        <f t="shared" ref="JA189" ca="1" si="1923">SUM(JA181:JA188)</f>
        <v>1286.160856755075</v>
      </c>
      <c r="JB189" s="189">
        <f t="shared" ref="JB189" ca="1" si="1924">SUM(JB181:JB188)</f>
        <v>219.01646331576038</v>
      </c>
      <c r="JC189" s="189">
        <f t="shared" ref="JC189" ca="1" si="1925">SUM(JC181:JC188)</f>
        <v>2.8482051360080307</v>
      </c>
      <c r="JD189" s="189">
        <f t="shared" ref="JD189" ca="1" si="1926">SUM(JD181:JD188)</f>
        <v>177.52456860942408</v>
      </c>
      <c r="JE189" s="189">
        <f t="shared" ref="JE189" ca="1" si="1927">SUM(JE181:JE188)</f>
        <v>44.38184130749444</v>
      </c>
      <c r="JF189" s="189">
        <f t="shared" ref="JF189" ca="1" si="1928">SUM(JF181:JF188)</f>
        <v>-1.426208039161771E-8</v>
      </c>
      <c r="JG189" s="189">
        <f t="shared" ref="JG189" ca="1" si="1929">SUM(JG181:JG188)</f>
        <v>1.3096249553521611</v>
      </c>
      <c r="JH189" s="189">
        <f t="shared" ref="JH189" ca="1" si="1930">SUM(JH181:JH188)</f>
        <v>5.5978122902527058E-8</v>
      </c>
      <c r="JT189" s="189">
        <f ca="1">SUM(JT181:JT188)</f>
        <v>6.1592164484559481E-2</v>
      </c>
      <c r="JU189" s="189">
        <f t="shared" ref="JU189" ca="1" si="1931">SUM(JU181:JU188)</f>
        <v>0.27716474134351876</v>
      </c>
      <c r="JV189" s="189">
        <f t="shared" ref="JV189" ca="1" si="1932">SUM(JV181:JV188)</f>
        <v>2.2967867609614743E-3</v>
      </c>
      <c r="JW189" s="189">
        <f t="shared" ref="JW189" ca="1" si="1933">SUM(JW181:JW188)</f>
        <v>4.5768694532298711E-2</v>
      </c>
      <c r="JX189" s="189">
        <f t="shared" ref="JX189" ca="1" si="1934">SUM(JX181:JX188)</f>
        <v>6.432102471949229E-2</v>
      </c>
      <c r="JY189" s="189">
        <f t="shared" ref="JY189" ca="1" si="1935">SUM(JY181:JY188)</f>
        <v>0</v>
      </c>
      <c r="JZ189" s="189">
        <f t="shared" ref="JZ189" ca="1" si="1936">SUM(JZ181:JZ188)</f>
        <v>6.432102471949229E-2</v>
      </c>
      <c r="KA189" s="189">
        <f t="shared" ref="KA189" ca="1" si="1937">SUM(KA181:KA188)</f>
        <v>8.0620891556849011E-2</v>
      </c>
      <c r="KB189" s="189">
        <f t="shared" ref="KB189" ca="1" si="1938">SUM(KB181:KB188)</f>
        <v>4.6648414218724064</v>
      </c>
      <c r="KC189" s="189">
        <f t="shared" ref="KC189" ca="1" si="1939">SUM(KC181:KC188)</f>
        <v>0.38682238753420378</v>
      </c>
      <c r="KL189" s="189">
        <f ca="1">SUM(KL181:KL188)</f>
        <v>0.29268284533290151</v>
      </c>
      <c r="KM189" s="189">
        <f t="shared" ref="KM189" ca="1" si="1940">SUM(KM181:KM188)</f>
        <v>0</v>
      </c>
      <c r="KN189" s="189">
        <f t="shared" ref="KN189" ca="1" si="1941">SUM(KN181:KN188)</f>
        <v>0</v>
      </c>
      <c r="KO189" s="189">
        <f t="shared" ref="KO189" ca="1" si="1942">SUM(KO181:KO188)</f>
        <v>-1.3899332849949312E-11</v>
      </c>
      <c r="KP189" s="189">
        <f t="shared" ref="KP189" ca="1" si="1943">SUM(KP181:KP188)</f>
        <v>-2.074265245671649E-10</v>
      </c>
      <c r="KQ189" s="189">
        <f t="shared" ref="KQ189" ca="1" si="1944">SUM(KQ181:KQ188)</f>
        <v>0.32470616381179629</v>
      </c>
      <c r="KR189" s="189">
        <f t="shared" ref="KR189" ca="1" si="1945">SUM(KR181:KR188)</f>
        <v>0</v>
      </c>
      <c r="LA189" s="189">
        <f ca="1">SUM(LA181:LA188)</f>
        <v>3.37876860872659E-4</v>
      </c>
      <c r="LB189" s="189">
        <f t="shared" ref="LB189" ca="1" si="1946">SUM(LB181:LB188)</f>
        <v>2.3534430155318581E-4</v>
      </c>
      <c r="LC189" s="189">
        <f t="shared" ref="LC189" ca="1" si="1947">SUM(LC181:LC188)</f>
        <v>5.7320116749569295E-4</v>
      </c>
      <c r="LD189" s="189">
        <f t="shared" ref="LD189" ca="1" si="1948">SUM(LD181:LD188)</f>
        <v>5.7320116749569295E-4</v>
      </c>
      <c r="LE189" s="189">
        <f t="shared" ref="LE189" ca="1" si="1949">SUM(LE181:LE188)</f>
        <v>-2.5354831022583616E-8</v>
      </c>
      <c r="LF189" s="189">
        <f t="shared" ref="LF189" ca="1" si="1950">SUM(LF181:LF188)</f>
        <v>1.7031855259414917E-6</v>
      </c>
      <c r="LG189" s="189">
        <f t="shared" ref="LG189" ca="1" si="1951">SUM(LG181:LG188)</f>
        <v>2.7474172903424137E-5</v>
      </c>
      <c r="LH189" s="189">
        <f t="shared" ref="LH189" ca="1" si="1952">SUM(LH181:LH188)</f>
        <v>0</v>
      </c>
      <c r="LI189" s="189">
        <f t="shared" ref="LI189" ca="1" si="1953">SUM(LI181:LI188)</f>
        <v>1.8818877049043805E-4</v>
      </c>
      <c r="LJ189" s="189">
        <f t="shared" ref="LJ189" ca="1" si="1954">SUM(LJ181:LJ188)</f>
        <v>2.0804957099266219</v>
      </c>
      <c r="LK189" s="189">
        <f t="shared" ref="LK189" ca="1" si="1955">SUM(LK181:LK188)</f>
        <v>0</v>
      </c>
      <c r="LW189" s="189">
        <f ca="1">SUM(LW181:LW188)</f>
        <v>-2.2419068918657589E-8</v>
      </c>
      <c r="LX189" s="189">
        <f ca="1">SUM(LX181:LX188)</f>
        <v>-1.4601923370203552E-7</v>
      </c>
      <c r="LY189" s="189">
        <f t="shared" ref="LY189" ca="1" si="1956">SUM(LY181:LY188)</f>
        <v>7.4413432488047784</v>
      </c>
      <c r="LZ189" s="189">
        <f t="shared" ref="LZ189" ca="1" si="1957">SUM(LZ181:LZ188)</f>
        <v>4.4838954630151484</v>
      </c>
      <c r="MA189" s="189">
        <f t="shared" ref="MA189" ca="1" si="1958">SUM(MA181:MA188)</f>
        <v>11.925238700189858</v>
      </c>
      <c r="MB189" s="189">
        <f t="shared" ref="MB189" ca="1" si="1959">SUM(MB181:MB188)</f>
        <v>5.7320116749569295E-4</v>
      </c>
      <c r="MC189" s="189">
        <f t="shared" ref="MC189" ca="1" si="1960">SUM(MC181:MC188)</f>
        <v>1.7031855259414917E-6</v>
      </c>
      <c r="MD189" s="189">
        <f t="shared" ref="MD189" ca="1" si="1961">SUM(MD181:MD188)</f>
        <v>-1.8216177994575786E-6</v>
      </c>
      <c r="ME189" s="189">
        <f t="shared" ref="ME189" ca="1" si="1962">SUM(ME181:ME188)</f>
        <v>-6.8467415038649038E-8</v>
      </c>
      <c r="MF189" s="189">
        <f t="shared" ref="MF189" ca="1" si="1963">SUM(MF181:MF188)</f>
        <v>140.76600353594824</v>
      </c>
      <c r="MG189" s="189">
        <f t="shared" ref="MG189" ca="1" si="1964">SUM(MG181:MG188)</f>
        <v>140.76687753128502</v>
      </c>
      <c r="MH189" s="189">
        <f t="shared" ref="MH189" ca="1" si="1965">SUM(MH181:MH188)</f>
        <v>-3.9444697900420921E-7</v>
      </c>
      <c r="MI189" s="189">
        <f t="shared" ref="MI189" ca="1" si="1966">SUM(MI181:MI188)</f>
        <v>-7.882498273714081E-10</v>
      </c>
      <c r="MJ189" s="189">
        <f t="shared" ref="MJ189" ca="1" si="1967">SUM(MJ181:MJ188)</f>
        <v>7.3749608266413054</v>
      </c>
      <c r="MK189" s="189">
        <f t="shared" ref="MK189" ca="1" si="1968">SUM(MK181:MK188)</f>
        <v>59.018991375410749</v>
      </c>
      <c r="ML189" s="189">
        <f t="shared" ref="ML189" ca="1" si="1969">SUM(ML181:ML188)</f>
        <v>59.018991375410749</v>
      </c>
      <c r="MM189" s="189">
        <f t="shared" ref="MM189" ca="1" si="1970">SUM(MM181:MM188)</f>
        <v>2.722609180734215</v>
      </c>
      <c r="MN189" s="189">
        <f t="shared" ref="MN189" ca="1" si="1971">SUM(MN181:MN188)</f>
        <v>17.510744931568691</v>
      </c>
      <c r="MO189" s="189">
        <f t="shared" ref="MO189" ca="1" si="1972">SUM(MO181:MO188)</f>
        <v>0</v>
      </c>
      <c r="NA189" s="189">
        <f ca="1">SUM(NA181:NA188)</f>
        <v>2.6746931767192051E-2</v>
      </c>
      <c r="NB189" s="189">
        <f t="shared" ref="NB189" ca="1" si="1973">SUM(NB181:NB188)</f>
        <v>2.574168707774081E-2</v>
      </c>
      <c r="NC189" s="189">
        <f t="shared" ref="NC189" ca="1" si="1974">SUM(NC181:NC188)</f>
        <v>2.2695009347420756</v>
      </c>
      <c r="ND189" s="189">
        <f t="shared" ref="ND189" ca="1" si="1975">SUM(ND181:ND188)</f>
        <v>20.530940022762383</v>
      </c>
      <c r="NE189" s="189">
        <f t="shared" ref="NE189" ca="1" si="1976">SUM(NE181:NE188)</f>
        <v>120.17371334364699</v>
      </c>
      <c r="NF189" s="189">
        <f t="shared" ref="NF189" ca="1" si="1977">SUM(NF181:NF188)</f>
        <v>140.70465348270946</v>
      </c>
      <c r="NG189" s="189">
        <f t="shared" ref="NG189" ca="1" si="1978">SUM(NG181:NG188)</f>
        <v>20.530940022762383</v>
      </c>
      <c r="NH189" s="189">
        <f t="shared" ref="NH189" ca="1" si="1979">SUM(NH181:NH188)</f>
        <v>0</v>
      </c>
      <c r="NI189" s="189">
        <f t="shared" ref="NI189" ca="1" si="1980">SUM(NI181:NI188)</f>
        <v>140.76600353594824</v>
      </c>
      <c r="NJ189" s="189">
        <f t="shared" ref="NJ189" ca="1" si="1981">SUM(NJ181:NJ188)</f>
        <v>140.76600353594824</v>
      </c>
      <c r="NK189" s="189">
        <f t="shared" ref="NK189" ca="1" si="1982">SUM(NK181:NK188)</f>
        <v>-7.882498273714081E-10</v>
      </c>
      <c r="NL189" s="189">
        <f t="shared" ref="NL189" ca="1" si="1983">SUM(NL181:NL188)</f>
        <v>59.018991375410749</v>
      </c>
      <c r="NM189" s="189">
        <f t="shared" ref="NM189" ca="1" si="1984">SUM(NM181:NM188)</f>
        <v>2.722609180734215</v>
      </c>
      <c r="NN189" s="189">
        <f t="shared" ref="NN189" ca="1" si="1985">SUM(NN181:NN188)</f>
        <v>-1.5536819078453638E-8</v>
      </c>
      <c r="NO189" s="189">
        <f t="shared" ref="NO189" ca="1" si="1986">SUM(NO181:NO188)</f>
        <v>17.510744931568691</v>
      </c>
      <c r="NP189" s="189">
        <f t="shared" ref="NP189" ca="1" si="1987">SUM(NP181:NP188)</f>
        <v>43.643977152967665</v>
      </c>
      <c r="OH189" s="189">
        <f ca="1">SUM(OH181:OH188)</f>
        <v>6932.7318617474994</v>
      </c>
      <c r="OI189" s="189">
        <f t="shared" ref="OI189" ca="1" si="1988">SUM(OI181:OI188)</f>
        <v>90.155197363837217</v>
      </c>
      <c r="OJ189" s="189">
        <f t="shared" ref="OJ189" ca="1" si="1989">SUM(OJ181:OJ188)</f>
        <v>10.278486145393311</v>
      </c>
      <c r="OK189" s="189">
        <f t="shared" ref="OK189" ca="1" si="1990">SUM(OK181:OK188)</f>
        <v>6932.7318617474994</v>
      </c>
      <c r="OL189" s="189">
        <f t="shared" ref="OL189" ca="1" si="1991">SUM(OL181:OL188)</f>
        <v>-7.7653468550014917E-7</v>
      </c>
      <c r="OM189" s="189">
        <f t="shared" ref="OM189" ca="1" si="1992">SUM(OM181:OM188)</f>
        <v>-5.8013541967526304E-7</v>
      </c>
      <c r="ON189" s="189">
        <f t="shared" ref="ON189" ca="1" si="1993">SUM(ON181:ON188)</f>
        <v>798.40411395089166</v>
      </c>
      <c r="OO189" s="189">
        <f t="shared" ref="OO189" ca="1" si="1994">SUM(OO181:OO188)</f>
        <v>798.40411395089166</v>
      </c>
      <c r="PA189" s="189">
        <f ca="1">SUM(PA181:PA188)</f>
        <v>81.991254605884009</v>
      </c>
      <c r="PB189" s="189">
        <f t="shared" ref="PB189" ca="1" si="1995">SUM(PB181:PB188)</f>
        <v>87.491642786154017</v>
      </c>
      <c r="PC189" s="189">
        <f t="shared" ref="PC189" ca="1" si="1996">SUM(PC181:PC188)</f>
        <v>6.6402761585398622</v>
      </c>
      <c r="PD189" s="189">
        <f t="shared" ref="PD189" ca="1" si="1997">SUM(PD181:PD188)</f>
        <v>15.602156073866887</v>
      </c>
      <c r="PE189" s="189">
        <f t="shared" ref="PE189" ca="1" si="1998">SUM(PE181:PE188)</f>
        <v>219.01646331576038</v>
      </c>
      <c r="PF189" s="189">
        <f t="shared" ref="PF189" ca="1" si="1999">SUM(PF181:PF188)</f>
        <v>20.530940022762383</v>
      </c>
      <c r="PG189" s="189">
        <f t="shared" ref="PG189" ca="1" si="2000">SUM(PG181:PG188)</f>
        <v>2.0804957099266219</v>
      </c>
      <c r="PH189" s="189">
        <f t="shared" ref="PH189" ca="1" si="2001">SUM(PH181:PH188)</f>
        <v>85.559816526553888</v>
      </c>
      <c r="PI189" s="189">
        <f t="shared" ref="PI189" ca="1" si="2002">SUM(PI181:PI188)</f>
        <v>304.57628042381475</v>
      </c>
      <c r="PJ189" s="189">
        <f t="shared" ref="PJ189" ca="1" si="2003">SUM(PJ181:PJ188)</f>
        <v>8.431758072869254E-2</v>
      </c>
      <c r="PK189" s="189">
        <f t="shared" ref="PK189" ca="1" si="2004">SUM(PK181:PK188)</f>
        <v>90.155197363837217</v>
      </c>
      <c r="PW189" s="189">
        <f ca="1">SUM(PW181:PW188)</f>
        <v>8.431758072869254E-2</v>
      </c>
      <c r="PX189" s="189">
        <f t="shared" ref="PX189" ca="1" si="2005">SUM(PX181:PX188)</f>
        <v>-6.3305778498088328E-10</v>
      </c>
      <c r="PY189" s="189">
        <f t="shared" ref="PY189" ca="1" si="2006">SUM(PY181:PY188)</f>
        <v>8.431758072869254E-2</v>
      </c>
      <c r="PZ189" s="189">
        <f t="shared" ref="PZ189" ca="1" si="2007">SUM(PZ181:PZ188)</f>
        <v>8.431758072869254E-2</v>
      </c>
    </row>
    <row r="190" spans="1:442" x14ac:dyDescent="0.25">
      <c r="C190" s="1317" t="s">
        <v>3216</v>
      </c>
      <c r="D190" s="1317" t="s">
        <v>982</v>
      </c>
      <c r="J190" s="189">
        <f ca="1">J177+J179+J189</f>
        <v>-315.57189332922121</v>
      </c>
      <c r="K190" s="189">
        <f t="shared" ref="K190" ca="1" si="2008">K177+K179+K189</f>
        <v>-315.57189332922121</v>
      </c>
      <c r="T190" s="189">
        <f ca="1">T177+T179+T189</f>
        <v>-315.57189332922121</v>
      </c>
      <c r="U190" s="189">
        <f t="shared" ref="U190:AD190" ca="1" si="2009">U177+U179+U189</f>
        <v>72.307318605883992</v>
      </c>
      <c r="V190" s="189">
        <f t="shared" ca="1" si="2009"/>
        <v>18.18293539607896</v>
      </c>
      <c r="W190" s="189">
        <f t="shared" ca="1" si="2009"/>
        <v>-0.38821422241906911</v>
      </c>
      <c r="X190" s="189">
        <f t="shared" ca="1" si="2009"/>
        <v>-2.7306140460192281</v>
      </c>
      <c r="Y190" s="189">
        <f t="shared" ca="1" si="2009"/>
        <v>-231.62551604489394</v>
      </c>
      <c r="Z190" s="189">
        <f t="shared" ca="1" si="2009"/>
        <v>-2.8631872306220862</v>
      </c>
      <c r="AA190" s="189">
        <f t="shared" ca="1" si="2009"/>
        <v>-229.93917395030593</v>
      </c>
      <c r="AB190" s="189">
        <f t="shared" ca="1" si="2009"/>
        <v>1.224578636430133</v>
      </c>
      <c r="AC190" s="189">
        <f t="shared" ca="1" si="2009"/>
        <v>16.958977353366805</v>
      </c>
      <c r="AD190" s="189">
        <f t="shared" ca="1" si="2009"/>
        <v>1.2251858292967119</v>
      </c>
      <c r="AM190" s="189">
        <f ca="1">AM177+AM179+AM189</f>
        <v>80.952278605883961</v>
      </c>
      <c r="AN190" s="189">
        <f t="shared" ref="AN190" ca="1" si="2010">AN177+AN179+AN189</f>
        <v>72.307318605883992</v>
      </c>
      <c r="AO190" s="189">
        <f t="shared" ref="AO190" ca="1" si="2011">AO177+AO179+AO189</f>
        <v>-229.93917395030593</v>
      </c>
      <c r="AP190" s="189">
        <f t="shared" ref="AP190" ca="1" si="2012">AP177+AP179+AP189</f>
        <v>-230.06603995030599</v>
      </c>
      <c r="AQ190" s="189">
        <f t="shared" ref="AQ190" ca="1" si="2013">AQ177+AQ179+AQ189</f>
        <v>-1.4598698977682723</v>
      </c>
      <c r="AR190" s="189">
        <f t="shared" ref="AR190" ca="1" si="2014">AR177+AR179+AR189</f>
        <v>-1.7391559098125644</v>
      </c>
      <c r="AS190" s="189">
        <f t="shared" ref="AS190" ca="1" si="2015">AS177+AS179+AS189</f>
        <v>1.9001378686115211</v>
      </c>
      <c r="AT190" s="189">
        <f t="shared" ref="AT190" ca="1" si="2016">AT177+AT179+AT189</f>
        <v>-2.066582796254945</v>
      </c>
      <c r="AU190" s="189">
        <f t="shared" ref="AU190" ca="1" si="2017">AU177+AU179+AU189</f>
        <v>7.7656038686993192</v>
      </c>
      <c r="AV190" s="189">
        <f t="shared" ref="AV190" ca="1" si="2018">AV177+AV179+AV189</f>
        <v>-228.80561505305104</v>
      </c>
      <c r="AW190" s="189">
        <f t="shared" ref="AW190" ca="1" si="2019">AW177+AW179+AW189</f>
        <v>5.1100224650263915</v>
      </c>
      <c r="AX190" s="189">
        <f t="shared" ref="AX190" ca="1" si="2020">AX177+AX179+AX189</f>
        <v>14.775955389122139</v>
      </c>
      <c r="AY190" s="189">
        <f t="shared" ref="AY190" ca="1" si="2021">AY177+AY179+AY189</f>
        <v>-4.368626386199252</v>
      </c>
      <c r="AZ190" s="189">
        <f t="shared" ref="AZ190" ca="1" si="2022">AZ177+AZ179+AZ189</f>
        <v>86.382967786154182</v>
      </c>
      <c r="BA190" s="189">
        <f t="shared" ref="BA190" ca="1" si="2023">BA177+BA179+BA189</f>
        <v>81.429230169954621</v>
      </c>
      <c r="BB190" s="189">
        <f t="shared" ref="BB190" ca="1" si="2024">BB177+BB179+BB189</f>
        <v>-146.9890514290297</v>
      </c>
      <c r="BN190" s="189">
        <f ca="1">BN177+BN179+BN189</f>
        <v>-12.729680923323112</v>
      </c>
      <c r="BO190" s="189">
        <f t="shared" ref="BO190" ca="1" si="2025">BO177+BO179+BO189</f>
        <v>-12.568784961110314</v>
      </c>
      <c r="BP190" s="189">
        <f t="shared" ref="BP190" ca="1" si="2026">BP177+BP179+BP189</f>
        <v>-0.2018748490219946</v>
      </c>
      <c r="BQ190" s="189">
        <f t="shared" ref="BQ190" ca="1" si="2027">BQ177+BQ179+BQ189</f>
        <v>-0.38882852787784594</v>
      </c>
      <c r="BR190" s="189">
        <f t="shared" ref="BR190" ca="1" si="2028">BR177+BR179+BR189</f>
        <v>1.2431099999994644E-5</v>
      </c>
      <c r="CD190" s="189">
        <f ca="1">CD177+CD179+CD189</f>
        <v>-146.9890514290297</v>
      </c>
      <c r="CE190" s="189">
        <f t="shared" ref="CE190" ca="1" si="2029">CE177+CE179+CE189</f>
        <v>-136.35025142902975</v>
      </c>
      <c r="CF190" s="189">
        <f t="shared" ref="CF190" ca="1" si="2030">CF177+CF179+CF189</f>
        <v>-12.729680923323112</v>
      </c>
      <c r="CG190" s="189">
        <f t="shared" ref="CG190" ca="1" si="2031">CG177+CG179+CG189</f>
        <v>-12.568784961110314</v>
      </c>
      <c r="CH190" s="189">
        <f t="shared" ref="CH190" ca="1" si="2032">CH177+CH179+CH189</f>
        <v>-132.87986052394538</v>
      </c>
      <c r="CI190" s="189">
        <f t="shared" ref="CI190" ca="1" si="2033">CI177+CI179+CI189</f>
        <v>-1.7497283745927834</v>
      </c>
      <c r="CJ190" s="189">
        <f t="shared" ref="CJ190" ca="1" si="2034">CJ177+CJ179+CJ189</f>
        <v>5.5104999999999738E-5</v>
      </c>
      <c r="CK190" s="189">
        <f t="shared" ref="CK190" ca="1" si="2035">CK177+CK179+CK189</f>
        <v>-122.84352620535307</v>
      </c>
      <c r="CL190" s="189">
        <f t="shared" ref="CL190" ca="1" si="2036">CL177+CL179+CL189</f>
        <v>-2.0839781972667999</v>
      </c>
      <c r="CM190" s="189">
        <f t="shared" ref="CM190" ca="1" si="2037">CM177+CM179+CM189</f>
        <v>3.5819404375231967</v>
      </c>
      <c r="CN190" s="189">
        <f t="shared" ref="CN190" ca="1" si="2038">CN177+CN179+CN189</f>
        <v>-110.35104882163026</v>
      </c>
      <c r="CO190" s="189">
        <f t="shared" ref="CO190" ca="1" si="2039">CO177+CO179+CO189</f>
        <v>12.589733222954745</v>
      </c>
      <c r="DA190" s="189">
        <f ca="1">DA177+DA179+DA189</f>
        <v>-7.0500311216648626E-2</v>
      </c>
      <c r="DB190" s="189">
        <f t="shared" ref="DB190" ca="1" si="2040">DB177+DB179+DB189</f>
        <v>-1.4499510179653464E-2</v>
      </c>
      <c r="DC190" s="189">
        <f t="shared" ref="DC190" ca="1" si="2041">DC177+DC179+DC189</f>
        <v>-2.1853600000009809E-7</v>
      </c>
      <c r="DD190" s="189">
        <f t="shared" ref="DD190" ca="1" si="2042">DD177+DD179+DD189</f>
        <v>-2.542448868464885E-2</v>
      </c>
      <c r="DE190" s="189">
        <f t="shared" ref="DE190" ca="1" si="2043">DE177+DE179+DE189</f>
        <v>0.1584063454127968</v>
      </c>
      <c r="DF190" s="189">
        <f t="shared" ref="DF190" ca="1" si="2044">DF177+DF179+DF189</f>
        <v>-2.4083269194619629E-3</v>
      </c>
      <c r="DG190" s="189">
        <f t="shared" ref="DG190" ca="1" si="2045">DG177+DG179+DG189</f>
        <v>-2.9133742977092614E-9</v>
      </c>
      <c r="DH190" s="189">
        <f t="shared" ref="DH190" ca="1" si="2046">DH177+DH179+DH189</f>
        <v>-3.8835815799552309E-2</v>
      </c>
      <c r="DI190" s="189">
        <f t="shared" ref="DI190" ca="1" si="2047">DI177+DI179+DI189</f>
        <v>-3.6986490412959802E-2</v>
      </c>
      <c r="DJ190" s="189">
        <f t="shared" ref="DJ190" ca="1" si="2048">DJ177+DJ179+DJ189</f>
        <v>-1.8493237682685147E-3</v>
      </c>
      <c r="DV190" s="189">
        <f ca="1">DV177+DV179+DV189</f>
        <v>6.556132058539859</v>
      </c>
      <c r="DW190" s="189">
        <f t="shared" ref="DW190" ca="1" si="2049">DW177+DW179+DW189</f>
        <v>-7.9441872443591892</v>
      </c>
      <c r="DX190" s="189">
        <f t="shared" ref="DX190" ca="1" si="2050">DX177+DX179+DX189</f>
        <v>-1.4100061125322858</v>
      </c>
      <c r="DY190" s="189">
        <f t="shared" ref="DY190" ca="1" si="2051">DY177+DY179+DY189</f>
        <v>-7.0500311216648626E-2</v>
      </c>
      <c r="DZ190" s="189">
        <f t="shared" ref="DZ190" ca="1" si="2052">DZ177+DZ179+DZ189</f>
        <v>-2.1853600000009809E-7</v>
      </c>
      <c r="EA190" s="189">
        <f t="shared" ref="EA190" ca="1" si="2053">EA177+EA179+EA189</f>
        <v>0.1584063454127968</v>
      </c>
      <c r="EB190" s="189">
        <f t="shared" ref="EB190" ca="1" si="2054">EB177+EB179+EB189</f>
        <v>-1.3395058284969865</v>
      </c>
      <c r="EC190" s="189">
        <f t="shared" ref="EC190" ca="1" si="2055">EC177+EC179+EC189</f>
        <v>-0.51876628005642567</v>
      </c>
      <c r="ED190" s="189">
        <f t="shared" ref="ED190" ca="1" si="2056">ED177+ED179+ED189</f>
        <v>3.5819404375231967</v>
      </c>
      <c r="EE190" s="189">
        <f t="shared" ref="EE190" ca="1" si="2057">EE177+EE179+EE189</f>
        <v>-2.4249994930616234E-2</v>
      </c>
      <c r="EF190" s="189">
        <f t="shared" ref="EF190" ca="1" si="2058">EF177+EF179+EF189</f>
        <v>-0.22789580472544735</v>
      </c>
      <c r="EG190" s="189">
        <f t="shared" ref="EG190" ca="1" si="2059">EG177+EG179+EG189</f>
        <v>-0.48560773454269091</v>
      </c>
      <c r="EH190" s="189">
        <f t="shared" ref="EH190" ca="1" si="2060">EH177+EH179+EH189</f>
        <v>-7.3351999999998752E-6</v>
      </c>
      <c r="EI190" s="189">
        <f t="shared" ref="EI190" ca="1" si="2061">EI177+EI179+EI189</f>
        <v>-0.28893568233097827</v>
      </c>
      <c r="EJ190" s="189">
        <f t="shared" ref="EJ190" ca="1" si="2062">EJ177+EJ179+EJ189</f>
        <v>-0.1171359786650291</v>
      </c>
      <c r="EK190" s="189">
        <f t="shared" ref="EK190" ca="1" si="2063">EK177+EK179+EK189</f>
        <v>-3.6986490412959802E-2</v>
      </c>
      <c r="EW190" s="189">
        <f ca="1">EW177+EW179+EW189</f>
        <v>-110.35104882163026</v>
      </c>
      <c r="EX190" s="189">
        <f t="shared" ref="EX190" ca="1" si="2064">EX177+EX179+EX189</f>
        <v>-139.77045882163023</v>
      </c>
      <c r="EY190" s="189">
        <f t="shared" ref="EY190" ca="1" si="2065">EY177+EY179+EY189</f>
        <v>-25.497479146562284</v>
      </c>
      <c r="EZ190" s="189">
        <f t="shared" ref="EZ190" ca="1" si="2066">EZ177+EZ179+EZ189</f>
        <v>3.9218708534378379</v>
      </c>
      <c r="FA190" s="189">
        <f t="shared" ref="FA190" ca="1" si="2067">FA177+FA179+FA189</f>
        <v>-0.41091974446373752</v>
      </c>
      <c r="FB190" s="189">
        <f t="shared" ref="FB190" ca="1" si="2068">FB177+FB179+FB189</f>
        <v>-137.30688473303269</v>
      </c>
      <c r="FN190" s="189">
        <f ca="1">FN177+FN179+FN189</f>
        <v>-0.2018748490219946</v>
      </c>
      <c r="FO190" s="189">
        <f t="shared" ref="FO190" ca="1" si="2069">FO177+FO179+FO189</f>
        <v>-2.0839781972667999</v>
      </c>
      <c r="FP190" s="189">
        <f t="shared" ref="FP190" ca="1" si="2070">FP177+FP179+FP189</f>
        <v>-0.41091974446373752</v>
      </c>
      <c r="FQ190" s="189">
        <f t="shared" ref="FQ190" ca="1" si="2071">FQ177+FQ179+FQ189</f>
        <v>-137.30688473303269</v>
      </c>
      <c r="FR190" s="189">
        <f t="shared" ref="FR190" ca="1" si="2072">FR177+FR179+FR189</f>
        <v>-167.53817948662441</v>
      </c>
      <c r="FS190" s="189">
        <f t="shared" ref="FS190" ca="1" si="2073">FS177+FS179+FS189</f>
        <v>16.958977353366805</v>
      </c>
      <c r="FT190" s="189">
        <f t="shared" ref="FT190" ca="1" si="2074">FT177+FT179+FT189</f>
        <v>-33.093324169137055</v>
      </c>
      <c r="FU190" s="189">
        <f t="shared" ref="FU190" ca="1" si="2075">FU177+FU179+FU189</f>
        <v>-2.6967728329675498</v>
      </c>
      <c r="FV190" s="189">
        <f t="shared" ref="FV190" ca="1" si="2076">FV177+FV179+FV189</f>
        <v>15.404448073866867</v>
      </c>
      <c r="FW190" s="189">
        <f t="shared" ref="FW190" ca="1" si="2077">FW177+FW179+FW189</f>
        <v>-6.5718471546342999E-2</v>
      </c>
      <c r="FX190" s="189">
        <f t="shared" ref="FX190" ca="1" si="2078">FX177+FX179+FX189</f>
        <v>12.589733222954745</v>
      </c>
      <c r="GJ190" s="189">
        <f ca="1">GJ177+GJ179+GJ189</f>
        <v>-167.53817948662441</v>
      </c>
      <c r="GK190" s="189">
        <f t="shared" ref="GK190" ca="1" si="2079">GK177+GK179+GK189</f>
        <v>-167.83870828662444</v>
      </c>
      <c r="GL190" s="189">
        <f t="shared" ref="GL190" ca="1" si="2080">GL177+GL179+GL189</f>
        <v>-33.108211771536737</v>
      </c>
      <c r="GM190" s="189">
        <f t="shared" ref="GM190" ca="1" si="2081">GM177+GM179+GM189</f>
        <v>-134.73049652066123</v>
      </c>
      <c r="GN190" s="189">
        <f t="shared" ref="GN190" ca="1" si="2082">GN177+GN179+GN189</f>
        <v>-138.88942433999296</v>
      </c>
      <c r="GO190" s="189">
        <f t="shared" ref="GO190" ca="1" si="2083">GO177+GO179+GO189</f>
        <v>-32.878960388953679</v>
      </c>
      <c r="GP190" s="189">
        <f t="shared" ref="GP190" ca="1" si="2084">GP177+GP179+GP189</f>
        <v>-134.51612622066122</v>
      </c>
      <c r="GQ190" s="189">
        <f t="shared" ref="GQ190" ca="1" si="2085">GQ177+GQ179+GQ189</f>
        <v>-33.093324169137055</v>
      </c>
      <c r="HC190" s="189">
        <f ca="1">HC177+HC179+HC189</f>
        <v>3.9218708534378379</v>
      </c>
      <c r="HD190" s="189">
        <f t="shared" ref="HD190" ca="1" si="2086">HD177+HD179+HD189</f>
        <v>100.9694867687094</v>
      </c>
      <c r="HE190" s="189">
        <f t="shared" ref="HE190" ca="1" si="2087">HE177+HE179+HE189</f>
        <v>-0.16385498373578841</v>
      </c>
      <c r="HF190" s="189">
        <f t="shared" ref="HF190" ca="1" si="2088">HF177+HF179+HF189</f>
        <v>-0.10141598878145142</v>
      </c>
      <c r="HG190" s="189">
        <f t="shared" ref="HG190" ca="1" si="2089">HG177+HG179+HG189</f>
        <v>-97.281632168432509</v>
      </c>
      <c r="HH190" s="189">
        <f t="shared" ref="HH190" ca="1" si="2090">HH177+HH179+HH189</f>
        <v>101.03818676870944</v>
      </c>
      <c r="HT190" s="189">
        <f ca="1">HT177+HT179+HT189</f>
        <v>14.775955389122139</v>
      </c>
      <c r="HU190" s="189">
        <f t="shared" ref="HU190" ca="1" si="2091">HU177+HU179+HU189</f>
        <v>100.9694867687094</v>
      </c>
      <c r="HV190" s="189">
        <f t="shared" ref="HV190" ca="1" si="2092">HV177+HV179+HV189</f>
        <v>128.43237986484894</v>
      </c>
      <c r="HW190" s="189">
        <f t="shared" ref="HW190" ca="1" si="2093">HW177+HW179+HW189</f>
        <v>134.77620986484897</v>
      </c>
      <c r="HX190" s="189">
        <f t="shared" ref="HX190" ca="1" si="2094">HX177+HX179+HX189</f>
        <v>187.9983098159513</v>
      </c>
      <c r="HY190" s="189">
        <f t="shared" ref="HY190" ca="1" si="2095">HY177+HY179+HY189</f>
        <v>8.8365555392817932</v>
      </c>
      <c r="HZ190" s="189">
        <f t="shared" ref="HZ190" ca="1" si="2096">HZ177+HZ179+HZ189</f>
        <v>-65.51961911254287</v>
      </c>
      <c r="IA190" s="189">
        <f t="shared" ref="IA190" ca="1" si="2097">IA177+IA179+IA189</f>
        <v>-2.4633760803081093E-3</v>
      </c>
      <c r="IB190" s="189">
        <f t="shared" ref="IB190" ca="1" si="2098">IB177+IB179+IB189</f>
        <v>2.3706027807342145</v>
      </c>
      <c r="IC190" s="189">
        <f t="shared" ref="IC190" ca="1" si="2099">IC177+IC179+IC189</f>
        <v>87.157311526553755</v>
      </c>
      <c r="ID190" s="189">
        <f t="shared" ref="ID190" ca="1" si="2100">ID177+ID179+ID189</f>
        <v>80.813482526553727</v>
      </c>
      <c r="IE190" s="189">
        <f t="shared" ref="IE190" ca="1" si="2101">IE177+IE179+IE189</f>
        <v>10.228597906007128</v>
      </c>
      <c r="IQ190" s="189">
        <f ca="1">IQ177+IQ179+IQ189</f>
        <v>187.9983098159513</v>
      </c>
      <c r="IR190" s="189">
        <f t="shared" ref="IR190" ca="1" si="2102">IR177+IR179+IR189</f>
        <v>8.8365555392817932</v>
      </c>
      <c r="IS190" s="189">
        <f t="shared" ref="IS190" ca="1" si="2103">IS177+IS179+IS189</f>
        <v>48.241951847455795</v>
      </c>
      <c r="IT190" s="189">
        <f t="shared" ref="IT190:IU190" ca="1" si="2104">IT177+IT179+IT189</f>
        <v>56.872441604848035</v>
      </c>
      <c r="IU190" s="189">
        <f t="shared" ca="1" si="2104"/>
        <v>62.043023052742619</v>
      </c>
      <c r="IV190" s="189">
        <f t="shared" ref="IV190" ca="1" si="2105">IV177+IV179+IV189</f>
        <v>1434.0579651952924</v>
      </c>
      <c r="IW190" s="189">
        <f t="shared" ref="IW190:IX190" ca="1" si="2106">IW177+IW179+IW189</f>
        <v>1157.8068322745048</v>
      </c>
      <c r="IX190" s="189">
        <f t="shared" ca="1" si="2106"/>
        <v>-1.064705577422639</v>
      </c>
      <c r="IY190" s="189">
        <f t="shared" ref="IY190" ca="1" si="2107">IY177+IY179+IY189</f>
        <v>-5.1710732625487257</v>
      </c>
      <c r="IZ190" s="189">
        <f t="shared" ref="IZ190" ca="1" si="2108">IZ177+IZ179+IZ189</f>
        <v>227.65082912337843</v>
      </c>
      <c r="JA190" s="189">
        <f t="shared" ref="JA190" ca="1" si="2109">JA177+JA179+JA189</f>
        <v>1206.1129604273951</v>
      </c>
      <c r="JB190" s="189">
        <f t="shared" ref="JB190" ca="1" si="2110">JB177+JB179+JB189</f>
        <v>218.2961633157602</v>
      </c>
      <c r="JC190" s="189">
        <f t="shared" ref="JC190" ca="1" si="2111">JC177+JC179+JC189</f>
        <v>8.2103806326011597</v>
      </c>
      <c r="JD190" s="189">
        <f t="shared" ref="JD190" ca="1" si="2112">JD177+JD179+JD189</f>
        <v>177.46270860942406</v>
      </c>
      <c r="JE190" s="189">
        <f t="shared" ref="JE190" ca="1" si="2113">JE177+JE179+JE189</f>
        <v>50.18521201992003</v>
      </c>
      <c r="JF190" s="189">
        <f t="shared" ref="JF190" ca="1" si="2114">JF177+JF179+JF189</f>
        <v>-1.426208039161771E-8</v>
      </c>
      <c r="JG190" s="189">
        <f t="shared" ref="JG190" ca="1" si="2115">JG177+JG179+JG189</f>
        <v>3.2688881071136531</v>
      </c>
      <c r="JH190" s="189">
        <f t="shared" ref="JH190" ca="1" si="2116">JH177+JH179+JH189</f>
        <v>-2.4633760803081093E-3</v>
      </c>
      <c r="JT190" s="189">
        <f ca="1">JT177+JT179+JT189</f>
        <v>-0.38888221987784599</v>
      </c>
      <c r="JU190" s="189">
        <f t="shared" ref="JU190" ca="1" si="2117">JU177+JU179+JU189</f>
        <v>-1.7499699845927832</v>
      </c>
      <c r="JV190" s="189">
        <f t="shared" ref="JV190" ca="1" si="2118">JV177+JV179+JV189</f>
        <v>-1.4499510179653464E-2</v>
      </c>
      <c r="JW190" s="189">
        <f t="shared" ref="JW190" ca="1" si="2119">JW177+JW179+JW189</f>
        <v>-0.28893568233097827</v>
      </c>
      <c r="JX190" s="189">
        <f t="shared" ref="JX190" ca="1" si="2120">JX177+JX179+JX189</f>
        <v>-138.88942433999296</v>
      </c>
      <c r="JY190" s="189">
        <f t="shared" ref="JY190" ca="1" si="2121">JY177+JY179+JY189</f>
        <v>-4.9472335911946583</v>
      </c>
      <c r="JZ190" s="189">
        <f t="shared" ref="JZ190" ca="1" si="2122">JZ177+JZ179+JZ189</f>
        <v>-143.57900651218759</v>
      </c>
      <c r="KA190" s="189">
        <f t="shared" ref="KA190" ca="1" si="2123">KA177+KA179+KA189</f>
        <v>1.2251858292967119</v>
      </c>
      <c r="KB190" s="189">
        <f t="shared" ref="KB190" ca="1" si="2124">KB177+KB179+KB189</f>
        <v>4.7013548218724068</v>
      </c>
      <c r="KC190" s="189">
        <f t="shared" ref="KC190" ca="1" si="2125">KC177+KC179+KC189</f>
        <v>-2.4419920897910927</v>
      </c>
      <c r="KL190" s="189">
        <f ca="1">KL177+KL179+KL189</f>
        <v>-4.368626386199252</v>
      </c>
      <c r="KM190" s="189">
        <f t="shared" ref="KM190" ca="1" si="2126">KM177+KM179+KM189</f>
        <v>1.2431099999994644E-5</v>
      </c>
      <c r="KN190" s="189">
        <f t="shared" ref="KN190" ca="1" si="2127">KN177+KN179+KN189</f>
        <v>5.5104999999999738E-5</v>
      </c>
      <c r="KO190" s="189">
        <f t="shared" ref="KO190" ca="1" si="2128">KO177+KO179+KO189</f>
        <v>-2.542448868464885E-2</v>
      </c>
      <c r="KP190" s="189">
        <f t="shared" ref="KP190" ca="1" si="2129">KP177+KP179+KP189</f>
        <v>-0.48560773454269091</v>
      </c>
      <c r="KQ190" s="189">
        <f t="shared" ref="KQ190" ca="1" si="2130">KQ177+KQ179+KQ189</f>
        <v>-4.8466110535380205</v>
      </c>
      <c r="KR190" s="189">
        <f t="shared" ref="KR190" ca="1" si="2131">KR177+KR179+KR189</f>
        <v>6.7535999999979168E-5</v>
      </c>
      <c r="LA190" s="189">
        <f ca="1">LA177+LA179+LA189</f>
        <v>-0.10141598878145142</v>
      </c>
      <c r="LB190" s="189">
        <f t="shared" ref="LB190" ca="1" si="2132">LB177+LB179+LB189</f>
        <v>-65.51961911254287</v>
      </c>
      <c r="LC190" s="189">
        <f t="shared" ref="LC190" ca="1" si="2133">LC177+LC179+LC189</f>
        <v>-65.737449472287182</v>
      </c>
      <c r="LD190" s="189">
        <f t="shared" ref="LD190" ca="1" si="2134">LD177+LD179+LD189</f>
        <v>-78.849743372287179</v>
      </c>
      <c r="LE190" s="189">
        <f t="shared" ref="LE190" ca="1" si="2135">LE177+LE179+LE189</f>
        <v>-2.5354831022583616E-8</v>
      </c>
      <c r="LF190" s="189">
        <f t="shared" ref="LF190" ca="1" si="2136">LF177+LF179+LF189</f>
        <v>-26.425817199813228</v>
      </c>
      <c r="LG190" s="189">
        <f t="shared" ref="LG190" ca="1" si="2137">LG177+LG179+LG189</f>
        <v>-13.31352642882587</v>
      </c>
      <c r="LH190" s="189">
        <f t="shared" ref="LH190" ca="1" si="2138">LH177+LH179+LH189</f>
        <v>0.12526356952489248</v>
      </c>
      <c r="LI190" s="189">
        <f t="shared" ref="LI190" ca="1" si="2139">LI177+LI179+LI189</f>
        <v>-11.577804382133733</v>
      </c>
      <c r="LJ190" s="189">
        <f t="shared" ref="LJ190" ca="1" si="2140">LJ177+LJ179+LJ189</f>
        <v>2.0519761099266227</v>
      </c>
      <c r="LK190" s="189">
        <f t="shared" ref="LK190" ca="1" si="2141">LK177+LK179+LK189</f>
        <v>0.31481130385388462</v>
      </c>
      <c r="LW190" s="189">
        <f ca="1">LW177+LW179+LW189</f>
        <v>-0.34922042241907081</v>
      </c>
      <c r="LX190" s="189">
        <f ca="1">LX177+LX179+LX189</f>
        <v>-2.456340346019219</v>
      </c>
      <c r="LY190" s="189">
        <f t="shared" ref="LY190" ca="1" si="2142">LY177+LY179+LY189</f>
        <v>-97.281632168432509</v>
      </c>
      <c r="LZ190" s="189">
        <f t="shared" ref="LZ190" ca="1" si="2143">LZ177+LZ179+LZ189</f>
        <v>-5.1710732625487257</v>
      </c>
      <c r="MA190" s="189">
        <f t="shared" ref="MA190" ca="1" si="2144">MA177+MA179+MA189</f>
        <v>-102.44485575490933</v>
      </c>
      <c r="MB190" s="189">
        <f t="shared" ref="MB190" ca="1" si="2145">MB177+MB179+MB189</f>
        <v>-78.849743372287179</v>
      </c>
      <c r="MC190" s="189">
        <f t="shared" ref="MC190" ca="1" si="2146">MC177+MC179+MC189</f>
        <v>-26.425817199813228</v>
      </c>
      <c r="MD190" s="189">
        <f t="shared" ref="MD190" ca="1" si="2147">MD177+MD179+MD189</f>
        <v>-42.932085821617832</v>
      </c>
      <c r="ME190" s="189">
        <f t="shared" ref="ME190" ca="1" si="2148">ME177+ME179+ME189</f>
        <v>-3.0123267684674175</v>
      </c>
      <c r="MF190" s="189">
        <f t="shared" ref="MF190" ca="1" si="2149">MF177+MF179+MF189</f>
        <v>119.39323153594819</v>
      </c>
      <c r="MG190" s="189">
        <f t="shared" ref="MG190" ca="1" si="2150">MG177+MG179+MG189</f>
        <v>103.93636253128503</v>
      </c>
      <c r="MH190" s="189">
        <f t="shared" ref="MH190" ca="1" si="2151">MH177+MH179+MH189</f>
        <v>-6.4117493944469368</v>
      </c>
      <c r="MI190" s="189">
        <f t="shared" ref="MI190" ca="1" si="2152">MI177+MI179+MI189</f>
        <v>-9.0129677882498649E-3</v>
      </c>
      <c r="MJ190" s="189">
        <f t="shared" ref="MJ190" ca="1" si="2153">MJ177+MJ179+MJ189</f>
        <v>6.3058868266413048</v>
      </c>
      <c r="MK190" s="189">
        <f t="shared" ref="MK190" ca="1" si="2154">MK177+MK179+MK189</f>
        <v>56.885659375410754</v>
      </c>
      <c r="ML190" s="189">
        <f t="shared" ref="ML190" ca="1" si="2155">ML177+ML179+ML189</f>
        <v>56.879515375410747</v>
      </c>
      <c r="MM190" s="189">
        <f t="shared" ref="MM190" ca="1" si="2156">MM177+MM179+MM189</f>
        <v>2.3706027807342145</v>
      </c>
      <c r="MN190" s="189">
        <f t="shared" ref="MN190" ca="1" si="2157">MN177+MN179+MN189</f>
        <v>12.400680931568711</v>
      </c>
      <c r="MO190" s="189">
        <f t="shared" ref="MO190" ca="1" si="2158">MO177+MO179+MO189</f>
        <v>-1.1949441109883836E-9</v>
      </c>
      <c r="NA190" s="189">
        <f ca="1">NA177+NA179+NA189</f>
        <v>-2.8631872306220862</v>
      </c>
      <c r="NB190" s="189">
        <f t="shared" ref="NB190" ca="1" si="2159">NB177+NB179+NB189</f>
        <v>-1.7391559098125644</v>
      </c>
      <c r="NC190" s="189">
        <f t="shared" ref="NC190" ca="1" si="2160">NC177+NC179+NC189</f>
        <v>1.9001378686115211</v>
      </c>
      <c r="ND190" s="189">
        <f t="shared" ref="ND190" ca="1" si="2161">ND177+ND179+ND189</f>
        <v>20.24950802276236</v>
      </c>
      <c r="NE190" s="189">
        <f t="shared" ref="NE190" ca="1" si="2162">NE177+NE179+NE189</f>
        <v>101.84884034364686</v>
      </c>
      <c r="NF190" s="189">
        <f t="shared" ref="NF190" ca="1" si="2163">NF177+NF179+NF189</f>
        <v>119.89972448270944</v>
      </c>
      <c r="NG190" s="189">
        <f t="shared" ref="NG190" ca="1" si="2164">NG177+NG179+NG189</f>
        <v>18.063436022762364</v>
      </c>
      <c r="NH190" s="189">
        <f t="shared" ref="NH190" ca="1" si="2165">NH177+NH179+NH189</f>
        <v>0</v>
      </c>
      <c r="NI190" s="189">
        <f t="shared" ref="NI190" ca="1" si="2166">NI177+NI179+NI189</f>
        <v>119.54609953594809</v>
      </c>
      <c r="NJ190" s="189">
        <f t="shared" ref="NJ190" ca="1" si="2167">NJ177+NJ179+NJ189</f>
        <v>119.39323153594819</v>
      </c>
      <c r="NK190" s="189">
        <f t="shared" ref="NK190" ca="1" si="2168">NK177+NK179+NK189</f>
        <v>-9.0129677882498649E-3</v>
      </c>
      <c r="NL190" s="189">
        <f t="shared" ref="NL190" ca="1" si="2169">NL177+NL179+NL189</f>
        <v>56.879515375410747</v>
      </c>
      <c r="NM190" s="189">
        <f t="shared" ref="NM190" ca="1" si="2170">NM177+NM179+NM189</f>
        <v>2.3706027807342145</v>
      </c>
      <c r="NN190" s="189">
        <f t="shared" ref="NN190" ca="1" si="2171">NN177+NN179+NN189</f>
        <v>-7.9047165536820035E-2</v>
      </c>
      <c r="NO190" s="189">
        <f t="shared" ref="NO190" ca="1" si="2172">NO177+NO179+NO189</f>
        <v>12.400680931568711</v>
      </c>
      <c r="NP190" s="189">
        <f t="shared" ref="NP190" ca="1" si="2173">NP177+NP179+NP189</f>
        <v>32.585070152967575</v>
      </c>
      <c r="OH190" s="189">
        <f ca="1">OH177+OH179+OH189</f>
        <v>6897.8494617474971</v>
      </c>
      <c r="OI190" s="189">
        <f t="shared" ref="OI190" ca="1" si="2174">OI177+OI179+OI189</f>
        <v>89.01277036383722</v>
      </c>
      <c r="OJ190" s="189">
        <f t="shared" ref="OJ190" ca="1" si="2175">OJ177+OJ179+OJ189</f>
        <v>10.227804145393302</v>
      </c>
      <c r="OK190" s="189">
        <f t="shared" ref="OK190" ca="1" si="2176">OK177+OK179+OK189</f>
        <v>6800.4614617474981</v>
      </c>
      <c r="OL190" s="189">
        <f t="shared" ref="OL190" ca="1" si="2177">OL177+OL179+OL189</f>
        <v>-7.7653468550014917E-7</v>
      </c>
      <c r="OM190" s="189">
        <f t="shared" ref="OM190" ca="1" si="2178">OM177+OM179+OM189</f>
        <v>-20.334017580135438</v>
      </c>
      <c r="ON190" s="189">
        <f t="shared" ref="ON190" ca="1" si="2179">ON177+ON179+ON189</f>
        <v>824.29251395089057</v>
      </c>
      <c r="OO190" s="189">
        <f t="shared" ref="OO190" ca="1" si="2180">OO177+OO179+OO189</f>
        <v>810.8482239508902</v>
      </c>
      <c r="PA190" s="189">
        <f ca="1">PA177+PA179+PA189</f>
        <v>80.935506605884015</v>
      </c>
      <c r="PB190" s="189">
        <f t="shared" ref="PB190" ca="1" si="2181">PB177+PB179+PB189</f>
        <v>86.365069786154123</v>
      </c>
      <c r="PC190" s="189">
        <f t="shared" ref="PC190" ca="1" si="2182">PC177+PC179+PC189</f>
        <v>6.5547736585398582</v>
      </c>
      <c r="PD190" s="189">
        <f t="shared" ref="PD190" ca="1" si="2183">PD177+PD179+PD189</f>
        <v>15.401257073866866</v>
      </c>
      <c r="PE190" s="189">
        <f t="shared" ref="PE190" ca="1" si="2184">PE177+PE179+PE189</f>
        <v>218.2961633157602</v>
      </c>
      <c r="PF190" s="189">
        <f t="shared" ref="PF190" ca="1" si="2185">PF177+PF179+PF189</f>
        <v>20.266577022762409</v>
      </c>
      <c r="PG190" s="189">
        <f t="shared" ref="PG190" ca="1" si="2186">PG177+PG179+PG189</f>
        <v>2.0537065099266223</v>
      </c>
      <c r="PH190" s="189">
        <f t="shared" ref="PH190" ca="1" si="2187">PH177+PH179+PH189</f>
        <v>80.813482526553727</v>
      </c>
      <c r="PI190" s="189">
        <f t="shared" ref="PI190" ca="1" si="2188">PI177+PI179+PI189</f>
        <v>300.65445042381498</v>
      </c>
      <c r="PJ190" s="189">
        <f t="shared" ref="PJ190" ca="1" si="2189">PJ177+PJ179+PJ189</f>
        <v>8.4977565728692403E-2</v>
      </c>
      <c r="PK190" s="189">
        <f t="shared" ref="PK190" ca="1" si="2190">PK177+PK179+PK189</f>
        <v>89.01277036383722</v>
      </c>
      <c r="PW190" s="189">
        <f ca="1">PW177+PW179+PW189</f>
        <v>8.4977565728692403E-2</v>
      </c>
      <c r="PX190" s="189">
        <f t="shared" ref="PX190" ca="1" si="2191">PX177+PX179+PX189</f>
        <v>-6.2477596330577489E-3</v>
      </c>
      <c r="PY190" s="189">
        <f t="shared" ref="PY190" ca="1" si="2192">PY177+PY179+PY189</f>
        <v>8.4977565728692403E-2</v>
      </c>
      <c r="PZ190" s="189">
        <f t="shared" ref="PZ190" ca="1" si="2193">PZ177+PZ179+PZ189</f>
        <v>8.4977565728692403E-2</v>
      </c>
    </row>
    <row r="191" spans="1:442" x14ac:dyDescent="0.25">
      <c r="C191" s="1317"/>
      <c r="D191" s="1317"/>
    </row>
    <row r="192" spans="1:442" x14ac:dyDescent="0.25">
      <c r="C192" s="1317"/>
      <c r="D192" s="1317"/>
    </row>
    <row r="193" spans="3:4" x14ac:dyDescent="0.25">
      <c r="C193" s="1317"/>
      <c r="D193" s="1317"/>
    </row>
    <row r="194" spans="3:4" x14ac:dyDescent="0.25">
      <c r="C194" s="1317"/>
      <c r="D194" s="1317"/>
    </row>
    <row r="196" spans="3:4" x14ac:dyDescent="0.25">
      <c r="C196" s="1317"/>
      <c r="D196" s="1317"/>
    </row>
    <row r="197" spans="3:4" x14ac:dyDescent="0.25">
      <c r="C197" s="1317"/>
      <c r="D197" s="1317"/>
    </row>
    <row r="198" spans="3:4" x14ac:dyDescent="0.25">
      <c r="C198" s="1317"/>
      <c r="D198" s="1317"/>
    </row>
    <row r="199" spans="3:4" x14ac:dyDescent="0.25">
      <c r="C199" s="1317"/>
      <c r="D199" s="1317"/>
    </row>
    <row r="200" spans="3:4" x14ac:dyDescent="0.25">
      <c r="C200" s="1317"/>
      <c r="D200" s="1317"/>
    </row>
    <row r="201" spans="3:4" x14ac:dyDescent="0.25">
      <c r="C201" s="1317"/>
      <c r="D201" s="1317"/>
    </row>
    <row r="202" spans="3:4" x14ac:dyDescent="0.25">
      <c r="C202" s="1317"/>
      <c r="D202" s="1317"/>
    </row>
    <row r="203" spans="3:4" x14ac:dyDescent="0.25">
      <c r="C203" s="1317"/>
      <c r="D203" s="1317"/>
    </row>
    <row r="204" spans="3:4" x14ac:dyDescent="0.25">
      <c r="C204" s="1317"/>
      <c r="D204" s="1317"/>
    </row>
    <row r="205" spans="3:4" x14ac:dyDescent="0.25">
      <c r="C205" s="1317"/>
      <c r="D205" s="1317"/>
    </row>
    <row r="206" spans="3:4" x14ac:dyDescent="0.25">
      <c r="C206" s="1317"/>
      <c r="D206" s="1317"/>
    </row>
    <row r="207" spans="3:4" x14ac:dyDescent="0.25">
      <c r="C207" s="1317"/>
      <c r="D207" s="1317"/>
    </row>
    <row r="208" spans="3:4" x14ac:dyDescent="0.25">
      <c r="C208" s="1317"/>
      <c r="D208" s="1317"/>
    </row>
    <row r="209" spans="3:4" x14ac:dyDescent="0.25">
      <c r="C209" s="1317"/>
      <c r="D209" s="1317"/>
    </row>
    <row r="210" spans="3:4" x14ac:dyDescent="0.25">
      <c r="C210" s="1317"/>
      <c r="D210" s="1317"/>
    </row>
    <row r="211" spans="3:4" x14ac:dyDescent="0.25">
      <c r="C211" s="1317"/>
      <c r="D211" s="1317"/>
    </row>
    <row r="212" spans="3:4" x14ac:dyDescent="0.25">
      <c r="C212" s="1317"/>
      <c r="D212" s="1317"/>
    </row>
    <row r="213" spans="3:4" x14ac:dyDescent="0.25">
      <c r="C213" s="1317"/>
      <c r="D213" s="1317"/>
    </row>
    <row r="214" spans="3:4" x14ac:dyDescent="0.25">
      <c r="C214" s="1317"/>
      <c r="D214" s="1317"/>
    </row>
    <row r="215" spans="3:4" x14ac:dyDescent="0.25">
      <c r="C215" s="1317"/>
      <c r="D215" s="1317"/>
    </row>
    <row r="216" spans="3:4" x14ac:dyDescent="0.25">
      <c r="C216" s="1317"/>
      <c r="D216" s="1317"/>
    </row>
  </sheetData>
  <conditionalFormatting sqref="PW181:PZ181 PW41:PZ113 PW115:PZ176 PW178:PZ178 PW183:PZ183 PW186:PZ188 PA181:PK181 PA41:PK113 PA115:PK176 PA178:PK178 PA183:PK183 PA186:PK188 HT181:IE181 HT41:IE113 HT115:IE176 HT178:IE178 HT183:IE183 HT186:IE188 HC181:HH181 HC41:HH113 HC115:HH176 HC178:HH178 HC183:HH183 HC186:HH188 GJ181:GQ181 GJ41:GQ113 GJ115:GQ176 GJ178:GQ178 GJ183:GQ183 GJ186:GQ188 FN181:FX181 FN41:FX113 FN115:FX176 FN178:FX178 FN183:FX183 FN186:FX188 EW181:FB181 EW41:FB113 EW115:FB176 EW178:FB178 EW183:FB183 EW186:FB188 AM181:BB181 AM41:BB113 AM115:BB176 AM178:BB178 AM183:BB183 AM186:BB188 T181:AD181 T41:AD113 T115:AD176 T178:AD178 T183:AD183 T186:AD188 A185 A180 C181:C184 C186:C188 J181:K181 J41:K113 J115:K176 J178:K178 J183:K183 J186:K188 BN181:BR181 BN41:BR113 BN115:BR176 BN178:BR178 BN183:BR183 BN186:BR188 CD181:CO181 CD41:CO113 CD115:CO176 CD178:CO178 CD183:CO183 CD186:CO188 DA181:DJ181 DA41:DJ113 DA115:DJ176 DA178:DJ178 DA183:DJ183 DA186:DJ188 DV181:EK181 DV41:EK113 DV115:EK176 DV178:EK178 DV183:EK183 DV186:EK188 JT181:KC181 JT41:KC113 JT115:KC176 JT178:KC178 JT183:KC183 JT186:KC188 KL181:KR181 KL41:KR113 KL115:KR176 KL178:KR178 KL183:KR183 KL186:KR188 LA181:LK181 LA41:LK113 LA115:LK176 LA178:LK178 LA183:LK183 LA186:LK188 LW181:MO181 LW41:MO113 LW115:MO176 LW178:MO178 LW183:MO183 LW186:MO188 NA181:NP181 NA41:NP113 NA115:NP176 NA178:NP178 NA183:NP183 NA186:NP188 OH181:OO181 OH41:OO113 OH115:OO176 OH178:OO178 OH183:OO183 OH186:OO188 IQ181:JH181 IQ41:JH113 IQ115:JH176 IQ178:JH178 IQ183:JH183 IQ186:JH188">
    <cfRule type="cellIs" dxfId="3" priority="102" operator="equal">
      <formula>0</formula>
    </cfRule>
    <cfRule type="cellIs" dxfId="2" priority="103" operator="lessThan">
      <formula>0</formula>
    </cfRule>
  </conditionalFormatting>
  <conditionalFormatting sqref="PW181:PZ181 PW41:PZ113 PW115:PZ176 PW178:PZ178 PW183:PZ183 PW186:PZ188 PA181:PK181 PA41:PK113 PA115:PK176 PA178:PK178 PA183:PK183 PA186:PK188 HT181:IE181 HT41:IE113 HT115:IE176 HT178:IE178 HT183:IE183 HT186:IE188 HC181:HH181 HC41:HH113 HC115:HH176 HC178:HH178 HC183:HH183 HC186:HH188 GJ181:GQ181 GJ41:GQ113 GJ115:GQ176 GJ178:GQ178 GJ183:GQ183 GJ186:GQ188 FN181:FX181 FN41:FX113 FN115:FX176 FN178:FX178 FN183:FX183 FN186:FX188 EW181:FB181 EW41:FB113 EW115:FB176 EW178:FB178 EW183:FB183 EW186:FB188 AM181:BB181 AM41:BB113 AM115:BB176 AM178:BB178 AM183:BB183 AM186:BB188 T181:AD181 T41:AD113 T115:AD176 T178:AD178 T183:AD183 T186:AD188 J181:K181 J41:K113 J115:K176 J178:K178 J183:K183 J186:K188 BN181:BR181 BN41:BR113 BN115:BR176 BN178:BR178 BN183:BR183 BN186:BR188 CD181:CO181 CD41:CO113 CD115:CO176 CD178:CO178 CD183:CO183 CD186:CO188 DA181:DJ181 DA41:DJ113 DA115:DJ176 DA178:DJ178 DA183:DJ183 DA186:DJ188 DV181:EK181 DV41:EK113 DV115:EK176 DV178:EK178 DV183:EK183 DV186:EK188 JT181:KC181 JT41:KC113 JT115:KC176 JT178:KC178 JT183:KC183 JT186:KC188 KL181:KR181 KL41:KR113 KL115:KR176 KL178:KR178 KL183:KR183 KL186:KR188 LA181:LK181 LA41:LK113 LA115:LK176 LA178:LK178 LA183:LK183 LA186:LK188 LW181:MO181 LW41:MO113 LW115:MO176 LW178:MO178 LW183:MO183 LW186:MO188 NA181:NP181 NA41:NP113 NA115:NP176 NA178:NP178 NA183:NP183 NA186:NP188 OH181:OO181 OH41:OO113 OH115:OO176 OH178:OO178 OH183:OO183 OH186:OO188 IQ181:JH181 IQ41:JH113 IQ115:JH176 IQ178:JH178 IQ183:JH183 IQ186:JH188">
    <cfRule type="cellIs" dxfId="1" priority="101" operator="equal">
      <formula>0</formula>
    </cfRule>
  </conditionalFormatting>
  <conditionalFormatting sqref="PW181:PZ181 PW41:PZ113 PW115:PZ176 PW178:PZ178 PW183:PZ183 PW186:PZ188 PA181:PK181 PA41:PK113 PA115:PK176 PA178:PK178 PA183:PK183 PA186:PK188 HT181:IE181 HT41:IE113 HT115:IE176 HT178:IE178 HT183:IE183 HT186:IE188 HC181:HH181 HC41:HH113 HC115:HH176 HC178:HH178 HC183:HH183 HC186:HH188 GJ181:GQ181 GJ41:GQ113 GJ115:GQ176 GJ178:GQ178 GJ183:GQ183 GJ186:GQ188 FN181:FX181 FN41:FX113 FN115:FX176 FN178:FX178 FN183:FX183 FN186:FX188 EW181:FB181 EW41:FB113 EW115:FB176 EW178:FB178 EW183:FB183 EW186:FB188 AM181:BB181 AM41:BB113 AM115:BB176 AM178:BB178 AM183:BB183 AM186:BB188 T181:AD181 T41:AD113 T115:AD176 T178:AD178 T183:AD183 T186:AD188 J181:K181 J41:K113 J115:K176 J178:K178 J183:K183 J186:K188 BN181:BR181 BN41:BR113 BN115:BR176 BN178:BR178 BN183:BR183 BN186:BR188 CD181:CO181 CD41:CO113 CD115:CO176 CD178:CO178 CD183:CO183 CD186:CO188 DA181:DJ181 DA41:DJ113 DA115:DJ176 DA178:DJ178 DA183:DJ183 DA186:DJ188 DV181:EK181 DV41:EK113 DV115:EK176 DV178:EK178 DV183:EK183 DV186:EK188 JT181:KC181 JT41:KC113 JT115:KC176 JT178:KC178 JT183:KC183 JT186:KC188 KL181:KR181 KL41:KR113 KL115:KR176 KL178:KR178 KL183:KR183 KL186:KR188 LA181:LK181 LA41:LK113 LA115:LK176 LA178:LK178 LA183:LK183 LA186:LK188 LW181:MO181 LW41:MO113 LW115:MO176 LW178:MO178 LW183:MO183 LW186:MO188 NA181:NP181 NA41:NP113 NA115:NP176 NA178:NP178 NA183:NP183 NA186:NP188 OH181:OO181 OH41:OO113 OH115:OO176 OH178:OO178 OH183:OO183 OH186:OO188 IQ181:JH181 IQ41:JH113 IQ115:JH176 IQ178:JH178 IQ183:JH183 IQ186:JH188">
    <cfRule type="containsErrors" dxfId="0" priority="100">
      <formula>ISERROR(J41)</formula>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38</vt:i4>
      </vt:variant>
    </vt:vector>
  </HeadingPairs>
  <TitlesOfParts>
    <vt:vector size="53" baseType="lpstr">
      <vt:lpstr>Set-up</vt:lpstr>
      <vt:lpstr>Summary</vt:lpstr>
      <vt:lpstr>OPEX</vt:lpstr>
      <vt:lpstr>CAPEX</vt:lpstr>
      <vt:lpstr>DCFROR</vt:lpstr>
      <vt:lpstr>Operating Summaries</vt:lpstr>
      <vt:lpstr>LCI</vt:lpstr>
      <vt:lpstr>aspen</vt:lpstr>
      <vt:lpstr>Cost Breakdown</vt:lpstr>
      <vt:lpstr>Energy Bal</vt:lpstr>
      <vt:lpstr>aspen2</vt:lpstr>
      <vt:lpstr>aspenqw</vt:lpstr>
      <vt:lpstr>SUGAR</vt:lpstr>
      <vt:lpstr>INDICES</vt:lpstr>
      <vt:lpstr>PFD tables</vt:lpstr>
      <vt:lpstr>BASECASE</vt:lpstr>
      <vt:lpstr>BKPDIR</vt:lpstr>
      <vt:lpstr>BKPEXT</vt:lpstr>
      <vt:lpstr>BKPNAME</vt:lpstr>
      <vt:lpstr>CAPEX</vt:lpstr>
      <vt:lpstr>CAPEX100</vt:lpstr>
      <vt:lpstr>CAPEX200</vt:lpstr>
      <vt:lpstr>CAPEX300</vt:lpstr>
      <vt:lpstr>CAPEX400</vt:lpstr>
      <vt:lpstr>CAPEX500</vt:lpstr>
      <vt:lpstr>CAPEX600</vt:lpstr>
      <vt:lpstr>CAPEX700</vt:lpstr>
      <vt:lpstr>CAPEX800</vt:lpstr>
      <vt:lpstr>CAPEX900</vt:lpstr>
      <vt:lpstr>CAPEXnc</vt:lpstr>
      <vt:lpstr>CAPEXpt</vt:lpstr>
      <vt:lpstr>CASEID</vt:lpstr>
      <vt:lpstr>costyear</vt:lpstr>
      <vt:lpstr>ETHMMGAL</vt:lpstr>
      <vt:lpstr>ETOHDEN</vt:lpstr>
      <vt:lpstr>ETOHRATE</vt:lpstr>
      <vt:lpstr>FCI</vt:lpstr>
      <vt:lpstr>ISBL</vt:lpstr>
      <vt:lpstr>IX_CAP</vt:lpstr>
      <vt:lpstr>IX_CHEM</vt:lpstr>
      <vt:lpstr>IX_ELEC</vt:lpstr>
      <vt:lpstr>IX_LABOR</vt:lpstr>
      <vt:lpstr>LU_HEAT</vt:lpstr>
      <vt:lpstr>LU_MAT</vt:lpstr>
      <vt:lpstr>LU_SENS</vt:lpstr>
      <vt:lpstr>LU_WORK</vt:lpstr>
      <vt:lpstr>OPHOURS</vt:lpstr>
      <vt:lpstr>CAPEX!Print_Area</vt:lpstr>
      <vt:lpstr>DCFROR!Print_Area</vt:lpstr>
      <vt:lpstr>CAPEX!Print_Titles</vt:lpstr>
      <vt:lpstr>DCFROR!Print_Titles</vt:lpstr>
      <vt:lpstr>TPI</vt:lpstr>
      <vt:lpstr>unitstart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humbird</dc:creator>
  <cp:lastModifiedBy>ABartling</cp:lastModifiedBy>
  <cp:lastPrinted>2011-03-30T13:46:03Z</cp:lastPrinted>
  <dcterms:created xsi:type="dcterms:W3CDTF">1997-06-23T20:54:29Z</dcterms:created>
  <dcterms:modified xsi:type="dcterms:W3CDTF">2020-06-22T14:58:26Z</dcterms:modified>
</cp:coreProperties>
</file>